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omments1.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omments2.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3.xml" ContentType="application/vnd.openxmlformats-officedocument.themeOverrid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4.xml" ContentType="application/vnd.openxmlformats-officedocument.themeOverrid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5.xml" ContentType="application/vnd.openxmlformats-officedocument.themeOverride+xml"/>
  <Override PartName="/xl/comments5.xml" ContentType="application/vnd.openxmlformats-officedocument.spreadsheetml.comments+xml"/>
  <Override PartName="/xl/drawings/drawing9.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6.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7.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8.xml" ContentType="application/vnd.openxmlformats-officedocument.themeOverride+xml"/>
  <Override PartName="/xl/drawings/drawing10.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9.xml" ContentType="application/vnd.openxmlformats-officedocument.themeOverrid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0.xml" ContentType="application/vnd.openxmlformats-officedocument.themeOverrid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11.xml" ContentType="application/vnd.openxmlformats-officedocument.themeOverride+xml"/>
  <Override PartName="/xl/drawings/drawing11.xml" ContentType="application/vnd.openxmlformats-officedocument.drawing+xml"/>
  <Override PartName="/xl/charts/chart33.xml" ContentType="application/vnd.openxmlformats-officedocument.drawingml.chart+xml"/>
  <Override PartName="/xl/drawings/drawing12.xml" ContentType="application/vnd.openxmlformats-officedocument.drawing+xml"/>
  <Override PartName="/xl/comments6.xml" ContentType="application/vnd.openxmlformats-officedocument.spreadsheetml.comments+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12.xml" ContentType="application/vnd.openxmlformats-officedocument.themeOverride+xml"/>
  <Override PartName="/xl/charts/chart35.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13.xml" ContentType="application/vnd.openxmlformats-officedocument.themeOverride+xml"/>
  <Override PartName="/xl/charts/chart36.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14.xml" ContentType="application/vnd.openxmlformats-officedocument.themeOverride+xml"/>
  <Override PartName="/xl/drawings/drawing13.xml" ContentType="application/vnd.openxmlformats-officedocument.drawing+xml"/>
  <Override PartName="/xl/comments7.xml" ContentType="application/vnd.openxmlformats-officedocument.spreadsheetml.comments+xml"/>
  <Override PartName="/xl/charts/chart37.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15.xml" ContentType="application/vnd.openxmlformats-officedocument.themeOverride+xml"/>
  <Override PartName="/xl/charts/chart38.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16.xml" ContentType="application/vnd.openxmlformats-officedocument.themeOverride+xml"/>
  <Override PartName="/xl/charts/chart39.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17.xml" ContentType="application/vnd.openxmlformats-officedocument.themeOverride+xml"/>
  <Override PartName="/xl/drawings/drawing14.xml" ContentType="application/vnd.openxmlformats-officedocument.drawing+xml"/>
  <Override PartName="/xl/charts/chart40.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18.xml" ContentType="application/vnd.openxmlformats-officedocument.themeOverride+xml"/>
  <Override PartName="/xl/charts/chart41.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19.xml" ContentType="application/vnd.openxmlformats-officedocument.themeOverride+xml"/>
  <Override PartName="/xl/drawings/drawing15.xml" ContentType="application/vnd.openxmlformats-officedocument.drawing+xml"/>
  <Override PartName="/xl/comments8.xml" ContentType="application/vnd.openxmlformats-officedocument.spreadsheetml.comments+xml"/>
  <Override PartName="/xl/charts/chart42.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20.xml" ContentType="application/vnd.openxmlformats-officedocument.themeOverride+xml"/>
  <Override PartName="/xl/charts/chart43.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21.xml" ContentType="application/vnd.openxmlformats-officedocument.themeOverride+xml"/>
  <Override PartName="/xl/charts/chart44.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22.xml" ContentType="application/vnd.openxmlformats-officedocument.themeOverride+xml"/>
  <Override PartName="/xl/drawings/drawing16.xml" ContentType="application/vnd.openxmlformats-officedocument.drawing+xml"/>
  <Override PartName="/xl/comments9.xml" ContentType="application/vnd.openxmlformats-officedocument.spreadsheetml.comments+xml"/>
  <Override PartName="/xl/charts/chart45.xml" ContentType="application/vnd.openxmlformats-officedocument.drawingml.chart+xml"/>
  <Override PartName="/xl/charts/chart46.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23.xml" ContentType="application/vnd.openxmlformats-officedocument.themeOverride+xml"/>
  <Override PartName="/xl/charts/chart47.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24.xml" ContentType="application/vnd.openxmlformats-officedocument.themeOverride+xml"/>
  <Override PartName="/xl/charts/chart48.xml" ContentType="application/vnd.openxmlformats-officedocument.drawingml.chart+xml"/>
  <Override PartName="/xl/charts/style46.xml" ContentType="application/vnd.ms-office.chartstyle+xml"/>
  <Override PartName="/xl/charts/colors46.xml" ContentType="application/vnd.ms-office.chartcolorstyle+xml"/>
  <Override PartName="/xl/theme/themeOverride25.xml" ContentType="application/vnd.openxmlformats-officedocument.themeOverride+xml"/>
  <Override PartName="/xl/drawings/drawing17.xml" ContentType="application/vnd.openxmlformats-officedocument.drawing+xml"/>
  <Override PartName="/xl/charts/chart49.xml" ContentType="application/vnd.openxmlformats-officedocument.drawingml.chart+xml"/>
  <Override PartName="/xl/charts/style47.xml" ContentType="application/vnd.ms-office.chartstyle+xml"/>
  <Override PartName="/xl/charts/colors47.xml" ContentType="application/vnd.ms-office.chartcolorstyle+xml"/>
  <Override PartName="/xl/theme/themeOverride26.xml" ContentType="application/vnd.openxmlformats-officedocument.themeOverride+xml"/>
  <Override PartName="/xl/charts/chart50.xml" ContentType="application/vnd.openxmlformats-officedocument.drawingml.chart+xml"/>
  <Override PartName="/xl/charts/style48.xml" ContentType="application/vnd.ms-office.chartstyle+xml"/>
  <Override PartName="/xl/charts/colors48.xml" ContentType="application/vnd.ms-office.chartcolorstyle+xml"/>
  <Override PartName="/xl/charts/chart51.xml" ContentType="application/vnd.openxmlformats-officedocument.drawingml.chart+xml"/>
  <Override PartName="/xl/charts/style49.xml" ContentType="application/vnd.ms-office.chartstyle+xml"/>
  <Override PartName="/xl/charts/colors49.xml" ContentType="application/vnd.ms-office.chartcolorstyle+xml"/>
  <Override PartName="/xl/theme/themeOverride27.xml" ContentType="application/vnd.openxmlformats-officedocument.themeOverride+xml"/>
  <Override PartName="/xl/charts/chart52.xml" ContentType="application/vnd.openxmlformats-officedocument.drawingml.chart+xml"/>
  <Override PartName="/xl/charts/style50.xml" ContentType="application/vnd.ms-office.chartstyle+xml"/>
  <Override PartName="/xl/charts/colors50.xml" ContentType="application/vnd.ms-office.chartcolorstyle+xml"/>
  <Override PartName="/xl/theme/themeOverride28.xml" ContentType="application/vnd.openxmlformats-officedocument.themeOverride+xml"/>
  <Override PartName="/xl/drawings/drawing18.xml" ContentType="application/vnd.openxmlformats-officedocument.drawing+xml"/>
  <Override PartName="/xl/comments10.xml" ContentType="application/vnd.openxmlformats-officedocument.spreadsheetml.comments+xml"/>
  <Override PartName="/xl/charts/chart53.xml" ContentType="application/vnd.openxmlformats-officedocument.drawingml.chart+xml"/>
  <Override PartName="/xl/charts/style51.xml" ContentType="application/vnd.ms-office.chartstyle+xml"/>
  <Override PartName="/xl/charts/colors51.xml" ContentType="application/vnd.ms-office.chartcolorstyle+xml"/>
  <Override PartName="/xl/theme/themeOverride29.xml" ContentType="application/vnd.openxmlformats-officedocument.themeOverride+xml"/>
  <Override PartName="/xl/charts/chart54.xml" ContentType="application/vnd.openxmlformats-officedocument.drawingml.chart+xml"/>
  <Override PartName="/xl/charts/style52.xml" ContentType="application/vnd.ms-office.chartstyle+xml"/>
  <Override PartName="/xl/charts/colors52.xml" ContentType="application/vnd.ms-office.chartcolorstyle+xml"/>
  <Override PartName="/xl/theme/themeOverride30.xml" ContentType="application/vnd.openxmlformats-officedocument.themeOverride+xml"/>
  <Override PartName="/xl/charts/chart55.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31.xml" ContentType="application/vnd.openxmlformats-officedocument.themeOverride+xml"/>
  <Override PartName="/xl/drawings/drawing19.xml" ContentType="application/vnd.openxmlformats-officedocument.drawing+xml"/>
  <Override PartName="/xl/charts/chart56.xml" ContentType="application/vnd.openxmlformats-officedocument.drawingml.chart+xml"/>
  <Override PartName="/xl/charts/style54.xml" ContentType="application/vnd.ms-office.chartstyle+xml"/>
  <Override PartName="/xl/charts/colors54.xml" ContentType="application/vnd.ms-office.chartcolorstyle+xml"/>
  <Override PartName="/xl/charts/chart57.xml" ContentType="application/vnd.openxmlformats-officedocument.drawingml.chart+xml"/>
  <Override PartName="/xl/charts/style55.xml" ContentType="application/vnd.ms-office.chartstyle+xml"/>
  <Override PartName="/xl/charts/colors55.xml" ContentType="application/vnd.ms-office.chartcolorstyle+xml"/>
  <Override PartName="/xl/theme/themeOverride32.xml" ContentType="application/vnd.openxmlformats-officedocument.themeOverride+xml"/>
  <Override PartName="/xl/charts/chart58.xml" ContentType="application/vnd.openxmlformats-officedocument.drawingml.chart+xml"/>
  <Override PartName="/xl/charts/style56.xml" ContentType="application/vnd.ms-office.chartstyle+xml"/>
  <Override PartName="/xl/charts/colors56.xml" ContentType="application/vnd.ms-office.chartcolorstyle+xml"/>
  <Override PartName="/xl/theme/themeOverride33.xml" ContentType="application/vnd.openxmlformats-officedocument.themeOverride+xml"/>
  <Override PartName="/xl/drawings/drawing20.xml" ContentType="application/vnd.openxmlformats-officedocument.drawing+xml"/>
  <Override PartName="/xl/charts/chart59.xml" ContentType="application/vnd.openxmlformats-officedocument.drawingml.chart+xml"/>
  <Override PartName="/xl/charts/style57.xml" ContentType="application/vnd.ms-office.chartstyle+xml"/>
  <Override PartName="/xl/charts/colors57.xml" ContentType="application/vnd.ms-office.chartcolorstyle+xml"/>
  <Override PartName="/xl/theme/themeOverride34.xml" ContentType="application/vnd.openxmlformats-officedocument.themeOverride+xml"/>
  <Override PartName="/xl/charts/chart60.xml" ContentType="application/vnd.openxmlformats-officedocument.drawingml.chart+xml"/>
  <Override PartName="/xl/charts/style58.xml" ContentType="application/vnd.ms-office.chartstyle+xml"/>
  <Override PartName="/xl/charts/colors58.xml" ContentType="application/vnd.ms-office.chartcolorstyle+xml"/>
  <Override PartName="/xl/theme/themeOverride35.xml" ContentType="application/vnd.openxmlformats-officedocument.themeOverride+xml"/>
  <Override PartName="/xl/charts/chart61.xml" ContentType="application/vnd.openxmlformats-officedocument.drawingml.chart+xml"/>
  <Override PartName="/xl/charts/style59.xml" ContentType="application/vnd.ms-office.chartstyle+xml"/>
  <Override PartName="/xl/charts/colors59.xml" ContentType="application/vnd.ms-office.chartcolorstyle+xml"/>
  <Override PartName="/xl/theme/themeOverride36.xml" ContentType="application/vnd.openxmlformats-officedocument.themeOverride+xml"/>
  <Override PartName="/xl/drawings/drawing21.xml" ContentType="application/vnd.openxmlformats-officedocument.drawing+xml"/>
  <Override PartName="/xl/comments11.xml" ContentType="application/vnd.openxmlformats-officedocument.spreadsheetml.comments+xml"/>
  <Override PartName="/xl/charts/chart62.xml" ContentType="application/vnd.openxmlformats-officedocument.drawingml.chart+xml"/>
  <Override PartName="/xl/charts/style60.xml" ContentType="application/vnd.ms-office.chartstyle+xml"/>
  <Override PartName="/xl/charts/colors60.xml" ContentType="application/vnd.ms-office.chartcolorstyle+xml"/>
  <Override PartName="/xl/theme/themeOverride37.xml" ContentType="application/vnd.openxmlformats-officedocument.themeOverride+xml"/>
  <Override PartName="/xl/charts/chart63.xml" ContentType="application/vnd.openxmlformats-officedocument.drawingml.chart+xml"/>
  <Override PartName="/xl/charts/style61.xml" ContentType="application/vnd.ms-office.chartstyle+xml"/>
  <Override PartName="/xl/charts/colors61.xml" ContentType="application/vnd.ms-office.chartcolorstyle+xml"/>
  <Override PartName="/xl/theme/themeOverride38.xml" ContentType="application/vnd.openxmlformats-officedocument.themeOverride+xml"/>
  <Override PartName="/xl/charts/chart64.xml" ContentType="application/vnd.openxmlformats-officedocument.drawingml.chart+xml"/>
  <Override PartName="/xl/charts/style62.xml" ContentType="application/vnd.ms-office.chartstyle+xml"/>
  <Override PartName="/xl/charts/colors62.xml" ContentType="application/vnd.ms-office.chartcolorstyle+xml"/>
  <Override PartName="/xl/theme/themeOverride39.xml" ContentType="application/vnd.openxmlformats-officedocument.themeOverride+xml"/>
  <Override PartName="/xl/drawings/drawing22.xml" ContentType="application/vnd.openxmlformats-officedocument.drawing+xml"/>
  <Override PartName="/xl/charts/chart65.xml" ContentType="application/vnd.openxmlformats-officedocument.drawingml.chart+xml"/>
  <Override PartName="/xl/charts/style63.xml" ContentType="application/vnd.ms-office.chartstyle+xml"/>
  <Override PartName="/xl/charts/colors63.xml" ContentType="application/vnd.ms-office.chartcolorstyle+xml"/>
  <Override PartName="/xl/theme/themeOverride40.xml" ContentType="application/vnd.openxmlformats-officedocument.themeOverride+xml"/>
  <Override PartName="/xl/charts/chart66.xml" ContentType="application/vnd.openxmlformats-officedocument.drawingml.chart+xml"/>
  <Override PartName="/xl/charts/style64.xml" ContentType="application/vnd.ms-office.chartstyle+xml"/>
  <Override PartName="/xl/charts/colors64.xml" ContentType="application/vnd.ms-office.chartcolorstyle+xml"/>
  <Override PartName="/xl/theme/themeOverride41.xml" ContentType="application/vnd.openxmlformats-officedocument.themeOverride+xml"/>
  <Override PartName="/xl/charts/chart67.xml" ContentType="application/vnd.openxmlformats-officedocument.drawingml.chart+xml"/>
  <Override PartName="/xl/charts/style65.xml" ContentType="application/vnd.ms-office.chartstyle+xml"/>
  <Override PartName="/xl/charts/colors65.xml" ContentType="application/vnd.ms-office.chartcolorstyle+xml"/>
  <Override PartName="/xl/theme/themeOverride42.xml" ContentType="application/vnd.openxmlformats-officedocument.themeOverride+xml"/>
  <Override PartName="/xl/comments12.xml" ContentType="application/vnd.openxmlformats-officedocument.spreadsheetml.comments+xml"/>
  <Override PartName="/xl/drawings/drawing23.xml" ContentType="application/vnd.openxmlformats-officedocument.drawing+xml"/>
  <Override PartName="/xl/comments13.xml" ContentType="application/vnd.openxmlformats-officedocument.spreadsheetml.comments+xml"/>
  <Override PartName="/xl/charts/chart68.xml" ContentType="application/vnd.openxmlformats-officedocument.drawingml.chart+xml"/>
  <Override PartName="/xl/drawings/drawing24.xml" ContentType="application/vnd.openxmlformats-officedocument.drawing+xml"/>
  <Override PartName="/xl/comments14.xml" ContentType="application/vnd.openxmlformats-officedocument.spreadsheetml.comments+xml"/>
  <Override PartName="/xl/charts/chart69.xml" ContentType="application/vnd.openxmlformats-officedocument.drawingml.chart+xml"/>
  <Override PartName="/xl/charts/style66.xml" ContentType="application/vnd.ms-office.chartstyle+xml"/>
  <Override PartName="/xl/charts/colors66.xml" ContentType="application/vnd.ms-office.chartcolorstyle+xml"/>
  <Override PartName="/xl/charts/chart70.xml" ContentType="application/vnd.openxmlformats-officedocument.drawingml.chart+xml"/>
  <Override PartName="/xl/charts/style67.xml" ContentType="application/vnd.ms-office.chartstyle+xml"/>
  <Override PartName="/xl/charts/colors67.xml" ContentType="application/vnd.ms-office.chartcolorstyle+xml"/>
  <Override PartName="/xl/theme/themeOverride43.xml" ContentType="application/vnd.openxmlformats-officedocument.themeOverride+xml"/>
  <Override PartName="/xl/charts/chart71.xml" ContentType="application/vnd.openxmlformats-officedocument.drawingml.chart+xml"/>
  <Override PartName="/xl/charts/style68.xml" ContentType="application/vnd.ms-office.chartstyle+xml"/>
  <Override PartName="/xl/charts/colors68.xml" ContentType="application/vnd.ms-office.chartcolorstyle+xml"/>
  <Override PartName="/xl/theme/themeOverride44.xml" ContentType="application/vnd.openxmlformats-officedocument.themeOverride+xml"/>
  <Override PartName="/xl/drawings/drawing25.xml" ContentType="application/vnd.openxmlformats-officedocument.drawing+xml"/>
  <Override PartName="/xl/charts/chart72.xml" ContentType="application/vnd.openxmlformats-officedocument.drawingml.chart+xml"/>
  <Override PartName="/xl/charts/style69.xml" ContentType="application/vnd.ms-office.chartstyle+xml"/>
  <Override PartName="/xl/charts/colors69.xml" ContentType="application/vnd.ms-office.chartcolorstyle+xml"/>
  <Override PartName="/xl/theme/themeOverride45.xml" ContentType="application/vnd.openxmlformats-officedocument.themeOverride+xml"/>
  <Override PartName="/xl/charts/chart73.xml" ContentType="application/vnd.openxmlformats-officedocument.drawingml.chart+xml"/>
  <Override PartName="/xl/charts/style70.xml" ContentType="application/vnd.ms-office.chartstyle+xml"/>
  <Override PartName="/xl/charts/colors70.xml" ContentType="application/vnd.ms-office.chartcolorstyle+xml"/>
  <Override PartName="/xl/theme/themeOverride46.xml" ContentType="application/vnd.openxmlformats-officedocument.themeOverride+xml"/>
  <Override PartName="/xl/charts/chart74.xml" ContentType="application/vnd.openxmlformats-officedocument.drawingml.chart+xml"/>
  <Override PartName="/xl/charts/style71.xml" ContentType="application/vnd.ms-office.chartstyle+xml"/>
  <Override PartName="/xl/charts/colors71.xml" ContentType="application/vnd.ms-office.chartcolorstyle+xml"/>
  <Override PartName="/xl/theme/themeOverride47.xml" ContentType="application/vnd.openxmlformats-officedocument.themeOverride+xml"/>
  <Override PartName="/xl/drawings/drawing26.xml" ContentType="application/vnd.openxmlformats-officedocument.drawing+xml"/>
  <Override PartName="/xl/comments15.xml" ContentType="application/vnd.openxmlformats-officedocument.spreadsheetml.comments+xml"/>
  <Override PartName="/xl/charts/chart75.xml" ContentType="application/vnd.openxmlformats-officedocument.drawingml.chart+xml"/>
  <Override PartName="/xl/charts/style72.xml" ContentType="application/vnd.ms-office.chartstyle+xml"/>
  <Override PartName="/xl/charts/colors72.xml" ContentType="application/vnd.ms-office.chartcolorstyle+xml"/>
  <Override PartName="/xl/theme/themeOverride48.xml" ContentType="application/vnd.openxmlformats-officedocument.themeOverride+xml"/>
  <Override PartName="/xl/charts/chart76.xml" ContentType="application/vnd.openxmlformats-officedocument.drawingml.chart+xml"/>
  <Override PartName="/xl/charts/style73.xml" ContentType="application/vnd.ms-office.chartstyle+xml"/>
  <Override PartName="/xl/charts/colors73.xml" ContentType="application/vnd.ms-office.chartcolorstyle+xml"/>
  <Override PartName="/xl/charts/chart77.xml" ContentType="application/vnd.openxmlformats-officedocument.drawingml.chart+xml"/>
  <Override PartName="/xl/charts/style74.xml" ContentType="application/vnd.ms-office.chartstyle+xml"/>
  <Override PartName="/xl/charts/colors74.xml" ContentType="application/vnd.ms-office.chartcolorstyle+xml"/>
  <Override PartName="/xl/theme/themeOverride49.xml" ContentType="application/vnd.openxmlformats-officedocument.themeOverride+xml"/>
  <Override PartName="/xl/charts/chart78.xml" ContentType="application/vnd.openxmlformats-officedocument.drawingml.chart+xml"/>
  <Override PartName="/xl/charts/style75.xml" ContentType="application/vnd.ms-office.chartstyle+xml"/>
  <Override PartName="/xl/charts/colors75.xml" ContentType="application/vnd.ms-office.chartcolorstyle+xml"/>
  <Override PartName="/xl/theme/themeOverride50.xml" ContentType="application/vnd.openxmlformats-officedocument.themeOverride+xml"/>
  <Override PartName="/xl/drawings/drawing27.xml" ContentType="application/vnd.openxmlformats-officedocument.drawing+xml"/>
  <Override PartName="/xl/comments16.xml" ContentType="application/vnd.openxmlformats-officedocument.spreadsheetml.comments+xml"/>
  <Override PartName="/xl/charts/chart79.xml" ContentType="application/vnd.openxmlformats-officedocument.drawingml.chart+xml"/>
  <Override PartName="/xl/charts/style76.xml" ContentType="application/vnd.ms-office.chartstyle+xml"/>
  <Override PartName="/xl/charts/colors76.xml" ContentType="application/vnd.ms-office.chartcolorstyle+xml"/>
  <Override PartName="/xl/theme/themeOverride51.xml" ContentType="application/vnd.openxmlformats-officedocument.themeOverride+xml"/>
  <Override PartName="/xl/charts/chart80.xml" ContentType="application/vnd.openxmlformats-officedocument.drawingml.chart+xml"/>
  <Override PartName="/xl/charts/style77.xml" ContentType="application/vnd.ms-office.chartstyle+xml"/>
  <Override PartName="/xl/charts/colors77.xml" ContentType="application/vnd.ms-office.chartcolorstyle+xml"/>
  <Override PartName="/xl/theme/themeOverride52.xml" ContentType="application/vnd.openxmlformats-officedocument.themeOverride+xml"/>
  <Override PartName="/xl/charts/chart81.xml" ContentType="application/vnd.openxmlformats-officedocument.drawingml.chart+xml"/>
  <Override PartName="/xl/charts/style78.xml" ContentType="application/vnd.ms-office.chartstyle+xml"/>
  <Override PartName="/xl/charts/colors78.xml" ContentType="application/vnd.ms-office.chartcolorstyle+xml"/>
  <Override PartName="/xl/theme/themeOverride53.xml" ContentType="application/vnd.openxmlformats-officedocument.themeOverride+xml"/>
  <Override PartName="/xl/drawings/drawing28.xml" ContentType="application/vnd.openxmlformats-officedocument.drawing+xml"/>
  <Override PartName="/xl/charts/chart82.xml" ContentType="application/vnd.openxmlformats-officedocument.drawingml.chart+xml"/>
  <Override PartName="/xl/charts/style79.xml" ContentType="application/vnd.ms-office.chartstyle+xml"/>
  <Override PartName="/xl/charts/colors79.xml" ContentType="application/vnd.ms-office.chartcolorstyle+xml"/>
  <Override PartName="/xl/theme/themeOverride54.xml" ContentType="application/vnd.openxmlformats-officedocument.themeOverride+xml"/>
  <Override PartName="/xl/charts/chart83.xml" ContentType="application/vnd.openxmlformats-officedocument.drawingml.chart+xml"/>
  <Override PartName="/xl/charts/style80.xml" ContentType="application/vnd.ms-office.chartstyle+xml"/>
  <Override PartName="/xl/charts/colors80.xml" ContentType="application/vnd.ms-office.chartcolorstyle+xml"/>
  <Override PartName="/xl/theme/themeOverride55.xml" ContentType="application/vnd.openxmlformats-officedocument.themeOverride+xml"/>
  <Override PartName="/xl/charts/chart84.xml" ContentType="application/vnd.openxmlformats-officedocument.drawingml.chart+xml"/>
  <Override PartName="/xl/charts/style81.xml" ContentType="application/vnd.ms-office.chartstyle+xml"/>
  <Override PartName="/xl/charts/colors81.xml" ContentType="application/vnd.ms-office.chartcolorstyle+xml"/>
  <Override PartName="/xl/theme/themeOverride56.xml" ContentType="application/vnd.openxmlformats-officedocument.themeOverride+xml"/>
  <Override PartName="/xl/comments17.xml" ContentType="application/vnd.openxmlformats-officedocument.spreadsheetml.comments+xml"/>
  <Override PartName="/xl/drawings/drawing29.xml" ContentType="application/vnd.openxmlformats-officedocument.drawing+xml"/>
  <Override PartName="/xl/comments18.xml" ContentType="application/vnd.openxmlformats-officedocument.spreadsheetml.comments+xml"/>
  <Override PartName="/xl/charts/chart85.xml" ContentType="application/vnd.openxmlformats-officedocument.drawingml.chart+xml"/>
  <Override PartName="/xl/comments19.xml" ContentType="application/vnd.openxmlformats-officedocument.spreadsheetml.comments+xml"/>
  <Override PartName="/xl/drawings/drawing30.xml" ContentType="application/vnd.openxmlformats-officedocument.drawing+xml"/>
  <Override PartName="/xl/comments20.xml" ContentType="application/vnd.openxmlformats-officedocument.spreadsheetml.comments+xml"/>
  <Override PartName="/xl/charts/chart86.xml" ContentType="application/vnd.openxmlformats-officedocument.drawingml.chart+xml"/>
  <Override PartName="/xl/comments21.xml" ContentType="application/vnd.openxmlformats-officedocument.spreadsheetml.comments+xml"/>
  <Override PartName="/xl/drawings/drawing31.xml" ContentType="application/vnd.openxmlformats-officedocument.drawing+xml"/>
  <Override PartName="/xl/comments22.xml" ContentType="application/vnd.openxmlformats-officedocument.spreadsheetml.comments+xml"/>
  <Override PartName="/xl/charts/chart87.xml" ContentType="application/vnd.openxmlformats-officedocument.drawingml.chart+xml"/>
  <Override PartName="/xl/comments23.xml" ContentType="application/vnd.openxmlformats-officedocument.spreadsheetml.comments+xml"/>
  <Override PartName="/xl/drawings/drawing32.xml" ContentType="application/vnd.openxmlformats-officedocument.drawing+xml"/>
  <Override PartName="/xl/comments24.xml" ContentType="application/vnd.openxmlformats-officedocument.spreadsheetml.comments+xml"/>
  <Override PartName="/xl/charts/chart88.xml" ContentType="application/vnd.openxmlformats-officedocument.drawingml.chart+xml"/>
  <Override PartName="/xl/comments25.xml" ContentType="application/vnd.openxmlformats-officedocument.spreadsheetml.comments+xml"/>
  <Override PartName="/xl/drawings/drawing33.xml" ContentType="application/vnd.openxmlformats-officedocument.drawing+xml"/>
  <Override PartName="/xl/comments26.xml" ContentType="application/vnd.openxmlformats-officedocument.spreadsheetml.comments+xml"/>
  <Override PartName="/xl/charts/chart89.xml" ContentType="application/vnd.openxmlformats-officedocument.drawingml.chart+xml"/>
  <Override PartName="/xl/comments27.xml" ContentType="application/vnd.openxmlformats-officedocument.spreadsheetml.comments+xml"/>
  <Override PartName="/xl/drawings/drawing34.xml" ContentType="application/vnd.openxmlformats-officedocument.drawing+xml"/>
  <Override PartName="/xl/comments28.xml" ContentType="application/vnd.openxmlformats-officedocument.spreadsheetml.comments+xml"/>
  <Override PartName="/xl/charts/chart90.xml" ContentType="application/vnd.openxmlformats-officedocument.drawingml.chart+xml"/>
  <Override PartName="/xl/comments29.xml" ContentType="application/vnd.openxmlformats-officedocument.spreadsheetml.comments+xml"/>
  <Override PartName="/xl/drawings/drawing35.xml" ContentType="application/vnd.openxmlformats-officedocument.drawing+xml"/>
  <Override PartName="/xl/comments30.xml" ContentType="application/vnd.openxmlformats-officedocument.spreadsheetml.comments+xml"/>
  <Override PartName="/xl/charts/chart91.xml" ContentType="application/vnd.openxmlformats-officedocument.drawingml.chart+xml"/>
  <Override PartName="/xl/comments31.xml" ContentType="application/vnd.openxmlformats-officedocument.spreadsheetml.comments+xml"/>
  <Override PartName="/xl/drawings/drawing36.xml" ContentType="application/vnd.openxmlformats-officedocument.drawing+xml"/>
  <Override PartName="/xl/comments32.xml" ContentType="application/vnd.openxmlformats-officedocument.spreadsheetml.comments+xml"/>
  <Override PartName="/xl/charts/chart92.xml" ContentType="application/vnd.openxmlformats-officedocument.drawingml.chart+xml"/>
  <Override PartName="/xl/comments33.xml" ContentType="application/vnd.openxmlformats-officedocument.spreadsheetml.comments+xml"/>
  <Override PartName="/xl/drawings/drawing37.xml" ContentType="application/vnd.openxmlformats-officedocument.drawing+xml"/>
  <Override PartName="/xl/comments34.xml" ContentType="application/vnd.openxmlformats-officedocument.spreadsheetml.comments+xml"/>
  <Override PartName="/xl/charts/chart93.xml" ContentType="application/vnd.openxmlformats-officedocument.drawingml.chart+xml"/>
  <Override PartName="/xl/comments35.xml" ContentType="application/vnd.openxmlformats-officedocument.spreadsheetml.comments+xml"/>
  <Override PartName="/xl/drawings/drawing38.xml" ContentType="application/vnd.openxmlformats-officedocument.drawing+xml"/>
  <Override PartName="/xl/comments36.xml" ContentType="application/vnd.openxmlformats-officedocument.spreadsheetml.comments+xml"/>
  <Override PartName="/xl/charts/chart94.xml" ContentType="application/vnd.openxmlformats-officedocument.drawingml.chart+xml"/>
  <Override PartName="/xl/comments37.xml" ContentType="application/vnd.openxmlformats-officedocument.spreadsheetml.comments+xml"/>
  <Override PartName="/xl/drawings/drawing39.xml" ContentType="application/vnd.openxmlformats-officedocument.drawing+xml"/>
  <Override PartName="/xl/comments38.xml" ContentType="application/vnd.openxmlformats-officedocument.spreadsheetml.comments+xml"/>
  <Override PartName="/xl/charts/chart95.xml" ContentType="application/vnd.openxmlformats-officedocument.drawingml.chart+xml"/>
  <Override PartName="/xl/comments39.xml" ContentType="application/vnd.openxmlformats-officedocument.spreadsheetml.comments+xml"/>
  <Override PartName="/xl/drawings/drawing40.xml" ContentType="application/vnd.openxmlformats-officedocument.drawing+xml"/>
  <Override PartName="/xl/comments40.xml" ContentType="application/vnd.openxmlformats-officedocument.spreadsheetml.comments+xml"/>
  <Override PartName="/xl/charts/chart96.xml" ContentType="application/vnd.openxmlformats-officedocument.drawingml.chart+xml"/>
  <Override PartName="/xl/comments41.xml" ContentType="application/vnd.openxmlformats-officedocument.spreadsheetml.comments+xml"/>
  <Override PartName="/xl/drawings/drawing41.xml" ContentType="application/vnd.openxmlformats-officedocument.drawing+xml"/>
  <Override PartName="/xl/comments42.xml" ContentType="application/vnd.openxmlformats-officedocument.spreadsheetml.comments+xml"/>
  <Override PartName="/xl/charts/chart97.xml" ContentType="application/vnd.openxmlformats-officedocument.drawingml.chart+xml"/>
  <Override PartName="/xl/comments43.xml" ContentType="application/vnd.openxmlformats-officedocument.spreadsheetml.comments+xml"/>
  <Override PartName="/xl/drawings/drawing42.xml" ContentType="application/vnd.openxmlformats-officedocument.drawing+xml"/>
  <Override PartName="/xl/comments44.xml" ContentType="application/vnd.openxmlformats-officedocument.spreadsheetml.comments+xml"/>
  <Override PartName="/xl/charts/chart98.xml" ContentType="application/vnd.openxmlformats-officedocument.drawingml.chart+xml"/>
  <Override PartName="/xl/comments45.xml" ContentType="application/vnd.openxmlformats-officedocument.spreadsheetml.comments+xml"/>
  <Override PartName="/xl/drawings/drawing43.xml" ContentType="application/vnd.openxmlformats-officedocument.drawing+xml"/>
  <Override PartName="/xl/comments46.xml" ContentType="application/vnd.openxmlformats-officedocument.spreadsheetml.comments+xml"/>
  <Override PartName="/xl/charts/chart99.xml" ContentType="application/vnd.openxmlformats-officedocument.drawingml.chart+xml"/>
  <Override PartName="/xl/comments47.xml" ContentType="application/vnd.openxmlformats-officedocument.spreadsheetml.comments+xml"/>
  <Override PartName="/xl/drawings/drawing44.xml" ContentType="application/vnd.openxmlformats-officedocument.drawing+xml"/>
  <Override PartName="/xl/comments48.xml" ContentType="application/vnd.openxmlformats-officedocument.spreadsheetml.comments+xml"/>
  <Override PartName="/xl/charts/chart100.xml" ContentType="application/vnd.openxmlformats-officedocument.drawingml.chart+xml"/>
  <Override PartName="/xl/comments49.xml" ContentType="application/vnd.openxmlformats-officedocument.spreadsheetml.comments+xml"/>
  <Override PartName="/xl/drawings/drawing45.xml" ContentType="application/vnd.openxmlformats-officedocument.drawing+xml"/>
  <Override PartName="/xl/comments50.xml" ContentType="application/vnd.openxmlformats-officedocument.spreadsheetml.comments+xml"/>
  <Override PartName="/xl/charts/chart101.xml" ContentType="application/vnd.openxmlformats-officedocument.drawingml.chart+xml"/>
  <Override PartName="/xl/drawings/drawing46.xml" ContentType="application/vnd.openxmlformats-officedocument.drawing+xml"/>
  <Override PartName="/xl/charts/chart102.xml" ContentType="application/vnd.openxmlformats-officedocument.drawingml.chart+xml"/>
  <Override PartName="/xl/charts/style82.xml" ContentType="application/vnd.ms-office.chartstyle+xml"/>
  <Override PartName="/xl/charts/colors82.xml" ContentType="application/vnd.ms-office.chartcolorstyle+xml"/>
  <Override PartName="/xl/theme/themeOverride57.xml" ContentType="application/vnd.openxmlformats-officedocument.themeOverride+xml"/>
  <Override PartName="/xl/charts/chart103.xml" ContentType="application/vnd.openxmlformats-officedocument.drawingml.chart+xml"/>
  <Override PartName="/xl/charts/style83.xml" ContentType="application/vnd.ms-office.chartstyle+xml"/>
  <Override PartName="/xl/charts/colors83.xml" ContentType="application/vnd.ms-office.chartcolorstyle+xml"/>
  <Override PartName="/xl/theme/themeOverride58.xml" ContentType="application/vnd.openxmlformats-officedocument.themeOverride+xml"/>
  <Override PartName="/xl/charts/chart104.xml" ContentType="application/vnd.openxmlformats-officedocument.drawingml.chart+xml"/>
  <Override PartName="/xl/charts/style84.xml" ContentType="application/vnd.ms-office.chartstyle+xml"/>
  <Override PartName="/xl/charts/colors84.xml" ContentType="application/vnd.ms-office.chartcolorstyle+xml"/>
  <Override PartName="/xl/theme/themeOverride59.xml" ContentType="application/vnd.openxmlformats-officedocument.themeOverride+xml"/>
  <Override PartName="/xl/drawings/drawing47.xml" ContentType="application/vnd.openxmlformats-officedocument.drawing+xml"/>
  <Override PartName="/xl/comments51.xml" ContentType="application/vnd.openxmlformats-officedocument.spreadsheetml.comments+xml"/>
  <Override PartName="/xl/charts/chart105.xml" ContentType="application/vnd.openxmlformats-officedocument.drawingml.chart+xml"/>
  <Override PartName="/xl/comments52.xml" ContentType="application/vnd.openxmlformats-officedocument.spreadsheetml.comments+xml"/>
  <Override PartName="/xl/drawings/drawing48.xml" ContentType="application/vnd.openxmlformats-officedocument.drawing+xml"/>
  <Override PartName="/xl/comments53.xml" ContentType="application/vnd.openxmlformats-officedocument.spreadsheetml.comments+xml"/>
  <Override PartName="/xl/charts/chart106.xml" ContentType="application/vnd.openxmlformats-officedocument.drawingml.chart+xml"/>
  <Override PartName="/xl/drawings/drawing49.xml" ContentType="application/vnd.openxmlformats-officedocument.drawing+xml"/>
  <Override PartName="/xl/charts/chart107.xml" ContentType="application/vnd.openxmlformats-officedocument.drawingml.chart+xml"/>
  <Override PartName="/xl/drawings/drawing50.xml" ContentType="application/vnd.openxmlformats-officedocument.drawing+xml"/>
  <Override PartName="/xl/comments54.xml" ContentType="application/vnd.openxmlformats-officedocument.spreadsheetml.comments+xml"/>
  <Override PartName="/xl/charts/chart108.xml" ContentType="application/vnd.openxmlformats-officedocument.drawingml.chart+xml"/>
  <Override PartName="/xl/charts/style85.xml" ContentType="application/vnd.ms-office.chartstyle+xml"/>
  <Override PartName="/xl/charts/colors85.xml" ContentType="application/vnd.ms-office.chartcolorstyle+xml"/>
  <Override PartName="/xl/theme/themeOverride60.xml" ContentType="application/vnd.openxmlformats-officedocument.themeOverride+xml"/>
  <Override PartName="/xl/charts/chart109.xml" ContentType="application/vnd.openxmlformats-officedocument.drawingml.chart+xml"/>
  <Override PartName="/xl/charts/style86.xml" ContentType="application/vnd.ms-office.chartstyle+xml"/>
  <Override PartName="/xl/charts/colors86.xml" ContentType="application/vnd.ms-office.chartcolorstyle+xml"/>
  <Override PartName="/xl/theme/themeOverride61.xml" ContentType="application/vnd.openxmlformats-officedocument.themeOverride+xml"/>
  <Override PartName="/xl/comments55.xml" ContentType="application/vnd.openxmlformats-officedocument.spreadsheetml.comments+xml"/>
  <Override PartName="/xl/drawings/drawing51.xml" ContentType="application/vnd.openxmlformats-officedocument.drawing+xml"/>
  <Override PartName="/xl/comments56.xml" ContentType="application/vnd.openxmlformats-officedocument.spreadsheetml.comments+xml"/>
  <Override PartName="/xl/charts/chart110.xml" ContentType="application/vnd.openxmlformats-officedocument.drawingml.chart+xml"/>
  <Override PartName="/xl/comments57.xml" ContentType="application/vnd.openxmlformats-officedocument.spreadsheetml.comments+xml"/>
  <Override PartName="/xl/drawings/drawing52.xml" ContentType="application/vnd.openxmlformats-officedocument.drawing+xml"/>
  <Override PartName="/xl/comments58.xml" ContentType="application/vnd.openxmlformats-officedocument.spreadsheetml.comments+xml"/>
  <Override PartName="/xl/charts/chart111.xml" ContentType="application/vnd.openxmlformats-officedocument.drawingml.chart+xml"/>
  <Override PartName="/xl/comments59.xml" ContentType="application/vnd.openxmlformats-officedocument.spreadsheetml.comments+xml"/>
  <Override PartName="/xl/drawings/drawing53.xml" ContentType="application/vnd.openxmlformats-officedocument.drawing+xml"/>
  <Override PartName="/xl/comments60.xml" ContentType="application/vnd.openxmlformats-officedocument.spreadsheetml.comments+xml"/>
  <Override PartName="/xl/charts/chart112.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0.xml" ContentType="application/vnd.ms-excel.person+xml"/>
  <Override PartName="/xl/persons/person4.xml" ContentType="application/vnd.ms-excel.person+xml"/>
  <Override PartName="/xl/persons/person1.xml" ContentType="application/vnd.ms-excel.person+xml"/>
  <Override PartName="/xl/persons/person2.xml" ContentType="application/vnd.ms-excel.person+xml"/>
  <Override PartName="/xl/persons/person3.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Override PartName="/xl/threadedComments/threadedComment7.xml" ContentType="application/vnd.ms-excel.threadedcomments+xml"/>
  <Override PartName="/xl/threadedComments/threadedComment8.xml" ContentType="application/vnd.ms-excel.threadedcomments+xml"/>
  <Override PartName="/xl/threadedComments/threadedComment9.xml" ContentType="application/vnd.ms-excel.threadedcomments+xml"/>
  <Override PartName="/xl/threadedComments/threadedComment10.xml" ContentType="application/vnd.ms-excel.threadedcomments+xml"/>
  <Override PartName="/xl/threadedComments/threadedComment11.xml" ContentType="application/vnd.ms-excel.threadedcomments+xml"/>
  <Override PartName="/xl/threadedComments/threadedComment12.xml" ContentType="application/vnd.ms-excel.threadedcomments+xml"/>
  <Override PartName="/xl/threadedComments/threadedComment13.xml" ContentType="application/vnd.ms-excel.threadedcomments+xml"/>
  <Override PartName="/xl/threadedComments/threadedComment14.xml" ContentType="application/vnd.ms-excel.threadedcomments+xml"/>
  <Override PartName="/xl/threadedComments/threadedComment15.xml" ContentType="application/vnd.ms-excel.threadedcomments+xml"/>
  <Override PartName="/xl/threadedComments/threadedComment16.xml" ContentType="application/vnd.ms-excel.threadedcomments+xml"/>
  <Override PartName="/xl/threadedComments/threadedComment17.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mc:AlternateContent xmlns:mc="http://schemas.openxmlformats.org/markup-compatibility/2006">
    <mc:Choice Requires="x15">
      <x15ac:absPath xmlns:x15ac="http://schemas.microsoft.com/office/spreadsheetml/2010/11/ac" url="https://d.docs.live.net/90534bf1ee31f65a/CV/Personal website/"/>
    </mc:Choice>
  </mc:AlternateContent>
  <xr:revisionPtr revIDLastSave="15" documentId="8_{C8CFC31B-6F74-4A05-BF2E-61F63C7C48FB}" xr6:coauthVersionLast="47" xr6:coauthVersionMax="47" xr10:uidLastSave="{1281D907-EBAF-43C5-8BF7-A5B893EF4A86}"/>
  <bookViews>
    <workbookView xWindow="-110" yWindow="-110" windowWidth="38620" windowHeight="21360" tabRatio="993" firstSheet="9" activeTab="14" xr2:uid="{00000000-000D-0000-FFFF-FFFF00000000}"/>
  </bookViews>
  <sheets>
    <sheet name="Sheet2" sheetId="87" r:id="rId1"/>
    <sheet name="ICPF" sheetId="79" r:id="rId2"/>
    <sheet name="IGO" sheetId="81" r:id="rId3"/>
    <sheet name="Investa_Property_Dec2022" sheetId="75" r:id="rId4"/>
    <sheet name="Asset Attributes" sheetId="71" r:id="rId5"/>
    <sheet name="Intensity Summary" sheetId="70" r:id="rId6"/>
    <sheet name="Footprint Summary" sheetId="59" r:id="rId7"/>
    <sheet name="Costs Summary" sheetId="72" r:id="rId8"/>
    <sheet name="Historic Utility Costs" sheetId="73" r:id="rId9"/>
    <sheet name="Historic Consumption" sheetId="74" r:id="rId10"/>
    <sheet name="Assumptions" sheetId="60" r:id="rId11"/>
    <sheet name="1M-DUMMY" sheetId="83" r:id="rId12"/>
    <sheet name="All_Projects" sheetId="78" r:id="rId13"/>
    <sheet name="Asset Roadmap" sheetId="85" r:id="rId14"/>
    <sheet name="1M-NR" sheetId="1" r:id="rId15"/>
    <sheet name="117C-NR" sheetId="56" r:id="rId16"/>
    <sheet name="120C-NR" sheetId="44" r:id="rId17"/>
    <sheet name="126P-NR" sheetId="8" r:id="rId18"/>
    <sheet name="130P-NR" sheetId="26" r:id="rId19"/>
    <sheet name="135K-NR" sheetId="5" r:id="rId20"/>
    <sheet name="151C-NR" sheetId="29" r:id="rId21"/>
    <sheet name="179T-NR" sheetId="35" r:id="rId22"/>
    <sheet name="201K-NR" sheetId="17" r:id="rId23"/>
    <sheet name="220L-NR" sheetId="50" r:id="rId24"/>
    <sheet name="259Q-NR" sheetId="38" r:id="rId25"/>
    <sheet name="347K-NR" sheetId="32" r:id="rId26"/>
    <sheet name="388G-NR" sheetId="84" r:id="rId27"/>
    <sheet name="1M-IS" sheetId="3" r:id="rId28"/>
    <sheet name="1M-OS" sheetId="4" r:id="rId29"/>
    <sheet name="40M-NR" sheetId="11" r:id="rId30"/>
    <sheet name="420G-NR" sheetId="14" r:id="rId31"/>
    <sheet name="567C-NR" sheetId="47" r:id="rId32"/>
    <sheet name="6OC-NR" sheetId="41" r:id="rId33"/>
    <sheet name="60MP-NR" sheetId="23" r:id="rId34"/>
    <sheet name="135K-IS" sheetId="6" r:id="rId35"/>
    <sheet name="135K-OS" sheetId="7" r:id="rId36"/>
    <sheet name="126P-IS" sheetId="9" state="hidden" r:id="rId37"/>
    <sheet name="126P-OS" sheetId="10" state="hidden" r:id="rId38"/>
    <sheet name="40M-IS" sheetId="12" state="hidden" r:id="rId39"/>
    <sheet name="40M-OS" sheetId="13" state="hidden" r:id="rId40"/>
    <sheet name="420G-IS" sheetId="15" state="hidden" r:id="rId41"/>
    <sheet name="420G-OS" sheetId="16" state="hidden" r:id="rId42"/>
    <sheet name="201K-IS" sheetId="18" state="hidden" r:id="rId43"/>
    <sheet name="201K-OS" sheetId="19" state="hidden" r:id="rId44"/>
    <sheet name="20B-IS" sheetId="21" state="hidden" r:id="rId45"/>
    <sheet name="20B-OS" sheetId="22" state="hidden" r:id="rId46"/>
    <sheet name="347K-IS" sheetId="33" state="hidden" r:id="rId47"/>
    <sheet name="347K-OS" sheetId="34" state="hidden" r:id="rId48"/>
    <sheet name="117C-IS" sheetId="57" state="hidden" r:id="rId49"/>
    <sheet name="117C-OS" sheetId="58" state="hidden" r:id="rId50"/>
    <sheet name="60MP-IS" sheetId="24" state="hidden" r:id="rId51"/>
    <sheet name="60MP-OS" sheetId="25" state="hidden" r:id="rId52"/>
    <sheet name="130P-IS" sheetId="27" state="hidden" r:id="rId53"/>
    <sheet name="130P-OS" sheetId="28" state="hidden" r:id="rId54"/>
    <sheet name="151C-IS" sheetId="30" state="hidden" r:id="rId55"/>
    <sheet name="151C-OS" sheetId="31" state="hidden" r:id="rId56"/>
    <sheet name="6O'C-IS" sheetId="42" state="hidden" r:id="rId57"/>
    <sheet name="6O'C-OS" sheetId="43" state="hidden" r:id="rId58"/>
    <sheet name="179T-IS" sheetId="36" state="hidden" r:id="rId59"/>
    <sheet name="179T-OS" sheetId="37" state="hidden" r:id="rId60"/>
    <sheet name="259Q-IS" sheetId="39" state="hidden" r:id="rId61"/>
    <sheet name="259Q-OS" sheetId="40" state="hidden" r:id="rId62"/>
    <sheet name="120C-IS" sheetId="45" state="hidden" r:id="rId63"/>
    <sheet name="120C-OS" sheetId="46" state="hidden" r:id="rId64"/>
    <sheet name="567C-IS" sheetId="48" state="hidden" r:id="rId65"/>
    <sheet name="567C-OS" sheetId="49" state="hidden" r:id="rId66"/>
    <sheet name="575B-IS" sheetId="51" state="hidden" r:id="rId67"/>
    <sheet name="575B-OS" sheetId="52" state="hidden" r:id="rId68"/>
    <sheet name="QV1-NR" sheetId="64" r:id="rId69"/>
    <sheet name="850C-NR" sheetId="53" r:id="rId70"/>
    <sheet name="850C-IS" sheetId="54" state="hidden" r:id="rId71"/>
    <sheet name="850C-OS" sheetId="55" state="hidden" r:id="rId72"/>
    <sheet name="850C-NR_PC" sheetId="76" r:id="rId73"/>
    <sheet name="20B-NR" sheetId="20" r:id="rId74"/>
    <sheet name="105M-NR" sheetId="61" r:id="rId75"/>
    <sheet name="105M-IS" sheetId="62" state="hidden" r:id="rId76"/>
    <sheet name="105M-OS" sheetId="63" state="hidden" r:id="rId77"/>
    <sheet name="QV1-IS" sheetId="65" state="hidden" r:id="rId78"/>
    <sheet name="QV1-OS" sheetId="66" state="hidden" r:id="rId79"/>
    <sheet name="388G-IS" sheetId="68" state="hidden" r:id="rId80"/>
    <sheet name="388G-OS" sheetId="69" state="hidden" r:id="rId81"/>
  </sheets>
  <externalReferences>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s>
  <definedNames>
    <definedName name="___ret1">#REF!</definedName>
    <definedName name="___Ret2">'[1]Full Year Reforecast Analysis'!$BV$66:$EI$84</definedName>
    <definedName name="___ret3">#REF!</definedName>
    <definedName name="___ret4">'[2]10. OPEX Summary'!$J$2:$AJ$42</definedName>
    <definedName name="__ala2">#REF!</definedName>
    <definedName name="__ret1">#REF!</definedName>
    <definedName name="__Ret2">'[3]Full Year Reforecast Analysis'!$BV$66:$EI$84</definedName>
    <definedName name="__ret3">#REF!</definedName>
    <definedName name="__ret4">'[2]10. OPEX Summary'!$J$2:$AJ$42</definedName>
    <definedName name="_1_Market_StreetNet_Operating_Income">#REF!</definedName>
    <definedName name="_ala2">#REF!</definedName>
    <definedName name="_xlnm._FilterDatabase" localSheetId="75" hidden="1">'105M-IS'!$F$61:$F$66</definedName>
    <definedName name="_xlnm._FilterDatabase" localSheetId="48" hidden="1">'117C-IS'!$F$61:$F$66</definedName>
    <definedName name="_xlnm._FilterDatabase" localSheetId="62" hidden="1">'120C-IS'!$F$61:$F$66</definedName>
    <definedName name="_xlnm._FilterDatabase" localSheetId="36" hidden="1">'126P-IS'!$F$61:$F$66</definedName>
    <definedName name="_xlnm._FilterDatabase" localSheetId="52" hidden="1">'130P-IS'!$F$61:$F$66</definedName>
    <definedName name="_xlnm._FilterDatabase" localSheetId="34" hidden="1">'135K-IS'!$F$61:$F$66</definedName>
    <definedName name="_xlnm._FilterDatabase" localSheetId="54" hidden="1">'151C-IS'!$F$61:$F$66</definedName>
    <definedName name="_xlnm._FilterDatabase" localSheetId="58" hidden="1">'179T-IS'!$F$61:$F$66</definedName>
    <definedName name="_xlnm._FilterDatabase" localSheetId="27" hidden="1">'1M-IS'!$F$61:$F$66</definedName>
    <definedName name="_xlnm._FilterDatabase" localSheetId="42" hidden="1">'201K-IS'!$F$61:$F$66</definedName>
    <definedName name="_xlnm._FilterDatabase" localSheetId="44" hidden="1">'20B-IS'!$F$61:$F$66</definedName>
    <definedName name="_xlnm._FilterDatabase" localSheetId="60" hidden="1">'259Q-IS'!$F$61:$F$66</definedName>
    <definedName name="_xlnm._FilterDatabase" localSheetId="46" hidden="1">'347K-IS'!$F$61:$F$66</definedName>
    <definedName name="_xlnm._FilterDatabase" localSheetId="79" hidden="1">'388G-IS'!$F$61:$F$66</definedName>
    <definedName name="_xlnm._FilterDatabase" localSheetId="38" hidden="1">'40M-IS'!$F$61:$F$66</definedName>
    <definedName name="_xlnm._FilterDatabase" localSheetId="40" hidden="1">'420G-IS'!$F$61:$F$66</definedName>
    <definedName name="_xlnm._FilterDatabase" localSheetId="64" hidden="1">'567C-IS'!$F$61:$F$66</definedName>
    <definedName name="_xlnm._FilterDatabase" localSheetId="66" hidden="1">'575B-IS'!$F$61:$F$66</definedName>
    <definedName name="_xlnm._FilterDatabase" localSheetId="50" hidden="1">'60MP-IS'!$F$61:$F$66</definedName>
    <definedName name="_xlnm._FilterDatabase" localSheetId="56" hidden="1">'6O''C-IS'!$F$61:$F$66</definedName>
    <definedName name="_xlnm._FilterDatabase" localSheetId="70" hidden="1">'850C-IS'!$F$61:$F$66</definedName>
    <definedName name="_xlnm._FilterDatabase" localSheetId="4" hidden="1">'Asset Attributes'!$E$2:$G$31</definedName>
    <definedName name="_xlnm._FilterDatabase" localSheetId="7" hidden="1">'Costs Summary'!$A$3:$F$28</definedName>
    <definedName name="_xlnm._FilterDatabase" localSheetId="6" hidden="1">'Footprint Summary'!$D$32:$F$56</definedName>
    <definedName name="_xlnm._FilterDatabase" localSheetId="1" hidden="1">ICPF!$E$2:$G$23</definedName>
    <definedName name="_xlnm._FilterDatabase" localSheetId="2" hidden="1">IGO!$E$2:$G$10</definedName>
    <definedName name="_xlnm._FilterDatabase" localSheetId="5" hidden="1">'Intensity Summary'!$D$3:$F$27</definedName>
    <definedName name="_xlnm._FilterDatabase" localSheetId="3" hidden="1">Investa_Property_Dec2022!$A$1:$P$1</definedName>
    <definedName name="_xlnm._FilterDatabase" localSheetId="77" hidden="1">'QV1-IS'!$F$61:$F$66</definedName>
    <definedName name="_Order1" hidden="1">255</definedName>
    <definedName name="_QV1">#REF!</definedName>
    <definedName name="_ret1">#REF!</definedName>
    <definedName name="_Ret2">'[3]Full Year Reforecast Analysis'!$BV$66:$EI$84</definedName>
    <definedName name="_ret3">#REF!</definedName>
    <definedName name="_ret4">'[2]10. OPEX Summary'!$J$2:$AJ$42</definedName>
    <definedName name="_WPT2">[4]IPT!$A$1:$O$147</definedName>
    <definedName name="_WPT3">[4]IPT!$A$271:$O$322</definedName>
    <definedName name="Acknowledgments">[5]Welcome!#REF!</definedName>
    <definedName name="ALA">#REF!</definedName>
    <definedName name="Amortisation">'[6]P&amp;L by Entity'!$B$7</definedName>
    <definedName name="Ann_410">#REF!</definedName>
    <definedName name="AON_Tower">#REF!</definedName>
    <definedName name="bigdata">[7]Filtered!$B$2:$FO$1569</definedName>
    <definedName name="BrisCBD">#REF!</definedName>
    <definedName name="BrisNC">#REF!</definedName>
    <definedName name="BT_Tower">#REF!</definedName>
    <definedName name="CanCiv">#REF!</definedName>
    <definedName name="CanNonCiv">#REF!</definedName>
    <definedName name="caps">#REF!</definedName>
    <definedName name="captrend">#REF!</definedName>
    <definedName name="captrendmonth">#REF!</definedName>
    <definedName name="Carspaces">[8]Summary!$H$12</definedName>
    <definedName name="CATHEDRAL">'[4]Cathedral-10007'!$A$11:$Q$140</definedName>
    <definedName name="CATHEDRAL2">'[4]Cathedral-10007'!$T$11:$Z$166</definedName>
    <definedName name="CATHEDRAL3">'[4]Cathedral-10007'!$AB$1:$AL$161</definedName>
    <definedName name="Centennial">#REF!</definedName>
    <definedName name="Code">#REF!</definedName>
    <definedName name="Collins_120">#REF!</definedName>
    <definedName name="Collins_589">#REF!</definedName>
    <definedName name="Cougar_Cashflow">'[9]B3.Cougar Cashflow'!$A$2:$FA$295</definedName>
    <definedName name="Customs_House">#REF!</definedName>
    <definedName name="date">#REF!</definedName>
    <definedName name="Definitions">[5]Welcome!#REF!</definedName>
    <definedName name="DS">[10]Summary!$H$11</definedName>
    <definedName name="e">'[6]P&amp;L by Entity'!$B$7</definedName>
    <definedName name="Elizabeth_231">#REF!</definedName>
    <definedName name="Elizabeth_255">#REF!</definedName>
    <definedName name="EssfHasNonUnique">FALSE</definedName>
    <definedName name="Exhibition_242">#REF!</definedName>
    <definedName name="Expiry">#REF!</definedName>
    <definedName name="FAQs">[5]Welcome!#REF!</definedName>
    <definedName name="Fee">#REF!</definedName>
    <definedName name="Fitout1">#REF!</definedName>
    <definedName name="Fitout2">#REF!</definedName>
    <definedName name="Fitout3">#REF!</definedName>
    <definedName name="forecast">#REF!</definedName>
    <definedName name="George_400">#REF!</definedName>
    <definedName name="GRENFELL">#REF!</definedName>
    <definedName name="GRENFELL2">#REF!</definedName>
    <definedName name="GRENFELL3">#REF!</definedName>
    <definedName name="Grosvenor">#REF!</definedName>
    <definedName name="Group_Code">'[6]P&amp;L by Entity'!$B$7</definedName>
    <definedName name="IAMPL">#REF!</definedName>
    <definedName name="Income">[11]Budget!$A$2:$X$337</definedName>
    <definedName name="int_fcst">#REF!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INDUSTRY_REC" hidden="1">"c4455"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FLOW_ACT_OR_EST" hidden="1">"c4154"</definedName>
    <definedName name="IQ_CASH_INTEREST" hidden="1">"c120"</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OSITS_INTEREST_SECURITIES" hidden="1">"c5509"</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GW_ACT_OR_EST" hidden="1">"c4306"</definedName>
    <definedName name="IQ_EBIT_INT" hidden="1">"c360"</definedName>
    <definedName name="IQ_EBIT_MARGIN" hidden="1">"c359"</definedName>
    <definedName name="IQ_EBIT_OVER_IE" hidden="1">"c1369"</definedName>
    <definedName name="IQ_EBIT_SBC_ACT_OR_EST" hidden="1">"c4316"</definedName>
    <definedName name="IQ_EBIT_SBC_GW_ACT_OR_EST" hidden="1">"c4320"</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SBC_ACT_OR_EST" hidden="1">"c4350"</definedName>
    <definedName name="IQ_EBT_SBC_GW_ACT_OR_EST" hidden="1">"c4354"</definedName>
    <definedName name="IQ_EBT_UTI" hidden="1">"c390"</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EST_REUT" hidden="1">"c5453"</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UM_EST" hidden="1">"c402"</definedName>
    <definedName name="IQ_EPS_NUM_EST_REUT" hidden="1">"c5451"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CURRENCY" hidden="1">"c2140"</definedName>
    <definedName name="IQ_EST_CURRENCY_REUT" hidden="1">"c5437"</definedName>
    <definedName name="IQ_EST_DATE" hidden="1">"c1634"</definedName>
    <definedName name="IQ_EST_DATE_REUT" hidden="1">"c5438"</definedName>
    <definedName name="IQ_EST_EPS_GROWTH_1YR" hidden="1">"c1636"</definedName>
    <definedName name="IQ_EST_EPS_GROWTH_1YR_REUT" hidden="1">"c3646"</definedName>
    <definedName name="IQ_EST_EPS_GROWTH_5YR" hidden="1">"c1655"</definedName>
    <definedName name="IQ_EST_EPS_GROWTH_5YR_REUT" hidden="1">"c3633"</definedName>
    <definedName name="IQ_EST_EPS_GROWTH_Q_1YR" hidden="1">"c1641"</definedName>
    <definedName name="IQ_EST_EPS_GROWTH_Q_1YR_REUT" hidden="1">"c5410"</definedName>
    <definedName name="IQ_EST_VENDOR" hidden="1">"c5564"</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ADJ_ACT_OR_EST" hidden="1">"c4435"</definedName>
    <definedName name="IQ_FFO_PAYOUT_RATIO" hidden="1">"c3492"</definedName>
    <definedName name="IQ_FFO_SHARE_ACT_OR_EST" hidden="1">"c4446"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_TARGET_PRICE_REUT" hidden="1">"c5317"</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NVEST_SECURITY_SUPPL" hidden="1">"c5511"</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BC_ACT_OR_EST" hidden="1">"c4474"</definedName>
    <definedName name="IQ_NI_SBC_GW_ACT_OR_EST" hidden="1">"c4478"</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CURRING_PROFIT_ACT_OR_EST" hidden="1">"c4507"</definedName>
    <definedName name="IQ_RECURRING_PROFIT_SHARE_ACT_OR_EST" hidden="1">"c4508"</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ENUE" hidden="1">"c1422"</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39633.415474537</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Kindersley">#REF!</definedName>
    <definedName name="Kings_Row">#REF!</definedName>
    <definedName name="Kingsway_209">#REF!</definedName>
    <definedName name="kkk">#REF!</definedName>
    <definedName name="La_Trobe_469">#REF!</definedName>
    <definedName name="La_Trobe_485">#REF!</definedName>
    <definedName name="LATROBE">'[4]469 Latrobe-10009'!$A$11:$R$117</definedName>
    <definedName name="LATROBE3">'[4]469 Latrobe-10009'!$AC$11:$AM$143</definedName>
    <definedName name="Leasefee">#REF!</definedName>
    <definedName name="Leasefeepaid">#REF!</definedName>
    <definedName name="LIZABETH">#REF!</definedName>
    <definedName name="LIZABETH3">#REF!</definedName>
    <definedName name="LONSDALE2">#REF!</definedName>
    <definedName name="lostgrossrent">#REF!</definedName>
    <definedName name="Market_55">#REF!</definedName>
    <definedName name="MarketDefinitions">#REF!</definedName>
    <definedName name="Martin_Pl_60">#REF!</definedName>
    <definedName name="mel_supply">[12]Mel_Supply!$D$156</definedName>
    <definedName name="MelbCBD">#REF!</definedName>
    <definedName name="Methodology">[5]Welcome!#REF!</definedName>
    <definedName name="metrics">#REF!</definedName>
    <definedName name="MILLER">#REF!</definedName>
    <definedName name="Miller_73">#REF!</definedName>
    <definedName name="MILLER3">#REF!</definedName>
    <definedName name="model">#REF!</definedName>
    <definedName name="NewName">[13]Budget!$A$2:$X$382</definedName>
    <definedName name="NLA">[8]Summary!$H$11</definedName>
    <definedName name="Northbourne_62">#REF!</definedName>
    <definedName name="Northbourne_64">#REF!</definedName>
    <definedName name="Northbourne_73">#REF!</definedName>
    <definedName name="NORTHBOURNE62">'[4]62Northbourne-10003'!$A$11:$Q$113</definedName>
    <definedName name="NORTHBOURNE622">'[4]62Northbourne-10003'!$S$11:$Y$141</definedName>
    <definedName name="NORTHBOURNE623">'[4]62Northbourne-10003'!$Z$1:$AJ$138</definedName>
    <definedName name="NORTHBOURNE64">'[4]64Northbourne-10017'!$A$12:$Q$125</definedName>
    <definedName name="NORTHBOURNE643">'[4]64Northbourne-10017'!$AB$12:$AL$162</definedName>
    <definedName name="NORTHBOURNE73">'[4]73Northbourne-10011'!$A$10:$P$99</definedName>
    <definedName name="NORTHBOURNE732">'[4]73Northbourne-10011'!$S$10:$Y$127</definedName>
    <definedName name="NORTHBOURNE733">'[4]73Northbourne-10011'!$AA$1:$AK$121</definedName>
    <definedName name="OCTAGON">#REF!</definedName>
    <definedName name="OCTAGON2">#REF!</definedName>
    <definedName name="OCTAGON3">#REF!</definedName>
    <definedName name="Office">'[14]IPT FY09 Actuals $'!#REF!</definedName>
    <definedName name="OfficeGuide">#REF!</definedName>
    <definedName name="OGS.CAPEX">[13]Budget!$A$383:$X$602</definedName>
    <definedName name="Outgoings">'[15]Budget 2002-2003'!$A$609:$X$826</definedName>
    <definedName name="Outgoings_Capexpenditure">[11]Budget!$A$338:$X$557</definedName>
    <definedName name="Pacific_80">#REF!</definedName>
    <definedName name="PCA_Database">'[9]C2.PCA Database'!$A:$G</definedName>
    <definedName name="Penrhyn">#REF!</definedName>
    <definedName name="PerthCBD">#REF!</definedName>
    <definedName name="Pitt_310">#REF!</definedName>
    <definedName name="_xlnm.Print_Area" localSheetId="74">'105M-NR'!$A$1:$U$140</definedName>
    <definedName name="_xlnm.Print_Area" localSheetId="76">'105M-OS'!$A$1:$M$50</definedName>
    <definedName name="_xlnm.Print_Area" localSheetId="15">'117C-NR'!$A$1:$U$140</definedName>
    <definedName name="_xlnm.Print_Area" localSheetId="49">'117C-OS'!$A$1:$M$50</definedName>
    <definedName name="_xlnm.Print_Area" localSheetId="16">'120C-NR'!$A$1:$U$140</definedName>
    <definedName name="_xlnm.Print_Area" localSheetId="63">'120C-OS'!$A$1:$M$50</definedName>
    <definedName name="_xlnm.Print_Area" localSheetId="17">'126P-NR'!$A$1:$U$140</definedName>
    <definedName name="_xlnm.Print_Area" localSheetId="37">'126P-OS'!$A$1:$M$50</definedName>
    <definedName name="_xlnm.Print_Area" localSheetId="18">'130P-NR'!$A$1:$U$140</definedName>
    <definedName name="_xlnm.Print_Area" localSheetId="53">'130P-OS'!$A$1:$M$50</definedName>
    <definedName name="_xlnm.Print_Area" localSheetId="19">'135K-NR'!$A$1:$U$141</definedName>
    <definedName name="_xlnm.Print_Area" localSheetId="35">'135K-OS'!$A$1:$M$50</definedName>
    <definedName name="_xlnm.Print_Area" localSheetId="20">'151C-NR'!$A$1:$U$140</definedName>
    <definedName name="_xlnm.Print_Area" localSheetId="55">'151C-OS'!$A$1:$M$50</definedName>
    <definedName name="_xlnm.Print_Area" localSheetId="21">'179T-NR'!$A$1:$U$140</definedName>
    <definedName name="_xlnm.Print_Area" localSheetId="59">'179T-OS'!$A$1:$M$50</definedName>
    <definedName name="_xlnm.Print_Area" localSheetId="11">'1M-DUMMY'!$A$1:$Z$117</definedName>
    <definedName name="_xlnm.Print_Area" localSheetId="14">'1M-NR'!$A$1:$AB$73</definedName>
    <definedName name="_xlnm.Print_Area" localSheetId="28">'1M-OS'!$A$1:$M$50</definedName>
    <definedName name="_xlnm.Print_Area" localSheetId="22">'201K-NR'!$A$1:$U$140</definedName>
    <definedName name="_xlnm.Print_Area" localSheetId="43">'201K-OS'!$A$1:$M$50</definedName>
    <definedName name="_xlnm.Print_Area" localSheetId="73">'20B-NR'!$A$1:$U$140</definedName>
    <definedName name="_xlnm.Print_Area" localSheetId="45">'20B-OS'!$A$1:$M$50</definedName>
    <definedName name="_xlnm.Print_Area" localSheetId="23">'220L-NR'!$A$1:$U$140</definedName>
    <definedName name="_xlnm.Print_Area" localSheetId="24">'259Q-NR'!$A$1:$U$140</definedName>
    <definedName name="_xlnm.Print_Area" localSheetId="61">'259Q-OS'!$A$1:$M$50</definedName>
    <definedName name="_xlnm.Print_Area" localSheetId="25">'347K-NR'!$A$1:$U$140</definedName>
    <definedName name="_xlnm.Print_Area" localSheetId="47">'347K-OS'!$A$1:$M$50</definedName>
    <definedName name="_xlnm.Print_Area" localSheetId="26">'388G-NR'!$A$1:$U$140</definedName>
    <definedName name="_xlnm.Print_Area" localSheetId="80">'388G-OS'!$A$1:$M$50</definedName>
    <definedName name="_xlnm.Print_Area" localSheetId="29">'40M-NR'!$A$1:$U$140</definedName>
    <definedName name="_xlnm.Print_Area" localSheetId="39">'40M-OS'!$A$1:$M$50</definedName>
    <definedName name="_xlnm.Print_Area" localSheetId="30">'420G-NR'!$A$1:$U$140</definedName>
    <definedName name="_xlnm.Print_Area" localSheetId="41">'420G-OS'!$A$1:$M$50</definedName>
    <definedName name="_xlnm.Print_Area" localSheetId="31">'567C-NR'!$A$1:$U$140</definedName>
    <definedName name="_xlnm.Print_Area" localSheetId="65">'567C-OS'!$A$1:$M$50</definedName>
    <definedName name="_xlnm.Print_Area" localSheetId="67">'575B-OS'!$A$1:$M$50</definedName>
    <definedName name="_xlnm.Print_Area" localSheetId="33">'60MP-NR'!$A$1:$U$140</definedName>
    <definedName name="_xlnm.Print_Area" localSheetId="51">'60MP-OS'!$A$1:$M$50</definedName>
    <definedName name="_xlnm.Print_Area" localSheetId="32">'6OC-NR'!$A$1:$U$140</definedName>
    <definedName name="_xlnm.Print_Area" localSheetId="57">'6O''C-OS'!$A$1:$M$50</definedName>
    <definedName name="_xlnm.Print_Area" localSheetId="69">'850C-NR'!$A$1:$U$140</definedName>
    <definedName name="_xlnm.Print_Area" localSheetId="72">'850C-NR_PC'!$A$1:$U$140</definedName>
    <definedName name="_xlnm.Print_Area" localSheetId="71">'850C-OS'!$A$1:$M$50</definedName>
    <definedName name="_xlnm.Print_Area" localSheetId="68">'QV1-NR'!$A$1:$U$140</definedName>
    <definedName name="_xlnm.Print_Area" localSheetId="78">'QV1-OS'!$A$1:$M$50</definedName>
    <definedName name="Print_Titles_MI">#REF!</definedName>
    <definedName name="Property_Name">[8]Summary!$A$1</definedName>
    <definedName name="PropertyDescription">'[9]C1.Control Sheet'!$A$175:$I$219</definedName>
    <definedName name="QGradeMatrix">#REF!</definedName>
    <definedName name="range_area">OFFSET(#REF!,0,0,#REF!,1)</definedName>
    <definedName name="range_income">OFFSET(#REF!,0,0,#REF!,1)</definedName>
    <definedName name="range_portfolio">OFFSET(#REF!,0,0,#REF!,1)</definedName>
    <definedName name="range_property">OFFSET(#REF!,0,0,#REF!,1)</definedName>
    <definedName name="range_wale_area">OFFSET(#REF!,0,0,#REF!,1)</definedName>
    <definedName name="range_wale_income">OFFSET(#REF!,0,0,#REF!,1)</definedName>
    <definedName name="Rentabatement">#REF!</definedName>
    <definedName name="Rentfree">#REF!</definedName>
    <definedName name="Ret_Opex">'[16]14. OPEX Summary'!$J$1:$AW$40</definedName>
    <definedName name="Retail">#REF!</definedName>
    <definedName name="RetailGuide">#REF!</definedName>
    <definedName name="s" hidden="1">{#N/A,#N/A,FALSE,"CBD Grade Take-up";#N/A,#N/A,FALSE,"Perth CBD"}</definedName>
    <definedName name="sdrtsg">'[3]Full Year Reforecast Analysis'!$BV$8:$IV$61</definedName>
    <definedName name="St_Georges_109">#REF!</definedName>
    <definedName name="St_Kilda_420">#REF!</definedName>
    <definedName name="St_Kilda_441">#REF!</definedName>
    <definedName name="St_Martins">#REF!</definedName>
    <definedName name="STACK" hidden="1">{#N/A,#N/A,FALSE,"CBD Grade Take-up";#N/A,#N/A,FALSE,"Perth CBD"}</definedName>
    <definedName name="Start">#REF!</definedName>
    <definedName name="State_Law">#REF!</definedName>
    <definedName name="STKILDA">#REF!</definedName>
    <definedName name="STKILDA3">#REF!</definedName>
    <definedName name="Suite">#REF!</definedName>
    <definedName name="Summ2">[13]Summary!$A$1:$N$63</definedName>
    <definedName name="SummaryPage">[11]Summary!$A$1:$N$63</definedName>
    <definedName name="SydCBD">#REF!</definedName>
    <definedName name="SydMetro">#REF!</definedName>
    <definedName name="table">[17]Table!$A$4:$E$323</definedName>
    <definedName name="table1">[18]Table!$A$4:$E$300</definedName>
    <definedName name="Talavera_50_60">#REF!</definedName>
    <definedName name="Tenant">#REF!</definedName>
    <definedName name="Term">#REF!</definedName>
    <definedName name="The_Octagon">#REF!</definedName>
    <definedName name="ValLookUp">#REF!</definedName>
    <definedName name="vals">#REF!</definedName>
    <definedName name="Valuation">#REF!</definedName>
    <definedName name="VLOOKUPCODE">[14]Database!$A$1:$G$465</definedName>
    <definedName name="weighted_area">#REF!</definedName>
    <definedName name="weighted_passing_income">#REF!</definedName>
    <definedName name="Welcome">#REF!</definedName>
    <definedName name="WESTPAC_PROPERTY_TRUST">#REF!</definedName>
    <definedName name="Wgoto">#REF!</definedName>
    <definedName name="WP">#REF!</definedName>
    <definedName name="WPT">[4]IPT!$A$10:$R$147</definedName>
    <definedName name="WPTANALYSIS">[4]IPT!$P$1:$U$270</definedName>
    <definedName name="wptnewmonthly">[4]IPT!$A$1:$O$147</definedName>
    <definedName name="wrn.CBD._.Projections." hidden="1">{#N/A,#N/A,FALSE,"CBD Grade Take-up";#N/A,#N/A,FALSE,"Perth CBD"}</definedName>
    <definedName name="XXX">[19]Budget!$A$338:$X$557</definedName>
    <definedName name="Z_062A0B06_2FC7_4D52_A567_8E63224249CC_.wvu.PrintArea" localSheetId="74" hidden="1">'105M-NR'!$A$56:$V$139</definedName>
    <definedName name="Z_062A0B06_2FC7_4D52_A567_8E63224249CC_.wvu.PrintArea" localSheetId="15" hidden="1">'117C-NR'!$A$56:$V$139</definedName>
    <definedName name="Z_062A0B06_2FC7_4D52_A567_8E63224249CC_.wvu.PrintArea" localSheetId="16" hidden="1">'120C-NR'!$A$56:$V$139</definedName>
    <definedName name="Z_062A0B06_2FC7_4D52_A567_8E63224249CC_.wvu.PrintArea" localSheetId="17" hidden="1">'126P-NR'!$A$56:$V$139</definedName>
    <definedName name="Z_062A0B06_2FC7_4D52_A567_8E63224249CC_.wvu.PrintArea" localSheetId="18" hidden="1">'130P-NR'!$A$56:$V$139</definedName>
    <definedName name="Z_062A0B06_2FC7_4D52_A567_8E63224249CC_.wvu.PrintArea" localSheetId="19" hidden="1">'135K-NR'!$A$56:$V$140</definedName>
    <definedName name="Z_062A0B06_2FC7_4D52_A567_8E63224249CC_.wvu.PrintArea" localSheetId="20" hidden="1">'151C-NR'!$A$56:$V$139</definedName>
    <definedName name="Z_062A0B06_2FC7_4D52_A567_8E63224249CC_.wvu.PrintArea" localSheetId="21" hidden="1">'179T-NR'!$A$56:$V$139</definedName>
    <definedName name="Z_062A0B06_2FC7_4D52_A567_8E63224249CC_.wvu.PrintArea" localSheetId="11" hidden="1">'1M-DUMMY'!$A$56:$V$139</definedName>
    <definedName name="Z_062A0B06_2FC7_4D52_A567_8E63224249CC_.wvu.PrintArea" localSheetId="14" hidden="1">'1M-NR'!$A$56:$V$139</definedName>
    <definedName name="Z_062A0B06_2FC7_4D52_A567_8E63224249CC_.wvu.PrintArea" localSheetId="22" hidden="1">'201K-NR'!$A$56:$V$139</definedName>
    <definedName name="Z_062A0B06_2FC7_4D52_A567_8E63224249CC_.wvu.PrintArea" localSheetId="73" hidden="1">'20B-NR'!$A$56:$V$139</definedName>
    <definedName name="Z_062A0B06_2FC7_4D52_A567_8E63224249CC_.wvu.PrintArea" localSheetId="23" hidden="1">'220L-NR'!$A$56:$V$139</definedName>
    <definedName name="Z_062A0B06_2FC7_4D52_A567_8E63224249CC_.wvu.PrintArea" localSheetId="24" hidden="1">'259Q-NR'!$A$56:$V$139</definedName>
    <definedName name="Z_062A0B06_2FC7_4D52_A567_8E63224249CC_.wvu.PrintArea" localSheetId="25" hidden="1">'347K-NR'!$A$56:$V$139</definedName>
    <definedName name="Z_062A0B06_2FC7_4D52_A567_8E63224249CC_.wvu.PrintArea" localSheetId="26" hidden="1">'388G-NR'!$A$56:$V$139</definedName>
    <definedName name="Z_062A0B06_2FC7_4D52_A567_8E63224249CC_.wvu.PrintArea" localSheetId="29" hidden="1">'40M-NR'!$A$56:$V$139</definedName>
    <definedName name="Z_062A0B06_2FC7_4D52_A567_8E63224249CC_.wvu.PrintArea" localSheetId="30" hidden="1">'420G-NR'!$A$56:$V$139</definedName>
    <definedName name="Z_062A0B06_2FC7_4D52_A567_8E63224249CC_.wvu.PrintArea" localSheetId="31" hidden="1">'567C-NR'!$A$56:$V$139</definedName>
    <definedName name="Z_062A0B06_2FC7_4D52_A567_8E63224249CC_.wvu.PrintArea" localSheetId="33" hidden="1">'60MP-NR'!$A$56:$V$139</definedName>
    <definedName name="Z_062A0B06_2FC7_4D52_A567_8E63224249CC_.wvu.PrintArea" localSheetId="32" hidden="1">'6OC-NR'!$A$56:$V$139</definedName>
    <definedName name="Z_062A0B06_2FC7_4D52_A567_8E63224249CC_.wvu.PrintArea" localSheetId="69" hidden="1">'850C-NR'!$A$56:$V$139</definedName>
    <definedName name="Z_062A0B06_2FC7_4D52_A567_8E63224249CC_.wvu.PrintArea" localSheetId="72" hidden="1">'850C-NR_PC'!$A$56:$V$139</definedName>
    <definedName name="Z_062A0B06_2FC7_4D52_A567_8E63224249CC_.wvu.PrintArea" localSheetId="68" hidden="1">'QV1-NR'!$A$56:$V$139</definedName>
    <definedName name="Z_062A0B06_2FC7_4D52_A567_8E63224249CC_.wvu.Rows" localSheetId="74" hidden="1">'105M-NR'!$89:$114</definedName>
    <definedName name="Z_062A0B06_2FC7_4D52_A567_8E63224249CC_.wvu.Rows" localSheetId="15" hidden="1">'117C-NR'!$89:$114</definedName>
    <definedName name="Z_062A0B06_2FC7_4D52_A567_8E63224249CC_.wvu.Rows" localSheetId="16" hidden="1">'120C-NR'!$89:$114</definedName>
    <definedName name="Z_062A0B06_2FC7_4D52_A567_8E63224249CC_.wvu.Rows" localSheetId="17" hidden="1">'126P-NR'!$89:$114</definedName>
    <definedName name="Z_062A0B06_2FC7_4D52_A567_8E63224249CC_.wvu.Rows" localSheetId="18" hidden="1">'130P-NR'!$89:$114</definedName>
    <definedName name="Z_062A0B06_2FC7_4D52_A567_8E63224249CC_.wvu.Rows" localSheetId="19" hidden="1">'135K-NR'!$90:$115</definedName>
    <definedName name="Z_062A0B06_2FC7_4D52_A567_8E63224249CC_.wvu.Rows" localSheetId="20" hidden="1">'151C-NR'!$89:$114</definedName>
    <definedName name="Z_062A0B06_2FC7_4D52_A567_8E63224249CC_.wvu.Rows" localSheetId="21" hidden="1">'179T-NR'!$89:$114</definedName>
    <definedName name="Z_062A0B06_2FC7_4D52_A567_8E63224249CC_.wvu.Rows" localSheetId="11" hidden="1">'1M-DUMMY'!$89:$114</definedName>
    <definedName name="Z_062A0B06_2FC7_4D52_A567_8E63224249CC_.wvu.Rows" localSheetId="14" hidden="1">'1M-NR'!$89:$114</definedName>
    <definedName name="Z_062A0B06_2FC7_4D52_A567_8E63224249CC_.wvu.Rows" localSheetId="22" hidden="1">'201K-NR'!$89:$114</definedName>
    <definedName name="Z_062A0B06_2FC7_4D52_A567_8E63224249CC_.wvu.Rows" localSheetId="73" hidden="1">'20B-NR'!$89:$114</definedName>
    <definedName name="Z_062A0B06_2FC7_4D52_A567_8E63224249CC_.wvu.Rows" localSheetId="23" hidden="1">'220L-NR'!$89:$114</definedName>
    <definedName name="Z_062A0B06_2FC7_4D52_A567_8E63224249CC_.wvu.Rows" localSheetId="24" hidden="1">'259Q-NR'!$89:$114</definedName>
    <definedName name="Z_062A0B06_2FC7_4D52_A567_8E63224249CC_.wvu.Rows" localSheetId="25" hidden="1">'347K-NR'!$89:$114</definedName>
    <definedName name="Z_062A0B06_2FC7_4D52_A567_8E63224249CC_.wvu.Rows" localSheetId="26" hidden="1">'388G-NR'!$89:$114</definedName>
    <definedName name="Z_062A0B06_2FC7_4D52_A567_8E63224249CC_.wvu.Rows" localSheetId="29" hidden="1">'40M-NR'!$89:$114</definedName>
    <definedName name="Z_062A0B06_2FC7_4D52_A567_8E63224249CC_.wvu.Rows" localSheetId="30" hidden="1">'420G-NR'!$89:$114</definedName>
    <definedName name="Z_062A0B06_2FC7_4D52_A567_8E63224249CC_.wvu.Rows" localSheetId="31" hidden="1">'567C-NR'!$89:$114</definedName>
    <definedName name="Z_062A0B06_2FC7_4D52_A567_8E63224249CC_.wvu.Rows" localSheetId="33" hidden="1">'60MP-NR'!$89:$114</definedName>
    <definedName name="Z_062A0B06_2FC7_4D52_A567_8E63224249CC_.wvu.Rows" localSheetId="32" hidden="1">'6OC-NR'!$89:$114</definedName>
    <definedName name="Z_062A0B06_2FC7_4D52_A567_8E63224249CC_.wvu.Rows" localSheetId="69" hidden="1">'850C-NR'!$89:$114</definedName>
    <definedName name="Z_062A0B06_2FC7_4D52_A567_8E63224249CC_.wvu.Rows" localSheetId="72" hidden="1">'850C-NR_PC'!$89:$114</definedName>
    <definedName name="Z_062A0B06_2FC7_4D52_A567_8E63224249CC_.wvu.Rows" localSheetId="68" hidden="1">'QV1-NR'!$89:$114</definedName>
    <definedName name="Z_09FF4373_86AF_4CF7_881E_83D206E6A5A3_.wvu.FilterData" localSheetId="75" hidden="1">'105M-IS'!$F$61:$F$66</definedName>
    <definedName name="Z_09FF4373_86AF_4CF7_881E_83D206E6A5A3_.wvu.FilterData" localSheetId="48" hidden="1">'117C-IS'!$F$61:$F$66</definedName>
    <definedName name="Z_09FF4373_86AF_4CF7_881E_83D206E6A5A3_.wvu.FilterData" localSheetId="62" hidden="1">'120C-IS'!$F$61:$F$66</definedName>
    <definedName name="Z_09FF4373_86AF_4CF7_881E_83D206E6A5A3_.wvu.FilterData" localSheetId="36" hidden="1">'126P-IS'!$F$61:$F$66</definedName>
    <definedName name="Z_09FF4373_86AF_4CF7_881E_83D206E6A5A3_.wvu.FilterData" localSheetId="52" hidden="1">'130P-IS'!$F$61:$F$66</definedName>
    <definedName name="Z_09FF4373_86AF_4CF7_881E_83D206E6A5A3_.wvu.FilterData" localSheetId="34" hidden="1">'135K-IS'!$F$61:$F$66</definedName>
    <definedName name="Z_09FF4373_86AF_4CF7_881E_83D206E6A5A3_.wvu.FilterData" localSheetId="54" hidden="1">'151C-IS'!$F$61:$F$66</definedName>
    <definedName name="Z_09FF4373_86AF_4CF7_881E_83D206E6A5A3_.wvu.FilterData" localSheetId="58" hidden="1">'179T-IS'!$F$61:$F$66</definedName>
    <definedName name="Z_09FF4373_86AF_4CF7_881E_83D206E6A5A3_.wvu.FilterData" localSheetId="27" hidden="1">'1M-IS'!$F$61:$F$66</definedName>
    <definedName name="Z_09FF4373_86AF_4CF7_881E_83D206E6A5A3_.wvu.FilterData" localSheetId="42" hidden="1">'201K-IS'!$F$61:$F$66</definedName>
    <definedName name="Z_09FF4373_86AF_4CF7_881E_83D206E6A5A3_.wvu.FilterData" localSheetId="44" hidden="1">'20B-IS'!$F$61:$F$66</definedName>
    <definedName name="Z_09FF4373_86AF_4CF7_881E_83D206E6A5A3_.wvu.FilterData" localSheetId="60" hidden="1">'259Q-IS'!$F$61:$F$66</definedName>
    <definedName name="Z_09FF4373_86AF_4CF7_881E_83D206E6A5A3_.wvu.FilterData" localSheetId="46" hidden="1">'347K-IS'!$F$61:$F$66</definedName>
    <definedName name="Z_09FF4373_86AF_4CF7_881E_83D206E6A5A3_.wvu.FilterData" localSheetId="79" hidden="1">'388G-IS'!$F$61:$F$66</definedName>
    <definedName name="Z_09FF4373_86AF_4CF7_881E_83D206E6A5A3_.wvu.FilterData" localSheetId="38" hidden="1">'40M-IS'!$F$61:$F$66</definedName>
    <definedName name="Z_09FF4373_86AF_4CF7_881E_83D206E6A5A3_.wvu.FilterData" localSheetId="40" hidden="1">'420G-IS'!$F$61:$F$66</definedName>
    <definedName name="Z_09FF4373_86AF_4CF7_881E_83D206E6A5A3_.wvu.FilterData" localSheetId="64" hidden="1">'567C-IS'!$F$61:$F$66</definedName>
    <definedName name="Z_09FF4373_86AF_4CF7_881E_83D206E6A5A3_.wvu.FilterData" localSheetId="66" hidden="1">'575B-IS'!$F$61:$F$66</definedName>
    <definedName name="Z_09FF4373_86AF_4CF7_881E_83D206E6A5A3_.wvu.FilterData" localSheetId="50" hidden="1">'60MP-IS'!$F$61:$F$66</definedName>
    <definedName name="Z_09FF4373_86AF_4CF7_881E_83D206E6A5A3_.wvu.FilterData" localSheetId="56" hidden="1">'6O''C-IS'!$F$61:$F$66</definedName>
    <definedName name="Z_09FF4373_86AF_4CF7_881E_83D206E6A5A3_.wvu.FilterData" localSheetId="70" hidden="1">'850C-IS'!$F$61:$F$66</definedName>
    <definedName name="Z_09FF4373_86AF_4CF7_881E_83D206E6A5A3_.wvu.FilterData" localSheetId="77" hidden="1">'QV1-IS'!$F$61:$F$66</definedName>
    <definedName name="Z_09FF4373_86AF_4CF7_881E_83D206E6A5A3_.wvu.PrintArea" localSheetId="74" hidden="1">'105M-NR'!$A$56:$V$139</definedName>
    <definedName name="Z_09FF4373_86AF_4CF7_881E_83D206E6A5A3_.wvu.PrintArea" localSheetId="76" hidden="1">'105M-OS'!$A$1:$M$50</definedName>
    <definedName name="Z_09FF4373_86AF_4CF7_881E_83D206E6A5A3_.wvu.PrintArea" localSheetId="15" hidden="1">'117C-NR'!$A$56:$V$139</definedName>
    <definedName name="Z_09FF4373_86AF_4CF7_881E_83D206E6A5A3_.wvu.PrintArea" localSheetId="49" hidden="1">'117C-OS'!$A$1:$M$50</definedName>
    <definedName name="Z_09FF4373_86AF_4CF7_881E_83D206E6A5A3_.wvu.PrintArea" localSheetId="16" hidden="1">'120C-NR'!$A$56:$V$139</definedName>
    <definedName name="Z_09FF4373_86AF_4CF7_881E_83D206E6A5A3_.wvu.PrintArea" localSheetId="63" hidden="1">'120C-OS'!$A$1:$M$50</definedName>
    <definedName name="Z_09FF4373_86AF_4CF7_881E_83D206E6A5A3_.wvu.PrintArea" localSheetId="17" hidden="1">'126P-NR'!$A$56:$V$139</definedName>
    <definedName name="Z_09FF4373_86AF_4CF7_881E_83D206E6A5A3_.wvu.PrintArea" localSheetId="37" hidden="1">'126P-OS'!$A$1:$M$50</definedName>
    <definedName name="Z_09FF4373_86AF_4CF7_881E_83D206E6A5A3_.wvu.PrintArea" localSheetId="18" hidden="1">'130P-NR'!$A$56:$V$139</definedName>
    <definedName name="Z_09FF4373_86AF_4CF7_881E_83D206E6A5A3_.wvu.PrintArea" localSheetId="53" hidden="1">'130P-OS'!$A$1:$M$50</definedName>
    <definedName name="Z_09FF4373_86AF_4CF7_881E_83D206E6A5A3_.wvu.PrintArea" localSheetId="19" hidden="1">'135K-NR'!$A$56:$V$140</definedName>
    <definedName name="Z_09FF4373_86AF_4CF7_881E_83D206E6A5A3_.wvu.PrintArea" localSheetId="35" hidden="1">'135K-OS'!$A$1:$M$50</definedName>
    <definedName name="Z_09FF4373_86AF_4CF7_881E_83D206E6A5A3_.wvu.PrintArea" localSheetId="20" hidden="1">'151C-NR'!$A$56:$V$139</definedName>
    <definedName name="Z_09FF4373_86AF_4CF7_881E_83D206E6A5A3_.wvu.PrintArea" localSheetId="55" hidden="1">'151C-OS'!$A$1:$M$50</definedName>
    <definedName name="Z_09FF4373_86AF_4CF7_881E_83D206E6A5A3_.wvu.PrintArea" localSheetId="21" hidden="1">'179T-NR'!$A$56:$V$139</definedName>
    <definedName name="Z_09FF4373_86AF_4CF7_881E_83D206E6A5A3_.wvu.PrintArea" localSheetId="59" hidden="1">'179T-OS'!$A$1:$M$50</definedName>
    <definedName name="Z_09FF4373_86AF_4CF7_881E_83D206E6A5A3_.wvu.PrintArea" localSheetId="11" hidden="1">'1M-DUMMY'!$A$56:$V$139</definedName>
    <definedName name="Z_09FF4373_86AF_4CF7_881E_83D206E6A5A3_.wvu.PrintArea" localSheetId="14" hidden="1">'1M-NR'!$A$56:$V$139</definedName>
    <definedName name="Z_09FF4373_86AF_4CF7_881E_83D206E6A5A3_.wvu.PrintArea" localSheetId="28" hidden="1">'1M-OS'!$A$1:$M$50</definedName>
    <definedName name="Z_09FF4373_86AF_4CF7_881E_83D206E6A5A3_.wvu.PrintArea" localSheetId="22" hidden="1">'201K-NR'!$A$56:$V$139</definedName>
    <definedName name="Z_09FF4373_86AF_4CF7_881E_83D206E6A5A3_.wvu.PrintArea" localSheetId="43" hidden="1">'201K-OS'!$A$1:$M$50</definedName>
    <definedName name="Z_09FF4373_86AF_4CF7_881E_83D206E6A5A3_.wvu.PrintArea" localSheetId="73" hidden="1">'20B-NR'!$A$56:$V$139</definedName>
    <definedName name="Z_09FF4373_86AF_4CF7_881E_83D206E6A5A3_.wvu.PrintArea" localSheetId="45" hidden="1">'20B-OS'!$A$1:$M$50</definedName>
    <definedName name="Z_09FF4373_86AF_4CF7_881E_83D206E6A5A3_.wvu.PrintArea" localSheetId="23" hidden="1">'220L-NR'!$A$56:$V$139</definedName>
    <definedName name="Z_09FF4373_86AF_4CF7_881E_83D206E6A5A3_.wvu.PrintArea" localSheetId="24" hidden="1">'259Q-NR'!$A$56:$V$139</definedName>
    <definedName name="Z_09FF4373_86AF_4CF7_881E_83D206E6A5A3_.wvu.PrintArea" localSheetId="61" hidden="1">'259Q-OS'!$A$1:$M$50</definedName>
    <definedName name="Z_09FF4373_86AF_4CF7_881E_83D206E6A5A3_.wvu.PrintArea" localSheetId="25" hidden="1">'347K-NR'!$A$56:$V$139</definedName>
    <definedName name="Z_09FF4373_86AF_4CF7_881E_83D206E6A5A3_.wvu.PrintArea" localSheetId="47" hidden="1">'347K-OS'!$A$1:$M$50</definedName>
    <definedName name="Z_09FF4373_86AF_4CF7_881E_83D206E6A5A3_.wvu.PrintArea" localSheetId="26" hidden="1">'388G-NR'!$A$56:$V$139</definedName>
    <definedName name="Z_09FF4373_86AF_4CF7_881E_83D206E6A5A3_.wvu.PrintArea" localSheetId="80" hidden="1">'388G-OS'!$A$1:$M$50</definedName>
    <definedName name="Z_09FF4373_86AF_4CF7_881E_83D206E6A5A3_.wvu.PrintArea" localSheetId="29" hidden="1">'40M-NR'!$A$56:$V$139</definedName>
    <definedName name="Z_09FF4373_86AF_4CF7_881E_83D206E6A5A3_.wvu.PrintArea" localSheetId="39" hidden="1">'40M-OS'!$A$1:$M$50</definedName>
    <definedName name="Z_09FF4373_86AF_4CF7_881E_83D206E6A5A3_.wvu.PrintArea" localSheetId="30" hidden="1">'420G-NR'!$A$56:$V$139</definedName>
    <definedName name="Z_09FF4373_86AF_4CF7_881E_83D206E6A5A3_.wvu.PrintArea" localSheetId="41" hidden="1">'420G-OS'!$A$1:$M$50</definedName>
    <definedName name="Z_09FF4373_86AF_4CF7_881E_83D206E6A5A3_.wvu.PrintArea" localSheetId="31" hidden="1">'567C-NR'!$A$56:$V$139</definedName>
    <definedName name="Z_09FF4373_86AF_4CF7_881E_83D206E6A5A3_.wvu.PrintArea" localSheetId="65" hidden="1">'567C-OS'!$A$1:$M$50</definedName>
    <definedName name="Z_09FF4373_86AF_4CF7_881E_83D206E6A5A3_.wvu.PrintArea" localSheetId="67" hidden="1">'575B-OS'!$A$1:$M$50</definedName>
    <definedName name="Z_09FF4373_86AF_4CF7_881E_83D206E6A5A3_.wvu.PrintArea" localSheetId="33" hidden="1">'60MP-NR'!$A$56:$V$139</definedName>
    <definedName name="Z_09FF4373_86AF_4CF7_881E_83D206E6A5A3_.wvu.PrintArea" localSheetId="51" hidden="1">'60MP-OS'!$A$1:$M$50</definedName>
    <definedName name="Z_09FF4373_86AF_4CF7_881E_83D206E6A5A3_.wvu.PrintArea" localSheetId="32" hidden="1">'6OC-NR'!$A$56:$V$139</definedName>
    <definedName name="Z_09FF4373_86AF_4CF7_881E_83D206E6A5A3_.wvu.PrintArea" localSheetId="57" hidden="1">'6O''C-OS'!$A$1:$M$50</definedName>
    <definedName name="Z_09FF4373_86AF_4CF7_881E_83D206E6A5A3_.wvu.PrintArea" localSheetId="69" hidden="1">'850C-NR'!$A$56:$V$139</definedName>
    <definedName name="Z_09FF4373_86AF_4CF7_881E_83D206E6A5A3_.wvu.PrintArea" localSheetId="72" hidden="1">'850C-NR_PC'!$A$56:$V$139</definedName>
    <definedName name="Z_09FF4373_86AF_4CF7_881E_83D206E6A5A3_.wvu.PrintArea" localSheetId="71" hidden="1">'850C-OS'!$A$1:$M$50</definedName>
    <definedName name="Z_09FF4373_86AF_4CF7_881E_83D206E6A5A3_.wvu.PrintArea" localSheetId="68" hidden="1">'QV1-NR'!$A$56:$V$139</definedName>
    <definedName name="Z_09FF4373_86AF_4CF7_881E_83D206E6A5A3_.wvu.PrintArea" localSheetId="78" hidden="1">'QV1-OS'!$A$1:$M$50</definedName>
    <definedName name="Z_09FF4373_86AF_4CF7_881E_83D206E6A5A3_.wvu.Rows" localSheetId="74" hidden="1">'105M-NR'!$89:$114</definedName>
    <definedName name="Z_09FF4373_86AF_4CF7_881E_83D206E6A5A3_.wvu.Rows" localSheetId="15" hidden="1">'117C-NR'!$89:$114</definedName>
    <definedName name="Z_09FF4373_86AF_4CF7_881E_83D206E6A5A3_.wvu.Rows" localSheetId="16" hidden="1">'120C-NR'!$89:$114</definedName>
    <definedName name="Z_09FF4373_86AF_4CF7_881E_83D206E6A5A3_.wvu.Rows" localSheetId="17" hidden="1">'126P-NR'!$89:$114</definedName>
    <definedName name="Z_09FF4373_86AF_4CF7_881E_83D206E6A5A3_.wvu.Rows" localSheetId="18" hidden="1">'130P-NR'!$89:$114</definedName>
    <definedName name="Z_09FF4373_86AF_4CF7_881E_83D206E6A5A3_.wvu.Rows" localSheetId="19" hidden="1">'135K-NR'!$90:$115</definedName>
    <definedName name="Z_09FF4373_86AF_4CF7_881E_83D206E6A5A3_.wvu.Rows" localSheetId="20" hidden="1">'151C-NR'!$89:$114</definedName>
    <definedName name="Z_09FF4373_86AF_4CF7_881E_83D206E6A5A3_.wvu.Rows" localSheetId="21" hidden="1">'179T-NR'!$89:$114</definedName>
    <definedName name="Z_09FF4373_86AF_4CF7_881E_83D206E6A5A3_.wvu.Rows" localSheetId="11" hidden="1">'1M-DUMMY'!$89:$114</definedName>
    <definedName name="Z_09FF4373_86AF_4CF7_881E_83D206E6A5A3_.wvu.Rows" localSheetId="14" hidden="1">'1M-NR'!$89:$114</definedName>
    <definedName name="Z_09FF4373_86AF_4CF7_881E_83D206E6A5A3_.wvu.Rows" localSheetId="22" hidden="1">'201K-NR'!$89:$114</definedName>
    <definedName name="Z_09FF4373_86AF_4CF7_881E_83D206E6A5A3_.wvu.Rows" localSheetId="73" hidden="1">'20B-NR'!$89:$114</definedName>
    <definedName name="Z_09FF4373_86AF_4CF7_881E_83D206E6A5A3_.wvu.Rows" localSheetId="23" hidden="1">'220L-NR'!$89:$114</definedName>
    <definedName name="Z_09FF4373_86AF_4CF7_881E_83D206E6A5A3_.wvu.Rows" localSheetId="24" hidden="1">'259Q-NR'!$89:$114</definedName>
    <definedName name="Z_09FF4373_86AF_4CF7_881E_83D206E6A5A3_.wvu.Rows" localSheetId="25" hidden="1">'347K-NR'!$89:$114</definedName>
    <definedName name="Z_09FF4373_86AF_4CF7_881E_83D206E6A5A3_.wvu.Rows" localSheetId="26" hidden="1">'388G-NR'!$89:$114</definedName>
    <definedName name="Z_09FF4373_86AF_4CF7_881E_83D206E6A5A3_.wvu.Rows" localSheetId="29" hidden="1">'40M-NR'!$89:$114</definedName>
    <definedName name="Z_09FF4373_86AF_4CF7_881E_83D206E6A5A3_.wvu.Rows" localSheetId="30" hidden="1">'420G-NR'!$89:$114</definedName>
    <definedName name="Z_09FF4373_86AF_4CF7_881E_83D206E6A5A3_.wvu.Rows" localSheetId="31" hidden="1">'567C-NR'!$89:$114</definedName>
    <definedName name="Z_09FF4373_86AF_4CF7_881E_83D206E6A5A3_.wvu.Rows" localSheetId="33" hidden="1">'60MP-NR'!$89:$114</definedName>
    <definedName name="Z_09FF4373_86AF_4CF7_881E_83D206E6A5A3_.wvu.Rows" localSheetId="32" hidden="1">'6OC-NR'!$89:$114</definedName>
    <definedName name="Z_09FF4373_86AF_4CF7_881E_83D206E6A5A3_.wvu.Rows" localSheetId="69" hidden="1">'850C-NR'!$89:$114</definedName>
    <definedName name="Z_09FF4373_86AF_4CF7_881E_83D206E6A5A3_.wvu.Rows" localSheetId="72" hidden="1">'850C-NR_PC'!$89:$114</definedName>
    <definedName name="Z_09FF4373_86AF_4CF7_881E_83D206E6A5A3_.wvu.Rows" localSheetId="68" hidden="1">'QV1-NR'!$89:$114</definedName>
    <definedName name="Z_0A6D787B_0147_4D95_A75E_529646ACB161_.wvu.FilterData" localSheetId="75" hidden="1">'105M-IS'!$F$61:$F$66</definedName>
    <definedName name="Z_0A6D787B_0147_4D95_A75E_529646ACB161_.wvu.FilterData" localSheetId="48" hidden="1">'117C-IS'!$F$61:$F$66</definedName>
    <definedName name="Z_0A6D787B_0147_4D95_A75E_529646ACB161_.wvu.FilterData" localSheetId="62" hidden="1">'120C-IS'!$F$61:$F$66</definedName>
    <definedName name="Z_0A6D787B_0147_4D95_A75E_529646ACB161_.wvu.FilterData" localSheetId="36" hidden="1">'126P-IS'!$F$61:$F$66</definedName>
    <definedName name="Z_0A6D787B_0147_4D95_A75E_529646ACB161_.wvu.FilterData" localSheetId="52" hidden="1">'130P-IS'!$F$61:$F$66</definedName>
    <definedName name="Z_0A6D787B_0147_4D95_A75E_529646ACB161_.wvu.FilterData" localSheetId="34" hidden="1">'135K-IS'!$F$61:$F$66</definedName>
    <definedName name="Z_0A6D787B_0147_4D95_A75E_529646ACB161_.wvu.FilterData" localSheetId="54" hidden="1">'151C-IS'!$F$61:$F$66</definedName>
    <definedName name="Z_0A6D787B_0147_4D95_A75E_529646ACB161_.wvu.FilterData" localSheetId="58" hidden="1">'179T-IS'!$F$61:$F$66</definedName>
    <definedName name="Z_0A6D787B_0147_4D95_A75E_529646ACB161_.wvu.FilterData" localSheetId="27" hidden="1">'1M-IS'!$F$61:$F$66</definedName>
    <definedName name="Z_0A6D787B_0147_4D95_A75E_529646ACB161_.wvu.FilterData" localSheetId="42" hidden="1">'201K-IS'!$F$61:$F$66</definedName>
    <definedName name="Z_0A6D787B_0147_4D95_A75E_529646ACB161_.wvu.FilterData" localSheetId="44" hidden="1">'20B-IS'!$F$61:$F$66</definedName>
    <definedName name="Z_0A6D787B_0147_4D95_A75E_529646ACB161_.wvu.FilterData" localSheetId="60" hidden="1">'259Q-IS'!$F$61:$F$66</definedName>
    <definedName name="Z_0A6D787B_0147_4D95_A75E_529646ACB161_.wvu.FilterData" localSheetId="46" hidden="1">'347K-IS'!$F$61:$F$66</definedName>
    <definedName name="Z_0A6D787B_0147_4D95_A75E_529646ACB161_.wvu.FilterData" localSheetId="79" hidden="1">'388G-IS'!$F$61:$F$66</definedName>
    <definedName name="Z_0A6D787B_0147_4D95_A75E_529646ACB161_.wvu.FilterData" localSheetId="38" hidden="1">'40M-IS'!$F$61:$F$66</definedName>
    <definedName name="Z_0A6D787B_0147_4D95_A75E_529646ACB161_.wvu.FilterData" localSheetId="40" hidden="1">'420G-IS'!$F$61:$F$66</definedName>
    <definedName name="Z_0A6D787B_0147_4D95_A75E_529646ACB161_.wvu.FilterData" localSheetId="64" hidden="1">'567C-IS'!$F$61:$F$66</definedName>
    <definedName name="Z_0A6D787B_0147_4D95_A75E_529646ACB161_.wvu.FilterData" localSheetId="66" hidden="1">'575B-IS'!$F$61:$F$66</definedName>
    <definedName name="Z_0A6D787B_0147_4D95_A75E_529646ACB161_.wvu.FilterData" localSheetId="50" hidden="1">'60MP-IS'!$F$61:$F$66</definedName>
    <definedName name="Z_0A6D787B_0147_4D95_A75E_529646ACB161_.wvu.FilterData" localSheetId="56" hidden="1">'6O''C-IS'!$F$61:$F$66</definedName>
    <definedName name="Z_0A6D787B_0147_4D95_A75E_529646ACB161_.wvu.FilterData" localSheetId="70" hidden="1">'850C-IS'!$F$61:$F$66</definedName>
    <definedName name="Z_0A6D787B_0147_4D95_A75E_529646ACB161_.wvu.FilterData" localSheetId="77" hidden="1">'QV1-IS'!$F$61:$F$66</definedName>
    <definedName name="Z_0A6D787B_0147_4D95_A75E_529646ACB161_.wvu.PrintArea" localSheetId="74" hidden="1">'105M-NR'!$A$56:$V$139</definedName>
    <definedName name="Z_0A6D787B_0147_4D95_A75E_529646ACB161_.wvu.PrintArea" localSheetId="76" hidden="1">'105M-OS'!$A$1:$M$50</definedName>
    <definedName name="Z_0A6D787B_0147_4D95_A75E_529646ACB161_.wvu.PrintArea" localSheetId="15" hidden="1">'117C-NR'!$A$56:$V$139</definedName>
    <definedName name="Z_0A6D787B_0147_4D95_A75E_529646ACB161_.wvu.PrintArea" localSheetId="49" hidden="1">'117C-OS'!$A$1:$M$50</definedName>
    <definedName name="Z_0A6D787B_0147_4D95_A75E_529646ACB161_.wvu.PrintArea" localSheetId="16" hidden="1">'120C-NR'!$A$56:$V$139</definedName>
    <definedName name="Z_0A6D787B_0147_4D95_A75E_529646ACB161_.wvu.PrintArea" localSheetId="63" hidden="1">'120C-OS'!$A$1:$M$50</definedName>
    <definedName name="Z_0A6D787B_0147_4D95_A75E_529646ACB161_.wvu.PrintArea" localSheetId="17" hidden="1">'126P-NR'!$A$56:$V$139</definedName>
    <definedName name="Z_0A6D787B_0147_4D95_A75E_529646ACB161_.wvu.PrintArea" localSheetId="37" hidden="1">'126P-OS'!$A$1:$M$50</definedName>
    <definedName name="Z_0A6D787B_0147_4D95_A75E_529646ACB161_.wvu.PrintArea" localSheetId="18" hidden="1">'130P-NR'!$A$56:$V$139</definedName>
    <definedName name="Z_0A6D787B_0147_4D95_A75E_529646ACB161_.wvu.PrintArea" localSheetId="53" hidden="1">'130P-OS'!$A$1:$M$50</definedName>
    <definedName name="Z_0A6D787B_0147_4D95_A75E_529646ACB161_.wvu.PrintArea" localSheetId="19" hidden="1">'135K-NR'!$A$56:$V$140</definedName>
    <definedName name="Z_0A6D787B_0147_4D95_A75E_529646ACB161_.wvu.PrintArea" localSheetId="35" hidden="1">'135K-OS'!$A$1:$M$50</definedName>
    <definedName name="Z_0A6D787B_0147_4D95_A75E_529646ACB161_.wvu.PrintArea" localSheetId="20" hidden="1">'151C-NR'!$A$56:$V$139</definedName>
    <definedName name="Z_0A6D787B_0147_4D95_A75E_529646ACB161_.wvu.PrintArea" localSheetId="55" hidden="1">'151C-OS'!$A$1:$M$50</definedName>
    <definedName name="Z_0A6D787B_0147_4D95_A75E_529646ACB161_.wvu.PrintArea" localSheetId="21" hidden="1">'179T-NR'!$A$56:$V$139</definedName>
    <definedName name="Z_0A6D787B_0147_4D95_A75E_529646ACB161_.wvu.PrintArea" localSheetId="59" hidden="1">'179T-OS'!$A$1:$M$50</definedName>
    <definedName name="Z_0A6D787B_0147_4D95_A75E_529646ACB161_.wvu.PrintArea" localSheetId="11" hidden="1">'1M-DUMMY'!$A$56:$V$139</definedName>
    <definedName name="Z_0A6D787B_0147_4D95_A75E_529646ACB161_.wvu.PrintArea" localSheetId="14" hidden="1">'1M-NR'!$A$56:$V$139</definedName>
    <definedName name="Z_0A6D787B_0147_4D95_A75E_529646ACB161_.wvu.PrintArea" localSheetId="28" hidden="1">'1M-OS'!$A$1:$M$50</definedName>
    <definedName name="Z_0A6D787B_0147_4D95_A75E_529646ACB161_.wvu.PrintArea" localSheetId="22" hidden="1">'201K-NR'!$A$56:$V$139</definedName>
    <definedName name="Z_0A6D787B_0147_4D95_A75E_529646ACB161_.wvu.PrintArea" localSheetId="43" hidden="1">'201K-OS'!$A$1:$M$50</definedName>
    <definedName name="Z_0A6D787B_0147_4D95_A75E_529646ACB161_.wvu.PrintArea" localSheetId="73" hidden="1">'20B-NR'!$A$56:$V$139</definedName>
    <definedName name="Z_0A6D787B_0147_4D95_A75E_529646ACB161_.wvu.PrintArea" localSheetId="45" hidden="1">'20B-OS'!$A$1:$M$50</definedName>
    <definedName name="Z_0A6D787B_0147_4D95_A75E_529646ACB161_.wvu.PrintArea" localSheetId="23" hidden="1">'220L-NR'!$A$56:$V$139</definedName>
    <definedName name="Z_0A6D787B_0147_4D95_A75E_529646ACB161_.wvu.PrintArea" localSheetId="24" hidden="1">'259Q-NR'!$A$56:$V$139</definedName>
    <definedName name="Z_0A6D787B_0147_4D95_A75E_529646ACB161_.wvu.PrintArea" localSheetId="61" hidden="1">'259Q-OS'!$A$1:$M$50</definedName>
    <definedName name="Z_0A6D787B_0147_4D95_A75E_529646ACB161_.wvu.PrintArea" localSheetId="25" hidden="1">'347K-NR'!$A$56:$V$139</definedName>
    <definedName name="Z_0A6D787B_0147_4D95_A75E_529646ACB161_.wvu.PrintArea" localSheetId="47" hidden="1">'347K-OS'!$A$1:$M$50</definedName>
    <definedName name="Z_0A6D787B_0147_4D95_A75E_529646ACB161_.wvu.PrintArea" localSheetId="26" hidden="1">'388G-NR'!$A$56:$V$139</definedName>
    <definedName name="Z_0A6D787B_0147_4D95_A75E_529646ACB161_.wvu.PrintArea" localSheetId="80" hidden="1">'388G-OS'!$A$1:$M$50</definedName>
    <definedName name="Z_0A6D787B_0147_4D95_A75E_529646ACB161_.wvu.PrintArea" localSheetId="29" hidden="1">'40M-NR'!$A$56:$V$139</definedName>
    <definedName name="Z_0A6D787B_0147_4D95_A75E_529646ACB161_.wvu.PrintArea" localSheetId="39" hidden="1">'40M-OS'!$A$1:$M$50</definedName>
    <definedName name="Z_0A6D787B_0147_4D95_A75E_529646ACB161_.wvu.PrintArea" localSheetId="30" hidden="1">'420G-NR'!$A$56:$V$139</definedName>
    <definedName name="Z_0A6D787B_0147_4D95_A75E_529646ACB161_.wvu.PrintArea" localSheetId="41" hidden="1">'420G-OS'!$A$1:$M$50</definedName>
    <definedName name="Z_0A6D787B_0147_4D95_A75E_529646ACB161_.wvu.PrintArea" localSheetId="31" hidden="1">'567C-NR'!$A$56:$V$139</definedName>
    <definedName name="Z_0A6D787B_0147_4D95_A75E_529646ACB161_.wvu.PrintArea" localSheetId="65" hidden="1">'567C-OS'!$A$1:$M$50</definedName>
    <definedName name="Z_0A6D787B_0147_4D95_A75E_529646ACB161_.wvu.PrintArea" localSheetId="67" hidden="1">'575B-OS'!$A$1:$M$50</definedName>
    <definedName name="Z_0A6D787B_0147_4D95_A75E_529646ACB161_.wvu.PrintArea" localSheetId="33" hidden="1">'60MP-NR'!$A$56:$V$139</definedName>
    <definedName name="Z_0A6D787B_0147_4D95_A75E_529646ACB161_.wvu.PrintArea" localSheetId="51" hidden="1">'60MP-OS'!$A$1:$M$50</definedName>
    <definedName name="Z_0A6D787B_0147_4D95_A75E_529646ACB161_.wvu.PrintArea" localSheetId="32" hidden="1">'6OC-NR'!$A$56:$V$139</definedName>
    <definedName name="Z_0A6D787B_0147_4D95_A75E_529646ACB161_.wvu.PrintArea" localSheetId="57" hidden="1">'6O''C-OS'!$A$1:$M$50</definedName>
    <definedName name="Z_0A6D787B_0147_4D95_A75E_529646ACB161_.wvu.PrintArea" localSheetId="69" hidden="1">'850C-NR'!$A$56:$V$139</definedName>
    <definedName name="Z_0A6D787B_0147_4D95_A75E_529646ACB161_.wvu.PrintArea" localSheetId="72" hidden="1">'850C-NR_PC'!$A$56:$V$139</definedName>
    <definedName name="Z_0A6D787B_0147_4D95_A75E_529646ACB161_.wvu.PrintArea" localSheetId="71" hidden="1">'850C-OS'!$A$1:$M$50</definedName>
    <definedName name="Z_0A6D787B_0147_4D95_A75E_529646ACB161_.wvu.PrintArea" localSheetId="68" hidden="1">'QV1-NR'!$A$56:$V$139</definedName>
    <definedName name="Z_0A6D787B_0147_4D95_A75E_529646ACB161_.wvu.PrintArea" localSheetId="78" hidden="1">'QV1-OS'!$A$1:$M$50</definedName>
    <definedName name="Z_0A6D787B_0147_4D95_A75E_529646ACB161_.wvu.Rows" localSheetId="74" hidden="1">'105M-NR'!$89:$114</definedName>
    <definedName name="Z_0A6D787B_0147_4D95_A75E_529646ACB161_.wvu.Rows" localSheetId="15" hidden="1">'117C-NR'!$89:$114</definedName>
    <definedName name="Z_0A6D787B_0147_4D95_A75E_529646ACB161_.wvu.Rows" localSheetId="16" hidden="1">'120C-NR'!$89:$114</definedName>
    <definedName name="Z_0A6D787B_0147_4D95_A75E_529646ACB161_.wvu.Rows" localSheetId="17" hidden="1">'126P-NR'!$89:$114</definedName>
    <definedName name="Z_0A6D787B_0147_4D95_A75E_529646ACB161_.wvu.Rows" localSheetId="18" hidden="1">'130P-NR'!$89:$114</definedName>
    <definedName name="Z_0A6D787B_0147_4D95_A75E_529646ACB161_.wvu.Rows" localSheetId="19" hidden="1">'135K-NR'!$90:$115</definedName>
    <definedName name="Z_0A6D787B_0147_4D95_A75E_529646ACB161_.wvu.Rows" localSheetId="20" hidden="1">'151C-NR'!$89:$114</definedName>
    <definedName name="Z_0A6D787B_0147_4D95_A75E_529646ACB161_.wvu.Rows" localSheetId="21" hidden="1">'179T-NR'!$89:$114</definedName>
    <definedName name="Z_0A6D787B_0147_4D95_A75E_529646ACB161_.wvu.Rows" localSheetId="11" hidden="1">'1M-DUMMY'!$89:$114</definedName>
    <definedName name="Z_0A6D787B_0147_4D95_A75E_529646ACB161_.wvu.Rows" localSheetId="14" hidden="1">'1M-NR'!$89:$114</definedName>
    <definedName name="Z_0A6D787B_0147_4D95_A75E_529646ACB161_.wvu.Rows" localSheetId="22" hidden="1">'201K-NR'!$89:$114</definedName>
    <definedName name="Z_0A6D787B_0147_4D95_A75E_529646ACB161_.wvu.Rows" localSheetId="73" hidden="1">'20B-NR'!$89:$114</definedName>
    <definedName name="Z_0A6D787B_0147_4D95_A75E_529646ACB161_.wvu.Rows" localSheetId="23" hidden="1">'220L-NR'!$89:$114</definedName>
    <definedName name="Z_0A6D787B_0147_4D95_A75E_529646ACB161_.wvu.Rows" localSheetId="24" hidden="1">'259Q-NR'!$89:$114</definedName>
    <definedName name="Z_0A6D787B_0147_4D95_A75E_529646ACB161_.wvu.Rows" localSheetId="25" hidden="1">'347K-NR'!$89:$114</definedName>
    <definedName name="Z_0A6D787B_0147_4D95_A75E_529646ACB161_.wvu.Rows" localSheetId="26" hidden="1">'388G-NR'!$89:$114</definedName>
    <definedName name="Z_0A6D787B_0147_4D95_A75E_529646ACB161_.wvu.Rows" localSheetId="29" hidden="1">'40M-NR'!$89:$114</definedName>
    <definedName name="Z_0A6D787B_0147_4D95_A75E_529646ACB161_.wvu.Rows" localSheetId="30" hidden="1">'420G-NR'!$89:$114</definedName>
    <definedName name="Z_0A6D787B_0147_4D95_A75E_529646ACB161_.wvu.Rows" localSheetId="31" hidden="1">'567C-NR'!$89:$114</definedName>
    <definedName name="Z_0A6D787B_0147_4D95_A75E_529646ACB161_.wvu.Rows" localSheetId="33" hidden="1">'60MP-NR'!$89:$114</definedName>
    <definedName name="Z_0A6D787B_0147_4D95_A75E_529646ACB161_.wvu.Rows" localSheetId="32" hidden="1">'6OC-NR'!$89:$114</definedName>
    <definedName name="Z_0A6D787B_0147_4D95_A75E_529646ACB161_.wvu.Rows" localSheetId="69" hidden="1">'850C-NR'!$89:$114</definedName>
    <definedName name="Z_0A6D787B_0147_4D95_A75E_529646ACB161_.wvu.Rows" localSheetId="72" hidden="1">'850C-NR_PC'!$89:$114</definedName>
    <definedName name="Z_0A6D787B_0147_4D95_A75E_529646ACB161_.wvu.Rows" localSheetId="68" hidden="1">'QV1-NR'!$89:$114</definedName>
    <definedName name="Z_0BF3E3C8_9FAD_4DF7_B5AE_3CFA78DB71D0_.wvu.PrintArea" localSheetId="74" hidden="1">'105M-NR'!$A$56:$V$139</definedName>
    <definedName name="Z_0BF3E3C8_9FAD_4DF7_B5AE_3CFA78DB71D0_.wvu.PrintArea" localSheetId="15" hidden="1">'117C-NR'!$A$56:$V$139</definedName>
    <definedName name="Z_0BF3E3C8_9FAD_4DF7_B5AE_3CFA78DB71D0_.wvu.PrintArea" localSheetId="16" hidden="1">'120C-NR'!$A$56:$V$139</definedName>
    <definedName name="Z_0BF3E3C8_9FAD_4DF7_B5AE_3CFA78DB71D0_.wvu.PrintArea" localSheetId="17" hidden="1">'126P-NR'!$A$56:$V$139</definedName>
    <definedName name="Z_0BF3E3C8_9FAD_4DF7_B5AE_3CFA78DB71D0_.wvu.PrintArea" localSheetId="18" hidden="1">'130P-NR'!$A$56:$V$139</definedName>
    <definedName name="Z_0BF3E3C8_9FAD_4DF7_B5AE_3CFA78DB71D0_.wvu.PrintArea" localSheetId="19" hidden="1">'135K-NR'!$A$56:$V$140</definedName>
    <definedName name="Z_0BF3E3C8_9FAD_4DF7_B5AE_3CFA78DB71D0_.wvu.PrintArea" localSheetId="20" hidden="1">'151C-NR'!$A$56:$V$139</definedName>
    <definedName name="Z_0BF3E3C8_9FAD_4DF7_B5AE_3CFA78DB71D0_.wvu.PrintArea" localSheetId="21" hidden="1">'179T-NR'!$A$56:$V$139</definedName>
    <definedName name="Z_0BF3E3C8_9FAD_4DF7_B5AE_3CFA78DB71D0_.wvu.PrintArea" localSheetId="11" hidden="1">'1M-DUMMY'!$A$56:$V$139</definedName>
    <definedName name="Z_0BF3E3C8_9FAD_4DF7_B5AE_3CFA78DB71D0_.wvu.PrintArea" localSheetId="14" hidden="1">'1M-NR'!$A$56:$V$139</definedName>
    <definedName name="Z_0BF3E3C8_9FAD_4DF7_B5AE_3CFA78DB71D0_.wvu.PrintArea" localSheetId="22" hidden="1">'201K-NR'!$A$56:$V$139</definedName>
    <definedName name="Z_0BF3E3C8_9FAD_4DF7_B5AE_3CFA78DB71D0_.wvu.PrintArea" localSheetId="73" hidden="1">'20B-NR'!$A$56:$V$139</definedName>
    <definedName name="Z_0BF3E3C8_9FAD_4DF7_B5AE_3CFA78DB71D0_.wvu.PrintArea" localSheetId="23" hidden="1">'220L-NR'!$A$56:$V$139</definedName>
    <definedName name="Z_0BF3E3C8_9FAD_4DF7_B5AE_3CFA78DB71D0_.wvu.PrintArea" localSheetId="24" hidden="1">'259Q-NR'!$A$56:$V$139</definedName>
    <definedName name="Z_0BF3E3C8_9FAD_4DF7_B5AE_3CFA78DB71D0_.wvu.PrintArea" localSheetId="25" hidden="1">'347K-NR'!$A$56:$V$139</definedName>
    <definedName name="Z_0BF3E3C8_9FAD_4DF7_B5AE_3CFA78DB71D0_.wvu.PrintArea" localSheetId="26" hidden="1">'388G-NR'!$A$56:$V$139</definedName>
    <definedName name="Z_0BF3E3C8_9FAD_4DF7_B5AE_3CFA78DB71D0_.wvu.PrintArea" localSheetId="29" hidden="1">'40M-NR'!$A$56:$V$139</definedName>
    <definedName name="Z_0BF3E3C8_9FAD_4DF7_B5AE_3CFA78DB71D0_.wvu.PrintArea" localSheetId="30" hidden="1">'420G-NR'!$A$56:$V$139</definedName>
    <definedName name="Z_0BF3E3C8_9FAD_4DF7_B5AE_3CFA78DB71D0_.wvu.PrintArea" localSheetId="31" hidden="1">'567C-NR'!$A$56:$V$139</definedName>
    <definedName name="Z_0BF3E3C8_9FAD_4DF7_B5AE_3CFA78DB71D0_.wvu.PrintArea" localSheetId="33" hidden="1">'60MP-NR'!$A$56:$V$139</definedName>
    <definedName name="Z_0BF3E3C8_9FAD_4DF7_B5AE_3CFA78DB71D0_.wvu.PrintArea" localSheetId="32" hidden="1">'6OC-NR'!$A$56:$V$139</definedName>
    <definedName name="Z_0BF3E3C8_9FAD_4DF7_B5AE_3CFA78DB71D0_.wvu.PrintArea" localSheetId="69" hidden="1">'850C-NR'!$A$56:$V$139</definedName>
    <definedName name="Z_0BF3E3C8_9FAD_4DF7_B5AE_3CFA78DB71D0_.wvu.PrintArea" localSheetId="72" hidden="1">'850C-NR_PC'!$A$56:$V$139</definedName>
    <definedName name="Z_0BF3E3C8_9FAD_4DF7_B5AE_3CFA78DB71D0_.wvu.PrintArea" localSheetId="68" hidden="1">'QV1-NR'!$A$56:$V$139</definedName>
    <definedName name="Z_0BF3E3C8_9FAD_4DF7_B5AE_3CFA78DB71D0_.wvu.Rows" localSheetId="74" hidden="1">'105M-NR'!$89:$114</definedName>
    <definedName name="Z_0BF3E3C8_9FAD_4DF7_B5AE_3CFA78DB71D0_.wvu.Rows" localSheetId="15" hidden="1">'117C-NR'!$89:$114</definedName>
    <definedName name="Z_0BF3E3C8_9FAD_4DF7_B5AE_3CFA78DB71D0_.wvu.Rows" localSheetId="16" hidden="1">'120C-NR'!$89:$114</definedName>
    <definedName name="Z_0BF3E3C8_9FAD_4DF7_B5AE_3CFA78DB71D0_.wvu.Rows" localSheetId="17" hidden="1">'126P-NR'!$89:$114</definedName>
    <definedName name="Z_0BF3E3C8_9FAD_4DF7_B5AE_3CFA78DB71D0_.wvu.Rows" localSheetId="18" hidden="1">'130P-NR'!$89:$114</definedName>
    <definedName name="Z_0BF3E3C8_9FAD_4DF7_B5AE_3CFA78DB71D0_.wvu.Rows" localSheetId="19" hidden="1">'135K-NR'!$90:$115</definedName>
    <definedName name="Z_0BF3E3C8_9FAD_4DF7_B5AE_3CFA78DB71D0_.wvu.Rows" localSheetId="20" hidden="1">'151C-NR'!$89:$114</definedName>
    <definedName name="Z_0BF3E3C8_9FAD_4DF7_B5AE_3CFA78DB71D0_.wvu.Rows" localSheetId="21" hidden="1">'179T-NR'!$89:$114</definedName>
    <definedName name="Z_0BF3E3C8_9FAD_4DF7_B5AE_3CFA78DB71D0_.wvu.Rows" localSheetId="11" hidden="1">'1M-DUMMY'!$89:$114</definedName>
    <definedName name="Z_0BF3E3C8_9FAD_4DF7_B5AE_3CFA78DB71D0_.wvu.Rows" localSheetId="14" hidden="1">'1M-NR'!$89:$114</definedName>
    <definedName name="Z_0BF3E3C8_9FAD_4DF7_B5AE_3CFA78DB71D0_.wvu.Rows" localSheetId="22" hidden="1">'201K-NR'!$89:$114</definedName>
    <definedName name="Z_0BF3E3C8_9FAD_4DF7_B5AE_3CFA78DB71D0_.wvu.Rows" localSheetId="73" hidden="1">'20B-NR'!$89:$114</definedName>
    <definedName name="Z_0BF3E3C8_9FAD_4DF7_B5AE_3CFA78DB71D0_.wvu.Rows" localSheetId="23" hidden="1">'220L-NR'!$89:$114</definedName>
    <definedName name="Z_0BF3E3C8_9FAD_4DF7_B5AE_3CFA78DB71D0_.wvu.Rows" localSheetId="24" hidden="1">'259Q-NR'!$89:$114</definedName>
    <definedName name="Z_0BF3E3C8_9FAD_4DF7_B5AE_3CFA78DB71D0_.wvu.Rows" localSheetId="25" hidden="1">'347K-NR'!$89:$114</definedName>
    <definedName name="Z_0BF3E3C8_9FAD_4DF7_B5AE_3CFA78DB71D0_.wvu.Rows" localSheetId="26" hidden="1">'388G-NR'!$89:$114</definedName>
    <definedName name="Z_0BF3E3C8_9FAD_4DF7_B5AE_3CFA78DB71D0_.wvu.Rows" localSheetId="29" hidden="1">'40M-NR'!$89:$114</definedName>
    <definedName name="Z_0BF3E3C8_9FAD_4DF7_B5AE_3CFA78DB71D0_.wvu.Rows" localSheetId="30" hidden="1">'420G-NR'!$89:$114</definedName>
    <definedName name="Z_0BF3E3C8_9FAD_4DF7_B5AE_3CFA78DB71D0_.wvu.Rows" localSheetId="31" hidden="1">'567C-NR'!$89:$114</definedName>
    <definedName name="Z_0BF3E3C8_9FAD_4DF7_B5AE_3CFA78DB71D0_.wvu.Rows" localSheetId="33" hidden="1">'60MP-NR'!$89:$114</definedName>
    <definedName name="Z_0BF3E3C8_9FAD_4DF7_B5AE_3CFA78DB71D0_.wvu.Rows" localSheetId="32" hidden="1">'6OC-NR'!$89:$114</definedName>
    <definedName name="Z_0BF3E3C8_9FAD_4DF7_B5AE_3CFA78DB71D0_.wvu.Rows" localSheetId="69" hidden="1">'850C-NR'!$89:$114</definedName>
    <definedName name="Z_0BF3E3C8_9FAD_4DF7_B5AE_3CFA78DB71D0_.wvu.Rows" localSheetId="72" hidden="1">'850C-NR_PC'!$89:$114</definedName>
    <definedName name="Z_0BF3E3C8_9FAD_4DF7_B5AE_3CFA78DB71D0_.wvu.Rows" localSheetId="68" hidden="1">'QV1-NR'!$89:$114</definedName>
    <definedName name="Z_0D0C10C6_B8C5_40D9_B3F1_22EEFE0973A9_.wvu.PrintArea" localSheetId="74" hidden="1">'105M-NR'!$A$56:$V$139</definedName>
    <definedName name="Z_0D0C10C6_B8C5_40D9_B3F1_22EEFE0973A9_.wvu.PrintArea" localSheetId="15" hidden="1">'117C-NR'!$A$56:$V$139</definedName>
    <definedName name="Z_0D0C10C6_B8C5_40D9_B3F1_22EEFE0973A9_.wvu.PrintArea" localSheetId="16" hidden="1">'120C-NR'!$A$56:$V$139</definedName>
    <definedName name="Z_0D0C10C6_B8C5_40D9_B3F1_22EEFE0973A9_.wvu.PrintArea" localSheetId="17" hidden="1">'126P-NR'!$A$56:$V$139</definedName>
    <definedName name="Z_0D0C10C6_B8C5_40D9_B3F1_22EEFE0973A9_.wvu.PrintArea" localSheetId="18" hidden="1">'130P-NR'!$A$56:$V$139</definedName>
    <definedName name="Z_0D0C10C6_B8C5_40D9_B3F1_22EEFE0973A9_.wvu.PrintArea" localSheetId="19" hidden="1">'135K-NR'!$A$56:$V$140</definedName>
    <definedName name="Z_0D0C10C6_B8C5_40D9_B3F1_22EEFE0973A9_.wvu.PrintArea" localSheetId="20" hidden="1">'151C-NR'!$A$56:$V$139</definedName>
    <definedName name="Z_0D0C10C6_B8C5_40D9_B3F1_22EEFE0973A9_.wvu.PrintArea" localSheetId="21" hidden="1">'179T-NR'!$A$56:$V$139</definedName>
    <definedName name="Z_0D0C10C6_B8C5_40D9_B3F1_22EEFE0973A9_.wvu.PrintArea" localSheetId="11" hidden="1">'1M-DUMMY'!$A$56:$V$139</definedName>
    <definedName name="Z_0D0C10C6_B8C5_40D9_B3F1_22EEFE0973A9_.wvu.PrintArea" localSheetId="14" hidden="1">'1M-NR'!$A$56:$V$139</definedName>
    <definedName name="Z_0D0C10C6_B8C5_40D9_B3F1_22EEFE0973A9_.wvu.PrintArea" localSheetId="22" hidden="1">'201K-NR'!$A$56:$V$139</definedName>
    <definedName name="Z_0D0C10C6_B8C5_40D9_B3F1_22EEFE0973A9_.wvu.PrintArea" localSheetId="73" hidden="1">'20B-NR'!$A$56:$V$139</definedName>
    <definedName name="Z_0D0C10C6_B8C5_40D9_B3F1_22EEFE0973A9_.wvu.PrintArea" localSheetId="23" hidden="1">'220L-NR'!$A$56:$V$139</definedName>
    <definedName name="Z_0D0C10C6_B8C5_40D9_B3F1_22EEFE0973A9_.wvu.PrintArea" localSheetId="24" hidden="1">'259Q-NR'!$A$56:$V$139</definedName>
    <definedName name="Z_0D0C10C6_B8C5_40D9_B3F1_22EEFE0973A9_.wvu.PrintArea" localSheetId="25" hidden="1">'347K-NR'!$A$56:$V$139</definedName>
    <definedName name="Z_0D0C10C6_B8C5_40D9_B3F1_22EEFE0973A9_.wvu.PrintArea" localSheetId="26" hidden="1">'388G-NR'!$A$56:$V$139</definedName>
    <definedName name="Z_0D0C10C6_B8C5_40D9_B3F1_22EEFE0973A9_.wvu.PrintArea" localSheetId="29" hidden="1">'40M-NR'!$A$56:$V$139</definedName>
    <definedName name="Z_0D0C10C6_B8C5_40D9_B3F1_22EEFE0973A9_.wvu.PrintArea" localSheetId="30" hidden="1">'420G-NR'!$A$56:$V$139</definedName>
    <definedName name="Z_0D0C10C6_B8C5_40D9_B3F1_22EEFE0973A9_.wvu.PrintArea" localSheetId="31" hidden="1">'567C-NR'!$A$56:$V$139</definedName>
    <definedName name="Z_0D0C10C6_B8C5_40D9_B3F1_22EEFE0973A9_.wvu.PrintArea" localSheetId="33" hidden="1">'60MP-NR'!$A$56:$V$139</definedName>
    <definedName name="Z_0D0C10C6_B8C5_40D9_B3F1_22EEFE0973A9_.wvu.PrintArea" localSheetId="32" hidden="1">'6OC-NR'!$A$56:$V$139</definedName>
    <definedName name="Z_0D0C10C6_B8C5_40D9_B3F1_22EEFE0973A9_.wvu.PrintArea" localSheetId="69" hidden="1">'850C-NR'!$A$56:$V$139</definedName>
    <definedName name="Z_0D0C10C6_B8C5_40D9_B3F1_22EEFE0973A9_.wvu.PrintArea" localSheetId="72" hidden="1">'850C-NR_PC'!$A$56:$V$139</definedName>
    <definedName name="Z_0D0C10C6_B8C5_40D9_B3F1_22EEFE0973A9_.wvu.PrintArea" localSheetId="68" hidden="1">'QV1-NR'!$A$56:$V$139</definedName>
    <definedName name="Z_0D0C10C6_B8C5_40D9_B3F1_22EEFE0973A9_.wvu.Rows" localSheetId="74" hidden="1">'105M-NR'!$89:$114</definedName>
    <definedName name="Z_0D0C10C6_B8C5_40D9_B3F1_22EEFE0973A9_.wvu.Rows" localSheetId="15" hidden="1">'117C-NR'!$89:$114</definedName>
    <definedName name="Z_0D0C10C6_B8C5_40D9_B3F1_22EEFE0973A9_.wvu.Rows" localSheetId="16" hidden="1">'120C-NR'!$89:$114</definedName>
    <definedName name="Z_0D0C10C6_B8C5_40D9_B3F1_22EEFE0973A9_.wvu.Rows" localSheetId="17" hidden="1">'126P-NR'!$89:$114</definedName>
    <definedName name="Z_0D0C10C6_B8C5_40D9_B3F1_22EEFE0973A9_.wvu.Rows" localSheetId="18" hidden="1">'130P-NR'!$89:$114</definedName>
    <definedName name="Z_0D0C10C6_B8C5_40D9_B3F1_22EEFE0973A9_.wvu.Rows" localSheetId="19" hidden="1">'135K-NR'!$90:$115</definedName>
    <definedName name="Z_0D0C10C6_B8C5_40D9_B3F1_22EEFE0973A9_.wvu.Rows" localSheetId="20" hidden="1">'151C-NR'!$89:$114</definedName>
    <definedName name="Z_0D0C10C6_B8C5_40D9_B3F1_22EEFE0973A9_.wvu.Rows" localSheetId="21" hidden="1">'179T-NR'!$89:$114</definedName>
    <definedName name="Z_0D0C10C6_B8C5_40D9_B3F1_22EEFE0973A9_.wvu.Rows" localSheetId="11" hidden="1">'1M-DUMMY'!$89:$114</definedName>
    <definedName name="Z_0D0C10C6_B8C5_40D9_B3F1_22EEFE0973A9_.wvu.Rows" localSheetId="14" hidden="1">'1M-NR'!$89:$114</definedName>
    <definedName name="Z_0D0C10C6_B8C5_40D9_B3F1_22EEFE0973A9_.wvu.Rows" localSheetId="22" hidden="1">'201K-NR'!$89:$114</definedName>
    <definedName name="Z_0D0C10C6_B8C5_40D9_B3F1_22EEFE0973A9_.wvu.Rows" localSheetId="73" hidden="1">'20B-NR'!$89:$114</definedName>
    <definedName name="Z_0D0C10C6_B8C5_40D9_B3F1_22EEFE0973A9_.wvu.Rows" localSheetId="23" hidden="1">'220L-NR'!$89:$114</definedName>
    <definedName name="Z_0D0C10C6_B8C5_40D9_B3F1_22EEFE0973A9_.wvu.Rows" localSheetId="24" hidden="1">'259Q-NR'!$89:$114</definedName>
    <definedName name="Z_0D0C10C6_B8C5_40D9_B3F1_22EEFE0973A9_.wvu.Rows" localSheetId="25" hidden="1">'347K-NR'!$89:$114</definedName>
    <definedName name="Z_0D0C10C6_B8C5_40D9_B3F1_22EEFE0973A9_.wvu.Rows" localSheetId="26" hidden="1">'388G-NR'!$89:$114</definedName>
    <definedName name="Z_0D0C10C6_B8C5_40D9_B3F1_22EEFE0973A9_.wvu.Rows" localSheetId="29" hidden="1">'40M-NR'!$89:$114</definedName>
    <definedName name="Z_0D0C10C6_B8C5_40D9_B3F1_22EEFE0973A9_.wvu.Rows" localSheetId="30" hidden="1">'420G-NR'!$89:$114</definedName>
    <definedName name="Z_0D0C10C6_B8C5_40D9_B3F1_22EEFE0973A9_.wvu.Rows" localSheetId="31" hidden="1">'567C-NR'!$89:$114</definedName>
    <definedName name="Z_0D0C10C6_B8C5_40D9_B3F1_22EEFE0973A9_.wvu.Rows" localSheetId="33" hidden="1">'60MP-NR'!$89:$114</definedName>
    <definedName name="Z_0D0C10C6_B8C5_40D9_B3F1_22EEFE0973A9_.wvu.Rows" localSheetId="32" hidden="1">'6OC-NR'!$89:$114</definedName>
    <definedName name="Z_0D0C10C6_B8C5_40D9_B3F1_22EEFE0973A9_.wvu.Rows" localSheetId="69" hidden="1">'850C-NR'!$89:$114</definedName>
    <definedName name="Z_0D0C10C6_B8C5_40D9_B3F1_22EEFE0973A9_.wvu.Rows" localSheetId="72" hidden="1">'850C-NR_PC'!$89:$114</definedName>
    <definedName name="Z_0D0C10C6_B8C5_40D9_B3F1_22EEFE0973A9_.wvu.Rows" localSheetId="68" hidden="1">'QV1-NR'!$89:$114</definedName>
    <definedName name="Z_0D5EC821_A6CB_40AB_8741_1437FE9EBC87_.wvu.PrintArea" localSheetId="74" hidden="1">'105M-NR'!$A$56:$V$139</definedName>
    <definedName name="Z_0D5EC821_A6CB_40AB_8741_1437FE9EBC87_.wvu.PrintArea" localSheetId="15" hidden="1">'117C-NR'!$A$56:$V$139</definedName>
    <definedName name="Z_0D5EC821_A6CB_40AB_8741_1437FE9EBC87_.wvu.PrintArea" localSheetId="16" hidden="1">'120C-NR'!$A$56:$V$139</definedName>
    <definedName name="Z_0D5EC821_A6CB_40AB_8741_1437FE9EBC87_.wvu.PrintArea" localSheetId="17" hidden="1">'126P-NR'!$A$56:$V$139</definedName>
    <definedName name="Z_0D5EC821_A6CB_40AB_8741_1437FE9EBC87_.wvu.PrintArea" localSheetId="18" hidden="1">'130P-NR'!$A$56:$V$139</definedName>
    <definedName name="Z_0D5EC821_A6CB_40AB_8741_1437FE9EBC87_.wvu.PrintArea" localSheetId="19" hidden="1">'135K-NR'!$A$56:$V$140</definedName>
    <definedName name="Z_0D5EC821_A6CB_40AB_8741_1437FE9EBC87_.wvu.PrintArea" localSheetId="20" hidden="1">'151C-NR'!$A$56:$V$139</definedName>
    <definedName name="Z_0D5EC821_A6CB_40AB_8741_1437FE9EBC87_.wvu.PrintArea" localSheetId="21" hidden="1">'179T-NR'!$A$56:$V$139</definedName>
    <definedName name="Z_0D5EC821_A6CB_40AB_8741_1437FE9EBC87_.wvu.PrintArea" localSheetId="11" hidden="1">'1M-DUMMY'!$A$56:$V$139</definedName>
    <definedName name="Z_0D5EC821_A6CB_40AB_8741_1437FE9EBC87_.wvu.PrintArea" localSheetId="14" hidden="1">'1M-NR'!$A$56:$V$139</definedName>
    <definedName name="Z_0D5EC821_A6CB_40AB_8741_1437FE9EBC87_.wvu.PrintArea" localSheetId="22" hidden="1">'201K-NR'!$A$56:$V$139</definedName>
    <definedName name="Z_0D5EC821_A6CB_40AB_8741_1437FE9EBC87_.wvu.PrintArea" localSheetId="73" hidden="1">'20B-NR'!$A$56:$V$139</definedName>
    <definedName name="Z_0D5EC821_A6CB_40AB_8741_1437FE9EBC87_.wvu.PrintArea" localSheetId="23" hidden="1">'220L-NR'!$A$56:$V$139</definedName>
    <definedName name="Z_0D5EC821_A6CB_40AB_8741_1437FE9EBC87_.wvu.PrintArea" localSheetId="24" hidden="1">'259Q-NR'!$A$56:$V$139</definedName>
    <definedName name="Z_0D5EC821_A6CB_40AB_8741_1437FE9EBC87_.wvu.PrintArea" localSheetId="25" hidden="1">'347K-NR'!$A$56:$V$139</definedName>
    <definedName name="Z_0D5EC821_A6CB_40AB_8741_1437FE9EBC87_.wvu.PrintArea" localSheetId="26" hidden="1">'388G-NR'!$A$56:$V$139</definedName>
    <definedName name="Z_0D5EC821_A6CB_40AB_8741_1437FE9EBC87_.wvu.PrintArea" localSheetId="29" hidden="1">'40M-NR'!$A$56:$V$139</definedName>
    <definedName name="Z_0D5EC821_A6CB_40AB_8741_1437FE9EBC87_.wvu.PrintArea" localSheetId="30" hidden="1">'420G-NR'!$A$56:$V$139</definedName>
    <definedName name="Z_0D5EC821_A6CB_40AB_8741_1437FE9EBC87_.wvu.PrintArea" localSheetId="31" hidden="1">'567C-NR'!$A$56:$V$139</definedName>
    <definedName name="Z_0D5EC821_A6CB_40AB_8741_1437FE9EBC87_.wvu.PrintArea" localSheetId="33" hidden="1">'60MP-NR'!$A$56:$V$139</definedName>
    <definedName name="Z_0D5EC821_A6CB_40AB_8741_1437FE9EBC87_.wvu.PrintArea" localSheetId="32" hidden="1">'6OC-NR'!$A$56:$V$139</definedName>
    <definedName name="Z_0D5EC821_A6CB_40AB_8741_1437FE9EBC87_.wvu.PrintArea" localSheetId="69" hidden="1">'850C-NR'!$A$56:$V$139</definedName>
    <definedName name="Z_0D5EC821_A6CB_40AB_8741_1437FE9EBC87_.wvu.PrintArea" localSheetId="72" hidden="1">'850C-NR_PC'!$A$56:$V$139</definedName>
    <definedName name="Z_0D5EC821_A6CB_40AB_8741_1437FE9EBC87_.wvu.PrintArea" localSheetId="68" hidden="1">'QV1-NR'!$A$56:$V$139</definedName>
    <definedName name="Z_0D5EC821_A6CB_40AB_8741_1437FE9EBC87_.wvu.Rows" localSheetId="74" hidden="1">'105M-NR'!$89:$114</definedName>
    <definedName name="Z_0D5EC821_A6CB_40AB_8741_1437FE9EBC87_.wvu.Rows" localSheetId="15" hidden="1">'117C-NR'!$89:$114</definedName>
    <definedName name="Z_0D5EC821_A6CB_40AB_8741_1437FE9EBC87_.wvu.Rows" localSheetId="16" hidden="1">'120C-NR'!$89:$114</definedName>
    <definedName name="Z_0D5EC821_A6CB_40AB_8741_1437FE9EBC87_.wvu.Rows" localSheetId="17" hidden="1">'126P-NR'!$89:$114</definedName>
    <definedName name="Z_0D5EC821_A6CB_40AB_8741_1437FE9EBC87_.wvu.Rows" localSheetId="18" hidden="1">'130P-NR'!$89:$114</definedName>
    <definedName name="Z_0D5EC821_A6CB_40AB_8741_1437FE9EBC87_.wvu.Rows" localSheetId="19" hidden="1">'135K-NR'!$90:$115</definedName>
    <definedName name="Z_0D5EC821_A6CB_40AB_8741_1437FE9EBC87_.wvu.Rows" localSheetId="20" hidden="1">'151C-NR'!$89:$114</definedName>
    <definedName name="Z_0D5EC821_A6CB_40AB_8741_1437FE9EBC87_.wvu.Rows" localSheetId="21" hidden="1">'179T-NR'!$89:$114</definedName>
    <definedName name="Z_0D5EC821_A6CB_40AB_8741_1437FE9EBC87_.wvu.Rows" localSheetId="11" hidden="1">'1M-DUMMY'!$89:$114</definedName>
    <definedName name="Z_0D5EC821_A6CB_40AB_8741_1437FE9EBC87_.wvu.Rows" localSheetId="14" hidden="1">'1M-NR'!$89:$114</definedName>
    <definedName name="Z_0D5EC821_A6CB_40AB_8741_1437FE9EBC87_.wvu.Rows" localSheetId="22" hidden="1">'201K-NR'!$89:$114</definedName>
    <definedName name="Z_0D5EC821_A6CB_40AB_8741_1437FE9EBC87_.wvu.Rows" localSheetId="73" hidden="1">'20B-NR'!$89:$114</definedName>
    <definedName name="Z_0D5EC821_A6CB_40AB_8741_1437FE9EBC87_.wvu.Rows" localSheetId="23" hidden="1">'220L-NR'!$89:$114</definedName>
    <definedName name="Z_0D5EC821_A6CB_40AB_8741_1437FE9EBC87_.wvu.Rows" localSheetId="24" hidden="1">'259Q-NR'!$89:$114</definedName>
    <definedName name="Z_0D5EC821_A6CB_40AB_8741_1437FE9EBC87_.wvu.Rows" localSheetId="25" hidden="1">'347K-NR'!$89:$114</definedName>
    <definedName name="Z_0D5EC821_A6CB_40AB_8741_1437FE9EBC87_.wvu.Rows" localSheetId="26" hidden="1">'388G-NR'!$89:$114</definedName>
    <definedName name="Z_0D5EC821_A6CB_40AB_8741_1437FE9EBC87_.wvu.Rows" localSheetId="29" hidden="1">'40M-NR'!$89:$114</definedName>
    <definedName name="Z_0D5EC821_A6CB_40AB_8741_1437FE9EBC87_.wvu.Rows" localSheetId="30" hidden="1">'420G-NR'!$89:$114</definedName>
    <definedName name="Z_0D5EC821_A6CB_40AB_8741_1437FE9EBC87_.wvu.Rows" localSheetId="31" hidden="1">'567C-NR'!$89:$114</definedName>
    <definedName name="Z_0D5EC821_A6CB_40AB_8741_1437FE9EBC87_.wvu.Rows" localSheetId="33" hidden="1">'60MP-NR'!$89:$114</definedName>
    <definedName name="Z_0D5EC821_A6CB_40AB_8741_1437FE9EBC87_.wvu.Rows" localSheetId="32" hidden="1">'6OC-NR'!$89:$114</definedName>
    <definedName name="Z_0D5EC821_A6CB_40AB_8741_1437FE9EBC87_.wvu.Rows" localSheetId="69" hidden="1">'850C-NR'!$89:$114</definedName>
    <definedName name="Z_0D5EC821_A6CB_40AB_8741_1437FE9EBC87_.wvu.Rows" localSheetId="72" hidden="1">'850C-NR_PC'!$89:$114</definedName>
    <definedName name="Z_0D5EC821_A6CB_40AB_8741_1437FE9EBC87_.wvu.Rows" localSheetId="68" hidden="1">'QV1-NR'!$89:$114</definedName>
    <definedName name="Z_0FAFE012_8D9E_4ED0_86A4_A997E430971B_.wvu.Cols" localSheetId="4" hidden="1">'Asset Attributes'!$M:$M</definedName>
    <definedName name="Z_0FAFE012_8D9E_4ED0_86A4_A997E430971B_.wvu.Cols" localSheetId="1" hidden="1">ICPF!$M:$M</definedName>
    <definedName name="Z_0FAFE012_8D9E_4ED0_86A4_A997E430971B_.wvu.Cols" localSheetId="2" hidden="1">IGO!$M:$M</definedName>
    <definedName name="Z_0FAFE012_8D9E_4ED0_86A4_A997E430971B_.wvu.FilterData" localSheetId="75" hidden="1">'105M-IS'!$F$61:$F$66</definedName>
    <definedName name="Z_0FAFE012_8D9E_4ED0_86A4_A997E430971B_.wvu.FilterData" localSheetId="48" hidden="1">'117C-IS'!$F$61:$F$66</definedName>
    <definedName name="Z_0FAFE012_8D9E_4ED0_86A4_A997E430971B_.wvu.FilterData" localSheetId="62" hidden="1">'120C-IS'!$F$61:$F$66</definedName>
    <definedName name="Z_0FAFE012_8D9E_4ED0_86A4_A997E430971B_.wvu.FilterData" localSheetId="36" hidden="1">'126P-IS'!$F$61:$F$66</definedName>
    <definedName name="Z_0FAFE012_8D9E_4ED0_86A4_A997E430971B_.wvu.FilterData" localSheetId="52" hidden="1">'130P-IS'!$F$61:$F$66</definedName>
    <definedName name="Z_0FAFE012_8D9E_4ED0_86A4_A997E430971B_.wvu.FilterData" localSheetId="34" hidden="1">'135K-IS'!$F$61:$F$66</definedName>
    <definedName name="Z_0FAFE012_8D9E_4ED0_86A4_A997E430971B_.wvu.FilterData" localSheetId="54" hidden="1">'151C-IS'!$F$61:$F$66</definedName>
    <definedName name="Z_0FAFE012_8D9E_4ED0_86A4_A997E430971B_.wvu.FilterData" localSheetId="58" hidden="1">'179T-IS'!$F$61:$F$66</definedName>
    <definedName name="Z_0FAFE012_8D9E_4ED0_86A4_A997E430971B_.wvu.FilterData" localSheetId="27" hidden="1">'1M-IS'!$F$61:$F$66</definedName>
    <definedName name="Z_0FAFE012_8D9E_4ED0_86A4_A997E430971B_.wvu.FilterData" localSheetId="42" hidden="1">'201K-IS'!$F$61:$F$66</definedName>
    <definedName name="Z_0FAFE012_8D9E_4ED0_86A4_A997E430971B_.wvu.FilterData" localSheetId="44" hidden="1">'20B-IS'!$F$61:$F$66</definedName>
    <definedName name="Z_0FAFE012_8D9E_4ED0_86A4_A997E430971B_.wvu.FilterData" localSheetId="60" hidden="1">'259Q-IS'!$F$61:$F$66</definedName>
    <definedName name="Z_0FAFE012_8D9E_4ED0_86A4_A997E430971B_.wvu.FilterData" localSheetId="46" hidden="1">'347K-IS'!$F$61:$F$66</definedName>
    <definedName name="Z_0FAFE012_8D9E_4ED0_86A4_A997E430971B_.wvu.FilterData" localSheetId="79" hidden="1">'388G-IS'!$F$61:$F$66</definedName>
    <definedName name="Z_0FAFE012_8D9E_4ED0_86A4_A997E430971B_.wvu.FilterData" localSheetId="38" hidden="1">'40M-IS'!$F$61:$F$66</definedName>
    <definedName name="Z_0FAFE012_8D9E_4ED0_86A4_A997E430971B_.wvu.FilterData" localSheetId="40" hidden="1">'420G-IS'!$F$61:$F$66</definedName>
    <definedName name="Z_0FAFE012_8D9E_4ED0_86A4_A997E430971B_.wvu.FilterData" localSheetId="64" hidden="1">'567C-IS'!$F$61:$F$66</definedName>
    <definedName name="Z_0FAFE012_8D9E_4ED0_86A4_A997E430971B_.wvu.FilterData" localSheetId="66" hidden="1">'575B-IS'!$F$61:$F$66</definedName>
    <definedName name="Z_0FAFE012_8D9E_4ED0_86A4_A997E430971B_.wvu.FilterData" localSheetId="50" hidden="1">'60MP-IS'!$F$61:$F$66</definedName>
    <definedName name="Z_0FAFE012_8D9E_4ED0_86A4_A997E430971B_.wvu.FilterData" localSheetId="56" hidden="1">'6O''C-IS'!$F$61:$F$66</definedName>
    <definedName name="Z_0FAFE012_8D9E_4ED0_86A4_A997E430971B_.wvu.FilterData" localSheetId="70" hidden="1">'850C-IS'!$F$61:$F$66</definedName>
    <definedName name="Z_0FAFE012_8D9E_4ED0_86A4_A997E430971B_.wvu.FilterData" localSheetId="4" hidden="1">'Asset Attributes'!$E$2:$G$31</definedName>
    <definedName name="Z_0FAFE012_8D9E_4ED0_86A4_A997E430971B_.wvu.FilterData" localSheetId="7" hidden="1">'Costs Summary'!$A$3:$F$28</definedName>
    <definedName name="Z_0FAFE012_8D9E_4ED0_86A4_A997E430971B_.wvu.FilterData" localSheetId="6" hidden="1">'Footprint Summary'!$D$32:$F$56</definedName>
    <definedName name="Z_0FAFE012_8D9E_4ED0_86A4_A997E430971B_.wvu.FilterData" localSheetId="1" hidden="1">ICPF!$E$2:$G$23</definedName>
    <definedName name="Z_0FAFE012_8D9E_4ED0_86A4_A997E430971B_.wvu.FilterData" localSheetId="2" hidden="1">IGO!$E$2:$G$10</definedName>
    <definedName name="Z_0FAFE012_8D9E_4ED0_86A4_A997E430971B_.wvu.FilterData" localSheetId="5" hidden="1">'Intensity Summary'!$D$3:$F$27</definedName>
    <definedName name="Z_0FAFE012_8D9E_4ED0_86A4_A997E430971B_.wvu.FilterData" localSheetId="3" hidden="1">Investa_Property_Dec2022!$A$1:$P$1</definedName>
    <definedName name="Z_0FAFE012_8D9E_4ED0_86A4_A997E430971B_.wvu.FilterData" localSheetId="77" hidden="1">'QV1-IS'!$F$61:$F$66</definedName>
    <definedName name="Z_0FAFE012_8D9E_4ED0_86A4_A997E430971B_.wvu.PrintArea" localSheetId="74" hidden="1">'105M-NR'!$A$1:$U$140</definedName>
    <definedName name="Z_0FAFE012_8D9E_4ED0_86A4_A997E430971B_.wvu.PrintArea" localSheetId="76" hidden="1">'105M-OS'!$A$1:$M$50</definedName>
    <definedName name="Z_0FAFE012_8D9E_4ED0_86A4_A997E430971B_.wvu.PrintArea" localSheetId="15" hidden="1">'117C-NR'!$A$1:$U$140</definedName>
    <definedName name="Z_0FAFE012_8D9E_4ED0_86A4_A997E430971B_.wvu.PrintArea" localSheetId="49" hidden="1">'117C-OS'!$A$1:$M$50</definedName>
    <definedName name="Z_0FAFE012_8D9E_4ED0_86A4_A997E430971B_.wvu.PrintArea" localSheetId="16" hidden="1">'120C-NR'!$A$1:$U$140</definedName>
    <definedName name="Z_0FAFE012_8D9E_4ED0_86A4_A997E430971B_.wvu.PrintArea" localSheetId="63" hidden="1">'120C-OS'!$A$1:$M$50</definedName>
    <definedName name="Z_0FAFE012_8D9E_4ED0_86A4_A997E430971B_.wvu.PrintArea" localSheetId="17" hidden="1">'126P-NR'!$A$1:$U$140</definedName>
    <definedName name="Z_0FAFE012_8D9E_4ED0_86A4_A997E430971B_.wvu.PrintArea" localSheetId="37" hidden="1">'126P-OS'!$A$1:$M$50</definedName>
    <definedName name="Z_0FAFE012_8D9E_4ED0_86A4_A997E430971B_.wvu.PrintArea" localSheetId="18" hidden="1">'130P-NR'!$A$1:$U$140</definedName>
    <definedName name="Z_0FAFE012_8D9E_4ED0_86A4_A997E430971B_.wvu.PrintArea" localSheetId="53" hidden="1">'130P-OS'!$A$1:$M$50</definedName>
    <definedName name="Z_0FAFE012_8D9E_4ED0_86A4_A997E430971B_.wvu.PrintArea" localSheetId="19" hidden="1">'135K-NR'!$A$1:$U$141</definedName>
    <definedName name="Z_0FAFE012_8D9E_4ED0_86A4_A997E430971B_.wvu.PrintArea" localSheetId="35" hidden="1">'135K-OS'!$A$1:$M$50</definedName>
    <definedName name="Z_0FAFE012_8D9E_4ED0_86A4_A997E430971B_.wvu.PrintArea" localSheetId="20" hidden="1">'151C-NR'!$A$1:$U$140</definedName>
    <definedName name="Z_0FAFE012_8D9E_4ED0_86A4_A997E430971B_.wvu.PrintArea" localSheetId="55" hidden="1">'151C-OS'!$A$1:$M$50</definedName>
    <definedName name="Z_0FAFE012_8D9E_4ED0_86A4_A997E430971B_.wvu.PrintArea" localSheetId="21" hidden="1">'179T-NR'!$A$1:$U$140</definedName>
    <definedName name="Z_0FAFE012_8D9E_4ED0_86A4_A997E430971B_.wvu.PrintArea" localSheetId="59" hidden="1">'179T-OS'!$A$1:$M$50</definedName>
    <definedName name="Z_0FAFE012_8D9E_4ED0_86A4_A997E430971B_.wvu.PrintArea" localSheetId="11" hidden="1">'1M-DUMMY'!$A$1:$Z$117</definedName>
    <definedName name="Z_0FAFE012_8D9E_4ED0_86A4_A997E430971B_.wvu.PrintArea" localSheetId="14" hidden="1">'1M-NR'!$R$1:$AJ$51</definedName>
    <definedName name="Z_0FAFE012_8D9E_4ED0_86A4_A997E430971B_.wvu.PrintArea" localSheetId="28" hidden="1">'1M-OS'!$A$1:$M$50</definedName>
    <definedName name="Z_0FAFE012_8D9E_4ED0_86A4_A997E430971B_.wvu.PrintArea" localSheetId="22" hidden="1">'201K-NR'!$A$1:$U$140</definedName>
    <definedName name="Z_0FAFE012_8D9E_4ED0_86A4_A997E430971B_.wvu.PrintArea" localSheetId="43" hidden="1">'201K-OS'!$A$1:$M$50</definedName>
    <definedName name="Z_0FAFE012_8D9E_4ED0_86A4_A997E430971B_.wvu.PrintArea" localSheetId="73" hidden="1">'20B-NR'!$A$1:$U$140</definedName>
    <definedName name="Z_0FAFE012_8D9E_4ED0_86A4_A997E430971B_.wvu.PrintArea" localSheetId="45" hidden="1">'20B-OS'!$A$1:$M$50</definedName>
    <definedName name="Z_0FAFE012_8D9E_4ED0_86A4_A997E430971B_.wvu.PrintArea" localSheetId="23" hidden="1">'220L-NR'!$A$1:$U$140</definedName>
    <definedName name="Z_0FAFE012_8D9E_4ED0_86A4_A997E430971B_.wvu.PrintArea" localSheetId="24" hidden="1">'259Q-NR'!$A$1:$U$140</definedName>
    <definedName name="Z_0FAFE012_8D9E_4ED0_86A4_A997E430971B_.wvu.PrintArea" localSheetId="61" hidden="1">'259Q-OS'!$A$1:$M$50</definedName>
    <definedName name="Z_0FAFE012_8D9E_4ED0_86A4_A997E430971B_.wvu.PrintArea" localSheetId="25" hidden="1">'347K-NR'!$A$1:$U$140</definedName>
    <definedName name="Z_0FAFE012_8D9E_4ED0_86A4_A997E430971B_.wvu.PrintArea" localSheetId="47" hidden="1">'347K-OS'!$A$1:$M$50</definedName>
    <definedName name="Z_0FAFE012_8D9E_4ED0_86A4_A997E430971B_.wvu.PrintArea" localSheetId="26" hidden="1">'388G-NR'!$A$1:$U$140</definedName>
    <definedName name="Z_0FAFE012_8D9E_4ED0_86A4_A997E430971B_.wvu.PrintArea" localSheetId="80" hidden="1">'388G-OS'!$A$1:$M$50</definedName>
    <definedName name="Z_0FAFE012_8D9E_4ED0_86A4_A997E430971B_.wvu.PrintArea" localSheetId="29" hidden="1">'40M-NR'!$A$1:$U$140</definedName>
    <definedName name="Z_0FAFE012_8D9E_4ED0_86A4_A997E430971B_.wvu.PrintArea" localSheetId="39" hidden="1">'40M-OS'!$A$1:$M$50</definedName>
    <definedName name="Z_0FAFE012_8D9E_4ED0_86A4_A997E430971B_.wvu.PrintArea" localSheetId="30" hidden="1">'420G-NR'!$A$1:$U$140</definedName>
    <definedName name="Z_0FAFE012_8D9E_4ED0_86A4_A997E430971B_.wvu.PrintArea" localSheetId="41" hidden="1">'420G-OS'!$A$1:$M$50</definedName>
    <definedName name="Z_0FAFE012_8D9E_4ED0_86A4_A997E430971B_.wvu.PrintArea" localSheetId="31" hidden="1">'567C-NR'!$A$1:$U$140</definedName>
    <definedName name="Z_0FAFE012_8D9E_4ED0_86A4_A997E430971B_.wvu.PrintArea" localSheetId="65" hidden="1">'567C-OS'!$A$1:$M$50</definedName>
    <definedName name="Z_0FAFE012_8D9E_4ED0_86A4_A997E430971B_.wvu.PrintArea" localSheetId="67" hidden="1">'575B-OS'!$A$1:$M$50</definedName>
    <definedName name="Z_0FAFE012_8D9E_4ED0_86A4_A997E430971B_.wvu.PrintArea" localSheetId="33" hidden="1">'60MP-NR'!$A$1:$U$140</definedName>
    <definedName name="Z_0FAFE012_8D9E_4ED0_86A4_A997E430971B_.wvu.PrintArea" localSheetId="51" hidden="1">'60MP-OS'!$A$1:$M$50</definedName>
    <definedName name="Z_0FAFE012_8D9E_4ED0_86A4_A997E430971B_.wvu.PrintArea" localSheetId="32" hidden="1">'6OC-NR'!$A$1:$U$140</definedName>
    <definedName name="Z_0FAFE012_8D9E_4ED0_86A4_A997E430971B_.wvu.PrintArea" localSheetId="57" hidden="1">'6O''C-OS'!$A$1:$M$50</definedName>
    <definedName name="Z_0FAFE012_8D9E_4ED0_86A4_A997E430971B_.wvu.PrintArea" localSheetId="69" hidden="1">'850C-NR'!$A$1:$U$140</definedName>
    <definedName name="Z_0FAFE012_8D9E_4ED0_86A4_A997E430971B_.wvu.PrintArea" localSheetId="72" hidden="1">'850C-NR_PC'!$A$1:$U$140</definedName>
    <definedName name="Z_0FAFE012_8D9E_4ED0_86A4_A997E430971B_.wvu.PrintArea" localSheetId="71" hidden="1">'850C-OS'!$A$1:$M$50</definedName>
    <definedName name="Z_0FAFE012_8D9E_4ED0_86A4_A997E430971B_.wvu.PrintArea" localSheetId="68" hidden="1">'QV1-NR'!$A$1:$U$140</definedName>
    <definedName name="Z_0FAFE012_8D9E_4ED0_86A4_A997E430971B_.wvu.PrintArea" localSheetId="78" hidden="1">'QV1-OS'!$A$1:$M$50</definedName>
    <definedName name="Z_0FAFE012_8D9E_4ED0_86A4_A997E430971B_.wvu.Rows" localSheetId="74" hidden="1">'105M-NR'!$68:$68,'105M-NR'!$89:$114</definedName>
    <definedName name="Z_0FAFE012_8D9E_4ED0_86A4_A997E430971B_.wvu.Rows" localSheetId="15" hidden="1">'117C-NR'!$68:$68,'117C-NR'!$89:$114</definedName>
    <definedName name="Z_0FAFE012_8D9E_4ED0_86A4_A997E430971B_.wvu.Rows" localSheetId="16" hidden="1">'120C-NR'!$68:$68,'120C-NR'!$89:$114</definedName>
    <definedName name="Z_0FAFE012_8D9E_4ED0_86A4_A997E430971B_.wvu.Rows" localSheetId="17" hidden="1">'126P-NR'!$89:$114</definedName>
    <definedName name="Z_0FAFE012_8D9E_4ED0_86A4_A997E430971B_.wvu.Rows" localSheetId="18" hidden="1">'130P-NR'!$68:$68,'130P-NR'!$89:$114</definedName>
    <definedName name="Z_0FAFE012_8D9E_4ED0_86A4_A997E430971B_.wvu.Rows" localSheetId="19" hidden="1">'135K-NR'!$68:$68,'135K-NR'!$90:$114</definedName>
    <definedName name="Z_0FAFE012_8D9E_4ED0_86A4_A997E430971B_.wvu.Rows" localSheetId="20" hidden="1">'151C-NR'!$68:$68,'151C-NR'!$89:$114</definedName>
    <definedName name="Z_0FAFE012_8D9E_4ED0_86A4_A997E430971B_.wvu.Rows" localSheetId="21" hidden="1">'179T-NR'!$68:$68,'179T-NR'!$89:$114</definedName>
    <definedName name="Z_0FAFE012_8D9E_4ED0_86A4_A997E430971B_.wvu.Rows" localSheetId="11" hidden="1">'1M-DUMMY'!$68:$68,'1M-DUMMY'!$89:$114</definedName>
    <definedName name="Z_0FAFE012_8D9E_4ED0_86A4_A997E430971B_.wvu.Rows" localSheetId="14" hidden="1">'1M-NR'!$68:$68,'1M-NR'!$89:$114</definedName>
    <definedName name="Z_0FAFE012_8D9E_4ED0_86A4_A997E430971B_.wvu.Rows" localSheetId="22" hidden="1">'201K-NR'!$68:$68</definedName>
    <definedName name="Z_0FAFE012_8D9E_4ED0_86A4_A997E430971B_.wvu.Rows" localSheetId="73" hidden="1">'20B-NR'!$68:$68,'20B-NR'!$89:$114</definedName>
    <definedName name="Z_0FAFE012_8D9E_4ED0_86A4_A997E430971B_.wvu.Rows" localSheetId="23" hidden="1">'220L-NR'!$68:$68,'220L-NR'!$89:$114</definedName>
    <definedName name="Z_0FAFE012_8D9E_4ED0_86A4_A997E430971B_.wvu.Rows" localSheetId="24" hidden="1">'259Q-NR'!$68:$68,'259Q-NR'!$89:$114</definedName>
    <definedName name="Z_0FAFE012_8D9E_4ED0_86A4_A997E430971B_.wvu.Rows" localSheetId="25" hidden="1">'347K-NR'!$68:$68,'347K-NR'!$89:$114</definedName>
    <definedName name="Z_0FAFE012_8D9E_4ED0_86A4_A997E430971B_.wvu.Rows" localSheetId="26" hidden="1">'388G-NR'!$68:$68,'388G-NR'!$89:$114</definedName>
    <definedName name="Z_0FAFE012_8D9E_4ED0_86A4_A997E430971B_.wvu.Rows" localSheetId="29" hidden="1">'40M-NR'!$68:$68,'40M-NR'!$89:$114</definedName>
    <definedName name="Z_0FAFE012_8D9E_4ED0_86A4_A997E430971B_.wvu.Rows" localSheetId="30" hidden="1">'420G-NR'!$68:$68,'420G-NR'!$89:$114</definedName>
    <definedName name="Z_0FAFE012_8D9E_4ED0_86A4_A997E430971B_.wvu.Rows" localSheetId="31" hidden="1">'567C-NR'!$68:$68,'567C-NR'!$89:$114</definedName>
    <definedName name="Z_0FAFE012_8D9E_4ED0_86A4_A997E430971B_.wvu.Rows" localSheetId="33" hidden="1">'60MP-NR'!$68:$68,'60MP-NR'!$89:$114</definedName>
    <definedName name="Z_0FAFE012_8D9E_4ED0_86A4_A997E430971B_.wvu.Rows" localSheetId="32" hidden="1">'6OC-NR'!$68:$68,'6OC-NR'!$89:$114</definedName>
    <definedName name="Z_0FAFE012_8D9E_4ED0_86A4_A997E430971B_.wvu.Rows" localSheetId="69" hidden="1">'850C-NR'!$68:$68,'850C-NR'!$89:$114</definedName>
    <definedName name="Z_0FAFE012_8D9E_4ED0_86A4_A997E430971B_.wvu.Rows" localSheetId="72" hidden="1">'850C-NR_PC'!$68:$68,'850C-NR_PC'!$89:$114</definedName>
    <definedName name="Z_0FAFE012_8D9E_4ED0_86A4_A997E430971B_.wvu.Rows" localSheetId="68" hidden="1">'QV1-NR'!$68:$68,'QV1-NR'!$89:$114</definedName>
    <definedName name="Z_19A35D0C_6338_4F58_BF20_D7E7531831D9_.wvu.FilterData" localSheetId="75" hidden="1">'105M-IS'!$F$61:$F$66</definedName>
    <definedName name="Z_19A35D0C_6338_4F58_BF20_D7E7531831D9_.wvu.FilterData" localSheetId="48" hidden="1">'117C-IS'!$F$61:$F$66</definedName>
    <definedName name="Z_19A35D0C_6338_4F58_BF20_D7E7531831D9_.wvu.FilterData" localSheetId="62" hidden="1">'120C-IS'!$F$61:$F$66</definedName>
    <definedName name="Z_19A35D0C_6338_4F58_BF20_D7E7531831D9_.wvu.FilterData" localSheetId="36" hidden="1">'126P-IS'!$F$61:$F$66</definedName>
    <definedName name="Z_19A35D0C_6338_4F58_BF20_D7E7531831D9_.wvu.FilterData" localSheetId="52" hidden="1">'130P-IS'!$F$61:$F$66</definedName>
    <definedName name="Z_19A35D0C_6338_4F58_BF20_D7E7531831D9_.wvu.FilterData" localSheetId="34" hidden="1">'135K-IS'!$F$61:$F$66</definedName>
    <definedName name="Z_19A35D0C_6338_4F58_BF20_D7E7531831D9_.wvu.FilterData" localSheetId="54" hidden="1">'151C-IS'!$F$61:$F$66</definedName>
    <definedName name="Z_19A35D0C_6338_4F58_BF20_D7E7531831D9_.wvu.FilterData" localSheetId="58" hidden="1">'179T-IS'!$F$61:$F$66</definedName>
    <definedName name="Z_19A35D0C_6338_4F58_BF20_D7E7531831D9_.wvu.FilterData" localSheetId="27" hidden="1">'1M-IS'!$F$61:$F$66</definedName>
    <definedName name="Z_19A35D0C_6338_4F58_BF20_D7E7531831D9_.wvu.FilterData" localSheetId="42" hidden="1">'201K-IS'!$F$61:$F$66</definedName>
    <definedName name="Z_19A35D0C_6338_4F58_BF20_D7E7531831D9_.wvu.FilterData" localSheetId="44" hidden="1">'20B-IS'!$F$61:$F$66</definedName>
    <definedName name="Z_19A35D0C_6338_4F58_BF20_D7E7531831D9_.wvu.FilterData" localSheetId="60" hidden="1">'259Q-IS'!$F$61:$F$66</definedName>
    <definedName name="Z_19A35D0C_6338_4F58_BF20_D7E7531831D9_.wvu.FilterData" localSheetId="46" hidden="1">'347K-IS'!$F$61:$F$66</definedName>
    <definedName name="Z_19A35D0C_6338_4F58_BF20_D7E7531831D9_.wvu.FilterData" localSheetId="79" hidden="1">'388G-IS'!$F$61:$F$66</definedName>
    <definedName name="Z_19A35D0C_6338_4F58_BF20_D7E7531831D9_.wvu.FilterData" localSheetId="38" hidden="1">'40M-IS'!$F$61:$F$66</definedName>
    <definedName name="Z_19A35D0C_6338_4F58_BF20_D7E7531831D9_.wvu.FilterData" localSheetId="40" hidden="1">'420G-IS'!$F$61:$F$66</definedName>
    <definedName name="Z_19A35D0C_6338_4F58_BF20_D7E7531831D9_.wvu.FilterData" localSheetId="64" hidden="1">'567C-IS'!$F$61:$F$66</definedName>
    <definedName name="Z_19A35D0C_6338_4F58_BF20_D7E7531831D9_.wvu.FilterData" localSheetId="66" hidden="1">'575B-IS'!$F$61:$F$66</definedName>
    <definedName name="Z_19A35D0C_6338_4F58_BF20_D7E7531831D9_.wvu.FilterData" localSheetId="50" hidden="1">'60MP-IS'!$F$61:$F$66</definedName>
    <definedName name="Z_19A35D0C_6338_4F58_BF20_D7E7531831D9_.wvu.FilterData" localSheetId="56" hidden="1">'6O''C-IS'!$F$61:$F$66</definedName>
    <definedName name="Z_19A35D0C_6338_4F58_BF20_D7E7531831D9_.wvu.FilterData" localSheetId="70" hidden="1">'850C-IS'!$F$61:$F$66</definedName>
    <definedName name="Z_19A35D0C_6338_4F58_BF20_D7E7531831D9_.wvu.FilterData" localSheetId="77" hidden="1">'QV1-IS'!$F$61:$F$66</definedName>
    <definedName name="Z_19A35D0C_6338_4F58_BF20_D7E7531831D9_.wvu.PrintArea" localSheetId="74" hidden="1">'105M-NR'!$A$56:$V$139</definedName>
    <definedName name="Z_19A35D0C_6338_4F58_BF20_D7E7531831D9_.wvu.PrintArea" localSheetId="76" hidden="1">'105M-OS'!$A$1:$M$50</definedName>
    <definedName name="Z_19A35D0C_6338_4F58_BF20_D7E7531831D9_.wvu.PrintArea" localSheetId="15" hidden="1">'117C-NR'!$A$56:$V$139</definedName>
    <definedName name="Z_19A35D0C_6338_4F58_BF20_D7E7531831D9_.wvu.PrintArea" localSheetId="49" hidden="1">'117C-OS'!$A$1:$M$50</definedName>
    <definedName name="Z_19A35D0C_6338_4F58_BF20_D7E7531831D9_.wvu.PrintArea" localSheetId="16" hidden="1">'120C-NR'!$A$56:$V$139</definedName>
    <definedName name="Z_19A35D0C_6338_4F58_BF20_D7E7531831D9_.wvu.PrintArea" localSheetId="63" hidden="1">'120C-OS'!$A$1:$M$50</definedName>
    <definedName name="Z_19A35D0C_6338_4F58_BF20_D7E7531831D9_.wvu.PrintArea" localSheetId="17" hidden="1">'126P-NR'!$A$56:$V$139</definedName>
    <definedName name="Z_19A35D0C_6338_4F58_BF20_D7E7531831D9_.wvu.PrintArea" localSheetId="37" hidden="1">'126P-OS'!$A$1:$M$50</definedName>
    <definedName name="Z_19A35D0C_6338_4F58_BF20_D7E7531831D9_.wvu.PrintArea" localSheetId="18" hidden="1">'130P-NR'!$A$56:$V$139</definedName>
    <definedName name="Z_19A35D0C_6338_4F58_BF20_D7E7531831D9_.wvu.PrintArea" localSheetId="53" hidden="1">'130P-OS'!$A$1:$M$50</definedName>
    <definedName name="Z_19A35D0C_6338_4F58_BF20_D7E7531831D9_.wvu.PrintArea" localSheetId="19" hidden="1">'135K-NR'!$A$56:$V$140</definedName>
    <definedName name="Z_19A35D0C_6338_4F58_BF20_D7E7531831D9_.wvu.PrintArea" localSheetId="35" hidden="1">'135K-OS'!$A$1:$M$50</definedName>
    <definedName name="Z_19A35D0C_6338_4F58_BF20_D7E7531831D9_.wvu.PrintArea" localSheetId="20" hidden="1">'151C-NR'!$A$56:$V$139</definedName>
    <definedName name="Z_19A35D0C_6338_4F58_BF20_D7E7531831D9_.wvu.PrintArea" localSheetId="55" hidden="1">'151C-OS'!$A$1:$M$50</definedName>
    <definedName name="Z_19A35D0C_6338_4F58_BF20_D7E7531831D9_.wvu.PrintArea" localSheetId="21" hidden="1">'179T-NR'!$A$56:$V$139</definedName>
    <definedName name="Z_19A35D0C_6338_4F58_BF20_D7E7531831D9_.wvu.PrintArea" localSheetId="59" hidden="1">'179T-OS'!$A$1:$M$50</definedName>
    <definedName name="Z_19A35D0C_6338_4F58_BF20_D7E7531831D9_.wvu.PrintArea" localSheetId="11" hidden="1">'1M-DUMMY'!$A$56:$V$139</definedName>
    <definedName name="Z_19A35D0C_6338_4F58_BF20_D7E7531831D9_.wvu.PrintArea" localSheetId="14" hidden="1">'1M-NR'!$A$56:$V$139</definedName>
    <definedName name="Z_19A35D0C_6338_4F58_BF20_D7E7531831D9_.wvu.PrintArea" localSheetId="28" hidden="1">'1M-OS'!$A$1:$M$50</definedName>
    <definedName name="Z_19A35D0C_6338_4F58_BF20_D7E7531831D9_.wvu.PrintArea" localSheetId="22" hidden="1">'201K-NR'!$A$56:$V$139</definedName>
    <definedName name="Z_19A35D0C_6338_4F58_BF20_D7E7531831D9_.wvu.PrintArea" localSheetId="43" hidden="1">'201K-OS'!$A$1:$M$50</definedName>
    <definedName name="Z_19A35D0C_6338_4F58_BF20_D7E7531831D9_.wvu.PrintArea" localSheetId="73" hidden="1">'20B-NR'!$A$56:$V$139</definedName>
    <definedName name="Z_19A35D0C_6338_4F58_BF20_D7E7531831D9_.wvu.PrintArea" localSheetId="45" hidden="1">'20B-OS'!$A$1:$M$50</definedName>
    <definedName name="Z_19A35D0C_6338_4F58_BF20_D7E7531831D9_.wvu.PrintArea" localSheetId="23" hidden="1">'220L-NR'!$A$56:$V$139</definedName>
    <definedName name="Z_19A35D0C_6338_4F58_BF20_D7E7531831D9_.wvu.PrintArea" localSheetId="24" hidden="1">'259Q-NR'!$A$56:$V$139</definedName>
    <definedName name="Z_19A35D0C_6338_4F58_BF20_D7E7531831D9_.wvu.PrintArea" localSheetId="61" hidden="1">'259Q-OS'!$A$1:$M$50</definedName>
    <definedName name="Z_19A35D0C_6338_4F58_BF20_D7E7531831D9_.wvu.PrintArea" localSheetId="25" hidden="1">'347K-NR'!$A$56:$V$139</definedName>
    <definedName name="Z_19A35D0C_6338_4F58_BF20_D7E7531831D9_.wvu.PrintArea" localSheetId="47" hidden="1">'347K-OS'!$A$1:$M$50</definedName>
    <definedName name="Z_19A35D0C_6338_4F58_BF20_D7E7531831D9_.wvu.PrintArea" localSheetId="26" hidden="1">'388G-NR'!$A$56:$V$139</definedName>
    <definedName name="Z_19A35D0C_6338_4F58_BF20_D7E7531831D9_.wvu.PrintArea" localSheetId="80" hidden="1">'388G-OS'!$A$1:$M$50</definedName>
    <definedName name="Z_19A35D0C_6338_4F58_BF20_D7E7531831D9_.wvu.PrintArea" localSheetId="29" hidden="1">'40M-NR'!$A$56:$V$139</definedName>
    <definedName name="Z_19A35D0C_6338_4F58_BF20_D7E7531831D9_.wvu.PrintArea" localSheetId="39" hidden="1">'40M-OS'!$A$1:$M$50</definedName>
    <definedName name="Z_19A35D0C_6338_4F58_BF20_D7E7531831D9_.wvu.PrintArea" localSheetId="30" hidden="1">'420G-NR'!$A$56:$V$139</definedName>
    <definedName name="Z_19A35D0C_6338_4F58_BF20_D7E7531831D9_.wvu.PrintArea" localSheetId="41" hidden="1">'420G-OS'!$A$1:$M$50</definedName>
    <definedName name="Z_19A35D0C_6338_4F58_BF20_D7E7531831D9_.wvu.PrintArea" localSheetId="31" hidden="1">'567C-NR'!$A$56:$V$139</definedName>
    <definedName name="Z_19A35D0C_6338_4F58_BF20_D7E7531831D9_.wvu.PrintArea" localSheetId="65" hidden="1">'567C-OS'!$A$1:$M$50</definedName>
    <definedName name="Z_19A35D0C_6338_4F58_BF20_D7E7531831D9_.wvu.PrintArea" localSheetId="67" hidden="1">'575B-OS'!$A$1:$M$50</definedName>
    <definedName name="Z_19A35D0C_6338_4F58_BF20_D7E7531831D9_.wvu.PrintArea" localSheetId="33" hidden="1">'60MP-NR'!$A$56:$V$139</definedName>
    <definedName name="Z_19A35D0C_6338_4F58_BF20_D7E7531831D9_.wvu.PrintArea" localSheetId="51" hidden="1">'60MP-OS'!$A$1:$M$50</definedName>
    <definedName name="Z_19A35D0C_6338_4F58_BF20_D7E7531831D9_.wvu.PrintArea" localSheetId="32" hidden="1">'6OC-NR'!$A$56:$V$139</definedName>
    <definedName name="Z_19A35D0C_6338_4F58_BF20_D7E7531831D9_.wvu.PrintArea" localSheetId="57" hidden="1">'6O''C-OS'!$A$1:$M$50</definedName>
    <definedName name="Z_19A35D0C_6338_4F58_BF20_D7E7531831D9_.wvu.PrintArea" localSheetId="69" hidden="1">'850C-NR'!$A$56:$V$139</definedName>
    <definedName name="Z_19A35D0C_6338_4F58_BF20_D7E7531831D9_.wvu.PrintArea" localSheetId="72" hidden="1">'850C-NR_PC'!$A$56:$V$139</definedName>
    <definedName name="Z_19A35D0C_6338_4F58_BF20_D7E7531831D9_.wvu.PrintArea" localSheetId="71" hidden="1">'850C-OS'!$A$1:$M$50</definedName>
    <definedName name="Z_19A35D0C_6338_4F58_BF20_D7E7531831D9_.wvu.PrintArea" localSheetId="68" hidden="1">'QV1-NR'!$A$56:$V$139</definedName>
    <definedName name="Z_19A35D0C_6338_4F58_BF20_D7E7531831D9_.wvu.PrintArea" localSheetId="78" hidden="1">'QV1-OS'!$A$1:$M$50</definedName>
    <definedName name="Z_19A35D0C_6338_4F58_BF20_D7E7531831D9_.wvu.Rows" localSheetId="74" hidden="1">'105M-NR'!$89:$114</definedName>
    <definedName name="Z_19A35D0C_6338_4F58_BF20_D7E7531831D9_.wvu.Rows" localSheetId="15" hidden="1">'117C-NR'!$89:$114</definedName>
    <definedName name="Z_19A35D0C_6338_4F58_BF20_D7E7531831D9_.wvu.Rows" localSheetId="16" hidden="1">'120C-NR'!$89:$114</definedName>
    <definedName name="Z_19A35D0C_6338_4F58_BF20_D7E7531831D9_.wvu.Rows" localSheetId="17" hidden="1">'126P-NR'!$89:$114</definedName>
    <definedName name="Z_19A35D0C_6338_4F58_BF20_D7E7531831D9_.wvu.Rows" localSheetId="18" hidden="1">'130P-NR'!$89:$114</definedName>
    <definedName name="Z_19A35D0C_6338_4F58_BF20_D7E7531831D9_.wvu.Rows" localSheetId="19" hidden="1">'135K-NR'!$90:$115</definedName>
    <definedName name="Z_19A35D0C_6338_4F58_BF20_D7E7531831D9_.wvu.Rows" localSheetId="20" hidden="1">'151C-NR'!$89:$114</definedName>
    <definedName name="Z_19A35D0C_6338_4F58_BF20_D7E7531831D9_.wvu.Rows" localSheetId="21" hidden="1">'179T-NR'!$89:$114</definedName>
    <definedName name="Z_19A35D0C_6338_4F58_BF20_D7E7531831D9_.wvu.Rows" localSheetId="11" hidden="1">'1M-DUMMY'!$89:$114</definedName>
    <definedName name="Z_19A35D0C_6338_4F58_BF20_D7E7531831D9_.wvu.Rows" localSheetId="14" hidden="1">'1M-NR'!$89:$114</definedName>
    <definedName name="Z_19A35D0C_6338_4F58_BF20_D7E7531831D9_.wvu.Rows" localSheetId="22" hidden="1">'201K-NR'!$89:$114</definedName>
    <definedName name="Z_19A35D0C_6338_4F58_BF20_D7E7531831D9_.wvu.Rows" localSheetId="73" hidden="1">'20B-NR'!$89:$114</definedName>
    <definedName name="Z_19A35D0C_6338_4F58_BF20_D7E7531831D9_.wvu.Rows" localSheetId="23" hidden="1">'220L-NR'!$89:$114</definedName>
    <definedName name="Z_19A35D0C_6338_4F58_BF20_D7E7531831D9_.wvu.Rows" localSheetId="24" hidden="1">'259Q-NR'!$89:$114</definedName>
    <definedName name="Z_19A35D0C_6338_4F58_BF20_D7E7531831D9_.wvu.Rows" localSheetId="25" hidden="1">'347K-NR'!$89:$114</definedName>
    <definedName name="Z_19A35D0C_6338_4F58_BF20_D7E7531831D9_.wvu.Rows" localSheetId="26" hidden="1">'388G-NR'!$89:$114</definedName>
    <definedName name="Z_19A35D0C_6338_4F58_BF20_D7E7531831D9_.wvu.Rows" localSheetId="29" hidden="1">'40M-NR'!$89:$114</definedName>
    <definedName name="Z_19A35D0C_6338_4F58_BF20_D7E7531831D9_.wvu.Rows" localSheetId="30" hidden="1">'420G-NR'!$89:$114</definedName>
    <definedName name="Z_19A35D0C_6338_4F58_BF20_D7E7531831D9_.wvu.Rows" localSheetId="31" hidden="1">'567C-NR'!$89:$114</definedName>
    <definedName name="Z_19A35D0C_6338_4F58_BF20_D7E7531831D9_.wvu.Rows" localSheetId="33" hidden="1">'60MP-NR'!$89:$114</definedName>
    <definedName name="Z_19A35D0C_6338_4F58_BF20_D7E7531831D9_.wvu.Rows" localSheetId="32" hidden="1">'6OC-NR'!$89:$114</definedName>
    <definedName name="Z_19A35D0C_6338_4F58_BF20_D7E7531831D9_.wvu.Rows" localSheetId="69" hidden="1">'850C-NR'!$89:$114</definedName>
    <definedName name="Z_19A35D0C_6338_4F58_BF20_D7E7531831D9_.wvu.Rows" localSheetId="72" hidden="1">'850C-NR_PC'!$89:$114</definedName>
    <definedName name="Z_19A35D0C_6338_4F58_BF20_D7E7531831D9_.wvu.Rows" localSheetId="68" hidden="1">'QV1-NR'!$89:$114</definedName>
    <definedName name="Z_220E7B88_B43E_4336_A5A3_FD1B94C2BAC2_.wvu.FilterData" localSheetId="75" hidden="1">'105M-IS'!$F$61:$F$66</definedName>
    <definedName name="Z_220E7B88_B43E_4336_A5A3_FD1B94C2BAC2_.wvu.FilterData" localSheetId="48" hidden="1">'117C-IS'!$F$61:$F$66</definedName>
    <definedName name="Z_220E7B88_B43E_4336_A5A3_FD1B94C2BAC2_.wvu.FilterData" localSheetId="62" hidden="1">'120C-IS'!$F$61:$F$66</definedName>
    <definedName name="Z_220E7B88_B43E_4336_A5A3_FD1B94C2BAC2_.wvu.FilterData" localSheetId="36" hidden="1">'126P-IS'!$F$61:$F$66</definedName>
    <definedName name="Z_220E7B88_B43E_4336_A5A3_FD1B94C2BAC2_.wvu.FilterData" localSheetId="52" hidden="1">'130P-IS'!$F$61:$F$66</definedName>
    <definedName name="Z_220E7B88_B43E_4336_A5A3_FD1B94C2BAC2_.wvu.FilterData" localSheetId="34" hidden="1">'135K-IS'!$F$61:$F$66</definedName>
    <definedName name="Z_220E7B88_B43E_4336_A5A3_FD1B94C2BAC2_.wvu.FilterData" localSheetId="54" hidden="1">'151C-IS'!$F$61:$F$66</definedName>
    <definedName name="Z_220E7B88_B43E_4336_A5A3_FD1B94C2BAC2_.wvu.FilterData" localSheetId="58" hidden="1">'179T-IS'!$F$61:$F$66</definedName>
    <definedName name="Z_220E7B88_B43E_4336_A5A3_FD1B94C2BAC2_.wvu.FilterData" localSheetId="27" hidden="1">'1M-IS'!$F$61:$F$66</definedName>
    <definedName name="Z_220E7B88_B43E_4336_A5A3_FD1B94C2BAC2_.wvu.FilterData" localSheetId="42" hidden="1">'201K-IS'!$F$61:$F$66</definedName>
    <definedName name="Z_220E7B88_B43E_4336_A5A3_FD1B94C2BAC2_.wvu.FilterData" localSheetId="44" hidden="1">'20B-IS'!$F$61:$F$66</definedName>
    <definedName name="Z_220E7B88_B43E_4336_A5A3_FD1B94C2BAC2_.wvu.FilterData" localSheetId="60" hidden="1">'259Q-IS'!$F$61:$F$66</definedName>
    <definedName name="Z_220E7B88_B43E_4336_A5A3_FD1B94C2BAC2_.wvu.FilterData" localSheetId="46" hidden="1">'347K-IS'!$F$61:$F$66</definedName>
    <definedName name="Z_220E7B88_B43E_4336_A5A3_FD1B94C2BAC2_.wvu.FilterData" localSheetId="79" hidden="1">'388G-IS'!$F$61:$F$66</definedName>
    <definedName name="Z_220E7B88_B43E_4336_A5A3_FD1B94C2BAC2_.wvu.FilterData" localSheetId="38" hidden="1">'40M-IS'!$F$61:$F$66</definedName>
    <definedName name="Z_220E7B88_B43E_4336_A5A3_FD1B94C2BAC2_.wvu.FilterData" localSheetId="40" hidden="1">'420G-IS'!$F$61:$F$66</definedName>
    <definedName name="Z_220E7B88_B43E_4336_A5A3_FD1B94C2BAC2_.wvu.FilterData" localSheetId="64" hidden="1">'567C-IS'!$F$61:$F$66</definedName>
    <definedName name="Z_220E7B88_B43E_4336_A5A3_FD1B94C2BAC2_.wvu.FilterData" localSheetId="66" hidden="1">'575B-IS'!$F$61:$F$66</definedName>
    <definedName name="Z_220E7B88_B43E_4336_A5A3_FD1B94C2BAC2_.wvu.FilterData" localSheetId="50" hidden="1">'60MP-IS'!$F$61:$F$66</definedName>
    <definedName name="Z_220E7B88_B43E_4336_A5A3_FD1B94C2BAC2_.wvu.FilterData" localSheetId="56" hidden="1">'6O''C-IS'!$F$61:$F$66</definedName>
    <definedName name="Z_220E7B88_B43E_4336_A5A3_FD1B94C2BAC2_.wvu.FilterData" localSheetId="70" hidden="1">'850C-IS'!$F$61:$F$66</definedName>
    <definedName name="Z_220E7B88_B43E_4336_A5A3_FD1B94C2BAC2_.wvu.FilterData" localSheetId="77" hidden="1">'QV1-IS'!$F$61:$F$66</definedName>
    <definedName name="Z_220E7B88_B43E_4336_A5A3_FD1B94C2BAC2_.wvu.PrintArea" localSheetId="74" hidden="1">'105M-NR'!$A$56:$V$139</definedName>
    <definedName name="Z_220E7B88_B43E_4336_A5A3_FD1B94C2BAC2_.wvu.PrintArea" localSheetId="76" hidden="1">'105M-OS'!$A$1:$M$50</definedName>
    <definedName name="Z_220E7B88_B43E_4336_A5A3_FD1B94C2BAC2_.wvu.PrintArea" localSheetId="15" hidden="1">'117C-NR'!$A$56:$V$139</definedName>
    <definedName name="Z_220E7B88_B43E_4336_A5A3_FD1B94C2BAC2_.wvu.PrintArea" localSheetId="49" hidden="1">'117C-OS'!$A$1:$M$50</definedName>
    <definedName name="Z_220E7B88_B43E_4336_A5A3_FD1B94C2BAC2_.wvu.PrintArea" localSheetId="16" hidden="1">'120C-NR'!$A$56:$V$139</definedName>
    <definedName name="Z_220E7B88_B43E_4336_A5A3_FD1B94C2BAC2_.wvu.PrintArea" localSheetId="63" hidden="1">'120C-OS'!$A$1:$M$50</definedName>
    <definedName name="Z_220E7B88_B43E_4336_A5A3_FD1B94C2BAC2_.wvu.PrintArea" localSheetId="17" hidden="1">'126P-NR'!$A$56:$V$139</definedName>
    <definedName name="Z_220E7B88_B43E_4336_A5A3_FD1B94C2BAC2_.wvu.PrintArea" localSheetId="37" hidden="1">'126P-OS'!$A$1:$M$50</definedName>
    <definedName name="Z_220E7B88_B43E_4336_A5A3_FD1B94C2BAC2_.wvu.PrintArea" localSheetId="18" hidden="1">'130P-NR'!$A$56:$V$139</definedName>
    <definedName name="Z_220E7B88_B43E_4336_A5A3_FD1B94C2BAC2_.wvu.PrintArea" localSheetId="53" hidden="1">'130P-OS'!$A$1:$M$50</definedName>
    <definedName name="Z_220E7B88_B43E_4336_A5A3_FD1B94C2BAC2_.wvu.PrintArea" localSheetId="19" hidden="1">'135K-NR'!$A$56:$V$140</definedName>
    <definedName name="Z_220E7B88_B43E_4336_A5A3_FD1B94C2BAC2_.wvu.PrintArea" localSheetId="35" hidden="1">'135K-OS'!$A$1:$M$50</definedName>
    <definedName name="Z_220E7B88_B43E_4336_A5A3_FD1B94C2BAC2_.wvu.PrintArea" localSheetId="20" hidden="1">'151C-NR'!$A$56:$V$139</definedName>
    <definedName name="Z_220E7B88_B43E_4336_A5A3_FD1B94C2BAC2_.wvu.PrintArea" localSheetId="55" hidden="1">'151C-OS'!$A$1:$M$50</definedName>
    <definedName name="Z_220E7B88_B43E_4336_A5A3_FD1B94C2BAC2_.wvu.PrintArea" localSheetId="21" hidden="1">'179T-NR'!$A$56:$V$139</definedName>
    <definedName name="Z_220E7B88_B43E_4336_A5A3_FD1B94C2BAC2_.wvu.PrintArea" localSheetId="59" hidden="1">'179T-OS'!$A$1:$M$50</definedName>
    <definedName name="Z_220E7B88_B43E_4336_A5A3_FD1B94C2BAC2_.wvu.PrintArea" localSheetId="11" hidden="1">'1M-DUMMY'!$A$56:$V$139</definedName>
    <definedName name="Z_220E7B88_B43E_4336_A5A3_FD1B94C2BAC2_.wvu.PrintArea" localSheetId="14" hidden="1">'1M-NR'!$A$56:$V$139</definedName>
    <definedName name="Z_220E7B88_B43E_4336_A5A3_FD1B94C2BAC2_.wvu.PrintArea" localSheetId="28" hidden="1">'1M-OS'!$A$1:$M$50</definedName>
    <definedName name="Z_220E7B88_B43E_4336_A5A3_FD1B94C2BAC2_.wvu.PrintArea" localSheetId="22" hidden="1">'201K-NR'!$A$56:$V$139</definedName>
    <definedName name="Z_220E7B88_B43E_4336_A5A3_FD1B94C2BAC2_.wvu.PrintArea" localSheetId="43" hidden="1">'201K-OS'!$A$1:$M$50</definedName>
    <definedName name="Z_220E7B88_B43E_4336_A5A3_FD1B94C2BAC2_.wvu.PrintArea" localSheetId="73" hidden="1">'20B-NR'!$A$56:$V$139</definedName>
    <definedName name="Z_220E7B88_B43E_4336_A5A3_FD1B94C2BAC2_.wvu.PrintArea" localSheetId="45" hidden="1">'20B-OS'!$A$1:$M$50</definedName>
    <definedName name="Z_220E7B88_B43E_4336_A5A3_FD1B94C2BAC2_.wvu.PrintArea" localSheetId="23" hidden="1">'220L-NR'!$A$56:$V$139</definedName>
    <definedName name="Z_220E7B88_B43E_4336_A5A3_FD1B94C2BAC2_.wvu.PrintArea" localSheetId="24" hidden="1">'259Q-NR'!$A$56:$V$139</definedName>
    <definedName name="Z_220E7B88_B43E_4336_A5A3_FD1B94C2BAC2_.wvu.PrintArea" localSheetId="61" hidden="1">'259Q-OS'!$A$1:$M$50</definedName>
    <definedName name="Z_220E7B88_B43E_4336_A5A3_FD1B94C2BAC2_.wvu.PrintArea" localSheetId="25" hidden="1">'347K-NR'!$A$56:$V$139</definedName>
    <definedName name="Z_220E7B88_B43E_4336_A5A3_FD1B94C2BAC2_.wvu.PrintArea" localSheetId="47" hidden="1">'347K-OS'!$A$1:$M$50</definedName>
    <definedName name="Z_220E7B88_B43E_4336_A5A3_FD1B94C2BAC2_.wvu.PrintArea" localSheetId="26" hidden="1">'388G-NR'!$A$56:$V$139</definedName>
    <definedName name="Z_220E7B88_B43E_4336_A5A3_FD1B94C2BAC2_.wvu.PrintArea" localSheetId="80" hidden="1">'388G-OS'!$A$1:$M$50</definedName>
    <definedName name="Z_220E7B88_B43E_4336_A5A3_FD1B94C2BAC2_.wvu.PrintArea" localSheetId="29" hidden="1">'40M-NR'!$A$56:$V$139</definedName>
    <definedName name="Z_220E7B88_B43E_4336_A5A3_FD1B94C2BAC2_.wvu.PrintArea" localSheetId="39" hidden="1">'40M-OS'!$A$1:$M$50</definedName>
    <definedName name="Z_220E7B88_B43E_4336_A5A3_FD1B94C2BAC2_.wvu.PrintArea" localSheetId="30" hidden="1">'420G-NR'!$A$56:$V$139</definedName>
    <definedName name="Z_220E7B88_B43E_4336_A5A3_FD1B94C2BAC2_.wvu.PrintArea" localSheetId="41" hidden="1">'420G-OS'!$A$1:$M$50</definedName>
    <definedName name="Z_220E7B88_B43E_4336_A5A3_FD1B94C2BAC2_.wvu.PrintArea" localSheetId="31" hidden="1">'567C-NR'!$A$56:$V$139</definedName>
    <definedName name="Z_220E7B88_B43E_4336_A5A3_FD1B94C2BAC2_.wvu.PrintArea" localSheetId="65" hidden="1">'567C-OS'!$A$1:$M$50</definedName>
    <definedName name="Z_220E7B88_B43E_4336_A5A3_FD1B94C2BAC2_.wvu.PrintArea" localSheetId="67" hidden="1">'575B-OS'!$A$1:$M$50</definedName>
    <definedName name="Z_220E7B88_B43E_4336_A5A3_FD1B94C2BAC2_.wvu.PrintArea" localSheetId="33" hidden="1">'60MP-NR'!$A$56:$V$139</definedName>
    <definedName name="Z_220E7B88_B43E_4336_A5A3_FD1B94C2BAC2_.wvu.PrintArea" localSheetId="51" hidden="1">'60MP-OS'!$A$1:$M$50</definedName>
    <definedName name="Z_220E7B88_B43E_4336_A5A3_FD1B94C2BAC2_.wvu.PrintArea" localSheetId="32" hidden="1">'6OC-NR'!$A$56:$V$139</definedName>
    <definedName name="Z_220E7B88_B43E_4336_A5A3_FD1B94C2BAC2_.wvu.PrintArea" localSheetId="57" hidden="1">'6O''C-OS'!$A$1:$M$50</definedName>
    <definedName name="Z_220E7B88_B43E_4336_A5A3_FD1B94C2BAC2_.wvu.PrintArea" localSheetId="69" hidden="1">'850C-NR'!$A$56:$V$139</definedName>
    <definedName name="Z_220E7B88_B43E_4336_A5A3_FD1B94C2BAC2_.wvu.PrintArea" localSheetId="72" hidden="1">'850C-NR_PC'!$A$56:$V$139</definedName>
    <definedName name="Z_220E7B88_B43E_4336_A5A3_FD1B94C2BAC2_.wvu.PrintArea" localSheetId="71" hidden="1">'850C-OS'!$A$1:$M$50</definedName>
    <definedName name="Z_220E7B88_B43E_4336_A5A3_FD1B94C2BAC2_.wvu.PrintArea" localSheetId="68" hidden="1">'QV1-NR'!$A$56:$V$139</definedName>
    <definedName name="Z_220E7B88_B43E_4336_A5A3_FD1B94C2BAC2_.wvu.PrintArea" localSheetId="78" hidden="1">'QV1-OS'!$A$1:$M$50</definedName>
    <definedName name="Z_220E7B88_B43E_4336_A5A3_FD1B94C2BAC2_.wvu.Rows" localSheetId="74" hidden="1">'105M-NR'!$89:$114</definedName>
    <definedName name="Z_220E7B88_B43E_4336_A5A3_FD1B94C2BAC2_.wvu.Rows" localSheetId="15" hidden="1">'117C-NR'!$89:$114</definedName>
    <definedName name="Z_220E7B88_B43E_4336_A5A3_FD1B94C2BAC2_.wvu.Rows" localSheetId="16" hidden="1">'120C-NR'!$89:$114</definedName>
    <definedName name="Z_220E7B88_B43E_4336_A5A3_FD1B94C2BAC2_.wvu.Rows" localSheetId="17" hidden="1">'126P-NR'!$89:$114</definedName>
    <definedName name="Z_220E7B88_B43E_4336_A5A3_FD1B94C2BAC2_.wvu.Rows" localSheetId="18" hidden="1">'130P-NR'!$89:$114</definedName>
    <definedName name="Z_220E7B88_B43E_4336_A5A3_FD1B94C2BAC2_.wvu.Rows" localSheetId="19" hidden="1">'135K-NR'!$90:$115</definedName>
    <definedName name="Z_220E7B88_B43E_4336_A5A3_FD1B94C2BAC2_.wvu.Rows" localSheetId="20" hidden="1">'151C-NR'!$89:$114</definedName>
    <definedName name="Z_220E7B88_B43E_4336_A5A3_FD1B94C2BAC2_.wvu.Rows" localSheetId="21" hidden="1">'179T-NR'!$89:$114</definedName>
    <definedName name="Z_220E7B88_B43E_4336_A5A3_FD1B94C2BAC2_.wvu.Rows" localSheetId="11" hidden="1">'1M-DUMMY'!$89:$114</definedName>
    <definedName name="Z_220E7B88_B43E_4336_A5A3_FD1B94C2BAC2_.wvu.Rows" localSheetId="14" hidden="1">'1M-NR'!$89:$114</definedName>
    <definedName name="Z_220E7B88_B43E_4336_A5A3_FD1B94C2BAC2_.wvu.Rows" localSheetId="22" hidden="1">'201K-NR'!$89:$114</definedName>
    <definedName name="Z_220E7B88_B43E_4336_A5A3_FD1B94C2BAC2_.wvu.Rows" localSheetId="73" hidden="1">'20B-NR'!$89:$114</definedName>
    <definedName name="Z_220E7B88_B43E_4336_A5A3_FD1B94C2BAC2_.wvu.Rows" localSheetId="23" hidden="1">'220L-NR'!$89:$114</definedName>
    <definedName name="Z_220E7B88_B43E_4336_A5A3_FD1B94C2BAC2_.wvu.Rows" localSheetId="24" hidden="1">'259Q-NR'!$89:$114</definedName>
    <definedName name="Z_220E7B88_B43E_4336_A5A3_FD1B94C2BAC2_.wvu.Rows" localSheetId="25" hidden="1">'347K-NR'!$89:$114</definedName>
    <definedName name="Z_220E7B88_B43E_4336_A5A3_FD1B94C2BAC2_.wvu.Rows" localSheetId="26" hidden="1">'388G-NR'!$89:$114</definedName>
    <definedName name="Z_220E7B88_B43E_4336_A5A3_FD1B94C2BAC2_.wvu.Rows" localSheetId="29" hidden="1">'40M-NR'!$89:$114</definedName>
    <definedName name="Z_220E7B88_B43E_4336_A5A3_FD1B94C2BAC2_.wvu.Rows" localSheetId="30" hidden="1">'420G-NR'!$89:$114</definedName>
    <definedName name="Z_220E7B88_B43E_4336_A5A3_FD1B94C2BAC2_.wvu.Rows" localSheetId="31" hidden="1">'567C-NR'!$89:$114</definedName>
    <definedName name="Z_220E7B88_B43E_4336_A5A3_FD1B94C2BAC2_.wvu.Rows" localSheetId="33" hidden="1">'60MP-NR'!$89:$114</definedName>
    <definedName name="Z_220E7B88_B43E_4336_A5A3_FD1B94C2BAC2_.wvu.Rows" localSheetId="32" hidden="1">'6OC-NR'!$89:$114</definedName>
    <definedName name="Z_220E7B88_B43E_4336_A5A3_FD1B94C2BAC2_.wvu.Rows" localSheetId="69" hidden="1">'850C-NR'!$89:$114</definedName>
    <definedName name="Z_220E7B88_B43E_4336_A5A3_FD1B94C2BAC2_.wvu.Rows" localSheetId="72" hidden="1">'850C-NR_PC'!$89:$114</definedName>
    <definedName name="Z_220E7B88_B43E_4336_A5A3_FD1B94C2BAC2_.wvu.Rows" localSheetId="68" hidden="1">'QV1-NR'!$89:$114</definedName>
    <definedName name="Z_41EF77AE_CF98_4F0B_8300_1A994D21F537_.wvu.FilterData" localSheetId="75" hidden="1">'105M-IS'!$F$61:$F$66</definedName>
    <definedName name="Z_41EF77AE_CF98_4F0B_8300_1A994D21F537_.wvu.FilterData" localSheetId="48" hidden="1">'117C-IS'!$F$61:$F$66</definedName>
    <definedName name="Z_41EF77AE_CF98_4F0B_8300_1A994D21F537_.wvu.FilterData" localSheetId="62" hidden="1">'120C-IS'!$F$61:$F$66</definedName>
    <definedName name="Z_41EF77AE_CF98_4F0B_8300_1A994D21F537_.wvu.FilterData" localSheetId="36" hidden="1">'126P-IS'!$F$61:$F$66</definedName>
    <definedName name="Z_41EF77AE_CF98_4F0B_8300_1A994D21F537_.wvu.FilterData" localSheetId="52" hidden="1">'130P-IS'!$F$61:$F$66</definedName>
    <definedName name="Z_41EF77AE_CF98_4F0B_8300_1A994D21F537_.wvu.FilterData" localSheetId="34" hidden="1">'135K-IS'!$F$61:$F$66</definedName>
    <definedName name="Z_41EF77AE_CF98_4F0B_8300_1A994D21F537_.wvu.FilterData" localSheetId="54" hidden="1">'151C-IS'!$F$61:$F$66</definedName>
    <definedName name="Z_41EF77AE_CF98_4F0B_8300_1A994D21F537_.wvu.FilterData" localSheetId="58" hidden="1">'179T-IS'!$F$61:$F$66</definedName>
    <definedName name="Z_41EF77AE_CF98_4F0B_8300_1A994D21F537_.wvu.FilterData" localSheetId="27" hidden="1">'1M-IS'!$F$61:$F$66</definedName>
    <definedName name="Z_41EF77AE_CF98_4F0B_8300_1A994D21F537_.wvu.FilterData" localSheetId="42" hidden="1">'201K-IS'!$F$61:$F$66</definedName>
    <definedName name="Z_41EF77AE_CF98_4F0B_8300_1A994D21F537_.wvu.FilterData" localSheetId="44" hidden="1">'20B-IS'!$F$61:$F$66</definedName>
    <definedName name="Z_41EF77AE_CF98_4F0B_8300_1A994D21F537_.wvu.FilterData" localSheetId="60" hidden="1">'259Q-IS'!$F$61:$F$66</definedName>
    <definedName name="Z_41EF77AE_CF98_4F0B_8300_1A994D21F537_.wvu.FilterData" localSheetId="46" hidden="1">'347K-IS'!$F$61:$F$66</definedName>
    <definedName name="Z_41EF77AE_CF98_4F0B_8300_1A994D21F537_.wvu.FilterData" localSheetId="79" hidden="1">'388G-IS'!$F$61:$F$66</definedName>
    <definedName name="Z_41EF77AE_CF98_4F0B_8300_1A994D21F537_.wvu.FilterData" localSheetId="38" hidden="1">'40M-IS'!$F$61:$F$66</definedName>
    <definedName name="Z_41EF77AE_CF98_4F0B_8300_1A994D21F537_.wvu.FilterData" localSheetId="40" hidden="1">'420G-IS'!$F$61:$F$66</definedName>
    <definedName name="Z_41EF77AE_CF98_4F0B_8300_1A994D21F537_.wvu.FilterData" localSheetId="64" hidden="1">'567C-IS'!$F$61:$F$66</definedName>
    <definedName name="Z_41EF77AE_CF98_4F0B_8300_1A994D21F537_.wvu.FilterData" localSheetId="66" hidden="1">'575B-IS'!$F$61:$F$66</definedName>
    <definedName name="Z_41EF77AE_CF98_4F0B_8300_1A994D21F537_.wvu.FilterData" localSheetId="50" hidden="1">'60MP-IS'!$F$61:$F$66</definedName>
    <definedName name="Z_41EF77AE_CF98_4F0B_8300_1A994D21F537_.wvu.FilterData" localSheetId="56" hidden="1">'6O''C-IS'!$F$61:$F$66</definedName>
    <definedName name="Z_41EF77AE_CF98_4F0B_8300_1A994D21F537_.wvu.FilterData" localSheetId="70" hidden="1">'850C-IS'!$F$61:$F$66</definedName>
    <definedName name="Z_41EF77AE_CF98_4F0B_8300_1A994D21F537_.wvu.FilterData" localSheetId="77" hidden="1">'QV1-IS'!$F$61:$F$66</definedName>
    <definedName name="Z_41EF77AE_CF98_4F0B_8300_1A994D21F537_.wvu.PrintArea" localSheetId="74" hidden="1">'105M-NR'!$A$56:$V$139</definedName>
    <definedName name="Z_41EF77AE_CF98_4F0B_8300_1A994D21F537_.wvu.PrintArea" localSheetId="76" hidden="1">'105M-OS'!$A$1:$M$50</definedName>
    <definedName name="Z_41EF77AE_CF98_4F0B_8300_1A994D21F537_.wvu.PrintArea" localSheetId="15" hidden="1">'117C-NR'!$A$56:$V$139</definedName>
    <definedName name="Z_41EF77AE_CF98_4F0B_8300_1A994D21F537_.wvu.PrintArea" localSheetId="49" hidden="1">'117C-OS'!$A$1:$M$50</definedName>
    <definedName name="Z_41EF77AE_CF98_4F0B_8300_1A994D21F537_.wvu.PrintArea" localSheetId="16" hidden="1">'120C-NR'!$A$56:$V$139</definedName>
    <definedName name="Z_41EF77AE_CF98_4F0B_8300_1A994D21F537_.wvu.PrintArea" localSheetId="63" hidden="1">'120C-OS'!$A$1:$M$50</definedName>
    <definedName name="Z_41EF77AE_CF98_4F0B_8300_1A994D21F537_.wvu.PrintArea" localSheetId="17" hidden="1">'126P-NR'!$A$56:$V$139</definedName>
    <definedName name="Z_41EF77AE_CF98_4F0B_8300_1A994D21F537_.wvu.PrintArea" localSheetId="37" hidden="1">'126P-OS'!$A$1:$M$50</definedName>
    <definedName name="Z_41EF77AE_CF98_4F0B_8300_1A994D21F537_.wvu.PrintArea" localSheetId="18" hidden="1">'130P-NR'!$A$56:$V$139</definedName>
    <definedName name="Z_41EF77AE_CF98_4F0B_8300_1A994D21F537_.wvu.PrintArea" localSheetId="53" hidden="1">'130P-OS'!$A$1:$M$50</definedName>
    <definedName name="Z_41EF77AE_CF98_4F0B_8300_1A994D21F537_.wvu.PrintArea" localSheetId="19" hidden="1">'135K-NR'!$A$56:$V$140</definedName>
    <definedName name="Z_41EF77AE_CF98_4F0B_8300_1A994D21F537_.wvu.PrintArea" localSheetId="35" hidden="1">'135K-OS'!$A$1:$M$50</definedName>
    <definedName name="Z_41EF77AE_CF98_4F0B_8300_1A994D21F537_.wvu.PrintArea" localSheetId="20" hidden="1">'151C-NR'!$A$56:$V$139</definedName>
    <definedName name="Z_41EF77AE_CF98_4F0B_8300_1A994D21F537_.wvu.PrintArea" localSheetId="55" hidden="1">'151C-OS'!$A$1:$M$50</definedName>
    <definedName name="Z_41EF77AE_CF98_4F0B_8300_1A994D21F537_.wvu.PrintArea" localSheetId="21" hidden="1">'179T-NR'!$A$56:$V$139</definedName>
    <definedName name="Z_41EF77AE_CF98_4F0B_8300_1A994D21F537_.wvu.PrintArea" localSheetId="59" hidden="1">'179T-OS'!$A$1:$M$50</definedName>
    <definedName name="Z_41EF77AE_CF98_4F0B_8300_1A994D21F537_.wvu.PrintArea" localSheetId="11" hidden="1">'1M-DUMMY'!$A$56:$V$139</definedName>
    <definedName name="Z_41EF77AE_CF98_4F0B_8300_1A994D21F537_.wvu.PrintArea" localSheetId="14" hidden="1">'1M-NR'!$A$56:$V$139</definedName>
    <definedName name="Z_41EF77AE_CF98_4F0B_8300_1A994D21F537_.wvu.PrintArea" localSheetId="28" hidden="1">'1M-OS'!$A$1:$M$50</definedName>
    <definedName name="Z_41EF77AE_CF98_4F0B_8300_1A994D21F537_.wvu.PrintArea" localSheetId="22" hidden="1">'201K-NR'!$A$56:$V$139</definedName>
    <definedName name="Z_41EF77AE_CF98_4F0B_8300_1A994D21F537_.wvu.PrintArea" localSheetId="43" hidden="1">'201K-OS'!$A$1:$M$50</definedName>
    <definedName name="Z_41EF77AE_CF98_4F0B_8300_1A994D21F537_.wvu.PrintArea" localSheetId="73" hidden="1">'20B-NR'!$A$56:$V$139</definedName>
    <definedName name="Z_41EF77AE_CF98_4F0B_8300_1A994D21F537_.wvu.PrintArea" localSheetId="45" hidden="1">'20B-OS'!$A$1:$M$50</definedName>
    <definedName name="Z_41EF77AE_CF98_4F0B_8300_1A994D21F537_.wvu.PrintArea" localSheetId="23" hidden="1">'220L-NR'!$A$56:$V$139</definedName>
    <definedName name="Z_41EF77AE_CF98_4F0B_8300_1A994D21F537_.wvu.PrintArea" localSheetId="24" hidden="1">'259Q-NR'!$A$56:$V$139</definedName>
    <definedName name="Z_41EF77AE_CF98_4F0B_8300_1A994D21F537_.wvu.PrintArea" localSheetId="61" hidden="1">'259Q-OS'!$A$1:$M$50</definedName>
    <definedName name="Z_41EF77AE_CF98_4F0B_8300_1A994D21F537_.wvu.PrintArea" localSheetId="25" hidden="1">'347K-NR'!$A$56:$V$139</definedName>
    <definedName name="Z_41EF77AE_CF98_4F0B_8300_1A994D21F537_.wvu.PrintArea" localSheetId="47" hidden="1">'347K-OS'!$A$1:$M$50</definedName>
    <definedName name="Z_41EF77AE_CF98_4F0B_8300_1A994D21F537_.wvu.PrintArea" localSheetId="26" hidden="1">'388G-NR'!$A$56:$V$139</definedName>
    <definedName name="Z_41EF77AE_CF98_4F0B_8300_1A994D21F537_.wvu.PrintArea" localSheetId="80" hidden="1">'388G-OS'!$A$1:$M$50</definedName>
    <definedName name="Z_41EF77AE_CF98_4F0B_8300_1A994D21F537_.wvu.PrintArea" localSheetId="29" hidden="1">'40M-NR'!$A$56:$V$139</definedName>
    <definedName name="Z_41EF77AE_CF98_4F0B_8300_1A994D21F537_.wvu.PrintArea" localSheetId="39" hidden="1">'40M-OS'!$A$1:$M$50</definedName>
    <definedName name="Z_41EF77AE_CF98_4F0B_8300_1A994D21F537_.wvu.PrintArea" localSheetId="30" hidden="1">'420G-NR'!$A$56:$V$139</definedName>
    <definedName name="Z_41EF77AE_CF98_4F0B_8300_1A994D21F537_.wvu.PrintArea" localSheetId="41" hidden="1">'420G-OS'!$A$1:$M$50</definedName>
    <definedName name="Z_41EF77AE_CF98_4F0B_8300_1A994D21F537_.wvu.PrintArea" localSheetId="31" hidden="1">'567C-NR'!$A$56:$V$139</definedName>
    <definedName name="Z_41EF77AE_CF98_4F0B_8300_1A994D21F537_.wvu.PrintArea" localSheetId="65" hidden="1">'567C-OS'!$A$1:$M$50</definedName>
    <definedName name="Z_41EF77AE_CF98_4F0B_8300_1A994D21F537_.wvu.PrintArea" localSheetId="67" hidden="1">'575B-OS'!$A$1:$M$50</definedName>
    <definedName name="Z_41EF77AE_CF98_4F0B_8300_1A994D21F537_.wvu.PrintArea" localSheetId="33" hidden="1">'60MP-NR'!$A$56:$V$139</definedName>
    <definedName name="Z_41EF77AE_CF98_4F0B_8300_1A994D21F537_.wvu.PrintArea" localSheetId="51" hidden="1">'60MP-OS'!$A$1:$M$50</definedName>
    <definedName name="Z_41EF77AE_CF98_4F0B_8300_1A994D21F537_.wvu.PrintArea" localSheetId="32" hidden="1">'6OC-NR'!$A$56:$V$139</definedName>
    <definedName name="Z_41EF77AE_CF98_4F0B_8300_1A994D21F537_.wvu.PrintArea" localSheetId="57" hidden="1">'6O''C-OS'!$A$1:$M$50</definedName>
    <definedName name="Z_41EF77AE_CF98_4F0B_8300_1A994D21F537_.wvu.PrintArea" localSheetId="69" hidden="1">'850C-NR'!$A$56:$V$139</definedName>
    <definedName name="Z_41EF77AE_CF98_4F0B_8300_1A994D21F537_.wvu.PrintArea" localSheetId="72" hidden="1">'850C-NR_PC'!$A$56:$V$139</definedName>
    <definedName name="Z_41EF77AE_CF98_4F0B_8300_1A994D21F537_.wvu.PrintArea" localSheetId="71" hidden="1">'850C-OS'!$A$1:$M$50</definedName>
    <definedName name="Z_41EF77AE_CF98_4F0B_8300_1A994D21F537_.wvu.PrintArea" localSheetId="68" hidden="1">'QV1-NR'!$A$56:$V$139</definedName>
    <definedName name="Z_41EF77AE_CF98_4F0B_8300_1A994D21F537_.wvu.PrintArea" localSheetId="78" hidden="1">'QV1-OS'!$A$1:$M$50</definedName>
    <definedName name="Z_41EF77AE_CF98_4F0B_8300_1A994D21F537_.wvu.Rows" localSheetId="74" hidden="1">'105M-NR'!$89:$114</definedName>
    <definedName name="Z_41EF77AE_CF98_4F0B_8300_1A994D21F537_.wvu.Rows" localSheetId="15" hidden="1">'117C-NR'!$89:$114</definedName>
    <definedName name="Z_41EF77AE_CF98_4F0B_8300_1A994D21F537_.wvu.Rows" localSheetId="16" hidden="1">'120C-NR'!$89:$114</definedName>
    <definedName name="Z_41EF77AE_CF98_4F0B_8300_1A994D21F537_.wvu.Rows" localSheetId="17" hidden="1">'126P-NR'!$89:$114</definedName>
    <definedName name="Z_41EF77AE_CF98_4F0B_8300_1A994D21F537_.wvu.Rows" localSheetId="18" hidden="1">'130P-NR'!$89:$114</definedName>
    <definedName name="Z_41EF77AE_CF98_4F0B_8300_1A994D21F537_.wvu.Rows" localSheetId="19" hidden="1">'135K-NR'!$90:$115</definedName>
    <definedName name="Z_41EF77AE_CF98_4F0B_8300_1A994D21F537_.wvu.Rows" localSheetId="20" hidden="1">'151C-NR'!$89:$114</definedName>
    <definedName name="Z_41EF77AE_CF98_4F0B_8300_1A994D21F537_.wvu.Rows" localSheetId="21" hidden="1">'179T-NR'!$89:$114</definedName>
    <definedName name="Z_41EF77AE_CF98_4F0B_8300_1A994D21F537_.wvu.Rows" localSheetId="11" hidden="1">'1M-DUMMY'!$89:$114</definedName>
    <definedName name="Z_41EF77AE_CF98_4F0B_8300_1A994D21F537_.wvu.Rows" localSheetId="14" hidden="1">'1M-NR'!$89:$114</definedName>
    <definedName name="Z_41EF77AE_CF98_4F0B_8300_1A994D21F537_.wvu.Rows" localSheetId="22" hidden="1">'201K-NR'!$89:$114</definedName>
    <definedName name="Z_41EF77AE_CF98_4F0B_8300_1A994D21F537_.wvu.Rows" localSheetId="73" hidden="1">'20B-NR'!$89:$114</definedName>
    <definedName name="Z_41EF77AE_CF98_4F0B_8300_1A994D21F537_.wvu.Rows" localSheetId="23" hidden="1">'220L-NR'!$89:$114</definedName>
    <definedName name="Z_41EF77AE_CF98_4F0B_8300_1A994D21F537_.wvu.Rows" localSheetId="24" hidden="1">'259Q-NR'!$89:$114</definedName>
    <definedName name="Z_41EF77AE_CF98_4F0B_8300_1A994D21F537_.wvu.Rows" localSheetId="25" hidden="1">'347K-NR'!$89:$114</definedName>
    <definedName name="Z_41EF77AE_CF98_4F0B_8300_1A994D21F537_.wvu.Rows" localSheetId="26" hidden="1">'388G-NR'!$89:$114</definedName>
    <definedName name="Z_41EF77AE_CF98_4F0B_8300_1A994D21F537_.wvu.Rows" localSheetId="29" hidden="1">'40M-NR'!$89:$114</definedName>
    <definedName name="Z_41EF77AE_CF98_4F0B_8300_1A994D21F537_.wvu.Rows" localSheetId="30" hidden="1">'420G-NR'!$89:$114</definedName>
    <definedName name="Z_41EF77AE_CF98_4F0B_8300_1A994D21F537_.wvu.Rows" localSheetId="31" hidden="1">'567C-NR'!$89:$114</definedName>
    <definedName name="Z_41EF77AE_CF98_4F0B_8300_1A994D21F537_.wvu.Rows" localSheetId="33" hidden="1">'60MP-NR'!$89:$114</definedName>
    <definedName name="Z_41EF77AE_CF98_4F0B_8300_1A994D21F537_.wvu.Rows" localSheetId="32" hidden="1">'6OC-NR'!$89:$114</definedName>
    <definedName name="Z_41EF77AE_CF98_4F0B_8300_1A994D21F537_.wvu.Rows" localSheetId="69" hidden="1">'850C-NR'!$89:$114</definedName>
    <definedName name="Z_41EF77AE_CF98_4F0B_8300_1A994D21F537_.wvu.Rows" localSheetId="72" hidden="1">'850C-NR_PC'!$89:$114</definedName>
    <definedName name="Z_41EF77AE_CF98_4F0B_8300_1A994D21F537_.wvu.Rows" localSheetId="68" hidden="1">'QV1-NR'!$89:$114</definedName>
    <definedName name="Z_5FAD1B39_B40A_466C_891D_5BCD6FF02F3F_.wvu.PrintArea" localSheetId="74" hidden="1">'105M-NR'!$A$56:$V$139</definedName>
    <definedName name="Z_5FAD1B39_B40A_466C_891D_5BCD6FF02F3F_.wvu.PrintArea" localSheetId="15" hidden="1">'117C-NR'!$A$56:$V$139</definedName>
    <definedName name="Z_5FAD1B39_B40A_466C_891D_5BCD6FF02F3F_.wvu.PrintArea" localSheetId="16" hidden="1">'120C-NR'!$A$56:$V$139</definedName>
    <definedName name="Z_5FAD1B39_B40A_466C_891D_5BCD6FF02F3F_.wvu.PrintArea" localSheetId="17" hidden="1">'126P-NR'!$A$56:$V$139</definedName>
    <definedName name="Z_5FAD1B39_B40A_466C_891D_5BCD6FF02F3F_.wvu.PrintArea" localSheetId="18" hidden="1">'130P-NR'!$A$56:$V$139</definedName>
    <definedName name="Z_5FAD1B39_B40A_466C_891D_5BCD6FF02F3F_.wvu.PrintArea" localSheetId="19" hidden="1">'135K-NR'!$A$56:$V$140</definedName>
    <definedName name="Z_5FAD1B39_B40A_466C_891D_5BCD6FF02F3F_.wvu.PrintArea" localSheetId="20" hidden="1">'151C-NR'!$A$56:$V$139</definedName>
    <definedName name="Z_5FAD1B39_B40A_466C_891D_5BCD6FF02F3F_.wvu.PrintArea" localSheetId="21" hidden="1">'179T-NR'!$A$56:$V$139</definedName>
    <definedName name="Z_5FAD1B39_B40A_466C_891D_5BCD6FF02F3F_.wvu.PrintArea" localSheetId="11" hidden="1">'1M-DUMMY'!$A$56:$V$139</definedName>
    <definedName name="Z_5FAD1B39_B40A_466C_891D_5BCD6FF02F3F_.wvu.PrintArea" localSheetId="14" hidden="1">'1M-NR'!$A$56:$V$139</definedName>
    <definedName name="Z_5FAD1B39_B40A_466C_891D_5BCD6FF02F3F_.wvu.PrintArea" localSheetId="22" hidden="1">'201K-NR'!$A$56:$V$139</definedName>
    <definedName name="Z_5FAD1B39_B40A_466C_891D_5BCD6FF02F3F_.wvu.PrintArea" localSheetId="73" hidden="1">'20B-NR'!$A$56:$V$139</definedName>
    <definedName name="Z_5FAD1B39_B40A_466C_891D_5BCD6FF02F3F_.wvu.PrintArea" localSheetId="23" hidden="1">'220L-NR'!$A$56:$V$139</definedName>
    <definedName name="Z_5FAD1B39_B40A_466C_891D_5BCD6FF02F3F_.wvu.PrintArea" localSheetId="24" hidden="1">'259Q-NR'!$A$56:$V$139</definedName>
    <definedName name="Z_5FAD1B39_B40A_466C_891D_5BCD6FF02F3F_.wvu.PrintArea" localSheetId="25" hidden="1">'347K-NR'!$A$56:$V$139</definedName>
    <definedName name="Z_5FAD1B39_B40A_466C_891D_5BCD6FF02F3F_.wvu.PrintArea" localSheetId="26" hidden="1">'388G-NR'!$A$56:$V$139</definedName>
    <definedName name="Z_5FAD1B39_B40A_466C_891D_5BCD6FF02F3F_.wvu.PrintArea" localSheetId="29" hidden="1">'40M-NR'!$A$56:$V$139</definedName>
    <definedName name="Z_5FAD1B39_B40A_466C_891D_5BCD6FF02F3F_.wvu.PrintArea" localSheetId="30" hidden="1">'420G-NR'!$A$56:$V$139</definedName>
    <definedName name="Z_5FAD1B39_B40A_466C_891D_5BCD6FF02F3F_.wvu.PrintArea" localSheetId="31" hidden="1">'567C-NR'!$A$56:$V$139</definedName>
    <definedName name="Z_5FAD1B39_B40A_466C_891D_5BCD6FF02F3F_.wvu.PrintArea" localSheetId="33" hidden="1">'60MP-NR'!$A$56:$V$139</definedName>
    <definedName name="Z_5FAD1B39_B40A_466C_891D_5BCD6FF02F3F_.wvu.PrintArea" localSheetId="32" hidden="1">'6OC-NR'!$A$56:$V$139</definedName>
    <definedName name="Z_5FAD1B39_B40A_466C_891D_5BCD6FF02F3F_.wvu.PrintArea" localSheetId="69" hidden="1">'850C-NR'!$A$56:$V$139</definedName>
    <definedName name="Z_5FAD1B39_B40A_466C_891D_5BCD6FF02F3F_.wvu.PrintArea" localSheetId="72" hidden="1">'850C-NR_PC'!$A$56:$V$139</definedName>
    <definedName name="Z_5FAD1B39_B40A_466C_891D_5BCD6FF02F3F_.wvu.PrintArea" localSheetId="68" hidden="1">'QV1-NR'!$A$56:$V$139</definedName>
    <definedName name="Z_5FAD1B39_B40A_466C_891D_5BCD6FF02F3F_.wvu.Rows" localSheetId="74" hidden="1">'105M-NR'!$89:$114</definedName>
    <definedName name="Z_5FAD1B39_B40A_466C_891D_5BCD6FF02F3F_.wvu.Rows" localSheetId="15" hidden="1">'117C-NR'!$89:$114</definedName>
    <definedName name="Z_5FAD1B39_B40A_466C_891D_5BCD6FF02F3F_.wvu.Rows" localSheetId="16" hidden="1">'120C-NR'!$89:$114</definedName>
    <definedName name="Z_5FAD1B39_B40A_466C_891D_5BCD6FF02F3F_.wvu.Rows" localSheetId="17" hidden="1">'126P-NR'!$89:$114</definedName>
    <definedName name="Z_5FAD1B39_B40A_466C_891D_5BCD6FF02F3F_.wvu.Rows" localSheetId="18" hidden="1">'130P-NR'!$89:$114</definedName>
    <definedName name="Z_5FAD1B39_B40A_466C_891D_5BCD6FF02F3F_.wvu.Rows" localSheetId="19" hidden="1">'135K-NR'!$90:$115</definedName>
    <definedName name="Z_5FAD1B39_B40A_466C_891D_5BCD6FF02F3F_.wvu.Rows" localSheetId="20" hidden="1">'151C-NR'!$89:$114</definedName>
    <definedName name="Z_5FAD1B39_B40A_466C_891D_5BCD6FF02F3F_.wvu.Rows" localSheetId="21" hidden="1">'179T-NR'!$89:$114</definedName>
    <definedName name="Z_5FAD1B39_B40A_466C_891D_5BCD6FF02F3F_.wvu.Rows" localSheetId="11" hidden="1">'1M-DUMMY'!$89:$114</definedName>
    <definedName name="Z_5FAD1B39_B40A_466C_891D_5BCD6FF02F3F_.wvu.Rows" localSheetId="14" hidden="1">'1M-NR'!$89:$114</definedName>
    <definedName name="Z_5FAD1B39_B40A_466C_891D_5BCD6FF02F3F_.wvu.Rows" localSheetId="22" hidden="1">'201K-NR'!$89:$114</definedName>
    <definedName name="Z_5FAD1B39_B40A_466C_891D_5BCD6FF02F3F_.wvu.Rows" localSheetId="73" hidden="1">'20B-NR'!$89:$114</definedName>
    <definedName name="Z_5FAD1B39_B40A_466C_891D_5BCD6FF02F3F_.wvu.Rows" localSheetId="23" hidden="1">'220L-NR'!$89:$114</definedName>
    <definedName name="Z_5FAD1B39_B40A_466C_891D_5BCD6FF02F3F_.wvu.Rows" localSheetId="24" hidden="1">'259Q-NR'!$89:$114</definedName>
    <definedName name="Z_5FAD1B39_B40A_466C_891D_5BCD6FF02F3F_.wvu.Rows" localSheetId="25" hidden="1">'347K-NR'!$89:$114</definedName>
    <definedName name="Z_5FAD1B39_B40A_466C_891D_5BCD6FF02F3F_.wvu.Rows" localSheetId="26" hidden="1">'388G-NR'!$89:$114</definedName>
    <definedName name="Z_5FAD1B39_B40A_466C_891D_5BCD6FF02F3F_.wvu.Rows" localSheetId="29" hidden="1">'40M-NR'!$89:$114</definedName>
    <definedName name="Z_5FAD1B39_B40A_466C_891D_5BCD6FF02F3F_.wvu.Rows" localSheetId="30" hidden="1">'420G-NR'!$89:$114</definedName>
    <definedName name="Z_5FAD1B39_B40A_466C_891D_5BCD6FF02F3F_.wvu.Rows" localSheetId="31" hidden="1">'567C-NR'!$89:$114</definedName>
    <definedName name="Z_5FAD1B39_B40A_466C_891D_5BCD6FF02F3F_.wvu.Rows" localSheetId="33" hidden="1">'60MP-NR'!$89:$114</definedName>
    <definedName name="Z_5FAD1B39_B40A_466C_891D_5BCD6FF02F3F_.wvu.Rows" localSheetId="32" hidden="1">'6OC-NR'!$89:$114</definedName>
    <definedName name="Z_5FAD1B39_B40A_466C_891D_5BCD6FF02F3F_.wvu.Rows" localSheetId="69" hidden="1">'850C-NR'!$89:$114</definedName>
    <definedName name="Z_5FAD1B39_B40A_466C_891D_5BCD6FF02F3F_.wvu.Rows" localSheetId="72" hidden="1">'850C-NR_PC'!$89:$114</definedName>
    <definedName name="Z_5FAD1B39_B40A_466C_891D_5BCD6FF02F3F_.wvu.Rows" localSheetId="68" hidden="1">'QV1-NR'!$89:$114</definedName>
    <definedName name="Z_65BD07D4_C7AF_4409_AABA_27E54010D6D9_.wvu.PrintArea" localSheetId="74" hidden="1">'105M-NR'!$A$56:$V$139</definedName>
    <definedName name="Z_65BD07D4_C7AF_4409_AABA_27E54010D6D9_.wvu.PrintArea" localSheetId="15" hidden="1">'117C-NR'!$A$56:$V$139</definedName>
    <definedName name="Z_65BD07D4_C7AF_4409_AABA_27E54010D6D9_.wvu.PrintArea" localSheetId="16" hidden="1">'120C-NR'!$A$56:$V$139</definedName>
    <definedName name="Z_65BD07D4_C7AF_4409_AABA_27E54010D6D9_.wvu.PrintArea" localSheetId="17" hidden="1">'126P-NR'!$A$56:$V$139</definedName>
    <definedName name="Z_65BD07D4_C7AF_4409_AABA_27E54010D6D9_.wvu.PrintArea" localSheetId="18" hidden="1">'130P-NR'!$A$56:$V$139</definedName>
    <definedName name="Z_65BD07D4_C7AF_4409_AABA_27E54010D6D9_.wvu.PrintArea" localSheetId="19" hidden="1">'135K-NR'!$A$56:$V$140</definedName>
    <definedName name="Z_65BD07D4_C7AF_4409_AABA_27E54010D6D9_.wvu.PrintArea" localSheetId="20" hidden="1">'151C-NR'!$A$56:$V$139</definedName>
    <definedName name="Z_65BD07D4_C7AF_4409_AABA_27E54010D6D9_.wvu.PrintArea" localSheetId="21" hidden="1">'179T-NR'!$A$56:$V$139</definedName>
    <definedName name="Z_65BD07D4_C7AF_4409_AABA_27E54010D6D9_.wvu.PrintArea" localSheetId="11" hidden="1">'1M-DUMMY'!$A$56:$V$139</definedName>
    <definedName name="Z_65BD07D4_C7AF_4409_AABA_27E54010D6D9_.wvu.PrintArea" localSheetId="14" hidden="1">'1M-NR'!$A$56:$V$139</definedName>
    <definedName name="Z_65BD07D4_C7AF_4409_AABA_27E54010D6D9_.wvu.PrintArea" localSheetId="22" hidden="1">'201K-NR'!$A$56:$V$139</definedName>
    <definedName name="Z_65BD07D4_C7AF_4409_AABA_27E54010D6D9_.wvu.PrintArea" localSheetId="73" hidden="1">'20B-NR'!$A$56:$V$139</definedName>
    <definedName name="Z_65BD07D4_C7AF_4409_AABA_27E54010D6D9_.wvu.PrintArea" localSheetId="23" hidden="1">'220L-NR'!$A$56:$V$139</definedName>
    <definedName name="Z_65BD07D4_C7AF_4409_AABA_27E54010D6D9_.wvu.PrintArea" localSheetId="24" hidden="1">'259Q-NR'!$A$56:$V$139</definedName>
    <definedName name="Z_65BD07D4_C7AF_4409_AABA_27E54010D6D9_.wvu.PrintArea" localSheetId="25" hidden="1">'347K-NR'!$A$56:$V$139</definedName>
    <definedName name="Z_65BD07D4_C7AF_4409_AABA_27E54010D6D9_.wvu.PrintArea" localSheetId="26" hidden="1">'388G-NR'!$A$56:$V$139</definedName>
    <definedName name="Z_65BD07D4_C7AF_4409_AABA_27E54010D6D9_.wvu.PrintArea" localSheetId="29" hidden="1">'40M-NR'!$A$56:$V$139</definedName>
    <definedName name="Z_65BD07D4_C7AF_4409_AABA_27E54010D6D9_.wvu.PrintArea" localSheetId="30" hidden="1">'420G-NR'!$A$56:$V$139</definedName>
    <definedName name="Z_65BD07D4_C7AF_4409_AABA_27E54010D6D9_.wvu.PrintArea" localSheetId="31" hidden="1">'567C-NR'!$A$56:$V$139</definedName>
    <definedName name="Z_65BD07D4_C7AF_4409_AABA_27E54010D6D9_.wvu.PrintArea" localSheetId="33" hidden="1">'60MP-NR'!$A$56:$V$139</definedName>
    <definedName name="Z_65BD07D4_C7AF_4409_AABA_27E54010D6D9_.wvu.PrintArea" localSheetId="32" hidden="1">'6OC-NR'!$A$56:$V$139</definedName>
    <definedName name="Z_65BD07D4_C7AF_4409_AABA_27E54010D6D9_.wvu.PrintArea" localSheetId="69" hidden="1">'850C-NR'!$A$56:$V$139</definedName>
    <definedName name="Z_65BD07D4_C7AF_4409_AABA_27E54010D6D9_.wvu.PrintArea" localSheetId="72" hidden="1">'850C-NR_PC'!$A$56:$V$139</definedName>
    <definedName name="Z_65BD07D4_C7AF_4409_AABA_27E54010D6D9_.wvu.PrintArea" localSheetId="68" hidden="1">'QV1-NR'!$A$56:$V$139</definedName>
    <definedName name="Z_65BD07D4_C7AF_4409_AABA_27E54010D6D9_.wvu.Rows" localSheetId="74" hidden="1">'105M-NR'!$89:$114</definedName>
    <definedName name="Z_65BD07D4_C7AF_4409_AABA_27E54010D6D9_.wvu.Rows" localSheetId="15" hidden="1">'117C-NR'!$89:$114</definedName>
    <definedName name="Z_65BD07D4_C7AF_4409_AABA_27E54010D6D9_.wvu.Rows" localSheetId="16" hidden="1">'120C-NR'!$89:$114</definedName>
    <definedName name="Z_65BD07D4_C7AF_4409_AABA_27E54010D6D9_.wvu.Rows" localSheetId="17" hidden="1">'126P-NR'!$89:$114</definedName>
    <definedName name="Z_65BD07D4_C7AF_4409_AABA_27E54010D6D9_.wvu.Rows" localSheetId="18" hidden="1">'130P-NR'!$89:$114</definedName>
    <definedName name="Z_65BD07D4_C7AF_4409_AABA_27E54010D6D9_.wvu.Rows" localSheetId="19" hidden="1">'135K-NR'!$90:$115</definedName>
    <definedName name="Z_65BD07D4_C7AF_4409_AABA_27E54010D6D9_.wvu.Rows" localSheetId="20" hidden="1">'151C-NR'!$89:$114</definedName>
    <definedName name="Z_65BD07D4_C7AF_4409_AABA_27E54010D6D9_.wvu.Rows" localSheetId="21" hidden="1">'179T-NR'!$89:$114</definedName>
    <definedName name="Z_65BD07D4_C7AF_4409_AABA_27E54010D6D9_.wvu.Rows" localSheetId="11" hidden="1">'1M-DUMMY'!$89:$114</definedName>
    <definedName name="Z_65BD07D4_C7AF_4409_AABA_27E54010D6D9_.wvu.Rows" localSheetId="14" hidden="1">'1M-NR'!$89:$114</definedName>
    <definedName name="Z_65BD07D4_C7AF_4409_AABA_27E54010D6D9_.wvu.Rows" localSheetId="22" hidden="1">'201K-NR'!$89:$114</definedName>
    <definedName name="Z_65BD07D4_C7AF_4409_AABA_27E54010D6D9_.wvu.Rows" localSheetId="73" hidden="1">'20B-NR'!$89:$114</definedName>
    <definedName name="Z_65BD07D4_C7AF_4409_AABA_27E54010D6D9_.wvu.Rows" localSheetId="23" hidden="1">'220L-NR'!$89:$114</definedName>
    <definedName name="Z_65BD07D4_C7AF_4409_AABA_27E54010D6D9_.wvu.Rows" localSheetId="24" hidden="1">'259Q-NR'!$89:$114</definedName>
    <definedName name="Z_65BD07D4_C7AF_4409_AABA_27E54010D6D9_.wvu.Rows" localSheetId="25" hidden="1">'347K-NR'!$89:$114</definedName>
    <definedName name="Z_65BD07D4_C7AF_4409_AABA_27E54010D6D9_.wvu.Rows" localSheetId="26" hidden="1">'388G-NR'!$89:$114</definedName>
    <definedName name="Z_65BD07D4_C7AF_4409_AABA_27E54010D6D9_.wvu.Rows" localSheetId="29" hidden="1">'40M-NR'!$89:$114</definedName>
    <definedName name="Z_65BD07D4_C7AF_4409_AABA_27E54010D6D9_.wvu.Rows" localSheetId="30" hidden="1">'420G-NR'!$89:$114</definedName>
    <definedName name="Z_65BD07D4_C7AF_4409_AABA_27E54010D6D9_.wvu.Rows" localSheetId="31" hidden="1">'567C-NR'!$89:$114</definedName>
    <definedName name="Z_65BD07D4_C7AF_4409_AABA_27E54010D6D9_.wvu.Rows" localSheetId="33" hidden="1">'60MP-NR'!$89:$114</definedName>
    <definedName name="Z_65BD07D4_C7AF_4409_AABA_27E54010D6D9_.wvu.Rows" localSheetId="32" hidden="1">'6OC-NR'!$89:$114</definedName>
    <definedName name="Z_65BD07D4_C7AF_4409_AABA_27E54010D6D9_.wvu.Rows" localSheetId="69" hidden="1">'850C-NR'!$89:$114</definedName>
    <definedName name="Z_65BD07D4_C7AF_4409_AABA_27E54010D6D9_.wvu.Rows" localSheetId="72" hidden="1">'850C-NR_PC'!$89:$114</definedName>
    <definedName name="Z_65BD07D4_C7AF_4409_AABA_27E54010D6D9_.wvu.Rows" localSheetId="68" hidden="1">'QV1-NR'!$89:$114</definedName>
    <definedName name="Z_6F9A1D93_8F3A_4C80_B7FB_27778D622B34_.wvu.FilterData" localSheetId="75" hidden="1">'105M-IS'!$F$61:$F$66</definedName>
    <definedName name="Z_6F9A1D93_8F3A_4C80_B7FB_27778D622B34_.wvu.FilterData" localSheetId="48" hidden="1">'117C-IS'!$F$61:$F$66</definedName>
    <definedName name="Z_6F9A1D93_8F3A_4C80_B7FB_27778D622B34_.wvu.FilterData" localSheetId="62" hidden="1">'120C-IS'!$F$61:$F$66</definedName>
    <definedName name="Z_6F9A1D93_8F3A_4C80_B7FB_27778D622B34_.wvu.FilterData" localSheetId="36" hidden="1">'126P-IS'!$F$61:$F$66</definedName>
    <definedName name="Z_6F9A1D93_8F3A_4C80_B7FB_27778D622B34_.wvu.FilterData" localSheetId="52" hidden="1">'130P-IS'!$F$61:$F$66</definedName>
    <definedName name="Z_6F9A1D93_8F3A_4C80_B7FB_27778D622B34_.wvu.FilterData" localSheetId="34" hidden="1">'135K-IS'!$F$61:$F$66</definedName>
    <definedName name="Z_6F9A1D93_8F3A_4C80_B7FB_27778D622B34_.wvu.FilterData" localSheetId="54" hidden="1">'151C-IS'!$F$61:$F$66</definedName>
    <definedName name="Z_6F9A1D93_8F3A_4C80_B7FB_27778D622B34_.wvu.FilterData" localSheetId="58" hidden="1">'179T-IS'!$F$61:$F$66</definedName>
    <definedName name="Z_6F9A1D93_8F3A_4C80_B7FB_27778D622B34_.wvu.FilterData" localSheetId="27" hidden="1">'1M-IS'!$F$61:$F$66</definedName>
    <definedName name="Z_6F9A1D93_8F3A_4C80_B7FB_27778D622B34_.wvu.FilterData" localSheetId="42" hidden="1">'201K-IS'!$F$61:$F$66</definedName>
    <definedName name="Z_6F9A1D93_8F3A_4C80_B7FB_27778D622B34_.wvu.FilterData" localSheetId="44" hidden="1">'20B-IS'!$F$61:$F$66</definedName>
    <definedName name="Z_6F9A1D93_8F3A_4C80_B7FB_27778D622B34_.wvu.FilterData" localSheetId="60" hidden="1">'259Q-IS'!$F$61:$F$66</definedName>
    <definedName name="Z_6F9A1D93_8F3A_4C80_B7FB_27778D622B34_.wvu.FilterData" localSheetId="46" hidden="1">'347K-IS'!$F$61:$F$66</definedName>
    <definedName name="Z_6F9A1D93_8F3A_4C80_B7FB_27778D622B34_.wvu.FilterData" localSheetId="79" hidden="1">'388G-IS'!$F$61:$F$66</definedName>
    <definedName name="Z_6F9A1D93_8F3A_4C80_B7FB_27778D622B34_.wvu.FilterData" localSheetId="38" hidden="1">'40M-IS'!$F$61:$F$66</definedName>
    <definedName name="Z_6F9A1D93_8F3A_4C80_B7FB_27778D622B34_.wvu.FilterData" localSheetId="40" hidden="1">'420G-IS'!$F$61:$F$66</definedName>
    <definedName name="Z_6F9A1D93_8F3A_4C80_B7FB_27778D622B34_.wvu.FilterData" localSheetId="64" hidden="1">'567C-IS'!$F$61:$F$66</definedName>
    <definedName name="Z_6F9A1D93_8F3A_4C80_B7FB_27778D622B34_.wvu.FilterData" localSheetId="66" hidden="1">'575B-IS'!$F$61:$F$66</definedName>
    <definedName name="Z_6F9A1D93_8F3A_4C80_B7FB_27778D622B34_.wvu.FilterData" localSheetId="50" hidden="1">'60MP-IS'!$F$61:$F$66</definedName>
    <definedName name="Z_6F9A1D93_8F3A_4C80_B7FB_27778D622B34_.wvu.FilterData" localSheetId="56" hidden="1">'6O''C-IS'!$F$61:$F$66</definedName>
    <definedName name="Z_6F9A1D93_8F3A_4C80_B7FB_27778D622B34_.wvu.FilterData" localSheetId="70" hidden="1">'850C-IS'!$F$61:$F$66</definedName>
    <definedName name="Z_6F9A1D93_8F3A_4C80_B7FB_27778D622B34_.wvu.FilterData" localSheetId="77" hidden="1">'QV1-IS'!$F$61:$F$66</definedName>
    <definedName name="Z_6F9A1D93_8F3A_4C80_B7FB_27778D622B34_.wvu.PrintArea" localSheetId="74" hidden="1">'105M-NR'!$A$56:$V$139</definedName>
    <definedName name="Z_6F9A1D93_8F3A_4C80_B7FB_27778D622B34_.wvu.PrintArea" localSheetId="76" hidden="1">'105M-OS'!$A$1:$M$50</definedName>
    <definedName name="Z_6F9A1D93_8F3A_4C80_B7FB_27778D622B34_.wvu.PrintArea" localSheetId="15" hidden="1">'117C-NR'!$A$56:$V$139</definedName>
    <definedName name="Z_6F9A1D93_8F3A_4C80_B7FB_27778D622B34_.wvu.PrintArea" localSheetId="49" hidden="1">'117C-OS'!$A$1:$M$50</definedName>
    <definedName name="Z_6F9A1D93_8F3A_4C80_B7FB_27778D622B34_.wvu.PrintArea" localSheetId="16" hidden="1">'120C-NR'!$A$56:$V$139</definedName>
    <definedName name="Z_6F9A1D93_8F3A_4C80_B7FB_27778D622B34_.wvu.PrintArea" localSheetId="63" hidden="1">'120C-OS'!$A$1:$M$50</definedName>
    <definedName name="Z_6F9A1D93_8F3A_4C80_B7FB_27778D622B34_.wvu.PrintArea" localSheetId="17" hidden="1">'126P-NR'!$A$56:$V$139</definedName>
    <definedName name="Z_6F9A1D93_8F3A_4C80_B7FB_27778D622B34_.wvu.PrintArea" localSheetId="37" hidden="1">'126P-OS'!$A$1:$M$50</definedName>
    <definedName name="Z_6F9A1D93_8F3A_4C80_B7FB_27778D622B34_.wvu.PrintArea" localSheetId="18" hidden="1">'130P-NR'!$A$56:$V$139</definedName>
    <definedName name="Z_6F9A1D93_8F3A_4C80_B7FB_27778D622B34_.wvu.PrintArea" localSheetId="53" hidden="1">'130P-OS'!$A$1:$M$50</definedName>
    <definedName name="Z_6F9A1D93_8F3A_4C80_B7FB_27778D622B34_.wvu.PrintArea" localSheetId="19" hidden="1">'135K-NR'!$A$56:$V$140</definedName>
    <definedName name="Z_6F9A1D93_8F3A_4C80_B7FB_27778D622B34_.wvu.PrintArea" localSheetId="35" hidden="1">'135K-OS'!$A$1:$M$50</definedName>
    <definedName name="Z_6F9A1D93_8F3A_4C80_B7FB_27778D622B34_.wvu.PrintArea" localSheetId="20" hidden="1">'151C-NR'!$A$56:$V$139</definedName>
    <definedName name="Z_6F9A1D93_8F3A_4C80_B7FB_27778D622B34_.wvu.PrintArea" localSheetId="55" hidden="1">'151C-OS'!$A$1:$M$50</definedName>
    <definedName name="Z_6F9A1D93_8F3A_4C80_B7FB_27778D622B34_.wvu.PrintArea" localSheetId="21" hidden="1">'179T-NR'!$A$56:$V$139</definedName>
    <definedName name="Z_6F9A1D93_8F3A_4C80_B7FB_27778D622B34_.wvu.PrintArea" localSheetId="59" hidden="1">'179T-OS'!$A$1:$M$50</definedName>
    <definedName name="Z_6F9A1D93_8F3A_4C80_B7FB_27778D622B34_.wvu.PrintArea" localSheetId="11" hidden="1">'1M-DUMMY'!$A$56:$V$139</definedName>
    <definedName name="Z_6F9A1D93_8F3A_4C80_B7FB_27778D622B34_.wvu.PrintArea" localSheetId="14" hidden="1">'1M-NR'!$A$56:$V$139</definedName>
    <definedName name="Z_6F9A1D93_8F3A_4C80_B7FB_27778D622B34_.wvu.PrintArea" localSheetId="28" hidden="1">'1M-OS'!$A$1:$M$50</definedName>
    <definedName name="Z_6F9A1D93_8F3A_4C80_B7FB_27778D622B34_.wvu.PrintArea" localSheetId="22" hidden="1">'201K-NR'!$A$56:$V$139</definedName>
    <definedName name="Z_6F9A1D93_8F3A_4C80_B7FB_27778D622B34_.wvu.PrintArea" localSheetId="43" hidden="1">'201K-OS'!$A$1:$M$50</definedName>
    <definedName name="Z_6F9A1D93_8F3A_4C80_B7FB_27778D622B34_.wvu.PrintArea" localSheetId="73" hidden="1">'20B-NR'!$A$56:$V$139</definedName>
    <definedName name="Z_6F9A1D93_8F3A_4C80_B7FB_27778D622B34_.wvu.PrintArea" localSheetId="45" hidden="1">'20B-OS'!$A$1:$M$50</definedName>
    <definedName name="Z_6F9A1D93_8F3A_4C80_B7FB_27778D622B34_.wvu.PrintArea" localSheetId="23" hidden="1">'220L-NR'!$A$56:$V$139</definedName>
    <definedName name="Z_6F9A1D93_8F3A_4C80_B7FB_27778D622B34_.wvu.PrintArea" localSheetId="24" hidden="1">'259Q-NR'!$A$56:$V$139</definedName>
    <definedName name="Z_6F9A1D93_8F3A_4C80_B7FB_27778D622B34_.wvu.PrintArea" localSheetId="61" hidden="1">'259Q-OS'!$A$1:$M$50</definedName>
    <definedName name="Z_6F9A1D93_8F3A_4C80_B7FB_27778D622B34_.wvu.PrintArea" localSheetId="25" hidden="1">'347K-NR'!$A$56:$V$139</definedName>
    <definedName name="Z_6F9A1D93_8F3A_4C80_B7FB_27778D622B34_.wvu.PrintArea" localSheetId="47" hidden="1">'347K-OS'!$A$1:$M$50</definedName>
    <definedName name="Z_6F9A1D93_8F3A_4C80_B7FB_27778D622B34_.wvu.PrintArea" localSheetId="26" hidden="1">'388G-NR'!$A$56:$V$139</definedName>
    <definedName name="Z_6F9A1D93_8F3A_4C80_B7FB_27778D622B34_.wvu.PrintArea" localSheetId="80" hidden="1">'388G-OS'!$A$1:$M$50</definedName>
    <definedName name="Z_6F9A1D93_8F3A_4C80_B7FB_27778D622B34_.wvu.PrintArea" localSheetId="29" hidden="1">'40M-NR'!$A$56:$V$139</definedName>
    <definedName name="Z_6F9A1D93_8F3A_4C80_B7FB_27778D622B34_.wvu.PrintArea" localSheetId="39" hidden="1">'40M-OS'!$A$1:$M$50</definedName>
    <definedName name="Z_6F9A1D93_8F3A_4C80_B7FB_27778D622B34_.wvu.PrintArea" localSheetId="30" hidden="1">'420G-NR'!$A$56:$V$139</definedName>
    <definedName name="Z_6F9A1D93_8F3A_4C80_B7FB_27778D622B34_.wvu.PrintArea" localSheetId="41" hidden="1">'420G-OS'!$A$1:$M$50</definedName>
    <definedName name="Z_6F9A1D93_8F3A_4C80_B7FB_27778D622B34_.wvu.PrintArea" localSheetId="31" hidden="1">'567C-NR'!$A$56:$V$139</definedName>
    <definedName name="Z_6F9A1D93_8F3A_4C80_B7FB_27778D622B34_.wvu.PrintArea" localSheetId="65" hidden="1">'567C-OS'!$A$1:$M$50</definedName>
    <definedName name="Z_6F9A1D93_8F3A_4C80_B7FB_27778D622B34_.wvu.PrintArea" localSheetId="67" hidden="1">'575B-OS'!$A$1:$M$50</definedName>
    <definedName name="Z_6F9A1D93_8F3A_4C80_B7FB_27778D622B34_.wvu.PrintArea" localSheetId="33" hidden="1">'60MP-NR'!$A$56:$V$139</definedName>
    <definedName name="Z_6F9A1D93_8F3A_4C80_B7FB_27778D622B34_.wvu.PrintArea" localSheetId="51" hidden="1">'60MP-OS'!$A$1:$M$50</definedName>
    <definedName name="Z_6F9A1D93_8F3A_4C80_B7FB_27778D622B34_.wvu.PrintArea" localSheetId="32" hidden="1">'6OC-NR'!$A$56:$V$139</definedName>
    <definedName name="Z_6F9A1D93_8F3A_4C80_B7FB_27778D622B34_.wvu.PrintArea" localSheetId="57" hidden="1">'6O''C-OS'!$A$1:$M$50</definedName>
    <definedName name="Z_6F9A1D93_8F3A_4C80_B7FB_27778D622B34_.wvu.PrintArea" localSheetId="69" hidden="1">'850C-NR'!$A$56:$V$139</definedName>
    <definedName name="Z_6F9A1D93_8F3A_4C80_B7FB_27778D622B34_.wvu.PrintArea" localSheetId="72" hidden="1">'850C-NR_PC'!$A$56:$V$139</definedName>
    <definedName name="Z_6F9A1D93_8F3A_4C80_B7FB_27778D622B34_.wvu.PrintArea" localSheetId="71" hidden="1">'850C-OS'!$A$1:$M$50</definedName>
    <definedName name="Z_6F9A1D93_8F3A_4C80_B7FB_27778D622B34_.wvu.PrintArea" localSheetId="68" hidden="1">'QV1-NR'!$A$56:$V$139</definedName>
    <definedName name="Z_6F9A1D93_8F3A_4C80_B7FB_27778D622B34_.wvu.PrintArea" localSheetId="78" hidden="1">'QV1-OS'!$A$1:$M$50</definedName>
    <definedName name="Z_6F9A1D93_8F3A_4C80_B7FB_27778D622B34_.wvu.Rows" localSheetId="74" hidden="1">'105M-NR'!$89:$114</definedName>
    <definedName name="Z_6F9A1D93_8F3A_4C80_B7FB_27778D622B34_.wvu.Rows" localSheetId="15" hidden="1">'117C-NR'!$89:$114</definedName>
    <definedName name="Z_6F9A1D93_8F3A_4C80_B7FB_27778D622B34_.wvu.Rows" localSheetId="16" hidden="1">'120C-NR'!$89:$114</definedName>
    <definedName name="Z_6F9A1D93_8F3A_4C80_B7FB_27778D622B34_.wvu.Rows" localSheetId="17" hidden="1">'126P-NR'!$89:$114</definedName>
    <definedName name="Z_6F9A1D93_8F3A_4C80_B7FB_27778D622B34_.wvu.Rows" localSheetId="18" hidden="1">'130P-NR'!$89:$114</definedName>
    <definedName name="Z_6F9A1D93_8F3A_4C80_B7FB_27778D622B34_.wvu.Rows" localSheetId="19" hidden="1">'135K-NR'!$90:$115</definedName>
    <definedName name="Z_6F9A1D93_8F3A_4C80_B7FB_27778D622B34_.wvu.Rows" localSheetId="20" hidden="1">'151C-NR'!$89:$114</definedName>
    <definedName name="Z_6F9A1D93_8F3A_4C80_B7FB_27778D622B34_.wvu.Rows" localSheetId="21" hidden="1">'179T-NR'!$89:$114</definedName>
    <definedName name="Z_6F9A1D93_8F3A_4C80_B7FB_27778D622B34_.wvu.Rows" localSheetId="11" hidden="1">'1M-DUMMY'!$89:$114</definedName>
    <definedName name="Z_6F9A1D93_8F3A_4C80_B7FB_27778D622B34_.wvu.Rows" localSheetId="14" hidden="1">'1M-NR'!$89:$114</definedName>
    <definedName name="Z_6F9A1D93_8F3A_4C80_B7FB_27778D622B34_.wvu.Rows" localSheetId="22" hidden="1">'201K-NR'!$89:$114</definedName>
    <definedName name="Z_6F9A1D93_8F3A_4C80_B7FB_27778D622B34_.wvu.Rows" localSheetId="73" hidden="1">'20B-NR'!$89:$114</definedName>
    <definedName name="Z_6F9A1D93_8F3A_4C80_B7FB_27778D622B34_.wvu.Rows" localSheetId="23" hidden="1">'220L-NR'!$89:$114</definedName>
    <definedName name="Z_6F9A1D93_8F3A_4C80_B7FB_27778D622B34_.wvu.Rows" localSheetId="24" hidden="1">'259Q-NR'!$89:$114</definedName>
    <definedName name="Z_6F9A1D93_8F3A_4C80_B7FB_27778D622B34_.wvu.Rows" localSheetId="25" hidden="1">'347K-NR'!$89:$114</definedName>
    <definedName name="Z_6F9A1D93_8F3A_4C80_B7FB_27778D622B34_.wvu.Rows" localSheetId="26" hidden="1">'388G-NR'!$89:$114</definedName>
    <definedName name="Z_6F9A1D93_8F3A_4C80_B7FB_27778D622B34_.wvu.Rows" localSheetId="29" hidden="1">'40M-NR'!$89:$114</definedName>
    <definedName name="Z_6F9A1D93_8F3A_4C80_B7FB_27778D622B34_.wvu.Rows" localSheetId="30" hidden="1">'420G-NR'!$89:$114</definedName>
    <definedName name="Z_6F9A1D93_8F3A_4C80_B7FB_27778D622B34_.wvu.Rows" localSheetId="31" hidden="1">'567C-NR'!$89:$114</definedName>
    <definedName name="Z_6F9A1D93_8F3A_4C80_B7FB_27778D622B34_.wvu.Rows" localSheetId="33" hidden="1">'60MP-NR'!$89:$114</definedName>
    <definedName name="Z_6F9A1D93_8F3A_4C80_B7FB_27778D622B34_.wvu.Rows" localSheetId="32" hidden="1">'6OC-NR'!$89:$114</definedName>
    <definedName name="Z_6F9A1D93_8F3A_4C80_B7FB_27778D622B34_.wvu.Rows" localSheetId="69" hidden="1">'850C-NR'!$89:$114</definedName>
    <definedName name="Z_6F9A1D93_8F3A_4C80_B7FB_27778D622B34_.wvu.Rows" localSheetId="72" hidden="1">'850C-NR_PC'!$89:$114</definedName>
    <definedName name="Z_6F9A1D93_8F3A_4C80_B7FB_27778D622B34_.wvu.Rows" localSheetId="68" hidden="1">'QV1-NR'!$89:$114</definedName>
    <definedName name="Z_7194B931_3095_4E6F_B626_4E5AA9A76EE3_.wvu.FilterData" localSheetId="75" hidden="1">'105M-IS'!$F$61:$F$66</definedName>
    <definedName name="Z_7194B931_3095_4E6F_B626_4E5AA9A76EE3_.wvu.FilterData" localSheetId="48" hidden="1">'117C-IS'!$F$61:$F$66</definedName>
    <definedName name="Z_7194B931_3095_4E6F_B626_4E5AA9A76EE3_.wvu.FilterData" localSheetId="62" hidden="1">'120C-IS'!$F$61:$F$66</definedName>
    <definedName name="Z_7194B931_3095_4E6F_B626_4E5AA9A76EE3_.wvu.FilterData" localSheetId="36" hidden="1">'126P-IS'!$F$61:$F$66</definedName>
    <definedName name="Z_7194B931_3095_4E6F_B626_4E5AA9A76EE3_.wvu.FilterData" localSheetId="52" hidden="1">'130P-IS'!$F$61:$F$66</definedName>
    <definedName name="Z_7194B931_3095_4E6F_B626_4E5AA9A76EE3_.wvu.FilterData" localSheetId="34" hidden="1">'135K-IS'!$F$61:$F$66</definedName>
    <definedName name="Z_7194B931_3095_4E6F_B626_4E5AA9A76EE3_.wvu.FilterData" localSheetId="54" hidden="1">'151C-IS'!$F$61:$F$66</definedName>
    <definedName name="Z_7194B931_3095_4E6F_B626_4E5AA9A76EE3_.wvu.FilterData" localSheetId="58" hidden="1">'179T-IS'!$F$61:$F$66</definedName>
    <definedName name="Z_7194B931_3095_4E6F_B626_4E5AA9A76EE3_.wvu.FilterData" localSheetId="27" hidden="1">'1M-IS'!$F$61:$F$66</definedName>
    <definedName name="Z_7194B931_3095_4E6F_B626_4E5AA9A76EE3_.wvu.FilterData" localSheetId="42" hidden="1">'201K-IS'!$F$61:$F$66</definedName>
    <definedName name="Z_7194B931_3095_4E6F_B626_4E5AA9A76EE3_.wvu.FilterData" localSheetId="44" hidden="1">'20B-IS'!$F$61:$F$66</definedName>
    <definedName name="Z_7194B931_3095_4E6F_B626_4E5AA9A76EE3_.wvu.FilterData" localSheetId="60" hidden="1">'259Q-IS'!$F$61:$F$66</definedName>
    <definedName name="Z_7194B931_3095_4E6F_B626_4E5AA9A76EE3_.wvu.FilterData" localSheetId="46" hidden="1">'347K-IS'!$F$61:$F$66</definedName>
    <definedName name="Z_7194B931_3095_4E6F_B626_4E5AA9A76EE3_.wvu.FilterData" localSheetId="79" hidden="1">'388G-IS'!$F$61:$F$66</definedName>
    <definedName name="Z_7194B931_3095_4E6F_B626_4E5AA9A76EE3_.wvu.FilterData" localSheetId="38" hidden="1">'40M-IS'!$F$61:$F$66</definedName>
    <definedName name="Z_7194B931_3095_4E6F_B626_4E5AA9A76EE3_.wvu.FilterData" localSheetId="40" hidden="1">'420G-IS'!$F$61:$F$66</definedName>
    <definedName name="Z_7194B931_3095_4E6F_B626_4E5AA9A76EE3_.wvu.FilterData" localSheetId="64" hidden="1">'567C-IS'!$F$61:$F$66</definedName>
    <definedName name="Z_7194B931_3095_4E6F_B626_4E5AA9A76EE3_.wvu.FilterData" localSheetId="66" hidden="1">'575B-IS'!$F$61:$F$66</definedName>
    <definedName name="Z_7194B931_3095_4E6F_B626_4E5AA9A76EE3_.wvu.FilterData" localSheetId="50" hidden="1">'60MP-IS'!$F$61:$F$66</definedName>
    <definedName name="Z_7194B931_3095_4E6F_B626_4E5AA9A76EE3_.wvu.FilterData" localSheetId="56" hidden="1">'6O''C-IS'!$F$61:$F$66</definedName>
    <definedName name="Z_7194B931_3095_4E6F_B626_4E5AA9A76EE3_.wvu.FilterData" localSheetId="70" hidden="1">'850C-IS'!$F$61:$F$66</definedName>
    <definedName name="Z_7194B931_3095_4E6F_B626_4E5AA9A76EE3_.wvu.FilterData" localSheetId="77" hidden="1">'QV1-IS'!$F$61:$F$66</definedName>
    <definedName name="Z_7194B931_3095_4E6F_B626_4E5AA9A76EE3_.wvu.PrintArea" localSheetId="74" hidden="1">'105M-NR'!$A$56:$V$139</definedName>
    <definedName name="Z_7194B931_3095_4E6F_B626_4E5AA9A76EE3_.wvu.PrintArea" localSheetId="76" hidden="1">'105M-OS'!$A$1:$M$50</definedName>
    <definedName name="Z_7194B931_3095_4E6F_B626_4E5AA9A76EE3_.wvu.PrintArea" localSheetId="15" hidden="1">'117C-NR'!$A$56:$V$139</definedName>
    <definedName name="Z_7194B931_3095_4E6F_B626_4E5AA9A76EE3_.wvu.PrintArea" localSheetId="49" hidden="1">'117C-OS'!$A$1:$M$50</definedName>
    <definedName name="Z_7194B931_3095_4E6F_B626_4E5AA9A76EE3_.wvu.PrintArea" localSheetId="16" hidden="1">'120C-NR'!$A$56:$V$139</definedName>
    <definedName name="Z_7194B931_3095_4E6F_B626_4E5AA9A76EE3_.wvu.PrintArea" localSheetId="63" hidden="1">'120C-OS'!$A$1:$M$50</definedName>
    <definedName name="Z_7194B931_3095_4E6F_B626_4E5AA9A76EE3_.wvu.PrintArea" localSheetId="17" hidden="1">'126P-NR'!$A$56:$V$139</definedName>
    <definedName name="Z_7194B931_3095_4E6F_B626_4E5AA9A76EE3_.wvu.PrintArea" localSheetId="37" hidden="1">'126P-OS'!$A$1:$M$50</definedName>
    <definedName name="Z_7194B931_3095_4E6F_B626_4E5AA9A76EE3_.wvu.PrintArea" localSheetId="18" hidden="1">'130P-NR'!$A$56:$V$139</definedName>
    <definedName name="Z_7194B931_3095_4E6F_B626_4E5AA9A76EE3_.wvu.PrintArea" localSheetId="53" hidden="1">'130P-OS'!$A$1:$M$50</definedName>
    <definedName name="Z_7194B931_3095_4E6F_B626_4E5AA9A76EE3_.wvu.PrintArea" localSheetId="19" hidden="1">'135K-NR'!$A$56:$V$140</definedName>
    <definedName name="Z_7194B931_3095_4E6F_B626_4E5AA9A76EE3_.wvu.PrintArea" localSheetId="35" hidden="1">'135K-OS'!$A$1:$M$50</definedName>
    <definedName name="Z_7194B931_3095_4E6F_B626_4E5AA9A76EE3_.wvu.PrintArea" localSheetId="20" hidden="1">'151C-NR'!$A$56:$V$139</definedName>
    <definedName name="Z_7194B931_3095_4E6F_B626_4E5AA9A76EE3_.wvu.PrintArea" localSheetId="55" hidden="1">'151C-OS'!$A$1:$M$50</definedName>
    <definedName name="Z_7194B931_3095_4E6F_B626_4E5AA9A76EE3_.wvu.PrintArea" localSheetId="21" hidden="1">'179T-NR'!$A$56:$V$139</definedName>
    <definedName name="Z_7194B931_3095_4E6F_B626_4E5AA9A76EE3_.wvu.PrintArea" localSheetId="59" hidden="1">'179T-OS'!$A$1:$M$50</definedName>
    <definedName name="Z_7194B931_3095_4E6F_B626_4E5AA9A76EE3_.wvu.PrintArea" localSheetId="11" hidden="1">'1M-DUMMY'!$A$56:$V$139</definedName>
    <definedName name="Z_7194B931_3095_4E6F_B626_4E5AA9A76EE3_.wvu.PrintArea" localSheetId="14" hidden="1">'1M-NR'!$A$56:$V$139</definedName>
    <definedName name="Z_7194B931_3095_4E6F_B626_4E5AA9A76EE3_.wvu.PrintArea" localSheetId="28" hidden="1">'1M-OS'!$A$1:$M$50</definedName>
    <definedName name="Z_7194B931_3095_4E6F_B626_4E5AA9A76EE3_.wvu.PrintArea" localSheetId="22" hidden="1">'201K-NR'!$A$56:$V$139</definedName>
    <definedName name="Z_7194B931_3095_4E6F_B626_4E5AA9A76EE3_.wvu.PrintArea" localSheetId="43" hidden="1">'201K-OS'!$A$1:$M$50</definedName>
    <definedName name="Z_7194B931_3095_4E6F_B626_4E5AA9A76EE3_.wvu.PrintArea" localSheetId="73" hidden="1">'20B-NR'!$A$56:$V$139</definedName>
    <definedName name="Z_7194B931_3095_4E6F_B626_4E5AA9A76EE3_.wvu.PrintArea" localSheetId="45" hidden="1">'20B-OS'!$A$1:$M$50</definedName>
    <definedName name="Z_7194B931_3095_4E6F_B626_4E5AA9A76EE3_.wvu.PrintArea" localSheetId="23" hidden="1">'220L-NR'!$A$56:$V$139</definedName>
    <definedName name="Z_7194B931_3095_4E6F_B626_4E5AA9A76EE3_.wvu.PrintArea" localSheetId="24" hidden="1">'259Q-NR'!$A$56:$V$139</definedName>
    <definedName name="Z_7194B931_3095_4E6F_B626_4E5AA9A76EE3_.wvu.PrintArea" localSheetId="61" hidden="1">'259Q-OS'!$A$1:$M$50</definedName>
    <definedName name="Z_7194B931_3095_4E6F_B626_4E5AA9A76EE3_.wvu.PrintArea" localSheetId="25" hidden="1">'347K-NR'!$A$56:$V$139</definedName>
    <definedName name="Z_7194B931_3095_4E6F_B626_4E5AA9A76EE3_.wvu.PrintArea" localSheetId="47" hidden="1">'347K-OS'!$A$1:$M$50</definedName>
    <definedName name="Z_7194B931_3095_4E6F_B626_4E5AA9A76EE3_.wvu.PrintArea" localSheetId="26" hidden="1">'388G-NR'!$A$56:$V$139</definedName>
    <definedName name="Z_7194B931_3095_4E6F_B626_4E5AA9A76EE3_.wvu.PrintArea" localSheetId="80" hidden="1">'388G-OS'!$A$1:$M$50</definedName>
    <definedName name="Z_7194B931_3095_4E6F_B626_4E5AA9A76EE3_.wvu.PrintArea" localSheetId="29" hidden="1">'40M-NR'!$A$56:$V$139</definedName>
    <definedName name="Z_7194B931_3095_4E6F_B626_4E5AA9A76EE3_.wvu.PrintArea" localSheetId="39" hidden="1">'40M-OS'!$A$1:$M$50</definedName>
    <definedName name="Z_7194B931_3095_4E6F_B626_4E5AA9A76EE3_.wvu.PrintArea" localSheetId="30" hidden="1">'420G-NR'!$A$56:$V$139</definedName>
    <definedName name="Z_7194B931_3095_4E6F_B626_4E5AA9A76EE3_.wvu.PrintArea" localSheetId="41" hidden="1">'420G-OS'!$A$1:$M$50</definedName>
    <definedName name="Z_7194B931_3095_4E6F_B626_4E5AA9A76EE3_.wvu.PrintArea" localSheetId="31" hidden="1">'567C-NR'!$A$56:$V$139</definedName>
    <definedName name="Z_7194B931_3095_4E6F_B626_4E5AA9A76EE3_.wvu.PrintArea" localSheetId="65" hidden="1">'567C-OS'!$A$1:$M$50</definedName>
    <definedName name="Z_7194B931_3095_4E6F_B626_4E5AA9A76EE3_.wvu.PrintArea" localSheetId="67" hidden="1">'575B-OS'!$A$1:$M$50</definedName>
    <definedName name="Z_7194B931_3095_4E6F_B626_4E5AA9A76EE3_.wvu.PrintArea" localSheetId="33" hidden="1">'60MP-NR'!$A$56:$V$139</definedName>
    <definedName name="Z_7194B931_3095_4E6F_B626_4E5AA9A76EE3_.wvu.PrintArea" localSheetId="51" hidden="1">'60MP-OS'!$A$1:$M$50</definedName>
    <definedName name="Z_7194B931_3095_4E6F_B626_4E5AA9A76EE3_.wvu.PrintArea" localSheetId="32" hidden="1">'6OC-NR'!$A$56:$V$139</definedName>
    <definedName name="Z_7194B931_3095_4E6F_B626_4E5AA9A76EE3_.wvu.PrintArea" localSheetId="57" hidden="1">'6O''C-OS'!$A$1:$M$50</definedName>
    <definedName name="Z_7194B931_3095_4E6F_B626_4E5AA9A76EE3_.wvu.PrintArea" localSheetId="69" hidden="1">'850C-NR'!$A$56:$V$139</definedName>
    <definedName name="Z_7194B931_3095_4E6F_B626_4E5AA9A76EE3_.wvu.PrintArea" localSheetId="72" hidden="1">'850C-NR_PC'!$A$56:$V$139</definedName>
    <definedName name="Z_7194B931_3095_4E6F_B626_4E5AA9A76EE3_.wvu.PrintArea" localSheetId="71" hidden="1">'850C-OS'!$A$1:$M$50</definedName>
    <definedName name="Z_7194B931_3095_4E6F_B626_4E5AA9A76EE3_.wvu.PrintArea" localSheetId="68" hidden="1">'QV1-NR'!$A$56:$V$139</definedName>
    <definedName name="Z_7194B931_3095_4E6F_B626_4E5AA9A76EE3_.wvu.PrintArea" localSheetId="78" hidden="1">'QV1-OS'!$A$1:$M$50</definedName>
    <definedName name="Z_7194B931_3095_4E6F_B626_4E5AA9A76EE3_.wvu.Rows" localSheetId="74" hidden="1">'105M-NR'!$89:$114</definedName>
    <definedName name="Z_7194B931_3095_4E6F_B626_4E5AA9A76EE3_.wvu.Rows" localSheetId="15" hidden="1">'117C-NR'!$89:$114</definedName>
    <definedName name="Z_7194B931_3095_4E6F_B626_4E5AA9A76EE3_.wvu.Rows" localSheetId="16" hidden="1">'120C-NR'!$89:$114</definedName>
    <definedName name="Z_7194B931_3095_4E6F_B626_4E5AA9A76EE3_.wvu.Rows" localSheetId="17" hidden="1">'126P-NR'!$89:$114</definedName>
    <definedName name="Z_7194B931_3095_4E6F_B626_4E5AA9A76EE3_.wvu.Rows" localSheetId="18" hidden="1">'130P-NR'!$89:$114</definedName>
    <definedName name="Z_7194B931_3095_4E6F_B626_4E5AA9A76EE3_.wvu.Rows" localSheetId="19" hidden="1">'135K-NR'!$90:$115</definedName>
    <definedName name="Z_7194B931_3095_4E6F_B626_4E5AA9A76EE3_.wvu.Rows" localSheetId="20" hidden="1">'151C-NR'!$89:$114</definedName>
    <definedName name="Z_7194B931_3095_4E6F_B626_4E5AA9A76EE3_.wvu.Rows" localSheetId="21" hidden="1">'179T-NR'!$89:$114</definedName>
    <definedName name="Z_7194B931_3095_4E6F_B626_4E5AA9A76EE3_.wvu.Rows" localSheetId="11" hidden="1">'1M-DUMMY'!$89:$114</definedName>
    <definedName name="Z_7194B931_3095_4E6F_B626_4E5AA9A76EE3_.wvu.Rows" localSheetId="14" hidden="1">'1M-NR'!$89:$114</definedName>
    <definedName name="Z_7194B931_3095_4E6F_B626_4E5AA9A76EE3_.wvu.Rows" localSheetId="22" hidden="1">'201K-NR'!$89:$114</definedName>
    <definedName name="Z_7194B931_3095_4E6F_B626_4E5AA9A76EE3_.wvu.Rows" localSheetId="73" hidden="1">'20B-NR'!$89:$114</definedName>
    <definedName name="Z_7194B931_3095_4E6F_B626_4E5AA9A76EE3_.wvu.Rows" localSheetId="23" hidden="1">'220L-NR'!$89:$114</definedName>
    <definedName name="Z_7194B931_3095_4E6F_B626_4E5AA9A76EE3_.wvu.Rows" localSheetId="24" hidden="1">'259Q-NR'!$89:$114</definedName>
    <definedName name="Z_7194B931_3095_4E6F_B626_4E5AA9A76EE3_.wvu.Rows" localSheetId="25" hidden="1">'347K-NR'!$89:$114</definedName>
    <definedName name="Z_7194B931_3095_4E6F_B626_4E5AA9A76EE3_.wvu.Rows" localSheetId="26" hidden="1">'388G-NR'!$89:$114</definedName>
    <definedName name="Z_7194B931_3095_4E6F_B626_4E5AA9A76EE3_.wvu.Rows" localSheetId="29" hidden="1">'40M-NR'!$89:$114</definedName>
    <definedName name="Z_7194B931_3095_4E6F_B626_4E5AA9A76EE3_.wvu.Rows" localSheetId="30" hidden="1">'420G-NR'!$89:$114</definedName>
    <definedName name="Z_7194B931_3095_4E6F_B626_4E5AA9A76EE3_.wvu.Rows" localSheetId="31" hidden="1">'567C-NR'!$89:$114</definedName>
    <definedName name="Z_7194B931_3095_4E6F_B626_4E5AA9A76EE3_.wvu.Rows" localSheetId="33" hidden="1">'60MP-NR'!$89:$114</definedName>
    <definedName name="Z_7194B931_3095_4E6F_B626_4E5AA9A76EE3_.wvu.Rows" localSheetId="32" hidden="1">'6OC-NR'!$89:$114</definedName>
    <definedName name="Z_7194B931_3095_4E6F_B626_4E5AA9A76EE3_.wvu.Rows" localSheetId="69" hidden="1">'850C-NR'!$89:$114</definedName>
    <definedName name="Z_7194B931_3095_4E6F_B626_4E5AA9A76EE3_.wvu.Rows" localSheetId="72" hidden="1">'850C-NR_PC'!$89:$114</definedName>
    <definedName name="Z_7194B931_3095_4E6F_B626_4E5AA9A76EE3_.wvu.Rows" localSheetId="68" hidden="1">'QV1-NR'!$89:$114</definedName>
    <definedName name="Z_72D45871_20AB_4A07_8461_0E3AAB969711_.wvu.FilterData" localSheetId="75" hidden="1">'105M-IS'!$F$61:$F$66</definedName>
    <definedName name="Z_72D45871_20AB_4A07_8461_0E3AAB969711_.wvu.FilterData" localSheetId="48" hidden="1">'117C-IS'!$F$61:$F$66</definedName>
    <definedName name="Z_72D45871_20AB_4A07_8461_0E3AAB969711_.wvu.FilterData" localSheetId="62" hidden="1">'120C-IS'!$F$61:$F$66</definedName>
    <definedName name="Z_72D45871_20AB_4A07_8461_0E3AAB969711_.wvu.FilterData" localSheetId="36" hidden="1">'126P-IS'!$F$61:$F$66</definedName>
    <definedName name="Z_72D45871_20AB_4A07_8461_0E3AAB969711_.wvu.FilterData" localSheetId="52" hidden="1">'130P-IS'!$F$61:$F$66</definedName>
    <definedName name="Z_72D45871_20AB_4A07_8461_0E3AAB969711_.wvu.FilterData" localSheetId="34" hidden="1">'135K-IS'!$F$61:$F$66</definedName>
    <definedName name="Z_72D45871_20AB_4A07_8461_0E3AAB969711_.wvu.FilterData" localSheetId="54" hidden="1">'151C-IS'!$F$61:$F$66</definedName>
    <definedName name="Z_72D45871_20AB_4A07_8461_0E3AAB969711_.wvu.FilterData" localSheetId="58" hidden="1">'179T-IS'!$F$61:$F$66</definedName>
    <definedName name="Z_72D45871_20AB_4A07_8461_0E3AAB969711_.wvu.FilterData" localSheetId="27" hidden="1">'1M-IS'!$F$61:$F$66</definedName>
    <definedName name="Z_72D45871_20AB_4A07_8461_0E3AAB969711_.wvu.FilterData" localSheetId="42" hidden="1">'201K-IS'!$F$61:$F$66</definedName>
    <definedName name="Z_72D45871_20AB_4A07_8461_0E3AAB969711_.wvu.FilterData" localSheetId="44" hidden="1">'20B-IS'!$F$61:$F$66</definedName>
    <definedName name="Z_72D45871_20AB_4A07_8461_0E3AAB969711_.wvu.FilterData" localSheetId="60" hidden="1">'259Q-IS'!$F$61:$F$66</definedName>
    <definedName name="Z_72D45871_20AB_4A07_8461_0E3AAB969711_.wvu.FilterData" localSheetId="46" hidden="1">'347K-IS'!$F$61:$F$66</definedName>
    <definedName name="Z_72D45871_20AB_4A07_8461_0E3AAB969711_.wvu.FilterData" localSheetId="79" hidden="1">'388G-IS'!$F$61:$F$66</definedName>
    <definedName name="Z_72D45871_20AB_4A07_8461_0E3AAB969711_.wvu.FilterData" localSheetId="38" hidden="1">'40M-IS'!$F$61:$F$66</definedName>
    <definedName name="Z_72D45871_20AB_4A07_8461_0E3AAB969711_.wvu.FilterData" localSheetId="40" hidden="1">'420G-IS'!$F$61:$F$66</definedName>
    <definedName name="Z_72D45871_20AB_4A07_8461_0E3AAB969711_.wvu.FilterData" localSheetId="64" hidden="1">'567C-IS'!$F$61:$F$66</definedName>
    <definedName name="Z_72D45871_20AB_4A07_8461_0E3AAB969711_.wvu.FilterData" localSheetId="66" hidden="1">'575B-IS'!$F$61:$F$66</definedName>
    <definedName name="Z_72D45871_20AB_4A07_8461_0E3AAB969711_.wvu.FilterData" localSheetId="50" hidden="1">'60MP-IS'!$F$61:$F$66</definedName>
    <definedName name="Z_72D45871_20AB_4A07_8461_0E3AAB969711_.wvu.FilterData" localSheetId="56" hidden="1">'6O''C-IS'!$F$61:$F$66</definedName>
    <definedName name="Z_72D45871_20AB_4A07_8461_0E3AAB969711_.wvu.FilterData" localSheetId="70" hidden="1">'850C-IS'!$F$61:$F$66</definedName>
    <definedName name="Z_72D45871_20AB_4A07_8461_0E3AAB969711_.wvu.FilterData" localSheetId="77" hidden="1">'QV1-IS'!$F$61:$F$66</definedName>
    <definedName name="Z_72D45871_20AB_4A07_8461_0E3AAB969711_.wvu.PrintArea" localSheetId="74" hidden="1">'105M-NR'!$A$56:$V$139</definedName>
    <definedName name="Z_72D45871_20AB_4A07_8461_0E3AAB969711_.wvu.PrintArea" localSheetId="76" hidden="1">'105M-OS'!$A$1:$M$50</definedName>
    <definedName name="Z_72D45871_20AB_4A07_8461_0E3AAB969711_.wvu.PrintArea" localSheetId="15" hidden="1">'117C-NR'!$A$56:$V$139</definedName>
    <definedName name="Z_72D45871_20AB_4A07_8461_0E3AAB969711_.wvu.PrintArea" localSheetId="49" hidden="1">'117C-OS'!$A$1:$M$50</definedName>
    <definedName name="Z_72D45871_20AB_4A07_8461_0E3AAB969711_.wvu.PrintArea" localSheetId="16" hidden="1">'120C-NR'!$A$56:$V$139</definedName>
    <definedName name="Z_72D45871_20AB_4A07_8461_0E3AAB969711_.wvu.PrintArea" localSheetId="63" hidden="1">'120C-OS'!$A$1:$M$50</definedName>
    <definedName name="Z_72D45871_20AB_4A07_8461_0E3AAB969711_.wvu.PrintArea" localSheetId="17" hidden="1">'126P-NR'!$A$56:$V$139</definedName>
    <definedName name="Z_72D45871_20AB_4A07_8461_0E3AAB969711_.wvu.PrintArea" localSheetId="37" hidden="1">'126P-OS'!$A$1:$M$50</definedName>
    <definedName name="Z_72D45871_20AB_4A07_8461_0E3AAB969711_.wvu.PrintArea" localSheetId="18" hidden="1">'130P-NR'!$A$56:$V$139</definedName>
    <definedName name="Z_72D45871_20AB_4A07_8461_0E3AAB969711_.wvu.PrintArea" localSheetId="53" hidden="1">'130P-OS'!$A$1:$M$50</definedName>
    <definedName name="Z_72D45871_20AB_4A07_8461_0E3AAB969711_.wvu.PrintArea" localSheetId="19" hidden="1">'135K-NR'!$A$56:$V$140</definedName>
    <definedName name="Z_72D45871_20AB_4A07_8461_0E3AAB969711_.wvu.PrintArea" localSheetId="35" hidden="1">'135K-OS'!$A$1:$M$50</definedName>
    <definedName name="Z_72D45871_20AB_4A07_8461_0E3AAB969711_.wvu.PrintArea" localSheetId="20" hidden="1">'151C-NR'!$A$56:$V$139</definedName>
    <definedName name="Z_72D45871_20AB_4A07_8461_0E3AAB969711_.wvu.PrintArea" localSheetId="55" hidden="1">'151C-OS'!$A$1:$M$50</definedName>
    <definedName name="Z_72D45871_20AB_4A07_8461_0E3AAB969711_.wvu.PrintArea" localSheetId="21" hidden="1">'179T-NR'!$A$56:$V$139</definedName>
    <definedName name="Z_72D45871_20AB_4A07_8461_0E3AAB969711_.wvu.PrintArea" localSheetId="59" hidden="1">'179T-OS'!$A$1:$M$50</definedName>
    <definedName name="Z_72D45871_20AB_4A07_8461_0E3AAB969711_.wvu.PrintArea" localSheetId="11" hidden="1">'1M-DUMMY'!$A$56:$V$139</definedName>
    <definedName name="Z_72D45871_20AB_4A07_8461_0E3AAB969711_.wvu.PrintArea" localSheetId="14" hidden="1">'1M-NR'!$A$56:$V$139</definedName>
    <definedName name="Z_72D45871_20AB_4A07_8461_0E3AAB969711_.wvu.PrintArea" localSheetId="28" hidden="1">'1M-OS'!$A$1:$M$50</definedName>
    <definedName name="Z_72D45871_20AB_4A07_8461_0E3AAB969711_.wvu.PrintArea" localSheetId="22" hidden="1">'201K-NR'!$A$56:$V$139</definedName>
    <definedName name="Z_72D45871_20AB_4A07_8461_0E3AAB969711_.wvu.PrintArea" localSheetId="43" hidden="1">'201K-OS'!$A$1:$M$50</definedName>
    <definedName name="Z_72D45871_20AB_4A07_8461_0E3AAB969711_.wvu.PrintArea" localSheetId="73" hidden="1">'20B-NR'!$A$56:$V$139</definedName>
    <definedName name="Z_72D45871_20AB_4A07_8461_0E3AAB969711_.wvu.PrintArea" localSheetId="45" hidden="1">'20B-OS'!$A$1:$M$50</definedName>
    <definedName name="Z_72D45871_20AB_4A07_8461_0E3AAB969711_.wvu.PrintArea" localSheetId="23" hidden="1">'220L-NR'!$A$56:$V$139</definedName>
    <definedName name="Z_72D45871_20AB_4A07_8461_0E3AAB969711_.wvu.PrintArea" localSheetId="24" hidden="1">'259Q-NR'!$A$56:$V$139</definedName>
    <definedName name="Z_72D45871_20AB_4A07_8461_0E3AAB969711_.wvu.PrintArea" localSheetId="61" hidden="1">'259Q-OS'!$A$1:$M$50</definedName>
    <definedName name="Z_72D45871_20AB_4A07_8461_0E3AAB969711_.wvu.PrintArea" localSheetId="25" hidden="1">'347K-NR'!$A$56:$V$139</definedName>
    <definedName name="Z_72D45871_20AB_4A07_8461_0E3AAB969711_.wvu.PrintArea" localSheetId="47" hidden="1">'347K-OS'!$A$1:$M$50</definedName>
    <definedName name="Z_72D45871_20AB_4A07_8461_0E3AAB969711_.wvu.PrintArea" localSheetId="26" hidden="1">'388G-NR'!$A$56:$V$139</definedName>
    <definedName name="Z_72D45871_20AB_4A07_8461_0E3AAB969711_.wvu.PrintArea" localSheetId="80" hidden="1">'388G-OS'!$A$1:$M$50</definedName>
    <definedName name="Z_72D45871_20AB_4A07_8461_0E3AAB969711_.wvu.PrintArea" localSheetId="29" hidden="1">'40M-NR'!$A$56:$V$139</definedName>
    <definedName name="Z_72D45871_20AB_4A07_8461_0E3AAB969711_.wvu.PrintArea" localSheetId="39" hidden="1">'40M-OS'!$A$1:$M$50</definedName>
    <definedName name="Z_72D45871_20AB_4A07_8461_0E3AAB969711_.wvu.PrintArea" localSheetId="30" hidden="1">'420G-NR'!$A$56:$V$139</definedName>
    <definedName name="Z_72D45871_20AB_4A07_8461_0E3AAB969711_.wvu.PrintArea" localSheetId="41" hidden="1">'420G-OS'!$A$1:$M$50</definedName>
    <definedName name="Z_72D45871_20AB_4A07_8461_0E3AAB969711_.wvu.PrintArea" localSheetId="31" hidden="1">'567C-NR'!$A$56:$V$139</definedName>
    <definedName name="Z_72D45871_20AB_4A07_8461_0E3AAB969711_.wvu.PrintArea" localSheetId="65" hidden="1">'567C-OS'!$A$1:$M$50</definedName>
    <definedName name="Z_72D45871_20AB_4A07_8461_0E3AAB969711_.wvu.PrintArea" localSheetId="67" hidden="1">'575B-OS'!$A$1:$M$50</definedName>
    <definedName name="Z_72D45871_20AB_4A07_8461_0E3AAB969711_.wvu.PrintArea" localSheetId="33" hidden="1">'60MP-NR'!$A$56:$V$139</definedName>
    <definedName name="Z_72D45871_20AB_4A07_8461_0E3AAB969711_.wvu.PrintArea" localSheetId="51" hidden="1">'60MP-OS'!$A$1:$M$50</definedName>
    <definedName name="Z_72D45871_20AB_4A07_8461_0E3AAB969711_.wvu.PrintArea" localSheetId="32" hidden="1">'6OC-NR'!$A$56:$V$139</definedName>
    <definedName name="Z_72D45871_20AB_4A07_8461_0E3AAB969711_.wvu.PrintArea" localSheetId="57" hidden="1">'6O''C-OS'!$A$1:$M$50</definedName>
    <definedName name="Z_72D45871_20AB_4A07_8461_0E3AAB969711_.wvu.PrintArea" localSheetId="69" hidden="1">'850C-NR'!$A$56:$V$139</definedName>
    <definedName name="Z_72D45871_20AB_4A07_8461_0E3AAB969711_.wvu.PrintArea" localSheetId="72" hidden="1">'850C-NR_PC'!$A$56:$V$139</definedName>
    <definedName name="Z_72D45871_20AB_4A07_8461_0E3AAB969711_.wvu.PrintArea" localSheetId="71" hidden="1">'850C-OS'!$A$1:$M$50</definedName>
    <definedName name="Z_72D45871_20AB_4A07_8461_0E3AAB969711_.wvu.PrintArea" localSheetId="68" hidden="1">'QV1-NR'!$A$56:$V$139</definedName>
    <definedName name="Z_72D45871_20AB_4A07_8461_0E3AAB969711_.wvu.PrintArea" localSheetId="78" hidden="1">'QV1-OS'!$A$1:$M$50</definedName>
    <definedName name="Z_72D45871_20AB_4A07_8461_0E3AAB969711_.wvu.Rows" localSheetId="74" hidden="1">'105M-NR'!$89:$114</definedName>
    <definedName name="Z_72D45871_20AB_4A07_8461_0E3AAB969711_.wvu.Rows" localSheetId="15" hidden="1">'117C-NR'!$89:$114</definedName>
    <definedName name="Z_72D45871_20AB_4A07_8461_0E3AAB969711_.wvu.Rows" localSheetId="16" hidden="1">'120C-NR'!$89:$114</definedName>
    <definedName name="Z_72D45871_20AB_4A07_8461_0E3AAB969711_.wvu.Rows" localSheetId="17" hidden="1">'126P-NR'!$89:$114</definedName>
    <definedName name="Z_72D45871_20AB_4A07_8461_0E3AAB969711_.wvu.Rows" localSheetId="18" hidden="1">'130P-NR'!$89:$114</definedName>
    <definedName name="Z_72D45871_20AB_4A07_8461_0E3AAB969711_.wvu.Rows" localSheetId="19" hidden="1">'135K-NR'!$90:$115</definedName>
    <definedName name="Z_72D45871_20AB_4A07_8461_0E3AAB969711_.wvu.Rows" localSheetId="20" hidden="1">'151C-NR'!$89:$114</definedName>
    <definedName name="Z_72D45871_20AB_4A07_8461_0E3AAB969711_.wvu.Rows" localSheetId="21" hidden="1">'179T-NR'!$89:$114</definedName>
    <definedName name="Z_72D45871_20AB_4A07_8461_0E3AAB969711_.wvu.Rows" localSheetId="11" hidden="1">'1M-DUMMY'!$89:$114</definedName>
    <definedName name="Z_72D45871_20AB_4A07_8461_0E3AAB969711_.wvu.Rows" localSheetId="14" hidden="1">'1M-NR'!$89:$114</definedName>
    <definedName name="Z_72D45871_20AB_4A07_8461_0E3AAB969711_.wvu.Rows" localSheetId="22" hidden="1">'201K-NR'!$89:$114</definedName>
    <definedName name="Z_72D45871_20AB_4A07_8461_0E3AAB969711_.wvu.Rows" localSheetId="73" hidden="1">'20B-NR'!$89:$114</definedName>
    <definedName name="Z_72D45871_20AB_4A07_8461_0E3AAB969711_.wvu.Rows" localSheetId="23" hidden="1">'220L-NR'!$89:$114</definedName>
    <definedName name="Z_72D45871_20AB_4A07_8461_0E3AAB969711_.wvu.Rows" localSheetId="24" hidden="1">'259Q-NR'!$89:$114</definedName>
    <definedName name="Z_72D45871_20AB_4A07_8461_0E3AAB969711_.wvu.Rows" localSheetId="25" hidden="1">'347K-NR'!$89:$114</definedName>
    <definedName name="Z_72D45871_20AB_4A07_8461_0E3AAB969711_.wvu.Rows" localSheetId="26" hidden="1">'388G-NR'!$89:$114</definedName>
    <definedName name="Z_72D45871_20AB_4A07_8461_0E3AAB969711_.wvu.Rows" localSheetId="29" hidden="1">'40M-NR'!$89:$114</definedName>
    <definedName name="Z_72D45871_20AB_4A07_8461_0E3AAB969711_.wvu.Rows" localSheetId="30" hidden="1">'420G-NR'!$89:$114</definedName>
    <definedName name="Z_72D45871_20AB_4A07_8461_0E3AAB969711_.wvu.Rows" localSheetId="31" hidden="1">'567C-NR'!$89:$114</definedName>
    <definedName name="Z_72D45871_20AB_4A07_8461_0E3AAB969711_.wvu.Rows" localSheetId="33" hidden="1">'60MP-NR'!$89:$114</definedName>
    <definedName name="Z_72D45871_20AB_4A07_8461_0E3AAB969711_.wvu.Rows" localSheetId="32" hidden="1">'6OC-NR'!$89:$114</definedName>
    <definedName name="Z_72D45871_20AB_4A07_8461_0E3AAB969711_.wvu.Rows" localSheetId="69" hidden="1">'850C-NR'!$89:$114</definedName>
    <definedName name="Z_72D45871_20AB_4A07_8461_0E3AAB969711_.wvu.Rows" localSheetId="72" hidden="1">'850C-NR_PC'!$89:$114</definedName>
    <definedName name="Z_72D45871_20AB_4A07_8461_0E3AAB969711_.wvu.Rows" localSheetId="68" hidden="1">'QV1-NR'!$89:$114</definedName>
    <definedName name="Z_8111F079_8DEF_44B7_96A9_EBF3BB2EC0A5_.wvu.PrintArea" localSheetId="74" hidden="1">'105M-NR'!$A$56:$V$139</definedName>
    <definedName name="Z_8111F079_8DEF_44B7_96A9_EBF3BB2EC0A5_.wvu.PrintArea" localSheetId="15" hidden="1">'117C-NR'!$A$56:$V$139</definedName>
    <definedName name="Z_8111F079_8DEF_44B7_96A9_EBF3BB2EC0A5_.wvu.PrintArea" localSheetId="16" hidden="1">'120C-NR'!$A$56:$V$139</definedName>
    <definedName name="Z_8111F079_8DEF_44B7_96A9_EBF3BB2EC0A5_.wvu.PrintArea" localSheetId="17" hidden="1">'126P-NR'!$A$56:$V$139</definedName>
    <definedName name="Z_8111F079_8DEF_44B7_96A9_EBF3BB2EC0A5_.wvu.PrintArea" localSheetId="18" hidden="1">'130P-NR'!$A$56:$V$139</definedName>
    <definedName name="Z_8111F079_8DEF_44B7_96A9_EBF3BB2EC0A5_.wvu.PrintArea" localSheetId="19" hidden="1">'135K-NR'!$A$56:$V$140</definedName>
    <definedName name="Z_8111F079_8DEF_44B7_96A9_EBF3BB2EC0A5_.wvu.PrintArea" localSheetId="20" hidden="1">'151C-NR'!$A$56:$V$139</definedName>
    <definedName name="Z_8111F079_8DEF_44B7_96A9_EBF3BB2EC0A5_.wvu.PrintArea" localSheetId="21" hidden="1">'179T-NR'!$A$56:$V$139</definedName>
    <definedName name="Z_8111F079_8DEF_44B7_96A9_EBF3BB2EC0A5_.wvu.PrintArea" localSheetId="11" hidden="1">'1M-DUMMY'!$A$56:$V$139</definedName>
    <definedName name="Z_8111F079_8DEF_44B7_96A9_EBF3BB2EC0A5_.wvu.PrintArea" localSheetId="14" hidden="1">'1M-NR'!$A$56:$V$139</definedName>
    <definedName name="Z_8111F079_8DEF_44B7_96A9_EBF3BB2EC0A5_.wvu.PrintArea" localSheetId="22" hidden="1">'201K-NR'!$A$56:$V$139</definedName>
    <definedName name="Z_8111F079_8DEF_44B7_96A9_EBF3BB2EC0A5_.wvu.PrintArea" localSheetId="73" hidden="1">'20B-NR'!$A$56:$V$139</definedName>
    <definedName name="Z_8111F079_8DEF_44B7_96A9_EBF3BB2EC0A5_.wvu.PrintArea" localSheetId="23" hidden="1">'220L-NR'!$A$56:$V$139</definedName>
    <definedName name="Z_8111F079_8DEF_44B7_96A9_EBF3BB2EC0A5_.wvu.PrintArea" localSheetId="24" hidden="1">'259Q-NR'!$A$56:$V$139</definedName>
    <definedName name="Z_8111F079_8DEF_44B7_96A9_EBF3BB2EC0A5_.wvu.PrintArea" localSheetId="25" hidden="1">'347K-NR'!$A$56:$V$139</definedName>
    <definedName name="Z_8111F079_8DEF_44B7_96A9_EBF3BB2EC0A5_.wvu.PrintArea" localSheetId="26" hidden="1">'388G-NR'!$A$56:$V$139</definedName>
    <definedName name="Z_8111F079_8DEF_44B7_96A9_EBF3BB2EC0A5_.wvu.PrintArea" localSheetId="29" hidden="1">'40M-NR'!$A$56:$V$139</definedName>
    <definedName name="Z_8111F079_8DEF_44B7_96A9_EBF3BB2EC0A5_.wvu.PrintArea" localSheetId="30" hidden="1">'420G-NR'!$A$56:$V$139</definedName>
    <definedName name="Z_8111F079_8DEF_44B7_96A9_EBF3BB2EC0A5_.wvu.PrintArea" localSheetId="31" hidden="1">'567C-NR'!$A$56:$V$139</definedName>
    <definedName name="Z_8111F079_8DEF_44B7_96A9_EBF3BB2EC0A5_.wvu.PrintArea" localSheetId="33" hidden="1">'60MP-NR'!$A$56:$V$139</definedName>
    <definedName name="Z_8111F079_8DEF_44B7_96A9_EBF3BB2EC0A5_.wvu.PrintArea" localSheetId="32" hidden="1">'6OC-NR'!$A$56:$V$139</definedName>
    <definedName name="Z_8111F079_8DEF_44B7_96A9_EBF3BB2EC0A5_.wvu.PrintArea" localSheetId="69" hidden="1">'850C-NR'!$A$56:$V$139</definedName>
    <definedName name="Z_8111F079_8DEF_44B7_96A9_EBF3BB2EC0A5_.wvu.PrintArea" localSheetId="72" hidden="1">'850C-NR_PC'!$A$56:$V$139</definedName>
    <definedName name="Z_8111F079_8DEF_44B7_96A9_EBF3BB2EC0A5_.wvu.PrintArea" localSheetId="68" hidden="1">'QV1-NR'!$A$56:$V$139</definedName>
    <definedName name="Z_8111F079_8DEF_44B7_96A9_EBF3BB2EC0A5_.wvu.Rows" localSheetId="74" hidden="1">'105M-NR'!$89:$114</definedName>
    <definedName name="Z_8111F079_8DEF_44B7_96A9_EBF3BB2EC0A5_.wvu.Rows" localSheetId="15" hidden="1">'117C-NR'!$89:$114</definedName>
    <definedName name="Z_8111F079_8DEF_44B7_96A9_EBF3BB2EC0A5_.wvu.Rows" localSheetId="16" hidden="1">'120C-NR'!$89:$114</definedName>
    <definedName name="Z_8111F079_8DEF_44B7_96A9_EBF3BB2EC0A5_.wvu.Rows" localSheetId="17" hidden="1">'126P-NR'!$89:$114</definedName>
    <definedName name="Z_8111F079_8DEF_44B7_96A9_EBF3BB2EC0A5_.wvu.Rows" localSheetId="18" hidden="1">'130P-NR'!$89:$114</definedName>
    <definedName name="Z_8111F079_8DEF_44B7_96A9_EBF3BB2EC0A5_.wvu.Rows" localSheetId="19" hidden="1">'135K-NR'!$90:$115</definedName>
    <definedName name="Z_8111F079_8DEF_44B7_96A9_EBF3BB2EC0A5_.wvu.Rows" localSheetId="20" hidden="1">'151C-NR'!$89:$114</definedName>
    <definedName name="Z_8111F079_8DEF_44B7_96A9_EBF3BB2EC0A5_.wvu.Rows" localSheetId="21" hidden="1">'179T-NR'!$89:$114</definedName>
    <definedName name="Z_8111F079_8DEF_44B7_96A9_EBF3BB2EC0A5_.wvu.Rows" localSheetId="11" hidden="1">'1M-DUMMY'!$89:$114</definedName>
    <definedName name="Z_8111F079_8DEF_44B7_96A9_EBF3BB2EC0A5_.wvu.Rows" localSheetId="14" hidden="1">'1M-NR'!$89:$114</definedName>
    <definedName name="Z_8111F079_8DEF_44B7_96A9_EBF3BB2EC0A5_.wvu.Rows" localSheetId="22" hidden="1">'201K-NR'!$89:$114</definedName>
    <definedName name="Z_8111F079_8DEF_44B7_96A9_EBF3BB2EC0A5_.wvu.Rows" localSheetId="73" hidden="1">'20B-NR'!$89:$114</definedName>
    <definedName name="Z_8111F079_8DEF_44B7_96A9_EBF3BB2EC0A5_.wvu.Rows" localSheetId="23" hidden="1">'220L-NR'!$89:$114</definedName>
    <definedName name="Z_8111F079_8DEF_44B7_96A9_EBF3BB2EC0A5_.wvu.Rows" localSheetId="24" hidden="1">'259Q-NR'!$89:$114</definedName>
    <definedName name="Z_8111F079_8DEF_44B7_96A9_EBF3BB2EC0A5_.wvu.Rows" localSheetId="25" hidden="1">'347K-NR'!$89:$114</definedName>
    <definedName name="Z_8111F079_8DEF_44B7_96A9_EBF3BB2EC0A5_.wvu.Rows" localSheetId="26" hidden="1">'388G-NR'!$89:$114</definedName>
    <definedName name="Z_8111F079_8DEF_44B7_96A9_EBF3BB2EC0A5_.wvu.Rows" localSheetId="29" hidden="1">'40M-NR'!$89:$114</definedName>
    <definedName name="Z_8111F079_8DEF_44B7_96A9_EBF3BB2EC0A5_.wvu.Rows" localSheetId="30" hidden="1">'420G-NR'!$89:$114</definedName>
    <definedName name="Z_8111F079_8DEF_44B7_96A9_EBF3BB2EC0A5_.wvu.Rows" localSheetId="31" hidden="1">'567C-NR'!$89:$114</definedName>
    <definedName name="Z_8111F079_8DEF_44B7_96A9_EBF3BB2EC0A5_.wvu.Rows" localSheetId="33" hidden="1">'60MP-NR'!$89:$114</definedName>
    <definedName name="Z_8111F079_8DEF_44B7_96A9_EBF3BB2EC0A5_.wvu.Rows" localSheetId="32" hidden="1">'6OC-NR'!$89:$114</definedName>
    <definedName name="Z_8111F079_8DEF_44B7_96A9_EBF3BB2EC0A5_.wvu.Rows" localSheetId="69" hidden="1">'850C-NR'!$89:$114</definedName>
    <definedName name="Z_8111F079_8DEF_44B7_96A9_EBF3BB2EC0A5_.wvu.Rows" localSheetId="72" hidden="1">'850C-NR_PC'!$89:$114</definedName>
    <definedName name="Z_8111F079_8DEF_44B7_96A9_EBF3BB2EC0A5_.wvu.Rows" localSheetId="68" hidden="1">'QV1-NR'!$89:$114</definedName>
    <definedName name="Z_89CED916_071E_4C14_9462_4BF4127B4593_.wvu.PrintArea" localSheetId="74" hidden="1">'105M-NR'!$A$56:$V$139</definedName>
    <definedName name="Z_89CED916_071E_4C14_9462_4BF4127B4593_.wvu.PrintArea" localSheetId="15" hidden="1">'117C-NR'!$A$56:$V$139</definedName>
    <definedName name="Z_89CED916_071E_4C14_9462_4BF4127B4593_.wvu.PrintArea" localSheetId="16" hidden="1">'120C-NR'!$A$56:$V$139</definedName>
    <definedName name="Z_89CED916_071E_4C14_9462_4BF4127B4593_.wvu.PrintArea" localSheetId="17" hidden="1">'126P-NR'!$A$56:$V$139</definedName>
    <definedName name="Z_89CED916_071E_4C14_9462_4BF4127B4593_.wvu.PrintArea" localSheetId="18" hidden="1">'130P-NR'!$A$56:$V$139</definedName>
    <definedName name="Z_89CED916_071E_4C14_9462_4BF4127B4593_.wvu.PrintArea" localSheetId="19" hidden="1">'135K-NR'!$A$56:$V$140</definedName>
    <definedName name="Z_89CED916_071E_4C14_9462_4BF4127B4593_.wvu.PrintArea" localSheetId="20" hidden="1">'151C-NR'!$A$56:$V$139</definedName>
    <definedName name="Z_89CED916_071E_4C14_9462_4BF4127B4593_.wvu.PrintArea" localSheetId="21" hidden="1">'179T-NR'!$A$56:$V$139</definedName>
    <definedName name="Z_89CED916_071E_4C14_9462_4BF4127B4593_.wvu.PrintArea" localSheetId="11" hidden="1">'1M-DUMMY'!$A$56:$V$139</definedName>
    <definedName name="Z_89CED916_071E_4C14_9462_4BF4127B4593_.wvu.PrintArea" localSheetId="14" hidden="1">'1M-NR'!$A$56:$V$139</definedName>
    <definedName name="Z_89CED916_071E_4C14_9462_4BF4127B4593_.wvu.PrintArea" localSheetId="22" hidden="1">'201K-NR'!$A$56:$V$139</definedName>
    <definedName name="Z_89CED916_071E_4C14_9462_4BF4127B4593_.wvu.PrintArea" localSheetId="73" hidden="1">'20B-NR'!$A$56:$V$139</definedName>
    <definedName name="Z_89CED916_071E_4C14_9462_4BF4127B4593_.wvu.PrintArea" localSheetId="23" hidden="1">'220L-NR'!$A$56:$V$139</definedName>
    <definedName name="Z_89CED916_071E_4C14_9462_4BF4127B4593_.wvu.PrintArea" localSheetId="24" hidden="1">'259Q-NR'!$A$56:$V$139</definedName>
    <definedName name="Z_89CED916_071E_4C14_9462_4BF4127B4593_.wvu.PrintArea" localSheetId="25" hidden="1">'347K-NR'!$A$56:$V$139</definedName>
    <definedName name="Z_89CED916_071E_4C14_9462_4BF4127B4593_.wvu.PrintArea" localSheetId="26" hidden="1">'388G-NR'!$A$56:$V$139</definedName>
    <definedName name="Z_89CED916_071E_4C14_9462_4BF4127B4593_.wvu.PrintArea" localSheetId="29" hidden="1">'40M-NR'!$A$56:$V$139</definedName>
    <definedName name="Z_89CED916_071E_4C14_9462_4BF4127B4593_.wvu.PrintArea" localSheetId="30" hidden="1">'420G-NR'!$A$56:$V$139</definedName>
    <definedName name="Z_89CED916_071E_4C14_9462_4BF4127B4593_.wvu.PrintArea" localSheetId="31" hidden="1">'567C-NR'!$A$56:$V$139</definedName>
    <definedName name="Z_89CED916_071E_4C14_9462_4BF4127B4593_.wvu.PrintArea" localSheetId="33" hidden="1">'60MP-NR'!$A$56:$V$139</definedName>
    <definedName name="Z_89CED916_071E_4C14_9462_4BF4127B4593_.wvu.PrintArea" localSheetId="32" hidden="1">'6OC-NR'!$A$56:$V$139</definedName>
    <definedName name="Z_89CED916_071E_4C14_9462_4BF4127B4593_.wvu.PrintArea" localSheetId="69" hidden="1">'850C-NR'!$A$56:$V$139</definedName>
    <definedName name="Z_89CED916_071E_4C14_9462_4BF4127B4593_.wvu.PrintArea" localSheetId="72" hidden="1">'850C-NR_PC'!$A$56:$V$139</definedName>
    <definedName name="Z_89CED916_071E_4C14_9462_4BF4127B4593_.wvu.PrintArea" localSheetId="68" hidden="1">'QV1-NR'!$A$56:$V$139</definedName>
    <definedName name="Z_89CED916_071E_4C14_9462_4BF4127B4593_.wvu.Rows" localSheetId="74" hidden="1">'105M-NR'!$89:$114</definedName>
    <definedName name="Z_89CED916_071E_4C14_9462_4BF4127B4593_.wvu.Rows" localSheetId="15" hidden="1">'117C-NR'!$89:$114</definedName>
    <definedName name="Z_89CED916_071E_4C14_9462_4BF4127B4593_.wvu.Rows" localSheetId="16" hidden="1">'120C-NR'!$89:$114</definedName>
    <definedName name="Z_89CED916_071E_4C14_9462_4BF4127B4593_.wvu.Rows" localSheetId="17" hidden="1">'126P-NR'!$89:$114</definedName>
    <definedName name="Z_89CED916_071E_4C14_9462_4BF4127B4593_.wvu.Rows" localSheetId="18" hidden="1">'130P-NR'!$89:$114</definedName>
    <definedName name="Z_89CED916_071E_4C14_9462_4BF4127B4593_.wvu.Rows" localSheetId="19" hidden="1">'135K-NR'!$90:$115</definedName>
    <definedName name="Z_89CED916_071E_4C14_9462_4BF4127B4593_.wvu.Rows" localSheetId="20" hidden="1">'151C-NR'!$89:$114</definedName>
    <definedName name="Z_89CED916_071E_4C14_9462_4BF4127B4593_.wvu.Rows" localSheetId="21" hidden="1">'179T-NR'!$89:$114</definedName>
    <definedName name="Z_89CED916_071E_4C14_9462_4BF4127B4593_.wvu.Rows" localSheetId="11" hidden="1">'1M-DUMMY'!$89:$114</definedName>
    <definedName name="Z_89CED916_071E_4C14_9462_4BF4127B4593_.wvu.Rows" localSheetId="14" hidden="1">'1M-NR'!$89:$114</definedName>
    <definedName name="Z_89CED916_071E_4C14_9462_4BF4127B4593_.wvu.Rows" localSheetId="22" hidden="1">'201K-NR'!$89:$114</definedName>
    <definedName name="Z_89CED916_071E_4C14_9462_4BF4127B4593_.wvu.Rows" localSheetId="73" hidden="1">'20B-NR'!$89:$114</definedName>
    <definedName name="Z_89CED916_071E_4C14_9462_4BF4127B4593_.wvu.Rows" localSheetId="23" hidden="1">'220L-NR'!$89:$114</definedName>
    <definedName name="Z_89CED916_071E_4C14_9462_4BF4127B4593_.wvu.Rows" localSheetId="24" hidden="1">'259Q-NR'!$89:$114</definedName>
    <definedName name="Z_89CED916_071E_4C14_9462_4BF4127B4593_.wvu.Rows" localSheetId="25" hidden="1">'347K-NR'!$89:$114</definedName>
    <definedName name="Z_89CED916_071E_4C14_9462_4BF4127B4593_.wvu.Rows" localSheetId="26" hidden="1">'388G-NR'!$89:$114</definedName>
    <definedName name="Z_89CED916_071E_4C14_9462_4BF4127B4593_.wvu.Rows" localSheetId="29" hidden="1">'40M-NR'!$89:$114</definedName>
    <definedName name="Z_89CED916_071E_4C14_9462_4BF4127B4593_.wvu.Rows" localSheetId="30" hidden="1">'420G-NR'!$89:$114</definedName>
    <definedName name="Z_89CED916_071E_4C14_9462_4BF4127B4593_.wvu.Rows" localSheetId="31" hidden="1">'567C-NR'!$89:$114</definedName>
    <definedName name="Z_89CED916_071E_4C14_9462_4BF4127B4593_.wvu.Rows" localSheetId="33" hidden="1">'60MP-NR'!$89:$114</definedName>
    <definedName name="Z_89CED916_071E_4C14_9462_4BF4127B4593_.wvu.Rows" localSheetId="32" hidden="1">'6OC-NR'!$89:$114</definedName>
    <definedName name="Z_89CED916_071E_4C14_9462_4BF4127B4593_.wvu.Rows" localSheetId="69" hidden="1">'850C-NR'!$89:$114</definedName>
    <definedName name="Z_89CED916_071E_4C14_9462_4BF4127B4593_.wvu.Rows" localSheetId="72" hidden="1">'850C-NR_PC'!$89:$114</definedName>
    <definedName name="Z_89CED916_071E_4C14_9462_4BF4127B4593_.wvu.Rows" localSheetId="68" hidden="1">'QV1-NR'!$89:$114</definedName>
    <definedName name="Z_8A556CE2_145B_4365_B7FD_D0C45A51D8DC_.wvu.FilterData" localSheetId="75" hidden="1">'105M-IS'!$F$61:$F$66</definedName>
    <definedName name="Z_8A556CE2_145B_4365_B7FD_D0C45A51D8DC_.wvu.FilterData" localSheetId="48" hidden="1">'117C-IS'!$F$61:$F$66</definedName>
    <definedName name="Z_8A556CE2_145B_4365_B7FD_D0C45A51D8DC_.wvu.FilterData" localSheetId="62" hidden="1">'120C-IS'!$F$61:$F$66</definedName>
    <definedName name="Z_8A556CE2_145B_4365_B7FD_D0C45A51D8DC_.wvu.FilterData" localSheetId="36" hidden="1">'126P-IS'!$F$61:$F$66</definedName>
    <definedName name="Z_8A556CE2_145B_4365_B7FD_D0C45A51D8DC_.wvu.FilterData" localSheetId="52" hidden="1">'130P-IS'!$F$61:$F$66</definedName>
    <definedName name="Z_8A556CE2_145B_4365_B7FD_D0C45A51D8DC_.wvu.FilterData" localSheetId="34" hidden="1">'135K-IS'!$F$61:$F$66</definedName>
    <definedName name="Z_8A556CE2_145B_4365_B7FD_D0C45A51D8DC_.wvu.FilterData" localSheetId="54" hidden="1">'151C-IS'!$F$61:$F$66</definedName>
    <definedName name="Z_8A556CE2_145B_4365_B7FD_D0C45A51D8DC_.wvu.FilterData" localSheetId="58" hidden="1">'179T-IS'!$F$61:$F$66</definedName>
    <definedName name="Z_8A556CE2_145B_4365_B7FD_D0C45A51D8DC_.wvu.FilterData" localSheetId="27" hidden="1">'1M-IS'!$F$61:$F$66</definedName>
    <definedName name="Z_8A556CE2_145B_4365_B7FD_D0C45A51D8DC_.wvu.FilterData" localSheetId="42" hidden="1">'201K-IS'!$F$61:$F$66</definedName>
    <definedName name="Z_8A556CE2_145B_4365_B7FD_D0C45A51D8DC_.wvu.FilterData" localSheetId="44" hidden="1">'20B-IS'!$F$61:$F$66</definedName>
    <definedName name="Z_8A556CE2_145B_4365_B7FD_D0C45A51D8DC_.wvu.FilterData" localSheetId="60" hidden="1">'259Q-IS'!$F$61:$F$66</definedName>
    <definedName name="Z_8A556CE2_145B_4365_B7FD_D0C45A51D8DC_.wvu.FilterData" localSheetId="46" hidden="1">'347K-IS'!$F$61:$F$66</definedName>
    <definedName name="Z_8A556CE2_145B_4365_B7FD_D0C45A51D8DC_.wvu.FilterData" localSheetId="79" hidden="1">'388G-IS'!$F$61:$F$66</definedName>
    <definedName name="Z_8A556CE2_145B_4365_B7FD_D0C45A51D8DC_.wvu.FilterData" localSheetId="38" hidden="1">'40M-IS'!$F$61:$F$66</definedName>
    <definedName name="Z_8A556CE2_145B_4365_B7FD_D0C45A51D8DC_.wvu.FilterData" localSheetId="40" hidden="1">'420G-IS'!$F$61:$F$66</definedName>
    <definedName name="Z_8A556CE2_145B_4365_B7FD_D0C45A51D8DC_.wvu.FilterData" localSheetId="64" hidden="1">'567C-IS'!$F$61:$F$66</definedName>
    <definedName name="Z_8A556CE2_145B_4365_B7FD_D0C45A51D8DC_.wvu.FilterData" localSheetId="66" hidden="1">'575B-IS'!$F$61:$F$66</definedName>
    <definedName name="Z_8A556CE2_145B_4365_B7FD_D0C45A51D8DC_.wvu.FilterData" localSheetId="50" hidden="1">'60MP-IS'!$F$61:$F$66</definedName>
    <definedName name="Z_8A556CE2_145B_4365_B7FD_D0C45A51D8DC_.wvu.FilterData" localSheetId="56" hidden="1">'6O''C-IS'!$F$61:$F$66</definedName>
    <definedName name="Z_8A556CE2_145B_4365_B7FD_D0C45A51D8DC_.wvu.FilterData" localSheetId="70" hidden="1">'850C-IS'!$F$61:$F$66</definedName>
    <definedName name="Z_8A556CE2_145B_4365_B7FD_D0C45A51D8DC_.wvu.FilterData" localSheetId="77" hidden="1">'QV1-IS'!$F$61:$F$66</definedName>
    <definedName name="Z_8A556CE2_145B_4365_B7FD_D0C45A51D8DC_.wvu.PrintArea" localSheetId="74" hidden="1">'105M-NR'!$A$56:$V$139</definedName>
    <definedName name="Z_8A556CE2_145B_4365_B7FD_D0C45A51D8DC_.wvu.PrintArea" localSheetId="76" hidden="1">'105M-OS'!$A$1:$M$50</definedName>
    <definedName name="Z_8A556CE2_145B_4365_B7FD_D0C45A51D8DC_.wvu.PrintArea" localSheetId="15" hidden="1">'117C-NR'!$A$56:$V$139</definedName>
    <definedName name="Z_8A556CE2_145B_4365_B7FD_D0C45A51D8DC_.wvu.PrintArea" localSheetId="49" hidden="1">'117C-OS'!$A$1:$M$50</definedName>
    <definedName name="Z_8A556CE2_145B_4365_B7FD_D0C45A51D8DC_.wvu.PrintArea" localSheetId="16" hidden="1">'120C-NR'!$A$56:$V$139</definedName>
    <definedName name="Z_8A556CE2_145B_4365_B7FD_D0C45A51D8DC_.wvu.PrintArea" localSheetId="63" hidden="1">'120C-OS'!$A$1:$M$50</definedName>
    <definedName name="Z_8A556CE2_145B_4365_B7FD_D0C45A51D8DC_.wvu.PrintArea" localSheetId="17" hidden="1">'126P-NR'!$A$56:$V$139</definedName>
    <definedName name="Z_8A556CE2_145B_4365_B7FD_D0C45A51D8DC_.wvu.PrintArea" localSheetId="37" hidden="1">'126P-OS'!$A$1:$M$50</definedName>
    <definedName name="Z_8A556CE2_145B_4365_B7FD_D0C45A51D8DC_.wvu.PrintArea" localSheetId="18" hidden="1">'130P-NR'!$A$56:$V$139</definedName>
    <definedName name="Z_8A556CE2_145B_4365_B7FD_D0C45A51D8DC_.wvu.PrintArea" localSheetId="53" hidden="1">'130P-OS'!$A$1:$M$50</definedName>
    <definedName name="Z_8A556CE2_145B_4365_B7FD_D0C45A51D8DC_.wvu.PrintArea" localSheetId="19" hidden="1">'135K-NR'!$A$56:$V$140</definedName>
    <definedName name="Z_8A556CE2_145B_4365_B7FD_D0C45A51D8DC_.wvu.PrintArea" localSheetId="35" hidden="1">'135K-OS'!$A$1:$M$50</definedName>
    <definedName name="Z_8A556CE2_145B_4365_B7FD_D0C45A51D8DC_.wvu.PrintArea" localSheetId="20" hidden="1">'151C-NR'!$A$56:$V$139</definedName>
    <definedName name="Z_8A556CE2_145B_4365_B7FD_D0C45A51D8DC_.wvu.PrintArea" localSheetId="55" hidden="1">'151C-OS'!$A$1:$M$50</definedName>
    <definedName name="Z_8A556CE2_145B_4365_B7FD_D0C45A51D8DC_.wvu.PrintArea" localSheetId="21" hidden="1">'179T-NR'!$A$56:$V$139</definedName>
    <definedName name="Z_8A556CE2_145B_4365_B7FD_D0C45A51D8DC_.wvu.PrintArea" localSheetId="59" hidden="1">'179T-OS'!$A$1:$M$50</definedName>
    <definedName name="Z_8A556CE2_145B_4365_B7FD_D0C45A51D8DC_.wvu.PrintArea" localSheetId="11" hidden="1">'1M-DUMMY'!$A$56:$V$139</definedName>
    <definedName name="Z_8A556CE2_145B_4365_B7FD_D0C45A51D8DC_.wvu.PrintArea" localSheetId="14" hidden="1">'1M-NR'!$A$56:$V$139</definedName>
    <definedName name="Z_8A556CE2_145B_4365_B7FD_D0C45A51D8DC_.wvu.PrintArea" localSheetId="28" hidden="1">'1M-OS'!$A$1:$M$50</definedName>
    <definedName name="Z_8A556CE2_145B_4365_B7FD_D0C45A51D8DC_.wvu.PrintArea" localSheetId="22" hidden="1">'201K-NR'!$A$56:$V$139</definedName>
    <definedName name="Z_8A556CE2_145B_4365_B7FD_D0C45A51D8DC_.wvu.PrintArea" localSheetId="43" hidden="1">'201K-OS'!$A$1:$M$50</definedName>
    <definedName name="Z_8A556CE2_145B_4365_B7FD_D0C45A51D8DC_.wvu.PrintArea" localSheetId="73" hidden="1">'20B-NR'!$A$56:$V$139</definedName>
    <definedName name="Z_8A556CE2_145B_4365_B7FD_D0C45A51D8DC_.wvu.PrintArea" localSheetId="45" hidden="1">'20B-OS'!$A$1:$M$50</definedName>
    <definedName name="Z_8A556CE2_145B_4365_B7FD_D0C45A51D8DC_.wvu.PrintArea" localSheetId="23" hidden="1">'220L-NR'!$A$56:$V$139</definedName>
    <definedName name="Z_8A556CE2_145B_4365_B7FD_D0C45A51D8DC_.wvu.PrintArea" localSheetId="24" hidden="1">'259Q-NR'!$A$56:$V$139</definedName>
    <definedName name="Z_8A556CE2_145B_4365_B7FD_D0C45A51D8DC_.wvu.PrintArea" localSheetId="61" hidden="1">'259Q-OS'!$A$1:$M$50</definedName>
    <definedName name="Z_8A556CE2_145B_4365_B7FD_D0C45A51D8DC_.wvu.PrintArea" localSheetId="25" hidden="1">'347K-NR'!$A$56:$V$139</definedName>
    <definedName name="Z_8A556CE2_145B_4365_B7FD_D0C45A51D8DC_.wvu.PrintArea" localSheetId="47" hidden="1">'347K-OS'!$A$1:$M$50</definedName>
    <definedName name="Z_8A556CE2_145B_4365_B7FD_D0C45A51D8DC_.wvu.PrintArea" localSheetId="26" hidden="1">'388G-NR'!$A$56:$V$139</definedName>
    <definedName name="Z_8A556CE2_145B_4365_B7FD_D0C45A51D8DC_.wvu.PrintArea" localSheetId="80" hidden="1">'388G-OS'!$A$1:$M$50</definedName>
    <definedName name="Z_8A556CE2_145B_4365_B7FD_D0C45A51D8DC_.wvu.PrintArea" localSheetId="29" hidden="1">'40M-NR'!$A$56:$V$139</definedName>
    <definedName name="Z_8A556CE2_145B_4365_B7FD_D0C45A51D8DC_.wvu.PrintArea" localSheetId="39" hidden="1">'40M-OS'!$A$1:$M$50</definedName>
    <definedName name="Z_8A556CE2_145B_4365_B7FD_D0C45A51D8DC_.wvu.PrintArea" localSheetId="30" hidden="1">'420G-NR'!$A$56:$V$139</definedName>
    <definedName name="Z_8A556CE2_145B_4365_B7FD_D0C45A51D8DC_.wvu.PrintArea" localSheetId="41" hidden="1">'420G-OS'!$A$1:$M$50</definedName>
    <definedName name="Z_8A556CE2_145B_4365_B7FD_D0C45A51D8DC_.wvu.PrintArea" localSheetId="31" hidden="1">'567C-NR'!$A$56:$V$139</definedName>
    <definedName name="Z_8A556CE2_145B_4365_B7FD_D0C45A51D8DC_.wvu.PrintArea" localSheetId="65" hidden="1">'567C-OS'!$A$1:$M$50</definedName>
    <definedName name="Z_8A556CE2_145B_4365_B7FD_D0C45A51D8DC_.wvu.PrintArea" localSheetId="67" hidden="1">'575B-OS'!$A$1:$M$50</definedName>
    <definedName name="Z_8A556CE2_145B_4365_B7FD_D0C45A51D8DC_.wvu.PrintArea" localSheetId="33" hidden="1">'60MP-NR'!$A$56:$V$139</definedName>
    <definedName name="Z_8A556CE2_145B_4365_B7FD_D0C45A51D8DC_.wvu.PrintArea" localSheetId="51" hidden="1">'60MP-OS'!$A$1:$M$50</definedName>
    <definedName name="Z_8A556CE2_145B_4365_B7FD_D0C45A51D8DC_.wvu.PrintArea" localSheetId="32" hidden="1">'6OC-NR'!$A$56:$V$139</definedName>
    <definedName name="Z_8A556CE2_145B_4365_B7FD_D0C45A51D8DC_.wvu.PrintArea" localSheetId="57" hidden="1">'6O''C-OS'!$A$1:$M$50</definedName>
    <definedName name="Z_8A556CE2_145B_4365_B7FD_D0C45A51D8DC_.wvu.PrintArea" localSheetId="69" hidden="1">'850C-NR'!$A$56:$V$139</definedName>
    <definedName name="Z_8A556CE2_145B_4365_B7FD_D0C45A51D8DC_.wvu.PrintArea" localSheetId="72" hidden="1">'850C-NR_PC'!$A$56:$V$139</definedName>
    <definedName name="Z_8A556CE2_145B_4365_B7FD_D0C45A51D8DC_.wvu.PrintArea" localSheetId="71" hidden="1">'850C-OS'!$A$1:$M$50</definedName>
    <definedName name="Z_8A556CE2_145B_4365_B7FD_D0C45A51D8DC_.wvu.PrintArea" localSheetId="68" hidden="1">'QV1-NR'!$A$56:$V$139</definedName>
    <definedName name="Z_8A556CE2_145B_4365_B7FD_D0C45A51D8DC_.wvu.PrintArea" localSheetId="78" hidden="1">'QV1-OS'!$A$1:$M$50</definedName>
    <definedName name="Z_8A556CE2_145B_4365_B7FD_D0C45A51D8DC_.wvu.Rows" localSheetId="74" hidden="1">'105M-NR'!$89:$114</definedName>
    <definedName name="Z_8A556CE2_145B_4365_B7FD_D0C45A51D8DC_.wvu.Rows" localSheetId="15" hidden="1">'117C-NR'!$89:$114</definedName>
    <definedName name="Z_8A556CE2_145B_4365_B7FD_D0C45A51D8DC_.wvu.Rows" localSheetId="16" hidden="1">'120C-NR'!$89:$114</definedName>
    <definedName name="Z_8A556CE2_145B_4365_B7FD_D0C45A51D8DC_.wvu.Rows" localSheetId="17" hidden="1">'126P-NR'!$89:$114</definedName>
    <definedName name="Z_8A556CE2_145B_4365_B7FD_D0C45A51D8DC_.wvu.Rows" localSheetId="18" hidden="1">'130P-NR'!$89:$114</definedName>
    <definedName name="Z_8A556CE2_145B_4365_B7FD_D0C45A51D8DC_.wvu.Rows" localSheetId="19" hidden="1">'135K-NR'!$90:$115</definedName>
    <definedName name="Z_8A556CE2_145B_4365_B7FD_D0C45A51D8DC_.wvu.Rows" localSheetId="20" hidden="1">'151C-NR'!$89:$114</definedName>
    <definedName name="Z_8A556CE2_145B_4365_B7FD_D0C45A51D8DC_.wvu.Rows" localSheetId="21" hidden="1">'179T-NR'!$89:$114</definedName>
    <definedName name="Z_8A556CE2_145B_4365_B7FD_D0C45A51D8DC_.wvu.Rows" localSheetId="11" hidden="1">'1M-DUMMY'!$89:$114</definedName>
    <definedName name="Z_8A556CE2_145B_4365_B7FD_D0C45A51D8DC_.wvu.Rows" localSheetId="14" hidden="1">'1M-NR'!$89:$114</definedName>
    <definedName name="Z_8A556CE2_145B_4365_B7FD_D0C45A51D8DC_.wvu.Rows" localSheetId="22" hidden="1">'201K-NR'!$89:$114</definedName>
    <definedName name="Z_8A556CE2_145B_4365_B7FD_D0C45A51D8DC_.wvu.Rows" localSheetId="73" hidden="1">'20B-NR'!$89:$114</definedName>
    <definedName name="Z_8A556CE2_145B_4365_B7FD_D0C45A51D8DC_.wvu.Rows" localSheetId="23" hidden="1">'220L-NR'!$89:$114</definedName>
    <definedName name="Z_8A556CE2_145B_4365_B7FD_D0C45A51D8DC_.wvu.Rows" localSheetId="24" hidden="1">'259Q-NR'!$89:$114</definedName>
    <definedName name="Z_8A556CE2_145B_4365_B7FD_D0C45A51D8DC_.wvu.Rows" localSheetId="25" hidden="1">'347K-NR'!$89:$114</definedName>
    <definedName name="Z_8A556CE2_145B_4365_B7FD_D0C45A51D8DC_.wvu.Rows" localSheetId="26" hidden="1">'388G-NR'!$89:$114</definedName>
    <definedName name="Z_8A556CE2_145B_4365_B7FD_D0C45A51D8DC_.wvu.Rows" localSheetId="29" hidden="1">'40M-NR'!$89:$114</definedName>
    <definedName name="Z_8A556CE2_145B_4365_B7FD_D0C45A51D8DC_.wvu.Rows" localSheetId="30" hidden="1">'420G-NR'!$89:$114</definedName>
    <definedName name="Z_8A556CE2_145B_4365_B7FD_D0C45A51D8DC_.wvu.Rows" localSheetId="31" hidden="1">'567C-NR'!$89:$114</definedName>
    <definedName name="Z_8A556CE2_145B_4365_B7FD_D0C45A51D8DC_.wvu.Rows" localSheetId="33" hidden="1">'60MP-NR'!$89:$114</definedName>
    <definedName name="Z_8A556CE2_145B_4365_B7FD_D0C45A51D8DC_.wvu.Rows" localSheetId="32" hidden="1">'6OC-NR'!$89:$114</definedName>
    <definedName name="Z_8A556CE2_145B_4365_B7FD_D0C45A51D8DC_.wvu.Rows" localSheetId="69" hidden="1">'850C-NR'!$89:$114</definedName>
    <definedName name="Z_8A556CE2_145B_4365_B7FD_D0C45A51D8DC_.wvu.Rows" localSheetId="72" hidden="1">'850C-NR_PC'!$89:$114</definedName>
    <definedName name="Z_8A556CE2_145B_4365_B7FD_D0C45A51D8DC_.wvu.Rows" localSheetId="68" hidden="1">'QV1-NR'!$89:$114</definedName>
    <definedName name="Z_8C479632_3BB5_491F_935A_D5452245DC86_.wvu.PrintArea" localSheetId="74" hidden="1">'105M-NR'!$A$56:$V$139</definedName>
    <definedName name="Z_8C479632_3BB5_491F_935A_D5452245DC86_.wvu.PrintArea" localSheetId="15" hidden="1">'117C-NR'!$A$56:$V$139</definedName>
    <definedName name="Z_8C479632_3BB5_491F_935A_D5452245DC86_.wvu.PrintArea" localSheetId="16" hidden="1">'120C-NR'!$A$56:$V$139</definedName>
    <definedName name="Z_8C479632_3BB5_491F_935A_D5452245DC86_.wvu.PrintArea" localSheetId="17" hidden="1">'126P-NR'!$A$56:$V$139</definedName>
    <definedName name="Z_8C479632_3BB5_491F_935A_D5452245DC86_.wvu.PrintArea" localSheetId="18" hidden="1">'130P-NR'!$A$56:$V$139</definedName>
    <definedName name="Z_8C479632_3BB5_491F_935A_D5452245DC86_.wvu.PrintArea" localSheetId="19" hidden="1">'135K-NR'!$A$56:$V$140</definedName>
    <definedName name="Z_8C479632_3BB5_491F_935A_D5452245DC86_.wvu.PrintArea" localSheetId="20" hidden="1">'151C-NR'!$A$56:$V$139</definedName>
    <definedName name="Z_8C479632_3BB5_491F_935A_D5452245DC86_.wvu.PrintArea" localSheetId="21" hidden="1">'179T-NR'!$A$56:$V$139</definedName>
    <definedName name="Z_8C479632_3BB5_491F_935A_D5452245DC86_.wvu.PrintArea" localSheetId="11" hidden="1">'1M-DUMMY'!$A$56:$V$139</definedName>
    <definedName name="Z_8C479632_3BB5_491F_935A_D5452245DC86_.wvu.PrintArea" localSheetId="14" hidden="1">'1M-NR'!$A$56:$V$139</definedName>
    <definedName name="Z_8C479632_3BB5_491F_935A_D5452245DC86_.wvu.PrintArea" localSheetId="22" hidden="1">'201K-NR'!$A$56:$V$139</definedName>
    <definedName name="Z_8C479632_3BB5_491F_935A_D5452245DC86_.wvu.PrintArea" localSheetId="73" hidden="1">'20B-NR'!$A$56:$V$139</definedName>
    <definedName name="Z_8C479632_3BB5_491F_935A_D5452245DC86_.wvu.PrintArea" localSheetId="23" hidden="1">'220L-NR'!$A$56:$V$139</definedName>
    <definedName name="Z_8C479632_3BB5_491F_935A_D5452245DC86_.wvu.PrintArea" localSheetId="24" hidden="1">'259Q-NR'!$A$56:$V$139</definedName>
    <definedName name="Z_8C479632_3BB5_491F_935A_D5452245DC86_.wvu.PrintArea" localSheetId="25" hidden="1">'347K-NR'!$A$56:$V$139</definedName>
    <definedName name="Z_8C479632_3BB5_491F_935A_D5452245DC86_.wvu.PrintArea" localSheetId="26" hidden="1">'388G-NR'!$A$56:$V$139</definedName>
    <definedName name="Z_8C479632_3BB5_491F_935A_D5452245DC86_.wvu.PrintArea" localSheetId="29" hidden="1">'40M-NR'!$A$56:$V$139</definedName>
    <definedName name="Z_8C479632_3BB5_491F_935A_D5452245DC86_.wvu.PrintArea" localSheetId="30" hidden="1">'420G-NR'!$A$56:$V$139</definedName>
    <definedName name="Z_8C479632_3BB5_491F_935A_D5452245DC86_.wvu.PrintArea" localSheetId="31" hidden="1">'567C-NR'!$A$56:$V$139</definedName>
    <definedName name="Z_8C479632_3BB5_491F_935A_D5452245DC86_.wvu.PrintArea" localSheetId="33" hidden="1">'60MP-NR'!$A$56:$V$139</definedName>
    <definedName name="Z_8C479632_3BB5_491F_935A_D5452245DC86_.wvu.PrintArea" localSheetId="32" hidden="1">'6OC-NR'!$A$56:$V$139</definedName>
    <definedName name="Z_8C479632_3BB5_491F_935A_D5452245DC86_.wvu.PrintArea" localSheetId="69" hidden="1">'850C-NR'!$A$56:$V$139</definedName>
    <definedName name="Z_8C479632_3BB5_491F_935A_D5452245DC86_.wvu.PrintArea" localSheetId="72" hidden="1">'850C-NR_PC'!$A$56:$V$139</definedName>
    <definedName name="Z_8C479632_3BB5_491F_935A_D5452245DC86_.wvu.PrintArea" localSheetId="68" hidden="1">'QV1-NR'!$A$56:$V$139</definedName>
    <definedName name="Z_8C479632_3BB5_491F_935A_D5452245DC86_.wvu.Rows" localSheetId="74" hidden="1">'105M-NR'!$89:$114</definedName>
    <definedName name="Z_8C479632_3BB5_491F_935A_D5452245DC86_.wvu.Rows" localSheetId="15" hidden="1">'117C-NR'!$89:$114</definedName>
    <definedName name="Z_8C479632_3BB5_491F_935A_D5452245DC86_.wvu.Rows" localSheetId="16" hidden="1">'120C-NR'!$89:$114</definedName>
    <definedName name="Z_8C479632_3BB5_491F_935A_D5452245DC86_.wvu.Rows" localSheetId="17" hidden="1">'126P-NR'!$89:$114</definedName>
    <definedName name="Z_8C479632_3BB5_491F_935A_D5452245DC86_.wvu.Rows" localSheetId="18" hidden="1">'130P-NR'!$89:$114</definedName>
    <definedName name="Z_8C479632_3BB5_491F_935A_D5452245DC86_.wvu.Rows" localSheetId="19" hidden="1">'135K-NR'!$90:$115</definedName>
    <definedName name="Z_8C479632_3BB5_491F_935A_D5452245DC86_.wvu.Rows" localSheetId="20" hidden="1">'151C-NR'!$89:$114</definedName>
    <definedName name="Z_8C479632_3BB5_491F_935A_D5452245DC86_.wvu.Rows" localSheetId="21" hidden="1">'179T-NR'!$89:$114</definedName>
    <definedName name="Z_8C479632_3BB5_491F_935A_D5452245DC86_.wvu.Rows" localSheetId="11" hidden="1">'1M-DUMMY'!$89:$114</definedName>
    <definedName name="Z_8C479632_3BB5_491F_935A_D5452245DC86_.wvu.Rows" localSheetId="14" hidden="1">'1M-NR'!$89:$114</definedName>
    <definedName name="Z_8C479632_3BB5_491F_935A_D5452245DC86_.wvu.Rows" localSheetId="22" hidden="1">'201K-NR'!$89:$114</definedName>
    <definedName name="Z_8C479632_3BB5_491F_935A_D5452245DC86_.wvu.Rows" localSheetId="73" hidden="1">'20B-NR'!$89:$114</definedName>
    <definedName name="Z_8C479632_3BB5_491F_935A_D5452245DC86_.wvu.Rows" localSheetId="23" hidden="1">'220L-NR'!$89:$114</definedName>
    <definedName name="Z_8C479632_3BB5_491F_935A_D5452245DC86_.wvu.Rows" localSheetId="24" hidden="1">'259Q-NR'!$89:$114</definedName>
    <definedName name="Z_8C479632_3BB5_491F_935A_D5452245DC86_.wvu.Rows" localSheetId="25" hidden="1">'347K-NR'!$89:$114</definedName>
    <definedName name="Z_8C479632_3BB5_491F_935A_D5452245DC86_.wvu.Rows" localSheetId="26" hidden="1">'388G-NR'!$89:$114</definedName>
    <definedName name="Z_8C479632_3BB5_491F_935A_D5452245DC86_.wvu.Rows" localSheetId="29" hidden="1">'40M-NR'!$89:$114</definedName>
    <definedName name="Z_8C479632_3BB5_491F_935A_D5452245DC86_.wvu.Rows" localSheetId="30" hidden="1">'420G-NR'!$89:$114</definedName>
    <definedName name="Z_8C479632_3BB5_491F_935A_D5452245DC86_.wvu.Rows" localSheetId="31" hidden="1">'567C-NR'!$89:$114</definedName>
    <definedName name="Z_8C479632_3BB5_491F_935A_D5452245DC86_.wvu.Rows" localSheetId="33" hidden="1">'60MP-NR'!$89:$114</definedName>
    <definedName name="Z_8C479632_3BB5_491F_935A_D5452245DC86_.wvu.Rows" localSheetId="32" hidden="1">'6OC-NR'!$89:$114</definedName>
    <definedName name="Z_8C479632_3BB5_491F_935A_D5452245DC86_.wvu.Rows" localSheetId="69" hidden="1">'850C-NR'!$89:$114</definedName>
    <definedName name="Z_8C479632_3BB5_491F_935A_D5452245DC86_.wvu.Rows" localSheetId="72" hidden="1">'850C-NR_PC'!$89:$114</definedName>
    <definedName name="Z_8C479632_3BB5_491F_935A_D5452245DC86_.wvu.Rows" localSheetId="68" hidden="1">'QV1-NR'!$89:$114</definedName>
    <definedName name="Z_8E95AD65_5017_486E_8448_CFF5094FE88F_.wvu.FilterData" localSheetId="75" hidden="1">'105M-IS'!$F$61:$F$66</definedName>
    <definedName name="Z_8E95AD65_5017_486E_8448_CFF5094FE88F_.wvu.FilterData" localSheetId="48" hidden="1">'117C-IS'!$F$61:$F$66</definedName>
    <definedName name="Z_8E95AD65_5017_486E_8448_CFF5094FE88F_.wvu.FilterData" localSheetId="62" hidden="1">'120C-IS'!$F$61:$F$66</definedName>
    <definedName name="Z_8E95AD65_5017_486E_8448_CFF5094FE88F_.wvu.FilterData" localSheetId="36" hidden="1">'126P-IS'!$F$61:$F$66</definedName>
    <definedName name="Z_8E95AD65_5017_486E_8448_CFF5094FE88F_.wvu.FilterData" localSheetId="52" hidden="1">'130P-IS'!$F$61:$F$66</definedName>
    <definedName name="Z_8E95AD65_5017_486E_8448_CFF5094FE88F_.wvu.FilterData" localSheetId="34" hidden="1">'135K-IS'!$F$61:$F$66</definedName>
    <definedName name="Z_8E95AD65_5017_486E_8448_CFF5094FE88F_.wvu.FilterData" localSheetId="54" hidden="1">'151C-IS'!$F$61:$F$66</definedName>
    <definedName name="Z_8E95AD65_5017_486E_8448_CFF5094FE88F_.wvu.FilterData" localSheetId="58" hidden="1">'179T-IS'!$F$61:$F$66</definedName>
    <definedName name="Z_8E95AD65_5017_486E_8448_CFF5094FE88F_.wvu.FilterData" localSheetId="27" hidden="1">'1M-IS'!$F$61:$F$66</definedName>
    <definedName name="Z_8E95AD65_5017_486E_8448_CFF5094FE88F_.wvu.FilterData" localSheetId="42" hidden="1">'201K-IS'!$F$61:$F$66</definedName>
    <definedName name="Z_8E95AD65_5017_486E_8448_CFF5094FE88F_.wvu.FilterData" localSheetId="44" hidden="1">'20B-IS'!$F$61:$F$66</definedName>
    <definedName name="Z_8E95AD65_5017_486E_8448_CFF5094FE88F_.wvu.FilterData" localSheetId="60" hidden="1">'259Q-IS'!$F$61:$F$66</definedName>
    <definedName name="Z_8E95AD65_5017_486E_8448_CFF5094FE88F_.wvu.FilterData" localSheetId="46" hidden="1">'347K-IS'!$F$61:$F$66</definedName>
    <definedName name="Z_8E95AD65_5017_486E_8448_CFF5094FE88F_.wvu.FilterData" localSheetId="79" hidden="1">'388G-IS'!$F$61:$F$66</definedName>
    <definedName name="Z_8E95AD65_5017_486E_8448_CFF5094FE88F_.wvu.FilterData" localSheetId="38" hidden="1">'40M-IS'!$F$61:$F$66</definedName>
    <definedName name="Z_8E95AD65_5017_486E_8448_CFF5094FE88F_.wvu.FilterData" localSheetId="40" hidden="1">'420G-IS'!$F$61:$F$66</definedName>
    <definedName name="Z_8E95AD65_5017_486E_8448_CFF5094FE88F_.wvu.FilterData" localSheetId="64" hidden="1">'567C-IS'!$F$61:$F$66</definedName>
    <definedName name="Z_8E95AD65_5017_486E_8448_CFF5094FE88F_.wvu.FilterData" localSheetId="66" hidden="1">'575B-IS'!$F$61:$F$66</definedName>
    <definedName name="Z_8E95AD65_5017_486E_8448_CFF5094FE88F_.wvu.FilterData" localSheetId="50" hidden="1">'60MP-IS'!$F$61:$F$66</definedName>
    <definedName name="Z_8E95AD65_5017_486E_8448_CFF5094FE88F_.wvu.FilterData" localSheetId="56" hidden="1">'6O''C-IS'!$F$61:$F$66</definedName>
    <definedName name="Z_8E95AD65_5017_486E_8448_CFF5094FE88F_.wvu.FilterData" localSheetId="70" hidden="1">'850C-IS'!$F$61:$F$66</definedName>
    <definedName name="Z_8E95AD65_5017_486E_8448_CFF5094FE88F_.wvu.FilterData" localSheetId="77" hidden="1">'QV1-IS'!$F$61:$F$66</definedName>
    <definedName name="Z_8E95AD65_5017_486E_8448_CFF5094FE88F_.wvu.PrintArea" localSheetId="74" hidden="1">'105M-NR'!$A$56:$V$139</definedName>
    <definedName name="Z_8E95AD65_5017_486E_8448_CFF5094FE88F_.wvu.PrintArea" localSheetId="76" hidden="1">'105M-OS'!$A$1:$M$50</definedName>
    <definedName name="Z_8E95AD65_5017_486E_8448_CFF5094FE88F_.wvu.PrintArea" localSheetId="15" hidden="1">'117C-NR'!$A$56:$V$139</definedName>
    <definedName name="Z_8E95AD65_5017_486E_8448_CFF5094FE88F_.wvu.PrintArea" localSheetId="49" hidden="1">'117C-OS'!$A$1:$M$50</definedName>
    <definedName name="Z_8E95AD65_5017_486E_8448_CFF5094FE88F_.wvu.PrintArea" localSheetId="16" hidden="1">'120C-NR'!$A$56:$V$139</definedName>
    <definedName name="Z_8E95AD65_5017_486E_8448_CFF5094FE88F_.wvu.PrintArea" localSheetId="63" hidden="1">'120C-OS'!$A$1:$M$50</definedName>
    <definedName name="Z_8E95AD65_5017_486E_8448_CFF5094FE88F_.wvu.PrintArea" localSheetId="17" hidden="1">'126P-NR'!$A$56:$V$139</definedName>
    <definedName name="Z_8E95AD65_5017_486E_8448_CFF5094FE88F_.wvu.PrintArea" localSheetId="37" hidden="1">'126P-OS'!$A$1:$M$50</definedName>
    <definedName name="Z_8E95AD65_5017_486E_8448_CFF5094FE88F_.wvu.PrintArea" localSheetId="18" hidden="1">'130P-NR'!$A$56:$V$139</definedName>
    <definedName name="Z_8E95AD65_5017_486E_8448_CFF5094FE88F_.wvu.PrintArea" localSheetId="53" hidden="1">'130P-OS'!$A$1:$M$50</definedName>
    <definedName name="Z_8E95AD65_5017_486E_8448_CFF5094FE88F_.wvu.PrintArea" localSheetId="19" hidden="1">'135K-NR'!$A$56:$V$140</definedName>
    <definedName name="Z_8E95AD65_5017_486E_8448_CFF5094FE88F_.wvu.PrintArea" localSheetId="35" hidden="1">'135K-OS'!$A$1:$M$50</definedName>
    <definedName name="Z_8E95AD65_5017_486E_8448_CFF5094FE88F_.wvu.PrintArea" localSheetId="20" hidden="1">'151C-NR'!$A$56:$V$139</definedName>
    <definedName name="Z_8E95AD65_5017_486E_8448_CFF5094FE88F_.wvu.PrintArea" localSheetId="55" hidden="1">'151C-OS'!$A$1:$M$50</definedName>
    <definedName name="Z_8E95AD65_5017_486E_8448_CFF5094FE88F_.wvu.PrintArea" localSheetId="21" hidden="1">'179T-NR'!$A$56:$V$139</definedName>
    <definedName name="Z_8E95AD65_5017_486E_8448_CFF5094FE88F_.wvu.PrintArea" localSheetId="59" hidden="1">'179T-OS'!$A$1:$M$50</definedName>
    <definedName name="Z_8E95AD65_5017_486E_8448_CFF5094FE88F_.wvu.PrintArea" localSheetId="11" hidden="1">'1M-DUMMY'!$A$56:$V$139</definedName>
    <definedName name="Z_8E95AD65_5017_486E_8448_CFF5094FE88F_.wvu.PrintArea" localSheetId="14" hidden="1">'1M-NR'!$A$56:$V$139</definedName>
    <definedName name="Z_8E95AD65_5017_486E_8448_CFF5094FE88F_.wvu.PrintArea" localSheetId="28" hidden="1">'1M-OS'!$A$1:$M$50</definedName>
    <definedName name="Z_8E95AD65_5017_486E_8448_CFF5094FE88F_.wvu.PrintArea" localSheetId="22" hidden="1">'201K-NR'!$A$56:$V$139</definedName>
    <definedName name="Z_8E95AD65_5017_486E_8448_CFF5094FE88F_.wvu.PrintArea" localSheetId="43" hidden="1">'201K-OS'!$A$1:$M$50</definedName>
    <definedName name="Z_8E95AD65_5017_486E_8448_CFF5094FE88F_.wvu.PrintArea" localSheetId="73" hidden="1">'20B-NR'!$A$56:$V$139</definedName>
    <definedName name="Z_8E95AD65_5017_486E_8448_CFF5094FE88F_.wvu.PrintArea" localSheetId="45" hidden="1">'20B-OS'!$A$1:$M$50</definedName>
    <definedName name="Z_8E95AD65_5017_486E_8448_CFF5094FE88F_.wvu.PrintArea" localSheetId="23" hidden="1">'220L-NR'!$A$56:$V$139</definedName>
    <definedName name="Z_8E95AD65_5017_486E_8448_CFF5094FE88F_.wvu.PrintArea" localSheetId="24" hidden="1">'259Q-NR'!$A$56:$V$139</definedName>
    <definedName name="Z_8E95AD65_5017_486E_8448_CFF5094FE88F_.wvu.PrintArea" localSheetId="61" hidden="1">'259Q-OS'!$A$1:$M$50</definedName>
    <definedName name="Z_8E95AD65_5017_486E_8448_CFF5094FE88F_.wvu.PrintArea" localSheetId="25" hidden="1">'347K-NR'!$A$56:$V$139</definedName>
    <definedName name="Z_8E95AD65_5017_486E_8448_CFF5094FE88F_.wvu.PrintArea" localSheetId="47" hidden="1">'347K-OS'!$A$1:$M$50</definedName>
    <definedName name="Z_8E95AD65_5017_486E_8448_CFF5094FE88F_.wvu.PrintArea" localSheetId="26" hidden="1">'388G-NR'!$A$56:$V$139</definedName>
    <definedName name="Z_8E95AD65_5017_486E_8448_CFF5094FE88F_.wvu.PrintArea" localSheetId="80" hidden="1">'388G-OS'!$A$1:$M$50</definedName>
    <definedName name="Z_8E95AD65_5017_486E_8448_CFF5094FE88F_.wvu.PrintArea" localSheetId="29" hidden="1">'40M-NR'!$A$56:$V$139</definedName>
    <definedName name="Z_8E95AD65_5017_486E_8448_CFF5094FE88F_.wvu.PrintArea" localSheetId="39" hidden="1">'40M-OS'!$A$1:$M$50</definedName>
    <definedName name="Z_8E95AD65_5017_486E_8448_CFF5094FE88F_.wvu.PrintArea" localSheetId="30" hidden="1">'420G-NR'!$A$56:$V$139</definedName>
    <definedName name="Z_8E95AD65_5017_486E_8448_CFF5094FE88F_.wvu.PrintArea" localSheetId="41" hidden="1">'420G-OS'!$A$1:$M$50</definedName>
    <definedName name="Z_8E95AD65_5017_486E_8448_CFF5094FE88F_.wvu.PrintArea" localSheetId="31" hidden="1">'567C-NR'!$A$56:$V$139</definedName>
    <definedName name="Z_8E95AD65_5017_486E_8448_CFF5094FE88F_.wvu.PrintArea" localSheetId="65" hidden="1">'567C-OS'!$A$1:$M$50</definedName>
    <definedName name="Z_8E95AD65_5017_486E_8448_CFF5094FE88F_.wvu.PrintArea" localSheetId="67" hidden="1">'575B-OS'!$A$1:$M$50</definedName>
    <definedName name="Z_8E95AD65_5017_486E_8448_CFF5094FE88F_.wvu.PrintArea" localSheetId="33" hidden="1">'60MP-NR'!$A$56:$V$139</definedName>
    <definedName name="Z_8E95AD65_5017_486E_8448_CFF5094FE88F_.wvu.PrintArea" localSheetId="51" hidden="1">'60MP-OS'!$A$1:$M$50</definedName>
    <definedName name="Z_8E95AD65_5017_486E_8448_CFF5094FE88F_.wvu.PrintArea" localSheetId="32" hidden="1">'6OC-NR'!$A$56:$V$139</definedName>
    <definedName name="Z_8E95AD65_5017_486E_8448_CFF5094FE88F_.wvu.PrintArea" localSheetId="57" hidden="1">'6O''C-OS'!$A$1:$M$50</definedName>
    <definedName name="Z_8E95AD65_5017_486E_8448_CFF5094FE88F_.wvu.PrintArea" localSheetId="69" hidden="1">'850C-NR'!$A$56:$V$139</definedName>
    <definedName name="Z_8E95AD65_5017_486E_8448_CFF5094FE88F_.wvu.PrintArea" localSheetId="72" hidden="1">'850C-NR_PC'!$A$56:$V$139</definedName>
    <definedName name="Z_8E95AD65_5017_486E_8448_CFF5094FE88F_.wvu.PrintArea" localSheetId="71" hidden="1">'850C-OS'!$A$1:$M$50</definedName>
    <definedName name="Z_8E95AD65_5017_486E_8448_CFF5094FE88F_.wvu.PrintArea" localSheetId="68" hidden="1">'QV1-NR'!$A$56:$V$139</definedName>
    <definedName name="Z_8E95AD65_5017_486E_8448_CFF5094FE88F_.wvu.PrintArea" localSheetId="78" hidden="1">'QV1-OS'!$A$1:$M$50</definedName>
    <definedName name="Z_8E95AD65_5017_486E_8448_CFF5094FE88F_.wvu.Rows" localSheetId="74" hidden="1">'105M-NR'!$89:$114</definedName>
    <definedName name="Z_8E95AD65_5017_486E_8448_CFF5094FE88F_.wvu.Rows" localSheetId="15" hidden="1">'117C-NR'!$89:$114</definedName>
    <definedName name="Z_8E95AD65_5017_486E_8448_CFF5094FE88F_.wvu.Rows" localSheetId="16" hidden="1">'120C-NR'!$89:$114</definedName>
    <definedName name="Z_8E95AD65_5017_486E_8448_CFF5094FE88F_.wvu.Rows" localSheetId="17" hidden="1">'126P-NR'!$89:$114</definedName>
    <definedName name="Z_8E95AD65_5017_486E_8448_CFF5094FE88F_.wvu.Rows" localSheetId="18" hidden="1">'130P-NR'!$89:$114</definedName>
    <definedName name="Z_8E95AD65_5017_486E_8448_CFF5094FE88F_.wvu.Rows" localSheetId="19" hidden="1">'135K-NR'!$90:$115</definedName>
    <definedName name="Z_8E95AD65_5017_486E_8448_CFF5094FE88F_.wvu.Rows" localSheetId="20" hidden="1">'151C-NR'!$89:$114</definedName>
    <definedName name="Z_8E95AD65_5017_486E_8448_CFF5094FE88F_.wvu.Rows" localSheetId="21" hidden="1">'179T-NR'!$89:$114</definedName>
    <definedName name="Z_8E95AD65_5017_486E_8448_CFF5094FE88F_.wvu.Rows" localSheetId="11" hidden="1">'1M-DUMMY'!$89:$114</definedName>
    <definedName name="Z_8E95AD65_5017_486E_8448_CFF5094FE88F_.wvu.Rows" localSheetId="14" hidden="1">'1M-NR'!$89:$114</definedName>
    <definedName name="Z_8E95AD65_5017_486E_8448_CFF5094FE88F_.wvu.Rows" localSheetId="22" hidden="1">'201K-NR'!$89:$114</definedName>
    <definedName name="Z_8E95AD65_5017_486E_8448_CFF5094FE88F_.wvu.Rows" localSheetId="73" hidden="1">'20B-NR'!$89:$114</definedName>
    <definedName name="Z_8E95AD65_5017_486E_8448_CFF5094FE88F_.wvu.Rows" localSheetId="23" hidden="1">'220L-NR'!$89:$114</definedName>
    <definedName name="Z_8E95AD65_5017_486E_8448_CFF5094FE88F_.wvu.Rows" localSheetId="24" hidden="1">'259Q-NR'!$89:$114</definedName>
    <definedName name="Z_8E95AD65_5017_486E_8448_CFF5094FE88F_.wvu.Rows" localSheetId="25" hidden="1">'347K-NR'!$89:$114</definedName>
    <definedName name="Z_8E95AD65_5017_486E_8448_CFF5094FE88F_.wvu.Rows" localSheetId="26" hidden="1">'388G-NR'!$89:$114</definedName>
    <definedName name="Z_8E95AD65_5017_486E_8448_CFF5094FE88F_.wvu.Rows" localSheetId="29" hidden="1">'40M-NR'!$89:$114</definedName>
    <definedName name="Z_8E95AD65_5017_486E_8448_CFF5094FE88F_.wvu.Rows" localSheetId="30" hidden="1">'420G-NR'!$89:$114</definedName>
    <definedName name="Z_8E95AD65_5017_486E_8448_CFF5094FE88F_.wvu.Rows" localSheetId="31" hidden="1">'567C-NR'!$89:$114</definedName>
    <definedName name="Z_8E95AD65_5017_486E_8448_CFF5094FE88F_.wvu.Rows" localSheetId="33" hidden="1">'60MP-NR'!$89:$114</definedName>
    <definedName name="Z_8E95AD65_5017_486E_8448_CFF5094FE88F_.wvu.Rows" localSheetId="32" hidden="1">'6OC-NR'!$89:$114</definedName>
    <definedName name="Z_8E95AD65_5017_486E_8448_CFF5094FE88F_.wvu.Rows" localSheetId="69" hidden="1">'850C-NR'!$89:$114</definedName>
    <definedName name="Z_8E95AD65_5017_486E_8448_CFF5094FE88F_.wvu.Rows" localSheetId="72" hidden="1">'850C-NR_PC'!$89:$114</definedName>
    <definedName name="Z_8E95AD65_5017_486E_8448_CFF5094FE88F_.wvu.Rows" localSheetId="68" hidden="1">'QV1-NR'!$89:$114</definedName>
    <definedName name="Z_9FA99626_96B6_4B97_AC94_3387D4A60437_.wvu.PrintArea" localSheetId="74" hidden="1">'105M-NR'!$A$56:$V$139</definedName>
    <definedName name="Z_9FA99626_96B6_4B97_AC94_3387D4A60437_.wvu.PrintArea" localSheetId="15" hidden="1">'117C-NR'!$A$56:$V$139</definedName>
    <definedName name="Z_9FA99626_96B6_4B97_AC94_3387D4A60437_.wvu.PrintArea" localSheetId="16" hidden="1">'120C-NR'!$A$56:$V$139</definedName>
    <definedName name="Z_9FA99626_96B6_4B97_AC94_3387D4A60437_.wvu.PrintArea" localSheetId="17" hidden="1">'126P-NR'!$A$56:$V$139</definedName>
    <definedName name="Z_9FA99626_96B6_4B97_AC94_3387D4A60437_.wvu.PrintArea" localSheetId="18" hidden="1">'130P-NR'!$A$56:$V$139</definedName>
    <definedName name="Z_9FA99626_96B6_4B97_AC94_3387D4A60437_.wvu.PrintArea" localSheetId="19" hidden="1">'135K-NR'!$A$56:$V$140</definedName>
    <definedName name="Z_9FA99626_96B6_4B97_AC94_3387D4A60437_.wvu.PrintArea" localSheetId="20" hidden="1">'151C-NR'!$A$56:$V$139</definedName>
    <definedName name="Z_9FA99626_96B6_4B97_AC94_3387D4A60437_.wvu.PrintArea" localSheetId="21" hidden="1">'179T-NR'!$A$56:$V$139</definedName>
    <definedName name="Z_9FA99626_96B6_4B97_AC94_3387D4A60437_.wvu.PrintArea" localSheetId="11" hidden="1">'1M-DUMMY'!$A$56:$V$139</definedName>
    <definedName name="Z_9FA99626_96B6_4B97_AC94_3387D4A60437_.wvu.PrintArea" localSheetId="14" hidden="1">'1M-NR'!$A$56:$V$139</definedName>
    <definedName name="Z_9FA99626_96B6_4B97_AC94_3387D4A60437_.wvu.PrintArea" localSheetId="22" hidden="1">'201K-NR'!$A$56:$V$139</definedName>
    <definedName name="Z_9FA99626_96B6_4B97_AC94_3387D4A60437_.wvu.PrintArea" localSheetId="73" hidden="1">'20B-NR'!$A$56:$V$139</definedName>
    <definedName name="Z_9FA99626_96B6_4B97_AC94_3387D4A60437_.wvu.PrintArea" localSheetId="23" hidden="1">'220L-NR'!$A$56:$V$139</definedName>
    <definedName name="Z_9FA99626_96B6_4B97_AC94_3387D4A60437_.wvu.PrintArea" localSheetId="24" hidden="1">'259Q-NR'!$A$56:$V$139</definedName>
    <definedName name="Z_9FA99626_96B6_4B97_AC94_3387D4A60437_.wvu.PrintArea" localSheetId="25" hidden="1">'347K-NR'!$A$56:$V$139</definedName>
    <definedName name="Z_9FA99626_96B6_4B97_AC94_3387D4A60437_.wvu.PrintArea" localSheetId="26" hidden="1">'388G-NR'!$A$56:$V$139</definedName>
    <definedName name="Z_9FA99626_96B6_4B97_AC94_3387D4A60437_.wvu.PrintArea" localSheetId="29" hidden="1">'40M-NR'!$A$56:$V$139</definedName>
    <definedName name="Z_9FA99626_96B6_4B97_AC94_3387D4A60437_.wvu.PrintArea" localSheetId="30" hidden="1">'420G-NR'!$A$56:$V$139</definedName>
    <definedName name="Z_9FA99626_96B6_4B97_AC94_3387D4A60437_.wvu.PrintArea" localSheetId="31" hidden="1">'567C-NR'!$A$56:$V$139</definedName>
    <definedName name="Z_9FA99626_96B6_4B97_AC94_3387D4A60437_.wvu.PrintArea" localSheetId="33" hidden="1">'60MP-NR'!$A$56:$V$139</definedName>
    <definedName name="Z_9FA99626_96B6_4B97_AC94_3387D4A60437_.wvu.PrintArea" localSheetId="32" hidden="1">'6OC-NR'!$A$56:$V$139</definedName>
    <definedName name="Z_9FA99626_96B6_4B97_AC94_3387D4A60437_.wvu.PrintArea" localSheetId="69" hidden="1">'850C-NR'!$A$56:$V$139</definedName>
    <definedName name="Z_9FA99626_96B6_4B97_AC94_3387D4A60437_.wvu.PrintArea" localSheetId="72" hidden="1">'850C-NR_PC'!$A$56:$V$139</definedName>
    <definedName name="Z_9FA99626_96B6_4B97_AC94_3387D4A60437_.wvu.PrintArea" localSheetId="68" hidden="1">'QV1-NR'!$A$56:$V$139</definedName>
    <definedName name="Z_9FA99626_96B6_4B97_AC94_3387D4A60437_.wvu.Rows" localSheetId="74" hidden="1">'105M-NR'!$89:$114</definedName>
    <definedName name="Z_9FA99626_96B6_4B97_AC94_3387D4A60437_.wvu.Rows" localSheetId="15" hidden="1">'117C-NR'!$89:$114</definedName>
    <definedName name="Z_9FA99626_96B6_4B97_AC94_3387D4A60437_.wvu.Rows" localSheetId="16" hidden="1">'120C-NR'!$89:$114</definedName>
    <definedName name="Z_9FA99626_96B6_4B97_AC94_3387D4A60437_.wvu.Rows" localSheetId="17" hidden="1">'126P-NR'!$89:$114</definedName>
    <definedName name="Z_9FA99626_96B6_4B97_AC94_3387D4A60437_.wvu.Rows" localSheetId="18" hidden="1">'130P-NR'!$89:$114</definedName>
    <definedName name="Z_9FA99626_96B6_4B97_AC94_3387D4A60437_.wvu.Rows" localSheetId="19" hidden="1">'135K-NR'!$90:$115</definedName>
    <definedName name="Z_9FA99626_96B6_4B97_AC94_3387D4A60437_.wvu.Rows" localSheetId="20" hidden="1">'151C-NR'!$89:$114</definedName>
    <definedName name="Z_9FA99626_96B6_4B97_AC94_3387D4A60437_.wvu.Rows" localSheetId="21" hidden="1">'179T-NR'!$89:$114</definedName>
    <definedName name="Z_9FA99626_96B6_4B97_AC94_3387D4A60437_.wvu.Rows" localSheetId="11" hidden="1">'1M-DUMMY'!$89:$114</definedName>
    <definedName name="Z_9FA99626_96B6_4B97_AC94_3387D4A60437_.wvu.Rows" localSheetId="14" hidden="1">'1M-NR'!$89:$114</definedName>
    <definedName name="Z_9FA99626_96B6_4B97_AC94_3387D4A60437_.wvu.Rows" localSheetId="22" hidden="1">'201K-NR'!$89:$114</definedName>
    <definedName name="Z_9FA99626_96B6_4B97_AC94_3387D4A60437_.wvu.Rows" localSheetId="73" hidden="1">'20B-NR'!$89:$114</definedName>
    <definedName name="Z_9FA99626_96B6_4B97_AC94_3387D4A60437_.wvu.Rows" localSheetId="23" hidden="1">'220L-NR'!$89:$114</definedName>
    <definedName name="Z_9FA99626_96B6_4B97_AC94_3387D4A60437_.wvu.Rows" localSheetId="24" hidden="1">'259Q-NR'!$89:$114</definedName>
    <definedName name="Z_9FA99626_96B6_4B97_AC94_3387D4A60437_.wvu.Rows" localSheetId="25" hidden="1">'347K-NR'!$89:$114</definedName>
    <definedName name="Z_9FA99626_96B6_4B97_AC94_3387D4A60437_.wvu.Rows" localSheetId="26" hidden="1">'388G-NR'!$89:$114</definedName>
    <definedName name="Z_9FA99626_96B6_4B97_AC94_3387D4A60437_.wvu.Rows" localSheetId="29" hidden="1">'40M-NR'!$89:$114</definedName>
    <definedName name="Z_9FA99626_96B6_4B97_AC94_3387D4A60437_.wvu.Rows" localSheetId="30" hidden="1">'420G-NR'!$89:$114</definedName>
    <definedName name="Z_9FA99626_96B6_4B97_AC94_3387D4A60437_.wvu.Rows" localSheetId="31" hidden="1">'567C-NR'!$89:$114</definedName>
    <definedName name="Z_9FA99626_96B6_4B97_AC94_3387D4A60437_.wvu.Rows" localSheetId="33" hidden="1">'60MP-NR'!$89:$114</definedName>
    <definedName name="Z_9FA99626_96B6_4B97_AC94_3387D4A60437_.wvu.Rows" localSheetId="32" hidden="1">'6OC-NR'!$89:$114</definedName>
    <definedName name="Z_9FA99626_96B6_4B97_AC94_3387D4A60437_.wvu.Rows" localSheetId="69" hidden="1">'850C-NR'!$89:$114</definedName>
    <definedName name="Z_9FA99626_96B6_4B97_AC94_3387D4A60437_.wvu.Rows" localSheetId="72" hidden="1">'850C-NR_PC'!$89:$114</definedName>
    <definedName name="Z_9FA99626_96B6_4B97_AC94_3387D4A60437_.wvu.Rows" localSheetId="68" hidden="1">'QV1-NR'!$89:$114</definedName>
    <definedName name="Z_B42B6DFD_947C_42A1_8BBF_81883778F185_.wvu.PrintArea" localSheetId="74" hidden="1">'105M-NR'!$A$56:$V$139</definedName>
    <definedName name="Z_B42B6DFD_947C_42A1_8BBF_81883778F185_.wvu.PrintArea" localSheetId="15" hidden="1">'117C-NR'!$A$56:$V$139</definedName>
    <definedName name="Z_B42B6DFD_947C_42A1_8BBF_81883778F185_.wvu.PrintArea" localSheetId="16" hidden="1">'120C-NR'!$A$56:$V$139</definedName>
    <definedName name="Z_B42B6DFD_947C_42A1_8BBF_81883778F185_.wvu.PrintArea" localSheetId="17" hidden="1">'126P-NR'!$A$56:$V$139</definedName>
    <definedName name="Z_B42B6DFD_947C_42A1_8BBF_81883778F185_.wvu.PrintArea" localSheetId="18" hidden="1">'130P-NR'!$A$56:$V$139</definedName>
    <definedName name="Z_B42B6DFD_947C_42A1_8BBF_81883778F185_.wvu.PrintArea" localSheetId="19" hidden="1">'135K-NR'!$A$56:$V$140</definedName>
    <definedName name="Z_B42B6DFD_947C_42A1_8BBF_81883778F185_.wvu.PrintArea" localSheetId="20" hidden="1">'151C-NR'!$A$56:$V$139</definedName>
    <definedName name="Z_B42B6DFD_947C_42A1_8BBF_81883778F185_.wvu.PrintArea" localSheetId="21" hidden="1">'179T-NR'!$A$56:$V$139</definedName>
    <definedName name="Z_B42B6DFD_947C_42A1_8BBF_81883778F185_.wvu.PrintArea" localSheetId="11" hidden="1">'1M-DUMMY'!$A$56:$V$139</definedName>
    <definedName name="Z_B42B6DFD_947C_42A1_8BBF_81883778F185_.wvu.PrintArea" localSheetId="14" hidden="1">'1M-NR'!$A$56:$V$139</definedName>
    <definedName name="Z_B42B6DFD_947C_42A1_8BBF_81883778F185_.wvu.PrintArea" localSheetId="22" hidden="1">'201K-NR'!$A$56:$V$139</definedName>
    <definedName name="Z_B42B6DFD_947C_42A1_8BBF_81883778F185_.wvu.PrintArea" localSheetId="73" hidden="1">'20B-NR'!$A$56:$V$139</definedName>
    <definedName name="Z_B42B6DFD_947C_42A1_8BBF_81883778F185_.wvu.PrintArea" localSheetId="23" hidden="1">'220L-NR'!$A$56:$V$139</definedName>
    <definedName name="Z_B42B6DFD_947C_42A1_8BBF_81883778F185_.wvu.PrintArea" localSheetId="24" hidden="1">'259Q-NR'!$A$56:$V$139</definedName>
    <definedName name="Z_B42B6DFD_947C_42A1_8BBF_81883778F185_.wvu.PrintArea" localSheetId="25" hidden="1">'347K-NR'!$A$56:$V$139</definedName>
    <definedName name="Z_B42B6DFD_947C_42A1_8BBF_81883778F185_.wvu.PrintArea" localSheetId="26" hidden="1">'388G-NR'!$A$56:$V$139</definedName>
    <definedName name="Z_B42B6DFD_947C_42A1_8BBF_81883778F185_.wvu.PrintArea" localSheetId="29" hidden="1">'40M-NR'!$A$56:$V$139</definedName>
    <definedName name="Z_B42B6DFD_947C_42A1_8BBF_81883778F185_.wvu.PrintArea" localSheetId="30" hidden="1">'420G-NR'!$A$56:$V$139</definedName>
    <definedName name="Z_B42B6DFD_947C_42A1_8BBF_81883778F185_.wvu.PrintArea" localSheetId="31" hidden="1">'567C-NR'!$A$56:$V$139</definedName>
    <definedName name="Z_B42B6DFD_947C_42A1_8BBF_81883778F185_.wvu.PrintArea" localSheetId="33" hidden="1">'60MP-NR'!$A$56:$V$139</definedName>
    <definedName name="Z_B42B6DFD_947C_42A1_8BBF_81883778F185_.wvu.PrintArea" localSheetId="32" hidden="1">'6OC-NR'!$A$56:$V$139</definedName>
    <definedName name="Z_B42B6DFD_947C_42A1_8BBF_81883778F185_.wvu.PrintArea" localSheetId="69" hidden="1">'850C-NR'!$A$56:$V$139</definedName>
    <definedName name="Z_B42B6DFD_947C_42A1_8BBF_81883778F185_.wvu.PrintArea" localSheetId="72" hidden="1">'850C-NR_PC'!$A$56:$V$139</definedName>
    <definedName name="Z_B42B6DFD_947C_42A1_8BBF_81883778F185_.wvu.PrintArea" localSheetId="68" hidden="1">'QV1-NR'!$A$56:$V$139</definedName>
    <definedName name="Z_B42B6DFD_947C_42A1_8BBF_81883778F185_.wvu.Rows" localSheetId="74" hidden="1">'105M-NR'!$89:$114</definedName>
    <definedName name="Z_B42B6DFD_947C_42A1_8BBF_81883778F185_.wvu.Rows" localSheetId="15" hidden="1">'117C-NR'!$89:$114</definedName>
    <definedName name="Z_B42B6DFD_947C_42A1_8BBF_81883778F185_.wvu.Rows" localSheetId="16" hidden="1">'120C-NR'!$89:$114</definedName>
    <definedName name="Z_B42B6DFD_947C_42A1_8BBF_81883778F185_.wvu.Rows" localSheetId="17" hidden="1">'126P-NR'!$89:$114</definedName>
    <definedName name="Z_B42B6DFD_947C_42A1_8BBF_81883778F185_.wvu.Rows" localSheetId="18" hidden="1">'130P-NR'!$89:$114</definedName>
    <definedName name="Z_B42B6DFD_947C_42A1_8BBF_81883778F185_.wvu.Rows" localSheetId="19" hidden="1">'135K-NR'!$90:$115</definedName>
    <definedName name="Z_B42B6DFD_947C_42A1_8BBF_81883778F185_.wvu.Rows" localSheetId="20" hidden="1">'151C-NR'!$89:$114</definedName>
    <definedName name="Z_B42B6DFD_947C_42A1_8BBF_81883778F185_.wvu.Rows" localSheetId="21" hidden="1">'179T-NR'!$89:$114</definedName>
    <definedName name="Z_B42B6DFD_947C_42A1_8BBF_81883778F185_.wvu.Rows" localSheetId="11" hidden="1">'1M-DUMMY'!$89:$114</definedName>
    <definedName name="Z_B42B6DFD_947C_42A1_8BBF_81883778F185_.wvu.Rows" localSheetId="14" hidden="1">'1M-NR'!$89:$114</definedName>
    <definedName name="Z_B42B6DFD_947C_42A1_8BBF_81883778F185_.wvu.Rows" localSheetId="22" hidden="1">'201K-NR'!$89:$114</definedName>
    <definedName name="Z_B42B6DFD_947C_42A1_8BBF_81883778F185_.wvu.Rows" localSheetId="73" hidden="1">'20B-NR'!$89:$114</definedName>
    <definedName name="Z_B42B6DFD_947C_42A1_8BBF_81883778F185_.wvu.Rows" localSheetId="23" hidden="1">'220L-NR'!$89:$114</definedName>
    <definedName name="Z_B42B6DFD_947C_42A1_8BBF_81883778F185_.wvu.Rows" localSheetId="24" hidden="1">'259Q-NR'!$89:$114</definedName>
    <definedName name="Z_B42B6DFD_947C_42A1_8BBF_81883778F185_.wvu.Rows" localSheetId="25" hidden="1">'347K-NR'!$89:$114</definedName>
    <definedName name="Z_B42B6DFD_947C_42A1_8BBF_81883778F185_.wvu.Rows" localSheetId="26" hidden="1">'388G-NR'!$89:$114</definedName>
    <definedName name="Z_B42B6DFD_947C_42A1_8BBF_81883778F185_.wvu.Rows" localSheetId="29" hidden="1">'40M-NR'!$89:$114</definedName>
    <definedName name="Z_B42B6DFD_947C_42A1_8BBF_81883778F185_.wvu.Rows" localSheetId="30" hidden="1">'420G-NR'!$89:$114</definedName>
    <definedName name="Z_B42B6DFD_947C_42A1_8BBF_81883778F185_.wvu.Rows" localSheetId="31" hidden="1">'567C-NR'!$89:$114</definedName>
    <definedName name="Z_B42B6DFD_947C_42A1_8BBF_81883778F185_.wvu.Rows" localSheetId="33" hidden="1">'60MP-NR'!$89:$114</definedName>
    <definedName name="Z_B42B6DFD_947C_42A1_8BBF_81883778F185_.wvu.Rows" localSheetId="32" hidden="1">'6OC-NR'!$89:$114</definedName>
    <definedName name="Z_B42B6DFD_947C_42A1_8BBF_81883778F185_.wvu.Rows" localSheetId="69" hidden="1">'850C-NR'!$89:$114</definedName>
    <definedName name="Z_B42B6DFD_947C_42A1_8BBF_81883778F185_.wvu.Rows" localSheetId="72" hidden="1">'850C-NR_PC'!$89:$114</definedName>
    <definedName name="Z_B42B6DFD_947C_42A1_8BBF_81883778F185_.wvu.Rows" localSheetId="68" hidden="1">'QV1-NR'!$89:$114</definedName>
    <definedName name="Z_C37F2097_028C_4A7A_8757_194935379A59_.wvu.PrintArea" localSheetId="74" hidden="1">'105M-NR'!$A$56:$V$139</definedName>
    <definedName name="Z_C37F2097_028C_4A7A_8757_194935379A59_.wvu.PrintArea" localSheetId="15" hidden="1">'117C-NR'!$A$56:$V$139</definedName>
    <definedName name="Z_C37F2097_028C_4A7A_8757_194935379A59_.wvu.PrintArea" localSheetId="16" hidden="1">'120C-NR'!$A$56:$V$139</definedName>
    <definedName name="Z_C37F2097_028C_4A7A_8757_194935379A59_.wvu.PrintArea" localSheetId="17" hidden="1">'126P-NR'!$A$56:$V$139</definedName>
    <definedName name="Z_C37F2097_028C_4A7A_8757_194935379A59_.wvu.PrintArea" localSheetId="18" hidden="1">'130P-NR'!$A$56:$V$139</definedName>
    <definedName name="Z_C37F2097_028C_4A7A_8757_194935379A59_.wvu.PrintArea" localSheetId="19" hidden="1">'135K-NR'!$A$56:$V$140</definedName>
    <definedName name="Z_C37F2097_028C_4A7A_8757_194935379A59_.wvu.PrintArea" localSheetId="20" hidden="1">'151C-NR'!$A$56:$V$139</definedName>
    <definedName name="Z_C37F2097_028C_4A7A_8757_194935379A59_.wvu.PrintArea" localSheetId="21" hidden="1">'179T-NR'!$A$56:$V$139</definedName>
    <definedName name="Z_C37F2097_028C_4A7A_8757_194935379A59_.wvu.PrintArea" localSheetId="11" hidden="1">'1M-DUMMY'!$A$56:$V$139</definedName>
    <definedName name="Z_C37F2097_028C_4A7A_8757_194935379A59_.wvu.PrintArea" localSheetId="14" hidden="1">'1M-NR'!$A$56:$V$139</definedName>
    <definedName name="Z_C37F2097_028C_4A7A_8757_194935379A59_.wvu.PrintArea" localSheetId="22" hidden="1">'201K-NR'!$A$56:$V$139</definedName>
    <definedName name="Z_C37F2097_028C_4A7A_8757_194935379A59_.wvu.PrintArea" localSheetId="73" hidden="1">'20B-NR'!$A$56:$V$139</definedName>
    <definedName name="Z_C37F2097_028C_4A7A_8757_194935379A59_.wvu.PrintArea" localSheetId="23" hidden="1">'220L-NR'!$A$56:$V$139</definedName>
    <definedName name="Z_C37F2097_028C_4A7A_8757_194935379A59_.wvu.PrintArea" localSheetId="24" hidden="1">'259Q-NR'!$A$56:$V$139</definedName>
    <definedName name="Z_C37F2097_028C_4A7A_8757_194935379A59_.wvu.PrintArea" localSheetId="25" hidden="1">'347K-NR'!$A$56:$V$139</definedName>
    <definedName name="Z_C37F2097_028C_4A7A_8757_194935379A59_.wvu.PrintArea" localSheetId="26" hidden="1">'388G-NR'!$A$56:$V$139</definedName>
    <definedName name="Z_C37F2097_028C_4A7A_8757_194935379A59_.wvu.PrintArea" localSheetId="29" hidden="1">'40M-NR'!$A$56:$V$139</definedName>
    <definedName name="Z_C37F2097_028C_4A7A_8757_194935379A59_.wvu.PrintArea" localSheetId="30" hidden="1">'420G-NR'!$A$56:$V$139</definedName>
    <definedName name="Z_C37F2097_028C_4A7A_8757_194935379A59_.wvu.PrintArea" localSheetId="31" hidden="1">'567C-NR'!$A$56:$V$139</definedName>
    <definedName name="Z_C37F2097_028C_4A7A_8757_194935379A59_.wvu.PrintArea" localSheetId="33" hidden="1">'60MP-NR'!$A$56:$V$139</definedName>
    <definedName name="Z_C37F2097_028C_4A7A_8757_194935379A59_.wvu.PrintArea" localSheetId="32" hidden="1">'6OC-NR'!$A$56:$V$139</definedName>
    <definedName name="Z_C37F2097_028C_4A7A_8757_194935379A59_.wvu.PrintArea" localSheetId="69" hidden="1">'850C-NR'!$A$56:$V$139</definedName>
    <definedName name="Z_C37F2097_028C_4A7A_8757_194935379A59_.wvu.PrintArea" localSheetId="72" hidden="1">'850C-NR_PC'!$A$56:$V$139</definedName>
    <definedName name="Z_C37F2097_028C_4A7A_8757_194935379A59_.wvu.PrintArea" localSheetId="68" hidden="1">'QV1-NR'!$A$56:$V$139</definedName>
    <definedName name="Z_C37F2097_028C_4A7A_8757_194935379A59_.wvu.Rows" localSheetId="74" hidden="1">'105M-NR'!$89:$114</definedName>
    <definedName name="Z_C37F2097_028C_4A7A_8757_194935379A59_.wvu.Rows" localSheetId="15" hidden="1">'117C-NR'!$89:$114</definedName>
    <definedName name="Z_C37F2097_028C_4A7A_8757_194935379A59_.wvu.Rows" localSheetId="16" hidden="1">'120C-NR'!$89:$114</definedName>
    <definedName name="Z_C37F2097_028C_4A7A_8757_194935379A59_.wvu.Rows" localSheetId="17" hidden="1">'126P-NR'!$89:$114</definedName>
    <definedName name="Z_C37F2097_028C_4A7A_8757_194935379A59_.wvu.Rows" localSheetId="18" hidden="1">'130P-NR'!$89:$114</definedName>
    <definedName name="Z_C37F2097_028C_4A7A_8757_194935379A59_.wvu.Rows" localSheetId="19" hidden="1">'135K-NR'!$90:$115</definedName>
    <definedName name="Z_C37F2097_028C_4A7A_8757_194935379A59_.wvu.Rows" localSheetId="20" hidden="1">'151C-NR'!$89:$114</definedName>
    <definedName name="Z_C37F2097_028C_4A7A_8757_194935379A59_.wvu.Rows" localSheetId="21" hidden="1">'179T-NR'!$89:$114</definedName>
    <definedName name="Z_C37F2097_028C_4A7A_8757_194935379A59_.wvu.Rows" localSheetId="11" hidden="1">'1M-DUMMY'!$89:$114</definedName>
    <definedName name="Z_C37F2097_028C_4A7A_8757_194935379A59_.wvu.Rows" localSheetId="14" hidden="1">'1M-NR'!$89:$114</definedName>
    <definedName name="Z_C37F2097_028C_4A7A_8757_194935379A59_.wvu.Rows" localSheetId="22" hidden="1">'201K-NR'!$89:$114</definedName>
    <definedName name="Z_C37F2097_028C_4A7A_8757_194935379A59_.wvu.Rows" localSheetId="73" hidden="1">'20B-NR'!$89:$114</definedName>
    <definedName name="Z_C37F2097_028C_4A7A_8757_194935379A59_.wvu.Rows" localSheetId="23" hidden="1">'220L-NR'!$89:$114</definedName>
    <definedName name="Z_C37F2097_028C_4A7A_8757_194935379A59_.wvu.Rows" localSheetId="24" hidden="1">'259Q-NR'!$89:$114</definedName>
    <definedName name="Z_C37F2097_028C_4A7A_8757_194935379A59_.wvu.Rows" localSheetId="25" hidden="1">'347K-NR'!$89:$114</definedName>
    <definedName name="Z_C37F2097_028C_4A7A_8757_194935379A59_.wvu.Rows" localSheetId="26" hidden="1">'388G-NR'!$89:$114</definedName>
    <definedName name="Z_C37F2097_028C_4A7A_8757_194935379A59_.wvu.Rows" localSheetId="29" hidden="1">'40M-NR'!$89:$114</definedName>
    <definedName name="Z_C37F2097_028C_4A7A_8757_194935379A59_.wvu.Rows" localSheetId="30" hidden="1">'420G-NR'!$89:$114</definedName>
    <definedName name="Z_C37F2097_028C_4A7A_8757_194935379A59_.wvu.Rows" localSheetId="31" hidden="1">'567C-NR'!$89:$114</definedName>
    <definedName name="Z_C37F2097_028C_4A7A_8757_194935379A59_.wvu.Rows" localSheetId="33" hidden="1">'60MP-NR'!$89:$114</definedName>
    <definedName name="Z_C37F2097_028C_4A7A_8757_194935379A59_.wvu.Rows" localSheetId="32" hidden="1">'6OC-NR'!$89:$114</definedName>
    <definedName name="Z_C37F2097_028C_4A7A_8757_194935379A59_.wvu.Rows" localSheetId="69" hidden="1">'850C-NR'!$89:$114</definedName>
    <definedName name="Z_C37F2097_028C_4A7A_8757_194935379A59_.wvu.Rows" localSheetId="72" hidden="1">'850C-NR_PC'!$89:$114</definedName>
    <definedName name="Z_C37F2097_028C_4A7A_8757_194935379A59_.wvu.Rows" localSheetId="68" hidden="1">'QV1-NR'!$89:$114</definedName>
    <definedName name="Z_C5A93E43_EA46_4E30_9238_B3ADE2A62573_.wvu.FilterData" localSheetId="75" hidden="1">'105M-IS'!$F$61:$F$66</definedName>
    <definedName name="Z_C5A93E43_EA46_4E30_9238_B3ADE2A62573_.wvu.FilterData" localSheetId="48" hidden="1">'117C-IS'!$F$61:$F$66</definedName>
    <definedName name="Z_C5A93E43_EA46_4E30_9238_B3ADE2A62573_.wvu.FilterData" localSheetId="62" hidden="1">'120C-IS'!$F$61:$F$66</definedName>
    <definedName name="Z_C5A93E43_EA46_4E30_9238_B3ADE2A62573_.wvu.FilterData" localSheetId="36" hidden="1">'126P-IS'!$F$61:$F$66</definedName>
    <definedName name="Z_C5A93E43_EA46_4E30_9238_B3ADE2A62573_.wvu.FilterData" localSheetId="52" hidden="1">'130P-IS'!$F$61:$F$66</definedName>
    <definedName name="Z_C5A93E43_EA46_4E30_9238_B3ADE2A62573_.wvu.FilterData" localSheetId="34" hidden="1">'135K-IS'!$F$61:$F$66</definedName>
    <definedName name="Z_C5A93E43_EA46_4E30_9238_B3ADE2A62573_.wvu.FilterData" localSheetId="54" hidden="1">'151C-IS'!$F$61:$F$66</definedName>
    <definedName name="Z_C5A93E43_EA46_4E30_9238_B3ADE2A62573_.wvu.FilterData" localSheetId="58" hidden="1">'179T-IS'!$F$61:$F$66</definedName>
    <definedName name="Z_C5A93E43_EA46_4E30_9238_B3ADE2A62573_.wvu.FilterData" localSheetId="27" hidden="1">'1M-IS'!$F$61:$F$66</definedName>
    <definedName name="Z_C5A93E43_EA46_4E30_9238_B3ADE2A62573_.wvu.FilterData" localSheetId="42" hidden="1">'201K-IS'!$F$61:$F$66</definedName>
    <definedName name="Z_C5A93E43_EA46_4E30_9238_B3ADE2A62573_.wvu.FilterData" localSheetId="44" hidden="1">'20B-IS'!$F$61:$F$66</definedName>
    <definedName name="Z_C5A93E43_EA46_4E30_9238_B3ADE2A62573_.wvu.FilterData" localSheetId="60" hidden="1">'259Q-IS'!$F$61:$F$66</definedName>
    <definedName name="Z_C5A93E43_EA46_4E30_9238_B3ADE2A62573_.wvu.FilterData" localSheetId="46" hidden="1">'347K-IS'!$F$61:$F$66</definedName>
    <definedName name="Z_C5A93E43_EA46_4E30_9238_B3ADE2A62573_.wvu.FilterData" localSheetId="79" hidden="1">'388G-IS'!$F$61:$F$66</definedName>
    <definedName name="Z_C5A93E43_EA46_4E30_9238_B3ADE2A62573_.wvu.FilterData" localSheetId="38" hidden="1">'40M-IS'!$F$61:$F$66</definedName>
    <definedName name="Z_C5A93E43_EA46_4E30_9238_B3ADE2A62573_.wvu.FilterData" localSheetId="40" hidden="1">'420G-IS'!$F$61:$F$66</definedName>
    <definedName name="Z_C5A93E43_EA46_4E30_9238_B3ADE2A62573_.wvu.FilterData" localSheetId="64" hidden="1">'567C-IS'!$F$61:$F$66</definedName>
    <definedName name="Z_C5A93E43_EA46_4E30_9238_B3ADE2A62573_.wvu.FilterData" localSheetId="66" hidden="1">'575B-IS'!$F$61:$F$66</definedName>
    <definedName name="Z_C5A93E43_EA46_4E30_9238_B3ADE2A62573_.wvu.FilterData" localSheetId="50" hidden="1">'60MP-IS'!$F$61:$F$66</definedName>
    <definedName name="Z_C5A93E43_EA46_4E30_9238_B3ADE2A62573_.wvu.FilterData" localSheetId="56" hidden="1">'6O''C-IS'!$F$61:$F$66</definedName>
    <definedName name="Z_C5A93E43_EA46_4E30_9238_B3ADE2A62573_.wvu.FilterData" localSheetId="70" hidden="1">'850C-IS'!$F$61:$F$66</definedName>
    <definedName name="Z_C5A93E43_EA46_4E30_9238_B3ADE2A62573_.wvu.FilterData" localSheetId="77" hidden="1">'QV1-IS'!$F$61:$F$66</definedName>
    <definedName name="Z_C5A93E43_EA46_4E30_9238_B3ADE2A62573_.wvu.PrintArea" localSheetId="74" hidden="1">'105M-NR'!$A$56:$V$139</definedName>
    <definedName name="Z_C5A93E43_EA46_4E30_9238_B3ADE2A62573_.wvu.PrintArea" localSheetId="76" hidden="1">'105M-OS'!$A$1:$M$50</definedName>
    <definedName name="Z_C5A93E43_EA46_4E30_9238_B3ADE2A62573_.wvu.PrintArea" localSheetId="15" hidden="1">'117C-NR'!$A$56:$V$139</definedName>
    <definedName name="Z_C5A93E43_EA46_4E30_9238_B3ADE2A62573_.wvu.PrintArea" localSheetId="49" hidden="1">'117C-OS'!$A$1:$M$50</definedName>
    <definedName name="Z_C5A93E43_EA46_4E30_9238_B3ADE2A62573_.wvu.PrintArea" localSheetId="16" hidden="1">'120C-NR'!$A$56:$V$139</definedName>
    <definedName name="Z_C5A93E43_EA46_4E30_9238_B3ADE2A62573_.wvu.PrintArea" localSheetId="63" hidden="1">'120C-OS'!$A$1:$M$50</definedName>
    <definedName name="Z_C5A93E43_EA46_4E30_9238_B3ADE2A62573_.wvu.PrintArea" localSheetId="17" hidden="1">'126P-NR'!$A$56:$V$139</definedName>
    <definedName name="Z_C5A93E43_EA46_4E30_9238_B3ADE2A62573_.wvu.PrintArea" localSheetId="37" hidden="1">'126P-OS'!$A$1:$M$50</definedName>
    <definedName name="Z_C5A93E43_EA46_4E30_9238_B3ADE2A62573_.wvu.PrintArea" localSheetId="18" hidden="1">'130P-NR'!$A$56:$V$139</definedName>
    <definedName name="Z_C5A93E43_EA46_4E30_9238_B3ADE2A62573_.wvu.PrintArea" localSheetId="53" hidden="1">'130P-OS'!$A$1:$M$50</definedName>
    <definedName name="Z_C5A93E43_EA46_4E30_9238_B3ADE2A62573_.wvu.PrintArea" localSheetId="19" hidden="1">'135K-NR'!$A$56:$V$140</definedName>
    <definedName name="Z_C5A93E43_EA46_4E30_9238_B3ADE2A62573_.wvu.PrintArea" localSheetId="35" hidden="1">'135K-OS'!$A$1:$M$50</definedName>
    <definedName name="Z_C5A93E43_EA46_4E30_9238_B3ADE2A62573_.wvu.PrintArea" localSheetId="20" hidden="1">'151C-NR'!$A$56:$V$139</definedName>
    <definedName name="Z_C5A93E43_EA46_4E30_9238_B3ADE2A62573_.wvu.PrintArea" localSheetId="55" hidden="1">'151C-OS'!$A$1:$M$50</definedName>
    <definedName name="Z_C5A93E43_EA46_4E30_9238_B3ADE2A62573_.wvu.PrintArea" localSheetId="21" hidden="1">'179T-NR'!$A$56:$V$139</definedName>
    <definedName name="Z_C5A93E43_EA46_4E30_9238_B3ADE2A62573_.wvu.PrintArea" localSheetId="59" hidden="1">'179T-OS'!$A$1:$M$50</definedName>
    <definedName name="Z_C5A93E43_EA46_4E30_9238_B3ADE2A62573_.wvu.PrintArea" localSheetId="11" hidden="1">'1M-DUMMY'!$A$56:$V$139</definedName>
    <definedName name="Z_C5A93E43_EA46_4E30_9238_B3ADE2A62573_.wvu.PrintArea" localSheetId="14" hidden="1">'1M-NR'!$A$56:$V$139</definedName>
    <definedName name="Z_C5A93E43_EA46_4E30_9238_B3ADE2A62573_.wvu.PrintArea" localSheetId="28" hidden="1">'1M-OS'!$A$1:$M$50</definedName>
    <definedName name="Z_C5A93E43_EA46_4E30_9238_B3ADE2A62573_.wvu.PrintArea" localSheetId="22" hidden="1">'201K-NR'!$A$56:$V$139</definedName>
    <definedName name="Z_C5A93E43_EA46_4E30_9238_B3ADE2A62573_.wvu.PrintArea" localSheetId="43" hidden="1">'201K-OS'!$A$1:$M$50</definedName>
    <definedName name="Z_C5A93E43_EA46_4E30_9238_B3ADE2A62573_.wvu.PrintArea" localSheetId="73" hidden="1">'20B-NR'!$A$56:$V$139</definedName>
    <definedName name="Z_C5A93E43_EA46_4E30_9238_B3ADE2A62573_.wvu.PrintArea" localSheetId="45" hidden="1">'20B-OS'!$A$1:$M$50</definedName>
    <definedName name="Z_C5A93E43_EA46_4E30_9238_B3ADE2A62573_.wvu.PrintArea" localSheetId="23" hidden="1">'220L-NR'!$A$56:$V$139</definedName>
    <definedName name="Z_C5A93E43_EA46_4E30_9238_B3ADE2A62573_.wvu.PrintArea" localSheetId="24" hidden="1">'259Q-NR'!$A$56:$V$139</definedName>
    <definedName name="Z_C5A93E43_EA46_4E30_9238_B3ADE2A62573_.wvu.PrintArea" localSheetId="61" hidden="1">'259Q-OS'!$A$1:$M$50</definedName>
    <definedName name="Z_C5A93E43_EA46_4E30_9238_B3ADE2A62573_.wvu.PrintArea" localSheetId="25" hidden="1">'347K-NR'!$A$56:$V$139</definedName>
    <definedName name="Z_C5A93E43_EA46_4E30_9238_B3ADE2A62573_.wvu.PrintArea" localSheetId="47" hidden="1">'347K-OS'!$A$1:$M$50</definedName>
    <definedName name="Z_C5A93E43_EA46_4E30_9238_B3ADE2A62573_.wvu.PrintArea" localSheetId="26" hidden="1">'388G-NR'!$A$56:$V$139</definedName>
    <definedName name="Z_C5A93E43_EA46_4E30_9238_B3ADE2A62573_.wvu.PrintArea" localSheetId="80" hidden="1">'388G-OS'!$A$1:$M$50</definedName>
    <definedName name="Z_C5A93E43_EA46_4E30_9238_B3ADE2A62573_.wvu.PrintArea" localSheetId="29" hidden="1">'40M-NR'!$A$56:$V$139</definedName>
    <definedName name="Z_C5A93E43_EA46_4E30_9238_B3ADE2A62573_.wvu.PrintArea" localSheetId="39" hidden="1">'40M-OS'!$A$1:$M$50</definedName>
    <definedName name="Z_C5A93E43_EA46_4E30_9238_B3ADE2A62573_.wvu.PrintArea" localSheetId="30" hidden="1">'420G-NR'!$A$56:$V$139</definedName>
    <definedName name="Z_C5A93E43_EA46_4E30_9238_B3ADE2A62573_.wvu.PrintArea" localSheetId="41" hidden="1">'420G-OS'!$A$1:$M$50</definedName>
    <definedName name="Z_C5A93E43_EA46_4E30_9238_B3ADE2A62573_.wvu.PrintArea" localSheetId="31" hidden="1">'567C-NR'!$A$56:$V$139</definedName>
    <definedName name="Z_C5A93E43_EA46_4E30_9238_B3ADE2A62573_.wvu.PrintArea" localSheetId="65" hidden="1">'567C-OS'!$A$1:$M$50</definedName>
    <definedName name="Z_C5A93E43_EA46_4E30_9238_B3ADE2A62573_.wvu.PrintArea" localSheetId="67" hidden="1">'575B-OS'!$A$1:$M$50</definedName>
    <definedName name="Z_C5A93E43_EA46_4E30_9238_B3ADE2A62573_.wvu.PrintArea" localSheetId="33" hidden="1">'60MP-NR'!$A$56:$V$139</definedName>
    <definedName name="Z_C5A93E43_EA46_4E30_9238_B3ADE2A62573_.wvu.PrintArea" localSheetId="51" hidden="1">'60MP-OS'!$A$1:$M$50</definedName>
    <definedName name="Z_C5A93E43_EA46_4E30_9238_B3ADE2A62573_.wvu.PrintArea" localSheetId="32" hidden="1">'6OC-NR'!$A$56:$V$139</definedName>
    <definedName name="Z_C5A93E43_EA46_4E30_9238_B3ADE2A62573_.wvu.PrintArea" localSheetId="57" hidden="1">'6O''C-OS'!$A$1:$M$50</definedName>
    <definedName name="Z_C5A93E43_EA46_4E30_9238_B3ADE2A62573_.wvu.PrintArea" localSheetId="69" hidden="1">'850C-NR'!$A$56:$V$139</definedName>
    <definedName name="Z_C5A93E43_EA46_4E30_9238_B3ADE2A62573_.wvu.PrintArea" localSheetId="72" hidden="1">'850C-NR_PC'!$A$56:$V$139</definedName>
    <definedName name="Z_C5A93E43_EA46_4E30_9238_B3ADE2A62573_.wvu.PrintArea" localSheetId="71" hidden="1">'850C-OS'!$A$1:$M$50</definedName>
    <definedName name="Z_C5A93E43_EA46_4E30_9238_B3ADE2A62573_.wvu.PrintArea" localSheetId="68" hidden="1">'QV1-NR'!$A$56:$V$139</definedName>
    <definedName name="Z_C5A93E43_EA46_4E30_9238_B3ADE2A62573_.wvu.PrintArea" localSheetId="78" hidden="1">'QV1-OS'!$A$1:$M$50</definedName>
    <definedName name="Z_C5A93E43_EA46_4E30_9238_B3ADE2A62573_.wvu.Rows" localSheetId="74" hidden="1">'105M-NR'!$89:$114</definedName>
    <definedName name="Z_C5A93E43_EA46_4E30_9238_B3ADE2A62573_.wvu.Rows" localSheetId="15" hidden="1">'117C-NR'!$89:$114</definedName>
    <definedName name="Z_C5A93E43_EA46_4E30_9238_B3ADE2A62573_.wvu.Rows" localSheetId="16" hidden="1">'120C-NR'!$89:$114</definedName>
    <definedName name="Z_C5A93E43_EA46_4E30_9238_B3ADE2A62573_.wvu.Rows" localSheetId="17" hidden="1">'126P-NR'!$89:$114</definedName>
    <definedName name="Z_C5A93E43_EA46_4E30_9238_B3ADE2A62573_.wvu.Rows" localSheetId="18" hidden="1">'130P-NR'!$89:$114</definedName>
    <definedName name="Z_C5A93E43_EA46_4E30_9238_B3ADE2A62573_.wvu.Rows" localSheetId="19" hidden="1">'135K-NR'!$90:$115</definedName>
    <definedName name="Z_C5A93E43_EA46_4E30_9238_B3ADE2A62573_.wvu.Rows" localSheetId="20" hidden="1">'151C-NR'!$89:$114</definedName>
    <definedName name="Z_C5A93E43_EA46_4E30_9238_B3ADE2A62573_.wvu.Rows" localSheetId="21" hidden="1">'179T-NR'!$89:$114</definedName>
    <definedName name="Z_C5A93E43_EA46_4E30_9238_B3ADE2A62573_.wvu.Rows" localSheetId="11" hidden="1">'1M-DUMMY'!$89:$114</definedName>
    <definedName name="Z_C5A93E43_EA46_4E30_9238_B3ADE2A62573_.wvu.Rows" localSheetId="14" hidden="1">'1M-NR'!$89:$114</definedName>
    <definedName name="Z_C5A93E43_EA46_4E30_9238_B3ADE2A62573_.wvu.Rows" localSheetId="22" hidden="1">'201K-NR'!$89:$114</definedName>
    <definedName name="Z_C5A93E43_EA46_4E30_9238_B3ADE2A62573_.wvu.Rows" localSheetId="73" hidden="1">'20B-NR'!$89:$114</definedName>
    <definedName name="Z_C5A93E43_EA46_4E30_9238_B3ADE2A62573_.wvu.Rows" localSheetId="23" hidden="1">'220L-NR'!$89:$114</definedName>
    <definedName name="Z_C5A93E43_EA46_4E30_9238_B3ADE2A62573_.wvu.Rows" localSheetId="24" hidden="1">'259Q-NR'!$89:$114</definedName>
    <definedName name="Z_C5A93E43_EA46_4E30_9238_B3ADE2A62573_.wvu.Rows" localSheetId="25" hidden="1">'347K-NR'!$89:$114</definedName>
    <definedName name="Z_C5A93E43_EA46_4E30_9238_B3ADE2A62573_.wvu.Rows" localSheetId="26" hidden="1">'388G-NR'!$89:$114</definedName>
    <definedName name="Z_C5A93E43_EA46_4E30_9238_B3ADE2A62573_.wvu.Rows" localSheetId="29" hidden="1">'40M-NR'!$89:$114</definedName>
    <definedName name="Z_C5A93E43_EA46_4E30_9238_B3ADE2A62573_.wvu.Rows" localSheetId="30" hidden="1">'420G-NR'!$89:$114</definedName>
    <definedName name="Z_C5A93E43_EA46_4E30_9238_B3ADE2A62573_.wvu.Rows" localSheetId="31" hidden="1">'567C-NR'!$89:$114</definedName>
    <definedName name="Z_C5A93E43_EA46_4E30_9238_B3ADE2A62573_.wvu.Rows" localSheetId="33" hidden="1">'60MP-NR'!$89:$114</definedName>
    <definedName name="Z_C5A93E43_EA46_4E30_9238_B3ADE2A62573_.wvu.Rows" localSheetId="32" hidden="1">'6OC-NR'!$89:$114</definedName>
    <definedName name="Z_C5A93E43_EA46_4E30_9238_B3ADE2A62573_.wvu.Rows" localSheetId="69" hidden="1">'850C-NR'!$89:$114</definedName>
    <definedName name="Z_C5A93E43_EA46_4E30_9238_B3ADE2A62573_.wvu.Rows" localSheetId="72" hidden="1">'850C-NR_PC'!$89:$114</definedName>
    <definedName name="Z_C5A93E43_EA46_4E30_9238_B3ADE2A62573_.wvu.Rows" localSheetId="68" hidden="1">'QV1-NR'!$89:$114</definedName>
    <definedName name="Z_CBE3E755_7F3A_421C_A658_2A780FD8ACC1_.wvu.FilterData" localSheetId="75" hidden="1">'105M-IS'!$F$61:$F$66</definedName>
    <definedName name="Z_CBE3E755_7F3A_421C_A658_2A780FD8ACC1_.wvu.FilterData" localSheetId="48" hidden="1">'117C-IS'!$F$61:$F$66</definedName>
    <definedName name="Z_CBE3E755_7F3A_421C_A658_2A780FD8ACC1_.wvu.FilterData" localSheetId="62" hidden="1">'120C-IS'!$F$61:$F$66</definedName>
    <definedName name="Z_CBE3E755_7F3A_421C_A658_2A780FD8ACC1_.wvu.FilterData" localSheetId="36" hidden="1">'126P-IS'!$F$61:$F$66</definedName>
    <definedName name="Z_CBE3E755_7F3A_421C_A658_2A780FD8ACC1_.wvu.FilterData" localSheetId="52" hidden="1">'130P-IS'!$F$61:$F$66</definedName>
    <definedName name="Z_CBE3E755_7F3A_421C_A658_2A780FD8ACC1_.wvu.FilterData" localSheetId="34" hidden="1">'135K-IS'!$F$61:$F$66</definedName>
    <definedName name="Z_CBE3E755_7F3A_421C_A658_2A780FD8ACC1_.wvu.FilterData" localSheetId="54" hidden="1">'151C-IS'!$F$61:$F$66</definedName>
    <definedName name="Z_CBE3E755_7F3A_421C_A658_2A780FD8ACC1_.wvu.FilterData" localSheetId="58" hidden="1">'179T-IS'!$F$61:$F$66</definedName>
    <definedName name="Z_CBE3E755_7F3A_421C_A658_2A780FD8ACC1_.wvu.FilterData" localSheetId="27" hidden="1">'1M-IS'!$F$61:$F$66</definedName>
    <definedName name="Z_CBE3E755_7F3A_421C_A658_2A780FD8ACC1_.wvu.FilterData" localSheetId="42" hidden="1">'201K-IS'!$F$61:$F$66</definedName>
    <definedName name="Z_CBE3E755_7F3A_421C_A658_2A780FD8ACC1_.wvu.FilterData" localSheetId="44" hidden="1">'20B-IS'!$F$61:$F$66</definedName>
    <definedName name="Z_CBE3E755_7F3A_421C_A658_2A780FD8ACC1_.wvu.FilterData" localSheetId="60" hidden="1">'259Q-IS'!$F$61:$F$66</definedName>
    <definedName name="Z_CBE3E755_7F3A_421C_A658_2A780FD8ACC1_.wvu.FilterData" localSheetId="46" hidden="1">'347K-IS'!$F$61:$F$66</definedName>
    <definedName name="Z_CBE3E755_7F3A_421C_A658_2A780FD8ACC1_.wvu.FilterData" localSheetId="79" hidden="1">'388G-IS'!$F$61:$F$66</definedName>
    <definedName name="Z_CBE3E755_7F3A_421C_A658_2A780FD8ACC1_.wvu.FilterData" localSheetId="38" hidden="1">'40M-IS'!$F$61:$F$66</definedName>
    <definedName name="Z_CBE3E755_7F3A_421C_A658_2A780FD8ACC1_.wvu.FilterData" localSheetId="40" hidden="1">'420G-IS'!$F$61:$F$66</definedName>
    <definedName name="Z_CBE3E755_7F3A_421C_A658_2A780FD8ACC1_.wvu.FilterData" localSheetId="64" hidden="1">'567C-IS'!$F$61:$F$66</definedName>
    <definedName name="Z_CBE3E755_7F3A_421C_A658_2A780FD8ACC1_.wvu.FilterData" localSheetId="66" hidden="1">'575B-IS'!$F$61:$F$66</definedName>
    <definedName name="Z_CBE3E755_7F3A_421C_A658_2A780FD8ACC1_.wvu.FilterData" localSheetId="50" hidden="1">'60MP-IS'!$F$61:$F$66</definedName>
    <definedName name="Z_CBE3E755_7F3A_421C_A658_2A780FD8ACC1_.wvu.FilterData" localSheetId="56" hidden="1">'6O''C-IS'!$F$61:$F$66</definedName>
    <definedName name="Z_CBE3E755_7F3A_421C_A658_2A780FD8ACC1_.wvu.FilterData" localSheetId="70" hidden="1">'850C-IS'!$F$61:$F$66</definedName>
    <definedName name="Z_CBE3E755_7F3A_421C_A658_2A780FD8ACC1_.wvu.FilterData" localSheetId="77" hidden="1">'QV1-IS'!$F$61:$F$66</definedName>
    <definedName name="Z_CBE3E755_7F3A_421C_A658_2A780FD8ACC1_.wvu.PrintArea" localSheetId="74" hidden="1">'105M-NR'!$A$56:$V$139</definedName>
    <definedName name="Z_CBE3E755_7F3A_421C_A658_2A780FD8ACC1_.wvu.PrintArea" localSheetId="76" hidden="1">'105M-OS'!$A$1:$M$50</definedName>
    <definedName name="Z_CBE3E755_7F3A_421C_A658_2A780FD8ACC1_.wvu.PrintArea" localSheetId="15" hidden="1">'117C-NR'!$A$56:$V$139</definedName>
    <definedName name="Z_CBE3E755_7F3A_421C_A658_2A780FD8ACC1_.wvu.PrintArea" localSheetId="49" hidden="1">'117C-OS'!$A$1:$M$50</definedName>
    <definedName name="Z_CBE3E755_7F3A_421C_A658_2A780FD8ACC1_.wvu.PrintArea" localSheetId="16" hidden="1">'120C-NR'!$A$56:$V$139</definedName>
    <definedName name="Z_CBE3E755_7F3A_421C_A658_2A780FD8ACC1_.wvu.PrintArea" localSheetId="63" hidden="1">'120C-OS'!$A$1:$M$50</definedName>
    <definedName name="Z_CBE3E755_7F3A_421C_A658_2A780FD8ACC1_.wvu.PrintArea" localSheetId="17" hidden="1">'126P-NR'!$A$56:$V$139</definedName>
    <definedName name="Z_CBE3E755_7F3A_421C_A658_2A780FD8ACC1_.wvu.PrintArea" localSheetId="37" hidden="1">'126P-OS'!$A$1:$M$50</definedName>
    <definedName name="Z_CBE3E755_7F3A_421C_A658_2A780FD8ACC1_.wvu.PrintArea" localSheetId="18" hidden="1">'130P-NR'!$A$56:$V$139</definedName>
    <definedName name="Z_CBE3E755_7F3A_421C_A658_2A780FD8ACC1_.wvu.PrintArea" localSheetId="53" hidden="1">'130P-OS'!$A$1:$M$50</definedName>
    <definedName name="Z_CBE3E755_7F3A_421C_A658_2A780FD8ACC1_.wvu.PrintArea" localSheetId="19" hidden="1">'135K-NR'!$A$56:$V$140</definedName>
    <definedName name="Z_CBE3E755_7F3A_421C_A658_2A780FD8ACC1_.wvu.PrintArea" localSheetId="35" hidden="1">'135K-OS'!$A$1:$M$50</definedName>
    <definedName name="Z_CBE3E755_7F3A_421C_A658_2A780FD8ACC1_.wvu.PrintArea" localSheetId="20" hidden="1">'151C-NR'!$A$56:$V$139</definedName>
    <definedName name="Z_CBE3E755_7F3A_421C_A658_2A780FD8ACC1_.wvu.PrintArea" localSheetId="55" hidden="1">'151C-OS'!$A$1:$M$50</definedName>
    <definedName name="Z_CBE3E755_7F3A_421C_A658_2A780FD8ACC1_.wvu.PrintArea" localSheetId="21" hidden="1">'179T-NR'!$A$56:$V$139</definedName>
    <definedName name="Z_CBE3E755_7F3A_421C_A658_2A780FD8ACC1_.wvu.PrintArea" localSheetId="59" hidden="1">'179T-OS'!$A$1:$M$50</definedName>
    <definedName name="Z_CBE3E755_7F3A_421C_A658_2A780FD8ACC1_.wvu.PrintArea" localSheetId="11" hidden="1">'1M-DUMMY'!$A$56:$V$139</definedName>
    <definedName name="Z_CBE3E755_7F3A_421C_A658_2A780FD8ACC1_.wvu.PrintArea" localSheetId="14" hidden="1">'1M-NR'!$A$56:$V$139</definedName>
    <definedName name="Z_CBE3E755_7F3A_421C_A658_2A780FD8ACC1_.wvu.PrintArea" localSheetId="28" hidden="1">'1M-OS'!$A$1:$M$50</definedName>
    <definedName name="Z_CBE3E755_7F3A_421C_A658_2A780FD8ACC1_.wvu.PrintArea" localSheetId="22" hidden="1">'201K-NR'!$A$56:$V$139</definedName>
    <definedName name="Z_CBE3E755_7F3A_421C_A658_2A780FD8ACC1_.wvu.PrintArea" localSheetId="43" hidden="1">'201K-OS'!$A$1:$M$50</definedName>
    <definedName name="Z_CBE3E755_7F3A_421C_A658_2A780FD8ACC1_.wvu.PrintArea" localSheetId="73" hidden="1">'20B-NR'!$A$56:$V$139</definedName>
    <definedName name="Z_CBE3E755_7F3A_421C_A658_2A780FD8ACC1_.wvu.PrintArea" localSheetId="45" hidden="1">'20B-OS'!$A$1:$M$50</definedName>
    <definedName name="Z_CBE3E755_7F3A_421C_A658_2A780FD8ACC1_.wvu.PrintArea" localSheetId="23" hidden="1">'220L-NR'!$A$56:$V$139</definedName>
    <definedName name="Z_CBE3E755_7F3A_421C_A658_2A780FD8ACC1_.wvu.PrintArea" localSheetId="24" hidden="1">'259Q-NR'!$A$56:$V$139</definedName>
    <definedName name="Z_CBE3E755_7F3A_421C_A658_2A780FD8ACC1_.wvu.PrintArea" localSheetId="61" hidden="1">'259Q-OS'!$A$1:$M$50</definedName>
    <definedName name="Z_CBE3E755_7F3A_421C_A658_2A780FD8ACC1_.wvu.PrintArea" localSheetId="25" hidden="1">'347K-NR'!$A$56:$V$139</definedName>
    <definedName name="Z_CBE3E755_7F3A_421C_A658_2A780FD8ACC1_.wvu.PrintArea" localSheetId="47" hidden="1">'347K-OS'!$A$1:$M$50</definedName>
    <definedName name="Z_CBE3E755_7F3A_421C_A658_2A780FD8ACC1_.wvu.PrintArea" localSheetId="26" hidden="1">'388G-NR'!$A$56:$V$139</definedName>
    <definedName name="Z_CBE3E755_7F3A_421C_A658_2A780FD8ACC1_.wvu.PrintArea" localSheetId="80" hidden="1">'388G-OS'!$A$1:$M$50</definedName>
    <definedName name="Z_CBE3E755_7F3A_421C_A658_2A780FD8ACC1_.wvu.PrintArea" localSheetId="29" hidden="1">'40M-NR'!$A$56:$V$139</definedName>
    <definedName name="Z_CBE3E755_7F3A_421C_A658_2A780FD8ACC1_.wvu.PrintArea" localSheetId="39" hidden="1">'40M-OS'!$A$1:$M$50</definedName>
    <definedName name="Z_CBE3E755_7F3A_421C_A658_2A780FD8ACC1_.wvu.PrintArea" localSheetId="30" hidden="1">'420G-NR'!$A$56:$V$139</definedName>
    <definedName name="Z_CBE3E755_7F3A_421C_A658_2A780FD8ACC1_.wvu.PrintArea" localSheetId="41" hidden="1">'420G-OS'!$A$1:$M$50</definedName>
    <definedName name="Z_CBE3E755_7F3A_421C_A658_2A780FD8ACC1_.wvu.PrintArea" localSheetId="31" hidden="1">'567C-NR'!$A$56:$V$139</definedName>
    <definedName name="Z_CBE3E755_7F3A_421C_A658_2A780FD8ACC1_.wvu.PrintArea" localSheetId="65" hidden="1">'567C-OS'!$A$1:$M$50</definedName>
    <definedName name="Z_CBE3E755_7F3A_421C_A658_2A780FD8ACC1_.wvu.PrintArea" localSheetId="67" hidden="1">'575B-OS'!$A$1:$M$50</definedName>
    <definedName name="Z_CBE3E755_7F3A_421C_A658_2A780FD8ACC1_.wvu.PrintArea" localSheetId="33" hidden="1">'60MP-NR'!$A$56:$V$139</definedName>
    <definedName name="Z_CBE3E755_7F3A_421C_A658_2A780FD8ACC1_.wvu.PrintArea" localSheetId="51" hidden="1">'60MP-OS'!$A$1:$M$50</definedName>
    <definedName name="Z_CBE3E755_7F3A_421C_A658_2A780FD8ACC1_.wvu.PrintArea" localSheetId="32" hidden="1">'6OC-NR'!$A$56:$V$139</definedName>
    <definedName name="Z_CBE3E755_7F3A_421C_A658_2A780FD8ACC1_.wvu.PrintArea" localSheetId="57" hidden="1">'6O''C-OS'!$A$1:$M$50</definedName>
    <definedName name="Z_CBE3E755_7F3A_421C_A658_2A780FD8ACC1_.wvu.PrintArea" localSheetId="69" hidden="1">'850C-NR'!$A$56:$V$139</definedName>
    <definedName name="Z_CBE3E755_7F3A_421C_A658_2A780FD8ACC1_.wvu.PrintArea" localSheetId="72" hidden="1">'850C-NR_PC'!$A$56:$V$139</definedName>
    <definedName name="Z_CBE3E755_7F3A_421C_A658_2A780FD8ACC1_.wvu.PrintArea" localSheetId="71" hidden="1">'850C-OS'!$A$1:$M$50</definedName>
    <definedName name="Z_CBE3E755_7F3A_421C_A658_2A780FD8ACC1_.wvu.PrintArea" localSheetId="68" hidden="1">'QV1-NR'!$A$56:$V$139</definedName>
    <definedName name="Z_CBE3E755_7F3A_421C_A658_2A780FD8ACC1_.wvu.PrintArea" localSheetId="78" hidden="1">'QV1-OS'!$A$1:$M$50</definedName>
    <definedName name="Z_CBE3E755_7F3A_421C_A658_2A780FD8ACC1_.wvu.Rows" localSheetId="74" hidden="1">'105M-NR'!$89:$114</definedName>
    <definedName name="Z_CBE3E755_7F3A_421C_A658_2A780FD8ACC1_.wvu.Rows" localSheetId="15" hidden="1">'117C-NR'!$89:$114</definedName>
    <definedName name="Z_CBE3E755_7F3A_421C_A658_2A780FD8ACC1_.wvu.Rows" localSheetId="16" hidden="1">'120C-NR'!$89:$114</definedName>
    <definedName name="Z_CBE3E755_7F3A_421C_A658_2A780FD8ACC1_.wvu.Rows" localSheetId="17" hidden="1">'126P-NR'!$89:$114</definedName>
    <definedName name="Z_CBE3E755_7F3A_421C_A658_2A780FD8ACC1_.wvu.Rows" localSheetId="18" hidden="1">'130P-NR'!$89:$114</definedName>
    <definedName name="Z_CBE3E755_7F3A_421C_A658_2A780FD8ACC1_.wvu.Rows" localSheetId="19" hidden="1">'135K-NR'!$90:$115</definedName>
    <definedName name="Z_CBE3E755_7F3A_421C_A658_2A780FD8ACC1_.wvu.Rows" localSheetId="20" hidden="1">'151C-NR'!$89:$114</definedName>
    <definedName name="Z_CBE3E755_7F3A_421C_A658_2A780FD8ACC1_.wvu.Rows" localSheetId="21" hidden="1">'179T-NR'!$89:$114</definedName>
    <definedName name="Z_CBE3E755_7F3A_421C_A658_2A780FD8ACC1_.wvu.Rows" localSheetId="11" hidden="1">'1M-DUMMY'!$89:$114</definedName>
    <definedName name="Z_CBE3E755_7F3A_421C_A658_2A780FD8ACC1_.wvu.Rows" localSheetId="14" hidden="1">'1M-NR'!$89:$114</definedName>
    <definedName name="Z_CBE3E755_7F3A_421C_A658_2A780FD8ACC1_.wvu.Rows" localSheetId="22" hidden="1">'201K-NR'!$89:$114</definedName>
    <definedName name="Z_CBE3E755_7F3A_421C_A658_2A780FD8ACC1_.wvu.Rows" localSheetId="73" hidden="1">'20B-NR'!$89:$114</definedName>
    <definedName name="Z_CBE3E755_7F3A_421C_A658_2A780FD8ACC1_.wvu.Rows" localSheetId="23" hidden="1">'220L-NR'!$89:$114</definedName>
    <definedName name="Z_CBE3E755_7F3A_421C_A658_2A780FD8ACC1_.wvu.Rows" localSheetId="24" hidden="1">'259Q-NR'!$89:$114</definedName>
    <definedName name="Z_CBE3E755_7F3A_421C_A658_2A780FD8ACC1_.wvu.Rows" localSheetId="25" hidden="1">'347K-NR'!$89:$114</definedName>
    <definedName name="Z_CBE3E755_7F3A_421C_A658_2A780FD8ACC1_.wvu.Rows" localSheetId="26" hidden="1">'388G-NR'!$89:$114</definedName>
    <definedName name="Z_CBE3E755_7F3A_421C_A658_2A780FD8ACC1_.wvu.Rows" localSheetId="29" hidden="1">'40M-NR'!$89:$114</definedName>
    <definedName name="Z_CBE3E755_7F3A_421C_A658_2A780FD8ACC1_.wvu.Rows" localSheetId="30" hidden="1">'420G-NR'!$89:$114</definedName>
    <definedName name="Z_CBE3E755_7F3A_421C_A658_2A780FD8ACC1_.wvu.Rows" localSheetId="31" hidden="1">'567C-NR'!$89:$114</definedName>
    <definedName name="Z_CBE3E755_7F3A_421C_A658_2A780FD8ACC1_.wvu.Rows" localSheetId="33" hidden="1">'60MP-NR'!$89:$114</definedName>
    <definedName name="Z_CBE3E755_7F3A_421C_A658_2A780FD8ACC1_.wvu.Rows" localSheetId="32" hidden="1">'6OC-NR'!$89:$114</definedName>
    <definedName name="Z_CBE3E755_7F3A_421C_A658_2A780FD8ACC1_.wvu.Rows" localSheetId="69" hidden="1">'850C-NR'!$89:$114</definedName>
    <definedName name="Z_CBE3E755_7F3A_421C_A658_2A780FD8ACC1_.wvu.Rows" localSheetId="72" hidden="1">'850C-NR_PC'!$89:$114</definedName>
    <definedName name="Z_CBE3E755_7F3A_421C_A658_2A780FD8ACC1_.wvu.Rows" localSheetId="68" hidden="1">'QV1-NR'!$89:$114</definedName>
    <definedName name="Z_D42164B8_A4EE_4049_AD35_F9D5B39845BB_.wvu.FilterData" localSheetId="75" hidden="1">'105M-IS'!$F$61:$F$66</definedName>
    <definedName name="Z_D42164B8_A4EE_4049_AD35_F9D5B39845BB_.wvu.FilterData" localSheetId="48" hidden="1">'117C-IS'!$F$61:$F$66</definedName>
    <definedName name="Z_D42164B8_A4EE_4049_AD35_F9D5B39845BB_.wvu.FilterData" localSheetId="62" hidden="1">'120C-IS'!$F$61:$F$66</definedName>
    <definedName name="Z_D42164B8_A4EE_4049_AD35_F9D5B39845BB_.wvu.FilterData" localSheetId="36" hidden="1">'126P-IS'!$F$61:$F$66</definedName>
    <definedName name="Z_D42164B8_A4EE_4049_AD35_F9D5B39845BB_.wvu.FilterData" localSheetId="52" hidden="1">'130P-IS'!$F$61:$F$66</definedName>
    <definedName name="Z_D42164B8_A4EE_4049_AD35_F9D5B39845BB_.wvu.FilterData" localSheetId="34" hidden="1">'135K-IS'!$F$61:$F$66</definedName>
    <definedName name="Z_D42164B8_A4EE_4049_AD35_F9D5B39845BB_.wvu.FilterData" localSheetId="54" hidden="1">'151C-IS'!$F$61:$F$66</definedName>
    <definedName name="Z_D42164B8_A4EE_4049_AD35_F9D5B39845BB_.wvu.FilterData" localSheetId="58" hidden="1">'179T-IS'!$F$61:$F$66</definedName>
    <definedName name="Z_D42164B8_A4EE_4049_AD35_F9D5B39845BB_.wvu.FilterData" localSheetId="27" hidden="1">'1M-IS'!$F$61:$F$66</definedName>
    <definedName name="Z_D42164B8_A4EE_4049_AD35_F9D5B39845BB_.wvu.FilterData" localSheetId="42" hidden="1">'201K-IS'!$F$61:$F$66</definedName>
    <definedName name="Z_D42164B8_A4EE_4049_AD35_F9D5B39845BB_.wvu.FilterData" localSheetId="44" hidden="1">'20B-IS'!$F$61:$F$66</definedName>
    <definedName name="Z_D42164B8_A4EE_4049_AD35_F9D5B39845BB_.wvu.FilterData" localSheetId="60" hidden="1">'259Q-IS'!$F$61:$F$66</definedName>
    <definedName name="Z_D42164B8_A4EE_4049_AD35_F9D5B39845BB_.wvu.FilterData" localSheetId="46" hidden="1">'347K-IS'!$F$61:$F$66</definedName>
    <definedName name="Z_D42164B8_A4EE_4049_AD35_F9D5B39845BB_.wvu.FilterData" localSheetId="79" hidden="1">'388G-IS'!$F$61:$F$66</definedName>
    <definedName name="Z_D42164B8_A4EE_4049_AD35_F9D5B39845BB_.wvu.FilterData" localSheetId="38" hidden="1">'40M-IS'!$F$61:$F$66</definedName>
    <definedName name="Z_D42164B8_A4EE_4049_AD35_F9D5B39845BB_.wvu.FilterData" localSheetId="40" hidden="1">'420G-IS'!$F$61:$F$66</definedName>
    <definedName name="Z_D42164B8_A4EE_4049_AD35_F9D5B39845BB_.wvu.FilterData" localSheetId="64" hidden="1">'567C-IS'!$F$61:$F$66</definedName>
    <definedName name="Z_D42164B8_A4EE_4049_AD35_F9D5B39845BB_.wvu.FilterData" localSheetId="66" hidden="1">'575B-IS'!$F$61:$F$66</definedName>
    <definedName name="Z_D42164B8_A4EE_4049_AD35_F9D5B39845BB_.wvu.FilterData" localSheetId="50" hidden="1">'60MP-IS'!$F$61:$F$66</definedName>
    <definedName name="Z_D42164B8_A4EE_4049_AD35_F9D5B39845BB_.wvu.FilterData" localSheetId="56" hidden="1">'6O''C-IS'!$F$61:$F$66</definedName>
    <definedName name="Z_D42164B8_A4EE_4049_AD35_F9D5B39845BB_.wvu.FilterData" localSheetId="70" hidden="1">'850C-IS'!$F$61:$F$66</definedName>
    <definedName name="Z_D42164B8_A4EE_4049_AD35_F9D5B39845BB_.wvu.FilterData" localSheetId="77" hidden="1">'QV1-IS'!$F$61:$F$66</definedName>
    <definedName name="Z_D42164B8_A4EE_4049_AD35_F9D5B39845BB_.wvu.PrintArea" localSheetId="74" hidden="1">'105M-NR'!$A$56:$V$139</definedName>
    <definedName name="Z_D42164B8_A4EE_4049_AD35_F9D5B39845BB_.wvu.PrintArea" localSheetId="76" hidden="1">'105M-OS'!$A$1:$M$50</definedName>
    <definedName name="Z_D42164B8_A4EE_4049_AD35_F9D5B39845BB_.wvu.PrintArea" localSheetId="15" hidden="1">'117C-NR'!$A$56:$V$139</definedName>
    <definedName name="Z_D42164B8_A4EE_4049_AD35_F9D5B39845BB_.wvu.PrintArea" localSheetId="49" hidden="1">'117C-OS'!$A$1:$M$50</definedName>
    <definedName name="Z_D42164B8_A4EE_4049_AD35_F9D5B39845BB_.wvu.PrintArea" localSheetId="16" hidden="1">'120C-NR'!$A$56:$V$139</definedName>
    <definedName name="Z_D42164B8_A4EE_4049_AD35_F9D5B39845BB_.wvu.PrintArea" localSheetId="63" hidden="1">'120C-OS'!$A$1:$M$50</definedName>
    <definedName name="Z_D42164B8_A4EE_4049_AD35_F9D5B39845BB_.wvu.PrintArea" localSheetId="17" hidden="1">'126P-NR'!$A$56:$V$139</definedName>
    <definedName name="Z_D42164B8_A4EE_4049_AD35_F9D5B39845BB_.wvu.PrintArea" localSheetId="37" hidden="1">'126P-OS'!$A$1:$M$50</definedName>
    <definedName name="Z_D42164B8_A4EE_4049_AD35_F9D5B39845BB_.wvu.PrintArea" localSheetId="18" hidden="1">'130P-NR'!$A$56:$V$139</definedName>
    <definedName name="Z_D42164B8_A4EE_4049_AD35_F9D5B39845BB_.wvu.PrintArea" localSheetId="53" hidden="1">'130P-OS'!$A$1:$M$50</definedName>
    <definedName name="Z_D42164B8_A4EE_4049_AD35_F9D5B39845BB_.wvu.PrintArea" localSheetId="19" hidden="1">'135K-NR'!$A$56:$V$140</definedName>
    <definedName name="Z_D42164B8_A4EE_4049_AD35_F9D5B39845BB_.wvu.PrintArea" localSheetId="35" hidden="1">'135K-OS'!$A$1:$M$50</definedName>
    <definedName name="Z_D42164B8_A4EE_4049_AD35_F9D5B39845BB_.wvu.PrintArea" localSheetId="20" hidden="1">'151C-NR'!$A$56:$V$139</definedName>
    <definedName name="Z_D42164B8_A4EE_4049_AD35_F9D5B39845BB_.wvu.PrintArea" localSheetId="55" hidden="1">'151C-OS'!$A$1:$M$50</definedName>
    <definedName name="Z_D42164B8_A4EE_4049_AD35_F9D5B39845BB_.wvu.PrintArea" localSheetId="21" hidden="1">'179T-NR'!$A$56:$V$139</definedName>
    <definedName name="Z_D42164B8_A4EE_4049_AD35_F9D5B39845BB_.wvu.PrintArea" localSheetId="59" hidden="1">'179T-OS'!$A$1:$M$50</definedName>
    <definedName name="Z_D42164B8_A4EE_4049_AD35_F9D5B39845BB_.wvu.PrintArea" localSheetId="11" hidden="1">'1M-DUMMY'!$A$56:$V$139</definedName>
    <definedName name="Z_D42164B8_A4EE_4049_AD35_F9D5B39845BB_.wvu.PrintArea" localSheetId="14" hidden="1">'1M-NR'!$A$56:$V$139</definedName>
    <definedName name="Z_D42164B8_A4EE_4049_AD35_F9D5B39845BB_.wvu.PrintArea" localSheetId="28" hidden="1">'1M-OS'!$A$1:$M$50</definedName>
    <definedName name="Z_D42164B8_A4EE_4049_AD35_F9D5B39845BB_.wvu.PrintArea" localSheetId="22" hidden="1">'201K-NR'!$A$56:$V$139</definedName>
    <definedName name="Z_D42164B8_A4EE_4049_AD35_F9D5B39845BB_.wvu.PrintArea" localSheetId="43" hidden="1">'201K-OS'!$A$1:$M$50</definedName>
    <definedName name="Z_D42164B8_A4EE_4049_AD35_F9D5B39845BB_.wvu.PrintArea" localSheetId="73" hidden="1">'20B-NR'!$A$56:$V$139</definedName>
    <definedName name="Z_D42164B8_A4EE_4049_AD35_F9D5B39845BB_.wvu.PrintArea" localSheetId="45" hidden="1">'20B-OS'!$A$1:$M$50</definedName>
    <definedName name="Z_D42164B8_A4EE_4049_AD35_F9D5B39845BB_.wvu.PrintArea" localSheetId="23" hidden="1">'220L-NR'!$A$56:$V$139</definedName>
    <definedName name="Z_D42164B8_A4EE_4049_AD35_F9D5B39845BB_.wvu.PrintArea" localSheetId="24" hidden="1">'259Q-NR'!$A$56:$V$139</definedName>
    <definedName name="Z_D42164B8_A4EE_4049_AD35_F9D5B39845BB_.wvu.PrintArea" localSheetId="61" hidden="1">'259Q-OS'!$A$1:$M$50</definedName>
    <definedName name="Z_D42164B8_A4EE_4049_AD35_F9D5B39845BB_.wvu.PrintArea" localSheetId="25" hidden="1">'347K-NR'!$A$56:$V$139</definedName>
    <definedName name="Z_D42164B8_A4EE_4049_AD35_F9D5B39845BB_.wvu.PrintArea" localSheetId="47" hidden="1">'347K-OS'!$A$1:$M$50</definedName>
    <definedName name="Z_D42164B8_A4EE_4049_AD35_F9D5B39845BB_.wvu.PrintArea" localSheetId="26" hidden="1">'388G-NR'!$A$56:$V$139</definedName>
    <definedName name="Z_D42164B8_A4EE_4049_AD35_F9D5B39845BB_.wvu.PrintArea" localSheetId="80" hidden="1">'388G-OS'!$A$1:$M$50</definedName>
    <definedName name="Z_D42164B8_A4EE_4049_AD35_F9D5B39845BB_.wvu.PrintArea" localSheetId="29" hidden="1">'40M-NR'!$A$56:$V$139</definedName>
    <definedName name="Z_D42164B8_A4EE_4049_AD35_F9D5B39845BB_.wvu.PrintArea" localSheetId="39" hidden="1">'40M-OS'!$A$1:$M$50</definedName>
    <definedName name="Z_D42164B8_A4EE_4049_AD35_F9D5B39845BB_.wvu.PrintArea" localSheetId="30" hidden="1">'420G-NR'!$A$56:$V$139</definedName>
    <definedName name="Z_D42164B8_A4EE_4049_AD35_F9D5B39845BB_.wvu.PrintArea" localSheetId="41" hidden="1">'420G-OS'!$A$1:$M$50</definedName>
    <definedName name="Z_D42164B8_A4EE_4049_AD35_F9D5B39845BB_.wvu.PrintArea" localSheetId="31" hidden="1">'567C-NR'!$A$56:$V$139</definedName>
    <definedName name="Z_D42164B8_A4EE_4049_AD35_F9D5B39845BB_.wvu.PrintArea" localSheetId="65" hidden="1">'567C-OS'!$A$1:$M$50</definedName>
    <definedName name="Z_D42164B8_A4EE_4049_AD35_F9D5B39845BB_.wvu.PrintArea" localSheetId="67" hidden="1">'575B-OS'!$A$1:$M$50</definedName>
    <definedName name="Z_D42164B8_A4EE_4049_AD35_F9D5B39845BB_.wvu.PrintArea" localSheetId="33" hidden="1">'60MP-NR'!$A$56:$V$139</definedName>
    <definedName name="Z_D42164B8_A4EE_4049_AD35_F9D5B39845BB_.wvu.PrintArea" localSheetId="51" hidden="1">'60MP-OS'!$A$1:$M$50</definedName>
    <definedName name="Z_D42164B8_A4EE_4049_AD35_F9D5B39845BB_.wvu.PrintArea" localSheetId="32" hidden="1">'6OC-NR'!$A$56:$V$139</definedName>
    <definedName name="Z_D42164B8_A4EE_4049_AD35_F9D5B39845BB_.wvu.PrintArea" localSheetId="57" hidden="1">'6O''C-OS'!$A$1:$M$50</definedName>
    <definedName name="Z_D42164B8_A4EE_4049_AD35_F9D5B39845BB_.wvu.PrintArea" localSheetId="69" hidden="1">'850C-NR'!$A$56:$V$139</definedName>
    <definedName name="Z_D42164B8_A4EE_4049_AD35_F9D5B39845BB_.wvu.PrintArea" localSheetId="72" hidden="1">'850C-NR_PC'!$A$56:$V$139</definedName>
    <definedName name="Z_D42164B8_A4EE_4049_AD35_F9D5B39845BB_.wvu.PrintArea" localSheetId="71" hidden="1">'850C-OS'!$A$1:$M$50</definedName>
    <definedName name="Z_D42164B8_A4EE_4049_AD35_F9D5B39845BB_.wvu.PrintArea" localSheetId="68" hidden="1">'QV1-NR'!$A$56:$V$139</definedName>
    <definedName name="Z_D42164B8_A4EE_4049_AD35_F9D5B39845BB_.wvu.PrintArea" localSheetId="78" hidden="1">'QV1-OS'!$A$1:$M$50</definedName>
    <definedName name="Z_D42164B8_A4EE_4049_AD35_F9D5B39845BB_.wvu.Rows" localSheetId="74" hidden="1">'105M-NR'!$89:$114</definedName>
    <definedName name="Z_D42164B8_A4EE_4049_AD35_F9D5B39845BB_.wvu.Rows" localSheetId="15" hidden="1">'117C-NR'!$89:$114</definedName>
    <definedName name="Z_D42164B8_A4EE_4049_AD35_F9D5B39845BB_.wvu.Rows" localSheetId="16" hidden="1">'120C-NR'!$89:$114</definedName>
    <definedName name="Z_D42164B8_A4EE_4049_AD35_F9D5B39845BB_.wvu.Rows" localSheetId="17" hidden="1">'126P-NR'!$89:$114</definedName>
    <definedName name="Z_D42164B8_A4EE_4049_AD35_F9D5B39845BB_.wvu.Rows" localSheetId="18" hidden="1">'130P-NR'!$89:$114</definedName>
    <definedName name="Z_D42164B8_A4EE_4049_AD35_F9D5B39845BB_.wvu.Rows" localSheetId="19" hidden="1">'135K-NR'!$90:$115</definedName>
    <definedName name="Z_D42164B8_A4EE_4049_AD35_F9D5B39845BB_.wvu.Rows" localSheetId="20" hidden="1">'151C-NR'!$89:$114</definedName>
    <definedName name="Z_D42164B8_A4EE_4049_AD35_F9D5B39845BB_.wvu.Rows" localSheetId="21" hidden="1">'179T-NR'!$89:$114</definedName>
    <definedName name="Z_D42164B8_A4EE_4049_AD35_F9D5B39845BB_.wvu.Rows" localSheetId="11" hidden="1">'1M-DUMMY'!$89:$114</definedName>
    <definedName name="Z_D42164B8_A4EE_4049_AD35_F9D5B39845BB_.wvu.Rows" localSheetId="14" hidden="1">'1M-NR'!$89:$114</definedName>
    <definedName name="Z_D42164B8_A4EE_4049_AD35_F9D5B39845BB_.wvu.Rows" localSheetId="22" hidden="1">'201K-NR'!$89:$114</definedName>
    <definedName name="Z_D42164B8_A4EE_4049_AD35_F9D5B39845BB_.wvu.Rows" localSheetId="73" hidden="1">'20B-NR'!$89:$114</definedName>
    <definedName name="Z_D42164B8_A4EE_4049_AD35_F9D5B39845BB_.wvu.Rows" localSheetId="23" hidden="1">'220L-NR'!$89:$114</definedName>
    <definedName name="Z_D42164B8_A4EE_4049_AD35_F9D5B39845BB_.wvu.Rows" localSheetId="24" hidden="1">'259Q-NR'!$89:$114</definedName>
    <definedName name="Z_D42164B8_A4EE_4049_AD35_F9D5B39845BB_.wvu.Rows" localSheetId="25" hidden="1">'347K-NR'!$89:$114</definedName>
    <definedName name="Z_D42164B8_A4EE_4049_AD35_F9D5B39845BB_.wvu.Rows" localSheetId="26" hidden="1">'388G-NR'!$89:$114</definedName>
    <definedName name="Z_D42164B8_A4EE_4049_AD35_F9D5B39845BB_.wvu.Rows" localSheetId="29" hidden="1">'40M-NR'!$89:$114</definedName>
    <definedName name="Z_D42164B8_A4EE_4049_AD35_F9D5B39845BB_.wvu.Rows" localSheetId="30" hidden="1">'420G-NR'!$89:$114</definedName>
    <definedName name="Z_D42164B8_A4EE_4049_AD35_F9D5B39845BB_.wvu.Rows" localSheetId="31" hidden="1">'567C-NR'!$89:$114</definedName>
    <definedName name="Z_D42164B8_A4EE_4049_AD35_F9D5B39845BB_.wvu.Rows" localSheetId="33" hidden="1">'60MP-NR'!$89:$114</definedName>
    <definedName name="Z_D42164B8_A4EE_4049_AD35_F9D5B39845BB_.wvu.Rows" localSheetId="32" hidden="1">'6OC-NR'!$89:$114</definedName>
    <definedName name="Z_D42164B8_A4EE_4049_AD35_F9D5B39845BB_.wvu.Rows" localSheetId="69" hidden="1">'850C-NR'!$89:$114</definedName>
    <definedName name="Z_D42164B8_A4EE_4049_AD35_F9D5B39845BB_.wvu.Rows" localSheetId="72" hidden="1">'850C-NR_PC'!$89:$114</definedName>
    <definedName name="Z_D42164B8_A4EE_4049_AD35_F9D5B39845BB_.wvu.Rows" localSheetId="68" hidden="1">'QV1-NR'!$89:$114</definedName>
    <definedName name="Z_E1E2AC73_9B74_4449_999B_278FA8A5BF1A_.wvu.FilterData" localSheetId="75" hidden="1">'105M-IS'!$F$61:$F$66</definedName>
    <definedName name="Z_E1E2AC73_9B74_4449_999B_278FA8A5BF1A_.wvu.FilterData" localSheetId="48" hidden="1">'117C-IS'!$F$61:$F$66</definedName>
    <definedName name="Z_E1E2AC73_9B74_4449_999B_278FA8A5BF1A_.wvu.FilterData" localSheetId="62" hidden="1">'120C-IS'!$F$61:$F$66</definedName>
    <definedName name="Z_E1E2AC73_9B74_4449_999B_278FA8A5BF1A_.wvu.FilterData" localSheetId="36" hidden="1">'126P-IS'!$F$61:$F$66</definedName>
    <definedName name="Z_E1E2AC73_9B74_4449_999B_278FA8A5BF1A_.wvu.FilterData" localSheetId="52" hidden="1">'130P-IS'!$F$61:$F$66</definedName>
    <definedName name="Z_E1E2AC73_9B74_4449_999B_278FA8A5BF1A_.wvu.FilterData" localSheetId="34" hidden="1">'135K-IS'!$F$61:$F$66</definedName>
    <definedName name="Z_E1E2AC73_9B74_4449_999B_278FA8A5BF1A_.wvu.FilterData" localSheetId="54" hidden="1">'151C-IS'!$F$61:$F$66</definedName>
    <definedName name="Z_E1E2AC73_9B74_4449_999B_278FA8A5BF1A_.wvu.FilterData" localSheetId="58" hidden="1">'179T-IS'!$F$61:$F$66</definedName>
    <definedName name="Z_E1E2AC73_9B74_4449_999B_278FA8A5BF1A_.wvu.FilterData" localSheetId="27" hidden="1">'1M-IS'!$F$61:$F$66</definedName>
    <definedName name="Z_E1E2AC73_9B74_4449_999B_278FA8A5BF1A_.wvu.FilterData" localSheetId="42" hidden="1">'201K-IS'!$F$61:$F$66</definedName>
    <definedName name="Z_E1E2AC73_9B74_4449_999B_278FA8A5BF1A_.wvu.FilterData" localSheetId="44" hidden="1">'20B-IS'!$F$61:$F$66</definedName>
    <definedName name="Z_E1E2AC73_9B74_4449_999B_278FA8A5BF1A_.wvu.FilterData" localSheetId="60" hidden="1">'259Q-IS'!$F$61:$F$66</definedName>
    <definedName name="Z_E1E2AC73_9B74_4449_999B_278FA8A5BF1A_.wvu.FilterData" localSheetId="46" hidden="1">'347K-IS'!$F$61:$F$66</definedName>
    <definedName name="Z_E1E2AC73_9B74_4449_999B_278FA8A5BF1A_.wvu.FilterData" localSheetId="79" hidden="1">'388G-IS'!$F$61:$F$66</definedName>
    <definedName name="Z_E1E2AC73_9B74_4449_999B_278FA8A5BF1A_.wvu.FilterData" localSheetId="38" hidden="1">'40M-IS'!$F$61:$F$66</definedName>
    <definedName name="Z_E1E2AC73_9B74_4449_999B_278FA8A5BF1A_.wvu.FilterData" localSheetId="40" hidden="1">'420G-IS'!$F$61:$F$66</definedName>
    <definedName name="Z_E1E2AC73_9B74_4449_999B_278FA8A5BF1A_.wvu.FilterData" localSheetId="64" hidden="1">'567C-IS'!$F$61:$F$66</definedName>
    <definedName name="Z_E1E2AC73_9B74_4449_999B_278FA8A5BF1A_.wvu.FilterData" localSheetId="66" hidden="1">'575B-IS'!$F$61:$F$66</definedName>
    <definedName name="Z_E1E2AC73_9B74_4449_999B_278FA8A5BF1A_.wvu.FilterData" localSheetId="50" hidden="1">'60MP-IS'!$F$61:$F$66</definedName>
    <definedName name="Z_E1E2AC73_9B74_4449_999B_278FA8A5BF1A_.wvu.FilterData" localSheetId="56" hidden="1">'6O''C-IS'!$F$61:$F$66</definedName>
    <definedName name="Z_E1E2AC73_9B74_4449_999B_278FA8A5BF1A_.wvu.FilterData" localSheetId="70" hidden="1">'850C-IS'!$F$61:$F$66</definedName>
    <definedName name="Z_E1E2AC73_9B74_4449_999B_278FA8A5BF1A_.wvu.FilterData" localSheetId="77" hidden="1">'QV1-IS'!$F$61:$F$66</definedName>
    <definedName name="Z_E1E2AC73_9B74_4449_999B_278FA8A5BF1A_.wvu.PrintArea" localSheetId="74" hidden="1">'105M-NR'!$A$56:$V$139</definedName>
    <definedName name="Z_E1E2AC73_9B74_4449_999B_278FA8A5BF1A_.wvu.PrintArea" localSheetId="76" hidden="1">'105M-OS'!$A$1:$M$50</definedName>
    <definedName name="Z_E1E2AC73_9B74_4449_999B_278FA8A5BF1A_.wvu.PrintArea" localSheetId="15" hidden="1">'117C-NR'!$A$56:$V$139</definedName>
    <definedName name="Z_E1E2AC73_9B74_4449_999B_278FA8A5BF1A_.wvu.PrintArea" localSheetId="49" hidden="1">'117C-OS'!$A$1:$M$50</definedName>
    <definedName name="Z_E1E2AC73_9B74_4449_999B_278FA8A5BF1A_.wvu.PrintArea" localSheetId="16" hidden="1">'120C-NR'!$A$56:$V$139</definedName>
    <definedName name="Z_E1E2AC73_9B74_4449_999B_278FA8A5BF1A_.wvu.PrintArea" localSheetId="63" hidden="1">'120C-OS'!$A$1:$M$50</definedName>
    <definedName name="Z_E1E2AC73_9B74_4449_999B_278FA8A5BF1A_.wvu.PrintArea" localSheetId="17" hidden="1">'126P-NR'!$A$56:$V$139</definedName>
    <definedName name="Z_E1E2AC73_9B74_4449_999B_278FA8A5BF1A_.wvu.PrintArea" localSheetId="37" hidden="1">'126P-OS'!$A$1:$M$50</definedName>
    <definedName name="Z_E1E2AC73_9B74_4449_999B_278FA8A5BF1A_.wvu.PrintArea" localSheetId="18" hidden="1">'130P-NR'!$A$56:$V$139</definedName>
    <definedName name="Z_E1E2AC73_9B74_4449_999B_278FA8A5BF1A_.wvu.PrintArea" localSheetId="53" hidden="1">'130P-OS'!$A$1:$M$50</definedName>
    <definedName name="Z_E1E2AC73_9B74_4449_999B_278FA8A5BF1A_.wvu.PrintArea" localSheetId="19" hidden="1">'135K-NR'!$A$56:$V$140</definedName>
    <definedName name="Z_E1E2AC73_9B74_4449_999B_278FA8A5BF1A_.wvu.PrintArea" localSheetId="35" hidden="1">'135K-OS'!$A$1:$M$50</definedName>
    <definedName name="Z_E1E2AC73_9B74_4449_999B_278FA8A5BF1A_.wvu.PrintArea" localSheetId="20" hidden="1">'151C-NR'!$A$56:$V$139</definedName>
    <definedName name="Z_E1E2AC73_9B74_4449_999B_278FA8A5BF1A_.wvu.PrintArea" localSheetId="55" hidden="1">'151C-OS'!$A$1:$M$50</definedName>
    <definedName name="Z_E1E2AC73_9B74_4449_999B_278FA8A5BF1A_.wvu.PrintArea" localSheetId="21" hidden="1">'179T-NR'!$A$56:$V$139</definedName>
    <definedName name="Z_E1E2AC73_9B74_4449_999B_278FA8A5BF1A_.wvu.PrintArea" localSheetId="59" hidden="1">'179T-OS'!$A$1:$M$50</definedName>
    <definedName name="Z_E1E2AC73_9B74_4449_999B_278FA8A5BF1A_.wvu.PrintArea" localSheetId="11" hidden="1">'1M-DUMMY'!$A$56:$V$139</definedName>
    <definedName name="Z_E1E2AC73_9B74_4449_999B_278FA8A5BF1A_.wvu.PrintArea" localSheetId="14" hidden="1">'1M-NR'!$A$56:$V$139</definedName>
    <definedName name="Z_E1E2AC73_9B74_4449_999B_278FA8A5BF1A_.wvu.PrintArea" localSheetId="28" hidden="1">'1M-OS'!$A$1:$M$50</definedName>
    <definedName name="Z_E1E2AC73_9B74_4449_999B_278FA8A5BF1A_.wvu.PrintArea" localSheetId="22" hidden="1">'201K-NR'!$A$56:$V$139</definedName>
    <definedName name="Z_E1E2AC73_9B74_4449_999B_278FA8A5BF1A_.wvu.PrintArea" localSheetId="43" hidden="1">'201K-OS'!$A$1:$M$50</definedName>
    <definedName name="Z_E1E2AC73_9B74_4449_999B_278FA8A5BF1A_.wvu.PrintArea" localSheetId="73" hidden="1">'20B-NR'!$A$56:$V$139</definedName>
    <definedName name="Z_E1E2AC73_9B74_4449_999B_278FA8A5BF1A_.wvu.PrintArea" localSheetId="45" hidden="1">'20B-OS'!$A$1:$M$50</definedName>
    <definedName name="Z_E1E2AC73_9B74_4449_999B_278FA8A5BF1A_.wvu.PrintArea" localSheetId="23" hidden="1">'220L-NR'!$A$56:$V$139</definedName>
    <definedName name="Z_E1E2AC73_9B74_4449_999B_278FA8A5BF1A_.wvu.PrintArea" localSheetId="24" hidden="1">'259Q-NR'!$A$56:$V$139</definedName>
    <definedName name="Z_E1E2AC73_9B74_4449_999B_278FA8A5BF1A_.wvu.PrintArea" localSheetId="61" hidden="1">'259Q-OS'!$A$1:$M$50</definedName>
    <definedName name="Z_E1E2AC73_9B74_4449_999B_278FA8A5BF1A_.wvu.PrintArea" localSheetId="25" hidden="1">'347K-NR'!$A$56:$V$139</definedName>
    <definedName name="Z_E1E2AC73_9B74_4449_999B_278FA8A5BF1A_.wvu.PrintArea" localSheetId="47" hidden="1">'347K-OS'!$A$1:$M$50</definedName>
    <definedName name="Z_E1E2AC73_9B74_4449_999B_278FA8A5BF1A_.wvu.PrintArea" localSheetId="26" hidden="1">'388G-NR'!$A$56:$V$139</definedName>
    <definedName name="Z_E1E2AC73_9B74_4449_999B_278FA8A5BF1A_.wvu.PrintArea" localSheetId="80" hidden="1">'388G-OS'!$A$1:$M$50</definedName>
    <definedName name="Z_E1E2AC73_9B74_4449_999B_278FA8A5BF1A_.wvu.PrintArea" localSheetId="29" hidden="1">'40M-NR'!$A$56:$V$139</definedName>
    <definedName name="Z_E1E2AC73_9B74_4449_999B_278FA8A5BF1A_.wvu.PrintArea" localSheetId="39" hidden="1">'40M-OS'!$A$1:$M$50</definedName>
    <definedName name="Z_E1E2AC73_9B74_4449_999B_278FA8A5BF1A_.wvu.PrintArea" localSheetId="30" hidden="1">'420G-NR'!$A$56:$V$139</definedName>
    <definedName name="Z_E1E2AC73_9B74_4449_999B_278FA8A5BF1A_.wvu.PrintArea" localSheetId="41" hidden="1">'420G-OS'!$A$1:$M$50</definedName>
    <definedName name="Z_E1E2AC73_9B74_4449_999B_278FA8A5BF1A_.wvu.PrintArea" localSheetId="31" hidden="1">'567C-NR'!$A$56:$V$139</definedName>
    <definedName name="Z_E1E2AC73_9B74_4449_999B_278FA8A5BF1A_.wvu.PrintArea" localSheetId="65" hidden="1">'567C-OS'!$A$1:$M$50</definedName>
    <definedName name="Z_E1E2AC73_9B74_4449_999B_278FA8A5BF1A_.wvu.PrintArea" localSheetId="67" hidden="1">'575B-OS'!$A$1:$M$50</definedName>
    <definedName name="Z_E1E2AC73_9B74_4449_999B_278FA8A5BF1A_.wvu.PrintArea" localSheetId="33" hidden="1">'60MP-NR'!$A$56:$V$139</definedName>
    <definedName name="Z_E1E2AC73_9B74_4449_999B_278FA8A5BF1A_.wvu.PrintArea" localSheetId="51" hidden="1">'60MP-OS'!$A$1:$M$50</definedName>
    <definedName name="Z_E1E2AC73_9B74_4449_999B_278FA8A5BF1A_.wvu.PrintArea" localSheetId="32" hidden="1">'6OC-NR'!$A$56:$V$139</definedName>
    <definedName name="Z_E1E2AC73_9B74_4449_999B_278FA8A5BF1A_.wvu.PrintArea" localSheetId="57" hidden="1">'6O''C-OS'!$A$1:$M$50</definedName>
    <definedName name="Z_E1E2AC73_9B74_4449_999B_278FA8A5BF1A_.wvu.PrintArea" localSheetId="69" hidden="1">'850C-NR'!$A$56:$V$139</definedName>
    <definedName name="Z_E1E2AC73_9B74_4449_999B_278FA8A5BF1A_.wvu.PrintArea" localSheetId="72" hidden="1">'850C-NR_PC'!$A$56:$V$139</definedName>
    <definedName name="Z_E1E2AC73_9B74_4449_999B_278FA8A5BF1A_.wvu.PrintArea" localSheetId="71" hidden="1">'850C-OS'!$A$1:$M$50</definedName>
    <definedName name="Z_E1E2AC73_9B74_4449_999B_278FA8A5BF1A_.wvu.PrintArea" localSheetId="68" hidden="1">'QV1-NR'!$A$56:$V$139</definedName>
    <definedName name="Z_E1E2AC73_9B74_4449_999B_278FA8A5BF1A_.wvu.PrintArea" localSheetId="78" hidden="1">'QV1-OS'!$A$1:$M$50</definedName>
    <definedName name="Z_E1E2AC73_9B74_4449_999B_278FA8A5BF1A_.wvu.Rows" localSheetId="74" hidden="1">'105M-NR'!$89:$114</definedName>
    <definedName name="Z_E1E2AC73_9B74_4449_999B_278FA8A5BF1A_.wvu.Rows" localSheetId="15" hidden="1">'117C-NR'!$89:$114</definedName>
    <definedName name="Z_E1E2AC73_9B74_4449_999B_278FA8A5BF1A_.wvu.Rows" localSheetId="16" hidden="1">'120C-NR'!$89:$114</definedName>
    <definedName name="Z_E1E2AC73_9B74_4449_999B_278FA8A5BF1A_.wvu.Rows" localSheetId="17" hidden="1">'126P-NR'!$89:$114</definedName>
    <definedName name="Z_E1E2AC73_9B74_4449_999B_278FA8A5BF1A_.wvu.Rows" localSheetId="18" hidden="1">'130P-NR'!$89:$114</definedName>
    <definedName name="Z_E1E2AC73_9B74_4449_999B_278FA8A5BF1A_.wvu.Rows" localSheetId="19" hidden="1">'135K-NR'!$90:$115</definedName>
    <definedName name="Z_E1E2AC73_9B74_4449_999B_278FA8A5BF1A_.wvu.Rows" localSheetId="20" hidden="1">'151C-NR'!$89:$114</definedName>
    <definedName name="Z_E1E2AC73_9B74_4449_999B_278FA8A5BF1A_.wvu.Rows" localSheetId="21" hidden="1">'179T-NR'!$89:$114</definedName>
    <definedName name="Z_E1E2AC73_9B74_4449_999B_278FA8A5BF1A_.wvu.Rows" localSheetId="11" hidden="1">'1M-DUMMY'!$89:$114</definedName>
    <definedName name="Z_E1E2AC73_9B74_4449_999B_278FA8A5BF1A_.wvu.Rows" localSheetId="14" hidden="1">'1M-NR'!$89:$114</definedName>
    <definedName name="Z_E1E2AC73_9B74_4449_999B_278FA8A5BF1A_.wvu.Rows" localSheetId="22" hidden="1">'201K-NR'!$89:$114</definedName>
    <definedName name="Z_E1E2AC73_9B74_4449_999B_278FA8A5BF1A_.wvu.Rows" localSheetId="73" hidden="1">'20B-NR'!$89:$114</definedName>
    <definedName name="Z_E1E2AC73_9B74_4449_999B_278FA8A5BF1A_.wvu.Rows" localSheetId="23" hidden="1">'220L-NR'!$89:$114</definedName>
    <definedName name="Z_E1E2AC73_9B74_4449_999B_278FA8A5BF1A_.wvu.Rows" localSheetId="24" hidden="1">'259Q-NR'!$89:$114</definedName>
    <definedName name="Z_E1E2AC73_9B74_4449_999B_278FA8A5BF1A_.wvu.Rows" localSheetId="25" hidden="1">'347K-NR'!$89:$114</definedName>
    <definedName name="Z_E1E2AC73_9B74_4449_999B_278FA8A5BF1A_.wvu.Rows" localSheetId="26" hidden="1">'388G-NR'!$89:$114</definedName>
    <definedName name="Z_E1E2AC73_9B74_4449_999B_278FA8A5BF1A_.wvu.Rows" localSheetId="29" hidden="1">'40M-NR'!$89:$114</definedName>
    <definedName name="Z_E1E2AC73_9B74_4449_999B_278FA8A5BF1A_.wvu.Rows" localSheetId="30" hidden="1">'420G-NR'!$89:$114</definedName>
    <definedName name="Z_E1E2AC73_9B74_4449_999B_278FA8A5BF1A_.wvu.Rows" localSheetId="31" hidden="1">'567C-NR'!$89:$114</definedName>
    <definedName name="Z_E1E2AC73_9B74_4449_999B_278FA8A5BF1A_.wvu.Rows" localSheetId="33" hidden="1">'60MP-NR'!$89:$114</definedName>
    <definedName name="Z_E1E2AC73_9B74_4449_999B_278FA8A5BF1A_.wvu.Rows" localSheetId="32" hidden="1">'6OC-NR'!$89:$114</definedName>
    <definedName name="Z_E1E2AC73_9B74_4449_999B_278FA8A5BF1A_.wvu.Rows" localSheetId="69" hidden="1">'850C-NR'!$89:$114</definedName>
    <definedName name="Z_E1E2AC73_9B74_4449_999B_278FA8A5BF1A_.wvu.Rows" localSheetId="72" hidden="1">'850C-NR_PC'!$89:$114</definedName>
    <definedName name="Z_E1E2AC73_9B74_4449_999B_278FA8A5BF1A_.wvu.Rows" localSheetId="68" hidden="1">'QV1-NR'!$89:$114</definedName>
    <definedName name="Z_E78A3FE1_4B2D_4B66_8CBC_F8CB3749E687_.wvu.PrintArea" localSheetId="74" hidden="1">'105M-NR'!$A$56:$V$139</definedName>
    <definedName name="Z_E78A3FE1_4B2D_4B66_8CBC_F8CB3749E687_.wvu.PrintArea" localSheetId="15" hidden="1">'117C-NR'!$A$56:$V$139</definedName>
    <definedName name="Z_E78A3FE1_4B2D_4B66_8CBC_F8CB3749E687_.wvu.PrintArea" localSheetId="16" hidden="1">'120C-NR'!$A$56:$V$139</definedName>
    <definedName name="Z_E78A3FE1_4B2D_4B66_8CBC_F8CB3749E687_.wvu.PrintArea" localSheetId="17" hidden="1">'126P-NR'!$A$56:$V$139</definedName>
    <definedName name="Z_E78A3FE1_4B2D_4B66_8CBC_F8CB3749E687_.wvu.PrintArea" localSheetId="18" hidden="1">'130P-NR'!$A$56:$V$139</definedName>
    <definedName name="Z_E78A3FE1_4B2D_4B66_8CBC_F8CB3749E687_.wvu.PrintArea" localSheetId="19" hidden="1">'135K-NR'!$A$56:$V$140</definedName>
    <definedName name="Z_E78A3FE1_4B2D_4B66_8CBC_F8CB3749E687_.wvu.PrintArea" localSheetId="20" hidden="1">'151C-NR'!$A$56:$V$139</definedName>
    <definedName name="Z_E78A3FE1_4B2D_4B66_8CBC_F8CB3749E687_.wvu.PrintArea" localSheetId="21" hidden="1">'179T-NR'!$A$56:$V$139</definedName>
    <definedName name="Z_E78A3FE1_4B2D_4B66_8CBC_F8CB3749E687_.wvu.PrintArea" localSheetId="11" hidden="1">'1M-DUMMY'!$A$56:$V$139</definedName>
    <definedName name="Z_E78A3FE1_4B2D_4B66_8CBC_F8CB3749E687_.wvu.PrintArea" localSheetId="14" hidden="1">'1M-NR'!$A$56:$V$139</definedName>
    <definedName name="Z_E78A3FE1_4B2D_4B66_8CBC_F8CB3749E687_.wvu.PrintArea" localSheetId="22" hidden="1">'201K-NR'!$A$56:$V$139</definedName>
    <definedName name="Z_E78A3FE1_4B2D_4B66_8CBC_F8CB3749E687_.wvu.PrintArea" localSheetId="73" hidden="1">'20B-NR'!$A$56:$V$139</definedName>
    <definedName name="Z_E78A3FE1_4B2D_4B66_8CBC_F8CB3749E687_.wvu.PrintArea" localSheetId="23" hidden="1">'220L-NR'!$A$56:$V$139</definedName>
    <definedName name="Z_E78A3FE1_4B2D_4B66_8CBC_F8CB3749E687_.wvu.PrintArea" localSheetId="24" hidden="1">'259Q-NR'!$A$56:$V$139</definedName>
    <definedName name="Z_E78A3FE1_4B2D_4B66_8CBC_F8CB3749E687_.wvu.PrintArea" localSheetId="25" hidden="1">'347K-NR'!$A$56:$V$139</definedName>
    <definedName name="Z_E78A3FE1_4B2D_4B66_8CBC_F8CB3749E687_.wvu.PrintArea" localSheetId="26" hidden="1">'388G-NR'!$A$56:$V$139</definedName>
    <definedName name="Z_E78A3FE1_4B2D_4B66_8CBC_F8CB3749E687_.wvu.PrintArea" localSheetId="29" hidden="1">'40M-NR'!$A$56:$V$139</definedName>
    <definedName name="Z_E78A3FE1_4B2D_4B66_8CBC_F8CB3749E687_.wvu.PrintArea" localSheetId="30" hidden="1">'420G-NR'!$A$56:$V$139</definedName>
    <definedName name="Z_E78A3FE1_4B2D_4B66_8CBC_F8CB3749E687_.wvu.PrintArea" localSheetId="31" hidden="1">'567C-NR'!$A$56:$V$139</definedName>
    <definedName name="Z_E78A3FE1_4B2D_4B66_8CBC_F8CB3749E687_.wvu.PrintArea" localSheetId="33" hidden="1">'60MP-NR'!$A$56:$V$139</definedName>
    <definedName name="Z_E78A3FE1_4B2D_4B66_8CBC_F8CB3749E687_.wvu.PrintArea" localSheetId="32" hidden="1">'6OC-NR'!$A$56:$V$139</definedName>
    <definedName name="Z_E78A3FE1_4B2D_4B66_8CBC_F8CB3749E687_.wvu.PrintArea" localSheetId="69" hidden="1">'850C-NR'!$A$56:$V$139</definedName>
    <definedName name="Z_E78A3FE1_4B2D_4B66_8CBC_F8CB3749E687_.wvu.PrintArea" localSheetId="72" hidden="1">'850C-NR_PC'!$A$56:$V$139</definedName>
    <definedName name="Z_E78A3FE1_4B2D_4B66_8CBC_F8CB3749E687_.wvu.PrintArea" localSheetId="68" hidden="1">'QV1-NR'!$A$56:$V$139</definedName>
    <definedName name="Z_E78A3FE1_4B2D_4B66_8CBC_F8CB3749E687_.wvu.Rows" localSheetId="74" hidden="1">'105M-NR'!$89:$114</definedName>
    <definedName name="Z_E78A3FE1_4B2D_4B66_8CBC_F8CB3749E687_.wvu.Rows" localSheetId="15" hidden="1">'117C-NR'!$89:$114</definedName>
    <definedName name="Z_E78A3FE1_4B2D_4B66_8CBC_F8CB3749E687_.wvu.Rows" localSheetId="16" hidden="1">'120C-NR'!$89:$114</definedName>
    <definedName name="Z_E78A3FE1_4B2D_4B66_8CBC_F8CB3749E687_.wvu.Rows" localSheetId="17" hidden="1">'126P-NR'!$89:$114</definedName>
    <definedName name="Z_E78A3FE1_4B2D_4B66_8CBC_F8CB3749E687_.wvu.Rows" localSheetId="18" hidden="1">'130P-NR'!$89:$114</definedName>
    <definedName name="Z_E78A3FE1_4B2D_4B66_8CBC_F8CB3749E687_.wvu.Rows" localSheetId="19" hidden="1">'135K-NR'!$90:$115</definedName>
    <definedName name="Z_E78A3FE1_4B2D_4B66_8CBC_F8CB3749E687_.wvu.Rows" localSheetId="20" hidden="1">'151C-NR'!$89:$114</definedName>
    <definedName name="Z_E78A3FE1_4B2D_4B66_8CBC_F8CB3749E687_.wvu.Rows" localSheetId="21" hidden="1">'179T-NR'!$89:$114</definedName>
    <definedName name="Z_E78A3FE1_4B2D_4B66_8CBC_F8CB3749E687_.wvu.Rows" localSheetId="11" hidden="1">'1M-DUMMY'!$89:$114</definedName>
    <definedName name="Z_E78A3FE1_4B2D_4B66_8CBC_F8CB3749E687_.wvu.Rows" localSheetId="14" hidden="1">'1M-NR'!$89:$114</definedName>
    <definedName name="Z_E78A3FE1_4B2D_4B66_8CBC_F8CB3749E687_.wvu.Rows" localSheetId="22" hidden="1">'201K-NR'!$89:$114</definedName>
    <definedName name="Z_E78A3FE1_4B2D_4B66_8CBC_F8CB3749E687_.wvu.Rows" localSheetId="73" hidden="1">'20B-NR'!$89:$114</definedName>
    <definedName name="Z_E78A3FE1_4B2D_4B66_8CBC_F8CB3749E687_.wvu.Rows" localSheetId="23" hidden="1">'220L-NR'!$89:$114</definedName>
    <definedName name="Z_E78A3FE1_4B2D_4B66_8CBC_F8CB3749E687_.wvu.Rows" localSheetId="24" hidden="1">'259Q-NR'!$89:$114</definedName>
    <definedName name="Z_E78A3FE1_4B2D_4B66_8CBC_F8CB3749E687_.wvu.Rows" localSheetId="25" hidden="1">'347K-NR'!$89:$114</definedName>
    <definedName name="Z_E78A3FE1_4B2D_4B66_8CBC_F8CB3749E687_.wvu.Rows" localSheetId="26" hidden="1">'388G-NR'!$89:$114</definedName>
    <definedName name="Z_E78A3FE1_4B2D_4B66_8CBC_F8CB3749E687_.wvu.Rows" localSheetId="29" hidden="1">'40M-NR'!$89:$114</definedName>
    <definedName name="Z_E78A3FE1_4B2D_4B66_8CBC_F8CB3749E687_.wvu.Rows" localSheetId="30" hidden="1">'420G-NR'!$89:$114</definedName>
    <definedName name="Z_E78A3FE1_4B2D_4B66_8CBC_F8CB3749E687_.wvu.Rows" localSheetId="31" hidden="1">'567C-NR'!$89:$114</definedName>
    <definedName name="Z_E78A3FE1_4B2D_4B66_8CBC_F8CB3749E687_.wvu.Rows" localSheetId="33" hidden="1">'60MP-NR'!$89:$114</definedName>
    <definedName name="Z_E78A3FE1_4B2D_4B66_8CBC_F8CB3749E687_.wvu.Rows" localSheetId="32" hidden="1">'6OC-NR'!$89:$114</definedName>
    <definedName name="Z_E78A3FE1_4B2D_4B66_8CBC_F8CB3749E687_.wvu.Rows" localSheetId="69" hidden="1">'850C-NR'!$89:$114</definedName>
    <definedName name="Z_E78A3FE1_4B2D_4B66_8CBC_F8CB3749E687_.wvu.Rows" localSheetId="72" hidden="1">'850C-NR_PC'!$89:$114</definedName>
    <definedName name="Z_E78A3FE1_4B2D_4B66_8CBC_F8CB3749E687_.wvu.Rows" localSheetId="68" hidden="1">'QV1-NR'!$89:$114</definedName>
    <definedName name="Z_E91F5346_D893_49E9_AF77_0FD5FC5668D0_.wvu.FilterData" localSheetId="75" hidden="1">'105M-IS'!$F$61:$F$66</definedName>
    <definedName name="Z_E91F5346_D893_49E9_AF77_0FD5FC5668D0_.wvu.FilterData" localSheetId="48" hidden="1">'117C-IS'!$F$61:$F$66</definedName>
    <definedName name="Z_E91F5346_D893_49E9_AF77_0FD5FC5668D0_.wvu.FilterData" localSheetId="62" hidden="1">'120C-IS'!$F$61:$F$66</definedName>
    <definedName name="Z_E91F5346_D893_49E9_AF77_0FD5FC5668D0_.wvu.FilterData" localSheetId="36" hidden="1">'126P-IS'!$F$61:$F$66</definedName>
    <definedName name="Z_E91F5346_D893_49E9_AF77_0FD5FC5668D0_.wvu.FilterData" localSheetId="52" hidden="1">'130P-IS'!$F$61:$F$66</definedName>
    <definedName name="Z_E91F5346_D893_49E9_AF77_0FD5FC5668D0_.wvu.FilterData" localSheetId="34" hidden="1">'135K-IS'!$F$61:$F$66</definedName>
    <definedName name="Z_E91F5346_D893_49E9_AF77_0FD5FC5668D0_.wvu.FilterData" localSheetId="54" hidden="1">'151C-IS'!$F$61:$F$66</definedName>
    <definedName name="Z_E91F5346_D893_49E9_AF77_0FD5FC5668D0_.wvu.FilterData" localSheetId="58" hidden="1">'179T-IS'!$F$61:$F$66</definedName>
    <definedName name="Z_E91F5346_D893_49E9_AF77_0FD5FC5668D0_.wvu.FilterData" localSheetId="27" hidden="1">'1M-IS'!$F$61:$F$66</definedName>
    <definedName name="Z_E91F5346_D893_49E9_AF77_0FD5FC5668D0_.wvu.FilterData" localSheetId="42" hidden="1">'201K-IS'!$F$61:$F$66</definedName>
    <definedName name="Z_E91F5346_D893_49E9_AF77_0FD5FC5668D0_.wvu.FilterData" localSheetId="44" hidden="1">'20B-IS'!$F$61:$F$66</definedName>
    <definedName name="Z_E91F5346_D893_49E9_AF77_0FD5FC5668D0_.wvu.FilterData" localSheetId="60" hidden="1">'259Q-IS'!$F$61:$F$66</definedName>
    <definedName name="Z_E91F5346_D893_49E9_AF77_0FD5FC5668D0_.wvu.FilterData" localSheetId="46" hidden="1">'347K-IS'!$F$61:$F$66</definedName>
    <definedName name="Z_E91F5346_D893_49E9_AF77_0FD5FC5668D0_.wvu.FilterData" localSheetId="79" hidden="1">'388G-IS'!$F$61:$F$66</definedName>
    <definedName name="Z_E91F5346_D893_49E9_AF77_0FD5FC5668D0_.wvu.FilterData" localSheetId="38" hidden="1">'40M-IS'!$F$61:$F$66</definedName>
    <definedName name="Z_E91F5346_D893_49E9_AF77_0FD5FC5668D0_.wvu.FilterData" localSheetId="40" hidden="1">'420G-IS'!$F$61:$F$66</definedName>
    <definedName name="Z_E91F5346_D893_49E9_AF77_0FD5FC5668D0_.wvu.FilterData" localSheetId="64" hidden="1">'567C-IS'!$F$61:$F$66</definedName>
    <definedName name="Z_E91F5346_D893_49E9_AF77_0FD5FC5668D0_.wvu.FilterData" localSheetId="66" hidden="1">'575B-IS'!$F$61:$F$66</definedName>
    <definedName name="Z_E91F5346_D893_49E9_AF77_0FD5FC5668D0_.wvu.FilterData" localSheetId="50" hidden="1">'60MP-IS'!$F$61:$F$66</definedName>
    <definedName name="Z_E91F5346_D893_49E9_AF77_0FD5FC5668D0_.wvu.FilterData" localSheetId="56" hidden="1">'6O''C-IS'!$F$61:$F$66</definedName>
    <definedName name="Z_E91F5346_D893_49E9_AF77_0FD5FC5668D0_.wvu.FilterData" localSheetId="70" hidden="1">'850C-IS'!$F$61:$F$66</definedName>
    <definedName name="Z_E91F5346_D893_49E9_AF77_0FD5FC5668D0_.wvu.FilterData" localSheetId="77" hidden="1">'QV1-IS'!$F$61:$F$66</definedName>
    <definedName name="Z_E91F5346_D893_49E9_AF77_0FD5FC5668D0_.wvu.PrintArea" localSheetId="74" hidden="1">'105M-NR'!$A$56:$V$139</definedName>
    <definedName name="Z_E91F5346_D893_49E9_AF77_0FD5FC5668D0_.wvu.PrintArea" localSheetId="76" hidden="1">'105M-OS'!$A$1:$M$50</definedName>
    <definedName name="Z_E91F5346_D893_49E9_AF77_0FD5FC5668D0_.wvu.PrintArea" localSheetId="15" hidden="1">'117C-NR'!$A$56:$V$139</definedName>
    <definedName name="Z_E91F5346_D893_49E9_AF77_0FD5FC5668D0_.wvu.PrintArea" localSheetId="49" hidden="1">'117C-OS'!$A$1:$M$50</definedName>
    <definedName name="Z_E91F5346_D893_49E9_AF77_0FD5FC5668D0_.wvu.PrintArea" localSheetId="16" hidden="1">'120C-NR'!$A$56:$V$139</definedName>
    <definedName name="Z_E91F5346_D893_49E9_AF77_0FD5FC5668D0_.wvu.PrintArea" localSheetId="63" hidden="1">'120C-OS'!$A$1:$M$50</definedName>
    <definedName name="Z_E91F5346_D893_49E9_AF77_0FD5FC5668D0_.wvu.PrintArea" localSheetId="17" hidden="1">'126P-NR'!$A$56:$V$139</definedName>
    <definedName name="Z_E91F5346_D893_49E9_AF77_0FD5FC5668D0_.wvu.PrintArea" localSheetId="37" hidden="1">'126P-OS'!$A$1:$M$50</definedName>
    <definedName name="Z_E91F5346_D893_49E9_AF77_0FD5FC5668D0_.wvu.PrintArea" localSheetId="18" hidden="1">'130P-NR'!$A$56:$V$139</definedName>
    <definedName name="Z_E91F5346_D893_49E9_AF77_0FD5FC5668D0_.wvu.PrintArea" localSheetId="53" hidden="1">'130P-OS'!$A$1:$M$50</definedName>
    <definedName name="Z_E91F5346_D893_49E9_AF77_0FD5FC5668D0_.wvu.PrintArea" localSheetId="19" hidden="1">'135K-NR'!$A$56:$V$140</definedName>
    <definedName name="Z_E91F5346_D893_49E9_AF77_0FD5FC5668D0_.wvu.PrintArea" localSheetId="35" hidden="1">'135K-OS'!$A$1:$M$50</definedName>
    <definedName name="Z_E91F5346_D893_49E9_AF77_0FD5FC5668D0_.wvu.PrintArea" localSheetId="20" hidden="1">'151C-NR'!$A$56:$V$139</definedName>
    <definedName name="Z_E91F5346_D893_49E9_AF77_0FD5FC5668D0_.wvu.PrintArea" localSheetId="55" hidden="1">'151C-OS'!$A$1:$M$50</definedName>
    <definedName name="Z_E91F5346_D893_49E9_AF77_0FD5FC5668D0_.wvu.PrintArea" localSheetId="21" hidden="1">'179T-NR'!$A$56:$V$139</definedName>
    <definedName name="Z_E91F5346_D893_49E9_AF77_0FD5FC5668D0_.wvu.PrintArea" localSheetId="59" hidden="1">'179T-OS'!$A$1:$M$50</definedName>
    <definedName name="Z_E91F5346_D893_49E9_AF77_0FD5FC5668D0_.wvu.PrintArea" localSheetId="11" hidden="1">'1M-DUMMY'!$A$56:$V$139</definedName>
    <definedName name="Z_E91F5346_D893_49E9_AF77_0FD5FC5668D0_.wvu.PrintArea" localSheetId="14" hidden="1">'1M-NR'!$A$56:$V$139</definedName>
    <definedName name="Z_E91F5346_D893_49E9_AF77_0FD5FC5668D0_.wvu.PrintArea" localSheetId="28" hidden="1">'1M-OS'!$A$1:$M$50</definedName>
    <definedName name="Z_E91F5346_D893_49E9_AF77_0FD5FC5668D0_.wvu.PrintArea" localSheetId="22" hidden="1">'201K-NR'!$A$56:$V$139</definedName>
    <definedName name="Z_E91F5346_D893_49E9_AF77_0FD5FC5668D0_.wvu.PrintArea" localSheetId="43" hidden="1">'201K-OS'!$A$1:$M$50</definedName>
    <definedName name="Z_E91F5346_D893_49E9_AF77_0FD5FC5668D0_.wvu.PrintArea" localSheetId="73" hidden="1">'20B-NR'!$A$56:$V$139</definedName>
    <definedName name="Z_E91F5346_D893_49E9_AF77_0FD5FC5668D0_.wvu.PrintArea" localSheetId="45" hidden="1">'20B-OS'!$A$1:$M$50</definedName>
    <definedName name="Z_E91F5346_D893_49E9_AF77_0FD5FC5668D0_.wvu.PrintArea" localSheetId="23" hidden="1">'220L-NR'!$A$56:$V$139</definedName>
    <definedName name="Z_E91F5346_D893_49E9_AF77_0FD5FC5668D0_.wvu.PrintArea" localSheetId="24" hidden="1">'259Q-NR'!$A$56:$V$139</definedName>
    <definedName name="Z_E91F5346_D893_49E9_AF77_0FD5FC5668D0_.wvu.PrintArea" localSheetId="61" hidden="1">'259Q-OS'!$A$1:$M$50</definedName>
    <definedName name="Z_E91F5346_D893_49E9_AF77_0FD5FC5668D0_.wvu.PrintArea" localSheetId="25" hidden="1">'347K-NR'!$A$56:$V$139</definedName>
    <definedName name="Z_E91F5346_D893_49E9_AF77_0FD5FC5668D0_.wvu.PrintArea" localSheetId="47" hidden="1">'347K-OS'!$A$1:$M$50</definedName>
    <definedName name="Z_E91F5346_D893_49E9_AF77_0FD5FC5668D0_.wvu.PrintArea" localSheetId="26" hidden="1">'388G-NR'!$A$56:$V$139</definedName>
    <definedName name="Z_E91F5346_D893_49E9_AF77_0FD5FC5668D0_.wvu.PrintArea" localSheetId="80" hidden="1">'388G-OS'!$A$1:$M$50</definedName>
    <definedName name="Z_E91F5346_D893_49E9_AF77_0FD5FC5668D0_.wvu.PrintArea" localSheetId="29" hidden="1">'40M-NR'!$A$56:$V$139</definedName>
    <definedName name="Z_E91F5346_D893_49E9_AF77_0FD5FC5668D0_.wvu.PrintArea" localSheetId="39" hidden="1">'40M-OS'!$A$1:$M$50</definedName>
    <definedName name="Z_E91F5346_D893_49E9_AF77_0FD5FC5668D0_.wvu.PrintArea" localSheetId="30" hidden="1">'420G-NR'!$A$56:$V$139</definedName>
    <definedName name="Z_E91F5346_D893_49E9_AF77_0FD5FC5668D0_.wvu.PrintArea" localSheetId="41" hidden="1">'420G-OS'!$A$1:$M$50</definedName>
    <definedName name="Z_E91F5346_D893_49E9_AF77_0FD5FC5668D0_.wvu.PrintArea" localSheetId="31" hidden="1">'567C-NR'!$A$56:$V$139</definedName>
    <definedName name="Z_E91F5346_D893_49E9_AF77_0FD5FC5668D0_.wvu.PrintArea" localSheetId="65" hidden="1">'567C-OS'!$A$1:$M$50</definedName>
    <definedName name="Z_E91F5346_D893_49E9_AF77_0FD5FC5668D0_.wvu.PrintArea" localSheetId="67" hidden="1">'575B-OS'!$A$1:$M$50</definedName>
    <definedName name="Z_E91F5346_D893_49E9_AF77_0FD5FC5668D0_.wvu.PrintArea" localSheetId="33" hidden="1">'60MP-NR'!$A$56:$V$139</definedName>
    <definedName name="Z_E91F5346_D893_49E9_AF77_0FD5FC5668D0_.wvu.PrintArea" localSheetId="51" hidden="1">'60MP-OS'!$A$1:$M$50</definedName>
    <definedName name="Z_E91F5346_D893_49E9_AF77_0FD5FC5668D0_.wvu.PrintArea" localSheetId="32" hidden="1">'6OC-NR'!$A$56:$V$139</definedName>
    <definedName name="Z_E91F5346_D893_49E9_AF77_0FD5FC5668D0_.wvu.PrintArea" localSheetId="57" hidden="1">'6O''C-OS'!$A$1:$M$50</definedName>
    <definedName name="Z_E91F5346_D893_49E9_AF77_0FD5FC5668D0_.wvu.PrintArea" localSheetId="69" hidden="1">'850C-NR'!$A$56:$V$139</definedName>
    <definedName name="Z_E91F5346_D893_49E9_AF77_0FD5FC5668D0_.wvu.PrintArea" localSheetId="72" hidden="1">'850C-NR_PC'!$A$56:$V$139</definedName>
    <definedName name="Z_E91F5346_D893_49E9_AF77_0FD5FC5668D0_.wvu.PrintArea" localSheetId="71" hidden="1">'850C-OS'!$A$1:$M$50</definedName>
    <definedName name="Z_E91F5346_D893_49E9_AF77_0FD5FC5668D0_.wvu.PrintArea" localSheetId="68" hidden="1">'QV1-NR'!$A$56:$V$139</definedName>
    <definedName name="Z_E91F5346_D893_49E9_AF77_0FD5FC5668D0_.wvu.PrintArea" localSheetId="78" hidden="1">'QV1-OS'!$A$1:$M$50</definedName>
    <definedName name="Z_E91F5346_D893_49E9_AF77_0FD5FC5668D0_.wvu.Rows" localSheetId="74" hidden="1">'105M-NR'!$89:$114</definedName>
    <definedName name="Z_E91F5346_D893_49E9_AF77_0FD5FC5668D0_.wvu.Rows" localSheetId="15" hidden="1">'117C-NR'!$89:$114</definedName>
    <definedName name="Z_E91F5346_D893_49E9_AF77_0FD5FC5668D0_.wvu.Rows" localSheetId="16" hidden="1">'120C-NR'!$89:$114</definedName>
    <definedName name="Z_E91F5346_D893_49E9_AF77_0FD5FC5668D0_.wvu.Rows" localSheetId="17" hidden="1">'126P-NR'!$89:$114</definedName>
    <definedName name="Z_E91F5346_D893_49E9_AF77_0FD5FC5668D0_.wvu.Rows" localSheetId="18" hidden="1">'130P-NR'!$89:$114</definedName>
    <definedName name="Z_E91F5346_D893_49E9_AF77_0FD5FC5668D0_.wvu.Rows" localSheetId="19" hidden="1">'135K-NR'!$90:$115</definedName>
    <definedName name="Z_E91F5346_D893_49E9_AF77_0FD5FC5668D0_.wvu.Rows" localSheetId="20" hidden="1">'151C-NR'!$89:$114</definedName>
    <definedName name="Z_E91F5346_D893_49E9_AF77_0FD5FC5668D0_.wvu.Rows" localSheetId="21" hidden="1">'179T-NR'!$89:$114</definedName>
    <definedName name="Z_E91F5346_D893_49E9_AF77_0FD5FC5668D0_.wvu.Rows" localSheetId="11" hidden="1">'1M-DUMMY'!$89:$114</definedName>
    <definedName name="Z_E91F5346_D893_49E9_AF77_0FD5FC5668D0_.wvu.Rows" localSheetId="14" hidden="1">'1M-NR'!$89:$114</definedName>
    <definedName name="Z_E91F5346_D893_49E9_AF77_0FD5FC5668D0_.wvu.Rows" localSheetId="22" hidden="1">'201K-NR'!$89:$114</definedName>
    <definedName name="Z_E91F5346_D893_49E9_AF77_0FD5FC5668D0_.wvu.Rows" localSheetId="73" hidden="1">'20B-NR'!$89:$114</definedName>
    <definedName name="Z_E91F5346_D893_49E9_AF77_0FD5FC5668D0_.wvu.Rows" localSheetId="23" hidden="1">'220L-NR'!$89:$114</definedName>
    <definedName name="Z_E91F5346_D893_49E9_AF77_0FD5FC5668D0_.wvu.Rows" localSheetId="24" hidden="1">'259Q-NR'!$89:$114</definedName>
    <definedName name="Z_E91F5346_D893_49E9_AF77_0FD5FC5668D0_.wvu.Rows" localSheetId="25" hidden="1">'347K-NR'!$89:$114</definedName>
    <definedName name="Z_E91F5346_D893_49E9_AF77_0FD5FC5668D0_.wvu.Rows" localSheetId="26" hidden="1">'388G-NR'!$89:$114</definedName>
    <definedName name="Z_E91F5346_D893_49E9_AF77_0FD5FC5668D0_.wvu.Rows" localSheetId="29" hidden="1">'40M-NR'!$89:$114</definedName>
    <definedName name="Z_E91F5346_D893_49E9_AF77_0FD5FC5668D0_.wvu.Rows" localSheetId="30" hidden="1">'420G-NR'!$89:$114</definedName>
    <definedName name="Z_E91F5346_D893_49E9_AF77_0FD5FC5668D0_.wvu.Rows" localSheetId="31" hidden="1">'567C-NR'!$89:$114</definedName>
    <definedName name="Z_E91F5346_D893_49E9_AF77_0FD5FC5668D0_.wvu.Rows" localSheetId="33" hidden="1">'60MP-NR'!$89:$114</definedName>
    <definedName name="Z_E91F5346_D893_49E9_AF77_0FD5FC5668D0_.wvu.Rows" localSheetId="32" hidden="1">'6OC-NR'!$89:$114</definedName>
    <definedName name="Z_E91F5346_D893_49E9_AF77_0FD5FC5668D0_.wvu.Rows" localSheetId="69" hidden="1">'850C-NR'!$89:$114</definedName>
    <definedName name="Z_E91F5346_D893_49E9_AF77_0FD5FC5668D0_.wvu.Rows" localSheetId="72" hidden="1">'850C-NR_PC'!$89:$114</definedName>
    <definedName name="Z_E91F5346_D893_49E9_AF77_0FD5FC5668D0_.wvu.Rows" localSheetId="68" hidden="1">'QV1-NR'!$89:$114</definedName>
    <definedName name="Z_F5F7AF00_347E_446F_BAD3_27FE5EA695F9_.wvu.FilterData" localSheetId="75" hidden="1">'105M-IS'!$F$61:$F$66</definedName>
    <definedName name="Z_F5F7AF00_347E_446F_BAD3_27FE5EA695F9_.wvu.FilterData" localSheetId="48" hidden="1">'117C-IS'!$F$61:$F$66</definedName>
    <definedName name="Z_F5F7AF00_347E_446F_BAD3_27FE5EA695F9_.wvu.FilterData" localSheetId="62" hidden="1">'120C-IS'!$F$61:$F$66</definedName>
    <definedName name="Z_F5F7AF00_347E_446F_BAD3_27FE5EA695F9_.wvu.FilterData" localSheetId="36" hidden="1">'126P-IS'!$F$61:$F$66</definedName>
    <definedName name="Z_F5F7AF00_347E_446F_BAD3_27FE5EA695F9_.wvu.FilterData" localSheetId="52" hidden="1">'130P-IS'!$F$61:$F$66</definedName>
    <definedName name="Z_F5F7AF00_347E_446F_BAD3_27FE5EA695F9_.wvu.FilterData" localSheetId="34" hidden="1">'135K-IS'!$F$61:$F$66</definedName>
    <definedName name="Z_F5F7AF00_347E_446F_BAD3_27FE5EA695F9_.wvu.FilterData" localSheetId="54" hidden="1">'151C-IS'!$F$61:$F$66</definedName>
    <definedName name="Z_F5F7AF00_347E_446F_BAD3_27FE5EA695F9_.wvu.FilterData" localSheetId="58" hidden="1">'179T-IS'!$F$61:$F$66</definedName>
    <definedName name="Z_F5F7AF00_347E_446F_BAD3_27FE5EA695F9_.wvu.FilterData" localSheetId="27" hidden="1">'1M-IS'!$F$61:$F$66</definedName>
    <definedName name="Z_F5F7AF00_347E_446F_BAD3_27FE5EA695F9_.wvu.FilterData" localSheetId="42" hidden="1">'201K-IS'!$F$61:$F$66</definedName>
    <definedName name="Z_F5F7AF00_347E_446F_BAD3_27FE5EA695F9_.wvu.FilterData" localSheetId="44" hidden="1">'20B-IS'!$F$61:$F$66</definedName>
    <definedName name="Z_F5F7AF00_347E_446F_BAD3_27FE5EA695F9_.wvu.FilterData" localSheetId="60" hidden="1">'259Q-IS'!$F$61:$F$66</definedName>
    <definedName name="Z_F5F7AF00_347E_446F_BAD3_27FE5EA695F9_.wvu.FilterData" localSheetId="46" hidden="1">'347K-IS'!$F$61:$F$66</definedName>
    <definedName name="Z_F5F7AF00_347E_446F_BAD3_27FE5EA695F9_.wvu.FilterData" localSheetId="79" hidden="1">'388G-IS'!$F$61:$F$66</definedName>
    <definedName name="Z_F5F7AF00_347E_446F_BAD3_27FE5EA695F9_.wvu.FilterData" localSheetId="38" hidden="1">'40M-IS'!$F$61:$F$66</definedName>
    <definedName name="Z_F5F7AF00_347E_446F_BAD3_27FE5EA695F9_.wvu.FilterData" localSheetId="40" hidden="1">'420G-IS'!$F$61:$F$66</definedName>
    <definedName name="Z_F5F7AF00_347E_446F_BAD3_27FE5EA695F9_.wvu.FilterData" localSheetId="64" hidden="1">'567C-IS'!$F$61:$F$66</definedName>
    <definedName name="Z_F5F7AF00_347E_446F_BAD3_27FE5EA695F9_.wvu.FilterData" localSheetId="66" hidden="1">'575B-IS'!$F$61:$F$66</definedName>
    <definedName name="Z_F5F7AF00_347E_446F_BAD3_27FE5EA695F9_.wvu.FilterData" localSheetId="50" hidden="1">'60MP-IS'!$F$61:$F$66</definedName>
    <definedName name="Z_F5F7AF00_347E_446F_BAD3_27FE5EA695F9_.wvu.FilterData" localSheetId="56" hidden="1">'6O''C-IS'!$F$61:$F$66</definedName>
    <definedName name="Z_F5F7AF00_347E_446F_BAD3_27FE5EA695F9_.wvu.FilterData" localSheetId="70" hidden="1">'850C-IS'!$F$61:$F$66</definedName>
    <definedName name="Z_F5F7AF00_347E_446F_BAD3_27FE5EA695F9_.wvu.FilterData" localSheetId="77" hidden="1">'QV1-IS'!$F$61:$F$66</definedName>
    <definedName name="Z_F5F7AF00_347E_446F_BAD3_27FE5EA695F9_.wvu.PrintArea" localSheetId="74" hidden="1">'105M-NR'!$A$56:$V$139</definedName>
    <definedName name="Z_F5F7AF00_347E_446F_BAD3_27FE5EA695F9_.wvu.PrintArea" localSheetId="76" hidden="1">'105M-OS'!$A$1:$M$50</definedName>
    <definedName name="Z_F5F7AF00_347E_446F_BAD3_27FE5EA695F9_.wvu.PrintArea" localSheetId="15" hidden="1">'117C-NR'!$A$56:$V$139</definedName>
    <definedName name="Z_F5F7AF00_347E_446F_BAD3_27FE5EA695F9_.wvu.PrintArea" localSheetId="49" hidden="1">'117C-OS'!$A$1:$M$50</definedName>
    <definedName name="Z_F5F7AF00_347E_446F_BAD3_27FE5EA695F9_.wvu.PrintArea" localSheetId="16" hidden="1">'120C-NR'!$A$56:$V$139</definedName>
    <definedName name="Z_F5F7AF00_347E_446F_BAD3_27FE5EA695F9_.wvu.PrintArea" localSheetId="63" hidden="1">'120C-OS'!$A$1:$M$50</definedName>
    <definedName name="Z_F5F7AF00_347E_446F_BAD3_27FE5EA695F9_.wvu.PrintArea" localSheetId="17" hidden="1">'126P-NR'!$A$56:$V$139</definedName>
    <definedName name="Z_F5F7AF00_347E_446F_BAD3_27FE5EA695F9_.wvu.PrintArea" localSheetId="37" hidden="1">'126P-OS'!$A$1:$M$50</definedName>
    <definedName name="Z_F5F7AF00_347E_446F_BAD3_27FE5EA695F9_.wvu.PrintArea" localSheetId="18" hidden="1">'130P-NR'!$A$56:$V$139</definedName>
    <definedName name="Z_F5F7AF00_347E_446F_BAD3_27FE5EA695F9_.wvu.PrintArea" localSheetId="53" hidden="1">'130P-OS'!$A$1:$M$50</definedName>
    <definedName name="Z_F5F7AF00_347E_446F_BAD3_27FE5EA695F9_.wvu.PrintArea" localSheetId="19" hidden="1">'135K-NR'!$A$56:$V$140</definedName>
    <definedName name="Z_F5F7AF00_347E_446F_BAD3_27FE5EA695F9_.wvu.PrintArea" localSheetId="35" hidden="1">'135K-OS'!$A$1:$M$50</definedName>
    <definedName name="Z_F5F7AF00_347E_446F_BAD3_27FE5EA695F9_.wvu.PrintArea" localSheetId="20" hidden="1">'151C-NR'!$A$56:$V$139</definedName>
    <definedName name="Z_F5F7AF00_347E_446F_BAD3_27FE5EA695F9_.wvu.PrintArea" localSheetId="55" hidden="1">'151C-OS'!$A$1:$M$50</definedName>
    <definedName name="Z_F5F7AF00_347E_446F_BAD3_27FE5EA695F9_.wvu.PrintArea" localSheetId="21" hidden="1">'179T-NR'!$A$56:$V$139</definedName>
    <definedName name="Z_F5F7AF00_347E_446F_BAD3_27FE5EA695F9_.wvu.PrintArea" localSheetId="59" hidden="1">'179T-OS'!$A$1:$M$50</definedName>
    <definedName name="Z_F5F7AF00_347E_446F_BAD3_27FE5EA695F9_.wvu.PrintArea" localSheetId="11" hidden="1">'1M-DUMMY'!$A$56:$V$139</definedName>
    <definedName name="Z_F5F7AF00_347E_446F_BAD3_27FE5EA695F9_.wvu.PrintArea" localSheetId="14" hidden="1">'1M-NR'!$A$56:$V$139</definedName>
    <definedName name="Z_F5F7AF00_347E_446F_BAD3_27FE5EA695F9_.wvu.PrintArea" localSheetId="28" hidden="1">'1M-OS'!$A$1:$M$50</definedName>
    <definedName name="Z_F5F7AF00_347E_446F_BAD3_27FE5EA695F9_.wvu.PrintArea" localSheetId="22" hidden="1">'201K-NR'!$A$56:$V$139</definedName>
    <definedName name="Z_F5F7AF00_347E_446F_BAD3_27FE5EA695F9_.wvu.PrintArea" localSheetId="43" hidden="1">'201K-OS'!$A$1:$M$50</definedName>
    <definedName name="Z_F5F7AF00_347E_446F_BAD3_27FE5EA695F9_.wvu.PrintArea" localSheetId="73" hidden="1">'20B-NR'!$A$56:$V$139</definedName>
    <definedName name="Z_F5F7AF00_347E_446F_BAD3_27FE5EA695F9_.wvu.PrintArea" localSheetId="45" hidden="1">'20B-OS'!$A$1:$M$50</definedName>
    <definedName name="Z_F5F7AF00_347E_446F_BAD3_27FE5EA695F9_.wvu.PrintArea" localSheetId="23" hidden="1">'220L-NR'!$A$56:$V$139</definedName>
    <definedName name="Z_F5F7AF00_347E_446F_BAD3_27FE5EA695F9_.wvu.PrintArea" localSheetId="24" hidden="1">'259Q-NR'!$A$56:$V$139</definedName>
    <definedName name="Z_F5F7AF00_347E_446F_BAD3_27FE5EA695F9_.wvu.PrintArea" localSheetId="61" hidden="1">'259Q-OS'!$A$1:$M$50</definedName>
    <definedName name="Z_F5F7AF00_347E_446F_BAD3_27FE5EA695F9_.wvu.PrintArea" localSheetId="25" hidden="1">'347K-NR'!$A$56:$V$139</definedName>
    <definedName name="Z_F5F7AF00_347E_446F_BAD3_27FE5EA695F9_.wvu.PrintArea" localSheetId="47" hidden="1">'347K-OS'!$A$1:$M$50</definedName>
    <definedName name="Z_F5F7AF00_347E_446F_BAD3_27FE5EA695F9_.wvu.PrintArea" localSheetId="26" hidden="1">'388G-NR'!$A$56:$V$139</definedName>
    <definedName name="Z_F5F7AF00_347E_446F_BAD3_27FE5EA695F9_.wvu.PrintArea" localSheetId="80" hidden="1">'388G-OS'!$A$1:$M$50</definedName>
    <definedName name="Z_F5F7AF00_347E_446F_BAD3_27FE5EA695F9_.wvu.PrintArea" localSheetId="29" hidden="1">'40M-NR'!$A$56:$V$139</definedName>
    <definedName name="Z_F5F7AF00_347E_446F_BAD3_27FE5EA695F9_.wvu.PrintArea" localSheetId="39" hidden="1">'40M-OS'!$A$1:$M$50</definedName>
    <definedName name="Z_F5F7AF00_347E_446F_BAD3_27FE5EA695F9_.wvu.PrintArea" localSheetId="30" hidden="1">'420G-NR'!$A$56:$V$139</definedName>
    <definedName name="Z_F5F7AF00_347E_446F_BAD3_27FE5EA695F9_.wvu.PrintArea" localSheetId="41" hidden="1">'420G-OS'!$A$1:$M$50</definedName>
    <definedName name="Z_F5F7AF00_347E_446F_BAD3_27FE5EA695F9_.wvu.PrintArea" localSheetId="31" hidden="1">'567C-NR'!$A$56:$V$139</definedName>
    <definedName name="Z_F5F7AF00_347E_446F_BAD3_27FE5EA695F9_.wvu.PrintArea" localSheetId="65" hidden="1">'567C-OS'!$A$1:$M$50</definedName>
    <definedName name="Z_F5F7AF00_347E_446F_BAD3_27FE5EA695F9_.wvu.PrintArea" localSheetId="67" hidden="1">'575B-OS'!$A$1:$M$50</definedName>
    <definedName name="Z_F5F7AF00_347E_446F_BAD3_27FE5EA695F9_.wvu.PrintArea" localSheetId="33" hidden="1">'60MP-NR'!$A$56:$V$139</definedName>
    <definedName name="Z_F5F7AF00_347E_446F_BAD3_27FE5EA695F9_.wvu.PrintArea" localSheetId="51" hidden="1">'60MP-OS'!$A$1:$M$50</definedName>
    <definedName name="Z_F5F7AF00_347E_446F_BAD3_27FE5EA695F9_.wvu.PrintArea" localSheetId="32" hidden="1">'6OC-NR'!$A$56:$V$139</definedName>
    <definedName name="Z_F5F7AF00_347E_446F_BAD3_27FE5EA695F9_.wvu.PrintArea" localSheetId="57" hidden="1">'6O''C-OS'!$A$1:$M$50</definedName>
    <definedName name="Z_F5F7AF00_347E_446F_BAD3_27FE5EA695F9_.wvu.PrintArea" localSheetId="69" hidden="1">'850C-NR'!$A$56:$V$139</definedName>
    <definedName name="Z_F5F7AF00_347E_446F_BAD3_27FE5EA695F9_.wvu.PrintArea" localSheetId="72" hidden="1">'850C-NR_PC'!$A$56:$V$139</definedName>
    <definedName name="Z_F5F7AF00_347E_446F_BAD3_27FE5EA695F9_.wvu.PrintArea" localSheetId="71" hidden="1">'850C-OS'!$A$1:$M$50</definedName>
    <definedName name="Z_F5F7AF00_347E_446F_BAD3_27FE5EA695F9_.wvu.PrintArea" localSheetId="68" hidden="1">'QV1-NR'!$A$56:$V$139</definedName>
    <definedName name="Z_F5F7AF00_347E_446F_BAD3_27FE5EA695F9_.wvu.PrintArea" localSheetId="78" hidden="1">'QV1-OS'!$A$1:$M$50</definedName>
    <definedName name="Z_F5F7AF00_347E_446F_BAD3_27FE5EA695F9_.wvu.Rows" localSheetId="74" hidden="1">'105M-NR'!$89:$114</definedName>
    <definedName name="Z_F5F7AF00_347E_446F_BAD3_27FE5EA695F9_.wvu.Rows" localSheetId="15" hidden="1">'117C-NR'!$89:$114</definedName>
    <definedName name="Z_F5F7AF00_347E_446F_BAD3_27FE5EA695F9_.wvu.Rows" localSheetId="16" hidden="1">'120C-NR'!$89:$114</definedName>
    <definedName name="Z_F5F7AF00_347E_446F_BAD3_27FE5EA695F9_.wvu.Rows" localSheetId="17" hidden="1">'126P-NR'!$89:$114</definedName>
    <definedName name="Z_F5F7AF00_347E_446F_BAD3_27FE5EA695F9_.wvu.Rows" localSheetId="18" hidden="1">'130P-NR'!$89:$114</definedName>
    <definedName name="Z_F5F7AF00_347E_446F_BAD3_27FE5EA695F9_.wvu.Rows" localSheetId="19" hidden="1">'135K-NR'!$90:$115</definedName>
    <definedName name="Z_F5F7AF00_347E_446F_BAD3_27FE5EA695F9_.wvu.Rows" localSheetId="20" hidden="1">'151C-NR'!$89:$114</definedName>
    <definedName name="Z_F5F7AF00_347E_446F_BAD3_27FE5EA695F9_.wvu.Rows" localSheetId="21" hidden="1">'179T-NR'!$89:$114</definedName>
    <definedName name="Z_F5F7AF00_347E_446F_BAD3_27FE5EA695F9_.wvu.Rows" localSheetId="11" hidden="1">'1M-DUMMY'!$89:$114</definedName>
    <definedName name="Z_F5F7AF00_347E_446F_BAD3_27FE5EA695F9_.wvu.Rows" localSheetId="14" hidden="1">'1M-NR'!$89:$114</definedName>
    <definedName name="Z_F5F7AF00_347E_446F_BAD3_27FE5EA695F9_.wvu.Rows" localSheetId="22" hidden="1">'201K-NR'!$89:$114</definedName>
    <definedName name="Z_F5F7AF00_347E_446F_BAD3_27FE5EA695F9_.wvu.Rows" localSheetId="73" hidden="1">'20B-NR'!$89:$114</definedName>
    <definedName name="Z_F5F7AF00_347E_446F_BAD3_27FE5EA695F9_.wvu.Rows" localSheetId="23" hidden="1">'220L-NR'!$89:$114</definedName>
    <definedName name="Z_F5F7AF00_347E_446F_BAD3_27FE5EA695F9_.wvu.Rows" localSheetId="24" hidden="1">'259Q-NR'!$89:$114</definedName>
    <definedName name="Z_F5F7AF00_347E_446F_BAD3_27FE5EA695F9_.wvu.Rows" localSheetId="25" hidden="1">'347K-NR'!$89:$114</definedName>
    <definedName name="Z_F5F7AF00_347E_446F_BAD3_27FE5EA695F9_.wvu.Rows" localSheetId="26" hidden="1">'388G-NR'!$89:$114</definedName>
    <definedName name="Z_F5F7AF00_347E_446F_BAD3_27FE5EA695F9_.wvu.Rows" localSheetId="29" hidden="1">'40M-NR'!$89:$114</definedName>
    <definedName name="Z_F5F7AF00_347E_446F_BAD3_27FE5EA695F9_.wvu.Rows" localSheetId="30" hidden="1">'420G-NR'!$89:$114</definedName>
    <definedName name="Z_F5F7AF00_347E_446F_BAD3_27FE5EA695F9_.wvu.Rows" localSheetId="31" hidden="1">'567C-NR'!$89:$114</definedName>
    <definedName name="Z_F5F7AF00_347E_446F_BAD3_27FE5EA695F9_.wvu.Rows" localSheetId="33" hidden="1">'60MP-NR'!$89:$114</definedName>
    <definedName name="Z_F5F7AF00_347E_446F_BAD3_27FE5EA695F9_.wvu.Rows" localSheetId="32" hidden="1">'6OC-NR'!$89:$114</definedName>
    <definedName name="Z_F5F7AF00_347E_446F_BAD3_27FE5EA695F9_.wvu.Rows" localSheetId="69" hidden="1">'850C-NR'!$89:$114</definedName>
    <definedName name="Z_F5F7AF00_347E_446F_BAD3_27FE5EA695F9_.wvu.Rows" localSheetId="72" hidden="1">'850C-NR_PC'!$89:$114</definedName>
    <definedName name="Z_F5F7AF00_347E_446F_BAD3_27FE5EA695F9_.wvu.Rows" localSheetId="68" hidden="1">'QV1-NR'!$89:$114</definedName>
  </definedNames>
  <calcPr calcId="181029" calcOnSave="0"/>
  <customWorkbookViews>
    <customWorkbookView name="Window dashboard" guid="{0FAFE012-8D9E-4ED0-86A4-A997E430971B}" maximized="1" xWindow="-11" yWindow="-11" windowWidth="3862" windowHeight="2136" tabRatio="993" activeSheetId="1"/>
  </customWorkbookView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47" i="1" l="1"/>
  <c r="S59" i="1"/>
  <c r="L24" i="85"/>
  <c r="AN43" i="85"/>
  <c r="AP37" i="85" s="1"/>
  <c r="AN42" i="85"/>
  <c r="AN41" i="85"/>
  <c r="AN40" i="85"/>
  <c r="AR39" i="85"/>
  <c r="AR35" i="85" s="1"/>
  <c r="AN39" i="85"/>
  <c r="AR38" i="85"/>
  <c r="AP38" i="85"/>
  <c r="AN38" i="85"/>
  <c r="AN37" i="85"/>
  <c r="AP36" i="85"/>
  <c r="AN36" i="85"/>
  <c r="M6" i="85"/>
  <c r="C7" i="85"/>
  <c r="C69" i="1" s="1"/>
  <c r="R69" i="1" s="1"/>
  <c r="D7" i="85"/>
  <c r="D69" i="1" s="1"/>
  <c r="S69" i="1" s="1"/>
  <c r="E7" i="85"/>
  <c r="F69" i="1" s="1"/>
  <c r="L7" i="85"/>
  <c r="M7" i="85"/>
  <c r="E69" i="1" s="1"/>
  <c r="C8" i="85"/>
  <c r="C70" i="1" s="1"/>
  <c r="R70" i="1" s="1"/>
  <c r="D8" i="85"/>
  <c r="D70" i="1" s="1"/>
  <c r="S70" i="1" s="1"/>
  <c r="E8" i="85"/>
  <c r="F70" i="1" s="1"/>
  <c r="L8" i="85"/>
  <c r="M8" i="85"/>
  <c r="E70" i="1" s="1"/>
  <c r="C9" i="85"/>
  <c r="C71" i="1" s="1"/>
  <c r="R71" i="1" s="1"/>
  <c r="D9" i="85"/>
  <c r="E9" i="85"/>
  <c r="F71" i="1" s="1"/>
  <c r="L9" i="85"/>
  <c r="M9" i="85"/>
  <c r="E71" i="1" s="1"/>
  <c r="C10" i="85"/>
  <c r="D10" i="85"/>
  <c r="D72" i="1" s="1"/>
  <c r="S72" i="1" s="1"/>
  <c r="E10" i="85"/>
  <c r="F72" i="1" s="1"/>
  <c r="L10" i="85"/>
  <c r="M10" i="85"/>
  <c r="E72" i="1" s="1"/>
  <c r="C11" i="85"/>
  <c r="C73" i="1" s="1"/>
  <c r="R73" i="1" s="1"/>
  <c r="D11" i="85"/>
  <c r="D73" i="1" s="1"/>
  <c r="S73" i="1" s="1"/>
  <c r="E11" i="85"/>
  <c r="F73" i="1" s="1"/>
  <c r="L11" i="85"/>
  <c r="M11" i="85"/>
  <c r="E73" i="1" s="1"/>
  <c r="C12" i="85"/>
  <c r="C74" i="1" s="1"/>
  <c r="D12" i="85"/>
  <c r="D74" i="1" s="1"/>
  <c r="S74" i="1" s="1"/>
  <c r="E12" i="85"/>
  <c r="L12" i="85"/>
  <c r="M12" i="85"/>
  <c r="E74" i="1" s="1"/>
  <c r="C13" i="85"/>
  <c r="C75" i="1" s="1"/>
  <c r="R75" i="1" s="1"/>
  <c r="D13" i="85"/>
  <c r="D75" i="1" s="1"/>
  <c r="S75" i="1" s="1"/>
  <c r="E13" i="85"/>
  <c r="F75" i="1" s="1"/>
  <c r="L13" i="85"/>
  <c r="M13" i="85"/>
  <c r="E75" i="1" s="1"/>
  <c r="C14" i="85"/>
  <c r="C76" i="1" s="1"/>
  <c r="R76" i="1" s="1"/>
  <c r="D14" i="85"/>
  <c r="E14" i="85"/>
  <c r="F76" i="1" s="1"/>
  <c r="L14" i="85"/>
  <c r="M14" i="85"/>
  <c r="E76" i="1" s="1"/>
  <c r="C15" i="85"/>
  <c r="C77" i="1" s="1"/>
  <c r="R77" i="1" s="1"/>
  <c r="D15" i="85"/>
  <c r="D77" i="1" s="1"/>
  <c r="S77" i="1" s="1"/>
  <c r="E15" i="85"/>
  <c r="F77" i="1" s="1"/>
  <c r="L15" i="85"/>
  <c r="M15" i="85"/>
  <c r="E77" i="1" s="1"/>
  <c r="C16" i="85"/>
  <c r="C78" i="1" s="1"/>
  <c r="R78" i="1" s="1"/>
  <c r="D16" i="85"/>
  <c r="D78" i="1" s="1"/>
  <c r="S78" i="1" s="1"/>
  <c r="E16" i="85"/>
  <c r="L16" i="85"/>
  <c r="M16" i="85"/>
  <c r="E78" i="1" s="1"/>
  <c r="C17" i="85"/>
  <c r="C79" i="1" s="1"/>
  <c r="R79" i="1" s="1"/>
  <c r="D17" i="85"/>
  <c r="E17" i="85"/>
  <c r="F79" i="1" s="1"/>
  <c r="L17" i="85"/>
  <c r="M17" i="85"/>
  <c r="E79" i="1" s="1"/>
  <c r="C18" i="85"/>
  <c r="D18" i="85"/>
  <c r="D80" i="1" s="1"/>
  <c r="S80" i="1" s="1"/>
  <c r="E18" i="85"/>
  <c r="F80" i="1" s="1"/>
  <c r="L18" i="85"/>
  <c r="M18" i="85"/>
  <c r="C19" i="85"/>
  <c r="C81" i="1" s="1"/>
  <c r="R81" i="1" s="1"/>
  <c r="D19" i="85"/>
  <c r="D81" i="1" s="1"/>
  <c r="S81" i="1" s="1"/>
  <c r="L19" i="85"/>
  <c r="M19" i="85"/>
  <c r="E81" i="1" s="1"/>
  <c r="O19" i="85"/>
  <c r="E19" i="85" s="1"/>
  <c r="F81" i="1" s="1"/>
  <c r="C20" i="85"/>
  <c r="C82" i="1" s="1"/>
  <c r="R82" i="1" s="1"/>
  <c r="D20" i="85"/>
  <c r="D82" i="1" s="1"/>
  <c r="S82" i="1" s="1"/>
  <c r="E20" i="85"/>
  <c r="F82" i="1" s="1"/>
  <c r="L20" i="85"/>
  <c r="M20" i="85"/>
  <c r="E82" i="1" s="1"/>
  <c r="C21" i="85"/>
  <c r="C83" i="1" s="1"/>
  <c r="R83" i="1" s="1"/>
  <c r="D21" i="85"/>
  <c r="D83" i="1" s="1"/>
  <c r="S83" i="1" s="1"/>
  <c r="E21" i="85"/>
  <c r="F83" i="1" s="1"/>
  <c r="L21" i="85"/>
  <c r="M21" i="85"/>
  <c r="E83" i="1" s="1"/>
  <c r="C22" i="85"/>
  <c r="C84" i="1" s="1"/>
  <c r="R84" i="1" s="1"/>
  <c r="D22" i="85"/>
  <c r="D84" i="1" s="1"/>
  <c r="S84" i="1" s="1"/>
  <c r="E22" i="85"/>
  <c r="F84" i="1" s="1"/>
  <c r="L22" i="85"/>
  <c r="M22" i="85"/>
  <c r="E84" i="1" s="1"/>
  <c r="C23" i="85"/>
  <c r="C85" i="1" s="1"/>
  <c r="R85" i="1" s="1"/>
  <c r="D23" i="85"/>
  <c r="D85" i="1" s="1"/>
  <c r="S85" i="1" s="1"/>
  <c r="E23" i="85"/>
  <c r="F85" i="1" s="1"/>
  <c r="L23" i="85"/>
  <c r="M23" i="85"/>
  <c r="E85" i="1" s="1"/>
  <c r="C24" i="85"/>
  <c r="C86" i="1" s="1"/>
  <c r="R86" i="1" s="1"/>
  <c r="D24" i="85"/>
  <c r="D86" i="1" s="1"/>
  <c r="S86" i="1" s="1"/>
  <c r="E24" i="85"/>
  <c r="F86" i="1" s="1"/>
  <c r="M24" i="85"/>
  <c r="E86" i="1" s="1"/>
  <c r="C25" i="85"/>
  <c r="C87" i="1" s="1"/>
  <c r="R87" i="1" s="1"/>
  <c r="D25" i="85"/>
  <c r="D87" i="1" s="1"/>
  <c r="S87" i="1" s="1"/>
  <c r="E25" i="85"/>
  <c r="F87" i="1" s="1"/>
  <c r="L25" i="85"/>
  <c r="M25" i="85"/>
  <c r="E87" i="1" s="1"/>
  <c r="G87" i="1" s="1"/>
  <c r="D76" i="1"/>
  <c r="S76" i="1" s="1"/>
  <c r="AL44" i="85"/>
  <c r="D71" i="1"/>
  <c r="S71" i="1" s="1"/>
  <c r="D79" i="1"/>
  <c r="S79" i="1" s="1"/>
  <c r="C72" i="1"/>
  <c r="C80" i="1"/>
  <c r="R80" i="1" s="1"/>
  <c r="F74" i="1"/>
  <c r="F78" i="1"/>
  <c r="T87" i="1"/>
  <c r="E80" i="1"/>
  <c r="T70" i="1"/>
  <c r="T86" i="1"/>
  <c r="T85" i="1"/>
  <c r="T84" i="1"/>
  <c r="T83" i="1"/>
  <c r="T82" i="1"/>
  <c r="T81" i="1"/>
  <c r="T80" i="1"/>
  <c r="T79" i="1"/>
  <c r="T78" i="1"/>
  <c r="T77" i="1"/>
  <c r="T76" i="1"/>
  <c r="T75" i="1"/>
  <c r="T74" i="1"/>
  <c r="T73" i="1"/>
  <c r="T72" i="1"/>
  <c r="T71" i="1"/>
  <c r="T69" i="1"/>
  <c r="R88"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D59" i="1"/>
  <c r="U59" i="47"/>
  <c r="G51" i="59"/>
  <c r="G22" i="59"/>
  <c r="G271" i="84"/>
  <c r="G265" i="84"/>
  <c r="G264" i="84"/>
  <c r="G263" i="84"/>
  <c r="G262" i="84"/>
  <c r="G261" i="84"/>
  <c r="G260" i="84"/>
  <c r="G259" i="84"/>
  <c r="G258" i="84"/>
  <c r="G257" i="84"/>
  <c r="G256" i="84"/>
  <c r="G255" i="84"/>
  <c r="G254" i="84"/>
  <c r="G253" i="84"/>
  <c r="G252" i="84"/>
  <c r="G251" i="84"/>
  <c r="G250" i="84"/>
  <c r="G249" i="84"/>
  <c r="G248" i="84"/>
  <c r="G247" i="84"/>
  <c r="G246" i="84"/>
  <c r="G245" i="84"/>
  <c r="G244" i="84"/>
  <c r="G243" i="84"/>
  <c r="G242" i="84"/>
  <c r="G241" i="84"/>
  <c r="G240" i="84"/>
  <c r="G239" i="84"/>
  <c r="G238" i="84"/>
  <c r="G237" i="84"/>
  <c r="G236" i="84"/>
  <c r="G235" i="84"/>
  <c r="G234" i="84"/>
  <c r="G233" i="84"/>
  <c r="G232" i="84"/>
  <c r="G231" i="84"/>
  <c r="G230" i="84"/>
  <c r="G229" i="84"/>
  <c r="G228" i="84"/>
  <c r="G227" i="84"/>
  <c r="G226" i="84"/>
  <c r="G225" i="84"/>
  <c r="G224" i="84"/>
  <c r="G223" i="84"/>
  <c r="G222" i="84"/>
  <c r="G221" i="84"/>
  <c r="G220" i="84"/>
  <c r="Z215" i="84"/>
  <c r="AM213" i="84"/>
  <c r="AL213" i="84"/>
  <c r="AK213" i="84"/>
  <c r="AJ213" i="84"/>
  <c r="AI213" i="84"/>
  <c r="AH213" i="84"/>
  <c r="AG213" i="84"/>
  <c r="AF213" i="84"/>
  <c r="AE213" i="84"/>
  <c r="AD213" i="84"/>
  <c r="AC213" i="84"/>
  <c r="AB213" i="84"/>
  <c r="AA213" i="84"/>
  <c r="AM212" i="84"/>
  <c r="AL212" i="84"/>
  <c r="AK212" i="84"/>
  <c r="AJ212" i="84"/>
  <c r="AI212" i="84"/>
  <c r="AH212" i="84"/>
  <c r="AG212" i="84"/>
  <c r="AF212" i="84"/>
  <c r="AE212" i="84"/>
  <c r="AD212" i="84"/>
  <c r="AC212" i="84"/>
  <c r="AB212" i="84"/>
  <c r="AA212" i="84"/>
  <c r="AM211" i="84"/>
  <c r="AL211" i="84"/>
  <c r="AK211" i="84"/>
  <c r="AJ211" i="84"/>
  <c r="AI211" i="84"/>
  <c r="AH211" i="84"/>
  <c r="AG211" i="84"/>
  <c r="AF211" i="84"/>
  <c r="AE211" i="84"/>
  <c r="AD211" i="84"/>
  <c r="AC211" i="84"/>
  <c r="AB211" i="84"/>
  <c r="AA211" i="84"/>
  <c r="AM210" i="84"/>
  <c r="AL210" i="84"/>
  <c r="AK210" i="84"/>
  <c r="AJ210" i="84"/>
  <c r="AI210" i="84"/>
  <c r="AH210" i="84"/>
  <c r="AG210" i="84"/>
  <c r="AF210" i="84"/>
  <c r="AE210" i="84"/>
  <c r="AD210" i="84"/>
  <c r="AC210" i="84"/>
  <c r="AB210" i="84"/>
  <c r="AA210" i="84"/>
  <c r="AM209" i="84"/>
  <c r="AL209" i="84"/>
  <c r="AK209" i="84"/>
  <c r="AJ209" i="84"/>
  <c r="AI209" i="84"/>
  <c r="AH209" i="84"/>
  <c r="AG209" i="84"/>
  <c r="AF209" i="84"/>
  <c r="AE209" i="84"/>
  <c r="AD209" i="84"/>
  <c r="AC209" i="84"/>
  <c r="AB209" i="84"/>
  <c r="AA209" i="84"/>
  <c r="G209" i="84"/>
  <c r="AM208" i="84"/>
  <c r="AL208" i="84"/>
  <c r="AK208" i="84"/>
  <c r="AJ208" i="84"/>
  <c r="AI208" i="84"/>
  <c r="AH208" i="84"/>
  <c r="AG208" i="84"/>
  <c r="AF208" i="84"/>
  <c r="AE208" i="84"/>
  <c r="AD208" i="84"/>
  <c r="AC208" i="84"/>
  <c r="AB208" i="84"/>
  <c r="AA208" i="84"/>
  <c r="G208" i="84"/>
  <c r="AM207" i="84"/>
  <c r="AL207" i="84"/>
  <c r="AK207" i="84"/>
  <c r="AJ207" i="84"/>
  <c r="AI207" i="84"/>
  <c r="AH207" i="84"/>
  <c r="AG207" i="84"/>
  <c r="AF207" i="84"/>
  <c r="AE207" i="84"/>
  <c r="AD207" i="84"/>
  <c r="AC207" i="84"/>
  <c r="AB207" i="84"/>
  <c r="AA207" i="84"/>
  <c r="G207" i="84"/>
  <c r="AM206" i="84"/>
  <c r="AL206" i="84"/>
  <c r="AK206" i="84"/>
  <c r="AJ206" i="84"/>
  <c r="AI206" i="84"/>
  <c r="AH206" i="84"/>
  <c r="AG206" i="84"/>
  <c r="AF206" i="84"/>
  <c r="AE206" i="84"/>
  <c r="AD206" i="84"/>
  <c r="AC206" i="84"/>
  <c r="AB206" i="84"/>
  <c r="AA206" i="84"/>
  <c r="G206" i="84"/>
  <c r="AM205" i="84"/>
  <c r="AL205" i="84"/>
  <c r="AK205" i="84"/>
  <c r="AJ205" i="84"/>
  <c r="AI205" i="84"/>
  <c r="AH205" i="84"/>
  <c r="AG205" i="84"/>
  <c r="AF205" i="84"/>
  <c r="AE205" i="84"/>
  <c r="AD205" i="84"/>
  <c r="AC205" i="84"/>
  <c r="AB205" i="84"/>
  <c r="AA205" i="84"/>
  <c r="G205" i="84"/>
  <c r="AM204" i="84"/>
  <c r="AL204" i="84"/>
  <c r="AK204" i="84"/>
  <c r="AJ204" i="84"/>
  <c r="AI204" i="84"/>
  <c r="AH204" i="84"/>
  <c r="AG204" i="84"/>
  <c r="AF204" i="84"/>
  <c r="AE204" i="84"/>
  <c r="AD204" i="84"/>
  <c r="AC204" i="84"/>
  <c r="AB204" i="84"/>
  <c r="AA204" i="84"/>
  <c r="G204" i="84"/>
  <c r="AM203" i="84"/>
  <c r="AL203" i="84"/>
  <c r="AK203" i="84"/>
  <c r="AJ203" i="84"/>
  <c r="AI203" i="84"/>
  <c r="AH203" i="84"/>
  <c r="AG203" i="84"/>
  <c r="AF203" i="84"/>
  <c r="AE203" i="84"/>
  <c r="AD203" i="84"/>
  <c r="AC203" i="84"/>
  <c r="AB203" i="84"/>
  <c r="AA203" i="84"/>
  <c r="G203" i="84"/>
  <c r="AM202" i="84"/>
  <c r="AL202" i="84"/>
  <c r="AK202" i="84"/>
  <c r="AJ202" i="84"/>
  <c r="AI202" i="84"/>
  <c r="AH202" i="84"/>
  <c r="AG202" i="84"/>
  <c r="AF202" i="84"/>
  <c r="AE202" i="84"/>
  <c r="AD202" i="84"/>
  <c r="AC202" i="84"/>
  <c r="AB202" i="84"/>
  <c r="AA202" i="84"/>
  <c r="G202" i="84"/>
  <c r="AM201" i="84"/>
  <c r="AL201" i="84"/>
  <c r="AK201" i="84"/>
  <c r="AJ201" i="84"/>
  <c r="AI201" i="84"/>
  <c r="AH201" i="84"/>
  <c r="AG201" i="84"/>
  <c r="AF201" i="84"/>
  <c r="AE201" i="84"/>
  <c r="AD201" i="84"/>
  <c r="AC201" i="84"/>
  <c r="AB201" i="84"/>
  <c r="AA201" i="84"/>
  <c r="G201" i="84"/>
  <c r="AM200" i="84"/>
  <c r="AL200" i="84"/>
  <c r="AK200" i="84"/>
  <c r="AJ200" i="84"/>
  <c r="AI200" i="84"/>
  <c r="AH200" i="84"/>
  <c r="AG200" i="84"/>
  <c r="AF200" i="84"/>
  <c r="AE200" i="84"/>
  <c r="AD200" i="84"/>
  <c r="AC200" i="84"/>
  <c r="AB200" i="84"/>
  <c r="AA200" i="84"/>
  <c r="G200" i="84"/>
  <c r="AM199" i="84"/>
  <c r="AL199" i="84"/>
  <c r="AK199" i="84"/>
  <c r="AJ199" i="84"/>
  <c r="AI199" i="84"/>
  <c r="AH199" i="84"/>
  <c r="AG199" i="84"/>
  <c r="AF199" i="84"/>
  <c r="AE199" i="84"/>
  <c r="AD199" i="84"/>
  <c r="AC199" i="84"/>
  <c r="AB199" i="84"/>
  <c r="AA199" i="84"/>
  <c r="G199" i="84"/>
  <c r="AM198" i="84"/>
  <c r="AL198" i="84"/>
  <c r="AK198" i="84"/>
  <c r="AJ198" i="84"/>
  <c r="AI198" i="84"/>
  <c r="AH198" i="84"/>
  <c r="AG198" i="84"/>
  <c r="AF198" i="84"/>
  <c r="AE198" i="84"/>
  <c r="AD198" i="84"/>
  <c r="AC198" i="84"/>
  <c r="AB198" i="84"/>
  <c r="AA198" i="84"/>
  <c r="G198" i="84"/>
  <c r="AM197" i="84"/>
  <c r="AL197" i="84"/>
  <c r="AK197" i="84"/>
  <c r="AJ197" i="84"/>
  <c r="AI197" i="84"/>
  <c r="AH197" i="84"/>
  <c r="AG197" i="84"/>
  <c r="AF197" i="84"/>
  <c r="AE197" i="84"/>
  <c r="AD197" i="84"/>
  <c r="AC197" i="84"/>
  <c r="AB197" i="84"/>
  <c r="AA197" i="84"/>
  <c r="G197" i="84"/>
  <c r="AM196" i="84"/>
  <c r="AL196" i="84"/>
  <c r="AK196" i="84"/>
  <c r="AJ196" i="84"/>
  <c r="AI196" i="84"/>
  <c r="AH196" i="84"/>
  <c r="AG196" i="84"/>
  <c r="AF196" i="84"/>
  <c r="AE196" i="84"/>
  <c r="AD196" i="84"/>
  <c r="AC196" i="84"/>
  <c r="AB196" i="84"/>
  <c r="AA196" i="84"/>
  <c r="G196" i="84"/>
  <c r="AM195" i="84"/>
  <c r="AL195" i="84"/>
  <c r="AK195" i="84"/>
  <c r="AJ195" i="84"/>
  <c r="AI195" i="84"/>
  <c r="AH195" i="84"/>
  <c r="AG195" i="84"/>
  <c r="AF195" i="84"/>
  <c r="AE195" i="84"/>
  <c r="AD195" i="84"/>
  <c r="AC195" i="84"/>
  <c r="AB195" i="84"/>
  <c r="AA195" i="84"/>
  <c r="G195" i="84"/>
  <c r="AM194" i="84"/>
  <c r="AL194" i="84"/>
  <c r="AK194" i="84"/>
  <c r="AJ194" i="84"/>
  <c r="AI194" i="84"/>
  <c r="AH194" i="84"/>
  <c r="AG194" i="84"/>
  <c r="AF194" i="84"/>
  <c r="AE194" i="84"/>
  <c r="AD194" i="84"/>
  <c r="AC194" i="84"/>
  <c r="AB194" i="84"/>
  <c r="AA194" i="84"/>
  <c r="G194" i="84"/>
  <c r="AM193" i="84"/>
  <c r="AL193" i="84"/>
  <c r="AK193" i="84"/>
  <c r="AJ193" i="84"/>
  <c r="AI193" i="84"/>
  <c r="AH193" i="84"/>
  <c r="AG193" i="84"/>
  <c r="AF193" i="84"/>
  <c r="AE193" i="84"/>
  <c r="AD193" i="84"/>
  <c r="AC193" i="84"/>
  <c r="AB193" i="84"/>
  <c r="AA193" i="84"/>
  <c r="G193" i="84"/>
  <c r="AM192" i="84"/>
  <c r="AL192" i="84"/>
  <c r="AK192" i="84"/>
  <c r="AJ192" i="84"/>
  <c r="AI192" i="84"/>
  <c r="AH192" i="84"/>
  <c r="AG192" i="84"/>
  <c r="AF192" i="84"/>
  <c r="AE192" i="84"/>
  <c r="AD192" i="84"/>
  <c r="AC192" i="84"/>
  <c r="AB192" i="84"/>
  <c r="AA192" i="84"/>
  <c r="G192" i="84"/>
  <c r="AM191" i="84"/>
  <c r="AL191" i="84"/>
  <c r="AK191" i="84"/>
  <c r="AJ191" i="84"/>
  <c r="AI191" i="84"/>
  <c r="AH191" i="84"/>
  <c r="AG191" i="84"/>
  <c r="AF191" i="84"/>
  <c r="AE191" i="84"/>
  <c r="AD191" i="84"/>
  <c r="AC191" i="84"/>
  <c r="AB191" i="84"/>
  <c r="AA191" i="84"/>
  <c r="G191" i="84"/>
  <c r="AM190" i="84"/>
  <c r="AL190" i="84"/>
  <c r="AK190" i="84"/>
  <c r="AJ190" i="84"/>
  <c r="AI190" i="84"/>
  <c r="AH190" i="84"/>
  <c r="AG190" i="84"/>
  <c r="AF190" i="84"/>
  <c r="AE190" i="84"/>
  <c r="AD190" i="84"/>
  <c r="AC190" i="84"/>
  <c r="AB190" i="84"/>
  <c r="AA190" i="84"/>
  <c r="G190" i="84"/>
  <c r="AM189" i="84"/>
  <c r="AL189" i="84"/>
  <c r="AK189" i="84"/>
  <c r="AJ189" i="84"/>
  <c r="AI189" i="84"/>
  <c r="AH189" i="84"/>
  <c r="AG189" i="84"/>
  <c r="AF189" i="84"/>
  <c r="AE189" i="84"/>
  <c r="AD189" i="84"/>
  <c r="AC189" i="84"/>
  <c r="AB189" i="84"/>
  <c r="AA189" i="84"/>
  <c r="G189" i="84"/>
  <c r="AM188" i="84"/>
  <c r="AL188" i="84"/>
  <c r="AK188" i="84"/>
  <c r="AJ188" i="84"/>
  <c r="AI188" i="84"/>
  <c r="AH188" i="84"/>
  <c r="AG188" i="84"/>
  <c r="AF188" i="84"/>
  <c r="AE188" i="84"/>
  <c r="AD188" i="84"/>
  <c r="AC188" i="84"/>
  <c r="AB188" i="84"/>
  <c r="AA188" i="84"/>
  <c r="G188" i="84"/>
  <c r="AO187" i="84"/>
  <c r="AN187" i="84"/>
  <c r="AM187" i="84"/>
  <c r="AL187" i="84"/>
  <c r="AK187" i="84"/>
  <c r="AJ187" i="84"/>
  <c r="AI187" i="84"/>
  <c r="AH187" i="84"/>
  <c r="AG187" i="84"/>
  <c r="AF187" i="84"/>
  <c r="AE187" i="84"/>
  <c r="AD187" i="84"/>
  <c r="AC187" i="84"/>
  <c r="AB187" i="84"/>
  <c r="AA187" i="84"/>
  <c r="G187" i="84"/>
  <c r="AO186" i="84"/>
  <c r="AN186" i="84"/>
  <c r="AM186" i="84"/>
  <c r="AL186" i="84"/>
  <c r="AK186" i="84"/>
  <c r="AJ186" i="84"/>
  <c r="AI186" i="84"/>
  <c r="AH186" i="84"/>
  <c r="AG186" i="84"/>
  <c r="AF186" i="84"/>
  <c r="AE186" i="84"/>
  <c r="AD186" i="84"/>
  <c r="AC186" i="84"/>
  <c r="AB186" i="84"/>
  <c r="AA186" i="84"/>
  <c r="G186" i="84"/>
  <c r="AO185" i="84"/>
  <c r="AN185" i="84"/>
  <c r="AM185" i="84"/>
  <c r="AL185" i="84"/>
  <c r="AK185" i="84"/>
  <c r="AJ185" i="84"/>
  <c r="AI185" i="84"/>
  <c r="AH185" i="84"/>
  <c r="AG185" i="84"/>
  <c r="AF185" i="84"/>
  <c r="AE185" i="84"/>
  <c r="AD185" i="84"/>
  <c r="AC185" i="84"/>
  <c r="AB185" i="84"/>
  <c r="AA185" i="84"/>
  <c r="G185" i="84"/>
  <c r="AO184" i="84"/>
  <c r="AN184" i="84"/>
  <c r="AM184" i="84"/>
  <c r="AL184" i="84"/>
  <c r="AK184" i="84"/>
  <c r="AJ184" i="84"/>
  <c r="AI184" i="84"/>
  <c r="AH184" i="84"/>
  <c r="AG184" i="84"/>
  <c r="AF184" i="84"/>
  <c r="AE184" i="84"/>
  <c r="AD184" i="84"/>
  <c r="AC184" i="84"/>
  <c r="AB184" i="84"/>
  <c r="AA184" i="84"/>
  <c r="G184" i="84"/>
  <c r="AO183" i="84"/>
  <c r="AN183" i="84"/>
  <c r="G183" i="84"/>
  <c r="AO182" i="84"/>
  <c r="AN182" i="84"/>
  <c r="AK182" i="84"/>
  <c r="AJ182" i="84"/>
  <c r="AI182" i="84"/>
  <c r="AH182" i="84"/>
  <c r="AG182" i="84"/>
  <c r="AF182" i="84"/>
  <c r="AE182" i="84"/>
  <c r="AD182" i="84"/>
  <c r="AC182" i="84"/>
  <c r="AB182" i="84"/>
  <c r="AA182" i="84"/>
  <c r="G182" i="84"/>
  <c r="AO181" i="84"/>
  <c r="AN181" i="84"/>
  <c r="G181" i="84"/>
  <c r="AO180" i="84"/>
  <c r="AN180" i="84"/>
  <c r="G180" i="84"/>
  <c r="AO179" i="84"/>
  <c r="AN179" i="84"/>
  <c r="G179" i="84"/>
  <c r="AO178" i="84"/>
  <c r="AN178" i="84"/>
  <c r="G178" i="84"/>
  <c r="AO177" i="84"/>
  <c r="AN177" i="84"/>
  <c r="G177" i="84"/>
  <c r="BE176" i="84"/>
  <c r="AO176" i="84"/>
  <c r="AN176" i="84"/>
  <c r="G176" i="84"/>
  <c r="BE175" i="84"/>
  <c r="AO175" i="84"/>
  <c r="AN175" i="84"/>
  <c r="G175" i="84"/>
  <c r="BE174" i="84"/>
  <c r="AO174" i="84"/>
  <c r="AN174" i="84"/>
  <c r="G174" i="84"/>
  <c r="BE173" i="84"/>
  <c r="AO173" i="84"/>
  <c r="AN173" i="84"/>
  <c r="G173" i="84"/>
  <c r="CI172" i="84"/>
  <c r="CE174" i="84" s="1"/>
  <c r="BE172" i="84"/>
  <c r="AO172" i="84"/>
  <c r="AN172" i="84"/>
  <c r="G172" i="84"/>
  <c r="BE171" i="84"/>
  <c r="AO171" i="84"/>
  <c r="AN171" i="84"/>
  <c r="AK171" i="84"/>
  <c r="AJ171" i="84"/>
  <c r="AI171" i="84"/>
  <c r="AH171" i="84"/>
  <c r="AG171" i="84"/>
  <c r="AF171" i="84"/>
  <c r="AE171" i="84"/>
  <c r="AD171" i="84"/>
  <c r="AC171" i="84"/>
  <c r="AB171" i="84"/>
  <c r="AA171" i="84"/>
  <c r="G171" i="84"/>
  <c r="CJ170" i="84"/>
  <c r="CF176" i="84" s="1"/>
  <c r="BE170" i="84"/>
  <c r="AO170" i="84"/>
  <c r="AN170" i="84"/>
  <c r="G170" i="84"/>
  <c r="BE169" i="84"/>
  <c r="AO169" i="84"/>
  <c r="AN169" i="84"/>
  <c r="W169" i="84"/>
  <c r="X169" i="84" s="1"/>
  <c r="G169" i="84"/>
  <c r="CF168" i="84"/>
  <c r="CE168" i="84"/>
  <c r="CI173" i="84" s="1"/>
  <c r="CE173" i="84" s="1"/>
  <c r="BE168" i="84"/>
  <c r="AO168" i="84"/>
  <c r="AN168" i="84"/>
  <c r="G168" i="84"/>
  <c r="BE167" i="84"/>
  <c r="AO167" i="84"/>
  <c r="AN167" i="84"/>
  <c r="AM167" i="84"/>
  <c r="AL167" i="84"/>
  <c r="AK167" i="84"/>
  <c r="AJ167" i="84"/>
  <c r="AI167" i="84"/>
  <c r="AH167" i="84"/>
  <c r="AG167" i="84"/>
  <c r="AF167" i="84"/>
  <c r="AE167" i="84"/>
  <c r="AD167" i="84"/>
  <c r="AC167" i="84"/>
  <c r="AB167" i="84"/>
  <c r="AA167" i="84"/>
  <c r="G167" i="84"/>
  <c r="BE166" i="84"/>
  <c r="AA166" i="84"/>
  <c r="AA173" i="84" s="1"/>
  <c r="G166" i="84"/>
  <c r="BG164" i="84"/>
  <c r="BF164" i="84"/>
  <c r="BB164" i="84" s="1"/>
  <c r="BG163" i="84"/>
  <c r="BF163" i="84"/>
  <c r="BB163" i="84" s="1"/>
  <c r="BY162" i="84"/>
  <c r="BV162" i="84"/>
  <c r="BG162" i="84"/>
  <c r="BF162" i="84"/>
  <c r="BB162" i="84" s="1"/>
  <c r="BV161" i="84"/>
  <c r="BG161" i="84"/>
  <c r="BF161" i="84"/>
  <c r="BB161" i="84" s="1"/>
  <c r="BN160" i="84"/>
  <c r="W189" i="84" s="1"/>
  <c r="X189" i="84" s="1"/>
  <c r="BG160" i="84"/>
  <c r="BF160" i="84"/>
  <c r="BB160" i="84" s="1"/>
  <c r="BY159" i="84"/>
  <c r="BG159" i="84"/>
  <c r="BF159" i="84"/>
  <c r="BB159" i="84" s="1"/>
  <c r="BY158" i="84"/>
  <c r="BG158" i="84"/>
  <c r="BF158" i="84"/>
  <c r="BB158" i="84" s="1"/>
  <c r="BG157" i="84"/>
  <c r="BF157" i="84"/>
  <c r="BB157" i="84" s="1"/>
  <c r="BV156" i="84"/>
  <c r="BG156" i="84"/>
  <c r="BF156" i="84"/>
  <c r="BB156" i="84" s="1"/>
  <c r="BG155" i="84"/>
  <c r="AY155" i="84"/>
  <c r="AX155" i="84"/>
  <c r="AW155" i="84"/>
  <c r="AV155" i="84"/>
  <c r="AU155" i="84"/>
  <c r="AR155" i="84"/>
  <c r="AQ155" i="84"/>
  <c r="AP155" i="84"/>
  <c r="AO155" i="84"/>
  <c r="AN155" i="84"/>
  <c r="BF155" i="84" s="1"/>
  <c r="BB155" i="84" s="1"/>
  <c r="BF154" i="84"/>
  <c r="BB154" i="84" s="1"/>
  <c r="AY154" i="84"/>
  <c r="AX154" i="84"/>
  <c r="AW154" i="84"/>
  <c r="AV154" i="84"/>
  <c r="AU154" i="84"/>
  <c r="BG154" i="84" s="1"/>
  <c r="AR154" i="84"/>
  <c r="AQ154" i="84"/>
  <c r="AP154" i="84"/>
  <c r="AO154" i="84"/>
  <c r="AN154" i="84"/>
  <c r="AE126" i="84"/>
  <c r="AD126" i="84"/>
  <c r="AC126" i="84"/>
  <c r="AB126" i="84"/>
  <c r="S116" i="84"/>
  <c r="F116" i="84"/>
  <c r="C116" i="84"/>
  <c r="X115" i="84"/>
  <c r="T115" i="84"/>
  <c r="W59" i="84" s="1"/>
  <c r="S115" i="84"/>
  <c r="R115" i="84"/>
  <c r="S57" i="84" s="1"/>
  <c r="F115" i="84"/>
  <c r="C115" i="84"/>
  <c r="W114" i="84"/>
  <c r="V114" i="84"/>
  <c r="W113" i="84"/>
  <c r="V113" i="84"/>
  <c r="W112" i="84"/>
  <c r="V112" i="84"/>
  <c r="W111" i="84"/>
  <c r="V111" i="84"/>
  <c r="W110" i="84"/>
  <c r="V110" i="84"/>
  <c r="W109" i="84"/>
  <c r="V109" i="84"/>
  <c r="W108" i="84"/>
  <c r="V108" i="84"/>
  <c r="W107" i="84"/>
  <c r="V107" i="84"/>
  <c r="W106" i="84"/>
  <c r="V106" i="84"/>
  <c r="W105" i="84"/>
  <c r="V105" i="84"/>
  <c r="W104" i="84"/>
  <c r="V104" i="84"/>
  <c r="W103" i="84"/>
  <c r="AN202" i="84" s="1"/>
  <c r="V103" i="84"/>
  <c r="W102" i="84"/>
  <c r="V102" i="84"/>
  <c r="W101" i="84"/>
  <c r="V101" i="84"/>
  <c r="W100" i="84"/>
  <c r="V100" i="84"/>
  <c r="W99" i="84"/>
  <c r="AO198" i="84" s="1"/>
  <c r="V99" i="84"/>
  <c r="W98" i="84"/>
  <c r="V98" i="84"/>
  <c r="W97" i="84"/>
  <c r="V97" i="84"/>
  <c r="W96" i="84"/>
  <c r="V96" i="84"/>
  <c r="W95" i="84"/>
  <c r="AO194" i="84" s="1"/>
  <c r="V95" i="84"/>
  <c r="W94" i="84"/>
  <c r="V94" i="84"/>
  <c r="W93" i="84"/>
  <c r="V93" i="84"/>
  <c r="W92" i="84"/>
  <c r="V92" i="84"/>
  <c r="W91" i="84"/>
  <c r="AO190" i="84" s="1"/>
  <c r="V91" i="84"/>
  <c r="W90" i="84"/>
  <c r="W115" i="84" s="1"/>
  <c r="V90" i="84"/>
  <c r="W89" i="84"/>
  <c r="V89" i="84"/>
  <c r="U89" i="84"/>
  <c r="U88" i="84"/>
  <c r="U87" i="84"/>
  <c r="U86" i="84"/>
  <c r="U85" i="84"/>
  <c r="U84" i="84"/>
  <c r="G84" i="84"/>
  <c r="U83" i="84"/>
  <c r="G83" i="84"/>
  <c r="G82" i="84"/>
  <c r="U82" i="84"/>
  <c r="U81" i="84"/>
  <c r="H81" i="84"/>
  <c r="G81" i="84"/>
  <c r="G80" i="84"/>
  <c r="U80" i="84"/>
  <c r="U79" i="84"/>
  <c r="G79" i="84"/>
  <c r="U78" i="84"/>
  <c r="G78" i="84"/>
  <c r="U77" i="84"/>
  <c r="G77" i="84"/>
  <c r="U76" i="84"/>
  <c r="G76" i="84"/>
  <c r="U75" i="84"/>
  <c r="G75" i="84"/>
  <c r="U74" i="84"/>
  <c r="H74" i="84"/>
  <c r="G74" i="84"/>
  <c r="G73" i="84"/>
  <c r="U73" i="84"/>
  <c r="U72" i="84"/>
  <c r="G72" i="84"/>
  <c r="U71" i="84"/>
  <c r="G71" i="84"/>
  <c r="U70" i="84"/>
  <c r="G70" i="84"/>
  <c r="U69" i="84"/>
  <c r="G69" i="84"/>
  <c r="H66" i="84"/>
  <c r="H84" i="84" s="1"/>
  <c r="S63" i="84"/>
  <c r="W60" i="84"/>
  <c r="U59" i="84"/>
  <c r="E59" i="84"/>
  <c r="E58" i="84"/>
  <c r="J58" i="84" s="1"/>
  <c r="U57" i="84"/>
  <c r="E57" i="84"/>
  <c r="N57" i="84" s="1"/>
  <c r="W56" i="84"/>
  <c r="E56" i="84"/>
  <c r="P55" i="84"/>
  <c r="P30" i="84" s="1"/>
  <c r="O55" i="84"/>
  <c r="N55" i="84"/>
  <c r="M55" i="84"/>
  <c r="M19" i="84" s="1"/>
  <c r="L55" i="84"/>
  <c r="L19" i="84" s="1"/>
  <c r="K55" i="84"/>
  <c r="K12" i="84" s="1"/>
  <c r="J55" i="84"/>
  <c r="J5" i="84" s="1"/>
  <c r="I55" i="84"/>
  <c r="I5" i="84" s="1"/>
  <c r="H55" i="84"/>
  <c r="H12" i="84" s="1"/>
  <c r="G55" i="84"/>
  <c r="P42" i="84"/>
  <c r="O42" i="84"/>
  <c r="N42" i="84"/>
  <c r="M42" i="84"/>
  <c r="L42" i="84"/>
  <c r="K42" i="84"/>
  <c r="J42" i="84"/>
  <c r="I42" i="84"/>
  <c r="H42" i="84"/>
  <c r="F40" i="84"/>
  <c r="F39" i="84"/>
  <c r="A39" i="84"/>
  <c r="P35" i="84"/>
  <c r="O35" i="84"/>
  <c r="N35" i="84"/>
  <c r="M35" i="84"/>
  <c r="L35" i="84"/>
  <c r="K35" i="84"/>
  <c r="J35" i="84"/>
  <c r="I35" i="84"/>
  <c r="H35" i="84"/>
  <c r="F33" i="84"/>
  <c r="F32" i="84"/>
  <c r="O30" i="84"/>
  <c r="N30" i="84"/>
  <c r="M30" i="84"/>
  <c r="G30" i="84"/>
  <c r="F30" i="84"/>
  <c r="A27" i="84"/>
  <c r="J25" i="84"/>
  <c r="I25" i="84"/>
  <c r="F25" i="84"/>
  <c r="P24" i="84"/>
  <c r="P25" i="84" s="1"/>
  <c r="O24" i="84"/>
  <c r="O15" i="84" s="1"/>
  <c r="N24" i="84"/>
  <c r="N25" i="84" s="1"/>
  <c r="M24" i="84"/>
  <c r="M25" i="84" s="1"/>
  <c r="L24" i="84"/>
  <c r="L25" i="84" s="1"/>
  <c r="K24" i="84"/>
  <c r="K15" i="84" s="1"/>
  <c r="J24" i="84"/>
  <c r="J15" i="84" s="1"/>
  <c r="I24" i="84"/>
  <c r="H24" i="84"/>
  <c r="H25" i="84" s="1"/>
  <c r="G24" i="84"/>
  <c r="G15" i="84" s="1"/>
  <c r="A21" i="84"/>
  <c r="O19" i="84"/>
  <c r="N19" i="84"/>
  <c r="J19" i="84"/>
  <c r="H19" i="84"/>
  <c r="G19" i="84"/>
  <c r="F19" i="84"/>
  <c r="I15" i="84"/>
  <c r="H15" i="84"/>
  <c r="F15" i="84"/>
  <c r="A13" i="84"/>
  <c r="P12" i="84"/>
  <c r="O12" i="84"/>
  <c r="N12" i="84"/>
  <c r="M12" i="84"/>
  <c r="L12" i="84"/>
  <c r="G12" i="84"/>
  <c r="F12" i="84"/>
  <c r="D8" i="84"/>
  <c r="A7" i="84"/>
  <c r="D6" i="84"/>
  <c r="A6" i="84"/>
  <c r="P5" i="84"/>
  <c r="O5" i="84"/>
  <c r="N5" i="84"/>
  <c r="M5" i="84"/>
  <c r="L5" i="84"/>
  <c r="K5" i="84"/>
  <c r="G5" i="84"/>
  <c r="F5" i="84"/>
  <c r="K40" i="74"/>
  <c r="K36" i="74"/>
  <c r="K37" i="74"/>
  <c r="K38" i="74"/>
  <c r="K39" i="74"/>
  <c r="K41" i="74"/>
  <c r="K42" i="74"/>
  <c r="K43" i="74"/>
  <c r="K44" i="74"/>
  <c r="K45" i="74"/>
  <c r="K46" i="74"/>
  <c r="K47" i="74"/>
  <c r="K48" i="74"/>
  <c r="K49" i="74"/>
  <c r="K50" i="74"/>
  <c r="K51" i="74"/>
  <c r="K52" i="74"/>
  <c r="K53" i="74"/>
  <c r="K54" i="74"/>
  <c r="K55" i="74"/>
  <c r="K56" i="74"/>
  <c r="K57" i="74"/>
  <c r="K35" i="74"/>
  <c r="I36" i="74"/>
  <c r="I37" i="74"/>
  <c r="I38" i="74"/>
  <c r="I39" i="74"/>
  <c r="I40" i="74"/>
  <c r="I41" i="74"/>
  <c r="I42" i="74"/>
  <c r="I43" i="74"/>
  <c r="I44" i="74"/>
  <c r="I45" i="74"/>
  <c r="I46" i="74"/>
  <c r="I47" i="74"/>
  <c r="I48" i="74"/>
  <c r="I49" i="74"/>
  <c r="I50" i="74"/>
  <c r="I51" i="74"/>
  <c r="I52" i="74"/>
  <c r="I53" i="74"/>
  <c r="I54" i="74"/>
  <c r="I56" i="74"/>
  <c r="I57" i="74"/>
  <c r="I35" i="74"/>
  <c r="N36" i="74"/>
  <c r="N37" i="74"/>
  <c r="N38" i="74"/>
  <c r="N39" i="74"/>
  <c r="N40" i="74"/>
  <c r="N41" i="74"/>
  <c r="N42" i="74"/>
  <c r="N43" i="74"/>
  <c r="N44" i="74"/>
  <c r="N45" i="74"/>
  <c r="N46" i="74"/>
  <c r="N47" i="74"/>
  <c r="N48" i="74"/>
  <c r="N49" i="74"/>
  <c r="N50" i="74"/>
  <c r="N51" i="74"/>
  <c r="N52" i="74"/>
  <c r="N53" i="74"/>
  <c r="N54" i="74"/>
  <c r="N55" i="74"/>
  <c r="N56" i="74"/>
  <c r="N57" i="74"/>
  <c r="N35" i="74"/>
  <c r="M37" i="74"/>
  <c r="M38" i="74"/>
  <c r="M39" i="74"/>
  <c r="M40" i="74"/>
  <c r="M41" i="74"/>
  <c r="M42" i="74"/>
  <c r="M43" i="74"/>
  <c r="M44" i="74"/>
  <c r="M45" i="74"/>
  <c r="M46" i="74"/>
  <c r="M47" i="74"/>
  <c r="M48" i="74"/>
  <c r="M49" i="74"/>
  <c r="M50" i="74"/>
  <c r="M51" i="74"/>
  <c r="M52" i="74"/>
  <c r="M53" i="74"/>
  <c r="M54" i="74"/>
  <c r="M55" i="74"/>
  <c r="M56" i="74"/>
  <c r="M57" i="74"/>
  <c r="M35" i="74"/>
  <c r="M36" i="74"/>
  <c r="K37" i="73"/>
  <c r="K38" i="73"/>
  <c r="K39" i="73"/>
  <c r="K40" i="73"/>
  <c r="K41" i="73"/>
  <c r="K42" i="73"/>
  <c r="K43" i="73"/>
  <c r="K44" i="73"/>
  <c r="K45" i="73"/>
  <c r="K46" i="73"/>
  <c r="K47" i="73"/>
  <c r="K48" i="73"/>
  <c r="K49" i="73"/>
  <c r="K50" i="73"/>
  <c r="K51" i="73"/>
  <c r="K52" i="73"/>
  <c r="K53" i="73"/>
  <c r="K54" i="73"/>
  <c r="K55" i="73"/>
  <c r="K56" i="73"/>
  <c r="K57" i="73"/>
  <c r="K35" i="73"/>
  <c r="K36" i="73"/>
  <c r="L58" i="73"/>
  <c r="L37" i="73"/>
  <c r="L38" i="73"/>
  <c r="L39" i="73"/>
  <c r="L40" i="73"/>
  <c r="L41" i="73"/>
  <c r="L42" i="73"/>
  <c r="L43" i="73"/>
  <c r="L44" i="73"/>
  <c r="L45" i="73"/>
  <c r="L46" i="73"/>
  <c r="L47" i="73"/>
  <c r="L48" i="73"/>
  <c r="L49" i="73"/>
  <c r="L50" i="73"/>
  <c r="L51" i="73"/>
  <c r="L52" i="73"/>
  <c r="L53" i="73"/>
  <c r="L54" i="73"/>
  <c r="L55" i="73"/>
  <c r="L56" i="73"/>
  <c r="L57" i="73"/>
  <c r="L35" i="73"/>
  <c r="L36" i="73"/>
  <c r="L110" i="73"/>
  <c r="K110" i="73"/>
  <c r="L109" i="73"/>
  <c r="K109" i="73"/>
  <c r="L108" i="73"/>
  <c r="K108" i="73"/>
  <c r="L107" i="73"/>
  <c r="K107" i="73"/>
  <c r="L106" i="73"/>
  <c r="K106" i="73"/>
  <c r="L105" i="73"/>
  <c r="K105" i="73"/>
  <c r="L104" i="73"/>
  <c r="K104" i="73"/>
  <c r="L103" i="73"/>
  <c r="K103" i="73"/>
  <c r="L102" i="73"/>
  <c r="K102" i="73"/>
  <c r="L101" i="73"/>
  <c r="K101" i="73"/>
  <c r="L100" i="73"/>
  <c r="K100" i="73"/>
  <c r="L99" i="73"/>
  <c r="K99" i="73"/>
  <c r="L98" i="73"/>
  <c r="K98" i="73"/>
  <c r="L97" i="73"/>
  <c r="K97" i="73"/>
  <c r="L96" i="73"/>
  <c r="K96" i="73"/>
  <c r="L95" i="73"/>
  <c r="K95" i="73"/>
  <c r="L94" i="73"/>
  <c r="K94" i="73"/>
  <c r="L93" i="73"/>
  <c r="K93" i="73"/>
  <c r="L91" i="73"/>
  <c r="K91" i="73"/>
  <c r="L90" i="73"/>
  <c r="K90" i="73"/>
  <c r="L89" i="73"/>
  <c r="K89" i="73"/>
  <c r="L88" i="73"/>
  <c r="K88" i="73"/>
  <c r="L36" i="74"/>
  <c r="L37" i="74"/>
  <c r="L38" i="74"/>
  <c r="L39" i="74"/>
  <c r="L40" i="74"/>
  <c r="L41" i="74"/>
  <c r="L42" i="74"/>
  <c r="L43" i="74"/>
  <c r="L44" i="74"/>
  <c r="L45" i="74"/>
  <c r="L46" i="74"/>
  <c r="L47" i="74"/>
  <c r="L48" i="74"/>
  <c r="L49" i="74"/>
  <c r="L50" i="74"/>
  <c r="L51" i="74"/>
  <c r="L52" i="74"/>
  <c r="L53" i="74"/>
  <c r="L54" i="74"/>
  <c r="L55" i="74"/>
  <c r="L56" i="74"/>
  <c r="L57" i="74"/>
  <c r="L35" i="74"/>
  <c r="E50" i="73"/>
  <c r="F36" i="73"/>
  <c r="G36" i="73"/>
  <c r="H36" i="73"/>
  <c r="I36" i="73"/>
  <c r="F37" i="73"/>
  <c r="G37" i="73"/>
  <c r="H37" i="73"/>
  <c r="I37" i="73"/>
  <c r="F38" i="73"/>
  <c r="G38" i="73"/>
  <c r="H38" i="73"/>
  <c r="I38" i="73"/>
  <c r="F39" i="73"/>
  <c r="G39" i="73"/>
  <c r="H39" i="73"/>
  <c r="I39" i="73"/>
  <c r="F40" i="73"/>
  <c r="G40" i="73"/>
  <c r="H40" i="73"/>
  <c r="I40" i="73"/>
  <c r="F41" i="73"/>
  <c r="G41" i="73"/>
  <c r="H41" i="73"/>
  <c r="I41" i="73"/>
  <c r="F42" i="73"/>
  <c r="G42" i="73"/>
  <c r="H42" i="73"/>
  <c r="I42" i="73"/>
  <c r="F43" i="73"/>
  <c r="G43" i="73"/>
  <c r="H43" i="73"/>
  <c r="I43" i="73"/>
  <c r="F44" i="73"/>
  <c r="G44" i="73"/>
  <c r="H44" i="73"/>
  <c r="I44" i="73"/>
  <c r="F45" i="73"/>
  <c r="G45" i="73"/>
  <c r="H45" i="73"/>
  <c r="I45" i="73"/>
  <c r="F46" i="73"/>
  <c r="G46" i="73"/>
  <c r="H46" i="73"/>
  <c r="I46" i="73"/>
  <c r="F47" i="73"/>
  <c r="G47" i="73"/>
  <c r="H47" i="73"/>
  <c r="I47" i="73"/>
  <c r="F48" i="73"/>
  <c r="G48" i="73"/>
  <c r="H48" i="73"/>
  <c r="I48" i="73"/>
  <c r="F49" i="73"/>
  <c r="G49" i="73"/>
  <c r="H49" i="73"/>
  <c r="F50" i="73"/>
  <c r="G50" i="73"/>
  <c r="H50" i="73"/>
  <c r="I50" i="73"/>
  <c r="F51" i="73"/>
  <c r="G51" i="73"/>
  <c r="H51" i="73"/>
  <c r="I51" i="73"/>
  <c r="F52" i="73"/>
  <c r="G52" i="73"/>
  <c r="H52" i="73"/>
  <c r="I52" i="73"/>
  <c r="F53" i="73"/>
  <c r="G53" i="73"/>
  <c r="H53" i="73"/>
  <c r="I53" i="73"/>
  <c r="F54" i="73"/>
  <c r="G54" i="73"/>
  <c r="H54" i="73"/>
  <c r="F55" i="73"/>
  <c r="G55" i="73"/>
  <c r="H55" i="73"/>
  <c r="I55" i="73"/>
  <c r="F56" i="73"/>
  <c r="G56" i="73"/>
  <c r="H56" i="73"/>
  <c r="I56" i="73"/>
  <c r="F57" i="73"/>
  <c r="G57" i="73"/>
  <c r="H57" i="73"/>
  <c r="I57" i="73"/>
  <c r="G35" i="73"/>
  <c r="H35" i="73"/>
  <c r="I35" i="73"/>
  <c r="F35" i="73"/>
  <c r="G4" i="72"/>
  <c r="E55" i="73"/>
  <c r="H55" i="74" s="1"/>
  <c r="H35" i="74"/>
  <c r="H36" i="74"/>
  <c r="H37" i="74"/>
  <c r="H38" i="74"/>
  <c r="H39" i="74"/>
  <c r="H40" i="74"/>
  <c r="H41" i="74"/>
  <c r="H42" i="74"/>
  <c r="H43" i="74"/>
  <c r="H44" i="74"/>
  <c r="H45" i="74"/>
  <c r="H46" i="74"/>
  <c r="H47" i="74"/>
  <c r="H48" i="74"/>
  <c r="H49" i="74"/>
  <c r="H50" i="74"/>
  <c r="H51" i="74"/>
  <c r="H52" i="74"/>
  <c r="H53" i="74"/>
  <c r="H54" i="74"/>
  <c r="H56" i="74"/>
  <c r="H57" i="74"/>
  <c r="E36" i="73"/>
  <c r="E37" i="73"/>
  <c r="E38" i="73"/>
  <c r="E39" i="73"/>
  <c r="E40" i="73"/>
  <c r="E41" i="73"/>
  <c r="E42" i="73"/>
  <c r="E43" i="73"/>
  <c r="E44" i="73"/>
  <c r="E45" i="73"/>
  <c r="E46" i="73"/>
  <c r="E47" i="73"/>
  <c r="E48" i="73"/>
  <c r="E49" i="73"/>
  <c r="E51" i="73"/>
  <c r="E52" i="73"/>
  <c r="E53" i="73"/>
  <c r="E54" i="73"/>
  <c r="E56" i="73"/>
  <c r="E57" i="73"/>
  <c r="E35" i="73"/>
  <c r="F35" i="74"/>
  <c r="G35" i="74"/>
  <c r="J35" i="74" s="1"/>
  <c r="E58" i="74"/>
  <c r="E36" i="74"/>
  <c r="E37" i="74"/>
  <c r="E38" i="74"/>
  <c r="E39" i="74"/>
  <c r="E40" i="74"/>
  <c r="E41" i="74"/>
  <c r="E42" i="74"/>
  <c r="E43" i="74"/>
  <c r="E44" i="74"/>
  <c r="E45" i="74"/>
  <c r="E46" i="74"/>
  <c r="E47" i="74"/>
  <c r="E48" i="74"/>
  <c r="E49" i="74"/>
  <c r="E50" i="74"/>
  <c r="E51" i="74"/>
  <c r="E52" i="74"/>
  <c r="E53" i="74"/>
  <c r="E54" i="74"/>
  <c r="E55" i="74"/>
  <c r="E56" i="74"/>
  <c r="E57" i="74"/>
  <c r="E35" i="74"/>
  <c r="C4" i="87"/>
  <c r="C8" i="87"/>
  <c r="C12" i="87"/>
  <c r="C16" i="87"/>
  <c r="C20" i="87"/>
  <c r="C24" i="87"/>
  <c r="C28" i="87"/>
  <c r="C32" i="87"/>
  <c r="C36" i="87"/>
  <c r="C40" i="87"/>
  <c r="C44" i="87"/>
  <c r="C48" i="87"/>
  <c r="C52" i="87"/>
  <c r="C56" i="87"/>
  <c r="C60" i="87"/>
  <c r="C64" i="87"/>
  <c r="C68" i="87"/>
  <c r="C72" i="87"/>
  <c r="C76" i="87"/>
  <c r="C80" i="87"/>
  <c r="C11" i="87"/>
  <c r="C19" i="87"/>
  <c r="C35" i="87"/>
  <c r="C47" i="87"/>
  <c r="C55" i="87"/>
  <c r="C67" i="87"/>
  <c r="C79" i="87"/>
  <c r="C5" i="87"/>
  <c r="C9" i="87"/>
  <c r="C13" i="87"/>
  <c r="C17" i="87"/>
  <c r="C21" i="87"/>
  <c r="C25" i="87"/>
  <c r="C29" i="87"/>
  <c r="C33" i="87"/>
  <c r="C37" i="87"/>
  <c r="C41" i="87"/>
  <c r="C45" i="87"/>
  <c r="C49" i="87"/>
  <c r="C53" i="87"/>
  <c r="C57" i="87"/>
  <c r="C61" i="87"/>
  <c r="C65" i="87"/>
  <c r="C69" i="87"/>
  <c r="C73" i="87"/>
  <c r="C77" i="87"/>
  <c r="C81" i="87"/>
  <c r="C15" i="87"/>
  <c r="C27" i="87"/>
  <c r="C43" i="87"/>
  <c r="C59" i="87"/>
  <c r="C75" i="87"/>
  <c r="C6" i="87"/>
  <c r="C10" i="87"/>
  <c r="C14" i="87"/>
  <c r="C18" i="87"/>
  <c r="C22" i="87"/>
  <c r="C26" i="87"/>
  <c r="C30" i="87"/>
  <c r="C34" i="87"/>
  <c r="C38" i="87"/>
  <c r="C42" i="87"/>
  <c r="C46" i="87"/>
  <c r="C50" i="87"/>
  <c r="C54" i="87"/>
  <c r="C58" i="87"/>
  <c r="C62" i="87"/>
  <c r="C66" i="87"/>
  <c r="C70" i="87"/>
  <c r="C74" i="87"/>
  <c r="C78" i="87"/>
  <c r="C82" i="87"/>
  <c r="C7" i="87"/>
  <c r="C23" i="87"/>
  <c r="C31" i="87"/>
  <c r="C39" i="87"/>
  <c r="C51" i="87"/>
  <c r="C63" i="87"/>
  <c r="C71" i="87"/>
  <c r="C83" i="87"/>
  <c r="C3" i="87"/>
  <c r="R72" i="1" l="1"/>
  <c r="R74" i="1"/>
  <c r="H5" i="84"/>
  <c r="P15" i="84"/>
  <c r="P19" i="84"/>
  <c r="H30" i="84"/>
  <c r="Q35" i="84"/>
  <c r="H71" i="84"/>
  <c r="H76" i="84"/>
  <c r="CI174" i="84"/>
  <c r="CE172" i="84" s="1"/>
  <c r="I30" i="84"/>
  <c r="I66" i="84"/>
  <c r="H78" i="84"/>
  <c r="H79" i="84"/>
  <c r="BD157" i="84"/>
  <c r="BH166" i="84" s="1"/>
  <c r="S116" i="1"/>
  <c r="U59" i="1" s="1"/>
  <c r="T116" i="1"/>
  <c r="W60" i="1" s="1"/>
  <c r="BP158" i="84"/>
  <c r="BV163" i="84" s="1"/>
  <c r="H58" i="84"/>
  <c r="K58" i="84"/>
  <c r="P58" i="84"/>
  <c r="G57" i="84"/>
  <c r="H57" i="84"/>
  <c r="J57" i="84"/>
  <c r="F36" i="84"/>
  <c r="F37" i="84" s="1"/>
  <c r="G214" i="84"/>
  <c r="H22" i="59" s="1"/>
  <c r="BD160" i="84"/>
  <c r="BK166" i="84" s="1"/>
  <c r="CI169" i="84"/>
  <c r="CE177" i="84" s="1"/>
  <c r="AA172" i="84"/>
  <c r="BY157" i="84"/>
  <c r="BY156" i="84" s="1"/>
  <c r="BN158" i="84"/>
  <c r="BD156" i="84"/>
  <c r="BG166" i="84" s="1"/>
  <c r="BD158" i="84"/>
  <c r="BI166" i="84" s="1"/>
  <c r="AB166" i="84"/>
  <c r="AC166" i="84" s="1"/>
  <c r="CI175" i="84"/>
  <c r="CE171" i="84" s="1"/>
  <c r="R124" i="84"/>
  <c r="BD164" i="84"/>
  <c r="BO166" i="84" s="1"/>
  <c r="CJ171" i="84"/>
  <c r="CF175" i="84" s="1"/>
  <c r="BD162" i="84"/>
  <c r="BM166" i="84" s="1"/>
  <c r="CI176" i="84"/>
  <c r="CE170" i="84" s="1"/>
  <c r="O25" i="84"/>
  <c r="I57" i="84"/>
  <c r="Q42" i="84"/>
  <c r="V80" i="84"/>
  <c r="L57" i="84"/>
  <c r="Q24" i="84"/>
  <c r="O57" i="84"/>
  <c r="Q15" i="84"/>
  <c r="G25" i="84"/>
  <c r="F43" i="84"/>
  <c r="F44" i="84" s="1"/>
  <c r="P57" i="84"/>
  <c r="Q57" i="84"/>
  <c r="V85" i="84"/>
  <c r="AL169" i="84"/>
  <c r="AM169" i="84"/>
  <c r="AO191" i="84"/>
  <c r="AN191" i="84"/>
  <c r="AO195" i="84"/>
  <c r="AN195" i="84"/>
  <c r="AO199" i="84"/>
  <c r="AN199" i="84"/>
  <c r="AN203" i="84"/>
  <c r="AO203" i="84"/>
  <c r="AO207" i="84"/>
  <c r="AN207" i="84"/>
  <c r="AO211" i="84"/>
  <c r="AN211" i="84"/>
  <c r="AM172" i="84"/>
  <c r="AL172" i="84"/>
  <c r="L15" i="84"/>
  <c r="I19" i="84"/>
  <c r="K25" i="84"/>
  <c r="Q25" i="84" s="1"/>
  <c r="J30" i="84"/>
  <c r="K57" i="84"/>
  <c r="L58" i="84"/>
  <c r="H265" i="84"/>
  <c r="H262" i="84"/>
  <c r="H254" i="84"/>
  <c r="H246" i="84"/>
  <c r="H238" i="84"/>
  <c r="H230" i="84"/>
  <c r="H271" i="84"/>
  <c r="H259" i="84"/>
  <c r="H251" i="84"/>
  <c r="H243" i="84"/>
  <c r="H235" i="84"/>
  <c r="H227" i="84"/>
  <c r="H223" i="84"/>
  <c r="H208" i="84"/>
  <c r="H204" i="84"/>
  <c r="H264" i="84"/>
  <c r="H256" i="84"/>
  <c r="H248" i="84"/>
  <c r="H240" i="84"/>
  <c r="H232" i="84"/>
  <c r="H220" i="84"/>
  <c r="H222" i="84"/>
  <c r="H221" i="84"/>
  <c r="H201" i="84"/>
  <c r="H197" i="84"/>
  <c r="H263" i="84"/>
  <c r="H258" i="84"/>
  <c r="H257" i="84"/>
  <c r="H247" i="84"/>
  <c r="H237" i="84"/>
  <c r="H236" i="84"/>
  <c r="H225" i="84"/>
  <c r="H224" i="84"/>
  <c r="H206" i="84"/>
  <c r="H202" i="84"/>
  <c r="H198" i="84"/>
  <c r="H194" i="84"/>
  <c r="H190" i="84"/>
  <c r="H186" i="84"/>
  <c r="H260" i="84"/>
  <c r="H250" i="84"/>
  <c r="H249" i="84"/>
  <c r="H239" i="84"/>
  <c r="H229" i="84"/>
  <c r="H228" i="84"/>
  <c r="H226" i="84"/>
  <c r="H205" i="84"/>
  <c r="H261" i="84"/>
  <c r="H203" i="84"/>
  <c r="H199" i="84"/>
  <c r="H195" i="84"/>
  <c r="H191" i="84"/>
  <c r="H187" i="84"/>
  <c r="H255" i="84"/>
  <c r="H252" i="84"/>
  <c r="H234" i="84"/>
  <c r="H231" i="84"/>
  <c r="H245" i="84"/>
  <c r="H242" i="84"/>
  <c r="H172" i="84"/>
  <c r="H233" i="84"/>
  <c r="H209" i="84"/>
  <c r="H182" i="84"/>
  <c r="H180" i="84"/>
  <c r="H175" i="84"/>
  <c r="H253" i="84"/>
  <c r="H207" i="84"/>
  <c r="H244" i="84"/>
  <c r="H241" i="84"/>
  <c r="H192" i="84"/>
  <c r="H188" i="84"/>
  <c r="H173" i="84"/>
  <c r="H83" i="84"/>
  <c r="H80" i="84"/>
  <c r="H77" i="84"/>
  <c r="H196" i="84"/>
  <c r="H177" i="84"/>
  <c r="H169" i="84"/>
  <c r="H189" i="84"/>
  <c r="H178" i="84"/>
  <c r="H176" i="84"/>
  <c r="H174" i="84"/>
  <c r="H170" i="84"/>
  <c r="H168" i="84"/>
  <c r="H167" i="84"/>
  <c r="H166" i="84"/>
  <c r="H82" i="84"/>
  <c r="H193" i="84"/>
  <c r="H184" i="84"/>
  <c r="H179" i="84"/>
  <c r="H200" i="84"/>
  <c r="H185" i="84"/>
  <c r="H183" i="84"/>
  <c r="H181" i="84"/>
  <c r="H171" i="84"/>
  <c r="H70" i="84"/>
  <c r="V71" i="84"/>
  <c r="H73" i="84"/>
  <c r="V74" i="84"/>
  <c r="I76" i="84"/>
  <c r="AM178" i="84"/>
  <c r="AL178" i="84"/>
  <c r="AM180" i="84"/>
  <c r="AL180" i="84"/>
  <c r="I262" i="84"/>
  <c r="I271" i="84"/>
  <c r="I259" i="84"/>
  <c r="I251" i="84"/>
  <c r="I243" i="84"/>
  <c r="I235" i="84"/>
  <c r="I227" i="84"/>
  <c r="I223" i="84"/>
  <c r="I208" i="84"/>
  <c r="I264" i="84"/>
  <c r="I256" i="84"/>
  <c r="I248" i="84"/>
  <c r="I240" i="84"/>
  <c r="I232" i="84"/>
  <c r="I220" i="84"/>
  <c r="I261" i="84"/>
  <c r="I253" i="84"/>
  <c r="I245" i="84"/>
  <c r="I237" i="84"/>
  <c r="I229" i="84"/>
  <c r="I225" i="84"/>
  <c r="I209" i="84"/>
  <c r="I263" i="84"/>
  <c r="I258" i="84"/>
  <c r="I257" i="84"/>
  <c r="I247" i="84"/>
  <c r="I246" i="84"/>
  <c r="I236" i="84"/>
  <c r="I207" i="84"/>
  <c r="I224" i="84"/>
  <c r="I260" i="84"/>
  <c r="I250" i="84"/>
  <c r="I249" i="84"/>
  <c r="I239" i="84"/>
  <c r="I238" i="84"/>
  <c r="I228" i="84"/>
  <c r="I226" i="84"/>
  <c r="I205" i="84"/>
  <c r="I203" i="84"/>
  <c r="I199" i="84"/>
  <c r="I195" i="84"/>
  <c r="I191" i="84"/>
  <c r="I187" i="84"/>
  <c r="I183" i="84"/>
  <c r="I252" i="84"/>
  <c r="I242" i="84"/>
  <c r="I241" i="84"/>
  <c r="I231" i="84"/>
  <c r="I230" i="84"/>
  <c r="I206" i="84"/>
  <c r="I204" i="84"/>
  <c r="I222" i="84"/>
  <c r="I254" i="84"/>
  <c r="I233" i="84"/>
  <c r="I201" i="84"/>
  <c r="I197" i="84"/>
  <c r="I182" i="84"/>
  <c r="I180" i="84"/>
  <c r="I175" i="84"/>
  <c r="I184" i="84"/>
  <c r="I244" i="84"/>
  <c r="I202" i="84"/>
  <c r="I198" i="84"/>
  <c r="I221" i="84"/>
  <c r="I181" i="84"/>
  <c r="I176" i="84"/>
  <c r="I234" i="84"/>
  <c r="I196" i="84"/>
  <c r="I177" i="84"/>
  <c r="I173" i="84"/>
  <c r="I169" i="84"/>
  <c r="I265" i="84"/>
  <c r="I194" i="84"/>
  <c r="I192" i="84"/>
  <c r="I189" i="84"/>
  <c r="I186" i="84"/>
  <c r="I178" i="84"/>
  <c r="I174" i="84"/>
  <c r="I170" i="84"/>
  <c r="I168" i="84"/>
  <c r="I167" i="84"/>
  <c r="I166" i="84"/>
  <c r="I193" i="84"/>
  <c r="I190" i="84"/>
  <c r="I188" i="84"/>
  <c r="I179" i="84"/>
  <c r="I172" i="84"/>
  <c r="I200" i="84"/>
  <c r="I185" i="84"/>
  <c r="I171" i="84"/>
  <c r="I255" i="84"/>
  <c r="I70" i="84"/>
  <c r="AM171" i="84"/>
  <c r="AL171" i="84"/>
  <c r="I73" i="84"/>
  <c r="AM174" i="84"/>
  <c r="AL174" i="84"/>
  <c r="V76" i="84"/>
  <c r="I12" i="84"/>
  <c r="M15" i="84"/>
  <c r="K30" i="84"/>
  <c r="J12" i="84"/>
  <c r="N15" i="84"/>
  <c r="K19" i="84"/>
  <c r="L30" i="84"/>
  <c r="M57" i="84"/>
  <c r="F58" i="84"/>
  <c r="Q58" i="84" s="1"/>
  <c r="N58" i="84"/>
  <c r="J66" i="84"/>
  <c r="AM168" i="84"/>
  <c r="AL168" i="84"/>
  <c r="H72" i="84"/>
  <c r="H75" i="84"/>
  <c r="AL176" i="84"/>
  <c r="AM176" i="84"/>
  <c r="I79" i="84"/>
  <c r="I81" i="84"/>
  <c r="BD161" i="84"/>
  <c r="BL166" i="84" s="1"/>
  <c r="BD163" i="84"/>
  <c r="BN166" i="84" s="1"/>
  <c r="M58" i="84"/>
  <c r="V88" i="84"/>
  <c r="V84" i="84"/>
  <c r="V81" i="84"/>
  <c r="V78" i="84"/>
  <c r="V83" i="84"/>
  <c r="F57" i="84"/>
  <c r="G58" i="84"/>
  <c r="O58" i="84"/>
  <c r="H69" i="84"/>
  <c r="V70" i="84"/>
  <c r="I72" i="84"/>
  <c r="V73" i="84"/>
  <c r="I75" i="84"/>
  <c r="I77" i="84"/>
  <c r="V79" i="84"/>
  <c r="AM181" i="84"/>
  <c r="AL181" i="84"/>
  <c r="V86" i="84"/>
  <c r="AO189" i="84"/>
  <c r="AN189" i="84"/>
  <c r="AN214" i="84" s="1"/>
  <c r="AO193" i="84"/>
  <c r="AN193" i="84"/>
  <c r="AO197" i="84"/>
  <c r="AN197" i="84"/>
  <c r="AO201" i="84"/>
  <c r="AN201" i="84"/>
  <c r="AN205" i="84"/>
  <c r="AO205" i="84"/>
  <c r="AN209" i="84"/>
  <c r="AO209" i="84"/>
  <c r="AN213" i="84"/>
  <c r="AO213" i="84"/>
  <c r="AM170" i="84"/>
  <c r="AL170" i="84"/>
  <c r="AM173" i="84"/>
  <c r="AL173" i="84"/>
  <c r="V77" i="84"/>
  <c r="I82" i="84"/>
  <c r="V82" i="84"/>
  <c r="BD159" i="84"/>
  <c r="BJ166" i="84" s="1"/>
  <c r="I58" i="84"/>
  <c r="U115" i="84"/>
  <c r="S60" i="84" s="1"/>
  <c r="V72" i="84"/>
  <c r="V75" i="84"/>
  <c r="AM177" i="84"/>
  <c r="AL177" i="84"/>
  <c r="AM179" i="84"/>
  <c r="AL179" i="84"/>
  <c r="AM182" i="84"/>
  <c r="AL182" i="84"/>
  <c r="V87" i="84"/>
  <c r="V69" i="84"/>
  <c r="I71" i="84"/>
  <c r="D115" i="84"/>
  <c r="S64" i="84" s="1"/>
  <c r="U58" i="84" s="1"/>
  <c r="D116" i="84"/>
  <c r="I74" i="84"/>
  <c r="AL175" i="84"/>
  <c r="AM175" i="84"/>
  <c r="I80" i="84"/>
  <c r="I83" i="84"/>
  <c r="AL183" i="84"/>
  <c r="AM183" i="84"/>
  <c r="G115" i="84"/>
  <c r="G49" i="84" s="1"/>
  <c r="W179" i="84"/>
  <c r="X179" i="84" s="1"/>
  <c r="W194" i="84"/>
  <c r="X194" i="84" s="1"/>
  <c r="CJ169" i="84"/>
  <c r="CF177" i="84" s="1"/>
  <c r="AA170" i="84"/>
  <c r="W172" i="84"/>
  <c r="X172" i="84" s="1"/>
  <c r="W186" i="84"/>
  <c r="X186" i="84" s="1"/>
  <c r="AN194" i="84"/>
  <c r="AO202" i="84"/>
  <c r="AO188" i="84"/>
  <c r="AO214" i="84" s="1"/>
  <c r="AN188" i="84"/>
  <c r="AO192" i="84"/>
  <c r="AN192" i="84"/>
  <c r="AO196" i="84"/>
  <c r="AN196" i="84"/>
  <c r="AO200" i="84"/>
  <c r="AN200" i="84"/>
  <c r="AO204" i="84"/>
  <c r="AN204" i="84"/>
  <c r="AN208" i="84"/>
  <c r="AO208" i="84"/>
  <c r="AO212" i="84"/>
  <c r="AN212" i="84"/>
  <c r="W209" i="84"/>
  <c r="X209" i="84" s="1"/>
  <c r="W205" i="84"/>
  <c r="X205" i="84" s="1"/>
  <c r="W202" i="84"/>
  <c r="X202" i="84" s="1"/>
  <c r="W198" i="84"/>
  <c r="X198" i="84" s="1"/>
  <c r="W206" i="84"/>
  <c r="X206" i="84" s="1"/>
  <c r="W199" i="84"/>
  <c r="X199" i="84" s="1"/>
  <c r="W195" i="84"/>
  <c r="X195" i="84" s="1"/>
  <c r="W191" i="84"/>
  <c r="X191" i="84" s="1"/>
  <c r="W187" i="84"/>
  <c r="X187" i="84" s="1"/>
  <c r="W203" i="84"/>
  <c r="X203" i="84" s="1"/>
  <c r="W211" i="84"/>
  <c r="X211" i="84" s="1"/>
  <c r="W200" i="84"/>
  <c r="X200" i="84" s="1"/>
  <c r="W196" i="84"/>
  <c r="X196" i="84" s="1"/>
  <c r="W192" i="84"/>
  <c r="X192" i="84" s="1"/>
  <c r="W188" i="84"/>
  <c r="X188" i="84" s="1"/>
  <c r="W207" i="84"/>
  <c r="X207" i="84" s="1"/>
  <c r="W210" i="84"/>
  <c r="X210" i="84" s="1"/>
  <c r="W182" i="84"/>
  <c r="X182" i="84" s="1"/>
  <c r="W184" i="84"/>
  <c r="X184" i="84" s="1"/>
  <c r="W204" i="84"/>
  <c r="X204" i="84" s="1"/>
  <c r="W208" i="84"/>
  <c r="X208" i="84" s="1"/>
  <c r="W201" i="84"/>
  <c r="X201" i="84" s="1"/>
  <c r="W197" i="84"/>
  <c r="X197" i="84" s="1"/>
  <c r="W181" i="84"/>
  <c r="X181" i="84" s="1"/>
  <c r="W178" i="84"/>
  <c r="X178" i="84" s="1"/>
  <c r="W171" i="84"/>
  <c r="X171" i="84" s="1"/>
  <c r="BY160" i="84"/>
  <c r="CI177" i="84"/>
  <c r="CE169" i="84" s="1"/>
  <c r="CJ173" i="84"/>
  <c r="CF173" i="84" s="1"/>
  <c r="CJ176" i="84"/>
  <c r="CF170" i="84" s="1"/>
  <c r="CJ174" i="84"/>
  <c r="CF172" i="84" s="1"/>
  <c r="CI171" i="84"/>
  <c r="CE175" i="84" s="1"/>
  <c r="W174" i="84"/>
  <c r="X174" i="84" s="1"/>
  <c r="W175" i="84"/>
  <c r="X175" i="84" s="1"/>
  <c r="CJ175" i="84"/>
  <c r="CF171" i="84" s="1"/>
  <c r="W176" i="84"/>
  <c r="X176" i="84" s="1"/>
  <c r="CJ177" i="84"/>
  <c r="CF169" i="84" s="1"/>
  <c r="W180" i="84"/>
  <c r="X180" i="84" s="1"/>
  <c r="AN198" i="84"/>
  <c r="W185" i="84"/>
  <c r="X185" i="84" s="1"/>
  <c r="AA183" i="84"/>
  <c r="AA181" i="84"/>
  <c r="AA174" i="84"/>
  <c r="AA179" i="84"/>
  <c r="AA177" i="84"/>
  <c r="AA180" i="84"/>
  <c r="AA175" i="84"/>
  <c r="W167" i="84"/>
  <c r="X167" i="84" s="1"/>
  <c r="W168" i="84"/>
  <c r="X168" i="84" s="1"/>
  <c r="X214" i="84" s="1"/>
  <c r="W170" i="84"/>
  <c r="X170" i="84" s="1"/>
  <c r="CI170" i="84"/>
  <c r="CE176" i="84" s="1"/>
  <c r="BZ161" i="84" s="1"/>
  <c r="S123" i="84" s="1"/>
  <c r="CJ172" i="84"/>
  <c r="CF174" i="84" s="1"/>
  <c r="AA176" i="84"/>
  <c r="W177" i="84"/>
  <c r="X177" i="84" s="1"/>
  <c r="AA178" i="84"/>
  <c r="W183" i="84"/>
  <c r="X183" i="84" s="1"/>
  <c r="W190" i="84"/>
  <c r="X190" i="84" s="1"/>
  <c r="W193" i="84"/>
  <c r="X193" i="84" s="1"/>
  <c r="AO206" i="84"/>
  <c r="AN206" i="84"/>
  <c r="AO210" i="84"/>
  <c r="AN210" i="84"/>
  <c r="BP157" i="84"/>
  <c r="BV158" i="84" s="1"/>
  <c r="BN157" i="84" s="1"/>
  <c r="W173" i="84"/>
  <c r="X173" i="84" s="1"/>
  <c r="AB178" i="84"/>
  <c r="AN190" i="84"/>
  <c r="Z216" i="84"/>
  <c r="G267" i="84"/>
  <c r="H51" i="59" s="1"/>
  <c r="G34" i="1"/>
  <c r="D8" i="50"/>
  <c r="A7" i="50"/>
  <c r="D6" i="50"/>
  <c r="A6" i="50"/>
  <c r="F15" i="50"/>
  <c r="A13" i="50"/>
  <c r="H315" i="59"/>
  <c r="I315" i="59"/>
  <c r="J315" i="59"/>
  <c r="K315" i="59"/>
  <c r="L315" i="59"/>
  <c r="M315" i="59"/>
  <c r="N315" i="59"/>
  <c r="O315" i="59"/>
  <c r="P315" i="59"/>
  <c r="Q315" i="59"/>
  <c r="R315" i="59"/>
  <c r="AB225" i="84" l="1"/>
  <c r="AB226" i="84" s="1"/>
  <c r="I84" i="84"/>
  <c r="I78" i="84"/>
  <c r="I69" i="84"/>
  <c r="I115" i="84" s="1"/>
  <c r="I49" i="84" s="1"/>
  <c r="AA225" i="84"/>
  <c r="AA226" i="84" s="1"/>
  <c r="AL214" i="84"/>
  <c r="F46" i="84"/>
  <c r="F50" i="84" s="1"/>
  <c r="F51" i="84" s="1"/>
  <c r="AM214" i="84"/>
  <c r="H115" i="84"/>
  <c r="H49" i="84" s="1"/>
  <c r="AB172" i="84"/>
  <c r="AB174" i="84"/>
  <c r="R125" i="84"/>
  <c r="AB183" i="84"/>
  <c r="AB176" i="84"/>
  <c r="AB181" i="84"/>
  <c r="AB180" i="84"/>
  <c r="BF168" i="84"/>
  <c r="BF169" i="84" s="1"/>
  <c r="BF170" i="84" s="1"/>
  <c r="BF171" i="84" s="1"/>
  <c r="BF172" i="84" s="1"/>
  <c r="BF173" i="84" s="1"/>
  <c r="BF174" i="84" s="1"/>
  <c r="BF175" i="84" s="1"/>
  <c r="BF176" i="84" s="1"/>
  <c r="AB175" i="84"/>
  <c r="AB173" i="84"/>
  <c r="AB177" i="84"/>
  <c r="AB179" i="84"/>
  <c r="V115" i="84"/>
  <c r="S59" i="84" s="1"/>
  <c r="AA168" i="84"/>
  <c r="I214" i="84"/>
  <c r="J22" i="59" s="1"/>
  <c r="Z211" i="84"/>
  <c r="Y211" i="84" s="1"/>
  <c r="Z206" i="84"/>
  <c r="Y206" i="84" s="1"/>
  <c r="Z207" i="84"/>
  <c r="Y207" i="84" s="1"/>
  <c r="Z203" i="84"/>
  <c r="Y203" i="84" s="1"/>
  <c r="Z205" i="84"/>
  <c r="Y205" i="84" s="1"/>
  <c r="Z201" i="84"/>
  <c r="Y201" i="84" s="1"/>
  <c r="Z197" i="84"/>
  <c r="Y197" i="84" s="1"/>
  <c r="Z193" i="84"/>
  <c r="Y193" i="84" s="1"/>
  <c r="Z189" i="84"/>
  <c r="Y189" i="84" s="1"/>
  <c r="Z185" i="84"/>
  <c r="Y185" i="84" s="1"/>
  <c r="Z181" i="84"/>
  <c r="Y181" i="84" s="1"/>
  <c r="Z210" i="84"/>
  <c r="Y210" i="84" s="1"/>
  <c r="Z204" i="84"/>
  <c r="Y204" i="84" s="1"/>
  <c r="Z209" i="84"/>
  <c r="Y209" i="84" s="1"/>
  <c r="Z178" i="84"/>
  <c r="Y178" i="84" s="1"/>
  <c r="Z171" i="84"/>
  <c r="Y171" i="84" s="1"/>
  <c r="Z212" i="84"/>
  <c r="Y212" i="84" s="1"/>
  <c r="Z208" i="84"/>
  <c r="Y208" i="84" s="1"/>
  <c r="Z183" i="84"/>
  <c r="Y183" i="84" s="1"/>
  <c r="Z174" i="84"/>
  <c r="Y174" i="84" s="1"/>
  <c r="Z213" i="84"/>
  <c r="Y213" i="84" s="1"/>
  <c r="Z202" i="84"/>
  <c r="Y202" i="84" s="1"/>
  <c r="Z198" i="84"/>
  <c r="Y198" i="84" s="1"/>
  <c r="Z172" i="84"/>
  <c r="Y172" i="84" s="1"/>
  <c r="Z184" i="84"/>
  <c r="Y184" i="84" s="1"/>
  <c r="Z177" i="84"/>
  <c r="Y177" i="84" s="1"/>
  <c r="Z195" i="84"/>
  <c r="Y195" i="84" s="1"/>
  <c r="Z188" i="84"/>
  <c r="Y188" i="84" s="1"/>
  <c r="Z180" i="84"/>
  <c r="Y180" i="84" s="1"/>
  <c r="Z175" i="84"/>
  <c r="Y175" i="84" s="1"/>
  <c r="Z191" i="84"/>
  <c r="Y191" i="84" s="1"/>
  <c r="Z186" i="84"/>
  <c r="Y186" i="84" s="1"/>
  <c r="Z176" i="84"/>
  <c r="Y176" i="84" s="1"/>
  <c r="AA169" i="84"/>
  <c r="Z194" i="84"/>
  <c r="Y194" i="84" s="1"/>
  <c r="Z169" i="84"/>
  <c r="Y169" i="84" s="1"/>
  <c r="Z200" i="84"/>
  <c r="Y200" i="84" s="1"/>
  <c r="Z192" i="84"/>
  <c r="Y192" i="84" s="1"/>
  <c r="Z179" i="84"/>
  <c r="Y179" i="84" s="1"/>
  <c r="Z187" i="84"/>
  <c r="Y187" i="84" s="1"/>
  <c r="Z182" i="84"/>
  <c r="Y182" i="84" s="1"/>
  <c r="Z199" i="84"/>
  <c r="Y199" i="84" s="1"/>
  <c r="Z196" i="84"/>
  <c r="Y196" i="84" s="1"/>
  <c r="Z190" i="84"/>
  <c r="Y190" i="84" s="1"/>
  <c r="Z173" i="84"/>
  <c r="Y173" i="84" s="1"/>
  <c r="Z170" i="84"/>
  <c r="Y170" i="84" s="1"/>
  <c r="Z168" i="84"/>
  <c r="Y168" i="84" s="1"/>
  <c r="Z167" i="84"/>
  <c r="Y167" i="84" s="1"/>
  <c r="S120" i="84"/>
  <c r="S58" i="84"/>
  <c r="F272" i="84"/>
  <c r="C65" i="84"/>
  <c r="I267" i="84"/>
  <c r="J51" i="59" s="1"/>
  <c r="AC172" i="84"/>
  <c r="AC180" i="84"/>
  <c r="AC175" i="84"/>
  <c r="AC173" i="84"/>
  <c r="AC178" i="84"/>
  <c r="AC176" i="84"/>
  <c r="AC174" i="84"/>
  <c r="AC169" i="84"/>
  <c r="R126" i="84"/>
  <c r="AC179" i="84"/>
  <c r="AC170" i="84"/>
  <c r="AC168" i="84"/>
  <c r="AC183" i="84"/>
  <c r="AC181" i="84"/>
  <c r="AC177" i="84"/>
  <c r="AD166" i="84"/>
  <c r="AB169" i="84"/>
  <c r="AB170" i="84"/>
  <c r="BV157" i="84"/>
  <c r="BG167" i="84"/>
  <c r="AB168" i="84"/>
  <c r="H214" i="84"/>
  <c r="I22" i="59" s="1"/>
  <c r="H267" i="84"/>
  <c r="I51" i="59" s="1"/>
  <c r="BV164" i="84"/>
  <c r="J271" i="84"/>
  <c r="J264" i="84"/>
  <c r="J256" i="84"/>
  <c r="J248" i="84"/>
  <c r="J240" i="84"/>
  <c r="J232" i="84"/>
  <c r="J220" i="84"/>
  <c r="J261" i="84"/>
  <c r="J253" i="84"/>
  <c r="J245" i="84"/>
  <c r="J237" i="84"/>
  <c r="J229" i="84"/>
  <c r="J225" i="84"/>
  <c r="J209" i="84"/>
  <c r="J205" i="84"/>
  <c r="J258" i="84"/>
  <c r="J250" i="84"/>
  <c r="J242" i="84"/>
  <c r="J234" i="84"/>
  <c r="J222" i="84"/>
  <c r="J224" i="84"/>
  <c r="J223" i="84"/>
  <c r="J206" i="84"/>
  <c r="J202" i="84"/>
  <c r="J198" i="84"/>
  <c r="J260" i="84"/>
  <c r="J259" i="84"/>
  <c r="J249" i="84"/>
  <c r="J239" i="84"/>
  <c r="J238" i="84"/>
  <c r="J228" i="84"/>
  <c r="J227" i="84"/>
  <c r="J226" i="84"/>
  <c r="J203" i="84"/>
  <c r="J199" i="84"/>
  <c r="J195" i="84"/>
  <c r="J191" i="84"/>
  <c r="J187" i="84"/>
  <c r="J252" i="84"/>
  <c r="J251" i="84"/>
  <c r="J241" i="84"/>
  <c r="J231" i="84"/>
  <c r="J230" i="84"/>
  <c r="J265" i="84"/>
  <c r="J200" i="84"/>
  <c r="J196" i="84"/>
  <c r="J192" i="84"/>
  <c r="J188" i="84"/>
  <c r="J262" i="84"/>
  <c r="J257" i="84"/>
  <c r="J243" i="84"/>
  <c r="J236" i="84"/>
  <c r="J208" i="84"/>
  <c r="J204" i="84"/>
  <c r="J254" i="84"/>
  <c r="J247" i="84"/>
  <c r="J233" i="84"/>
  <c r="J184" i="84"/>
  <c r="J244" i="84"/>
  <c r="J235" i="84"/>
  <c r="J207" i="84"/>
  <c r="J263" i="84"/>
  <c r="J221" i="84"/>
  <c r="J255" i="84"/>
  <c r="J246" i="84"/>
  <c r="J193" i="84"/>
  <c r="J189" i="84"/>
  <c r="J183" i="84"/>
  <c r="J178" i="84"/>
  <c r="J197" i="84"/>
  <c r="J194" i="84"/>
  <c r="J186" i="84"/>
  <c r="J180" i="84"/>
  <c r="J176" i="84"/>
  <c r="J175" i="84"/>
  <c r="J174" i="84"/>
  <c r="J170" i="84"/>
  <c r="J168" i="84"/>
  <c r="J167" i="84"/>
  <c r="J166" i="84"/>
  <c r="J190" i="84"/>
  <c r="J179" i="84"/>
  <c r="J172" i="84"/>
  <c r="J185" i="84"/>
  <c r="J182" i="84"/>
  <c r="J171" i="84"/>
  <c r="J201" i="84"/>
  <c r="J181" i="84"/>
  <c r="J177" i="84"/>
  <c r="J173" i="84"/>
  <c r="J169" i="84"/>
  <c r="J82" i="84"/>
  <c r="J69" i="84"/>
  <c r="J77" i="84"/>
  <c r="J75" i="84"/>
  <c r="J72" i="84"/>
  <c r="J81" i="84"/>
  <c r="J79" i="84"/>
  <c r="K66" i="84"/>
  <c r="J73" i="84"/>
  <c r="J70" i="84"/>
  <c r="J84" i="84"/>
  <c r="J76" i="84"/>
  <c r="J78" i="84"/>
  <c r="J74" i="84"/>
  <c r="J83" i="84"/>
  <c r="J80" i="84"/>
  <c r="J71" i="84"/>
  <c r="F56" i="84" l="1"/>
  <c r="G171" i="59"/>
  <c r="F47" i="84"/>
  <c r="AA214" i="84"/>
  <c r="AA215" i="84" s="1"/>
  <c r="AA216" i="84" s="1"/>
  <c r="S124" i="84" s="1"/>
  <c r="AB214" i="84"/>
  <c r="J214" i="84"/>
  <c r="K22" i="59" s="1"/>
  <c r="J267" i="84"/>
  <c r="K51" i="59" s="1"/>
  <c r="AC214" i="84"/>
  <c r="J115" i="84"/>
  <c r="J49" i="84" s="1"/>
  <c r="K264" i="84"/>
  <c r="K261" i="84"/>
  <c r="K253" i="84"/>
  <c r="K245" i="84"/>
  <c r="K237" i="84"/>
  <c r="K229" i="84"/>
  <c r="K225" i="84"/>
  <c r="K209" i="84"/>
  <c r="K205" i="84"/>
  <c r="K258" i="84"/>
  <c r="K250" i="84"/>
  <c r="K242" i="84"/>
  <c r="K234" i="84"/>
  <c r="K222" i="84"/>
  <c r="K263" i="84"/>
  <c r="K255" i="84"/>
  <c r="K247" i="84"/>
  <c r="K239" i="84"/>
  <c r="K231" i="84"/>
  <c r="K271" i="84"/>
  <c r="K260" i="84"/>
  <c r="K259" i="84"/>
  <c r="K249" i="84"/>
  <c r="K238" i="84"/>
  <c r="K228" i="84"/>
  <c r="K227" i="84"/>
  <c r="K226" i="84"/>
  <c r="K248" i="84"/>
  <c r="K252" i="84"/>
  <c r="K251" i="84"/>
  <c r="K241" i="84"/>
  <c r="K230" i="84"/>
  <c r="K265" i="84"/>
  <c r="K240" i="84"/>
  <c r="K200" i="84"/>
  <c r="K196" i="84"/>
  <c r="K192" i="84"/>
  <c r="K188" i="84"/>
  <c r="K184" i="84"/>
  <c r="K254" i="84"/>
  <c r="K244" i="84"/>
  <c r="K243" i="84"/>
  <c r="K233" i="84"/>
  <c r="K220" i="84"/>
  <c r="K201" i="84"/>
  <c r="K224" i="84"/>
  <c r="K235" i="84"/>
  <c r="K207" i="84"/>
  <c r="K173" i="84"/>
  <c r="K256" i="84"/>
  <c r="K221" i="84"/>
  <c r="K202" i="84"/>
  <c r="K198" i="84"/>
  <c r="K181" i="84"/>
  <c r="K176" i="84"/>
  <c r="K246" i="84"/>
  <c r="K203" i="84"/>
  <c r="K199" i="84"/>
  <c r="K232" i="84"/>
  <c r="K223" i="84"/>
  <c r="K195" i="84"/>
  <c r="K194" i="84"/>
  <c r="K191" i="84"/>
  <c r="K190" i="84"/>
  <c r="K187" i="84"/>
  <c r="K186" i="84"/>
  <c r="K185" i="84"/>
  <c r="K174" i="84"/>
  <c r="K189" i="84"/>
  <c r="K180" i="84"/>
  <c r="K178" i="84"/>
  <c r="K175" i="84"/>
  <c r="K84" i="84"/>
  <c r="K81" i="84"/>
  <c r="K78" i="84"/>
  <c r="K208" i="84"/>
  <c r="K170" i="84"/>
  <c r="K168" i="84"/>
  <c r="K167" i="84"/>
  <c r="K166" i="84"/>
  <c r="K179" i="84"/>
  <c r="K172" i="84"/>
  <c r="K257" i="84"/>
  <c r="K193" i="84"/>
  <c r="K182" i="84"/>
  <c r="K171" i="84"/>
  <c r="K262" i="84"/>
  <c r="K236" i="84"/>
  <c r="K204" i="84"/>
  <c r="K83" i="84"/>
  <c r="K206" i="84"/>
  <c r="K183" i="84"/>
  <c r="K177" i="84"/>
  <c r="K169" i="84"/>
  <c r="K197" i="84"/>
  <c r="K82" i="84"/>
  <c r="K69" i="84"/>
  <c r="K77" i="84"/>
  <c r="K75" i="84"/>
  <c r="K72" i="84"/>
  <c r="K79" i="84"/>
  <c r="L66" i="84"/>
  <c r="K73" i="84"/>
  <c r="K70" i="84"/>
  <c r="K76" i="84"/>
  <c r="K80" i="84"/>
  <c r="K74" i="84"/>
  <c r="K71" i="84"/>
  <c r="AD183" i="84"/>
  <c r="AD180" i="84"/>
  <c r="AD175" i="84"/>
  <c r="AD176" i="84"/>
  <c r="AD174" i="84"/>
  <c r="AD169" i="84"/>
  <c r="AD172" i="84"/>
  <c r="AD179" i="84"/>
  <c r="AD170" i="84"/>
  <c r="AD168" i="84"/>
  <c r="AD173" i="84"/>
  <c r="R127" i="84"/>
  <c r="AD181" i="84"/>
  <c r="AD177" i="84"/>
  <c r="AE166" i="84"/>
  <c r="AD178" i="84"/>
  <c r="D41" i="60"/>
  <c r="D109" i="73"/>
  <c r="AW35" i="74"/>
  <c r="AW36" i="74" s="1"/>
  <c r="G272" i="84" l="1"/>
  <c r="AD214" i="84"/>
  <c r="AB215" i="84"/>
  <c r="AB216" i="84" s="1"/>
  <c r="BG168" i="84"/>
  <c r="K267" i="84"/>
  <c r="L51" i="59" s="1"/>
  <c r="AC215" i="84"/>
  <c r="AC216" i="84" s="1"/>
  <c r="BG169" i="84"/>
  <c r="K214" i="84"/>
  <c r="L22" i="59" s="1"/>
  <c r="L261" i="84"/>
  <c r="L258" i="84"/>
  <c r="L250" i="84"/>
  <c r="L242" i="84"/>
  <c r="L234" i="84"/>
  <c r="L222" i="84"/>
  <c r="L263" i="84"/>
  <c r="L255" i="84"/>
  <c r="L247" i="84"/>
  <c r="L239" i="84"/>
  <c r="L231" i="84"/>
  <c r="L206" i="84"/>
  <c r="L260" i="84"/>
  <c r="L252" i="84"/>
  <c r="L244" i="84"/>
  <c r="L236" i="84"/>
  <c r="L228" i="84"/>
  <c r="L226" i="84"/>
  <c r="L224" i="84"/>
  <c r="L248" i="84"/>
  <c r="L237" i="84"/>
  <c r="L203" i="84"/>
  <c r="L199" i="84"/>
  <c r="L251" i="84"/>
  <c r="L241" i="84"/>
  <c r="L230" i="84"/>
  <c r="L225" i="84"/>
  <c r="L265" i="84"/>
  <c r="L264" i="84"/>
  <c r="L240" i="84"/>
  <c r="L229" i="84"/>
  <c r="L200" i="84"/>
  <c r="L196" i="84"/>
  <c r="L192" i="84"/>
  <c r="L188" i="84"/>
  <c r="L254" i="84"/>
  <c r="L243" i="84"/>
  <c r="L233" i="84"/>
  <c r="L262" i="84"/>
  <c r="L253" i="84"/>
  <c r="L232" i="84"/>
  <c r="L221" i="84"/>
  <c r="L209" i="84"/>
  <c r="L208" i="84"/>
  <c r="L204" i="84"/>
  <c r="L201" i="84"/>
  <c r="L197" i="84"/>
  <c r="L193" i="84"/>
  <c r="L189" i="84"/>
  <c r="L185" i="84"/>
  <c r="L259" i="84"/>
  <c r="L238" i="84"/>
  <c r="L220" i="84"/>
  <c r="L245" i="84"/>
  <c r="L271" i="84"/>
  <c r="L249" i="84"/>
  <c r="L235" i="84"/>
  <c r="L207" i="84"/>
  <c r="L256" i="84"/>
  <c r="L202" i="84"/>
  <c r="L198" i="84"/>
  <c r="L181" i="84"/>
  <c r="L176" i="84"/>
  <c r="L246" i="84"/>
  <c r="L183" i="84"/>
  <c r="L178" i="84"/>
  <c r="L223" i="84"/>
  <c r="L195" i="84"/>
  <c r="L194" i="84"/>
  <c r="L257" i="84"/>
  <c r="L227" i="84"/>
  <c r="L179" i="84"/>
  <c r="L177" i="84"/>
  <c r="L170" i="84"/>
  <c r="L168" i="84"/>
  <c r="L167" i="84"/>
  <c r="L166" i="84"/>
  <c r="L174" i="84"/>
  <c r="L187" i="84"/>
  <c r="L172" i="84"/>
  <c r="L190" i="84"/>
  <c r="L182" i="84"/>
  <c r="L171" i="84"/>
  <c r="L184" i="84"/>
  <c r="L169" i="84"/>
  <c r="L205" i="84"/>
  <c r="L191" i="84"/>
  <c r="L173" i="84"/>
  <c r="L186" i="84"/>
  <c r="L180" i="84"/>
  <c r="L175" i="84"/>
  <c r="L77" i="84"/>
  <c r="L75" i="84"/>
  <c r="L72" i="84"/>
  <c r="L79" i="84"/>
  <c r="M66" i="84"/>
  <c r="L81" i="84"/>
  <c r="L73" i="84"/>
  <c r="L70" i="84"/>
  <c r="L76" i="84"/>
  <c r="L84" i="84"/>
  <c r="L80" i="84"/>
  <c r="L78" i="84"/>
  <c r="L74" i="84"/>
  <c r="L71" i="84"/>
  <c r="L83" i="84"/>
  <c r="L82" i="84"/>
  <c r="L69" i="84"/>
  <c r="AE178" i="84"/>
  <c r="AE172" i="84"/>
  <c r="AE179" i="84"/>
  <c r="AE170" i="84"/>
  <c r="AE168" i="84"/>
  <c r="R128" i="84"/>
  <c r="AE173" i="84"/>
  <c r="AE181" i="84"/>
  <c r="AE177" i="84"/>
  <c r="AF166" i="84"/>
  <c r="AE183" i="84"/>
  <c r="AE180" i="84"/>
  <c r="AE176" i="84"/>
  <c r="AE175" i="84"/>
  <c r="AE174" i="84"/>
  <c r="AE169" i="84"/>
  <c r="K115" i="84"/>
  <c r="K49" i="84" s="1"/>
  <c r="A27" i="50"/>
  <c r="F25" i="50"/>
  <c r="P24" i="50"/>
  <c r="O24" i="50"/>
  <c r="N24" i="50"/>
  <c r="N15" i="50" s="1"/>
  <c r="M24" i="50"/>
  <c r="M15" i="50" s="1"/>
  <c r="L24" i="50"/>
  <c r="L15" i="50" s="1"/>
  <c r="K24" i="50"/>
  <c r="K15" i="50" s="1"/>
  <c r="J24" i="50"/>
  <c r="I24" i="50"/>
  <c r="H24" i="50"/>
  <c r="G24" i="50"/>
  <c r="A21" i="50"/>
  <c r="G286" i="59"/>
  <c r="H286" i="59"/>
  <c r="I286" i="59"/>
  <c r="J286" i="59"/>
  <c r="K286" i="59"/>
  <c r="L286" i="59"/>
  <c r="M286" i="59"/>
  <c r="N286" i="59"/>
  <c r="O286" i="59"/>
  <c r="P286" i="59"/>
  <c r="Q286" i="59"/>
  <c r="R286" i="59"/>
  <c r="A13" i="26"/>
  <c r="J23" i="71"/>
  <c r="R91" i="70"/>
  <c r="C114" i="70"/>
  <c r="C85" i="70"/>
  <c r="G35" i="41"/>
  <c r="G25" i="50" l="1"/>
  <c r="G15" i="50"/>
  <c r="O25" i="50"/>
  <c r="O15" i="50"/>
  <c r="L25" i="50"/>
  <c r="H25" i="50"/>
  <c r="H15" i="50"/>
  <c r="P25" i="50"/>
  <c r="P15" i="50"/>
  <c r="M25" i="50"/>
  <c r="I25" i="50"/>
  <c r="I15" i="50"/>
  <c r="N25" i="50"/>
  <c r="J25" i="50"/>
  <c r="J15" i="50"/>
  <c r="K25" i="50"/>
  <c r="G56" i="84"/>
  <c r="H171" i="59"/>
  <c r="H272" i="84"/>
  <c r="S125" i="84"/>
  <c r="M263" i="84"/>
  <c r="M255" i="84"/>
  <c r="M247" i="84"/>
  <c r="M239" i="84"/>
  <c r="M231" i="84"/>
  <c r="M206" i="84"/>
  <c r="M260" i="84"/>
  <c r="M252" i="84"/>
  <c r="M244" i="84"/>
  <c r="M236" i="84"/>
  <c r="M228" i="84"/>
  <c r="M226" i="84"/>
  <c r="M224" i="84"/>
  <c r="M265" i="84"/>
  <c r="M257" i="84"/>
  <c r="M249" i="84"/>
  <c r="M241" i="84"/>
  <c r="M233" i="84"/>
  <c r="M221" i="84"/>
  <c r="M251" i="84"/>
  <c r="M230" i="84"/>
  <c r="M225" i="84"/>
  <c r="M205" i="84"/>
  <c r="M264" i="84"/>
  <c r="M250" i="84"/>
  <c r="M240" i="84"/>
  <c r="M229" i="84"/>
  <c r="M254" i="84"/>
  <c r="M243" i="84"/>
  <c r="M262" i="84"/>
  <c r="M261" i="84"/>
  <c r="M253" i="84"/>
  <c r="M242" i="84"/>
  <c r="M232" i="84"/>
  <c r="M209" i="84"/>
  <c r="M208" i="84"/>
  <c r="M204" i="84"/>
  <c r="M201" i="84"/>
  <c r="M197" i="84"/>
  <c r="M193" i="84"/>
  <c r="M189" i="84"/>
  <c r="M185" i="84"/>
  <c r="M181" i="84"/>
  <c r="M246" i="84"/>
  <c r="M235" i="84"/>
  <c r="M220" i="84"/>
  <c r="M207" i="84"/>
  <c r="M245" i="84"/>
  <c r="M271" i="84"/>
  <c r="M222" i="84"/>
  <c r="M256" i="84"/>
  <c r="M183" i="84"/>
  <c r="M178" i="84"/>
  <c r="M258" i="84"/>
  <c r="M237" i="84"/>
  <c r="M223" i="84"/>
  <c r="M203" i="84"/>
  <c r="M199" i="84"/>
  <c r="M195" i="84"/>
  <c r="M194" i="84"/>
  <c r="M192" i="84"/>
  <c r="M191" i="84"/>
  <c r="M190" i="84"/>
  <c r="M188" i="84"/>
  <c r="M187" i="84"/>
  <c r="M186" i="84"/>
  <c r="M227" i="84"/>
  <c r="M248" i="84"/>
  <c r="M234" i="84"/>
  <c r="M200" i="84"/>
  <c r="M196" i="84"/>
  <c r="M172" i="84"/>
  <c r="M176" i="84"/>
  <c r="M174" i="84"/>
  <c r="M82" i="84"/>
  <c r="M76" i="84"/>
  <c r="M259" i="84"/>
  <c r="M238" i="84"/>
  <c r="M182" i="84"/>
  <c r="M179" i="84"/>
  <c r="M171" i="84"/>
  <c r="M184" i="84"/>
  <c r="M169" i="84"/>
  <c r="M202" i="84"/>
  <c r="M198" i="84"/>
  <c r="M177" i="84"/>
  <c r="M173" i="84"/>
  <c r="M180" i="84"/>
  <c r="M175" i="84"/>
  <c r="M170" i="84"/>
  <c r="M168" i="84"/>
  <c r="M167" i="84"/>
  <c r="M166" i="84"/>
  <c r="M79" i="84"/>
  <c r="N66" i="84"/>
  <c r="M81" i="84"/>
  <c r="M73" i="84"/>
  <c r="M70" i="84"/>
  <c r="M84" i="84"/>
  <c r="M80" i="84"/>
  <c r="M78" i="84"/>
  <c r="M74" i="84"/>
  <c r="M71" i="84"/>
  <c r="M83" i="84"/>
  <c r="M69" i="84"/>
  <c r="M77" i="84"/>
  <c r="M75" i="84"/>
  <c r="M72" i="84"/>
  <c r="I272" i="84"/>
  <c r="S126" i="84"/>
  <c r="L267" i="84"/>
  <c r="M51" i="59" s="1"/>
  <c r="AE214" i="84"/>
  <c r="AD215" i="84"/>
  <c r="AD216" i="84" s="1"/>
  <c r="BG170" i="84"/>
  <c r="AF180" i="84"/>
  <c r="AF173" i="84"/>
  <c r="AF176" i="84"/>
  <c r="AF181" i="84"/>
  <c r="AF174" i="84"/>
  <c r="R129" i="84"/>
  <c r="AF179" i="84"/>
  <c r="AF170" i="84"/>
  <c r="AF168" i="84"/>
  <c r="AF177" i="84"/>
  <c r="AG166" i="84"/>
  <c r="AF183" i="84"/>
  <c r="AF178" i="84"/>
  <c r="AF175" i="84"/>
  <c r="AF169" i="84"/>
  <c r="AF172" i="84"/>
  <c r="L115" i="84"/>
  <c r="L49" i="84" s="1"/>
  <c r="L214" i="84"/>
  <c r="M22" i="59" s="1"/>
  <c r="Q25" i="50"/>
  <c r="Q24" i="50"/>
  <c r="X212" i="35"/>
  <c r="X213" i="35"/>
  <c r="A27" i="35"/>
  <c r="F25" i="35"/>
  <c r="P24" i="35"/>
  <c r="P25" i="35" s="1"/>
  <c r="O24" i="35"/>
  <c r="O25" i="35" s="1"/>
  <c r="N24" i="35"/>
  <c r="N25" i="35" s="1"/>
  <c r="M24" i="35"/>
  <c r="M25" i="35" s="1"/>
  <c r="L24" i="35"/>
  <c r="L25" i="35" s="1"/>
  <c r="K24" i="35"/>
  <c r="K25" i="35" s="1"/>
  <c r="J24" i="35"/>
  <c r="J25" i="35" s="1"/>
  <c r="I24" i="35"/>
  <c r="I25" i="35" s="1"/>
  <c r="H24" i="35"/>
  <c r="H25" i="35" s="1"/>
  <c r="G24" i="35"/>
  <c r="A21" i="35"/>
  <c r="F19" i="35"/>
  <c r="G257" i="59"/>
  <c r="H257" i="59"/>
  <c r="I257" i="59"/>
  <c r="J257" i="59"/>
  <c r="K257" i="59"/>
  <c r="L257" i="59"/>
  <c r="M257" i="59"/>
  <c r="N257" i="59"/>
  <c r="O257" i="59"/>
  <c r="P257" i="59"/>
  <c r="Q257" i="59"/>
  <c r="R257" i="59"/>
  <c r="A27" i="38"/>
  <c r="F25" i="38"/>
  <c r="P24" i="38"/>
  <c r="P25" i="38" s="1"/>
  <c r="O24" i="38"/>
  <c r="O25" i="38" s="1"/>
  <c r="N24" i="38"/>
  <c r="N25" i="38" s="1"/>
  <c r="M24" i="38"/>
  <c r="M25" i="38" s="1"/>
  <c r="L24" i="38"/>
  <c r="L25" i="38" s="1"/>
  <c r="K24" i="38"/>
  <c r="K25" i="38" s="1"/>
  <c r="J24" i="38"/>
  <c r="J25" i="38" s="1"/>
  <c r="I24" i="38"/>
  <c r="I25" i="38" s="1"/>
  <c r="H24" i="38"/>
  <c r="H25" i="38" s="1"/>
  <c r="G24" i="38"/>
  <c r="G25" i="38" s="1"/>
  <c r="A21" i="38"/>
  <c r="F19" i="38"/>
  <c r="C115" i="17"/>
  <c r="G166" i="41"/>
  <c r="I56" i="84" l="1"/>
  <c r="J171" i="59"/>
  <c r="H56" i="84"/>
  <c r="I171" i="59"/>
  <c r="M214" i="84"/>
  <c r="N22" i="59" s="1"/>
  <c r="AG176" i="84"/>
  <c r="AG178" i="84"/>
  <c r="AG183" i="84"/>
  <c r="AG179" i="84"/>
  <c r="AG177" i="84"/>
  <c r="AG170" i="84"/>
  <c r="AG168" i="84"/>
  <c r="AG173" i="84"/>
  <c r="AH166" i="84"/>
  <c r="AG181" i="84"/>
  <c r="AG175" i="84"/>
  <c r="AG169" i="84"/>
  <c r="AG180" i="84"/>
  <c r="AG174" i="84"/>
  <c r="AG172" i="84"/>
  <c r="R130" i="84"/>
  <c r="AF214" i="84"/>
  <c r="J272" i="84"/>
  <c r="S127" i="84"/>
  <c r="M115" i="84"/>
  <c r="M49" i="84" s="1"/>
  <c r="AE215" i="84"/>
  <c r="AE216" i="84" s="1"/>
  <c r="BG171" i="84"/>
  <c r="N263" i="84"/>
  <c r="N260" i="84"/>
  <c r="N252" i="84"/>
  <c r="N244" i="84"/>
  <c r="N236" i="84"/>
  <c r="N228" i="84"/>
  <c r="N226" i="84"/>
  <c r="N224" i="84"/>
  <c r="N265" i="84"/>
  <c r="N257" i="84"/>
  <c r="N249" i="84"/>
  <c r="N241" i="84"/>
  <c r="N233" i="84"/>
  <c r="N221" i="84"/>
  <c r="N207" i="84"/>
  <c r="N203" i="84"/>
  <c r="N262" i="84"/>
  <c r="N254" i="84"/>
  <c r="N246" i="84"/>
  <c r="N238" i="84"/>
  <c r="N230" i="84"/>
  <c r="N264" i="84"/>
  <c r="N250" i="84"/>
  <c r="N240" i="84"/>
  <c r="N239" i="84"/>
  <c r="N229" i="84"/>
  <c r="N200" i="84"/>
  <c r="N196" i="84"/>
  <c r="N243" i="84"/>
  <c r="N261" i="84"/>
  <c r="N253" i="84"/>
  <c r="N242" i="84"/>
  <c r="N232" i="84"/>
  <c r="N231" i="84"/>
  <c r="N209" i="84"/>
  <c r="N208" i="84"/>
  <c r="N204" i="84"/>
  <c r="N201" i="84"/>
  <c r="N197" i="84"/>
  <c r="N193" i="84"/>
  <c r="N189" i="84"/>
  <c r="N185" i="84"/>
  <c r="N235" i="84"/>
  <c r="N220" i="84"/>
  <c r="N256" i="84"/>
  <c r="N255" i="84"/>
  <c r="N245" i="84"/>
  <c r="N234" i="84"/>
  <c r="N223" i="84"/>
  <c r="N202" i="84"/>
  <c r="N198" i="84"/>
  <c r="N194" i="84"/>
  <c r="N190" i="84"/>
  <c r="N186" i="84"/>
  <c r="N271" i="84"/>
  <c r="N222" i="84"/>
  <c r="N247" i="84"/>
  <c r="N205" i="84"/>
  <c r="N251" i="84"/>
  <c r="N258" i="84"/>
  <c r="N237" i="84"/>
  <c r="N199" i="84"/>
  <c r="N195" i="84"/>
  <c r="N192" i="84"/>
  <c r="N191" i="84"/>
  <c r="N188" i="84"/>
  <c r="N187" i="84"/>
  <c r="N174" i="84"/>
  <c r="N227" i="84"/>
  <c r="N179" i="84"/>
  <c r="N177" i="84"/>
  <c r="N248" i="84"/>
  <c r="N259" i="84"/>
  <c r="N225" i="84"/>
  <c r="N206" i="84"/>
  <c r="N182" i="84"/>
  <c r="N180" i="84"/>
  <c r="N175" i="84"/>
  <c r="N79" i="84"/>
  <c r="N172" i="84"/>
  <c r="N171" i="84"/>
  <c r="N184" i="84"/>
  <c r="N169" i="84"/>
  <c r="N173" i="84"/>
  <c r="N183" i="84"/>
  <c r="N181" i="84"/>
  <c r="N84" i="84"/>
  <c r="N81" i="84"/>
  <c r="N170" i="84"/>
  <c r="N168" i="84"/>
  <c r="N167" i="84"/>
  <c r="N166" i="84"/>
  <c r="N178" i="84"/>
  <c r="N176" i="84"/>
  <c r="N73" i="84"/>
  <c r="N70" i="84"/>
  <c r="N76" i="84"/>
  <c r="N80" i="84"/>
  <c r="N78" i="84"/>
  <c r="N74" i="84"/>
  <c r="N71" i="84"/>
  <c r="N83" i="84"/>
  <c r="N69" i="84"/>
  <c r="N82" i="84"/>
  <c r="N77" i="84"/>
  <c r="N75" i="84"/>
  <c r="N72" i="84"/>
  <c r="O66" i="84"/>
  <c r="M267" i="84"/>
  <c r="N51" i="59" s="1"/>
  <c r="Q24" i="35"/>
  <c r="G25" i="35"/>
  <c r="Q25" i="35" s="1"/>
  <c r="Q24" i="38"/>
  <c r="Q25" i="38"/>
  <c r="H166" i="64"/>
  <c r="H66" i="64"/>
  <c r="I166" i="64" s="1"/>
  <c r="U70" i="64"/>
  <c r="U69" i="64"/>
  <c r="AG214" i="84" l="1"/>
  <c r="BG173" i="84" s="1"/>
  <c r="J56" i="84"/>
  <c r="K171" i="59"/>
  <c r="N115" i="84"/>
  <c r="N49" i="84" s="1"/>
  <c r="K272" i="84"/>
  <c r="S128" i="84"/>
  <c r="O260" i="84"/>
  <c r="O265" i="84"/>
  <c r="O257" i="84"/>
  <c r="O249" i="84"/>
  <c r="O241" i="84"/>
  <c r="O233" i="84"/>
  <c r="O221" i="84"/>
  <c r="O207" i="84"/>
  <c r="O262" i="84"/>
  <c r="O254" i="84"/>
  <c r="O246" i="84"/>
  <c r="O238" i="84"/>
  <c r="O230" i="84"/>
  <c r="O271" i="84"/>
  <c r="O259" i="84"/>
  <c r="O251" i="84"/>
  <c r="O243" i="84"/>
  <c r="O235" i="84"/>
  <c r="O227" i="84"/>
  <c r="O223" i="84"/>
  <c r="O208" i="84"/>
  <c r="O261" i="84"/>
  <c r="O253" i="84"/>
  <c r="O252" i="84"/>
  <c r="O242" i="84"/>
  <c r="O232" i="84"/>
  <c r="O231" i="84"/>
  <c r="O220" i="84"/>
  <c r="O256" i="84"/>
  <c r="O255" i="84"/>
  <c r="O245" i="84"/>
  <c r="O244" i="84"/>
  <c r="O234" i="84"/>
  <c r="O202" i="84"/>
  <c r="O198" i="84"/>
  <c r="O194" i="84"/>
  <c r="O190" i="84"/>
  <c r="O186" i="84"/>
  <c r="O182" i="84"/>
  <c r="O222" i="84"/>
  <c r="O247" i="84"/>
  <c r="O240" i="84"/>
  <c r="O205" i="84"/>
  <c r="O201" i="84"/>
  <c r="O264" i="84"/>
  <c r="O224" i="84"/>
  <c r="O258" i="84"/>
  <c r="O237" i="84"/>
  <c r="O228" i="84"/>
  <c r="O226" i="84"/>
  <c r="O209" i="84"/>
  <c r="O203" i="84"/>
  <c r="O179" i="84"/>
  <c r="O177" i="84"/>
  <c r="O263" i="84"/>
  <c r="O248" i="84"/>
  <c r="O239" i="84"/>
  <c r="O193" i="84"/>
  <c r="O189" i="84"/>
  <c r="O225" i="84"/>
  <c r="O206" i="84"/>
  <c r="O200" i="84"/>
  <c r="O196" i="84"/>
  <c r="O250" i="84"/>
  <c r="O236" i="84"/>
  <c r="O229" i="84"/>
  <c r="O204" i="84"/>
  <c r="O192" i="84"/>
  <c r="O172" i="84"/>
  <c r="O171" i="84"/>
  <c r="O199" i="84"/>
  <c r="O187" i="84"/>
  <c r="O184" i="84"/>
  <c r="O169" i="84"/>
  <c r="O195" i="84"/>
  <c r="O173" i="84"/>
  <c r="O188" i="84"/>
  <c r="O185" i="84"/>
  <c r="O183" i="84"/>
  <c r="O181" i="84"/>
  <c r="O191" i="84"/>
  <c r="O180" i="84"/>
  <c r="O175" i="84"/>
  <c r="O170" i="84"/>
  <c r="O168" i="84"/>
  <c r="O167" i="84"/>
  <c r="O166" i="84"/>
  <c r="O197" i="84"/>
  <c r="O178" i="84"/>
  <c r="O176" i="84"/>
  <c r="O174" i="84"/>
  <c r="O81" i="84"/>
  <c r="O76" i="84"/>
  <c r="O84" i="84"/>
  <c r="O80" i="84"/>
  <c r="O78" i="84"/>
  <c r="O74" i="84"/>
  <c r="O71" i="84"/>
  <c r="O83" i="84"/>
  <c r="O69" i="84"/>
  <c r="O82" i="84"/>
  <c r="O77" i="84"/>
  <c r="O75" i="84"/>
  <c r="O72" i="84"/>
  <c r="P66" i="84"/>
  <c r="O73" i="84"/>
  <c r="O79" i="84"/>
  <c r="O70" i="84"/>
  <c r="N267" i="84"/>
  <c r="O51" i="59" s="1"/>
  <c r="N214" i="84"/>
  <c r="O22" i="59" s="1"/>
  <c r="AF215" i="84"/>
  <c r="AF216" i="84" s="1"/>
  <c r="BG172" i="84"/>
  <c r="AH181" i="84"/>
  <c r="AH178" i="84"/>
  <c r="AH174" i="84"/>
  <c r="AH172" i="84"/>
  <c r="AH179" i="84"/>
  <c r="AH173" i="84"/>
  <c r="AI166" i="84"/>
  <c r="AH177" i="84"/>
  <c r="AH183" i="84"/>
  <c r="AH175" i="84"/>
  <c r="AH169" i="84"/>
  <c r="R131" i="84"/>
  <c r="AH180" i="84"/>
  <c r="AH176" i="84"/>
  <c r="AH170" i="84"/>
  <c r="AH168" i="84"/>
  <c r="D82" i="32"/>
  <c r="D80" i="32"/>
  <c r="D73" i="32"/>
  <c r="AG215" i="84" l="1"/>
  <c r="AG216" i="84" s="1"/>
  <c r="M272" i="84" s="1"/>
  <c r="K56" i="84"/>
  <c r="L171" i="59"/>
  <c r="O115" i="84"/>
  <c r="O49" i="84" s="1"/>
  <c r="O267" i="84"/>
  <c r="P51" i="59" s="1"/>
  <c r="P265" i="84"/>
  <c r="P262" i="84"/>
  <c r="P254" i="84"/>
  <c r="P246" i="84"/>
  <c r="P238" i="84"/>
  <c r="P230" i="84"/>
  <c r="P271" i="84"/>
  <c r="P259" i="84"/>
  <c r="P251" i="84"/>
  <c r="P243" i="84"/>
  <c r="P235" i="84"/>
  <c r="P227" i="84"/>
  <c r="P223" i="84"/>
  <c r="P208" i="84"/>
  <c r="P204" i="84"/>
  <c r="P264" i="84"/>
  <c r="P256" i="84"/>
  <c r="P248" i="84"/>
  <c r="P240" i="84"/>
  <c r="P232" i="84"/>
  <c r="P220" i="84"/>
  <c r="P261" i="84"/>
  <c r="P253" i="84"/>
  <c r="P252" i="84"/>
  <c r="P242" i="84"/>
  <c r="P241" i="84"/>
  <c r="P231" i="84"/>
  <c r="P209" i="84"/>
  <c r="P201" i="84"/>
  <c r="P197" i="84"/>
  <c r="P255" i="84"/>
  <c r="P245" i="84"/>
  <c r="P244" i="84"/>
  <c r="P234" i="84"/>
  <c r="P233" i="84"/>
  <c r="P202" i="84"/>
  <c r="P198" i="84"/>
  <c r="P194" i="84"/>
  <c r="P190" i="84"/>
  <c r="P186" i="84"/>
  <c r="P222" i="84"/>
  <c r="P221" i="84"/>
  <c r="P207" i="84"/>
  <c r="P258" i="84"/>
  <c r="P257" i="84"/>
  <c r="P247" i="84"/>
  <c r="P237" i="84"/>
  <c r="P236" i="84"/>
  <c r="P206" i="84"/>
  <c r="P199" i="84"/>
  <c r="P195" i="84"/>
  <c r="P191" i="84"/>
  <c r="P187" i="84"/>
  <c r="P224" i="84"/>
  <c r="P249" i="84"/>
  <c r="P228" i="84"/>
  <c r="P226" i="84"/>
  <c r="P263" i="84"/>
  <c r="P239" i="84"/>
  <c r="P193" i="84"/>
  <c r="P189" i="84"/>
  <c r="P172" i="84"/>
  <c r="P260" i="84"/>
  <c r="P225" i="84"/>
  <c r="P200" i="84"/>
  <c r="P196" i="84"/>
  <c r="P185" i="84"/>
  <c r="P180" i="84"/>
  <c r="P175" i="84"/>
  <c r="P250" i="84"/>
  <c r="P229" i="84"/>
  <c r="P184" i="84"/>
  <c r="P173" i="84"/>
  <c r="P83" i="84"/>
  <c r="P80" i="84"/>
  <c r="P77" i="84"/>
  <c r="P182" i="84"/>
  <c r="P179" i="84"/>
  <c r="P169" i="84"/>
  <c r="P188" i="84"/>
  <c r="P183" i="84"/>
  <c r="P181" i="84"/>
  <c r="P203" i="84"/>
  <c r="P177" i="84"/>
  <c r="P170" i="84"/>
  <c r="P168" i="84"/>
  <c r="P167" i="84"/>
  <c r="P166" i="84"/>
  <c r="P205" i="84"/>
  <c r="P178" i="84"/>
  <c r="P176" i="84"/>
  <c r="P82" i="84"/>
  <c r="P174" i="84"/>
  <c r="P192" i="84"/>
  <c r="P171" i="84"/>
  <c r="P76" i="84"/>
  <c r="P84" i="84"/>
  <c r="P78" i="84"/>
  <c r="P74" i="84"/>
  <c r="P71" i="84"/>
  <c r="P69" i="84"/>
  <c r="P75" i="84"/>
  <c r="P72" i="84"/>
  <c r="Q66" i="84"/>
  <c r="P79" i="84"/>
  <c r="P73" i="84"/>
  <c r="P70" i="84"/>
  <c r="P81" i="84"/>
  <c r="AH214" i="84"/>
  <c r="AI174" i="84"/>
  <c r="AI183" i="84"/>
  <c r="AI181" i="84"/>
  <c r="AI179" i="84"/>
  <c r="AI177" i="84"/>
  <c r="AI175" i="84"/>
  <c r="AI173" i="84"/>
  <c r="AJ166" i="84"/>
  <c r="R132" i="84"/>
  <c r="AI169" i="84"/>
  <c r="AI180" i="84"/>
  <c r="AI178" i="84"/>
  <c r="AI176" i="84"/>
  <c r="AI172" i="84"/>
  <c r="AI170" i="84"/>
  <c r="AI168" i="84"/>
  <c r="L272" i="84"/>
  <c r="S129" i="84"/>
  <c r="O214" i="84"/>
  <c r="P22" i="59" s="1"/>
  <c r="F15" i="61"/>
  <c r="F14" i="61"/>
  <c r="A13" i="61"/>
  <c r="F15" i="76"/>
  <c r="A13" i="76"/>
  <c r="F15" i="53"/>
  <c r="A13" i="53"/>
  <c r="P15" i="38"/>
  <c r="O15" i="38"/>
  <c r="N15" i="38"/>
  <c r="M15" i="38"/>
  <c r="L15" i="38"/>
  <c r="K15" i="38"/>
  <c r="J15" i="38"/>
  <c r="I15" i="38"/>
  <c r="H15" i="38"/>
  <c r="G15" i="38"/>
  <c r="F15" i="38"/>
  <c r="A13" i="38"/>
  <c r="P15" i="35"/>
  <c r="O15" i="35"/>
  <c r="N15" i="35"/>
  <c r="M15" i="35"/>
  <c r="L15" i="35"/>
  <c r="K15" i="35"/>
  <c r="J15" i="35"/>
  <c r="I15" i="35"/>
  <c r="H15" i="35"/>
  <c r="G15" i="35"/>
  <c r="F15" i="35"/>
  <c r="A13" i="35"/>
  <c r="F15" i="41"/>
  <c r="A13" i="41"/>
  <c r="F15" i="26"/>
  <c r="F15" i="23"/>
  <c r="A13" i="23"/>
  <c r="F15" i="56"/>
  <c r="A13" i="56"/>
  <c r="F15" i="32"/>
  <c r="A13" i="32"/>
  <c r="F15" i="29"/>
  <c r="A13" i="29"/>
  <c r="F15" i="20"/>
  <c r="A13" i="20"/>
  <c r="F15" i="14"/>
  <c r="A13" i="14"/>
  <c r="F15" i="11"/>
  <c r="A13" i="11"/>
  <c r="F15" i="5"/>
  <c r="A13" i="5"/>
  <c r="F15" i="8"/>
  <c r="A13" i="8"/>
  <c r="F15" i="44"/>
  <c r="A13" i="44"/>
  <c r="F15" i="64"/>
  <c r="A13" i="64"/>
  <c r="F15" i="17"/>
  <c r="A13" i="17"/>
  <c r="A27" i="1"/>
  <c r="F25" i="1"/>
  <c r="P24" i="1"/>
  <c r="P25" i="1" s="1"/>
  <c r="O24" i="1"/>
  <c r="O15" i="1" s="1"/>
  <c r="N24" i="1"/>
  <c r="N25" i="1" s="1"/>
  <c r="M24" i="1"/>
  <c r="M25" i="1" s="1"/>
  <c r="L24" i="1"/>
  <c r="L25" i="1" s="1"/>
  <c r="K24" i="1"/>
  <c r="K25" i="1" s="1"/>
  <c r="J24" i="1"/>
  <c r="J25" i="1" s="1"/>
  <c r="I24" i="1"/>
  <c r="I25" i="1" s="1"/>
  <c r="H24" i="1"/>
  <c r="H25" i="1" s="1"/>
  <c r="G24" i="1"/>
  <c r="G25" i="1" s="1"/>
  <c r="A21" i="1"/>
  <c r="F19" i="1"/>
  <c r="M15" i="1"/>
  <c r="F15" i="1"/>
  <c r="A13" i="1"/>
  <c r="A27" i="61"/>
  <c r="F26" i="61"/>
  <c r="F25" i="61"/>
  <c r="P24" i="61"/>
  <c r="P15" i="61" s="1"/>
  <c r="O24" i="61"/>
  <c r="O25" i="61" s="1"/>
  <c r="N24" i="61"/>
  <c r="N25" i="61" s="1"/>
  <c r="M24" i="61"/>
  <c r="M25" i="61" s="1"/>
  <c r="L24" i="61"/>
  <c r="L25" i="61" s="1"/>
  <c r="K24" i="61"/>
  <c r="K25" i="61" s="1"/>
  <c r="J24" i="61"/>
  <c r="J25" i="61" s="1"/>
  <c r="I24" i="61"/>
  <c r="I25" i="61" s="1"/>
  <c r="H24" i="61"/>
  <c r="H15" i="61" s="1"/>
  <c r="G24" i="61"/>
  <c r="G25" i="61" s="1"/>
  <c r="G22" i="61"/>
  <c r="G26" i="61" s="1"/>
  <c r="A21" i="61"/>
  <c r="A27" i="76"/>
  <c r="F25" i="76"/>
  <c r="P24" i="76"/>
  <c r="P25" i="76" s="1"/>
  <c r="O24" i="76"/>
  <c r="O15" i="76" s="1"/>
  <c r="N24" i="76"/>
  <c r="N15" i="76" s="1"/>
  <c r="M24" i="76"/>
  <c r="M25" i="76" s="1"/>
  <c r="L24" i="76"/>
  <c r="L25" i="76" s="1"/>
  <c r="K24" i="76"/>
  <c r="K25" i="76" s="1"/>
  <c r="J24" i="76"/>
  <c r="J25" i="76" s="1"/>
  <c r="I24" i="76"/>
  <c r="I25" i="76" s="1"/>
  <c r="H24" i="76"/>
  <c r="H15" i="76" s="1"/>
  <c r="G24" i="76"/>
  <c r="A21" i="76"/>
  <c r="A27" i="53"/>
  <c r="F25" i="53"/>
  <c r="P24" i="53"/>
  <c r="P25" i="53" s="1"/>
  <c r="O24" i="53"/>
  <c r="O15" i="53" s="1"/>
  <c r="N24" i="53"/>
  <c r="N15" i="53" s="1"/>
  <c r="M24" i="53"/>
  <c r="M15" i="53" s="1"/>
  <c r="L24" i="53"/>
  <c r="L25" i="53" s="1"/>
  <c r="K24" i="53"/>
  <c r="K25" i="53" s="1"/>
  <c r="J24" i="53"/>
  <c r="J25" i="53" s="1"/>
  <c r="I24" i="53"/>
  <c r="I25" i="53" s="1"/>
  <c r="H24" i="53"/>
  <c r="H25" i="53" s="1"/>
  <c r="G24" i="53"/>
  <c r="G15" i="53" s="1"/>
  <c r="A21" i="53"/>
  <c r="A27" i="41"/>
  <c r="F25" i="41"/>
  <c r="P24" i="41"/>
  <c r="P15" i="41" s="1"/>
  <c r="O24" i="41"/>
  <c r="O25" i="41" s="1"/>
  <c r="N24" i="41"/>
  <c r="N25" i="41" s="1"/>
  <c r="M24" i="41"/>
  <c r="M25" i="41" s="1"/>
  <c r="L24" i="41"/>
  <c r="L25" i="41" s="1"/>
  <c r="K24" i="41"/>
  <c r="K25" i="41" s="1"/>
  <c r="J24" i="41"/>
  <c r="J25" i="41" s="1"/>
  <c r="I24" i="41"/>
  <c r="I25" i="41" s="1"/>
  <c r="H24" i="41"/>
  <c r="H15" i="41" s="1"/>
  <c r="G24" i="41"/>
  <c r="G15" i="41" s="1"/>
  <c r="A21" i="41"/>
  <c r="A27" i="26"/>
  <c r="F25" i="26"/>
  <c r="P24" i="26"/>
  <c r="P15" i="26" s="1"/>
  <c r="O24" i="26"/>
  <c r="O25" i="26" s="1"/>
  <c r="N24" i="26"/>
  <c r="N25" i="26" s="1"/>
  <c r="M24" i="26"/>
  <c r="M25" i="26" s="1"/>
  <c r="L24" i="26"/>
  <c r="L25" i="26" s="1"/>
  <c r="K24" i="26"/>
  <c r="K25" i="26" s="1"/>
  <c r="J24" i="26"/>
  <c r="J15" i="26" s="1"/>
  <c r="I24" i="26"/>
  <c r="I25" i="26" s="1"/>
  <c r="H24" i="26"/>
  <c r="H15" i="26" s="1"/>
  <c r="G24" i="26"/>
  <c r="G25" i="26" s="1"/>
  <c r="A21" i="26"/>
  <c r="A27" i="23"/>
  <c r="F25" i="23"/>
  <c r="P24" i="23"/>
  <c r="P15" i="23" s="1"/>
  <c r="O24" i="23"/>
  <c r="O15" i="23" s="1"/>
  <c r="N24" i="23"/>
  <c r="N25" i="23" s="1"/>
  <c r="M24" i="23"/>
  <c r="M25" i="23" s="1"/>
  <c r="L24" i="23"/>
  <c r="L25" i="23" s="1"/>
  <c r="K24" i="23"/>
  <c r="K25" i="23" s="1"/>
  <c r="J24" i="23"/>
  <c r="J25" i="23" s="1"/>
  <c r="I24" i="23"/>
  <c r="I25" i="23" s="1"/>
  <c r="H24" i="23"/>
  <c r="H15" i="23" s="1"/>
  <c r="G24" i="23"/>
  <c r="G15" i="23" s="1"/>
  <c r="A21" i="23"/>
  <c r="A27" i="56"/>
  <c r="F25" i="56"/>
  <c r="P24" i="56"/>
  <c r="P15" i="56" s="1"/>
  <c r="O24" i="56"/>
  <c r="O15" i="56" s="1"/>
  <c r="N24" i="56"/>
  <c r="N15" i="56" s="1"/>
  <c r="M24" i="56"/>
  <c r="M25" i="56" s="1"/>
  <c r="L24" i="56"/>
  <c r="L25" i="56" s="1"/>
  <c r="K24" i="56"/>
  <c r="K25" i="56" s="1"/>
  <c r="J24" i="56"/>
  <c r="J25" i="56" s="1"/>
  <c r="I24" i="56"/>
  <c r="I25" i="56" s="1"/>
  <c r="H24" i="56"/>
  <c r="H15" i="56" s="1"/>
  <c r="G24" i="56"/>
  <c r="Q24" i="56" s="1"/>
  <c r="A21" i="56"/>
  <c r="A27" i="32"/>
  <c r="F25" i="32"/>
  <c r="P24" i="32"/>
  <c r="P15" i="32" s="1"/>
  <c r="O24" i="32"/>
  <c r="O25" i="32" s="1"/>
  <c r="N24" i="32"/>
  <c r="N25" i="32" s="1"/>
  <c r="M24" i="32"/>
  <c r="M25" i="32" s="1"/>
  <c r="L24" i="32"/>
  <c r="L25" i="32" s="1"/>
  <c r="K24" i="32"/>
  <c r="K25" i="32" s="1"/>
  <c r="J24" i="32"/>
  <c r="J15" i="32" s="1"/>
  <c r="I24" i="32"/>
  <c r="I25" i="32" s="1"/>
  <c r="H24" i="32"/>
  <c r="H25" i="32" s="1"/>
  <c r="G24" i="32"/>
  <c r="G25" i="32" s="1"/>
  <c r="A21" i="32"/>
  <c r="A27" i="29"/>
  <c r="F25" i="29"/>
  <c r="P24" i="29"/>
  <c r="P25" i="29" s="1"/>
  <c r="O24" i="29"/>
  <c r="O15" i="29" s="1"/>
  <c r="N24" i="29"/>
  <c r="N25" i="29" s="1"/>
  <c r="M24" i="29"/>
  <c r="M15" i="29" s="1"/>
  <c r="L24" i="29"/>
  <c r="L25" i="29" s="1"/>
  <c r="K24" i="29"/>
  <c r="K25" i="29" s="1"/>
  <c r="J24" i="29"/>
  <c r="J25" i="29" s="1"/>
  <c r="I24" i="29"/>
  <c r="I25" i="29" s="1"/>
  <c r="H24" i="29"/>
  <c r="H15" i="29" s="1"/>
  <c r="G24" i="29"/>
  <c r="G15" i="29" s="1"/>
  <c r="A21" i="29"/>
  <c r="A27" i="20"/>
  <c r="F25" i="20"/>
  <c r="P24" i="20"/>
  <c r="P25" i="20" s="1"/>
  <c r="O24" i="20"/>
  <c r="O15" i="20" s="1"/>
  <c r="N24" i="20"/>
  <c r="N25" i="20" s="1"/>
  <c r="M24" i="20"/>
  <c r="M25" i="20" s="1"/>
  <c r="L24" i="20"/>
  <c r="L25" i="20" s="1"/>
  <c r="K24" i="20"/>
  <c r="K25" i="20" s="1"/>
  <c r="J24" i="20"/>
  <c r="J25" i="20" s="1"/>
  <c r="I24" i="20"/>
  <c r="I25" i="20" s="1"/>
  <c r="H24" i="20"/>
  <c r="H25" i="20" s="1"/>
  <c r="G24" i="20"/>
  <c r="G15" i="20" s="1"/>
  <c r="A21" i="20"/>
  <c r="A27" i="14"/>
  <c r="F25" i="14"/>
  <c r="P24" i="14"/>
  <c r="P25" i="14" s="1"/>
  <c r="O24" i="14"/>
  <c r="O15" i="14" s="1"/>
  <c r="N24" i="14"/>
  <c r="N25" i="14" s="1"/>
  <c r="M24" i="14"/>
  <c r="M25" i="14" s="1"/>
  <c r="L24" i="14"/>
  <c r="L25" i="14" s="1"/>
  <c r="K24" i="14"/>
  <c r="K25" i="14" s="1"/>
  <c r="J24" i="14"/>
  <c r="J25" i="14" s="1"/>
  <c r="I24" i="14"/>
  <c r="I25" i="14" s="1"/>
  <c r="H24" i="14"/>
  <c r="H25" i="14" s="1"/>
  <c r="G24" i="14"/>
  <c r="G25" i="14" s="1"/>
  <c r="A21" i="14"/>
  <c r="A27" i="11"/>
  <c r="F25" i="11"/>
  <c r="P24" i="11"/>
  <c r="P25" i="11" s="1"/>
  <c r="O24" i="11"/>
  <c r="O25" i="11" s="1"/>
  <c r="N24" i="11"/>
  <c r="N25" i="11" s="1"/>
  <c r="M24" i="11"/>
  <c r="M25" i="11" s="1"/>
  <c r="L24" i="11"/>
  <c r="L25" i="11" s="1"/>
  <c r="K24" i="11"/>
  <c r="K25" i="11" s="1"/>
  <c r="J24" i="11"/>
  <c r="J25" i="11" s="1"/>
  <c r="I24" i="11"/>
  <c r="I15" i="11" s="1"/>
  <c r="H24" i="11"/>
  <c r="H15" i="11" s="1"/>
  <c r="G24" i="11"/>
  <c r="G25" i="11" s="1"/>
  <c r="A21" i="11"/>
  <c r="A27" i="5"/>
  <c r="F25" i="5"/>
  <c r="P24" i="5"/>
  <c r="P15" i="5" s="1"/>
  <c r="O24" i="5"/>
  <c r="O25" i="5" s="1"/>
  <c r="N24" i="5"/>
  <c r="N25" i="5" s="1"/>
  <c r="M24" i="5"/>
  <c r="M25" i="5" s="1"/>
  <c r="L24" i="5"/>
  <c r="L25" i="5" s="1"/>
  <c r="K24" i="5"/>
  <c r="K25" i="5" s="1"/>
  <c r="J24" i="5"/>
  <c r="J15" i="5" s="1"/>
  <c r="I24" i="5"/>
  <c r="I25" i="5" s="1"/>
  <c r="H24" i="5"/>
  <c r="H25" i="5" s="1"/>
  <c r="G24" i="5"/>
  <c r="G25" i="5" s="1"/>
  <c r="A21" i="5"/>
  <c r="A27" i="8"/>
  <c r="F25" i="8"/>
  <c r="P24" i="8"/>
  <c r="P25" i="8" s="1"/>
  <c r="O24" i="8"/>
  <c r="O15" i="8" s="1"/>
  <c r="N24" i="8"/>
  <c r="N25" i="8" s="1"/>
  <c r="M24" i="8"/>
  <c r="M25" i="8" s="1"/>
  <c r="L24" i="8"/>
  <c r="L25" i="8" s="1"/>
  <c r="K24" i="8"/>
  <c r="K25" i="8" s="1"/>
  <c r="J24" i="8"/>
  <c r="J25" i="8" s="1"/>
  <c r="I24" i="8"/>
  <c r="I25" i="8" s="1"/>
  <c r="H24" i="8"/>
  <c r="H15" i="8" s="1"/>
  <c r="G24" i="8"/>
  <c r="A21" i="8"/>
  <c r="A27" i="44"/>
  <c r="F25" i="44"/>
  <c r="P24" i="44"/>
  <c r="P25" i="44" s="1"/>
  <c r="O24" i="44"/>
  <c r="O25" i="44" s="1"/>
  <c r="N24" i="44"/>
  <c r="N25" i="44" s="1"/>
  <c r="M24" i="44"/>
  <c r="M25" i="44" s="1"/>
  <c r="L24" i="44"/>
  <c r="L25" i="44" s="1"/>
  <c r="K24" i="44"/>
  <c r="K25" i="44" s="1"/>
  <c r="J24" i="44"/>
  <c r="J25" i="44" s="1"/>
  <c r="I24" i="44"/>
  <c r="I25" i="44" s="1"/>
  <c r="H24" i="44"/>
  <c r="H15" i="44" s="1"/>
  <c r="G24" i="44"/>
  <c r="G15" i="44" s="1"/>
  <c r="A21" i="44"/>
  <c r="A27" i="64"/>
  <c r="F25" i="64"/>
  <c r="P24" i="64"/>
  <c r="P15" i="64" s="1"/>
  <c r="O24" i="64"/>
  <c r="O25" i="64" s="1"/>
  <c r="N24" i="64"/>
  <c r="N15" i="64" s="1"/>
  <c r="M24" i="64"/>
  <c r="M15" i="64" s="1"/>
  <c r="L24" i="64"/>
  <c r="L25" i="64" s="1"/>
  <c r="K24" i="64"/>
  <c r="K25" i="64" s="1"/>
  <c r="J24" i="64"/>
  <c r="J25" i="64" s="1"/>
  <c r="I24" i="64"/>
  <c r="I25" i="64" s="1"/>
  <c r="H24" i="64"/>
  <c r="H15" i="64" s="1"/>
  <c r="G24" i="64"/>
  <c r="G25" i="64" s="1"/>
  <c r="A21" i="64"/>
  <c r="A27" i="17"/>
  <c r="F25" i="17"/>
  <c r="P24" i="17"/>
  <c r="P15" i="17" s="1"/>
  <c r="O24" i="17"/>
  <c r="O25" i="17" s="1"/>
  <c r="N24" i="17"/>
  <c r="N15" i="17" s="1"/>
  <c r="M24" i="17"/>
  <c r="M25" i="17" s="1"/>
  <c r="L24" i="17"/>
  <c r="L25" i="17" s="1"/>
  <c r="K24" i="17"/>
  <c r="K25" i="17" s="1"/>
  <c r="J24" i="17"/>
  <c r="J25" i="17" s="1"/>
  <c r="I24" i="17"/>
  <c r="I25" i="17" s="1"/>
  <c r="H24" i="17"/>
  <c r="H15" i="17" s="1"/>
  <c r="G24" i="17"/>
  <c r="A21" i="17"/>
  <c r="G24" i="47"/>
  <c r="G15" i="47" s="1"/>
  <c r="D10" i="60"/>
  <c r="D1" i="60"/>
  <c r="G24" i="83"/>
  <c r="D69" i="60"/>
  <c r="AE14" i="60"/>
  <c r="AD14" i="60"/>
  <c r="AC14" i="60"/>
  <c r="AB14" i="60"/>
  <c r="AA14" i="60"/>
  <c r="Z14" i="60"/>
  <c r="Y14" i="60"/>
  <c r="X14" i="60"/>
  <c r="AE12" i="60"/>
  <c r="AD12" i="60"/>
  <c r="AC12" i="60"/>
  <c r="AB12" i="60"/>
  <c r="AA12" i="60"/>
  <c r="Z12" i="60"/>
  <c r="Y12" i="60"/>
  <c r="X12" i="60"/>
  <c r="AE10" i="60"/>
  <c r="AD10" i="60"/>
  <c r="AC10" i="60"/>
  <c r="AB10" i="60"/>
  <c r="AA10" i="60"/>
  <c r="Z10" i="60"/>
  <c r="Y10" i="60"/>
  <c r="X10" i="60"/>
  <c r="Y7" i="60"/>
  <c r="Z7" i="60"/>
  <c r="AA7" i="60"/>
  <c r="AB7" i="60"/>
  <c r="AC7" i="60"/>
  <c r="AD7" i="60"/>
  <c r="AE7" i="60"/>
  <c r="AF7" i="60"/>
  <c r="X7" i="60"/>
  <c r="H30" i="64"/>
  <c r="I30" i="64"/>
  <c r="J30" i="64"/>
  <c r="K30" i="64"/>
  <c r="L30" i="64"/>
  <c r="M30" i="64"/>
  <c r="N30" i="64"/>
  <c r="O30" i="64"/>
  <c r="P30" i="64"/>
  <c r="N15" i="1" l="1"/>
  <c r="N25" i="76"/>
  <c r="O25" i="76"/>
  <c r="P25" i="5"/>
  <c r="S130" i="84"/>
  <c r="M56" i="84"/>
  <c r="N171" i="59"/>
  <c r="L56" i="84"/>
  <c r="M171" i="59"/>
  <c r="Q262" i="84"/>
  <c r="Q271" i="84"/>
  <c r="R271" i="84" s="1"/>
  <c r="Q259" i="84"/>
  <c r="Q251" i="84"/>
  <c r="Q243" i="84"/>
  <c r="Q235" i="84"/>
  <c r="Q227" i="84"/>
  <c r="Q223" i="84"/>
  <c r="Q208" i="84"/>
  <c r="Q264" i="84"/>
  <c r="Q256" i="84"/>
  <c r="Q248" i="84"/>
  <c r="Q240" i="84"/>
  <c r="Q232" i="84"/>
  <c r="Q220" i="84"/>
  <c r="Q261" i="84"/>
  <c r="Q253" i="84"/>
  <c r="Q245" i="84"/>
  <c r="Q237" i="84"/>
  <c r="Q229" i="84"/>
  <c r="Q225" i="84"/>
  <c r="Q209" i="84"/>
  <c r="Q204" i="84"/>
  <c r="Q265" i="84"/>
  <c r="Q255" i="84"/>
  <c r="Q254" i="84"/>
  <c r="Q244" i="84"/>
  <c r="Q234" i="84"/>
  <c r="Q233" i="84"/>
  <c r="Q222" i="84"/>
  <c r="Q221" i="84"/>
  <c r="Q207" i="84"/>
  <c r="Q258" i="84"/>
  <c r="Q257" i="84"/>
  <c r="Q247" i="84"/>
  <c r="Q246" i="84"/>
  <c r="Q236" i="84"/>
  <c r="Q206" i="84"/>
  <c r="Q199" i="84"/>
  <c r="Q195" i="84"/>
  <c r="Q191" i="84"/>
  <c r="Q187" i="84"/>
  <c r="Q183" i="84"/>
  <c r="Q263" i="84"/>
  <c r="Q224" i="84"/>
  <c r="Q205" i="84"/>
  <c r="Q203" i="84"/>
  <c r="Q249" i="84"/>
  <c r="Q231" i="84"/>
  <c r="Q228" i="84"/>
  <c r="Q226" i="84"/>
  <c r="Q202" i="84"/>
  <c r="Q242" i="84"/>
  <c r="Q239" i="84"/>
  <c r="Q260" i="84"/>
  <c r="Q230" i="84"/>
  <c r="Q200" i="84"/>
  <c r="Q196" i="84"/>
  <c r="Q194" i="84"/>
  <c r="Q190" i="84"/>
  <c r="Q186" i="84"/>
  <c r="Q185" i="84"/>
  <c r="Q180" i="84"/>
  <c r="Q175" i="84"/>
  <c r="Q250" i="84"/>
  <c r="Q182" i="84"/>
  <c r="Q241" i="84"/>
  <c r="Q238" i="84"/>
  <c r="Q176" i="84"/>
  <c r="Q179" i="84"/>
  <c r="Q169" i="84"/>
  <c r="Q184" i="84"/>
  <c r="Q188" i="84"/>
  <c r="Q181" i="84"/>
  <c r="Q173" i="84"/>
  <c r="Q252" i="84"/>
  <c r="Q193" i="84"/>
  <c r="Q177" i="84"/>
  <c r="Q170" i="84"/>
  <c r="Q168" i="84"/>
  <c r="Q167" i="84"/>
  <c r="Q166" i="84"/>
  <c r="Q198" i="84"/>
  <c r="Q178" i="84"/>
  <c r="Q201" i="84"/>
  <c r="Q197" i="84"/>
  <c r="Q174" i="84"/>
  <c r="Q192" i="84"/>
  <c r="Q171" i="84"/>
  <c r="Q189" i="84"/>
  <c r="Q172" i="84"/>
  <c r="Q84" i="84"/>
  <c r="Q78" i="84"/>
  <c r="Q74" i="84"/>
  <c r="Q71" i="84"/>
  <c r="Q80" i="84"/>
  <c r="Q83" i="84"/>
  <c r="Q69" i="84"/>
  <c r="Q75" i="84"/>
  <c r="Q72" i="84"/>
  <c r="Q82" i="84"/>
  <c r="Q77" i="84"/>
  <c r="Q79" i="84"/>
  <c r="Q73" i="84"/>
  <c r="Q70" i="84"/>
  <c r="Q81" i="84"/>
  <c r="Q76" i="84"/>
  <c r="P214" i="84"/>
  <c r="Q22" i="59" s="1"/>
  <c r="AI214" i="84"/>
  <c r="AJ183" i="84"/>
  <c r="AJ181" i="84"/>
  <c r="AJ179" i="84"/>
  <c r="AJ177" i="84"/>
  <c r="AJ180" i="84"/>
  <c r="AK166" i="84"/>
  <c r="R133" i="84"/>
  <c r="AJ169" i="84"/>
  <c r="AJ175" i="84"/>
  <c r="AJ178" i="84"/>
  <c r="AJ176" i="84"/>
  <c r="AJ172" i="84"/>
  <c r="AJ174" i="84"/>
  <c r="AJ170" i="84"/>
  <c r="AJ168" i="84"/>
  <c r="AJ173" i="84"/>
  <c r="AH215" i="84"/>
  <c r="AH216" i="84" s="1"/>
  <c r="BG174" i="84"/>
  <c r="P115" i="84"/>
  <c r="P49" i="84" s="1"/>
  <c r="Q49" i="84" s="1"/>
  <c r="P267" i="84"/>
  <c r="Q51" i="59" s="1"/>
  <c r="F27" i="61"/>
  <c r="H25" i="17"/>
  <c r="N15" i="8"/>
  <c r="P15" i="1"/>
  <c r="Q24" i="17"/>
  <c r="H25" i="26"/>
  <c r="N25" i="53"/>
  <c r="O25" i="8"/>
  <c r="P25" i="26"/>
  <c r="I15" i="1"/>
  <c r="H15" i="20"/>
  <c r="J25" i="5"/>
  <c r="G25" i="41"/>
  <c r="J15" i="11"/>
  <c r="P15" i="20"/>
  <c r="L15" i="32"/>
  <c r="Q24" i="8"/>
  <c r="O25" i="14"/>
  <c r="H25" i="41"/>
  <c r="M25" i="53"/>
  <c r="J15" i="23"/>
  <c r="G15" i="61"/>
  <c r="G25" i="56"/>
  <c r="P25" i="41"/>
  <c r="O15" i="41"/>
  <c r="O15" i="61"/>
  <c r="P25" i="17"/>
  <c r="H25" i="64"/>
  <c r="G25" i="29"/>
  <c r="H25" i="56"/>
  <c r="O25" i="53"/>
  <c r="Q15" i="1"/>
  <c r="G15" i="17"/>
  <c r="K15" i="44"/>
  <c r="H15" i="5"/>
  <c r="N15" i="14"/>
  <c r="M25" i="64"/>
  <c r="G25" i="8"/>
  <c r="H25" i="29"/>
  <c r="J25" i="32"/>
  <c r="O25" i="56"/>
  <c r="Q24" i="76"/>
  <c r="H25" i="61"/>
  <c r="O15" i="17"/>
  <c r="G15" i="56"/>
  <c r="P25" i="64"/>
  <c r="H25" i="8"/>
  <c r="P25" i="56"/>
  <c r="P25" i="61"/>
  <c r="Q25" i="61" s="1"/>
  <c r="P15" i="29"/>
  <c r="L15" i="26"/>
  <c r="M15" i="76"/>
  <c r="Q25" i="14"/>
  <c r="Q25" i="5"/>
  <c r="Q24" i="32"/>
  <c r="J15" i="64"/>
  <c r="K15" i="64"/>
  <c r="L15" i="44"/>
  <c r="G15" i="8"/>
  <c r="I15" i="5"/>
  <c r="K15" i="11"/>
  <c r="G15" i="14"/>
  <c r="I15" i="20"/>
  <c r="I15" i="29"/>
  <c r="M15" i="32"/>
  <c r="K15" i="23"/>
  <c r="M15" i="26"/>
  <c r="I15" i="53"/>
  <c r="Q24" i="64"/>
  <c r="N25" i="64"/>
  <c r="G25" i="44"/>
  <c r="P25" i="32"/>
  <c r="N25" i="56"/>
  <c r="G25" i="23"/>
  <c r="J25" i="26"/>
  <c r="G25" i="53"/>
  <c r="G25" i="76"/>
  <c r="Q24" i="44"/>
  <c r="Q24" i="14"/>
  <c r="Q24" i="53"/>
  <c r="G15" i="1"/>
  <c r="I15" i="17"/>
  <c r="L15" i="64"/>
  <c r="M15" i="44"/>
  <c r="P15" i="8"/>
  <c r="L15" i="11"/>
  <c r="H15" i="14"/>
  <c r="P15" i="14"/>
  <c r="J15" i="20"/>
  <c r="J15" i="29"/>
  <c r="N15" i="32"/>
  <c r="I15" i="56"/>
  <c r="L15" i="23"/>
  <c r="N15" i="26"/>
  <c r="I15" i="41"/>
  <c r="J15" i="53"/>
  <c r="G15" i="76"/>
  <c r="I15" i="61"/>
  <c r="H25" i="44"/>
  <c r="G25" i="20"/>
  <c r="M25" i="29"/>
  <c r="H25" i="23"/>
  <c r="H25" i="76"/>
  <c r="H15" i="1"/>
  <c r="J15" i="17"/>
  <c r="N15" i="44"/>
  <c r="I15" i="8"/>
  <c r="K15" i="5"/>
  <c r="M15" i="11"/>
  <c r="I15" i="14"/>
  <c r="K15" i="20"/>
  <c r="K15" i="29"/>
  <c r="G15" i="32"/>
  <c r="O15" i="32"/>
  <c r="J15" i="56"/>
  <c r="M15" i="23"/>
  <c r="G15" i="26"/>
  <c r="O15" i="26"/>
  <c r="J15" i="41"/>
  <c r="K15" i="53"/>
  <c r="P15" i="76"/>
  <c r="J15" i="61"/>
  <c r="Q24" i="41"/>
  <c r="P15" i="53"/>
  <c r="G25" i="17"/>
  <c r="H25" i="11"/>
  <c r="O25" i="29"/>
  <c r="O25" i="23"/>
  <c r="Q24" i="20"/>
  <c r="Q24" i="23"/>
  <c r="K15" i="17"/>
  <c r="O15" i="44"/>
  <c r="J15" i="8"/>
  <c r="L15" i="5"/>
  <c r="N15" i="11"/>
  <c r="J15" i="14"/>
  <c r="L15" i="20"/>
  <c r="L15" i="29"/>
  <c r="H15" i="32"/>
  <c r="K15" i="56"/>
  <c r="N15" i="23"/>
  <c r="K15" i="41"/>
  <c r="L15" i="53"/>
  <c r="I15" i="76"/>
  <c r="K15" i="61"/>
  <c r="Q24" i="11"/>
  <c r="H15" i="53"/>
  <c r="I25" i="11"/>
  <c r="P25" i="23"/>
  <c r="L15" i="17"/>
  <c r="G15" i="64"/>
  <c r="O15" i="64"/>
  <c r="P15" i="44"/>
  <c r="K15" i="8"/>
  <c r="M15" i="5"/>
  <c r="G15" i="11"/>
  <c r="O15" i="11"/>
  <c r="K15" i="14"/>
  <c r="M15" i="20"/>
  <c r="I15" i="32"/>
  <c r="L15" i="56"/>
  <c r="I15" i="26"/>
  <c r="L15" i="41"/>
  <c r="J15" i="76"/>
  <c r="L15" i="61"/>
  <c r="Q24" i="1"/>
  <c r="N25" i="17"/>
  <c r="Q24" i="5"/>
  <c r="Q24" i="29"/>
  <c r="Q24" i="26"/>
  <c r="Q24" i="61"/>
  <c r="O25" i="1"/>
  <c r="Q25" i="1" s="1"/>
  <c r="M15" i="17"/>
  <c r="I15" i="44"/>
  <c r="L15" i="8"/>
  <c r="N15" i="5"/>
  <c r="P15" i="11"/>
  <c r="L15" i="14"/>
  <c r="N15" i="20"/>
  <c r="N15" i="29"/>
  <c r="M15" i="56"/>
  <c r="M15" i="41"/>
  <c r="K15" i="76"/>
  <c r="M15" i="61"/>
  <c r="O25" i="20"/>
  <c r="I15" i="64"/>
  <c r="J15" i="44"/>
  <c r="M15" i="8"/>
  <c r="G15" i="5"/>
  <c r="O15" i="5"/>
  <c r="M15" i="14"/>
  <c r="K15" i="32"/>
  <c r="I15" i="23"/>
  <c r="K15" i="26"/>
  <c r="N15" i="41"/>
  <c r="L15" i="76"/>
  <c r="N15" i="61"/>
  <c r="G14" i="61"/>
  <c r="F13" i="61"/>
  <c r="J15" i="1"/>
  <c r="K15" i="1"/>
  <c r="L15" i="1"/>
  <c r="H30" i="83"/>
  <c r="I30" i="83"/>
  <c r="J30" i="83"/>
  <c r="K30" i="83"/>
  <c r="L30" i="83"/>
  <c r="M30" i="83"/>
  <c r="N30" i="83"/>
  <c r="O30" i="83"/>
  <c r="P30" i="83"/>
  <c r="F30" i="83"/>
  <c r="G30" i="83"/>
  <c r="F15" i="47"/>
  <c r="A27" i="47"/>
  <c r="G25" i="47"/>
  <c r="F25" i="47"/>
  <c r="P24" i="47"/>
  <c r="P25" i="47" s="1"/>
  <c r="O24" i="47"/>
  <c r="O25" i="47" s="1"/>
  <c r="N24" i="47"/>
  <c r="N25" i="47" s="1"/>
  <c r="M24" i="47"/>
  <c r="M15" i="47" s="1"/>
  <c r="L24" i="47"/>
  <c r="L25" i="47" s="1"/>
  <c r="K24" i="47"/>
  <c r="K15" i="47" s="1"/>
  <c r="J24" i="47"/>
  <c r="J25" i="47" s="1"/>
  <c r="I24" i="47"/>
  <c r="I25" i="47" s="1"/>
  <c r="H24" i="47"/>
  <c r="H25" i="47" s="1"/>
  <c r="A21" i="47"/>
  <c r="P5" i="64"/>
  <c r="O5" i="64"/>
  <c r="N5" i="64"/>
  <c r="M5" i="64"/>
  <c r="L5" i="64"/>
  <c r="K5" i="64"/>
  <c r="J5" i="64"/>
  <c r="I5" i="64"/>
  <c r="H5" i="64"/>
  <c r="G5" i="64"/>
  <c r="F5" i="64"/>
  <c r="P12" i="64"/>
  <c r="O12" i="64"/>
  <c r="N12" i="64"/>
  <c r="M12" i="64"/>
  <c r="L12" i="64"/>
  <c r="K12" i="64"/>
  <c r="J12" i="64"/>
  <c r="I12" i="64"/>
  <c r="H12" i="64"/>
  <c r="G12" i="64"/>
  <c r="F12" i="64"/>
  <c r="P19" i="64"/>
  <c r="O19" i="64"/>
  <c r="N19" i="64"/>
  <c r="M19" i="64"/>
  <c r="L19" i="64"/>
  <c r="K19" i="64"/>
  <c r="J19" i="64"/>
  <c r="I19" i="64"/>
  <c r="H19" i="64"/>
  <c r="G19" i="64"/>
  <c r="F19" i="64"/>
  <c r="G30" i="64"/>
  <c r="F30" i="64"/>
  <c r="Y115" i="64"/>
  <c r="P55" i="64"/>
  <c r="O55" i="64"/>
  <c r="N55" i="64"/>
  <c r="M55" i="64"/>
  <c r="L55" i="64"/>
  <c r="K55" i="64"/>
  <c r="J55" i="64"/>
  <c r="I55" i="64"/>
  <c r="H55" i="64"/>
  <c r="G55" i="64"/>
  <c r="Q25" i="56" l="1"/>
  <c r="AJ214" i="84"/>
  <c r="AJ215" i="84" s="1"/>
  <c r="Q267" i="84"/>
  <c r="R51" i="59" s="1"/>
  <c r="Q115" i="84"/>
  <c r="N272" i="84"/>
  <c r="S131" i="84"/>
  <c r="AI215" i="84"/>
  <c r="AI216" i="84" s="1"/>
  <c r="BG175" i="84"/>
  <c r="AK172" i="84"/>
  <c r="AK175" i="84"/>
  <c r="AK173" i="84"/>
  <c r="AK169" i="84"/>
  <c r="AK177" i="84"/>
  <c r="AK183" i="84"/>
  <c r="AK181" i="84"/>
  <c r="AK180" i="84"/>
  <c r="AK178" i="84"/>
  <c r="AK176" i="84"/>
  <c r="AK174" i="84"/>
  <c r="AK170" i="84"/>
  <c r="AK168" i="84"/>
  <c r="AK179" i="84"/>
  <c r="Q214" i="84"/>
  <c r="R22" i="59" s="1"/>
  <c r="Q25" i="11"/>
  <c r="Q25" i="8"/>
  <c r="Q25" i="76"/>
  <c r="Q25" i="41"/>
  <c r="Q25" i="26"/>
  <c r="H15" i="47"/>
  <c r="Q25" i="17"/>
  <c r="Q25" i="32"/>
  <c r="Q25" i="29"/>
  <c r="Q25" i="64"/>
  <c r="Q25" i="53"/>
  <c r="Q25" i="23"/>
  <c r="Q25" i="44"/>
  <c r="L15" i="47"/>
  <c r="Q25" i="20"/>
  <c r="P15" i="47"/>
  <c r="J15" i="47"/>
  <c r="K25" i="47"/>
  <c r="O15" i="47"/>
  <c r="M25" i="47"/>
  <c r="N15" i="47"/>
  <c r="I15" i="47"/>
  <c r="Q24" i="47"/>
  <c r="N56" i="84" l="1"/>
  <c r="O171" i="59"/>
  <c r="BG176" i="84"/>
  <c r="AK214" i="84"/>
  <c r="AK215" i="84" s="1"/>
  <c r="AK216" i="84" s="1"/>
  <c r="O272" i="84"/>
  <c r="S132" i="84"/>
  <c r="AJ216" i="84"/>
  <c r="D64" i="84"/>
  <c r="Q25" i="47"/>
  <c r="A13" i="83"/>
  <c r="G25" i="83"/>
  <c r="F25" i="83"/>
  <c r="A27" i="83"/>
  <c r="G289" i="83"/>
  <c r="G288" i="83"/>
  <c r="G287" i="83"/>
  <c r="G286" i="83"/>
  <c r="G285" i="83"/>
  <c r="G284" i="83"/>
  <c r="G283" i="83"/>
  <c r="G271" i="83"/>
  <c r="H271" i="83" s="1"/>
  <c r="I271" i="83" s="1"/>
  <c r="J271" i="83" s="1"/>
  <c r="K271" i="83" s="1"/>
  <c r="L271" i="83" s="1"/>
  <c r="M271" i="83" s="1"/>
  <c r="N271" i="83" s="1"/>
  <c r="O271" i="83" s="1"/>
  <c r="P271" i="83" s="1"/>
  <c r="Q271" i="83" s="1"/>
  <c r="G265" i="83"/>
  <c r="G264" i="83"/>
  <c r="G263" i="83"/>
  <c r="G262" i="83"/>
  <c r="G261" i="83"/>
  <c r="G260" i="83"/>
  <c r="G259" i="83"/>
  <c r="G258" i="83"/>
  <c r="G257" i="83"/>
  <c r="G256" i="83"/>
  <c r="G255" i="83"/>
  <c r="G254" i="83"/>
  <c r="G253" i="83"/>
  <c r="G252" i="83"/>
  <c r="G251" i="83"/>
  <c r="G250" i="83"/>
  <c r="G249" i="83"/>
  <c r="G248" i="83"/>
  <c r="G247" i="83"/>
  <c r="G246" i="83"/>
  <c r="G245" i="83"/>
  <c r="G244" i="83"/>
  <c r="G243" i="83"/>
  <c r="G242" i="83"/>
  <c r="G241" i="83"/>
  <c r="G240" i="83"/>
  <c r="G239" i="83"/>
  <c r="G238" i="83"/>
  <c r="G237" i="83"/>
  <c r="G236" i="83"/>
  <c r="G235" i="83"/>
  <c r="G234" i="83"/>
  <c r="G233" i="83"/>
  <c r="G232" i="83"/>
  <c r="G231" i="83"/>
  <c r="G230" i="83"/>
  <c r="G229" i="83"/>
  <c r="G228" i="83"/>
  <c r="G227" i="83"/>
  <c r="G226" i="83"/>
  <c r="G225" i="83"/>
  <c r="G224" i="83"/>
  <c r="G223" i="83"/>
  <c r="G222" i="83"/>
  <c r="G221" i="83"/>
  <c r="G220" i="83"/>
  <c r="AN215" i="83"/>
  <c r="Z215" i="83"/>
  <c r="AM213" i="83"/>
  <c r="AL213" i="83"/>
  <c r="AK213" i="83"/>
  <c r="AJ213" i="83"/>
  <c r="AI213" i="83"/>
  <c r="AH213" i="83"/>
  <c r="AG213" i="83"/>
  <c r="AF213" i="83"/>
  <c r="AE213" i="83"/>
  <c r="AD213" i="83"/>
  <c r="AC213" i="83"/>
  <c r="AB213" i="83"/>
  <c r="AA213" i="83"/>
  <c r="AM212" i="83"/>
  <c r="AL212" i="83"/>
  <c r="AK212" i="83"/>
  <c r="AJ212" i="83"/>
  <c r="AI212" i="83"/>
  <c r="AH212" i="83"/>
  <c r="AG212" i="83"/>
  <c r="AF212" i="83"/>
  <c r="AE212" i="83"/>
  <c r="AD212" i="83"/>
  <c r="AC212" i="83"/>
  <c r="AB212" i="83"/>
  <c r="AA212" i="83"/>
  <c r="AM211" i="83"/>
  <c r="AL211" i="83"/>
  <c r="AK211" i="83"/>
  <c r="AJ211" i="83"/>
  <c r="AI211" i="83"/>
  <c r="AH211" i="83"/>
  <c r="AG211" i="83"/>
  <c r="AF211" i="83"/>
  <c r="AE211" i="83"/>
  <c r="AD211" i="83"/>
  <c r="AC211" i="83"/>
  <c r="AB211" i="83"/>
  <c r="AA211" i="83"/>
  <c r="AM210" i="83"/>
  <c r="AL210" i="83"/>
  <c r="AK210" i="83"/>
  <c r="AJ210" i="83"/>
  <c r="AI210" i="83"/>
  <c r="AH210" i="83"/>
  <c r="AG210" i="83"/>
  <c r="AF210" i="83"/>
  <c r="AE210" i="83"/>
  <c r="AD210" i="83"/>
  <c r="AC210" i="83"/>
  <c r="AB210" i="83"/>
  <c r="AA210" i="83"/>
  <c r="AM209" i="83"/>
  <c r="AL209" i="83"/>
  <c r="AK209" i="83"/>
  <c r="AJ209" i="83"/>
  <c r="AI209" i="83"/>
  <c r="AH209" i="83"/>
  <c r="AG209" i="83"/>
  <c r="AF209" i="83"/>
  <c r="AE209" i="83"/>
  <c r="AD209" i="83"/>
  <c r="AC209" i="83"/>
  <c r="AB209" i="83"/>
  <c r="AA209" i="83"/>
  <c r="G209" i="83"/>
  <c r="AM208" i="83"/>
  <c r="AL208" i="83"/>
  <c r="AK208" i="83"/>
  <c r="AJ208" i="83"/>
  <c r="AI208" i="83"/>
  <c r="AH208" i="83"/>
  <c r="AG208" i="83"/>
  <c r="AF208" i="83"/>
  <c r="AE208" i="83"/>
  <c r="AD208" i="83"/>
  <c r="AC208" i="83"/>
  <c r="AB208" i="83"/>
  <c r="AA208" i="83"/>
  <c r="G208" i="83"/>
  <c r="AM207" i="83"/>
  <c r="AL207" i="83"/>
  <c r="AK207" i="83"/>
  <c r="AJ207" i="83"/>
  <c r="AI207" i="83"/>
  <c r="AH207" i="83"/>
  <c r="AG207" i="83"/>
  <c r="AF207" i="83"/>
  <c r="AE207" i="83"/>
  <c r="AD207" i="83"/>
  <c r="AC207" i="83"/>
  <c r="AB207" i="83"/>
  <c r="AA207" i="83"/>
  <c r="G207" i="83"/>
  <c r="AM206" i="83"/>
  <c r="AL206" i="83"/>
  <c r="AK206" i="83"/>
  <c r="AJ206" i="83"/>
  <c r="AI206" i="83"/>
  <c r="AH206" i="83"/>
  <c r="AG206" i="83"/>
  <c r="AF206" i="83"/>
  <c r="AE206" i="83"/>
  <c r="AD206" i="83"/>
  <c r="AC206" i="83"/>
  <c r="AB206" i="83"/>
  <c r="AA206" i="83"/>
  <c r="G206" i="83"/>
  <c r="AM205" i="83"/>
  <c r="AL205" i="83"/>
  <c r="AK205" i="83"/>
  <c r="AJ205" i="83"/>
  <c r="AI205" i="83"/>
  <c r="AH205" i="83"/>
  <c r="AG205" i="83"/>
  <c r="AF205" i="83"/>
  <c r="AE205" i="83"/>
  <c r="AD205" i="83"/>
  <c r="AC205" i="83"/>
  <c r="AB205" i="83"/>
  <c r="AA205" i="83"/>
  <c r="G205" i="83"/>
  <c r="AM204" i="83"/>
  <c r="AL204" i="83"/>
  <c r="AK204" i="83"/>
  <c r="AJ204" i="83"/>
  <c r="AI204" i="83"/>
  <c r="AH204" i="83"/>
  <c r="AG204" i="83"/>
  <c r="AF204" i="83"/>
  <c r="AE204" i="83"/>
  <c r="AD204" i="83"/>
  <c r="AC204" i="83"/>
  <c r="AB204" i="83"/>
  <c r="AA204" i="83"/>
  <c r="G204" i="83"/>
  <c r="AM203" i="83"/>
  <c r="AL203" i="83"/>
  <c r="AK203" i="83"/>
  <c r="AJ203" i="83"/>
  <c r="AI203" i="83"/>
  <c r="AH203" i="83"/>
  <c r="AG203" i="83"/>
  <c r="AF203" i="83"/>
  <c r="AE203" i="83"/>
  <c r="AD203" i="83"/>
  <c r="AC203" i="83"/>
  <c r="AB203" i="83"/>
  <c r="AA203" i="83"/>
  <c r="G203" i="83"/>
  <c r="AM202" i="83"/>
  <c r="AL202" i="83"/>
  <c r="AK202" i="83"/>
  <c r="AJ202" i="83"/>
  <c r="AI202" i="83"/>
  <c r="AH202" i="83"/>
  <c r="AG202" i="83"/>
  <c r="AF202" i="83"/>
  <c r="AE202" i="83"/>
  <c r="AD202" i="83"/>
  <c r="AC202" i="83"/>
  <c r="AB202" i="83"/>
  <c r="AA202" i="83"/>
  <c r="G202" i="83"/>
  <c r="AM201" i="83"/>
  <c r="AL201" i="83"/>
  <c r="AK201" i="83"/>
  <c r="AJ201" i="83"/>
  <c r="AI201" i="83"/>
  <c r="AH201" i="83"/>
  <c r="AG201" i="83"/>
  <c r="AF201" i="83"/>
  <c r="AE201" i="83"/>
  <c r="AD201" i="83"/>
  <c r="AC201" i="83"/>
  <c r="AB201" i="83"/>
  <c r="AA201" i="83"/>
  <c r="G201" i="83"/>
  <c r="AM200" i="83"/>
  <c r="AL200" i="83"/>
  <c r="AK200" i="83"/>
  <c r="AJ200" i="83"/>
  <c r="AI200" i="83"/>
  <c r="AH200" i="83"/>
  <c r="AG200" i="83"/>
  <c r="AF200" i="83"/>
  <c r="AE200" i="83"/>
  <c r="AD200" i="83"/>
  <c r="AC200" i="83"/>
  <c r="AB200" i="83"/>
  <c r="AA200" i="83"/>
  <c r="G200" i="83"/>
  <c r="AM199" i="83"/>
  <c r="AL199" i="83"/>
  <c r="AK199" i="83"/>
  <c r="AJ199" i="83"/>
  <c r="AI199" i="83"/>
  <c r="AH199" i="83"/>
  <c r="AG199" i="83"/>
  <c r="AF199" i="83"/>
  <c r="AE199" i="83"/>
  <c r="AD199" i="83"/>
  <c r="AC199" i="83"/>
  <c r="AB199" i="83"/>
  <c r="AA199" i="83"/>
  <c r="G199" i="83"/>
  <c r="AM198" i="83"/>
  <c r="AL198" i="83"/>
  <c r="AK198" i="83"/>
  <c r="AJ198" i="83"/>
  <c r="AI198" i="83"/>
  <c r="AH198" i="83"/>
  <c r="AG198" i="83"/>
  <c r="AF198" i="83"/>
  <c r="AE198" i="83"/>
  <c r="AD198" i="83"/>
  <c r="AC198" i="83"/>
  <c r="AB198" i="83"/>
  <c r="AA198" i="83"/>
  <c r="G198" i="83"/>
  <c r="AM197" i="83"/>
  <c r="AL197" i="83"/>
  <c r="AK197" i="83"/>
  <c r="AJ197" i="83"/>
  <c r="AI197" i="83"/>
  <c r="AH197" i="83"/>
  <c r="AG197" i="83"/>
  <c r="AF197" i="83"/>
  <c r="AE197" i="83"/>
  <c r="AD197" i="83"/>
  <c r="AC197" i="83"/>
  <c r="AB197" i="83"/>
  <c r="AA197" i="83"/>
  <c r="G197" i="83"/>
  <c r="AM196" i="83"/>
  <c r="AL196" i="83"/>
  <c r="AK196" i="83"/>
  <c r="AJ196" i="83"/>
  <c r="AI196" i="83"/>
  <c r="AH196" i="83"/>
  <c r="AG196" i="83"/>
  <c r="AF196" i="83"/>
  <c r="AE196" i="83"/>
  <c r="AD196" i="83"/>
  <c r="AC196" i="83"/>
  <c r="AB196" i="83"/>
  <c r="AA196" i="83"/>
  <c r="G196" i="83"/>
  <c r="AM195" i="83"/>
  <c r="AL195" i="83"/>
  <c r="AK195" i="83"/>
  <c r="AJ195" i="83"/>
  <c r="AI195" i="83"/>
  <c r="AH195" i="83"/>
  <c r="AG195" i="83"/>
  <c r="AF195" i="83"/>
  <c r="AE195" i="83"/>
  <c r="AD195" i="83"/>
  <c r="AC195" i="83"/>
  <c r="AB195" i="83"/>
  <c r="AA195" i="83"/>
  <c r="G195" i="83"/>
  <c r="AM194" i="83"/>
  <c r="AL194" i="83"/>
  <c r="AK194" i="83"/>
  <c r="AJ194" i="83"/>
  <c r="AI194" i="83"/>
  <c r="AH194" i="83"/>
  <c r="AG194" i="83"/>
  <c r="AF194" i="83"/>
  <c r="AE194" i="83"/>
  <c r="AD194" i="83"/>
  <c r="AC194" i="83"/>
  <c r="AB194" i="83"/>
  <c r="AA194" i="83"/>
  <c r="G194" i="83"/>
  <c r="AM193" i="83"/>
  <c r="AL193" i="83"/>
  <c r="AK193" i="83"/>
  <c r="AJ193" i="83"/>
  <c r="AI193" i="83"/>
  <c r="AH193" i="83"/>
  <c r="AG193" i="83"/>
  <c r="AF193" i="83"/>
  <c r="AE193" i="83"/>
  <c r="AD193" i="83"/>
  <c r="AC193" i="83"/>
  <c r="AB193" i="83"/>
  <c r="AA193" i="83"/>
  <c r="G193" i="83"/>
  <c r="AM192" i="83"/>
  <c r="AL192" i="83"/>
  <c r="AK192" i="83"/>
  <c r="AJ192" i="83"/>
  <c r="AI192" i="83"/>
  <c r="AH192" i="83"/>
  <c r="AG192" i="83"/>
  <c r="AF192" i="83"/>
  <c r="AE192" i="83"/>
  <c r="AD192" i="83"/>
  <c r="AC192" i="83"/>
  <c r="AB192" i="83"/>
  <c r="AA192" i="83"/>
  <c r="G192" i="83"/>
  <c r="AM191" i="83"/>
  <c r="AL191" i="83"/>
  <c r="AK191" i="83"/>
  <c r="AJ191" i="83"/>
  <c r="AI191" i="83"/>
  <c r="AH191" i="83"/>
  <c r="AG191" i="83"/>
  <c r="AF191" i="83"/>
  <c r="AE191" i="83"/>
  <c r="AD191" i="83"/>
  <c r="AC191" i="83"/>
  <c r="AB191" i="83"/>
  <c r="AA191" i="83"/>
  <c r="G191" i="83"/>
  <c r="AM190" i="83"/>
  <c r="AL190" i="83"/>
  <c r="AK190" i="83"/>
  <c r="AJ190" i="83"/>
  <c r="AI190" i="83"/>
  <c r="AH190" i="83"/>
  <c r="AG190" i="83"/>
  <c r="AF190" i="83"/>
  <c r="AE190" i="83"/>
  <c r="AD190" i="83"/>
  <c r="AC190" i="83"/>
  <c r="AB190" i="83"/>
  <c r="AA190" i="83"/>
  <c r="G190" i="83"/>
  <c r="AM189" i="83"/>
  <c r="AL189" i="83"/>
  <c r="AK189" i="83"/>
  <c r="AJ189" i="83"/>
  <c r="AI189" i="83"/>
  <c r="AH189" i="83"/>
  <c r="AG189" i="83"/>
  <c r="AF189" i="83"/>
  <c r="AE189" i="83"/>
  <c r="AD189" i="83"/>
  <c r="AC189" i="83"/>
  <c r="AB189" i="83"/>
  <c r="AA189" i="83"/>
  <c r="G189" i="83"/>
  <c r="AM188" i="83"/>
  <c r="AL188" i="83"/>
  <c r="AK188" i="83"/>
  <c r="AJ188" i="83"/>
  <c r="AI188" i="83"/>
  <c r="AH188" i="83"/>
  <c r="AG188" i="83"/>
  <c r="AF188" i="83"/>
  <c r="AE188" i="83"/>
  <c r="AD188" i="83"/>
  <c r="AC188" i="83"/>
  <c r="AB188" i="83"/>
  <c r="AA188" i="83"/>
  <c r="G188" i="83"/>
  <c r="AO187" i="83"/>
  <c r="AN187" i="83"/>
  <c r="AK187" i="83"/>
  <c r="AJ187" i="83"/>
  <c r="AI187" i="83"/>
  <c r="AH187" i="83"/>
  <c r="AG187" i="83"/>
  <c r="AF187" i="83"/>
  <c r="AE187" i="83"/>
  <c r="AD187" i="83"/>
  <c r="AC187" i="83"/>
  <c r="AB187" i="83"/>
  <c r="AA187" i="83"/>
  <c r="G187" i="83"/>
  <c r="AO186" i="83"/>
  <c r="AN186" i="83"/>
  <c r="AK186" i="83"/>
  <c r="AJ186" i="83"/>
  <c r="AI186" i="83"/>
  <c r="AH186" i="83"/>
  <c r="AG186" i="83"/>
  <c r="AF186" i="83"/>
  <c r="AE186" i="83"/>
  <c r="AD186" i="83"/>
  <c r="AC186" i="83"/>
  <c r="AB186" i="83"/>
  <c r="AA186" i="83"/>
  <c r="G186" i="83"/>
  <c r="AO185" i="83"/>
  <c r="AN185" i="83"/>
  <c r="G185" i="83"/>
  <c r="AO184" i="83"/>
  <c r="AN184" i="83"/>
  <c r="G184" i="83"/>
  <c r="AO183" i="83"/>
  <c r="AN183" i="83"/>
  <c r="G183" i="83"/>
  <c r="AO182" i="83"/>
  <c r="AN182" i="83"/>
  <c r="G182" i="83"/>
  <c r="AO181" i="83"/>
  <c r="AN181" i="83"/>
  <c r="G181" i="83"/>
  <c r="AO180" i="83"/>
  <c r="G180" i="83"/>
  <c r="AO179" i="83"/>
  <c r="AN179" i="83"/>
  <c r="G179" i="83"/>
  <c r="AO178" i="83"/>
  <c r="AN178" i="83"/>
  <c r="G178" i="83"/>
  <c r="AO177" i="83"/>
  <c r="AN177" i="83"/>
  <c r="G177" i="83"/>
  <c r="BE176" i="83"/>
  <c r="AO176" i="83"/>
  <c r="AN176" i="83"/>
  <c r="G176" i="83"/>
  <c r="BE175" i="83"/>
  <c r="AO175" i="83"/>
  <c r="AN175" i="83"/>
  <c r="G175" i="83"/>
  <c r="BE174" i="83"/>
  <c r="AO174" i="83"/>
  <c r="AN174" i="83"/>
  <c r="G174" i="83"/>
  <c r="BE173" i="83"/>
  <c r="AO173" i="83"/>
  <c r="AN173" i="83"/>
  <c r="G173" i="83"/>
  <c r="BE172" i="83"/>
  <c r="AO172" i="83"/>
  <c r="AN172" i="83"/>
  <c r="G172" i="83"/>
  <c r="BE171" i="83"/>
  <c r="AO171" i="83"/>
  <c r="AN171" i="83"/>
  <c r="G171" i="83"/>
  <c r="BE170" i="83"/>
  <c r="AO170" i="83"/>
  <c r="AN170" i="83"/>
  <c r="G170" i="83"/>
  <c r="BE169" i="83"/>
  <c r="AO169" i="83"/>
  <c r="AN169" i="83"/>
  <c r="G169" i="83"/>
  <c r="CF168" i="83"/>
  <c r="CE168" i="83"/>
  <c r="CJ171" i="83" s="1"/>
  <c r="CF175" i="83" s="1"/>
  <c r="BE168" i="83"/>
  <c r="AO168" i="83"/>
  <c r="AN168" i="83"/>
  <c r="G168" i="83"/>
  <c r="BE167" i="83"/>
  <c r="AO167" i="83"/>
  <c r="AN167" i="83"/>
  <c r="AM167" i="83"/>
  <c r="AL167" i="83"/>
  <c r="AK167" i="83"/>
  <c r="AJ167" i="83"/>
  <c r="AI167" i="83"/>
  <c r="AH167" i="83"/>
  <c r="AG167" i="83"/>
  <c r="AF167" i="83"/>
  <c r="AE167" i="83"/>
  <c r="AD167" i="83"/>
  <c r="AC167" i="83"/>
  <c r="AB167" i="83"/>
  <c r="AA167" i="83"/>
  <c r="X167" i="83"/>
  <c r="G167" i="83"/>
  <c r="BE166" i="83"/>
  <c r="AA166" i="83"/>
  <c r="AA174" i="83" s="1"/>
  <c r="H166" i="83"/>
  <c r="I166" i="83" s="1"/>
  <c r="J166" i="83" s="1"/>
  <c r="K166" i="83" s="1"/>
  <c r="L166" i="83" s="1"/>
  <c r="M166" i="83" s="1"/>
  <c r="N166" i="83" s="1"/>
  <c r="O166" i="83" s="1"/>
  <c r="P166" i="83" s="1"/>
  <c r="Q166" i="83" s="1"/>
  <c r="BG164" i="83"/>
  <c r="BF164" i="83"/>
  <c r="BB164" i="83"/>
  <c r="BG163" i="83"/>
  <c r="BF163" i="83"/>
  <c r="BB163" i="83" s="1"/>
  <c r="BY162" i="83"/>
  <c r="BV162" i="83"/>
  <c r="BG162" i="83"/>
  <c r="BF162" i="83"/>
  <c r="BB162" i="83" s="1"/>
  <c r="V162" i="83"/>
  <c r="BV161" i="83"/>
  <c r="BG161" i="83"/>
  <c r="BF161" i="83"/>
  <c r="BB161" i="83" s="1"/>
  <c r="BN160" i="83"/>
  <c r="W196" i="83" s="1"/>
  <c r="X196" i="83" s="1"/>
  <c r="BG160" i="83"/>
  <c r="BF160" i="83"/>
  <c r="BB160" i="83" s="1"/>
  <c r="BY159" i="83"/>
  <c r="BY160" i="83" s="1"/>
  <c r="BG159" i="83"/>
  <c r="BF159" i="83"/>
  <c r="BB159" i="83" s="1"/>
  <c r="BY158" i="83"/>
  <c r="BG158" i="83"/>
  <c r="BF158" i="83"/>
  <c r="BB158" i="83" s="1"/>
  <c r="BD158" i="83" s="1"/>
  <c r="BI166" i="83" s="1"/>
  <c r="BG157" i="83"/>
  <c r="BF157" i="83"/>
  <c r="BB157" i="83" s="1"/>
  <c r="T157" i="83"/>
  <c r="BV156" i="83"/>
  <c r="BG156" i="83"/>
  <c r="BF156" i="83"/>
  <c r="BB156" i="83" s="1"/>
  <c r="BD156" i="83"/>
  <c r="BG166" i="83" s="1"/>
  <c r="AY155" i="83"/>
  <c r="AX155" i="83"/>
  <c r="AW155" i="83"/>
  <c r="AV155" i="83"/>
  <c r="AU155" i="83"/>
  <c r="BG155" i="83" s="1"/>
  <c r="AR155" i="83"/>
  <c r="AQ155" i="83"/>
  <c r="AP155" i="83"/>
  <c r="AO155" i="83"/>
  <c r="AN155" i="83"/>
  <c r="BF155" i="83" s="1"/>
  <c r="BB155" i="83" s="1"/>
  <c r="AY154" i="83"/>
  <c r="AX154" i="83"/>
  <c r="AW154" i="83"/>
  <c r="AV154" i="83"/>
  <c r="AU154" i="83"/>
  <c r="BG154" i="83" s="1"/>
  <c r="AR154" i="83"/>
  <c r="AQ154" i="83"/>
  <c r="AP154" i="83"/>
  <c r="AO154" i="83"/>
  <c r="AN154" i="83"/>
  <c r="BF154" i="83" s="1"/>
  <c r="BB154" i="83" s="1"/>
  <c r="B117" i="83"/>
  <c r="S116" i="83"/>
  <c r="Y115" i="83"/>
  <c r="T115" i="83"/>
  <c r="W59" i="83" s="1"/>
  <c r="D115" i="83"/>
  <c r="S64" i="83" s="1"/>
  <c r="U58" i="83" s="1"/>
  <c r="C115" i="83"/>
  <c r="D62" i="83" s="1"/>
  <c r="W114" i="83"/>
  <c r="V114" i="83"/>
  <c r="W113" i="83"/>
  <c r="AN212" i="83" s="1"/>
  <c r="V113" i="83"/>
  <c r="W112" i="83"/>
  <c r="V112" i="83"/>
  <c r="W111" i="83"/>
  <c r="V111" i="83"/>
  <c r="W110" i="83"/>
  <c r="AO209" i="83" s="1"/>
  <c r="V110" i="83"/>
  <c r="W109" i="83"/>
  <c r="V109" i="83"/>
  <c r="W108" i="83"/>
  <c r="V108" i="83"/>
  <c r="W107" i="83"/>
  <c r="V107" i="83"/>
  <c r="W106" i="83"/>
  <c r="V106" i="83"/>
  <c r="W105" i="83"/>
  <c r="V105" i="83"/>
  <c r="W104" i="83"/>
  <c r="V104" i="83"/>
  <c r="W103" i="83"/>
  <c r="V103" i="83"/>
  <c r="W102" i="83"/>
  <c r="V102" i="83"/>
  <c r="W101" i="83"/>
  <c r="V101" i="83"/>
  <c r="W100" i="83"/>
  <c r="V100" i="83"/>
  <c r="W99" i="83"/>
  <c r="V99" i="83"/>
  <c r="W98" i="83"/>
  <c r="V98" i="83"/>
  <c r="W97" i="83"/>
  <c r="V97" i="83"/>
  <c r="W96" i="83"/>
  <c r="AO195" i="83" s="1"/>
  <c r="V96" i="83"/>
  <c r="W95" i="83"/>
  <c r="V95" i="83"/>
  <c r="W94" i="83"/>
  <c r="V94" i="83"/>
  <c r="W93" i="83"/>
  <c r="V93" i="83"/>
  <c r="W92" i="83"/>
  <c r="AO191" i="83" s="1"/>
  <c r="V92" i="83"/>
  <c r="W91" i="83"/>
  <c r="V91" i="83"/>
  <c r="W90" i="83"/>
  <c r="V90" i="83"/>
  <c r="W89" i="83"/>
  <c r="V89" i="83"/>
  <c r="U89" i="83"/>
  <c r="U88" i="83"/>
  <c r="G88" i="83"/>
  <c r="AM187" i="83" s="1"/>
  <c r="U87" i="83"/>
  <c r="G87" i="83"/>
  <c r="U86" i="83"/>
  <c r="G86" i="83"/>
  <c r="U85" i="83"/>
  <c r="G85" i="83"/>
  <c r="U84" i="83"/>
  <c r="G84" i="83"/>
  <c r="U83" i="83"/>
  <c r="G83" i="83"/>
  <c r="U82" i="83"/>
  <c r="G82" i="83"/>
  <c r="U81" i="83"/>
  <c r="G81" i="83"/>
  <c r="AL180" i="83" s="1"/>
  <c r="F81" i="83"/>
  <c r="U80" i="83"/>
  <c r="G80" i="83"/>
  <c r="U79" i="83"/>
  <c r="G79" i="83"/>
  <c r="AL178" i="83" s="1"/>
  <c r="U78" i="83"/>
  <c r="G78" i="83"/>
  <c r="U77" i="83"/>
  <c r="G77" i="83"/>
  <c r="AM176" i="83" s="1"/>
  <c r="U76" i="83"/>
  <c r="G76" i="83"/>
  <c r="U75" i="83"/>
  <c r="G75" i="83"/>
  <c r="U74" i="83"/>
  <c r="G74" i="83"/>
  <c r="AM173" i="83" s="1"/>
  <c r="U73" i="83"/>
  <c r="G73" i="83"/>
  <c r="AM172" i="83" s="1"/>
  <c r="U72" i="83"/>
  <c r="G72" i="83"/>
  <c r="AL171" i="83" s="1"/>
  <c r="U71" i="83"/>
  <c r="G71" i="83"/>
  <c r="U70" i="83"/>
  <c r="G70" i="83"/>
  <c r="AM169" i="83" s="1"/>
  <c r="U69" i="83"/>
  <c r="G69" i="83"/>
  <c r="I66" i="83"/>
  <c r="I173" i="83" s="1"/>
  <c r="H66" i="83"/>
  <c r="H198" i="83" s="1"/>
  <c r="S63" i="83"/>
  <c r="W60" i="83"/>
  <c r="W56" i="83" s="1"/>
  <c r="U59" i="83"/>
  <c r="E58" i="83"/>
  <c r="E57" i="83"/>
  <c r="E56" i="83"/>
  <c r="P55" i="83"/>
  <c r="O55" i="83"/>
  <c r="N55" i="83"/>
  <c r="M55" i="83"/>
  <c r="L55" i="83"/>
  <c r="K55" i="83"/>
  <c r="J55" i="83"/>
  <c r="I55" i="83"/>
  <c r="H55" i="83"/>
  <c r="G55" i="83"/>
  <c r="F40" i="83"/>
  <c r="A39" i="83"/>
  <c r="P24" i="83"/>
  <c r="P25" i="83" s="1"/>
  <c r="O24" i="83"/>
  <c r="O15" i="83" s="1"/>
  <c r="N24" i="83"/>
  <c r="N25" i="83" s="1"/>
  <c r="M24" i="83"/>
  <c r="M15" i="83" s="1"/>
  <c r="L24" i="83"/>
  <c r="L15" i="83" s="1"/>
  <c r="K24" i="83"/>
  <c r="K25" i="83" s="1"/>
  <c r="J24" i="83"/>
  <c r="J25" i="83" s="1"/>
  <c r="I24" i="83"/>
  <c r="I15" i="83" s="1"/>
  <c r="H24" i="83"/>
  <c r="H15" i="83" s="1"/>
  <c r="A21" i="83"/>
  <c r="P19" i="83"/>
  <c r="O19" i="83"/>
  <c r="N19" i="83"/>
  <c r="M19" i="83"/>
  <c r="L19" i="83"/>
  <c r="K19" i="83"/>
  <c r="J19" i="83"/>
  <c r="I19" i="83"/>
  <c r="H19" i="83"/>
  <c r="G19" i="83"/>
  <c r="F19" i="83"/>
  <c r="G15" i="83"/>
  <c r="F15" i="83"/>
  <c r="P12" i="83"/>
  <c r="O12" i="83"/>
  <c r="N12" i="83"/>
  <c r="M12" i="83"/>
  <c r="L12" i="83"/>
  <c r="K12" i="83"/>
  <c r="J12" i="83"/>
  <c r="I12" i="83"/>
  <c r="H12" i="83"/>
  <c r="G12" i="83"/>
  <c r="F12" i="83"/>
  <c r="D8" i="83"/>
  <c r="A7" i="83"/>
  <c r="D6" i="83"/>
  <c r="A6" i="83"/>
  <c r="P5" i="83"/>
  <c r="O5" i="83"/>
  <c r="N5" i="83"/>
  <c r="M5" i="83"/>
  <c r="L5" i="83"/>
  <c r="K5" i="83"/>
  <c r="J5" i="83"/>
  <c r="I5" i="83"/>
  <c r="H5" i="83"/>
  <c r="G5" i="83"/>
  <c r="F5" i="83"/>
  <c r="G135" i="59"/>
  <c r="G200" i="59" s="1"/>
  <c r="H135" i="59"/>
  <c r="H200" i="59" s="1"/>
  <c r="I135" i="59"/>
  <c r="I200" i="59" s="1"/>
  <c r="J135" i="59"/>
  <c r="J200" i="59" s="1"/>
  <c r="K135" i="59"/>
  <c r="K200" i="59" s="1"/>
  <c r="L135" i="59"/>
  <c r="L200" i="59" s="1"/>
  <c r="M135" i="59"/>
  <c r="M200" i="59" s="1"/>
  <c r="N135" i="59"/>
  <c r="N200" i="59" s="1"/>
  <c r="O135" i="59"/>
  <c r="O200" i="59" s="1"/>
  <c r="P135" i="59"/>
  <c r="P200" i="59" s="1"/>
  <c r="Q135" i="59"/>
  <c r="Q200" i="59" s="1"/>
  <c r="R135" i="59"/>
  <c r="R200" i="59" s="1"/>
  <c r="H105" i="59"/>
  <c r="I105" i="59"/>
  <c r="J105" i="59"/>
  <c r="K105" i="59"/>
  <c r="L105" i="59"/>
  <c r="M105" i="59"/>
  <c r="N105" i="59"/>
  <c r="O105" i="59"/>
  <c r="P105" i="59"/>
  <c r="Q105" i="59"/>
  <c r="R105" i="59"/>
  <c r="G105" i="59"/>
  <c r="W30" i="60"/>
  <c r="X30" i="60"/>
  <c r="Y30" i="60"/>
  <c r="Z30" i="60"/>
  <c r="AA30" i="60"/>
  <c r="AB30" i="60"/>
  <c r="AC30" i="60"/>
  <c r="AD30" i="60"/>
  <c r="AE30" i="60"/>
  <c r="V30" i="60"/>
  <c r="W42" i="60"/>
  <c r="G271" i="8"/>
  <c r="G271" i="5"/>
  <c r="G271" i="11"/>
  <c r="G271" i="14"/>
  <c r="G271" i="17"/>
  <c r="G271" i="20"/>
  <c r="G271" i="29"/>
  <c r="G271" i="32"/>
  <c r="G271" i="56"/>
  <c r="G271" i="23"/>
  <c r="G271" i="26"/>
  <c r="G271" i="41"/>
  <c r="G271" i="35"/>
  <c r="G271" i="38"/>
  <c r="G271" i="47"/>
  <c r="G271" i="50"/>
  <c r="G271" i="53"/>
  <c r="G271" i="76"/>
  <c r="G271" i="61"/>
  <c r="G271" i="44"/>
  <c r="G166" i="8"/>
  <c r="G166" i="5"/>
  <c r="G166" i="11"/>
  <c r="G166" i="14"/>
  <c r="G166" i="17"/>
  <c r="G166" i="20"/>
  <c r="G166" i="29"/>
  <c r="G166" i="32"/>
  <c r="G166" i="56"/>
  <c r="G166" i="23"/>
  <c r="G166" i="26"/>
  <c r="G166" i="35"/>
  <c r="G166" i="38"/>
  <c r="G166" i="47"/>
  <c r="G166" i="50"/>
  <c r="G166" i="53"/>
  <c r="G166" i="76"/>
  <c r="G166" i="61"/>
  <c r="G166" i="44"/>
  <c r="F5" i="8"/>
  <c r="F5" i="5"/>
  <c r="F5" i="11"/>
  <c r="F5" i="14"/>
  <c r="F5" i="17"/>
  <c r="F5" i="20"/>
  <c r="F5" i="29"/>
  <c r="F5" i="32"/>
  <c r="F5" i="56"/>
  <c r="F5" i="23"/>
  <c r="F5" i="26"/>
  <c r="F5" i="41"/>
  <c r="F5" i="35"/>
  <c r="F5" i="38"/>
  <c r="F5" i="47"/>
  <c r="F5" i="50"/>
  <c r="F5" i="53"/>
  <c r="F5" i="76"/>
  <c r="F5" i="61"/>
  <c r="F5" i="44"/>
  <c r="F12" i="8"/>
  <c r="F12" i="5"/>
  <c r="F12" i="11"/>
  <c r="F12" i="14"/>
  <c r="F12" i="17"/>
  <c r="F12" i="20"/>
  <c r="F12" i="29"/>
  <c r="F12" i="32"/>
  <c r="F12" i="56"/>
  <c r="F12" i="23"/>
  <c r="F12" i="26"/>
  <c r="F12" i="41"/>
  <c r="F12" i="35"/>
  <c r="F12" i="38"/>
  <c r="F12" i="47"/>
  <c r="F12" i="50"/>
  <c r="F12" i="53"/>
  <c r="F12" i="76"/>
  <c r="F12" i="61"/>
  <c r="F12" i="44"/>
  <c r="F19" i="8"/>
  <c r="F19" i="5"/>
  <c r="F19" i="11"/>
  <c r="F19" i="14"/>
  <c r="F19" i="17"/>
  <c r="F19" i="20"/>
  <c r="F19" i="29"/>
  <c r="F19" i="32"/>
  <c r="F19" i="56"/>
  <c r="F19" i="23"/>
  <c r="F19" i="26"/>
  <c r="F19" i="41"/>
  <c r="F19" i="47"/>
  <c r="F19" i="50"/>
  <c r="F19" i="53"/>
  <c r="F19" i="76"/>
  <c r="F19" i="61"/>
  <c r="F19" i="44"/>
  <c r="K30" i="11"/>
  <c r="F30" i="8"/>
  <c r="F30" i="5"/>
  <c r="F30" i="11"/>
  <c r="F30" i="14"/>
  <c r="F30" i="17"/>
  <c r="F30" i="20"/>
  <c r="F30" i="29"/>
  <c r="F30" i="32"/>
  <c r="F30" i="56"/>
  <c r="F30" i="23"/>
  <c r="F30" i="26"/>
  <c r="F30" i="41"/>
  <c r="F30" i="35"/>
  <c r="F30" i="38"/>
  <c r="F30" i="47"/>
  <c r="F30" i="50"/>
  <c r="F30" i="53"/>
  <c r="F30" i="76"/>
  <c r="F30" i="61"/>
  <c r="F30" i="44"/>
  <c r="H55" i="8"/>
  <c r="I55" i="8"/>
  <c r="J55" i="8"/>
  <c r="K55" i="8"/>
  <c r="K19" i="8" s="1"/>
  <c r="L55" i="8"/>
  <c r="L30" i="8" s="1"/>
  <c r="M55" i="8"/>
  <c r="M30" i="8" s="1"/>
  <c r="N55" i="8"/>
  <c r="N19" i="8" s="1"/>
  <c r="O55" i="8"/>
  <c r="P55" i="8"/>
  <c r="H55" i="5"/>
  <c r="I55" i="5"/>
  <c r="J55" i="5"/>
  <c r="J30" i="5" s="1"/>
  <c r="K55" i="5"/>
  <c r="K30" i="5" s="1"/>
  <c r="L55" i="5"/>
  <c r="L12" i="5" s="1"/>
  <c r="M55" i="5"/>
  <c r="M30" i="5" s="1"/>
  <c r="N55" i="5"/>
  <c r="O55" i="5"/>
  <c r="P55" i="5"/>
  <c r="H55" i="11"/>
  <c r="I55" i="11"/>
  <c r="I30" i="11" s="1"/>
  <c r="J55" i="11"/>
  <c r="J12" i="11" s="1"/>
  <c r="K55" i="11"/>
  <c r="L55" i="11"/>
  <c r="M55" i="11"/>
  <c r="M19" i="11" s="1"/>
  <c r="N55" i="11"/>
  <c r="N30" i="11" s="1"/>
  <c r="O55" i="11"/>
  <c r="P55" i="11"/>
  <c r="H55" i="14"/>
  <c r="H30" i="14" s="1"/>
  <c r="I55" i="14"/>
  <c r="I30" i="14" s="1"/>
  <c r="J55" i="14"/>
  <c r="K55" i="14"/>
  <c r="K19" i="14" s="1"/>
  <c r="L55" i="14"/>
  <c r="M55" i="14"/>
  <c r="N55" i="14"/>
  <c r="N12" i="14" s="1"/>
  <c r="O55" i="14"/>
  <c r="P55" i="14"/>
  <c r="P5" i="14" s="1"/>
  <c r="H55" i="17"/>
  <c r="I55" i="17"/>
  <c r="I19" i="17" s="1"/>
  <c r="J55" i="17"/>
  <c r="J30" i="17" s="1"/>
  <c r="K55" i="17"/>
  <c r="L55" i="17"/>
  <c r="M55" i="17"/>
  <c r="N55" i="17"/>
  <c r="N12" i="17" s="1"/>
  <c r="O55" i="17"/>
  <c r="O12" i="17" s="1"/>
  <c r="P55" i="17"/>
  <c r="H55" i="20"/>
  <c r="H30" i="20" s="1"/>
  <c r="I55" i="20"/>
  <c r="I19" i="20" s="1"/>
  <c r="J55" i="20"/>
  <c r="J30" i="20" s="1"/>
  <c r="K55" i="20"/>
  <c r="K30" i="20" s="1"/>
  <c r="L55" i="20"/>
  <c r="L12" i="20" s="1"/>
  <c r="M55" i="20"/>
  <c r="N55" i="20"/>
  <c r="O55" i="20"/>
  <c r="P55" i="20"/>
  <c r="H55" i="29"/>
  <c r="I55" i="29"/>
  <c r="I12" i="29" s="1"/>
  <c r="J55" i="29"/>
  <c r="K55" i="29"/>
  <c r="L55" i="29"/>
  <c r="M55" i="29"/>
  <c r="M19" i="29" s="1"/>
  <c r="N55" i="29"/>
  <c r="N30" i="29" s="1"/>
  <c r="O55" i="29"/>
  <c r="O30" i="29" s="1"/>
  <c r="P55" i="29"/>
  <c r="H55" i="32"/>
  <c r="H19" i="32" s="1"/>
  <c r="I55" i="32"/>
  <c r="J55" i="32"/>
  <c r="J19" i="32" s="1"/>
  <c r="K55" i="32"/>
  <c r="L55" i="32"/>
  <c r="L30" i="32" s="1"/>
  <c r="M55" i="32"/>
  <c r="M30" i="32" s="1"/>
  <c r="N55" i="32"/>
  <c r="N30" i="32" s="1"/>
  <c r="O55" i="32"/>
  <c r="O30" i="32" s="1"/>
  <c r="P55" i="32"/>
  <c r="P12" i="32" s="1"/>
  <c r="H55" i="56"/>
  <c r="I55" i="56"/>
  <c r="J55" i="56"/>
  <c r="K55" i="56"/>
  <c r="K30" i="56" s="1"/>
  <c r="L55" i="56"/>
  <c r="L30" i="56" s="1"/>
  <c r="M55" i="56"/>
  <c r="M12" i="56" s="1"/>
  <c r="N55" i="56"/>
  <c r="N12" i="56" s="1"/>
  <c r="O55" i="56"/>
  <c r="O30" i="56" s="1"/>
  <c r="P55" i="56"/>
  <c r="P19" i="56" s="1"/>
  <c r="H55" i="23"/>
  <c r="I55" i="23"/>
  <c r="J55" i="23"/>
  <c r="J30" i="23" s="1"/>
  <c r="K55" i="23"/>
  <c r="K12" i="23" s="1"/>
  <c r="L55" i="23"/>
  <c r="L30" i="23" s="1"/>
  <c r="M55" i="23"/>
  <c r="M12" i="23" s="1"/>
  <c r="N55" i="23"/>
  <c r="O55" i="23"/>
  <c r="O30" i="23" s="1"/>
  <c r="P55" i="23"/>
  <c r="H55" i="26"/>
  <c r="I55" i="26"/>
  <c r="I30" i="26" s="1"/>
  <c r="J55" i="26"/>
  <c r="J19" i="26" s="1"/>
  <c r="K55" i="26"/>
  <c r="K30" i="26" s="1"/>
  <c r="L55" i="26"/>
  <c r="L19" i="26" s="1"/>
  <c r="M55" i="26"/>
  <c r="M30" i="26" s="1"/>
  <c r="N55" i="26"/>
  <c r="N30" i="26" s="1"/>
  <c r="O55" i="26"/>
  <c r="P55" i="26"/>
  <c r="H55" i="41"/>
  <c r="H12" i="41" s="1"/>
  <c r="I55" i="41"/>
  <c r="I12" i="41" s="1"/>
  <c r="J55" i="41"/>
  <c r="J19" i="41" s="1"/>
  <c r="K55" i="41"/>
  <c r="K19" i="41" s="1"/>
  <c r="L55" i="41"/>
  <c r="L30" i="41" s="1"/>
  <c r="M55" i="41"/>
  <c r="M19" i="41" s="1"/>
  <c r="N55" i="41"/>
  <c r="O55" i="41"/>
  <c r="P55" i="41"/>
  <c r="P12" i="41" s="1"/>
  <c r="H55" i="35"/>
  <c r="H19" i="35" s="1"/>
  <c r="I55" i="35"/>
  <c r="I19" i="35" s="1"/>
  <c r="J55" i="35"/>
  <c r="J19" i="35" s="1"/>
  <c r="K55" i="35"/>
  <c r="K19" i="35" s="1"/>
  <c r="L55" i="35"/>
  <c r="L19" i="35" s="1"/>
  <c r="M55" i="35"/>
  <c r="M19" i="35" s="1"/>
  <c r="N55" i="35"/>
  <c r="N19" i="35" s="1"/>
  <c r="O55" i="35"/>
  <c r="P55" i="35"/>
  <c r="P19" i="35" s="1"/>
  <c r="H55" i="38"/>
  <c r="H19" i="38" s="1"/>
  <c r="I55" i="38"/>
  <c r="I19" i="38" s="1"/>
  <c r="J55" i="38"/>
  <c r="J19" i="38" s="1"/>
  <c r="K55" i="38"/>
  <c r="L55" i="38"/>
  <c r="L19" i="38" s="1"/>
  <c r="M55" i="38"/>
  <c r="M19" i="38" s="1"/>
  <c r="N55" i="38"/>
  <c r="N19" i="38" s="1"/>
  <c r="O55" i="38"/>
  <c r="O19" i="38" s="1"/>
  <c r="P55" i="38"/>
  <c r="P19" i="38" s="1"/>
  <c r="H55" i="47"/>
  <c r="H30" i="47" s="1"/>
  <c r="I55" i="47"/>
  <c r="I30" i="47" s="1"/>
  <c r="J55" i="47"/>
  <c r="J12" i="47" s="1"/>
  <c r="K55" i="47"/>
  <c r="L55" i="47"/>
  <c r="M55" i="47"/>
  <c r="M30" i="47" s="1"/>
  <c r="N55" i="47"/>
  <c r="N30" i="47" s="1"/>
  <c r="O55" i="47"/>
  <c r="O30" i="47" s="1"/>
  <c r="P55" i="47"/>
  <c r="P30" i="47" s="1"/>
  <c r="H55" i="50"/>
  <c r="H12" i="50" s="1"/>
  <c r="I55" i="50"/>
  <c r="J55" i="50"/>
  <c r="K55" i="50"/>
  <c r="L55" i="50"/>
  <c r="L30" i="50" s="1"/>
  <c r="M55" i="50"/>
  <c r="M19" i="50" s="1"/>
  <c r="N55" i="50"/>
  <c r="N30" i="50" s="1"/>
  <c r="O55" i="50"/>
  <c r="O12" i="50" s="1"/>
  <c r="P55" i="50"/>
  <c r="P19" i="50" s="1"/>
  <c r="H55" i="53"/>
  <c r="I55" i="53"/>
  <c r="J55" i="53"/>
  <c r="K55" i="53"/>
  <c r="K19" i="53" s="1"/>
  <c r="L55" i="53"/>
  <c r="L30" i="53" s="1"/>
  <c r="M55" i="53"/>
  <c r="M12" i="53" s="1"/>
  <c r="N55" i="53"/>
  <c r="N30" i="53" s="1"/>
  <c r="O55" i="53"/>
  <c r="O12" i="53" s="1"/>
  <c r="P55" i="53"/>
  <c r="P19" i="53" s="1"/>
  <c r="H55" i="76"/>
  <c r="H19" i="76" s="1"/>
  <c r="I55" i="76"/>
  <c r="J55" i="76"/>
  <c r="J30" i="76" s="1"/>
  <c r="K55" i="76"/>
  <c r="K30" i="76" s="1"/>
  <c r="L55" i="76"/>
  <c r="L12" i="76" s="1"/>
  <c r="M55" i="76"/>
  <c r="N55" i="76"/>
  <c r="O55" i="76"/>
  <c r="O12" i="76" s="1"/>
  <c r="P55" i="76"/>
  <c r="P19" i="76" s="1"/>
  <c r="H55" i="61"/>
  <c r="I55" i="61"/>
  <c r="I12" i="61" s="1"/>
  <c r="J55" i="61"/>
  <c r="J19" i="61" s="1"/>
  <c r="K55" i="61"/>
  <c r="K12" i="61" s="1"/>
  <c r="L55" i="61"/>
  <c r="L19" i="61" s="1"/>
  <c r="M55" i="61"/>
  <c r="N55" i="61"/>
  <c r="O55" i="61"/>
  <c r="O30" i="61" s="1"/>
  <c r="P55" i="61"/>
  <c r="H55" i="44"/>
  <c r="H19" i="44" s="1"/>
  <c r="I55" i="44"/>
  <c r="I12" i="44" s="1"/>
  <c r="J55" i="44"/>
  <c r="J19" i="44" s="1"/>
  <c r="K55" i="44"/>
  <c r="K12" i="44" s="1"/>
  <c r="L55" i="44"/>
  <c r="L19" i="44" s="1"/>
  <c r="M55" i="44"/>
  <c r="M19" i="44" s="1"/>
  <c r="N55" i="44"/>
  <c r="O55" i="44"/>
  <c r="P55" i="44"/>
  <c r="P19" i="44" s="1"/>
  <c r="H66" i="8"/>
  <c r="H66" i="5"/>
  <c r="H66" i="11"/>
  <c r="H66" i="14"/>
  <c r="I66" i="14" s="1"/>
  <c r="H66" i="17"/>
  <c r="I66" i="17" s="1"/>
  <c r="H66" i="20"/>
  <c r="H166" i="20" s="1"/>
  <c r="H66" i="29"/>
  <c r="H66" i="32"/>
  <c r="H271" i="32" s="1"/>
  <c r="H66" i="56"/>
  <c r="H66" i="23"/>
  <c r="H66" i="26"/>
  <c r="H66" i="41"/>
  <c r="H66" i="35"/>
  <c r="H66" i="38"/>
  <c r="I66" i="38" s="1"/>
  <c r="H66" i="47"/>
  <c r="I66" i="47" s="1"/>
  <c r="H66" i="50"/>
  <c r="I66" i="50" s="1"/>
  <c r="H66" i="53"/>
  <c r="I66" i="53" s="1"/>
  <c r="H66" i="76"/>
  <c r="H66" i="61"/>
  <c r="H66" i="44"/>
  <c r="I66" i="44" s="1"/>
  <c r="G55" i="8"/>
  <c r="G30" i="8" s="1"/>
  <c r="G55" i="5"/>
  <c r="G19" i="5" s="1"/>
  <c r="G55" i="11"/>
  <c r="G55" i="14"/>
  <c r="G12" i="14" s="1"/>
  <c r="G55" i="17"/>
  <c r="G30" i="17" s="1"/>
  <c r="G55" i="20"/>
  <c r="G55" i="29"/>
  <c r="G55" i="32"/>
  <c r="G30" i="32" s="1"/>
  <c r="G55" i="56"/>
  <c r="G12" i="56" s="1"/>
  <c r="G55" i="23"/>
  <c r="G55" i="26"/>
  <c r="G19" i="26" s="1"/>
  <c r="G55" i="41"/>
  <c r="G55" i="35"/>
  <c r="G19" i="35" s="1"/>
  <c r="G55" i="38"/>
  <c r="G19" i="38" s="1"/>
  <c r="G55" i="47"/>
  <c r="G55" i="50"/>
  <c r="G12" i="50" s="1"/>
  <c r="G55" i="53"/>
  <c r="G12" i="53" s="1"/>
  <c r="G55" i="76"/>
  <c r="G30" i="76" s="1"/>
  <c r="G55" i="61"/>
  <c r="G30" i="61" s="1"/>
  <c r="G55" i="44"/>
  <c r="G12" i="44" s="1"/>
  <c r="BV162" i="61"/>
  <c r="BV162" i="76"/>
  <c r="BV162" i="53"/>
  <c r="BV161" i="53"/>
  <c r="BV162" i="50"/>
  <c r="BV162" i="41"/>
  <c r="BV162" i="26"/>
  <c r="BV162" i="23"/>
  <c r="BV162" i="56"/>
  <c r="BY159" i="32"/>
  <c r="BV162" i="32"/>
  <c r="BV162" i="29"/>
  <c r="BV162" i="17"/>
  <c r="BY159" i="5"/>
  <c r="BV163" i="5"/>
  <c r="BV162" i="8"/>
  <c r="BV162" i="64"/>
  <c r="BV162" i="47"/>
  <c r="BV162" i="38"/>
  <c r="BV162" i="35"/>
  <c r="BV162" i="20"/>
  <c r="BV162" i="44"/>
  <c r="BY159" i="1"/>
  <c r="BV162" i="1"/>
  <c r="F5" i="1"/>
  <c r="F12" i="1"/>
  <c r="H12" i="1"/>
  <c r="I12" i="1"/>
  <c r="J12" i="1"/>
  <c r="K12" i="1"/>
  <c r="L12" i="1"/>
  <c r="M12" i="1"/>
  <c r="N12" i="1"/>
  <c r="O12" i="1"/>
  <c r="P12" i="1"/>
  <c r="H5" i="1"/>
  <c r="I5" i="1"/>
  <c r="J5" i="1"/>
  <c r="K5" i="1"/>
  <c r="L5" i="1"/>
  <c r="M5" i="1"/>
  <c r="N5" i="1"/>
  <c r="O5" i="1"/>
  <c r="P5" i="1"/>
  <c r="G5" i="1"/>
  <c r="G12" i="1"/>
  <c r="H55" i="1"/>
  <c r="H19" i="1" s="1"/>
  <c r="I55" i="1"/>
  <c r="I19" i="1" s="1"/>
  <c r="J55" i="1"/>
  <c r="J19" i="1" s="1"/>
  <c r="K55" i="1"/>
  <c r="K19" i="1" s="1"/>
  <c r="L55" i="1"/>
  <c r="L19" i="1" s="1"/>
  <c r="M55" i="1"/>
  <c r="M19" i="1" s="1"/>
  <c r="N55" i="1"/>
  <c r="N19" i="1" s="1"/>
  <c r="O55" i="1"/>
  <c r="O19" i="1" s="1"/>
  <c r="P55" i="1"/>
  <c r="P19" i="1" s="1"/>
  <c r="G55" i="1"/>
  <c r="G19" i="1" s="1"/>
  <c r="C149" i="70"/>
  <c r="K149" i="70" s="1"/>
  <c r="R148" i="70"/>
  <c r="R147" i="70"/>
  <c r="R145" i="70"/>
  <c r="Q145" i="70"/>
  <c r="P145" i="70"/>
  <c r="O145" i="70"/>
  <c r="N145" i="70"/>
  <c r="M145" i="70"/>
  <c r="L145" i="70"/>
  <c r="K145" i="70"/>
  <c r="J145" i="70"/>
  <c r="H145" i="70"/>
  <c r="R144" i="70"/>
  <c r="Q144" i="70"/>
  <c r="P144" i="70"/>
  <c r="O144" i="70"/>
  <c r="N144" i="70"/>
  <c r="M144" i="70"/>
  <c r="L144" i="70"/>
  <c r="K144" i="70"/>
  <c r="J144" i="70"/>
  <c r="H144" i="70"/>
  <c r="AA166" i="1"/>
  <c r="J30" i="61" l="1"/>
  <c r="L19" i="20"/>
  <c r="L30" i="20"/>
  <c r="L30" i="76"/>
  <c r="M30" i="53"/>
  <c r="N19" i="53"/>
  <c r="K30" i="23"/>
  <c r="M30" i="23"/>
  <c r="M30" i="41"/>
  <c r="L19" i="41"/>
  <c r="K30" i="41"/>
  <c r="I30" i="41"/>
  <c r="H30" i="38"/>
  <c r="K12" i="38"/>
  <c r="K19" i="38"/>
  <c r="K30" i="38"/>
  <c r="J30" i="38"/>
  <c r="I30" i="38"/>
  <c r="M30" i="50"/>
  <c r="P30" i="50"/>
  <c r="H30" i="50"/>
  <c r="O30" i="50"/>
  <c r="I30" i="35"/>
  <c r="O30" i="35"/>
  <c r="O19" i="35"/>
  <c r="L30" i="35"/>
  <c r="K30" i="35"/>
  <c r="J30" i="35"/>
  <c r="O19" i="29"/>
  <c r="L30" i="5"/>
  <c r="L5" i="5"/>
  <c r="J30" i="26"/>
  <c r="K12" i="26"/>
  <c r="M19" i="26"/>
  <c r="K19" i="44"/>
  <c r="M30" i="56"/>
  <c r="N30" i="56"/>
  <c r="N5" i="56"/>
  <c r="I69" i="83"/>
  <c r="H72" i="83"/>
  <c r="H76" i="83"/>
  <c r="H82" i="83"/>
  <c r="H85" i="83"/>
  <c r="H86" i="83"/>
  <c r="BD157" i="83"/>
  <c r="BH166" i="83" s="1"/>
  <c r="H170" i="83"/>
  <c r="AL173" i="83"/>
  <c r="H190" i="83"/>
  <c r="AN191" i="83"/>
  <c r="H71" i="83"/>
  <c r="H74" i="83"/>
  <c r="H75" i="83"/>
  <c r="I85" i="83"/>
  <c r="W115" i="83"/>
  <c r="BY157" i="83"/>
  <c r="BY156" i="83" s="1"/>
  <c r="BD162" i="83"/>
  <c r="BM166" i="83" s="1"/>
  <c r="AB166" i="83"/>
  <c r="H169" i="83"/>
  <c r="W172" i="83"/>
  <c r="X172" i="83" s="1"/>
  <c r="CI172" i="83"/>
  <c r="CE174" i="83" s="1"/>
  <c r="W174" i="83"/>
  <c r="X174" i="83" s="1"/>
  <c r="AA181" i="83"/>
  <c r="G267" i="83"/>
  <c r="I74" i="83"/>
  <c r="H80" i="83"/>
  <c r="BD159" i="83"/>
  <c r="BJ166" i="83" s="1"/>
  <c r="H168" i="83"/>
  <c r="I169" i="83"/>
  <c r="AA175" i="83"/>
  <c r="W180" i="83"/>
  <c r="X180" i="83" s="1"/>
  <c r="W200" i="83"/>
  <c r="X200" i="83" s="1"/>
  <c r="H79" i="83"/>
  <c r="H83" i="83"/>
  <c r="H87" i="83"/>
  <c r="AL169" i="83"/>
  <c r="W173" i="83"/>
  <c r="X173" i="83" s="1"/>
  <c r="W176" i="83"/>
  <c r="X176" i="83" s="1"/>
  <c r="AM178" i="83"/>
  <c r="W187" i="83"/>
  <c r="X187" i="83" s="1"/>
  <c r="AL187" i="83"/>
  <c r="W188" i="83"/>
  <c r="X188" i="83" s="1"/>
  <c r="I208" i="83"/>
  <c r="J30" i="47"/>
  <c r="O56" i="84"/>
  <c r="P171" i="59"/>
  <c r="P272" i="84"/>
  <c r="Q171" i="59" s="1"/>
  <c r="S133" i="84"/>
  <c r="Q272" i="84"/>
  <c r="AA126" i="84"/>
  <c r="P15" i="83"/>
  <c r="Q15" i="83" s="1"/>
  <c r="J15" i="83"/>
  <c r="K15" i="83"/>
  <c r="L149" i="70"/>
  <c r="N15" i="83"/>
  <c r="Q149" i="70"/>
  <c r="R149" i="70"/>
  <c r="I149" i="70"/>
  <c r="J149" i="70"/>
  <c r="U115" i="83"/>
  <c r="S60" i="83" s="1"/>
  <c r="I25" i="83"/>
  <c r="H25" i="83"/>
  <c r="O25" i="83"/>
  <c r="M25" i="83"/>
  <c r="Q24" i="83"/>
  <c r="L25" i="83"/>
  <c r="V86" i="83"/>
  <c r="V72" i="83"/>
  <c r="V80" i="83"/>
  <c r="S286" i="59"/>
  <c r="L58" i="83"/>
  <c r="K58" i="83"/>
  <c r="J58" i="83"/>
  <c r="Q58" i="83"/>
  <c r="I58" i="83"/>
  <c r="P58" i="83"/>
  <c r="H58" i="83"/>
  <c r="O58" i="83"/>
  <c r="G58" i="83"/>
  <c r="N58" i="83"/>
  <c r="F58" i="83"/>
  <c r="BD160" i="83"/>
  <c r="BK166" i="83" s="1"/>
  <c r="BD161" i="83"/>
  <c r="BL166" i="83" s="1"/>
  <c r="M58" i="83"/>
  <c r="G115" i="83"/>
  <c r="G49" i="83" s="1"/>
  <c r="AM186" i="83"/>
  <c r="AL186" i="83"/>
  <c r="V83" i="83"/>
  <c r="BD163" i="83"/>
  <c r="BN166" i="83" s="1"/>
  <c r="AM175" i="83"/>
  <c r="AL175" i="83"/>
  <c r="AB182" i="83"/>
  <c r="AB176" i="83"/>
  <c r="AB184" i="83"/>
  <c r="AB183" i="83"/>
  <c r="AB178" i="83"/>
  <c r="AB185" i="83"/>
  <c r="AB181" i="83"/>
  <c r="AB180" i="83"/>
  <c r="AC166" i="83"/>
  <c r="AB177" i="83"/>
  <c r="R125" i="83"/>
  <c r="AB179" i="83"/>
  <c r="BF168" i="83"/>
  <c r="BF169" i="83" s="1"/>
  <c r="BF170" i="83" s="1"/>
  <c r="BF171" i="83" s="1"/>
  <c r="BF172" i="83" s="1"/>
  <c r="BF173" i="83" s="1"/>
  <c r="BF174" i="83" s="1"/>
  <c r="BF175" i="83" s="1"/>
  <c r="BF176" i="83" s="1"/>
  <c r="AB175" i="83"/>
  <c r="AO190" i="83"/>
  <c r="AN190" i="83"/>
  <c r="AO194" i="83"/>
  <c r="AN194" i="83"/>
  <c r="AO198" i="83"/>
  <c r="AN198" i="83"/>
  <c r="AO202" i="83"/>
  <c r="AN202" i="83"/>
  <c r="AO206" i="83"/>
  <c r="AN206" i="83"/>
  <c r="AO210" i="83"/>
  <c r="AN210" i="83"/>
  <c r="V69" i="83"/>
  <c r="I71" i="83"/>
  <c r="V77" i="83"/>
  <c r="I79" i="83"/>
  <c r="I82" i="83"/>
  <c r="AM183" i="83"/>
  <c r="AL183" i="83"/>
  <c r="V88" i="83"/>
  <c r="F115" i="83"/>
  <c r="V115" i="83" s="1"/>
  <c r="S59" i="83" s="1"/>
  <c r="R124" i="83"/>
  <c r="BP158" i="83"/>
  <c r="BV163" i="83" s="1"/>
  <c r="AL172" i="83"/>
  <c r="CI174" i="83"/>
  <c r="CE172" i="83" s="1"/>
  <c r="AA179" i="83"/>
  <c r="I180" i="83"/>
  <c r="AM180" i="83"/>
  <c r="H183" i="83"/>
  <c r="I190" i="83"/>
  <c r="H204" i="83"/>
  <c r="H73" i="83"/>
  <c r="V74" i="83"/>
  <c r="I76" i="83"/>
  <c r="AM177" i="83"/>
  <c r="AL177" i="83"/>
  <c r="H84" i="83"/>
  <c r="V85" i="83"/>
  <c r="I87" i="83"/>
  <c r="AO199" i="83"/>
  <c r="AN199" i="83"/>
  <c r="AO203" i="83"/>
  <c r="AN203" i="83"/>
  <c r="AO207" i="83"/>
  <c r="AN207" i="83"/>
  <c r="AN211" i="83"/>
  <c r="AO211" i="83"/>
  <c r="BP157" i="83"/>
  <c r="BV158" i="83" s="1"/>
  <c r="BN157" i="83" s="1"/>
  <c r="H173" i="83"/>
  <c r="AN180" i="83"/>
  <c r="I183" i="83"/>
  <c r="AA185" i="83"/>
  <c r="H258" i="83"/>
  <c r="H250" i="83"/>
  <c r="H242" i="83"/>
  <c r="H234" i="83"/>
  <c r="H222" i="83"/>
  <c r="H209" i="83"/>
  <c r="H205" i="83"/>
  <c r="H263" i="83"/>
  <c r="H255" i="83"/>
  <c r="H247" i="83"/>
  <c r="H239" i="83"/>
  <c r="H231" i="83"/>
  <c r="H260" i="83"/>
  <c r="H252" i="83"/>
  <c r="H244" i="83"/>
  <c r="H236" i="83"/>
  <c r="H228" i="83"/>
  <c r="H226" i="83"/>
  <c r="H224" i="83"/>
  <c r="H206" i="83"/>
  <c r="H265" i="83"/>
  <c r="H257" i="83"/>
  <c r="H249" i="83"/>
  <c r="H241" i="83"/>
  <c r="H233" i="83"/>
  <c r="H221" i="83"/>
  <c r="H262" i="83"/>
  <c r="H254" i="83"/>
  <c r="H246" i="83"/>
  <c r="H238" i="83"/>
  <c r="H230" i="83"/>
  <c r="H207" i="83"/>
  <c r="H203" i="83"/>
  <c r="H253" i="83"/>
  <c r="H248" i="83"/>
  <c r="H261" i="83"/>
  <c r="H256" i="83"/>
  <c r="H264" i="83"/>
  <c r="H237" i="83"/>
  <c r="H232" i="83"/>
  <c r="H200" i="83"/>
  <c r="H196" i="83"/>
  <c r="H192" i="83"/>
  <c r="H188" i="83"/>
  <c r="H184" i="83"/>
  <c r="H235" i="83"/>
  <c r="H245" i="83"/>
  <c r="H240" i="83"/>
  <c r="H201" i="83"/>
  <c r="H197" i="83"/>
  <c r="H193" i="83"/>
  <c r="H189" i="83"/>
  <c r="H185" i="83"/>
  <c r="H181" i="83"/>
  <c r="H223" i="83"/>
  <c r="H178" i="83"/>
  <c r="H171" i="83"/>
  <c r="H225" i="83"/>
  <c r="H199" i="83"/>
  <c r="H195" i="83"/>
  <c r="H191" i="83"/>
  <c r="H186" i="83"/>
  <c r="H227" i="83"/>
  <c r="H220" i="83"/>
  <c r="H187" i="83"/>
  <c r="H179" i="83"/>
  <c r="H177" i="83"/>
  <c r="H243" i="83"/>
  <c r="H229" i="83"/>
  <c r="H208" i="83"/>
  <c r="H202" i="83"/>
  <c r="H182" i="83"/>
  <c r="H180" i="83"/>
  <c r="H172" i="83"/>
  <c r="H251" i="83"/>
  <c r="H167" i="83"/>
  <c r="H70" i="83"/>
  <c r="V71" i="83"/>
  <c r="I73" i="83"/>
  <c r="AL174" i="83"/>
  <c r="AM174" i="83"/>
  <c r="H78" i="83"/>
  <c r="V79" i="83"/>
  <c r="H81" i="83"/>
  <c r="V82" i="83"/>
  <c r="I84" i="83"/>
  <c r="AM185" i="83"/>
  <c r="AL185" i="83"/>
  <c r="X115" i="83"/>
  <c r="W211" i="83"/>
  <c r="X211" i="83" s="1"/>
  <c r="W206" i="83"/>
  <c r="X206" i="83" s="1"/>
  <c r="W207" i="83"/>
  <c r="X207" i="83" s="1"/>
  <c r="W203" i="83"/>
  <c r="X203" i="83" s="1"/>
  <c r="W210" i="83"/>
  <c r="X210" i="83" s="1"/>
  <c r="W208" i="83"/>
  <c r="X208" i="83" s="1"/>
  <c r="W204" i="83"/>
  <c r="X204" i="83" s="1"/>
  <c r="W201" i="83"/>
  <c r="X201" i="83" s="1"/>
  <c r="W197" i="83"/>
  <c r="X197" i="83" s="1"/>
  <c r="W193" i="83"/>
  <c r="X193" i="83" s="1"/>
  <c r="W189" i="83"/>
  <c r="X189" i="83" s="1"/>
  <c r="W185" i="83"/>
  <c r="X185" i="83" s="1"/>
  <c r="W181" i="83"/>
  <c r="X181" i="83" s="1"/>
  <c r="W202" i="83"/>
  <c r="X202" i="83" s="1"/>
  <c r="W198" i="83"/>
  <c r="X198" i="83" s="1"/>
  <c r="W194" i="83"/>
  <c r="X194" i="83" s="1"/>
  <c r="W190" i="83"/>
  <c r="X190" i="83" s="1"/>
  <c r="W186" i="83"/>
  <c r="X186" i="83" s="1"/>
  <c r="W182" i="83"/>
  <c r="X182" i="83" s="1"/>
  <c r="W205" i="83"/>
  <c r="X205" i="83" s="1"/>
  <c r="W179" i="83"/>
  <c r="X179" i="83" s="1"/>
  <c r="W177" i="83"/>
  <c r="X177" i="83" s="1"/>
  <c r="W209" i="83"/>
  <c r="X209" i="83" s="1"/>
  <c r="W199" i="83"/>
  <c r="X199" i="83" s="1"/>
  <c r="W195" i="83"/>
  <c r="X195" i="83" s="1"/>
  <c r="W191" i="83"/>
  <c r="X191" i="83" s="1"/>
  <c r="W175" i="83"/>
  <c r="X175" i="83" s="1"/>
  <c r="W178" i="83"/>
  <c r="X178" i="83" s="1"/>
  <c r="W171" i="83"/>
  <c r="X171" i="83" s="1"/>
  <c r="W169" i="83"/>
  <c r="X169" i="83" s="1"/>
  <c r="W170" i="83"/>
  <c r="X170" i="83" s="1"/>
  <c r="W168" i="83"/>
  <c r="X168" i="83" s="1"/>
  <c r="X214" i="83" s="1"/>
  <c r="W192" i="83"/>
  <c r="X192" i="83" s="1"/>
  <c r="H175" i="83"/>
  <c r="I263" i="83"/>
  <c r="I255" i="83"/>
  <c r="I247" i="83"/>
  <c r="I239" i="83"/>
  <c r="I231" i="83"/>
  <c r="I260" i="83"/>
  <c r="I252" i="83"/>
  <c r="I244" i="83"/>
  <c r="I236" i="83"/>
  <c r="I228" i="83"/>
  <c r="I226" i="83"/>
  <c r="I224" i="83"/>
  <c r="I206" i="83"/>
  <c r="I265" i="83"/>
  <c r="I257" i="83"/>
  <c r="I249" i="83"/>
  <c r="I241" i="83"/>
  <c r="I233" i="83"/>
  <c r="I221" i="83"/>
  <c r="I262" i="83"/>
  <c r="I254" i="83"/>
  <c r="I246" i="83"/>
  <c r="I238" i="83"/>
  <c r="I230" i="83"/>
  <c r="I207" i="83"/>
  <c r="I259" i="83"/>
  <c r="I251" i="83"/>
  <c r="I243" i="83"/>
  <c r="I235" i="83"/>
  <c r="I227" i="83"/>
  <c r="I223" i="83"/>
  <c r="I258" i="83"/>
  <c r="I242" i="83"/>
  <c r="I245" i="83"/>
  <c r="I240" i="83"/>
  <c r="I222" i="83"/>
  <c r="I209" i="83"/>
  <c r="I205" i="83"/>
  <c r="I201" i="83"/>
  <c r="I197" i="83"/>
  <c r="I193" i="83"/>
  <c r="I189" i="83"/>
  <c r="I250" i="83"/>
  <c r="I225" i="83"/>
  <c r="I220" i="83"/>
  <c r="I237" i="83"/>
  <c r="I199" i="83"/>
  <c r="I195" i="83"/>
  <c r="I191" i="83"/>
  <c r="I186" i="83"/>
  <c r="I174" i="83"/>
  <c r="I232" i="83"/>
  <c r="I203" i="83"/>
  <c r="I200" i="83"/>
  <c r="I196" i="83"/>
  <c r="I192" i="83"/>
  <c r="I188" i="83"/>
  <c r="I187" i="83"/>
  <c r="I181" i="83"/>
  <c r="I179" i="83"/>
  <c r="I177" i="83"/>
  <c r="I261" i="83"/>
  <c r="I253" i="83"/>
  <c r="I204" i="83"/>
  <c r="I182" i="83"/>
  <c r="I248" i="83"/>
  <c r="I229" i="83"/>
  <c r="I171" i="83"/>
  <c r="I256" i="83"/>
  <c r="I234" i="83"/>
  <c r="I184" i="83"/>
  <c r="I167" i="83"/>
  <c r="I264" i="83"/>
  <c r="I198" i="83"/>
  <c r="I185" i="83"/>
  <c r="I176" i="83"/>
  <c r="I170" i="83"/>
  <c r="I168" i="83"/>
  <c r="I70" i="83"/>
  <c r="V76" i="83"/>
  <c r="I78" i="83"/>
  <c r="AM179" i="83"/>
  <c r="AL179" i="83"/>
  <c r="I81" i="83"/>
  <c r="AM182" i="83"/>
  <c r="AL182" i="83"/>
  <c r="V87" i="83"/>
  <c r="AO188" i="83"/>
  <c r="AN188" i="83"/>
  <c r="AO192" i="83"/>
  <c r="AN192" i="83"/>
  <c r="AO196" i="83"/>
  <c r="AN196" i="83"/>
  <c r="AO200" i="83"/>
  <c r="AN200" i="83"/>
  <c r="AO204" i="83"/>
  <c r="AN204" i="83"/>
  <c r="AO208" i="83"/>
  <c r="AN208" i="83"/>
  <c r="CJ172" i="83"/>
  <c r="CF174" i="83" s="1"/>
  <c r="CJ175" i="83"/>
  <c r="CF171" i="83" s="1"/>
  <c r="CJ177" i="83"/>
  <c r="CF169" i="83" s="1"/>
  <c r="CI175" i="83"/>
  <c r="CE171" i="83" s="1"/>
  <c r="CI177" i="83"/>
  <c r="CE169" i="83" s="1"/>
  <c r="CJ174" i="83"/>
  <c r="CF172" i="83" s="1"/>
  <c r="CJ173" i="83"/>
  <c r="CF173" i="83" s="1"/>
  <c r="CI169" i="83"/>
  <c r="CE177" i="83" s="1"/>
  <c r="BZ161" i="83" s="1"/>
  <c r="S123" i="83" s="1"/>
  <c r="CI171" i="83"/>
  <c r="CE175" i="83" s="1"/>
  <c r="CI170" i="83"/>
  <c r="CE176" i="83" s="1"/>
  <c r="AM171" i="83"/>
  <c r="I172" i="83"/>
  <c r="I175" i="83"/>
  <c r="CI176" i="83"/>
  <c r="CE170" i="83" s="1"/>
  <c r="H194" i="83"/>
  <c r="J66" i="83"/>
  <c r="AM168" i="83"/>
  <c r="AL168" i="83"/>
  <c r="V73" i="83"/>
  <c r="I75" i="83"/>
  <c r="V84" i="83"/>
  <c r="I86" i="83"/>
  <c r="R115" i="83"/>
  <c r="S57" i="83" s="1"/>
  <c r="BD164" i="83"/>
  <c r="BO166" i="83" s="1"/>
  <c r="G214" i="83"/>
  <c r="CJ169" i="83"/>
  <c r="CF177" i="83" s="1"/>
  <c r="CJ170" i="83"/>
  <c r="CF176" i="83" s="1"/>
  <c r="CI173" i="83"/>
  <c r="CE173" i="83" s="1"/>
  <c r="H176" i="83"/>
  <c r="CJ176" i="83"/>
  <c r="CF170" i="83" s="1"/>
  <c r="AA180" i="83"/>
  <c r="W183" i="83"/>
  <c r="X183" i="83" s="1"/>
  <c r="I194" i="83"/>
  <c r="AN209" i="83"/>
  <c r="H69" i="83"/>
  <c r="H115" i="83" s="1"/>
  <c r="H49" i="83" s="1"/>
  <c r="V70" i="83"/>
  <c r="I72" i="83"/>
  <c r="H77" i="83"/>
  <c r="V78" i="83"/>
  <c r="I80" i="83"/>
  <c r="V81" i="83"/>
  <c r="I83" i="83"/>
  <c r="AM184" i="83"/>
  <c r="AL184" i="83"/>
  <c r="H88" i="83"/>
  <c r="AO189" i="83"/>
  <c r="AN189" i="83"/>
  <c r="AO193" i="83"/>
  <c r="AN193" i="83"/>
  <c r="AO197" i="83"/>
  <c r="AN197" i="83"/>
  <c r="AO201" i="83"/>
  <c r="AN201" i="83"/>
  <c r="AO205" i="83"/>
  <c r="AN205" i="83"/>
  <c r="AO213" i="83"/>
  <c r="AN213" i="83"/>
  <c r="S115" i="83"/>
  <c r="U57" i="83" s="1"/>
  <c r="I178" i="83"/>
  <c r="W184" i="83"/>
  <c r="X184" i="83" s="1"/>
  <c r="AN195" i="83"/>
  <c r="AO212" i="83"/>
  <c r="AM170" i="83"/>
  <c r="AM214" i="83" s="1"/>
  <c r="AL170" i="83"/>
  <c r="V75" i="83"/>
  <c r="I77" i="83"/>
  <c r="AM181" i="83"/>
  <c r="AL181" i="83"/>
  <c r="I88" i="83"/>
  <c r="AA183" i="83"/>
  <c r="AA184" i="83"/>
  <c r="AA173" i="83"/>
  <c r="AA182" i="83"/>
  <c r="AA176" i="83"/>
  <c r="AA178" i="83"/>
  <c r="AA177" i="83"/>
  <c r="AA172" i="83"/>
  <c r="AA171" i="83"/>
  <c r="AA170" i="83"/>
  <c r="H174" i="83"/>
  <c r="AL176" i="83"/>
  <c r="I202" i="83"/>
  <c r="H259" i="83"/>
  <c r="Z216" i="83"/>
  <c r="J66" i="53"/>
  <c r="I271" i="53"/>
  <c r="I166" i="53"/>
  <c r="J66" i="50"/>
  <c r="I271" i="50"/>
  <c r="I166" i="50"/>
  <c r="I271" i="47"/>
  <c r="I166" i="47"/>
  <c r="J66" i="47"/>
  <c r="J66" i="38"/>
  <c r="I271" i="38"/>
  <c r="I166" i="38"/>
  <c r="I166" i="17"/>
  <c r="I271" i="17"/>
  <c r="J66" i="17"/>
  <c r="I166" i="44"/>
  <c r="I271" i="44"/>
  <c r="J66" i="44"/>
  <c r="J66" i="14"/>
  <c r="I271" i="14"/>
  <c r="I166" i="14"/>
  <c r="G5" i="47"/>
  <c r="G12" i="47"/>
  <c r="G5" i="29"/>
  <c r="G12" i="29"/>
  <c r="G30" i="29"/>
  <c r="H166" i="61"/>
  <c r="H271" i="61"/>
  <c r="H166" i="26"/>
  <c r="H271" i="26"/>
  <c r="H166" i="11"/>
  <c r="H271" i="11"/>
  <c r="I66" i="26"/>
  <c r="O5" i="44"/>
  <c r="O19" i="44"/>
  <c r="P5" i="61"/>
  <c r="P19" i="61"/>
  <c r="P12" i="61"/>
  <c r="H5" i="61"/>
  <c r="H19" i="61"/>
  <c r="H12" i="61"/>
  <c r="I5" i="76"/>
  <c r="I12" i="76"/>
  <c r="J5" i="53"/>
  <c r="J12" i="53"/>
  <c r="K5" i="50"/>
  <c r="K12" i="50"/>
  <c r="L12" i="47"/>
  <c r="L5" i="47"/>
  <c r="M5" i="38"/>
  <c r="N5" i="35"/>
  <c r="N12" i="35"/>
  <c r="O5" i="41"/>
  <c r="O19" i="41"/>
  <c r="P5" i="26"/>
  <c r="P19" i="26"/>
  <c r="P12" i="26"/>
  <c r="H5" i="26"/>
  <c r="H19" i="26"/>
  <c r="H12" i="26"/>
  <c r="I5" i="23"/>
  <c r="I12" i="23"/>
  <c r="J5" i="56"/>
  <c r="J12" i="56"/>
  <c r="J19" i="56"/>
  <c r="K5" i="32"/>
  <c r="K12" i="32"/>
  <c r="K30" i="32"/>
  <c r="L12" i="29"/>
  <c r="L30" i="29"/>
  <c r="L5" i="29"/>
  <c r="L19" i="29"/>
  <c r="M5" i="20"/>
  <c r="M19" i="20"/>
  <c r="O5" i="14"/>
  <c r="O19" i="14"/>
  <c r="O12" i="14"/>
  <c r="P5" i="11"/>
  <c r="P19" i="11"/>
  <c r="P12" i="11"/>
  <c r="H5" i="11"/>
  <c r="H12" i="11"/>
  <c r="H19" i="11"/>
  <c r="I5" i="5"/>
  <c r="I12" i="5"/>
  <c r="I30" i="5"/>
  <c r="J5" i="8"/>
  <c r="J19" i="8"/>
  <c r="O30" i="44"/>
  <c r="G30" i="44"/>
  <c r="I30" i="61"/>
  <c r="G30" i="50"/>
  <c r="P30" i="11"/>
  <c r="J30" i="8"/>
  <c r="G19" i="76"/>
  <c r="L19" i="47"/>
  <c r="P19" i="41"/>
  <c r="H19" i="14"/>
  <c r="O12" i="44"/>
  <c r="I12" i="26"/>
  <c r="G12" i="32"/>
  <c r="P5" i="41"/>
  <c r="G5" i="38"/>
  <c r="G12" i="38"/>
  <c r="G5" i="20"/>
  <c r="G12" i="20"/>
  <c r="G30" i="20"/>
  <c r="H271" i="76"/>
  <c r="H166" i="76"/>
  <c r="H271" i="23"/>
  <c r="H166" i="23"/>
  <c r="H271" i="5"/>
  <c r="H166" i="5"/>
  <c r="I66" i="23"/>
  <c r="N5" i="44"/>
  <c r="N19" i="44"/>
  <c r="N12" i="44"/>
  <c r="O5" i="61"/>
  <c r="O12" i="61"/>
  <c r="P5" i="76"/>
  <c r="P12" i="76"/>
  <c r="H5" i="76"/>
  <c r="H12" i="76"/>
  <c r="I5" i="53"/>
  <c r="I12" i="53"/>
  <c r="J5" i="50"/>
  <c r="J12" i="50"/>
  <c r="K5" i="47"/>
  <c r="K19" i="47"/>
  <c r="L5" i="38"/>
  <c r="L12" i="38"/>
  <c r="M5" i="35"/>
  <c r="N5" i="41"/>
  <c r="N19" i="41"/>
  <c r="N12" i="41"/>
  <c r="O5" i="26"/>
  <c r="O12" i="26"/>
  <c r="P5" i="23"/>
  <c r="P12" i="23"/>
  <c r="P19" i="23"/>
  <c r="H5" i="23"/>
  <c r="H12" i="23"/>
  <c r="H19" i="23"/>
  <c r="I5" i="56"/>
  <c r="I12" i="56"/>
  <c r="I30" i="56"/>
  <c r="J12" i="32"/>
  <c r="J30" i="32"/>
  <c r="J5" i="32"/>
  <c r="K5" i="29"/>
  <c r="K19" i="29"/>
  <c r="M5" i="17"/>
  <c r="M19" i="17"/>
  <c r="N5" i="14"/>
  <c r="N19" i="14"/>
  <c r="O5" i="11"/>
  <c r="O12" i="11"/>
  <c r="O30" i="11"/>
  <c r="P5" i="5"/>
  <c r="P19" i="5"/>
  <c r="H5" i="5"/>
  <c r="H12" i="5"/>
  <c r="H19" i="5"/>
  <c r="I5" i="8"/>
  <c r="I30" i="8"/>
  <c r="I12" i="8"/>
  <c r="N30" i="44"/>
  <c r="P30" i="61"/>
  <c r="H30" i="61"/>
  <c r="K30" i="29"/>
  <c r="P30" i="14"/>
  <c r="G19" i="61"/>
  <c r="L19" i="50"/>
  <c r="J19" i="47"/>
  <c r="N19" i="56"/>
  <c r="G19" i="20"/>
  <c r="O19" i="11"/>
  <c r="O12" i="35"/>
  <c r="K12" i="29"/>
  <c r="H5" i="41"/>
  <c r="G5" i="35"/>
  <c r="G12" i="17"/>
  <c r="G5" i="17"/>
  <c r="G19" i="17"/>
  <c r="H271" i="53"/>
  <c r="H166" i="53"/>
  <c r="H271" i="56"/>
  <c r="H166" i="56"/>
  <c r="H271" i="8"/>
  <c r="H166" i="8"/>
  <c r="M5" i="44"/>
  <c r="M12" i="44"/>
  <c r="N5" i="61"/>
  <c r="N12" i="61"/>
  <c r="P12" i="53"/>
  <c r="P5" i="53"/>
  <c r="H12" i="53"/>
  <c r="H5" i="53"/>
  <c r="I5" i="50"/>
  <c r="I19" i="50"/>
  <c r="K5" i="38"/>
  <c r="L5" i="35"/>
  <c r="L12" i="35"/>
  <c r="M5" i="41"/>
  <c r="M12" i="41"/>
  <c r="N5" i="26"/>
  <c r="N12" i="26"/>
  <c r="N19" i="26"/>
  <c r="O5" i="23"/>
  <c r="O12" i="23"/>
  <c r="P5" i="56"/>
  <c r="P12" i="56"/>
  <c r="P30" i="56"/>
  <c r="H12" i="56"/>
  <c r="H30" i="56"/>
  <c r="H5" i="56"/>
  <c r="I5" i="32"/>
  <c r="I19" i="32"/>
  <c r="J5" i="29"/>
  <c r="J12" i="29"/>
  <c r="K5" i="20"/>
  <c r="K19" i="20"/>
  <c r="L5" i="17"/>
  <c r="L19" i="17"/>
  <c r="L12" i="17"/>
  <c r="M5" i="14"/>
  <c r="M30" i="14"/>
  <c r="M12" i="14"/>
  <c r="N5" i="11"/>
  <c r="N19" i="11"/>
  <c r="O5" i="5"/>
  <c r="O30" i="5"/>
  <c r="O12" i="5"/>
  <c r="P12" i="8"/>
  <c r="P30" i="8"/>
  <c r="P5" i="8"/>
  <c r="P19" i="8"/>
  <c r="H30" i="8"/>
  <c r="H5" i="8"/>
  <c r="H12" i="8"/>
  <c r="H19" i="8"/>
  <c r="M30" i="44"/>
  <c r="I30" i="76"/>
  <c r="K30" i="53"/>
  <c r="G30" i="47"/>
  <c r="J30" i="29"/>
  <c r="O30" i="14"/>
  <c r="K19" i="50"/>
  <c r="G19" i="47"/>
  <c r="K19" i="56"/>
  <c r="N19" i="17"/>
  <c r="M12" i="35"/>
  <c r="N12" i="11"/>
  <c r="H166" i="32"/>
  <c r="G5" i="44"/>
  <c r="G19" i="44"/>
  <c r="G5" i="41"/>
  <c r="G19" i="41"/>
  <c r="G5" i="14"/>
  <c r="G19" i="14"/>
  <c r="H271" i="50"/>
  <c r="H166" i="50"/>
  <c r="I66" i="56"/>
  <c r="I66" i="11"/>
  <c r="L5" i="44"/>
  <c r="L12" i="44"/>
  <c r="M12" i="61"/>
  <c r="M5" i="61"/>
  <c r="N12" i="76"/>
  <c r="N5" i="76"/>
  <c r="O5" i="53"/>
  <c r="O19" i="53"/>
  <c r="P5" i="50"/>
  <c r="P12" i="50"/>
  <c r="I5" i="47"/>
  <c r="I19" i="47"/>
  <c r="J5" i="38"/>
  <c r="J12" i="38"/>
  <c r="K5" i="35"/>
  <c r="K12" i="35"/>
  <c r="L5" i="41"/>
  <c r="L12" i="41"/>
  <c r="M5" i="26"/>
  <c r="M12" i="26"/>
  <c r="N12" i="23"/>
  <c r="N30" i="23"/>
  <c r="N5" i="23"/>
  <c r="O5" i="56"/>
  <c r="O19" i="56"/>
  <c r="H5" i="32"/>
  <c r="H12" i="32"/>
  <c r="I5" i="29"/>
  <c r="I19" i="29"/>
  <c r="J5" i="20"/>
  <c r="J19" i="20"/>
  <c r="J12" i="20"/>
  <c r="K5" i="17"/>
  <c r="K12" i="17"/>
  <c r="K30" i="17"/>
  <c r="L5" i="14"/>
  <c r="L12" i="14"/>
  <c r="L19" i="14"/>
  <c r="M5" i="11"/>
  <c r="M30" i="11"/>
  <c r="M12" i="11"/>
  <c r="N30" i="5"/>
  <c r="N19" i="5"/>
  <c r="N5" i="5"/>
  <c r="O12" i="8"/>
  <c r="O5" i="8"/>
  <c r="O19" i="8"/>
  <c r="L30" i="44"/>
  <c r="N30" i="61"/>
  <c r="P30" i="76"/>
  <c r="H30" i="76"/>
  <c r="J30" i="53"/>
  <c r="P30" i="38"/>
  <c r="G30" i="38"/>
  <c r="G30" i="35"/>
  <c r="H30" i="41"/>
  <c r="I30" i="32"/>
  <c r="I30" i="29"/>
  <c r="O30" i="17"/>
  <c r="N30" i="14"/>
  <c r="J30" i="11"/>
  <c r="H30" i="5"/>
  <c r="O19" i="76"/>
  <c r="J19" i="50"/>
  <c r="O19" i="23"/>
  <c r="I19" i="56"/>
  <c r="K19" i="17"/>
  <c r="J19" i="11"/>
  <c r="I19" i="8"/>
  <c r="I12" i="50"/>
  <c r="G12" i="35"/>
  <c r="O12" i="56"/>
  <c r="M12" i="20"/>
  <c r="P12" i="5"/>
  <c r="K5" i="44"/>
  <c r="P5" i="32"/>
  <c r="G5" i="61"/>
  <c r="G12" i="61"/>
  <c r="G5" i="26"/>
  <c r="G12" i="26"/>
  <c r="G5" i="11"/>
  <c r="G12" i="11"/>
  <c r="G30" i="11"/>
  <c r="H166" i="47"/>
  <c r="H271" i="47"/>
  <c r="H166" i="29"/>
  <c r="H271" i="29"/>
  <c r="I66" i="32"/>
  <c r="I66" i="5"/>
  <c r="L12" i="61"/>
  <c r="L5" i="61"/>
  <c r="M5" i="76"/>
  <c r="M19" i="76"/>
  <c r="N5" i="53"/>
  <c r="N12" i="53"/>
  <c r="O5" i="50"/>
  <c r="O19" i="50"/>
  <c r="P5" i="47"/>
  <c r="P19" i="47"/>
  <c r="P12" i="47"/>
  <c r="H5" i="47"/>
  <c r="H19" i="47"/>
  <c r="H12" i="47"/>
  <c r="I5" i="38"/>
  <c r="I12" i="38"/>
  <c r="J5" i="35"/>
  <c r="J12" i="35"/>
  <c r="K5" i="41"/>
  <c r="K12" i="41"/>
  <c r="L12" i="26"/>
  <c r="L30" i="26"/>
  <c r="L5" i="26"/>
  <c r="M5" i="23"/>
  <c r="M19" i="23"/>
  <c r="O5" i="32"/>
  <c r="O19" i="32"/>
  <c r="P5" i="29"/>
  <c r="P19" i="29"/>
  <c r="P12" i="29"/>
  <c r="H5" i="29"/>
  <c r="H19" i="29"/>
  <c r="H12" i="29"/>
  <c r="I5" i="20"/>
  <c r="I12" i="20"/>
  <c r="I30" i="20"/>
  <c r="J5" i="17"/>
  <c r="J12" i="17"/>
  <c r="J19" i="17"/>
  <c r="K5" i="14"/>
  <c r="K30" i="14"/>
  <c r="K12" i="14"/>
  <c r="L5" i="11"/>
  <c r="L30" i="11"/>
  <c r="L12" i="11"/>
  <c r="L19" i="11"/>
  <c r="M12" i="5"/>
  <c r="M5" i="5"/>
  <c r="M19" i="5"/>
  <c r="N12" i="8"/>
  <c r="N5" i="8"/>
  <c r="K30" i="44"/>
  <c r="M30" i="61"/>
  <c r="O30" i="76"/>
  <c r="I30" i="53"/>
  <c r="K30" i="50"/>
  <c r="O30" i="38"/>
  <c r="P30" i="41"/>
  <c r="G30" i="41"/>
  <c r="H30" i="26"/>
  <c r="I30" i="23"/>
  <c r="J30" i="56"/>
  <c r="H30" i="32"/>
  <c r="H30" i="29"/>
  <c r="N30" i="17"/>
  <c r="L30" i="14"/>
  <c r="O30" i="8"/>
  <c r="O19" i="61"/>
  <c r="N19" i="76"/>
  <c r="J19" i="53"/>
  <c r="H19" i="50"/>
  <c r="N19" i="23"/>
  <c r="H19" i="56"/>
  <c r="J19" i="29"/>
  <c r="G19" i="11"/>
  <c r="O12" i="41"/>
  <c r="K12" i="20"/>
  <c r="N12" i="5"/>
  <c r="O5" i="76"/>
  <c r="L5" i="20"/>
  <c r="G5" i="76"/>
  <c r="G12" i="76"/>
  <c r="G5" i="23"/>
  <c r="G12" i="23"/>
  <c r="G5" i="5"/>
  <c r="G12" i="5"/>
  <c r="G30" i="5"/>
  <c r="H166" i="38"/>
  <c r="H271" i="38"/>
  <c r="J12" i="44"/>
  <c r="J5" i="44"/>
  <c r="K5" i="61"/>
  <c r="K19" i="61"/>
  <c r="M5" i="53"/>
  <c r="M19" i="53"/>
  <c r="N5" i="50"/>
  <c r="N19" i="50"/>
  <c r="N12" i="50"/>
  <c r="O5" i="47"/>
  <c r="O12" i="47"/>
  <c r="P5" i="38"/>
  <c r="P12" i="38"/>
  <c r="H5" i="38"/>
  <c r="H12" i="38"/>
  <c r="I5" i="35"/>
  <c r="I12" i="35"/>
  <c r="J12" i="41"/>
  <c r="J30" i="41"/>
  <c r="J5" i="41"/>
  <c r="K5" i="26"/>
  <c r="K19" i="26"/>
  <c r="L5" i="23"/>
  <c r="L12" i="23"/>
  <c r="M5" i="56"/>
  <c r="M19" i="56"/>
  <c r="N5" i="32"/>
  <c r="N19" i="32"/>
  <c r="N12" i="32"/>
  <c r="O5" i="29"/>
  <c r="O12" i="29"/>
  <c r="P5" i="20"/>
  <c r="P12" i="20"/>
  <c r="P19" i="20"/>
  <c r="H5" i="20"/>
  <c r="H12" i="20"/>
  <c r="H19" i="20"/>
  <c r="I5" i="17"/>
  <c r="I12" i="17"/>
  <c r="I30" i="17"/>
  <c r="J30" i="14"/>
  <c r="J12" i="14"/>
  <c r="J5" i="14"/>
  <c r="J19" i="14"/>
  <c r="K12" i="11"/>
  <c r="K5" i="11"/>
  <c r="K19" i="11"/>
  <c r="M5" i="8"/>
  <c r="M19" i="8"/>
  <c r="J30" i="44"/>
  <c r="L30" i="61"/>
  <c r="N30" i="76"/>
  <c r="P30" i="53"/>
  <c r="H30" i="53"/>
  <c r="J30" i="50"/>
  <c r="L30" i="47"/>
  <c r="M30" i="38"/>
  <c r="N30" i="35"/>
  <c r="O30" i="41"/>
  <c r="P30" i="26"/>
  <c r="G30" i="26"/>
  <c r="H30" i="23"/>
  <c r="G30" i="56"/>
  <c r="P30" i="20"/>
  <c r="M30" i="17"/>
  <c r="H30" i="11"/>
  <c r="N30" i="8"/>
  <c r="N19" i="61"/>
  <c r="L19" i="76"/>
  <c r="I19" i="53"/>
  <c r="O19" i="47"/>
  <c r="H19" i="41"/>
  <c r="L19" i="23"/>
  <c r="P19" i="32"/>
  <c r="G19" i="29"/>
  <c r="P19" i="14"/>
  <c r="O19" i="5"/>
  <c r="M12" i="76"/>
  <c r="K12" i="47"/>
  <c r="M12" i="8"/>
  <c r="L5" i="76"/>
  <c r="N5" i="17"/>
  <c r="G5" i="53"/>
  <c r="G19" i="53"/>
  <c r="G5" i="56"/>
  <c r="G19" i="56"/>
  <c r="G12" i="8"/>
  <c r="G5" i="8"/>
  <c r="G19" i="8"/>
  <c r="H271" i="35"/>
  <c r="H166" i="35"/>
  <c r="H271" i="17"/>
  <c r="H166" i="17"/>
  <c r="I66" i="61"/>
  <c r="I66" i="35"/>
  <c r="I66" i="29"/>
  <c r="I66" i="8"/>
  <c r="I5" i="44"/>
  <c r="I19" i="44"/>
  <c r="J5" i="61"/>
  <c r="J12" i="61"/>
  <c r="K5" i="76"/>
  <c r="K19" i="76"/>
  <c r="L5" i="53"/>
  <c r="L19" i="53"/>
  <c r="L12" i="53"/>
  <c r="M5" i="50"/>
  <c r="M12" i="50"/>
  <c r="N5" i="47"/>
  <c r="N12" i="47"/>
  <c r="O5" i="38"/>
  <c r="O12" i="38"/>
  <c r="P12" i="35"/>
  <c r="P30" i="35"/>
  <c r="P5" i="35"/>
  <c r="H5" i="35"/>
  <c r="H12" i="35"/>
  <c r="H30" i="35"/>
  <c r="I5" i="41"/>
  <c r="I19" i="41"/>
  <c r="J5" i="26"/>
  <c r="J12" i="26"/>
  <c r="K5" i="23"/>
  <c r="K19" i="23"/>
  <c r="L5" i="56"/>
  <c r="L19" i="56"/>
  <c r="L12" i="56"/>
  <c r="M5" i="32"/>
  <c r="M12" i="32"/>
  <c r="N5" i="29"/>
  <c r="N12" i="29"/>
  <c r="N19" i="29"/>
  <c r="O5" i="20"/>
  <c r="O12" i="20"/>
  <c r="O30" i="20"/>
  <c r="P12" i="17"/>
  <c r="P30" i="17"/>
  <c r="P19" i="17"/>
  <c r="P5" i="17"/>
  <c r="H12" i="17"/>
  <c r="H30" i="17"/>
  <c r="H5" i="17"/>
  <c r="H19" i="17"/>
  <c r="I12" i="14"/>
  <c r="I5" i="14"/>
  <c r="I19" i="14"/>
  <c r="K5" i="5"/>
  <c r="K19" i="5"/>
  <c r="K12" i="5"/>
  <c r="L5" i="8"/>
  <c r="L19" i="8"/>
  <c r="L12" i="8"/>
  <c r="I30" i="44"/>
  <c r="K30" i="61"/>
  <c r="M30" i="76"/>
  <c r="O30" i="53"/>
  <c r="G30" i="53"/>
  <c r="I30" i="50"/>
  <c r="K30" i="47"/>
  <c r="L30" i="38"/>
  <c r="M30" i="35"/>
  <c r="N30" i="41"/>
  <c r="O30" i="26"/>
  <c r="P30" i="23"/>
  <c r="G30" i="23"/>
  <c r="P30" i="32"/>
  <c r="P30" i="29"/>
  <c r="M30" i="20"/>
  <c r="L30" i="17"/>
  <c r="P30" i="5"/>
  <c r="M19" i="61"/>
  <c r="I19" i="76"/>
  <c r="H19" i="53"/>
  <c r="N19" i="47"/>
  <c r="O19" i="26"/>
  <c r="I19" i="23"/>
  <c r="M19" i="32"/>
  <c r="O19" i="20"/>
  <c r="M19" i="14"/>
  <c r="L19" i="5"/>
  <c r="K12" i="76"/>
  <c r="I12" i="47"/>
  <c r="G12" i="41"/>
  <c r="O12" i="32"/>
  <c r="M12" i="17"/>
  <c r="J12" i="8"/>
  <c r="H5" i="50"/>
  <c r="J5" i="11"/>
  <c r="H271" i="20"/>
  <c r="G5" i="50"/>
  <c r="G19" i="50"/>
  <c r="G5" i="32"/>
  <c r="G19" i="32"/>
  <c r="H166" i="44"/>
  <c r="H271" i="44"/>
  <c r="H271" i="41"/>
  <c r="H166" i="41"/>
  <c r="H271" i="14"/>
  <c r="H166" i="14"/>
  <c r="I66" i="76"/>
  <c r="I66" i="41"/>
  <c r="I66" i="20"/>
  <c r="P5" i="44"/>
  <c r="P12" i="44"/>
  <c r="H5" i="44"/>
  <c r="H12" i="44"/>
  <c r="I5" i="61"/>
  <c r="I19" i="61"/>
  <c r="J5" i="76"/>
  <c r="J19" i="76"/>
  <c r="J12" i="76"/>
  <c r="K5" i="53"/>
  <c r="K12" i="53"/>
  <c r="L5" i="50"/>
  <c r="L12" i="50"/>
  <c r="M5" i="47"/>
  <c r="M12" i="47"/>
  <c r="N12" i="38"/>
  <c r="N30" i="38"/>
  <c r="N5" i="38"/>
  <c r="O5" i="35"/>
  <c r="I5" i="26"/>
  <c r="I19" i="26"/>
  <c r="J5" i="23"/>
  <c r="J19" i="23"/>
  <c r="J12" i="23"/>
  <c r="K5" i="56"/>
  <c r="K12" i="56"/>
  <c r="L5" i="32"/>
  <c r="L12" i="32"/>
  <c r="L19" i="32"/>
  <c r="M5" i="29"/>
  <c r="M12" i="29"/>
  <c r="M30" i="29"/>
  <c r="N5" i="20"/>
  <c r="N12" i="20"/>
  <c r="N30" i="20"/>
  <c r="N19" i="20"/>
  <c r="O5" i="17"/>
  <c r="O19" i="17"/>
  <c r="H12" i="14"/>
  <c r="H5" i="14"/>
  <c r="I5" i="11"/>
  <c r="I12" i="11"/>
  <c r="I19" i="11"/>
  <c r="J5" i="5"/>
  <c r="J19" i="5"/>
  <c r="J12" i="5"/>
  <c r="K5" i="8"/>
  <c r="K12" i="8"/>
  <c r="K30" i="8"/>
  <c r="P30" i="44"/>
  <c r="H30" i="44"/>
  <c r="G30" i="14"/>
  <c r="M19" i="47"/>
  <c r="G19" i="23"/>
  <c r="K19" i="32"/>
  <c r="I19" i="5"/>
  <c r="M12" i="38"/>
  <c r="I12" i="32"/>
  <c r="P12" i="14"/>
  <c r="J5" i="47"/>
  <c r="M149" i="70"/>
  <c r="N149" i="70"/>
  <c r="G149" i="70"/>
  <c r="O149" i="70"/>
  <c r="H149" i="70"/>
  <c r="P149" i="70"/>
  <c r="BY159" i="64"/>
  <c r="BY158" i="47"/>
  <c r="BY159" i="47"/>
  <c r="AV200" i="47"/>
  <c r="AV199" i="47"/>
  <c r="AO155" i="47"/>
  <c r="AL214" i="83" l="1"/>
  <c r="S120" i="83" s="1"/>
  <c r="AO214" i="83"/>
  <c r="AA225" i="83"/>
  <c r="AA226" i="83" s="1"/>
  <c r="I115" i="83"/>
  <c r="I49" i="83" s="1"/>
  <c r="AB225" i="83"/>
  <c r="AB226" i="83" s="1"/>
  <c r="S62" i="84"/>
  <c r="R171" i="59"/>
  <c r="S61" i="84"/>
  <c r="P56" i="84"/>
  <c r="Q56" i="84" s="1"/>
  <c r="Q25" i="83"/>
  <c r="S149" i="70"/>
  <c r="S58" i="83"/>
  <c r="AN214" i="83"/>
  <c r="H267" i="83"/>
  <c r="F272" i="83"/>
  <c r="F56" i="83" s="1"/>
  <c r="C65" i="83"/>
  <c r="BV157" i="83"/>
  <c r="BG167" i="83"/>
  <c r="I214" i="83"/>
  <c r="AB172" i="83"/>
  <c r="H214" i="83"/>
  <c r="BV164" i="83"/>
  <c r="BN158" i="83"/>
  <c r="AB169" i="83" s="1"/>
  <c r="AB173" i="83"/>
  <c r="AC184" i="83"/>
  <c r="AC185" i="83"/>
  <c r="AC181" i="83"/>
  <c r="AC183" i="83"/>
  <c r="AC178" i="83"/>
  <c r="AC171" i="83"/>
  <c r="AC179" i="83"/>
  <c r="AC177" i="83"/>
  <c r="AC174" i="83"/>
  <c r="AC176" i="83"/>
  <c r="R126" i="83"/>
  <c r="AC172" i="83"/>
  <c r="AC173" i="83"/>
  <c r="AC182" i="83"/>
  <c r="AC170" i="83"/>
  <c r="AC169" i="83"/>
  <c r="AC168" i="83"/>
  <c r="AD166" i="83"/>
  <c r="J260" i="83"/>
  <c r="J252" i="83"/>
  <c r="J244" i="83"/>
  <c r="J236" i="83"/>
  <c r="J228" i="83"/>
  <c r="J226" i="83"/>
  <c r="J224" i="83"/>
  <c r="J206" i="83"/>
  <c r="J265" i="83"/>
  <c r="J257" i="83"/>
  <c r="J249" i="83"/>
  <c r="J241" i="83"/>
  <c r="J233" i="83"/>
  <c r="J221" i="83"/>
  <c r="J262" i="83"/>
  <c r="J254" i="83"/>
  <c r="J246" i="83"/>
  <c r="J238" i="83"/>
  <c r="J230" i="83"/>
  <c r="J207" i="83"/>
  <c r="J259" i="83"/>
  <c r="J251" i="83"/>
  <c r="J243" i="83"/>
  <c r="J235" i="83"/>
  <c r="J227" i="83"/>
  <c r="J223" i="83"/>
  <c r="J264" i="83"/>
  <c r="J256" i="83"/>
  <c r="J248" i="83"/>
  <c r="J240" i="83"/>
  <c r="J232" i="83"/>
  <c r="J220" i="83"/>
  <c r="J208" i="83"/>
  <c r="J204" i="83"/>
  <c r="J263" i="83"/>
  <c r="J261" i="83"/>
  <c r="J247" i="83"/>
  <c r="J245" i="83"/>
  <c r="J222" i="83"/>
  <c r="J209" i="83"/>
  <c r="J205" i="83"/>
  <c r="J201" i="83"/>
  <c r="J197" i="83"/>
  <c r="J193" i="83"/>
  <c r="J189" i="83"/>
  <c r="J185" i="83"/>
  <c r="J181" i="83"/>
  <c r="J250" i="83"/>
  <c r="J225" i="83"/>
  <c r="J255" i="83"/>
  <c r="J253" i="83"/>
  <c r="J202" i="83"/>
  <c r="J198" i="83"/>
  <c r="J194" i="83"/>
  <c r="J190" i="83"/>
  <c r="J186" i="83"/>
  <c r="J182" i="83"/>
  <c r="J258" i="83"/>
  <c r="J203" i="83"/>
  <c r="J200" i="83"/>
  <c r="J196" i="83"/>
  <c r="J192" i="83"/>
  <c r="J188" i="83"/>
  <c r="J187" i="83"/>
  <c r="J179" i="83"/>
  <c r="J177" i="83"/>
  <c r="J234" i="83"/>
  <c r="J229" i="83"/>
  <c r="J183" i="83"/>
  <c r="J180" i="83"/>
  <c r="J175" i="83"/>
  <c r="J239" i="83"/>
  <c r="J169" i="83"/>
  <c r="J242" i="83"/>
  <c r="J231" i="83"/>
  <c r="J176" i="83"/>
  <c r="J170" i="83"/>
  <c r="J168" i="83"/>
  <c r="J237" i="83"/>
  <c r="J191" i="83"/>
  <c r="J178" i="83"/>
  <c r="J171" i="83"/>
  <c r="J83" i="83"/>
  <c r="J80" i="83"/>
  <c r="J72" i="83"/>
  <c r="J195" i="83"/>
  <c r="J167" i="83"/>
  <c r="J86" i="83"/>
  <c r="J75" i="83"/>
  <c r="K66" i="83"/>
  <c r="J172" i="83"/>
  <c r="J81" i="83"/>
  <c r="J78" i="83"/>
  <c r="J70" i="83"/>
  <c r="J184" i="83"/>
  <c r="J173" i="83"/>
  <c r="J84" i="83"/>
  <c r="J73" i="83"/>
  <c r="J199" i="83"/>
  <c r="J87" i="83"/>
  <c r="J76" i="83"/>
  <c r="J82" i="83"/>
  <c r="J79" i="83"/>
  <c r="J71" i="83"/>
  <c r="J85" i="83"/>
  <c r="J74" i="83"/>
  <c r="J88" i="83"/>
  <c r="J77" i="83"/>
  <c r="J69" i="83"/>
  <c r="J174" i="83"/>
  <c r="I267" i="83"/>
  <c r="Z210" i="83"/>
  <c r="Y210" i="83" s="1"/>
  <c r="Z208" i="83"/>
  <c r="Y208" i="83" s="1"/>
  <c r="Z204" i="83"/>
  <c r="Y204" i="83" s="1"/>
  <c r="Z213" i="83"/>
  <c r="Y213" i="83" s="1"/>
  <c r="Z209" i="83"/>
  <c r="Y209" i="83" s="1"/>
  <c r="Z205" i="83"/>
  <c r="Y205" i="83" s="1"/>
  <c r="Z212" i="83"/>
  <c r="Y212" i="83" s="1"/>
  <c r="Z199" i="83"/>
  <c r="Y199" i="83" s="1"/>
  <c r="Z195" i="83"/>
  <c r="Y195" i="83" s="1"/>
  <c r="Z191" i="83"/>
  <c r="Y191" i="83" s="1"/>
  <c r="Z187" i="83"/>
  <c r="Y187" i="83" s="1"/>
  <c r="Z202" i="83"/>
  <c r="Y202" i="83" s="1"/>
  <c r="Z201" i="83"/>
  <c r="Y201" i="83" s="1"/>
  <c r="Z200" i="83"/>
  <c r="Y200" i="83" s="1"/>
  <c r="Z198" i="83"/>
  <c r="Y198" i="83" s="1"/>
  <c r="Z197" i="83"/>
  <c r="Y197" i="83" s="1"/>
  <c r="Z196" i="83"/>
  <c r="Y196" i="83" s="1"/>
  <c r="Z194" i="83"/>
  <c r="Y194" i="83" s="1"/>
  <c r="Z193" i="83"/>
  <c r="Y193" i="83" s="1"/>
  <c r="Z192" i="83"/>
  <c r="Y192" i="83" s="1"/>
  <c r="Z190" i="83"/>
  <c r="Y190" i="83" s="1"/>
  <c r="Z189" i="83"/>
  <c r="Y189" i="83" s="1"/>
  <c r="Z188" i="83"/>
  <c r="Y188" i="83" s="1"/>
  <c r="Z181" i="83"/>
  <c r="Y181" i="83" s="1"/>
  <c r="Z180" i="83"/>
  <c r="Y180" i="83" s="1"/>
  <c r="Z186" i="83"/>
  <c r="Y186" i="83" s="1"/>
  <c r="Z184" i="83"/>
  <c r="Y184" i="83" s="1"/>
  <c r="Z183" i="83"/>
  <c r="Y183" i="83" s="1"/>
  <c r="Z182" i="83"/>
  <c r="Y182" i="83" s="1"/>
  <c r="Z176" i="83"/>
  <c r="Y176" i="83" s="1"/>
  <c r="Z170" i="83"/>
  <c r="Y170" i="83" s="1"/>
  <c r="Z168" i="83"/>
  <c r="Y168" i="83" s="1"/>
  <c r="Z167" i="83"/>
  <c r="Y167" i="83" s="1"/>
  <c r="Z179" i="83"/>
  <c r="Y179" i="83" s="1"/>
  <c r="Z174" i="83"/>
  <c r="Y174" i="83" s="1"/>
  <c r="Z173" i="83"/>
  <c r="Y173" i="83" s="1"/>
  <c r="Z177" i="83"/>
  <c r="Y177" i="83" s="1"/>
  <c r="Z175" i="83"/>
  <c r="Y175" i="83" s="1"/>
  <c r="Z171" i="83"/>
  <c r="Y171" i="83" s="1"/>
  <c r="Z178" i="83"/>
  <c r="Y178" i="83" s="1"/>
  <c r="Z211" i="83"/>
  <c r="Y211" i="83" s="1"/>
  <c r="Z172" i="83"/>
  <c r="Y172" i="83" s="1"/>
  <c r="Z203" i="83"/>
  <c r="Y203" i="83" s="1"/>
  <c r="Z207" i="83"/>
  <c r="Y207" i="83" s="1"/>
  <c r="Z185" i="83"/>
  <c r="Y185" i="83" s="1"/>
  <c r="Z169" i="83"/>
  <c r="Y169" i="83" s="1"/>
  <c r="Z206" i="83"/>
  <c r="Y206" i="83" s="1"/>
  <c r="J66" i="11"/>
  <c r="I271" i="11"/>
  <c r="I166" i="11"/>
  <c r="I271" i="29"/>
  <c r="I166" i="29"/>
  <c r="J66" i="29"/>
  <c r="I166" i="8"/>
  <c r="I271" i="8"/>
  <c r="J66" i="8"/>
  <c r="J66" i="23"/>
  <c r="I166" i="23"/>
  <c r="I271" i="23"/>
  <c r="J66" i="61"/>
  <c r="I271" i="61"/>
  <c r="I166" i="61"/>
  <c r="K66" i="14"/>
  <c r="J271" i="14"/>
  <c r="J166" i="14"/>
  <c r="K66" i="50"/>
  <c r="J271" i="50"/>
  <c r="J166" i="50"/>
  <c r="J66" i="76"/>
  <c r="I271" i="76"/>
  <c r="I166" i="76"/>
  <c r="I271" i="35"/>
  <c r="I166" i="35"/>
  <c r="J66" i="35"/>
  <c r="J66" i="5"/>
  <c r="I166" i="5"/>
  <c r="I271" i="5"/>
  <c r="J66" i="26"/>
  <c r="I271" i="26"/>
  <c r="I166" i="26"/>
  <c r="J271" i="44"/>
  <c r="J166" i="44"/>
  <c r="K66" i="44"/>
  <c r="K66" i="17"/>
  <c r="J271" i="17"/>
  <c r="J166" i="17"/>
  <c r="I271" i="56"/>
  <c r="J66" i="56"/>
  <c r="I166" i="56"/>
  <c r="J66" i="20"/>
  <c r="I166" i="20"/>
  <c r="I271" i="20"/>
  <c r="J66" i="32"/>
  <c r="I166" i="32"/>
  <c r="I271" i="32"/>
  <c r="K66" i="38"/>
  <c r="J166" i="38"/>
  <c r="J271" i="38"/>
  <c r="J66" i="41"/>
  <c r="I271" i="41"/>
  <c r="I166" i="41"/>
  <c r="K66" i="47"/>
  <c r="J271" i="47"/>
  <c r="J166" i="47"/>
  <c r="K66" i="53"/>
  <c r="J271" i="53"/>
  <c r="J166" i="53"/>
  <c r="BP157" i="47"/>
  <c r="BV158" i="47" s="1"/>
  <c r="AW200" i="47"/>
  <c r="AT200" i="47" s="1"/>
  <c r="AS200" i="47" s="1"/>
  <c r="AB168" i="83" l="1"/>
  <c r="AB171" i="83"/>
  <c r="AC180" i="83"/>
  <c r="K265" i="83"/>
  <c r="K257" i="83"/>
  <c r="K249" i="83"/>
  <c r="K241" i="83"/>
  <c r="K233" i="83"/>
  <c r="K221" i="83"/>
  <c r="K262" i="83"/>
  <c r="K254" i="83"/>
  <c r="K246" i="83"/>
  <c r="K238" i="83"/>
  <c r="K230" i="83"/>
  <c r="K207" i="83"/>
  <c r="K259" i="83"/>
  <c r="K251" i="83"/>
  <c r="K243" i="83"/>
  <c r="K235" i="83"/>
  <c r="K227" i="83"/>
  <c r="K223" i="83"/>
  <c r="K264" i="83"/>
  <c r="K256" i="83"/>
  <c r="K248" i="83"/>
  <c r="K240" i="83"/>
  <c r="K232" i="83"/>
  <c r="K220" i="83"/>
  <c r="K208" i="83"/>
  <c r="K204" i="83"/>
  <c r="K261" i="83"/>
  <c r="K253" i="83"/>
  <c r="K245" i="83"/>
  <c r="K237" i="83"/>
  <c r="K229" i="83"/>
  <c r="K225" i="83"/>
  <c r="K244" i="83"/>
  <c r="K252" i="83"/>
  <c r="K250" i="83"/>
  <c r="K255" i="83"/>
  <c r="K202" i="83"/>
  <c r="K198" i="83"/>
  <c r="K194" i="83"/>
  <c r="K190" i="83"/>
  <c r="K186" i="83"/>
  <c r="K260" i="83"/>
  <c r="K258" i="83"/>
  <c r="K228" i="83"/>
  <c r="K181" i="83"/>
  <c r="K172" i="83"/>
  <c r="K234" i="83"/>
  <c r="K183" i="83"/>
  <c r="K182" i="83"/>
  <c r="K180" i="83"/>
  <c r="K175" i="83"/>
  <c r="K242" i="83"/>
  <c r="K239" i="83"/>
  <c r="K205" i="83"/>
  <c r="K184" i="83"/>
  <c r="K222" i="83"/>
  <c r="K209" i="83"/>
  <c r="K197" i="83"/>
  <c r="K192" i="83"/>
  <c r="K206" i="83"/>
  <c r="K201" i="83"/>
  <c r="K196" i="83"/>
  <c r="K191" i="83"/>
  <c r="K185" i="83"/>
  <c r="K177" i="83"/>
  <c r="K224" i="83"/>
  <c r="K178" i="83"/>
  <c r="K174" i="83"/>
  <c r="K173" i="83"/>
  <c r="K247" i="83"/>
  <c r="K195" i="83"/>
  <c r="K167" i="83"/>
  <c r="K86" i="83"/>
  <c r="K75" i="83"/>
  <c r="L66" i="83"/>
  <c r="K189" i="83"/>
  <c r="K176" i="83"/>
  <c r="K81" i="83"/>
  <c r="K78" i="83"/>
  <c r="K70" i="83"/>
  <c r="K200" i="83"/>
  <c r="K188" i="83"/>
  <c r="K84" i="83"/>
  <c r="K73" i="83"/>
  <c r="K263" i="83"/>
  <c r="K199" i="83"/>
  <c r="K179" i="83"/>
  <c r="K87" i="83"/>
  <c r="K76" i="83"/>
  <c r="K193" i="83"/>
  <c r="K82" i="83"/>
  <c r="K79" i="83"/>
  <c r="K71" i="83"/>
  <c r="K85" i="83"/>
  <c r="K74" i="83"/>
  <c r="K236" i="83"/>
  <c r="K231" i="83"/>
  <c r="K226" i="83"/>
  <c r="K187" i="83"/>
  <c r="K169" i="83"/>
  <c r="K88" i="83"/>
  <c r="K77" i="83"/>
  <c r="K69" i="83"/>
  <c r="K170" i="83"/>
  <c r="K72" i="83"/>
  <c r="K168" i="83"/>
  <c r="K80" i="83"/>
  <c r="K83" i="83"/>
  <c r="K203" i="83"/>
  <c r="K171" i="83"/>
  <c r="J214" i="83"/>
  <c r="AA169" i="83"/>
  <c r="AA168" i="83"/>
  <c r="AA214" i="83" s="1"/>
  <c r="AA215" i="83" s="1"/>
  <c r="AA216" i="83" s="1"/>
  <c r="AB174" i="83"/>
  <c r="AB170" i="83"/>
  <c r="J267" i="83"/>
  <c r="AD185" i="83"/>
  <c r="AD184" i="83"/>
  <c r="AD174" i="83"/>
  <c r="AD179" i="83"/>
  <c r="AD177" i="83"/>
  <c r="AD173" i="83"/>
  <c r="AD183" i="83"/>
  <c r="AD175" i="83"/>
  <c r="AD178" i="83"/>
  <c r="AD170" i="83"/>
  <c r="AD168" i="83"/>
  <c r="AD171" i="83"/>
  <c r="R127" i="83"/>
  <c r="AD180" i="83"/>
  <c r="AD172" i="83"/>
  <c r="AD182" i="83"/>
  <c r="AD176" i="83"/>
  <c r="AD169" i="83"/>
  <c r="AE166" i="83"/>
  <c r="AD181" i="83"/>
  <c r="AC175" i="83"/>
  <c r="AC214" i="83" s="1"/>
  <c r="J115" i="83"/>
  <c r="J49" i="83" s="1"/>
  <c r="K66" i="26"/>
  <c r="J166" i="26"/>
  <c r="J271" i="26"/>
  <c r="K66" i="32"/>
  <c r="J271" i="32"/>
  <c r="J166" i="32"/>
  <c r="K66" i="76"/>
  <c r="J166" i="76"/>
  <c r="J271" i="76"/>
  <c r="K66" i="29"/>
  <c r="J166" i="29"/>
  <c r="J271" i="29"/>
  <c r="L66" i="17"/>
  <c r="K271" i="17"/>
  <c r="K166" i="17"/>
  <c r="K66" i="61"/>
  <c r="J166" i="61"/>
  <c r="J271" i="61"/>
  <c r="K66" i="41"/>
  <c r="J271" i="41"/>
  <c r="J166" i="41"/>
  <c r="L66" i="44"/>
  <c r="K166" i="44"/>
  <c r="K271" i="44"/>
  <c r="K66" i="5"/>
  <c r="J166" i="5"/>
  <c r="J271" i="5"/>
  <c r="K66" i="35"/>
  <c r="J271" i="35"/>
  <c r="J166" i="35"/>
  <c r="L66" i="47"/>
  <c r="K166" i="47"/>
  <c r="K271" i="47"/>
  <c r="K66" i="20"/>
  <c r="J166" i="20"/>
  <c r="J271" i="20"/>
  <c r="L66" i="50"/>
  <c r="K166" i="50"/>
  <c r="K271" i="50"/>
  <c r="L66" i="53"/>
  <c r="K271" i="53"/>
  <c r="K166" i="53"/>
  <c r="K66" i="23"/>
  <c r="J166" i="23"/>
  <c r="J271" i="23"/>
  <c r="L66" i="14"/>
  <c r="K271" i="14"/>
  <c r="K166" i="14"/>
  <c r="L66" i="38"/>
  <c r="K271" i="38"/>
  <c r="K166" i="38"/>
  <c r="K66" i="56"/>
  <c r="J166" i="56"/>
  <c r="J271" i="56"/>
  <c r="K66" i="8"/>
  <c r="J166" i="8"/>
  <c r="J271" i="8"/>
  <c r="K66" i="11"/>
  <c r="J271" i="11"/>
  <c r="J166" i="11"/>
  <c r="AB214" i="83" l="1"/>
  <c r="AB215" i="83" s="1"/>
  <c r="AB216" i="83" s="1"/>
  <c r="AC215" i="83"/>
  <c r="AC216" i="83" s="1"/>
  <c r="BG169" i="83"/>
  <c r="G272" i="83"/>
  <c r="G56" i="83" s="1"/>
  <c r="S124" i="83"/>
  <c r="L262" i="83"/>
  <c r="L254" i="83"/>
  <c r="L246" i="83"/>
  <c r="L238" i="83"/>
  <c r="L230" i="83"/>
  <c r="L207" i="83"/>
  <c r="L259" i="83"/>
  <c r="L251" i="83"/>
  <c r="L243" i="83"/>
  <c r="L235" i="83"/>
  <c r="L227" i="83"/>
  <c r="L223" i="83"/>
  <c r="L264" i="83"/>
  <c r="L256" i="83"/>
  <c r="L248" i="83"/>
  <c r="L240" i="83"/>
  <c r="L232" i="83"/>
  <c r="L220" i="83"/>
  <c r="L208" i="83"/>
  <c r="L204" i="83"/>
  <c r="L261" i="83"/>
  <c r="L253" i="83"/>
  <c r="L245" i="83"/>
  <c r="L237" i="83"/>
  <c r="L229" i="83"/>
  <c r="L225" i="83"/>
  <c r="L258" i="83"/>
  <c r="L250" i="83"/>
  <c r="L242" i="83"/>
  <c r="L234" i="83"/>
  <c r="L222" i="83"/>
  <c r="L209" i="83"/>
  <c r="L205" i="83"/>
  <c r="L241" i="83"/>
  <c r="L239" i="83"/>
  <c r="L249" i="83"/>
  <c r="L247" i="83"/>
  <c r="L257" i="83"/>
  <c r="L255" i="83"/>
  <c r="L202" i="83"/>
  <c r="L198" i="83"/>
  <c r="L194" i="83"/>
  <c r="L190" i="83"/>
  <c r="L186" i="83"/>
  <c r="L182" i="83"/>
  <c r="L260" i="83"/>
  <c r="L228" i="83"/>
  <c r="L265" i="83"/>
  <c r="L263" i="83"/>
  <c r="L233" i="83"/>
  <c r="L231" i="83"/>
  <c r="L199" i="83"/>
  <c r="L195" i="83"/>
  <c r="L191" i="83"/>
  <c r="L187" i="83"/>
  <c r="L183" i="83"/>
  <c r="L180" i="83"/>
  <c r="L175" i="83"/>
  <c r="L184" i="83"/>
  <c r="L236" i="83"/>
  <c r="L252" i="83"/>
  <c r="L167" i="83"/>
  <c r="L224" i="83"/>
  <c r="L178" i="83"/>
  <c r="L174" i="83"/>
  <c r="L173" i="83"/>
  <c r="L221" i="83"/>
  <c r="L203" i="83"/>
  <c r="L193" i="83"/>
  <c r="L188" i="83"/>
  <c r="L206" i="83"/>
  <c r="L189" i="83"/>
  <c r="L177" i="83"/>
  <c r="L176" i="83"/>
  <c r="L81" i="83"/>
  <c r="L78" i="83"/>
  <c r="L70" i="83"/>
  <c r="L201" i="83"/>
  <c r="L200" i="83"/>
  <c r="L185" i="83"/>
  <c r="L172" i="83"/>
  <c r="L84" i="83"/>
  <c r="L73" i="83"/>
  <c r="L181" i="83"/>
  <c r="L179" i="83"/>
  <c r="L87" i="83"/>
  <c r="L76" i="83"/>
  <c r="L82" i="83"/>
  <c r="L79" i="83"/>
  <c r="L71" i="83"/>
  <c r="L244" i="83"/>
  <c r="L85" i="83"/>
  <c r="L74" i="83"/>
  <c r="L226" i="83"/>
  <c r="L192" i="83"/>
  <c r="L169" i="83"/>
  <c r="L88" i="83"/>
  <c r="L77" i="83"/>
  <c r="L69" i="83"/>
  <c r="L197" i="83"/>
  <c r="L171" i="83"/>
  <c r="L170" i="83"/>
  <c r="L168" i="83"/>
  <c r="L83" i="83"/>
  <c r="L80" i="83"/>
  <c r="L72" i="83"/>
  <c r="L86" i="83"/>
  <c r="L196" i="83"/>
  <c r="L75" i="83"/>
  <c r="M66" i="83"/>
  <c r="K214" i="83"/>
  <c r="K267" i="83"/>
  <c r="K115" i="83"/>
  <c r="K49" i="83" s="1"/>
  <c r="AE185" i="83"/>
  <c r="AE181" i="83"/>
  <c r="AE182" i="83"/>
  <c r="AE179" i="83"/>
  <c r="AE177" i="83"/>
  <c r="AE175" i="83"/>
  <c r="AE172" i="83"/>
  <c r="AE169" i="83"/>
  <c r="AE178" i="83"/>
  <c r="AE170" i="83"/>
  <c r="AE168" i="83"/>
  <c r="AE184" i="83"/>
  <c r="AE180" i="83"/>
  <c r="AE183" i="83"/>
  <c r="AE176" i="83"/>
  <c r="AE173" i="83"/>
  <c r="AF166" i="83"/>
  <c r="R128" i="83"/>
  <c r="AE171" i="83"/>
  <c r="AE174" i="83"/>
  <c r="AD214" i="83"/>
  <c r="L66" i="61"/>
  <c r="K271" i="61"/>
  <c r="K166" i="61"/>
  <c r="M66" i="53"/>
  <c r="L166" i="53"/>
  <c r="L271" i="53"/>
  <c r="L66" i="8"/>
  <c r="K271" i="8"/>
  <c r="K166" i="8"/>
  <c r="M66" i="47"/>
  <c r="L271" i="47"/>
  <c r="L166" i="47"/>
  <c r="L66" i="76"/>
  <c r="K271" i="76"/>
  <c r="K166" i="76"/>
  <c r="L66" i="56"/>
  <c r="K166" i="56"/>
  <c r="K271" i="56"/>
  <c r="L66" i="35"/>
  <c r="K271" i="35"/>
  <c r="K166" i="35"/>
  <c r="L66" i="32"/>
  <c r="K166" i="32"/>
  <c r="K271" i="32"/>
  <c r="M66" i="44"/>
  <c r="L271" i="44"/>
  <c r="L166" i="44"/>
  <c r="L66" i="23"/>
  <c r="K271" i="23"/>
  <c r="K166" i="23"/>
  <c r="L66" i="41"/>
  <c r="K271" i="41"/>
  <c r="K166" i="41"/>
  <c r="M66" i="14"/>
  <c r="L271" i="14"/>
  <c r="L166" i="14"/>
  <c r="L66" i="11"/>
  <c r="K271" i="11"/>
  <c r="K166" i="11"/>
  <c r="L66" i="20"/>
  <c r="K271" i="20"/>
  <c r="K166" i="20"/>
  <c r="L66" i="29"/>
  <c r="K166" i="29"/>
  <c r="K271" i="29"/>
  <c r="M66" i="50"/>
  <c r="L271" i="50"/>
  <c r="L166" i="50"/>
  <c r="M66" i="17"/>
  <c r="L166" i="17"/>
  <c r="L271" i="17"/>
  <c r="M66" i="38"/>
  <c r="L271" i="38"/>
  <c r="L166" i="38"/>
  <c r="L66" i="5"/>
  <c r="K271" i="5"/>
  <c r="K166" i="5"/>
  <c r="L66" i="26"/>
  <c r="K166" i="26"/>
  <c r="K271" i="26"/>
  <c r="BP158" i="47"/>
  <c r="BP159" i="47" s="1"/>
  <c r="BY160" i="47"/>
  <c r="BY157" i="47"/>
  <c r="BG168" i="83" l="1"/>
  <c r="L115" i="83"/>
  <c r="L49" i="83" s="1"/>
  <c r="L267" i="83"/>
  <c r="AF172" i="83"/>
  <c r="AF185" i="83"/>
  <c r="AF175" i="83"/>
  <c r="AF182" i="83"/>
  <c r="AF179" i="83"/>
  <c r="AF176" i="83"/>
  <c r="AF171" i="83"/>
  <c r="AF184" i="83"/>
  <c r="AG166" i="83"/>
  <c r="AF183" i="83"/>
  <c r="AF178" i="83"/>
  <c r="AF177" i="83"/>
  <c r="AF173" i="83"/>
  <c r="AF169" i="83"/>
  <c r="R129" i="83"/>
  <c r="AF181" i="83"/>
  <c r="AF170" i="83"/>
  <c r="AF168" i="83"/>
  <c r="AF174" i="83"/>
  <c r="AF180" i="83"/>
  <c r="AD215" i="83"/>
  <c r="AD216" i="83" s="1"/>
  <c r="BG170" i="83"/>
  <c r="M259" i="83"/>
  <c r="M251" i="83"/>
  <c r="M243" i="83"/>
  <c r="M235" i="83"/>
  <c r="M227" i="83"/>
  <c r="M223" i="83"/>
  <c r="M264" i="83"/>
  <c r="M256" i="83"/>
  <c r="M248" i="83"/>
  <c r="M240" i="83"/>
  <c r="M232" i="83"/>
  <c r="M220" i="83"/>
  <c r="M208" i="83"/>
  <c r="M261" i="83"/>
  <c r="M253" i="83"/>
  <c r="M245" i="83"/>
  <c r="M237" i="83"/>
  <c r="M229" i="83"/>
  <c r="M225" i="83"/>
  <c r="M258" i="83"/>
  <c r="M250" i="83"/>
  <c r="M242" i="83"/>
  <c r="M234" i="83"/>
  <c r="M222" i="83"/>
  <c r="M209" i="83"/>
  <c r="M205" i="83"/>
  <c r="M263" i="83"/>
  <c r="M255" i="83"/>
  <c r="M247" i="83"/>
  <c r="M239" i="83"/>
  <c r="M231" i="83"/>
  <c r="M246" i="83"/>
  <c r="M244" i="83"/>
  <c r="M254" i="83"/>
  <c r="M252" i="83"/>
  <c r="M262" i="83"/>
  <c r="M260" i="83"/>
  <c r="M230" i="83"/>
  <c r="M228" i="83"/>
  <c r="M265" i="83"/>
  <c r="M233" i="83"/>
  <c r="M199" i="83"/>
  <c r="M195" i="83"/>
  <c r="M191" i="83"/>
  <c r="M187" i="83"/>
  <c r="M238" i="83"/>
  <c r="M236" i="83"/>
  <c r="M226" i="83"/>
  <c r="M206" i="83"/>
  <c r="M203" i="83"/>
  <c r="M184" i="83"/>
  <c r="M183" i="83"/>
  <c r="M182" i="83"/>
  <c r="M204" i="83"/>
  <c r="M257" i="83"/>
  <c r="M185" i="83"/>
  <c r="M176" i="83"/>
  <c r="M194" i="83"/>
  <c r="M189" i="83"/>
  <c r="M179" i="83"/>
  <c r="M170" i="83"/>
  <c r="M168" i="83"/>
  <c r="M224" i="83"/>
  <c r="M221" i="83"/>
  <c r="M198" i="83"/>
  <c r="M193" i="83"/>
  <c r="M188" i="83"/>
  <c r="M241" i="83"/>
  <c r="M200" i="83"/>
  <c r="M175" i="83"/>
  <c r="M172" i="83"/>
  <c r="M171" i="83"/>
  <c r="M207" i="83"/>
  <c r="M201" i="83"/>
  <c r="M186" i="83"/>
  <c r="M84" i="83"/>
  <c r="M73" i="83"/>
  <c r="M181" i="83"/>
  <c r="M87" i="83"/>
  <c r="M76" i="83"/>
  <c r="M173" i="83"/>
  <c r="M82" i="83"/>
  <c r="M79" i="83"/>
  <c r="M71" i="83"/>
  <c r="M85" i="83"/>
  <c r="M74" i="83"/>
  <c r="M192" i="83"/>
  <c r="M169" i="83"/>
  <c r="M88" i="83"/>
  <c r="M77" i="83"/>
  <c r="M69" i="83"/>
  <c r="M249" i="83"/>
  <c r="M197" i="83"/>
  <c r="M190" i="83"/>
  <c r="M180" i="83"/>
  <c r="M83" i="83"/>
  <c r="M80" i="83"/>
  <c r="M72" i="83"/>
  <c r="M196" i="83"/>
  <c r="M174" i="83"/>
  <c r="M86" i="83"/>
  <c r="M75" i="83"/>
  <c r="N66" i="83"/>
  <c r="M70" i="83"/>
  <c r="M202" i="83"/>
  <c r="M78" i="83"/>
  <c r="M177" i="83"/>
  <c r="M81" i="83"/>
  <c r="M178" i="83"/>
  <c r="M167" i="83"/>
  <c r="L214" i="83"/>
  <c r="AE214" i="83"/>
  <c r="I272" i="83"/>
  <c r="I56" i="83" s="1"/>
  <c r="S126" i="83"/>
  <c r="H272" i="83"/>
  <c r="H56" i="83" s="1"/>
  <c r="S125" i="83"/>
  <c r="M66" i="20"/>
  <c r="L166" i="20"/>
  <c r="L271" i="20"/>
  <c r="M66" i="56"/>
  <c r="L166" i="56"/>
  <c r="L271" i="56"/>
  <c r="M66" i="41"/>
  <c r="L166" i="41"/>
  <c r="L271" i="41"/>
  <c r="M66" i="8"/>
  <c r="L166" i="8"/>
  <c r="L271" i="8"/>
  <c r="M66" i="5"/>
  <c r="L271" i="5"/>
  <c r="L166" i="5"/>
  <c r="M66" i="76"/>
  <c r="L271" i="76"/>
  <c r="L166" i="76"/>
  <c r="N66" i="38"/>
  <c r="M166" i="38"/>
  <c r="M271" i="38"/>
  <c r="M66" i="23"/>
  <c r="L271" i="23"/>
  <c r="L166" i="23"/>
  <c r="N66" i="53"/>
  <c r="M271" i="53"/>
  <c r="M166" i="53"/>
  <c r="M66" i="11"/>
  <c r="L271" i="11"/>
  <c r="L166" i="11"/>
  <c r="M66" i="29"/>
  <c r="L271" i="29"/>
  <c r="L166" i="29"/>
  <c r="M66" i="35"/>
  <c r="L166" i="35"/>
  <c r="L271" i="35"/>
  <c r="N66" i="50"/>
  <c r="M271" i="50"/>
  <c r="M166" i="50"/>
  <c r="M66" i="32"/>
  <c r="L166" i="32"/>
  <c r="L271" i="32"/>
  <c r="M66" i="26"/>
  <c r="L271" i="26"/>
  <c r="L166" i="26"/>
  <c r="N66" i="14"/>
  <c r="M271" i="14"/>
  <c r="M166" i="14"/>
  <c r="N66" i="47"/>
  <c r="M271" i="47"/>
  <c r="M166" i="47"/>
  <c r="N66" i="17"/>
  <c r="M271" i="17"/>
  <c r="M166" i="17"/>
  <c r="N66" i="44"/>
  <c r="M271" i="44"/>
  <c r="M166" i="44"/>
  <c r="M66" i="61"/>
  <c r="L271" i="61"/>
  <c r="L166" i="61"/>
  <c r="BV163" i="47"/>
  <c r="W115" i="5"/>
  <c r="U89" i="5"/>
  <c r="AV200" i="44"/>
  <c r="AW200" i="44" s="1"/>
  <c r="AT200" i="44" s="1"/>
  <c r="AS200" i="44" s="1"/>
  <c r="AV199" i="44"/>
  <c r="BD186" i="38"/>
  <c r="AE215" i="83" l="1"/>
  <c r="AE216" i="83" s="1"/>
  <c r="BG171" i="83"/>
  <c r="N264" i="83"/>
  <c r="N256" i="83"/>
  <c r="N248" i="83"/>
  <c r="N240" i="83"/>
  <c r="N232" i="83"/>
  <c r="N220" i="83"/>
  <c r="N208" i="83"/>
  <c r="N204" i="83"/>
  <c r="N261" i="83"/>
  <c r="N253" i="83"/>
  <c r="N245" i="83"/>
  <c r="N237" i="83"/>
  <c r="N229" i="83"/>
  <c r="N225" i="83"/>
  <c r="N258" i="83"/>
  <c r="N250" i="83"/>
  <c r="N242" i="83"/>
  <c r="N234" i="83"/>
  <c r="N222" i="83"/>
  <c r="N209" i="83"/>
  <c r="N205" i="83"/>
  <c r="N263" i="83"/>
  <c r="N255" i="83"/>
  <c r="N247" i="83"/>
  <c r="N239" i="83"/>
  <c r="N231" i="83"/>
  <c r="N260" i="83"/>
  <c r="N252" i="83"/>
  <c r="N244" i="83"/>
  <c r="N236" i="83"/>
  <c r="N228" i="83"/>
  <c r="N226" i="83"/>
  <c r="N224" i="83"/>
  <c r="N206" i="83"/>
  <c r="N251" i="83"/>
  <c r="N249" i="83"/>
  <c r="N259" i="83"/>
  <c r="N257" i="83"/>
  <c r="N265" i="83"/>
  <c r="N235" i="83"/>
  <c r="N233" i="83"/>
  <c r="N199" i="83"/>
  <c r="N195" i="83"/>
  <c r="N191" i="83"/>
  <c r="N187" i="83"/>
  <c r="N183" i="83"/>
  <c r="N238" i="83"/>
  <c r="N203" i="83"/>
  <c r="N243" i="83"/>
  <c r="N241" i="83"/>
  <c r="N200" i="83"/>
  <c r="N196" i="83"/>
  <c r="N192" i="83"/>
  <c r="N188" i="83"/>
  <c r="N184" i="83"/>
  <c r="N254" i="83"/>
  <c r="N173" i="83"/>
  <c r="N246" i="83"/>
  <c r="N227" i="83"/>
  <c r="N185" i="83"/>
  <c r="N176" i="83"/>
  <c r="N178" i="83"/>
  <c r="N262" i="83"/>
  <c r="N201" i="83"/>
  <c r="N177" i="83"/>
  <c r="N221" i="83"/>
  <c r="N175" i="83"/>
  <c r="N172" i="83"/>
  <c r="N171" i="83"/>
  <c r="N190" i="83"/>
  <c r="N181" i="83"/>
  <c r="N169" i="83"/>
  <c r="N230" i="83"/>
  <c r="N182" i="83"/>
  <c r="N87" i="83"/>
  <c r="N76" i="83"/>
  <c r="N194" i="83"/>
  <c r="N179" i="83"/>
  <c r="N82" i="83"/>
  <c r="N79" i="83"/>
  <c r="N71" i="83"/>
  <c r="N223" i="83"/>
  <c r="N85" i="83"/>
  <c r="N74" i="83"/>
  <c r="N193" i="83"/>
  <c r="N88" i="83"/>
  <c r="N77" i="83"/>
  <c r="N69" i="83"/>
  <c r="N198" i="83"/>
  <c r="N197" i="83"/>
  <c r="N180" i="83"/>
  <c r="N83" i="83"/>
  <c r="N80" i="83"/>
  <c r="N72" i="83"/>
  <c r="N174" i="83"/>
  <c r="N170" i="83"/>
  <c r="N168" i="83"/>
  <c r="N86" i="83"/>
  <c r="N75" i="83"/>
  <c r="O66" i="83"/>
  <c r="N202" i="83"/>
  <c r="N167" i="83"/>
  <c r="N81" i="83"/>
  <c r="N78" i="83"/>
  <c r="N70" i="83"/>
  <c r="N207" i="83"/>
  <c r="N84" i="83"/>
  <c r="N186" i="83"/>
  <c r="N73" i="83"/>
  <c r="N189" i="83"/>
  <c r="J272" i="83"/>
  <c r="J56" i="83" s="1"/>
  <c r="S127" i="83"/>
  <c r="M267" i="83"/>
  <c r="AF214" i="83"/>
  <c r="M115" i="83"/>
  <c r="M49" i="83" s="1"/>
  <c r="AG182" i="83"/>
  <c r="AG183" i="83"/>
  <c r="AG185" i="83"/>
  <c r="AG175" i="83"/>
  <c r="AG180" i="83"/>
  <c r="AG177" i="83"/>
  <c r="AH166" i="83"/>
  <c r="AG178" i="83"/>
  <c r="AG173" i="83"/>
  <c r="AG172" i="83"/>
  <c r="AG176" i="83"/>
  <c r="R130" i="83"/>
  <c r="AG169" i="83"/>
  <c r="AG181" i="83"/>
  <c r="AG179" i="83"/>
  <c r="AG170" i="83"/>
  <c r="AG168" i="83"/>
  <c r="AG174" i="83"/>
  <c r="AG184" i="83"/>
  <c r="AG171" i="83"/>
  <c r="M214" i="83"/>
  <c r="O66" i="14"/>
  <c r="N166" i="14"/>
  <c r="N271" i="14"/>
  <c r="N66" i="23"/>
  <c r="M271" i="23"/>
  <c r="M166" i="23"/>
  <c r="N66" i="41"/>
  <c r="M166" i="41"/>
  <c r="M271" i="41"/>
  <c r="O66" i="50"/>
  <c r="N166" i="50"/>
  <c r="N271" i="50"/>
  <c r="O66" i="17"/>
  <c r="N271" i="17"/>
  <c r="N166" i="17"/>
  <c r="N66" i="5"/>
  <c r="M166" i="5"/>
  <c r="M271" i="5"/>
  <c r="N66" i="76"/>
  <c r="M271" i="76"/>
  <c r="M166" i="76"/>
  <c r="N66" i="26"/>
  <c r="M166" i="26"/>
  <c r="M271" i="26"/>
  <c r="O66" i="38"/>
  <c r="N271" i="38"/>
  <c r="N166" i="38"/>
  <c r="N66" i="56"/>
  <c r="M271" i="56"/>
  <c r="M166" i="56"/>
  <c r="N66" i="11"/>
  <c r="M166" i="11"/>
  <c r="M271" i="11"/>
  <c r="N66" i="61"/>
  <c r="M271" i="61"/>
  <c r="M166" i="61"/>
  <c r="N66" i="35"/>
  <c r="M271" i="35"/>
  <c r="M166" i="35"/>
  <c r="N66" i="29"/>
  <c r="M166" i="29"/>
  <c r="M271" i="29"/>
  <c r="O66" i="47"/>
  <c r="N166" i="47"/>
  <c r="N271" i="47"/>
  <c r="O66" i="53"/>
  <c r="N166" i="53"/>
  <c r="N271" i="53"/>
  <c r="N66" i="8"/>
  <c r="M271" i="8"/>
  <c r="M166" i="8"/>
  <c r="O66" i="44"/>
  <c r="N166" i="44"/>
  <c r="N271" i="44"/>
  <c r="N66" i="32"/>
  <c r="M166" i="32"/>
  <c r="M271" i="32"/>
  <c r="N66" i="20"/>
  <c r="M271" i="20"/>
  <c r="M166" i="20"/>
  <c r="C115" i="1"/>
  <c r="D62" i="1" s="1"/>
  <c r="H34" i="35"/>
  <c r="H41" i="35"/>
  <c r="BE185" i="38"/>
  <c r="BB184" i="38"/>
  <c r="BE166" i="38"/>
  <c r="C115" i="35"/>
  <c r="D62" i="35" s="1"/>
  <c r="AA174" i="35"/>
  <c r="AB174" i="35"/>
  <c r="AC174" i="35"/>
  <c r="AD174" i="35"/>
  <c r="AE174" i="35"/>
  <c r="AF174" i="35"/>
  <c r="AG174" i="35"/>
  <c r="AH174" i="35"/>
  <c r="AI174" i="35"/>
  <c r="AJ174" i="35"/>
  <c r="AK174" i="35"/>
  <c r="AA175" i="35"/>
  <c r="AB175" i="35"/>
  <c r="AC175" i="35"/>
  <c r="AD175" i="35"/>
  <c r="AE175" i="35"/>
  <c r="AF175" i="35"/>
  <c r="AG175" i="35"/>
  <c r="AH175" i="35"/>
  <c r="AI175" i="35"/>
  <c r="AJ175" i="35"/>
  <c r="AK175" i="35"/>
  <c r="AA176" i="35"/>
  <c r="AB176" i="35"/>
  <c r="AC176" i="35"/>
  <c r="AD176" i="35"/>
  <c r="AE176" i="35"/>
  <c r="AF176" i="35"/>
  <c r="AG176" i="35"/>
  <c r="AH176" i="35"/>
  <c r="AI176" i="35"/>
  <c r="AJ176" i="35"/>
  <c r="AK176" i="35"/>
  <c r="AA177" i="35"/>
  <c r="AB177" i="35"/>
  <c r="AC177" i="35"/>
  <c r="AD177" i="35"/>
  <c r="AE177" i="35"/>
  <c r="AF177" i="35"/>
  <c r="AG177" i="35"/>
  <c r="AH177" i="35"/>
  <c r="AI177" i="35"/>
  <c r="AJ177" i="35"/>
  <c r="AK177" i="35"/>
  <c r="AA178" i="35"/>
  <c r="AB178" i="35"/>
  <c r="AC178" i="35"/>
  <c r="AD178" i="35"/>
  <c r="AE178" i="35"/>
  <c r="AF178" i="35"/>
  <c r="AG178" i="35"/>
  <c r="AH178" i="35"/>
  <c r="AI178" i="35"/>
  <c r="AJ178" i="35"/>
  <c r="AK178" i="35"/>
  <c r="AA179" i="35"/>
  <c r="AB179" i="35"/>
  <c r="AC179" i="35"/>
  <c r="AD179" i="35"/>
  <c r="AE179" i="35"/>
  <c r="AF179" i="35"/>
  <c r="AG179" i="35"/>
  <c r="AH179" i="35"/>
  <c r="AI179" i="35"/>
  <c r="AJ179" i="35"/>
  <c r="AK179" i="35"/>
  <c r="AA180" i="35"/>
  <c r="AB180" i="35"/>
  <c r="AC180" i="35"/>
  <c r="AD180" i="35"/>
  <c r="AE180" i="35"/>
  <c r="AF180" i="35"/>
  <c r="AG180" i="35"/>
  <c r="AH180" i="35"/>
  <c r="AI180" i="35"/>
  <c r="AJ180" i="35"/>
  <c r="AK180" i="35"/>
  <c r="AA181" i="35"/>
  <c r="AB181" i="35"/>
  <c r="AC181" i="35"/>
  <c r="AD181" i="35"/>
  <c r="AE181" i="35"/>
  <c r="AF181" i="35"/>
  <c r="AG181" i="35"/>
  <c r="AH181" i="35"/>
  <c r="AI181" i="35"/>
  <c r="AJ181" i="35"/>
  <c r="AK181" i="35"/>
  <c r="AA182" i="35"/>
  <c r="AB182" i="35"/>
  <c r="AC182" i="35"/>
  <c r="AD182" i="35"/>
  <c r="AE182" i="35"/>
  <c r="AF182" i="35"/>
  <c r="AG182" i="35"/>
  <c r="AH182" i="35"/>
  <c r="AI182" i="35"/>
  <c r="AJ182" i="35"/>
  <c r="AK182" i="35"/>
  <c r="AA183" i="35"/>
  <c r="AB183" i="35"/>
  <c r="AC183" i="35"/>
  <c r="AD183" i="35"/>
  <c r="AE183" i="35"/>
  <c r="AF183" i="35"/>
  <c r="AG183" i="35"/>
  <c r="AH183" i="35"/>
  <c r="AI183" i="35"/>
  <c r="AJ183" i="35"/>
  <c r="AK183" i="35"/>
  <c r="AA184" i="35"/>
  <c r="AB184" i="35"/>
  <c r="AC184" i="35"/>
  <c r="AD184" i="35"/>
  <c r="AE184" i="35"/>
  <c r="AF184" i="35"/>
  <c r="AG184" i="35"/>
  <c r="AH184" i="35"/>
  <c r="AI184" i="35"/>
  <c r="AJ184" i="35"/>
  <c r="AK184" i="35"/>
  <c r="AA185" i="35"/>
  <c r="AB185" i="35"/>
  <c r="AC185" i="35"/>
  <c r="AD185" i="35"/>
  <c r="AE185" i="35"/>
  <c r="AF185" i="35"/>
  <c r="AG185" i="35"/>
  <c r="AH185" i="35"/>
  <c r="AI185" i="35"/>
  <c r="AJ185" i="35"/>
  <c r="AK185" i="35"/>
  <c r="AA186" i="35"/>
  <c r="AB186" i="35"/>
  <c r="AC186" i="35"/>
  <c r="AD186" i="35"/>
  <c r="AE186" i="35"/>
  <c r="AF186" i="35"/>
  <c r="AG186" i="35"/>
  <c r="AH186" i="35"/>
  <c r="AI186" i="35"/>
  <c r="AJ186" i="35"/>
  <c r="AK186" i="35"/>
  <c r="AA187" i="35"/>
  <c r="AB187" i="35"/>
  <c r="AC187" i="35"/>
  <c r="AD187" i="35"/>
  <c r="AE187" i="35"/>
  <c r="AF187" i="35"/>
  <c r="AG187" i="35"/>
  <c r="AH187" i="35"/>
  <c r="AI187" i="35"/>
  <c r="AJ187" i="35"/>
  <c r="AK187" i="35"/>
  <c r="AA188" i="35"/>
  <c r="AB188" i="35"/>
  <c r="AC188" i="35"/>
  <c r="AD188" i="35"/>
  <c r="AE188" i="35"/>
  <c r="AF188" i="35"/>
  <c r="AG188" i="35"/>
  <c r="AH188" i="35"/>
  <c r="AI188" i="35"/>
  <c r="AJ188" i="35"/>
  <c r="AK188" i="35"/>
  <c r="AA189" i="35"/>
  <c r="AB189" i="35"/>
  <c r="AC189" i="35"/>
  <c r="AD189" i="35"/>
  <c r="AE189" i="35"/>
  <c r="AF189" i="35"/>
  <c r="AG189" i="35"/>
  <c r="AH189" i="35"/>
  <c r="AI189" i="35"/>
  <c r="AJ189" i="35"/>
  <c r="AK189" i="35"/>
  <c r="AA190" i="35"/>
  <c r="AB190" i="35"/>
  <c r="AC190" i="35"/>
  <c r="AD190" i="35"/>
  <c r="AE190" i="35"/>
  <c r="AF190" i="35"/>
  <c r="AG190" i="35"/>
  <c r="AH190" i="35"/>
  <c r="AI190" i="35"/>
  <c r="AJ190" i="35"/>
  <c r="AK190" i="35"/>
  <c r="AA191" i="35"/>
  <c r="AB191" i="35"/>
  <c r="AC191" i="35"/>
  <c r="AD191" i="35"/>
  <c r="AE191" i="35"/>
  <c r="AF191" i="35"/>
  <c r="AG191" i="35"/>
  <c r="AH191" i="35"/>
  <c r="AI191" i="35"/>
  <c r="AJ191" i="35"/>
  <c r="AK191" i="35"/>
  <c r="AA192" i="35"/>
  <c r="AB192" i="35"/>
  <c r="AC192" i="35"/>
  <c r="AD192" i="35"/>
  <c r="AE192" i="35"/>
  <c r="AF192" i="35"/>
  <c r="AG192" i="35"/>
  <c r="AH192" i="35"/>
  <c r="AI192" i="35"/>
  <c r="AJ192" i="35"/>
  <c r="AK192" i="35"/>
  <c r="AA193" i="35"/>
  <c r="AB193" i="35"/>
  <c r="AC193" i="35"/>
  <c r="AD193" i="35"/>
  <c r="AE193" i="35"/>
  <c r="AF193" i="35"/>
  <c r="AG193" i="35"/>
  <c r="AH193" i="35"/>
  <c r="AI193" i="35"/>
  <c r="AJ193" i="35"/>
  <c r="AK193" i="35"/>
  <c r="AA194" i="35"/>
  <c r="AB194" i="35"/>
  <c r="AC194" i="35"/>
  <c r="AD194" i="35"/>
  <c r="AE194" i="35"/>
  <c r="AF194" i="35"/>
  <c r="AG194" i="35"/>
  <c r="AH194" i="35"/>
  <c r="AI194" i="35"/>
  <c r="AJ194" i="35"/>
  <c r="AK194" i="35"/>
  <c r="AA195" i="35"/>
  <c r="AB195" i="35"/>
  <c r="AC195" i="35"/>
  <c r="AD195" i="35"/>
  <c r="AE195" i="35"/>
  <c r="AF195" i="35"/>
  <c r="AG195" i="35"/>
  <c r="AH195" i="35"/>
  <c r="AI195" i="35"/>
  <c r="AJ195" i="35"/>
  <c r="AK195" i="35"/>
  <c r="AA196" i="35"/>
  <c r="AB196" i="35"/>
  <c r="AC196" i="35"/>
  <c r="AD196" i="35"/>
  <c r="AE196" i="35"/>
  <c r="AF196" i="35"/>
  <c r="AG196" i="35"/>
  <c r="AH196" i="35"/>
  <c r="AI196" i="35"/>
  <c r="AJ196" i="35"/>
  <c r="AK196" i="35"/>
  <c r="AA197" i="35"/>
  <c r="AB197" i="35"/>
  <c r="AC197" i="35"/>
  <c r="AD197" i="35"/>
  <c r="AE197" i="35"/>
  <c r="AF197" i="35"/>
  <c r="AG197" i="35"/>
  <c r="AH197" i="35"/>
  <c r="AI197" i="35"/>
  <c r="AJ197" i="35"/>
  <c r="AK197" i="35"/>
  <c r="AA198" i="35"/>
  <c r="AB198" i="35"/>
  <c r="AC198" i="35"/>
  <c r="AD198" i="35"/>
  <c r="AE198" i="35"/>
  <c r="AF198" i="35"/>
  <c r="AG198" i="35"/>
  <c r="AH198" i="35"/>
  <c r="AI198" i="35"/>
  <c r="AJ198" i="35"/>
  <c r="AK198" i="35"/>
  <c r="AA199" i="35"/>
  <c r="AB199" i="35"/>
  <c r="AC199" i="35"/>
  <c r="AD199" i="35"/>
  <c r="AE199" i="35"/>
  <c r="AF199" i="35"/>
  <c r="AG199" i="35"/>
  <c r="AH199" i="35"/>
  <c r="AI199" i="35"/>
  <c r="AJ199" i="35"/>
  <c r="AK199" i="35"/>
  <c r="AA200" i="35"/>
  <c r="AB200" i="35"/>
  <c r="AC200" i="35"/>
  <c r="AD200" i="35"/>
  <c r="AE200" i="35"/>
  <c r="AF200" i="35"/>
  <c r="AG200" i="35"/>
  <c r="AH200" i="35"/>
  <c r="AI200" i="35"/>
  <c r="AJ200" i="35"/>
  <c r="AK200" i="35"/>
  <c r="AA201" i="35"/>
  <c r="AB201" i="35"/>
  <c r="AC201" i="35"/>
  <c r="AD201" i="35"/>
  <c r="AE201" i="35"/>
  <c r="AF201" i="35"/>
  <c r="AG201" i="35"/>
  <c r="AH201" i="35"/>
  <c r="AI201" i="35"/>
  <c r="AJ201" i="35"/>
  <c r="AK201" i="35"/>
  <c r="AA202" i="35"/>
  <c r="AB202" i="35"/>
  <c r="AC202" i="35"/>
  <c r="AD202" i="35"/>
  <c r="AE202" i="35"/>
  <c r="AF202" i="35"/>
  <c r="AG202" i="35"/>
  <c r="AH202" i="35"/>
  <c r="AI202" i="35"/>
  <c r="AJ202" i="35"/>
  <c r="AK202" i="35"/>
  <c r="AA203" i="35"/>
  <c r="AB203" i="35"/>
  <c r="AC203" i="35"/>
  <c r="AD203" i="35"/>
  <c r="AE203" i="35"/>
  <c r="AF203" i="35"/>
  <c r="AG203" i="35"/>
  <c r="AH203" i="35"/>
  <c r="AI203" i="35"/>
  <c r="AJ203" i="35"/>
  <c r="AK203" i="35"/>
  <c r="AA204" i="35"/>
  <c r="AB204" i="35"/>
  <c r="AC204" i="35"/>
  <c r="AD204" i="35"/>
  <c r="AE204" i="35"/>
  <c r="AF204" i="35"/>
  <c r="AG204" i="35"/>
  <c r="AH204" i="35"/>
  <c r="AI204" i="35"/>
  <c r="AJ204" i="35"/>
  <c r="AK204" i="35"/>
  <c r="AA205" i="35"/>
  <c r="AB205" i="35"/>
  <c r="AC205" i="35"/>
  <c r="AD205" i="35"/>
  <c r="AE205" i="35"/>
  <c r="AF205" i="35"/>
  <c r="AG205" i="35"/>
  <c r="AH205" i="35"/>
  <c r="AI205" i="35"/>
  <c r="AJ205" i="35"/>
  <c r="AK205" i="35"/>
  <c r="AA206" i="35"/>
  <c r="AB206" i="35"/>
  <c r="AC206" i="35"/>
  <c r="AD206" i="35"/>
  <c r="AE206" i="35"/>
  <c r="AF206" i="35"/>
  <c r="AG206" i="35"/>
  <c r="AH206" i="35"/>
  <c r="AI206" i="35"/>
  <c r="AJ206" i="35"/>
  <c r="AK206" i="35"/>
  <c r="AA207" i="35"/>
  <c r="AB207" i="35"/>
  <c r="AC207" i="35"/>
  <c r="AD207" i="35"/>
  <c r="AE207" i="35"/>
  <c r="AF207" i="35"/>
  <c r="AG207" i="35"/>
  <c r="AH207" i="35"/>
  <c r="AI207" i="35"/>
  <c r="AJ207" i="35"/>
  <c r="AK207" i="35"/>
  <c r="AA208" i="35"/>
  <c r="AB208" i="35"/>
  <c r="AC208" i="35"/>
  <c r="AD208" i="35"/>
  <c r="AE208" i="35"/>
  <c r="AF208" i="35"/>
  <c r="AG208" i="35"/>
  <c r="AH208" i="35"/>
  <c r="AI208" i="35"/>
  <c r="AJ208" i="35"/>
  <c r="AK208" i="35"/>
  <c r="AA209" i="35"/>
  <c r="AB209" i="35"/>
  <c r="AC209" i="35"/>
  <c r="AD209" i="35"/>
  <c r="AE209" i="35"/>
  <c r="AF209" i="35"/>
  <c r="AG209" i="35"/>
  <c r="AH209" i="35"/>
  <c r="AI209" i="35"/>
  <c r="AJ209" i="35"/>
  <c r="AK209" i="35"/>
  <c r="AA210" i="35"/>
  <c r="AB210" i="35"/>
  <c r="AC210" i="35"/>
  <c r="AD210" i="35"/>
  <c r="AE210" i="35"/>
  <c r="AF210" i="35"/>
  <c r="AG210" i="35"/>
  <c r="AH210" i="35"/>
  <c r="AI210" i="35"/>
  <c r="AJ210" i="35"/>
  <c r="AK210" i="35"/>
  <c r="AA211" i="35"/>
  <c r="AB211" i="35"/>
  <c r="AC211" i="35"/>
  <c r="AD211" i="35"/>
  <c r="AE211" i="35"/>
  <c r="AF211" i="35"/>
  <c r="AG211" i="35"/>
  <c r="AH211" i="35"/>
  <c r="AI211" i="35"/>
  <c r="AJ211" i="35"/>
  <c r="AK211" i="35"/>
  <c r="AA212" i="35"/>
  <c r="AB212" i="35"/>
  <c r="AC212" i="35"/>
  <c r="AD212" i="35"/>
  <c r="AE212" i="35"/>
  <c r="AF212" i="35"/>
  <c r="AG212" i="35"/>
  <c r="AH212" i="35"/>
  <c r="AI212" i="35"/>
  <c r="AJ212" i="35"/>
  <c r="AK212" i="35"/>
  <c r="AA213" i="35"/>
  <c r="AB213" i="35"/>
  <c r="AC213" i="35"/>
  <c r="AD213" i="35"/>
  <c r="AE213" i="35"/>
  <c r="AF213" i="35"/>
  <c r="AG213" i="35"/>
  <c r="AH213" i="35"/>
  <c r="AI213" i="35"/>
  <c r="AJ213" i="35"/>
  <c r="AK213" i="35"/>
  <c r="BN158" i="38"/>
  <c r="BV162" i="11"/>
  <c r="BY159" i="11"/>
  <c r="BV162" i="14"/>
  <c r="G78" i="5"/>
  <c r="U59" i="5"/>
  <c r="G84" i="41"/>
  <c r="G80" i="38"/>
  <c r="G81" i="38"/>
  <c r="G83" i="41"/>
  <c r="G82" i="41"/>
  <c r="G81" i="41"/>
  <c r="G80" i="41"/>
  <c r="G79" i="41"/>
  <c r="G78" i="41"/>
  <c r="G79" i="38"/>
  <c r="G78" i="38"/>
  <c r="D18" i="79"/>
  <c r="N214" i="83" l="1"/>
  <c r="N267" i="83"/>
  <c r="AG214" i="83"/>
  <c r="AH180" i="83"/>
  <c r="AH181" i="83"/>
  <c r="AH176" i="83"/>
  <c r="AH183" i="83"/>
  <c r="AH178" i="83"/>
  <c r="AH170" i="83"/>
  <c r="AH168" i="83"/>
  <c r="AH185" i="83"/>
  <c r="AH174" i="83"/>
  <c r="AH173" i="83"/>
  <c r="AH172" i="83"/>
  <c r="R131" i="83"/>
  <c r="AH177" i="83"/>
  <c r="AH169" i="83"/>
  <c r="AH182" i="83"/>
  <c r="AH179" i="83"/>
  <c r="AI166" i="83"/>
  <c r="AH184" i="83"/>
  <c r="AH175" i="83"/>
  <c r="AH171" i="83"/>
  <c r="AF215" i="83"/>
  <c r="AF216" i="83" s="1"/>
  <c r="BG172" i="83"/>
  <c r="O261" i="83"/>
  <c r="O253" i="83"/>
  <c r="O245" i="83"/>
  <c r="O237" i="83"/>
  <c r="O229" i="83"/>
  <c r="O225" i="83"/>
  <c r="O258" i="83"/>
  <c r="O250" i="83"/>
  <c r="O242" i="83"/>
  <c r="O234" i="83"/>
  <c r="O222" i="83"/>
  <c r="O209" i="83"/>
  <c r="O205" i="83"/>
  <c r="O263" i="83"/>
  <c r="O255" i="83"/>
  <c r="O247" i="83"/>
  <c r="O239" i="83"/>
  <c r="O231" i="83"/>
  <c r="O260" i="83"/>
  <c r="O252" i="83"/>
  <c r="O244" i="83"/>
  <c r="O236" i="83"/>
  <c r="O228" i="83"/>
  <c r="O226" i="83"/>
  <c r="O224" i="83"/>
  <c r="O206" i="83"/>
  <c r="O265" i="83"/>
  <c r="O257" i="83"/>
  <c r="O249" i="83"/>
  <c r="O241" i="83"/>
  <c r="O233" i="83"/>
  <c r="O221" i="83"/>
  <c r="O256" i="83"/>
  <c r="O254" i="83"/>
  <c r="O264" i="83"/>
  <c r="O262" i="83"/>
  <c r="O240" i="83"/>
  <c r="O238" i="83"/>
  <c r="O203" i="83"/>
  <c r="O243" i="83"/>
  <c r="O220" i="83"/>
  <c r="O200" i="83"/>
  <c r="O196" i="83"/>
  <c r="O192" i="83"/>
  <c r="O188" i="83"/>
  <c r="O248" i="83"/>
  <c r="O246" i="83"/>
  <c r="O223" i="83"/>
  <c r="O208" i="83"/>
  <c r="O204" i="83"/>
  <c r="O232" i="83"/>
  <c r="O227" i="83"/>
  <c r="O185" i="83"/>
  <c r="O176" i="83"/>
  <c r="O178" i="83"/>
  <c r="O207" i="83"/>
  <c r="O199" i="83"/>
  <c r="O183" i="83"/>
  <c r="O174" i="83"/>
  <c r="O190" i="83"/>
  <c r="O181" i="83"/>
  <c r="O169" i="83"/>
  <c r="O259" i="83"/>
  <c r="O230" i="83"/>
  <c r="O202" i="83"/>
  <c r="O197" i="83"/>
  <c r="O186" i="83"/>
  <c r="O180" i="83"/>
  <c r="O235" i="83"/>
  <c r="O194" i="83"/>
  <c r="O179" i="83"/>
  <c r="O172" i="83"/>
  <c r="O82" i="83"/>
  <c r="O79" i="83"/>
  <c r="O71" i="83"/>
  <c r="O173" i="83"/>
  <c r="O85" i="83"/>
  <c r="O74" i="83"/>
  <c r="O251" i="83"/>
  <c r="O193" i="83"/>
  <c r="O184" i="83"/>
  <c r="O175" i="83"/>
  <c r="O88" i="83"/>
  <c r="O77" i="83"/>
  <c r="O69" i="83"/>
  <c r="O198" i="83"/>
  <c r="O83" i="83"/>
  <c r="O80" i="83"/>
  <c r="O72" i="83"/>
  <c r="O170" i="83"/>
  <c r="O168" i="83"/>
  <c r="O86" i="83"/>
  <c r="O75" i="83"/>
  <c r="P66" i="83"/>
  <c r="O187" i="83"/>
  <c r="O171" i="83"/>
  <c r="O167" i="83"/>
  <c r="O81" i="83"/>
  <c r="O78" i="83"/>
  <c r="O70" i="83"/>
  <c r="O191" i="83"/>
  <c r="O189" i="83"/>
  <c r="O177" i="83"/>
  <c r="O84" i="83"/>
  <c r="O73" i="83"/>
  <c r="O195" i="83"/>
  <c r="O76" i="83"/>
  <c r="O182" i="83"/>
  <c r="O201" i="83"/>
  <c r="O87" i="83"/>
  <c r="N115" i="83"/>
  <c r="N49" i="83" s="1"/>
  <c r="K272" i="83"/>
  <c r="K56" i="83" s="1"/>
  <c r="S128" i="83"/>
  <c r="O66" i="29"/>
  <c r="N166" i="29"/>
  <c r="N271" i="29"/>
  <c r="O66" i="5"/>
  <c r="N271" i="5"/>
  <c r="N166" i="5"/>
  <c r="O66" i="32"/>
  <c r="N166" i="32"/>
  <c r="N271" i="32"/>
  <c r="O66" i="11"/>
  <c r="N271" i="11"/>
  <c r="N166" i="11"/>
  <c r="O66" i="41"/>
  <c r="N166" i="41"/>
  <c r="N271" i="41"/>
  <c r="P66" i="53"/>
  <c r="O166" i="53"/>
  <c r="O271" i="53"/>
  <c r="O66" i="26"/>
  <c r="N271" i="26"/>
  <c r="N166" i="26"/>
  <c r="O66" i="35"/>
  <c r="N166" i="35"/>
  <c r="N271" i="35"/>
  <c r="P66" i="17"/>
  <c r="O271" i="17"/>
  <c r="O166" i="17"/>
  <c r="P66" i="44"/>
  <c r="O271" i="44"/>
  <c r="O166" i="44"/>
  <c r="O66" i="56"/>
  <c r="N271" i="56"/>
  <c r="N166" i="56"/>
  <c r="O66" i="23"/>
  <c r="N271" i="23"/>
  <c r="N166" i="23"/>
  <c r="P66" i="47"/>
  <c r="O166" i="47"/>
  <c r="O271" i="47"/>
  <c r="O66" i="76"/>
  <c r="N271" i="76"/>
  <c r="N166" i="76"/>
  <c r="O66" i="20"/>
  <c r="N271" i="20"/>
  <c r="N166" i="20"/>
  <c r="O66" i="61"/>
  <c r="N271" i="61"/>
  <c r="N166" i="61"/>
  <c r="P66" i="50"/>
  <c r="O271" i="50"/>
  <c r="O166" i="50"/>
  <c r="O66" i="8"/>
  <c r="N271" i="8"/>
  <c r="N166" i="8"/>
  <c r="P66" i="38"/>
  <c r="O166" i="38"/>
  <c r="O271" i="38"/>
  <c r="P66" i="14"/>
  <c r="O271" i="14"/>
  <c r="O166" i="14"/>
  <c r="V10" i="71"/>
  <c r="V11" i="71"/>
  <c r="V12" i="71"/>
  <c r="V13" i="71"/>
  <c r="V14" i="71"/>
  <c r="V15" i="71"/>
  <c r="V16" i="71"/>
  <c r="V17" i="71"/>
  <c r="V18" i="71"/>
  <c r="V19" i="71"/>
  <c r="V20" i="71"/>
  <c r="V21" i="71"/>
  <c r="V22" i="71"/>
  <c r="V23" i="71"/>
  <c r="V24" i="71"/>
  <c r="V25" i="71"/>
  <c r="V3" i="71"/>
  <c r="V4" i="71"/>
  <c r="V5" i="71"/>
  <c r="V6" i="71"/>
  <c r="V7" i="71"/>
  <c r="V8" i="71"/>
  <c r="AG215" i="83" l="1"/>
  <c r="AG216" i="83" s="1"/>
  <c r="BG173" i="83"/>
  <c r="O214" i="83"/>
  <c r="O267" i="83"/>
  <c r="AH214" i="83"/>
  <c r="L272" i="83"/>
  <c r="L56" i="83" s="1"/>
  <c r="S129" i="83"/>
  <c r="P258" i="83"/>
  <c r="P250" i="83"/>
  <c r="P242" i="83"/>
  <c r="P234" i="83"/>
  <c r="P222" i="83"/>
  <c r="P209" i="83"/>
  <c r="P205" i="83"/>
  <c r="P263" i="83"/>
  <c r="P255" i="83"/>
  <c r="P247" i="83"/>
  <c r="P239" i="83"/>
  <c r="P231" i="83"/>
  <c r="P260" i="83"/>
  <c r="P252" i="83"/>
  <c r="P244" i="83"/>
  <c r="P236" i="83"/>
  <c r="P228" i="83"/>
  <c r="P226" i="83"/>
  <c r="P224" i="83"/>
  <c r="P206" i="83"/>
  <c r="P265" i="83"/>
  <c r="P257" i="83"/>
  <c r="P249" i="83"/>
  <c r="P241" i="83"/>
  <c r="P233" i="83"/>
  <c r="P221" i="83"/>
  <c r="P262" i="83"/>
  <c r="P254" i="83"/>
  <c r="P246" i="83"/>
  <c r="P238" i="83"/>
  <c r="P230" i="83"/>
  <c r="P207" i="83"/>
  <c r="P203" i="83"/>
  <c r="P259" i="83"/>
  <c r="P243" i="83"/>
  <c r="P225" i="83"/>
  <c r="P220" i="83"/>
  <c r="P200" i="83"/>
  <c r="P196" i="83"/>
  <c r="P192" i="83"/>
  <c r="P188" i="83"/>
  <c r="P184" i="83"/>
  <c r="P180" i="83"/>
  <c r="P253" i="83"/>
  <c r="P248" i="83"/>
  <c r="P223" i="83"/>
  <c r="P208" i="83"/>
  <c r="P204" i="83"/>
  <c r="P251" i="83"/>
  <c r="P201" i="83"/>
  <c r="P197" i="83"/>
  <c r="P193" i="83"/>
  <c r="P189" i="83"/>
  <c r="P185" i="83"/>
  <c r="P181" i="83"/>
  <c r="P240" i="83"/>
  <c r="P178" i="83"/>
  <c r="P171" i="83"/>
  <c r="P261" i="83"/>
  <c r="P229" i="83"/>
  <c r="P264" i="83"/>
  <c r="P202" i="83"/>
  <c r="P198" i="83"/>
  <c r="P194" i="83"/>
  <c r="P190" i="83"/>
  <c r="P179" i="83"/>
  <c r="P177" i="83"/>
  <c r="P232" i="83"/>
  <c r="P235" i="83"/>
  <c r="P187" i="83"/>
  <c r="P176" i="83"/>
  <c r="P173" i="83"/>
  <c r="P237" i="83"/>
  <c r="P227" i="83"/>
  <c r="P186" i="83"/>
  <c r="P245" i="83"/>
  <c r="P195" i="83"/>
  <c r="P167" i="83"/>
  <c r="P85" i="83"/>
  <c r="P74" i="83"/>
  <c r="P175" i="83"/>
  <c r="P88" i="83"/>
  <c r="P77" i="83"/>
  <c r="P69" i="83"/>
  <c r="P199" i="83"/>
  <c r="P83" i="83"/>
  <c r="P80" i="83"/>
  <c r="P72" i="83"/>
  <c r="P170" i="83"/>
  <c r="P169" i="83"/>
  <c r="P168" i="83"/>
  <c r="P86" i="83"/>
  <c r="P75" i="83"/>
  <c r="Q66" i="83"/>
  <c r="P256" i="83"/>
  <c r="P183" i="83"/>
  <c r="P174" i="83"/>
  <c r="P81" i="83"/>
  <c r="P78" i="83"/>
  <c r="P70" i="83"/>
  <c r="P191" i="83"/>
  <c r="P84" i="83"/>
  <c r="P73" i="83"/>
  <c r="P182" i="83"/>
  <c r="P87" i="83"/>
  <c r="P76" i="83"/>
  <c r="P82" i="83"/>
  <c r="P71" i="83"/>
  <c r="P172" i="83"/>
  <c r="P79" i="83"/>
  <c r="O115" i="83"/>
  <c r="O49" i="83" s="1"/>
  <c r="AI183" i="83"/>
  <c r="AI184" i="83"/>
  <c r="AI180" i="83"/>
  <c r="AI173" i="83"/>
  <c r="AI181" i="83"/>
  <c r="AI176" i="83"/>
  <c r="AI178" i="83"/>
  <c r="AI185" i="83"/>
  <c r="AI174" i="83"/>
  <c r="AI169" i="83"/>
  <c r="AI177" i="83"/>
  <c r="AI182" i="83"/>
  <c r="AI179" i="83"/>
  <c r="AJ166" i="83"/>
  <c r="AI170" i="83"/>
  <c r="AI168" i="83"/>
  <c r="AI214" i="83" s="1"/>
  <c r="AI175" i="83"/>
  <c r="AI171" i="83"/>
  <c r="R132" i="83"/>
  <c r="AI172" i="83"/>
  <c r="Q66" i="38"/>
  <c r="P166" i="38"/>
  <c r="P271" i="38"/>
  <c r="P66" i="56"/>
  <c r="O271" i="56"/>
  <c r="O166" i="56"/>
  <c r="P66" i="32"/>
  <c r="O271" i="32"/>
  <c r="O166" i="32"/>
  <c r="P66" i="61"/>
  <c r="O271" i="61"/>
  <c r="O166" i="61"/>
  <c r="P66" i="35"/>
  <c r="O166" i="35"/>
  <c r="O271" i="35"/>
  <c r="Q66" i="53"/>
  <c r="P271" i="53"/>
  <c r="P166" i="53"/>
  <c r="Q66" i="47"/>
  <c r="P166" i="47"/>
  <c r="P271" i="47"/>
  <c r="P66" i="41"/>
  <c r="O271" i="41"/>
  <c r="O166" i="41"/>
  <c r="P66" i="8"/>
  <c r="O271" i="8"/>
  <c r="O166" i="8"/>
  <c r="Q66" i="44"/>
  <c r="P166" i="44"/>
  <c r="P271" i="44"/>
  <c r="P66" i="5"/>
  <c r="O166" i="5"/>
  <c r="O271" i="5"/>
  <c r="P66" i="20"/>
  <c r="O271" i="20"/>
  <c r="O166" i="20"/>
  <c r="P66" i="26"/>
  <c r="O271" i="26"/>
  <c r="O166" i="26"/>
  <c r="P66" i="76"/>
  <c r="O271" i="76"/>
  <c r="O166" i="76"/>
  <c r="Q66" i="14"/>
  <c r="P271" i="14"/>
  <c r="P166" i="14"/>
  <c r="P66" i="23"/>
  <c r="O271" i="23"/>
  <c r="O166" i="23"/>
  <c r="P66" i="11"/>
  <c r="O271" i="11"/>
  <c r="O166" i="11"/>
  <c r="Q66" i="50"/>
  <c r="P271" i="50"/>
  <c r="P166" i="50"/>
  <c r="Q66" i="17"/>
  <c r="P271" i="17"/>
  <c r="P166" i="17"/>
  <c r="P66" i="29"/>
  <c r="O271" i="29"/>
  <c r="O166" i="29"/>
  <c r="V9" i="71"/>
  <c r="U3" i="71"/>
  <c r="U4" i="71"/>
  <c r="U5" i="71"/>
  <c r="U6" i="71"/>
  <c r="U7" i="71"/>
  <c r="U8" i="71"/>
  <c r="U10" i="71"/>
  <c r="U11" i="71"/>
  <c r="U12" i="71"/>
  <c r="U13" i="71"/>
  <c r="U14" i="71"/>
  <c r="U15" i="71"/>
  <c r="U16" i="71"/>
  <c r="U17" i="71"/>
  <c r="U18" i="71"/>
  <c r="U19" i="71"/>
  <c r="U20" i="71"/>
  <c r="U21" i="71"/>
  <c r="U22" i="71"/>
  <c r="U23" i="71"/>
  <c r="U24" i="71"/>
  <c r="U25" i="71"/>
  <c r="U9" i="71"/>
  <c r="X4" i="71"/>
  <c r="X5" i="71"/>
  <c r="X6" i="71"/>
  <c r="X7" i="71"/>
  <c r="X8" i="71"/>
  <c r="X9" i="71"/>
  <c r="X10" i="71"/>
  <c r="X11" i="71"/>
  <c r="X12" i="71"/>
  <c r="X13" i="71"/>
  <c r="X14" i="71"/>
  <c r="X15" i="71"/>
  <c r="X16" i="71"/>
  <c r="X17" i="71"/>
  <c r="X18" i="71"/>
  <c r="X19" i="71"/>
  <c r="X20" i="71"/>
  <c r="X21" i="71"/>
  <c r="X22" i="71"/>
  <c r="X23" i="71"/>
  <c r="X24" i="71"/>
  <c r="X25" i="71"/>
  <c r="X3" i="71"/>
  <c r="W4" i="71"/>
  <c r="W5" i="71"/>
  <c r="W6" i="71"/>
  <c r="W7" i="71"/>
  <c r="W8" i="71"/>
  <c r="W9" i="71"/>
  <c r="W10" i="71"/>
  <c r="W11" i="71"/>
  <c r="W12" i="71"/>
  <c r="W13" i="71"/>
  <c r="W14" i="71"/>
  <c r="W15" i="71"/>
  <c r="W16" i="71"/>
  <c r="W17" i="71"/>
  <c r="W18" i="71"/>
  <c r="W19" i="71"/>
  <c r="W20" i="71"/>
  <c r="W21" i="71"/>
  <c r="W22" i="71"/>
  <c r="W23" i="71"/>
  <c r="W24" i="71"/>
  <c r="W25" i="71"/>
  <c r="W3" i="71"/>
  <c r="V26" i="71"/>
  <c r="AB3" i="71"/>
  <c r="M272" i="83" l="1"/>
  <c r="M56" i="83" s="1"/>
  <c r="S130" i="83"/>
  <c r="AI215" i="83"/>
  <c r="AI216" i="83" s="1"/>
  <c r="BG175" i="83"/>
  <c r="Q263" i="83"/>
  <c r="Q255" i="83"/>
  <c r="Q247" i="83"/>
  <c r="Q239" i="83"/>
  <c r="Q231" i="83"/>
  <c r="Q260" i="83"/>
  <c r="Q252" i="83"/>
  <c r="Q244" i="83"/>
  <c r="Q236" i="83"/>
  <c r="Q228" i="83"/>
  <c r="Q226" i="83"/>
  <c r="Q224" i="83"/>
  <c r="Q206" i="83"/>
  <c r="Q265" i="83"/>
  <c r="Q257" i="83"/>
  <c r="Q249" i="83"/>
  <c r="Q241" i="83"/>
  <c r="Q233" i="83"/>
  <c r="Q221" i="83"/>
  <c r="Q262" i="83"/>
  <c r="Q254" i="83"/>
  <c r="Q246" i="83"/>
  <c r="Q238" i="83"/>
  <c r="Q230" i="83"/>
  <c r="Q207" i="83"/>
  <c r="Q259" i="83"/>
  <c r="Q251" i="83"/>
  <c r="Q243" i="83"/>
  <c r="Q235" i="83"/>
  <c r="Q227" i="83"/>
  <c r="Q223" i="83"/>
  <c r="Q264" i="83"/>
  <c r="Q237" i="83"/>
  <c r="Q245" i="83"/>
  <c r="Q253" i="83"/>
  <c r="Q248" i="83"/>
  <c r="Q208" i="83"/>
  <c r="Q204" i="83"/>
  <c r="Q258" i="83"/>
  <c r="Q201" i="83"/>
  <c r="Q197" i="83"/>
  <c r="Q193" i="83"/>
  <c r="Q189" i="83"/>
  <c r="Q261" i="83"/>
  <c r="Q256" i="83"/>
  <c r="Q229" i="83"/>
  <c r="Q234" i="83"/>
  <c r="Q225" i="83"/>
  <c r="Q174" i="83"/>
  <c r="Q250" i="83"/>
  <c r="Q242" i="83"/>
  <c r="Q220" i="83"/>
  <c r="Q205" i="83"/>
  <c r="Q202" i="83"/>
  <c r="Q198" i="83"/>
  <c r="Q194" i="83"/>
  <c r="Q190" i="83"/>
  <c r="Q179" i="83"/>
  <c r="Q177" i="83"/>
  <c r="Q222" i="83"/>
  <c r="Q196" i="83"/>
  <c r="Q191" i="83"/>
  <c r="Q184" i="83"/>
  <c r="Q175" i="83"/>
  <c r="Q172" i="83"/>
  <c r="Q203" i="83"/>
  <c r="Q200" i="83"/>
  <c r="Q195" i="83"/>
  <c r="Q180" i="83"/>
  <c r="Q167" i="83"/>
  <c r="Q182" i="83"/>
  <c r="Q170" i="83"/>
  <c r="Q168" i="83"/>
  <c r="Q209" i="83"/>
  <c r="Q185" i="83"/>
  <c r="Q181" i="83"/>
  <c r="Q173" i="83"/>
  <c r="Q88" i="83"/>
  <c r="Q77" i="83"/>
  <c r="Q69" i="83"/>
  <c r="Q240" i="83"/>
  <c r="Q199" i="83"/>
  <c r="Q188" i="83"/>
  <c r="Q83" i="83"/>
  <c r="Q80" i="83"/>
  <c r="Q72" i="83"/>
  <c r="Q169" i="83"/>
  <c r="Q86" i="83"/>
  <c r="Q75" i="83"/>
  <c r="Q192" i="83"/>
  <c r="Q183" i="83"/>
  <c r="Q81" i="83"/>
  <c r="Q78" i="83"/>
  <c r="Q70" i="83"/>
  <c r="Q232" i="83"/>
  <c r="Q187" i="83"/>
  <c r="Q171" i="83"/>
  <c r="Q84" i="83"/>
  <c r="Q73" i="83"/>
  <c r="Q87" i="83"/>
  <c r="Q76" i="83"/>
  <c r="Q186" i="83"/>
  <c r="Q178" i="83"/>
  <c r="Q82" i="83"/>
  <c r="Q79" i="83"/>
  <c r="Q71" i="83"/>
  <c r="Q74" i="83"/>
  <c r="Q176" i="83"/>
  <c r="Q85" i="83"/>
  <c r="P214" i="83"/>
  <c r="AJ181" i="83"/>
  <c r="AJ176" i="83"/>
  <c r="AJ178" i="83"/>
  <c r="AJ182" i="83"/>
  <c r="AJ184" i="83"/>
  <c r="AJ175" i="83"/>
  <c r="AK166" i="83"/>
  <c r="AJ173" i="83"/>
  <c r="AJ169" i="83"/>
  <c r="AJ180" i="83"/>
  <c r="AJ179" i="83"/>
  <c r="AJ172" i="83"/>
  <c r="AJ171" i="83"/>
  <c r="AJ170" i="83"/>
  <c r="AJ168" i="83"/>
  <c r="AJ185" i="83"/>
  <c r="AJ174" i="83"/>
  <c r="R133" i="83"/>
  <c r="AJ183" i="83"/>
  <c r="AJ177" i="83"/>
  <c r="P267" i="83"/>
  <c r="P115" i="83"/>
  <c r="P49" i="83" s="1"/>
  <c r="Q49" i="83" s="1"/>
  <c r="AH215" i="83"/>
  <c r="AH216" i="83" s="1"/>
  <c r="BG174" i="83"/>
  <c r="Q66" i="76"/>
  <c r="P166" i="76"/>
  <c r="P271" i="76"/>
  <c r="Q166" i="53"/>
  <c r="Q271" i="53"/>
  <c r="Q271" i="17"/>
  <c r="Q166" i="17"/>
  <c r="Q66" i="5"/>
  <c r="P271" i="5"/>
  <c r="P166" i="5"/>
  <c r="Q66" i="32"/>
  <c r="P271" i="32"/>
  <c r="P166" i="32"/>
  <c r="Q66" i="35"/>
  <c r="P271" i="35"/>
  <c r="P166" i="35"/>
  <c r="Q166" i="38"/>
  <c r="Q271" i="38"/>
  <c r="Q66" i="23"/>
  <c r="P271" i="23"/>
  <c r="P166" i="23"/>
  <c r="Q66" i="41"/>
  <c r="P166" i="41"/>
  <c r="P271" i="41"/>
  <c r="Q66" i="26"/>
  <c r="P166" i="26"/>
  <c r="P271" i="26"/>
  <c r="Q271" i="50"/>
  <c r="Q166" i="50"/>
  <c r="Q166" i="44"/>
  <c r="Q271" i="44"/>
  <c r="Q66" i="56"/>
  <c r="P271" i="56"/>
  <c r="P166" i="56"/>
  <c r="Q166" i="14"/>
  <c r="Q271" i="14"/>
  <c r="Q271" i="47"/>
  <c r="Q166" i="47"/>
  <c r="Q66" i="11"/>
  <c r="P166" i="11"/>
  <c r="P271" i="11"/>
  <c r="Q66" i="8"/>
  <c r="P271" i="8"/>
  <c r="P166" i="8"/>
  <c r="Q66" i="29"/>
  <c r="P166" i="29"/>
  <c r="P271" i="29"/>
  <c r="Q66" i="20"/>
  <c r="P271" i="20"/>
  <c r="P166" i="20"/>
  <c r="Q66" i="61"/>
  <c r="P166" i="61"/>
  <c r="P271" i="61"/>
  <c r="U26" i="71"/>
  <c r="X26" i="71"/>
  <c r="W26" i="71"/>
  <c r="Y16" i="71"/>
  <c r="Z12" i="71"/>
  <c r="Z7" i="71"/>
  <c r="W11" i="79"/>
  <c r="W9" i="79"/>
  <c r="W7" i="79"/>
  <c r="Q267" i="83" l="1"/>
  <c r="Z3" i="71"/>
  <c r="Y40" i="1"/>
  <c r="Q115" i="83"/>
  <c r="O272" i="83"/>
  <c r="O56" i="83" s="1"/>
  <c r="S132" i="83"/>
  <c r="Q214" i="83"/>
  <c r="N272" i="83"/>
  <c r="N56" i="83" s="1"/>
  <c r="S131" i="83"/>
  <c r="AJ214" i="83"/>
  <c r="AK184" i="83"/>
  <c r="AK180" i="83"/>
  <c r="AK185" i="83"/>
  <c r="AK181" i="83"/>
  <c r="AK178" i="83"/>
  <c r="AK171" i="83"/>
  <c r="AK182" i="83"/>
  <c r="AK183" i="83"/>
  <c r="AK179" i="83"/>
  <c r="AK177" i="83"/>
  <c r="AK172" i="83"/>
  <c r="AK173" i="83"/>
  <c r="AK176" i="83"/>
  <c r="AK170" i="83"/>
  <c r="AK169" i="83"/>
  <c r="AK168" i="83"/>
  <c r="AK175" i="83"/>
  <c r="AK174" i="83"/>
  <c r="Q271" i="11"/>
  <c r="Q166" i="11"/>
  <c r="Q271" i="41"/>
  <c r="Q166" i="41"/>
  <c r="Q271" i="20"/>
  <c r="Q166" i="20"/>
  <c r="Q271" i="5"/>
  <c r="Q166" i="5"/>
  <c r="Q166" i="35"/>
  <c r="Q271" i="35"/>
  <c r="Q271" i="29"/>
  <c r="Q166" i="29"/>
  <c r="Q271" i="61"/>
  <c r="Q166" i="61"/>
  <c r="Q271" i="23"/>
  <c r="Q166" i="23"/>
  <c r="Q166" i="32"/>
  <c r="Q271" i="32"/>
  <c r="Q166" i="56"/>
  <c r="Q271" i="56"/>
  <c r="Q166" i="8"/>
  <c r="Q271" i="8"/>
  <c r="Q271" i="26"/>
  <c r="Q166" i="26"/>
  <c r="Q166" i="76"/>
  <c r="Q271" i="76"/>
  <c r="H3" i="81"/>
  <c r="I3" i="81"/>
  <c r="J3" i="81"/>
  <c r="Q3" i="81"/>
  <c r="R3" i="81"/>
  <c r="S3" i="81"/>
  <c r="U3" i="81"/>
  <c r="X3" i="81"/>
  <c r="Y3" i="81"/>
  <c r="Z3" i="81"/>
  <c r="AE3" i="81"/>
  <c r="AG3" i="81"/>
  <c r="AH3" i="81" s="1"/>
  <c r="H4" i="81"/>
  <c r="I4" i="81"/>
  <c r="J4" i="81"/>
  <c r="Q4" i="81"/>
  <c r="R4" i="81"/>
  <c r="S4" i="81"/>
  <c r="U4" i="81"/>
  <c r="X4" i="81"/>
  <c r="Y4" i="81"/>
  <c r="Z4" i="81"/>
  <c r="AE4" i="81"/>
  <c r="AG4" i="81"/>
  <c r="AH4" i="81" s="1"/>
  <c r="H5" i="81"/>
  <c r="I5" i="81"/>
  <c r="J5" i="81"/>
  <c r="Q5" i="81"/>
  <c r="R5" i="81"/>
  <c r="S5" i="81"/>
  <c r="U5" i="81"/>
  <c r="X5" i="81"/>
  <c r="Y5" i="81"/>
  <c r="Z5" i="81"/>
  <c r="AA5" i="81"/>
  <c r="AE5" i="81"/>
  <c r="AG5" i="81"/>
  <c r="AH5" i="81" s="1"/>
  <c r="H6" i="81"/>
  <c r="I6" i="81"/>
  <c r="J6" i="81"/>
  <c r="Q6" i="81"/>
  <c r="R6" i="81"/>
  <c r="S6" i="81"/>
  <c r="U6" i="81"/>
  <c r="X6" i="81"/>
  <c r="Y6" i="81"/>
  <c r="Z6" i="81"/>
  <c r="AE6" i="81"/>
  <c r="AG6" i="81"/>
  <c r="AH6" i="81" s="1"/>
  <c r="H7" i="81"/>
  <c r="I7" i="81"/>
  <c r="J7" i="81"/>
  <c r="Q7" i="81"/>
  <c r="R7" i="81"/>
  <c r="R8" i="81" s="1"/>
  <c r="S7" i="81"/>
  <c r="U7" i="81"/>
  <c r="U11" i="81" s="1"/>
  <c r="X7" i="81"/>
  <c r="Y7" i="81"/>
  <c r="Z7" i="81"/>
  <c r="AA7" i="81"/>
  <c r="AE7" i="81"/>
  <c r="AC8" i="81" s="1"/>
  <c r="AG7" i="81"/>
  <c r="D8" i="81"/>
  <c r="J8" i="81"/>
  <c r="Z8" i="81"/>
  <c r="D9" i="81"/>
  <c r="U9" i="81"/>
  <c r="U13" i="81" s="1"/>
  <c r="U10" i="81"/>
  <c r="U12" i="81"/>
  <c r="AC16" i="81"/>
  <c r="AC18" i="81" s="1"/>
  <c r="AC17" i="81"/>
  <c r="O21" i="81"/>
  <c r="O22" i="81"/>
  <c r="O23" i="81"/>
  <c r="P23" i="81" s="1"/>
  <c r="O25" i="81"/>
  <c r="H3" i="79"/>
  <c r="I3" i="79"/>
  <c r="J3" i="79"/>
  <c r="Q3" i="79"/>
  <c r="R3" i="79"/>
  <c r="S3" i="79"/>
  <c r="U3" i="79"/>
  <c r="Y3" i="79"/>
  <c r="Z3" i="79"/>
  <c r="AA3" i="79"/>
  <c r="AF3" i="79"/>
  <c r="AH3" i="79"/>
  <c r="H4" i="79"/>
  <c r="I4" i="79"/>
  <c r="J4" i="79"/>
  <c r="Q4" i="79"/>
  <c r="R4" i="79"/>
  <c r="S4" i="79"/>
  <c r="U4" i="79"/>
  <c r="Y4" i="79"/>
  <c r="Z4" i="79"/>
  <c r="AA4" i="79"/>
  <c r="AB4" i="79"/>
  <c r="AF4" i="79"/>
  <c r="AH4" i="79"/>
  <c r="AI4" i="79" s="1"/>
  <c r="H5" i="79"/>
  <c r="I5" i="79"/>
  <c r="J5" i="79"/>
  <c r="Q5" i="79"/>
  <c r="R5" i="79"/>
  <c r="S5" i="79"/>
  <c r="U5" i="79"/>
  <c r="Y5" i="79"/>
  <c r="Z5" i="79"/>
  <c r="AA5" i="79"/>
  <c r="AF5" i="79"/>
  <c r="AH5" i="79"/>
  <c r="AI5" i="79" s="1"/>
  <c r="H6" i="79"/>
  <c r="I6" i="79"/>
  <c r="J6" i="79"/>
  <c r="Q6" i="79"/>
  <c r="R6" i="79"/>
  <c r="S6" i="79"/>
  <c r="U6" i="79"/>
  <c r="Y6" i="79"/>
  <c r="Z6" i="79"/>
  <c r="AA6" i="79"/>
  <c r="AF6" i="79"/>
  <c r="AH6" i="79"/>
  <c r="AI6" i="79" s="1"/>
  <c r="H7" i="79"/>
  <c r="I7" i="79"/>
  <c r="J7" i="79"/>
  <c r="Q7" i="79"/>
  <c r="R7" i="79"/>
  <c r="S7" i="79"/>
  <c r="U7" i="79"/>
  <c r="Y7" i="79"/>
  <c r="Z7" i="79"/>
  <c r="AA7" i="79"/>
  <c r="AF7" i="79"/>
  <c r="AH7" i="79"/>
  <c r="H8" i="79"/>
  <c r="I8" i="79"/>
  <c r="J8" i="79"/>
  <c r="Q8" i="79"/>
  <c r="R8" i="79"/>
  <c r="S8" i="79"/>
  <c r="U8" i="79"/>
  <c r="Y8" i="79"/>
  <c r="Z8" i="79"/>
  <c r="AA8" i="79"/>
  <c r="AF8" i="79"/>
  <c r="AH8" i="79"/>
  <c r="H9" i="79"/>
  <c r="I9" i="79"/>
  <c r="J9" i="79"/>
  <c r="Q9" i="79"/>
  <c r="R9" i="79"/>
  <c r="S9" i="79"/>
  <c r="U9" i="79"/>
  <c r="Y9" i="79"/>
  <c r="Z9" i="79"/>
  <c r="AA9" i="79"/>
  <c r="AB9" i="79"/>
  <c r="AF9" i="79"/>
  <c r="AH9" i="79"/>
  <c r="H10" i="79"/>
  <c r="I10" i="79"/>
  <c r="J10" i="79"/>
  <c r="Q10" i="79"/>
  <c r="R10" i="79"/>
  <c r="S10" i="79"/>
  <c r="U10" i="79"/>
  <c r="Y10" i="79"/>
  <c r="Z10" i="79"/>
  <c r="AA10" i="79"/>
  <c r="AF10" i="79"/>
  <c r="AH10" i="79"/>
  <c r="AI10" i="79" s="1"/>
  <c r="H11" i="79"/>
  <c r="I11" i="79"/>
  <c r="J11" i="79"/>
  <c r="Q11" i="79"/>
  <c r="R11" i="79"/>
  <c r="S11" i="79"/>
  <c r="U11" i="79"/>
  <c r="Y11" i="79"/>
  <c r="Z11" i="79"/>
  <c r="AA11" i="79"/>
  <c r="AF11" i="79"/>
  <c r="AH11" i="79"/>
  <c r="H12" i="79"/>
  <c r="I12" i="79"/>
  <c r="J12" i="79"/>
  <c r="Q12" i="79"/>
  <c r="R12" i="79"/>
  <c r="S12" i="79"/>
  <c r="U12" i="79"/>
  <c r="Y12" i="79"/>
  <c r="Z12" i="79"/>
  <c r="AA12" i="79"/>
  <c r="AB12" i="79"/>
  <c r="AF12" i="79"/>
  <c r="AH12" i="79"/>
  <c r="H13" i="79"/>
  <c r="I13" i="79"/>
  <c r="J13" i="79"/>
  <c r="Q13" i="79"/>
  <c r="R13" i="79"/>
  <c r="S13" i="79"/>
  <c r="U13" i="79"/>
  <c r="Y13" i="79"/>
  <c r="Z13" i="79"/>
  <c r="AA13" i="79"/>
  <c r="AF13" i="79"/>
  <c r="AH13" i="79"/>
  <c r="H14" i="79"/>
  <c r="I14" i="79"/>
  <c r="J14" i="79"/>
  <c r="Q14" i="79"/>
  <c r="R14" i="79"/>
  <c r="S14" i="79"/>
  <c r="U14" i="79"/>
  <c r="Y14" i="79"/>
  <c r="Z14" i="79"/>
  <c r="AA14" i="79"/>
  <c r="AB14" i="79"/>
  <c r="AC14" i="79"/>
  <c r="AF14" i="79"/>
  <c r="AH14" i="79"/>
  <c r="AI14" i="79" s="1"/>
  <c r="H15" i="79"/>
  <c r="I15" i="79"/>
  <c r="J15" i="79"/>
  <c r="Q15" i="79"/>
  <c r="R15" i="79"/>
  <c r="S15" i="79"/>
  <c r="U15" i="79"/>
  <c r="Y15" i="79"/>
  <c r="Z15" i="79"/>
  <c r="AA15" i="79"/>
  <c r="AB15" i="79"/>
  <c r="AF15" i="79"/>
  <c r="AH15" i="79"/>
  <c r="AI15" i="79" s="1"/>
  <c r="H16" i="79"/>
  <c r="I16" i="79"/>
  <c r="J16" i="79"/>
  <c r="Q16" i="79"/>
  <c r="R16" i="79"/>
  <c r="S16" i="79"/>
  <c r="U16" i="79"/>
  <c r="Y16" i="79"/>
  <c r="Z16" i="79"/>
  <c r="AA16" i="79"/>
  <c r="AB16" i="79"/>
  <c r="AF16" i="79"/>
  <c r="AH16" i="79"/>
  <c r="D17" i="79"/>
  <c r="D19" i="79" s="1"/>
  <c r="U18" i="79"/>
  <c r="U22" i="79" s="1"/>
  <c r="U21" i="79"/>
  <c r="AD25" i="79"/>
  <c r="AD27" i="79" s="1"/>
  <c r="AD26" i="79"/>
  <c r="O34" i="79"/>
  <c r="I4" i="71"/>
  <c r="J4" i="71"/>
  <c r="I5" i="71"/>
  <c r="J5" i="71"/>
  <c r="I6" i="71"/>
  <c r="J6" i="71"/>
  <c r="I7" i="71"/>
  <c r="J7" i="71"/>
  <c r="I8" i="71"/>
  <c r="J8" i="71"/>
  <c r="I9" i="71"/>
  <c r="J9" i="71"/>
  <c r="I10" i="71"/>
  <c r="J10" i="71"/>
  <c r="I11" i="71"/>
  <c r="J11" i="71"/>
  <c r="I12" i="71"/>
  <c r="J12" i="71"/>
  <c r="I13" i="71"/>
  <c r="J13" i="71"/>
  <c r="I14" i="71"/>
  <c r="J14" i="71"/>
  <c r="I15" i="71"/>
  <c r="J15" i="71"/>
  <c r="I16" i="71"/>
  <c r="J16" i="71"/>
  <c r="I17" i="71"/>
  <c r="J17" i="71"/>
  <c r="I18" i="71"/>
  <c r="J18" i="71"/>
  <c r="I19" i="71"/>
  <c r="J19" i="71"/>
  <c r="I20" i="71"/>
  <c r="J20" i="71"/>
  <c r="I21" i="71"/>
  <c r="J21" i="71"/>
  <c r="I22" i="71"/>
  <c r="J22" i="71"/>
  <c r="I23" i="71"/>
  <c r="I24" i="71"/>
  <c r="J24" i="71"/>
  <c r="I25" i="71"/>
  <c r="J25" i="71"/>
  <c r="J3" i="71"/>
  <c r="I3" i="71"/>
  <c r="H3" i="71"/>
  <c r="H4" i="71"/>
  <c r="H5" i="71"/>
  <c r="H6" i="71"/>
  <c r="H7" i="71"/>
  <c r="H8" i="71"/>
  <c r="H9" i="71"/>
  <c r="H10" i="71"/>
  <c r="H11" i="71"/>
  <c r="H12" i="71"/>
  <c r="H13" i="71"/>
  <c r="H14" i="71"/>
  <c r="H15" i="71"/>
  <c r="H16" i="71"/>
  <c r="H17" i="71"/>
  <c r="H18" i="71"/>
  <c r="H19" i="71"/>
  <c r="H20" i="71"/>
  <c r="H21" i="71"/>
  <c r="H22" i="71"/>
  <c r="H23" i="71"/>
  <c r="H24" i="71"/>
  <c r="H25" i="71"/>
  <c r="AC4" i="71"/>
  <c r="AC5" i="71"/>
  <c r="AC6" i="71"/>
  <c r="AC7" i="71"/>
  <c r="AC8" i="71"/>
  <c r="AC9" i="71"/>
  <c r="AC10" i="71"/>
  <c r="AC11" i="71"/>
  <c r="AC12" i="71"/>
  <c r="AC13" i="71"/>
  <c r="AC14" i="71"/>
  <c r="AC15" i="71"/>
  <c r="AC16" i="71"/>
  <c r="AC17" i="71"/>
  <c r="AC18" i="71"/>
  <c r="AC19" i="71"/>
  <c r="AC20" i="71"/>
  <c r="AC21" i="71"/>
  <c r="AC22" i="71"/>
  <c r="AC23" i="71"/>
  <c r="AC24" i="71"/>
  <c r="AC25" i="71"/>
  <c r="AC3" i="71"/>
  <c r="AB4" i="71"/>
  <c r="AB5" i="71"/>
  <c r="AB6" i="71"/>
  <c r="AB7" i="71"/>
  <c r="AB8" i="71"/>
  <c r="AB9" i="71"/>
  <c r="AB10" i="71"/>
  <c r="AB11" i="71"/>
  <c r="AB12" i="71"/>
  <c r="AB13" i="71"/>
  <c r="AB14" i="71"/>
  <c r="AB15" i="71"/>
  <c r="AB16" i="71"/>
  <c r="AB17" i="71"/>
  <c r="AB18" i="71"/>
  <c r="AB19" i="71"/>
  <c r="AB20" i="71"/>
  <c r="AB21" i="71"/>
  <c r="AB22" i="71"/>
  <c r="AB23" i="71"/>
  <c r="AB24" i="71"/>
  <c r="AB25" i="71"/>
  <c r="AD3" i="71"/>
  <c r="AD4" i="71"/>
  <c r="AD5" i="71"/>
  <c r="AD6" i="71"/>
  <c r="AD7" i="71"/>
  <c r="AD8" i="71"/>
  <c r="AD9" i="71"/>
  <c r="AD10" i="71"/>
  <c r="AD11" i="71"/>
  <c r="AD12" i="71"/>
  <c r="AD13" i="71"/>
  <c r="AD14" i="71"/>
  <c r="AD15" i="71"/>
  <c r="AD16" i="71"/>
  <c r="AD17" i="71"/>
  <c r="AD18" i="71"/>
  <c r="AD19" i="71"/>
  <c r="AD20" i="71"/>
  <c r="AD21" i="71"/>
  <c r="AD22" i="71"/>
  <c r="AD23" i="71"/>
  <c r="AD24" i="71"/>
  <c r="AD25" i="71"/>
  <c r="AG35" i="71"/>
  <c r="AG34" i="71"/>
  <c r="P22" i="81" l="1"/>
  <c r="D10" i="81"/>
  <c r="P21" i="81"/>
  <c r="I8" i="81"/>
  <c r="S8" i="81"/>
  <c r="Y8" i="81"/>
  <c r="H8" i="81"/>
  <c r="O9" i="81"/>
  <c r="O17" i="81" s="1"/>
  <c r="P17" i="81" s="1"/>
  <c r="X8" i="81"/>
  <c r="X16" i="81" s="1"/>
  <c r="O8" i="81"/>
  <c r="D11" i="81" s="1"/>
  <c r="E11" i="81" s="1"/>
  <c r="E14" i="81" s="1"/>
  <c r="AI16" i="79"/>
  <c r="AK214" i="83"/>
  <c r="AK215" i="83" s="1"/>
  <c r="AK216" i="83" s="1"/>
  <c r="AJ215" i="83"/>
  <c r="BG176" i="83"/>
  <c r="AI11" i="79"/>
  <c r="AA17" i="79"/>
  <c r="U17" i="79"/>
  <c r="T17" i="79" s="1"/>
  <c r="W17" i="79" s="1"/>
  <c r="AI13" i="79"/>
  <c r="U19" i="79"/>
  <c r="I26" i="71"/>
  <c r="AB26" i="71"/>
  <c r="H26" i="71"/>
  <c r="J26" i="71"/>
  <c r="V12" i="81"/>
  <c r="Z16" i="81"/>
  <c r="AF8" i="81"/>
  <c r="AH8" i="81" s="1"/>
  <c r="O24" i="81"/>
  <c r="P24" i="81" s="1"/>
  <c r="V10" i="81"/>
  <c r="V9" i="81"/>
  <c r="O10" i="81"/>
  <c r="O18" i="81" s="1"/>
  <c r="D12" i="81" s="1"/>
  <c r="E12" i="81" s="1"/>
  <c r="U8" i="81"/>
  <c r="T8" i="81" s="1"/>
  <c r="V8" i="81" s="1"/>
  <c r="AH7" i="81"/>
  <c r="AI9" i="79"/>
  <c r="O19" i="79"/>
  <c r="O27" i="79" s="1"/>
  <c r="D21" i="79" s="1"/>
  <c r="E21" i="79" s="1"/>
  <c r="O18" i="79"/>
  <c r="O26" i="79" s="1"/>
  <c r="P26" i="79" s="1"/>
  <c r="J17" i="79"/>
  <c r="AA25" i="79" s="1"/>
  <c r="O31" i="79"/>
  <c r="P31" i="79" s="1"/>
  <c r="U20" i="79"/>
  <c r="AG17" i="79"/>
  <c r="O30" i="79"/>
  <c r="P30" i="79" s="1"/>
  <c r="R17" i="79"/>
  <c r="S17" i="79"/>
  <c r="I17" i="79"/>
  <c r="AD17" i="79"/>
  <c r="AI17" i="79" s="1"/>
  <c r="H17" i="79"/>
  <c r="Y29" i="79" s="1"/>
  <c r="AI12" i="79"/>
  <c r="Z17" i="79"/>
  <c r="Y17" i="79"/>
  <c r="O16" i="81"/>
  <c r="P16" i="81" s="1"/>
  <c r="Y16" i="81"/>
  <c r="X20" i="81"/>
  <c r="R9" i="81"/>
  <c r="S9" i="81"/>
  <c r="W21" i="79"/>
  <c r="W18" i="79"/>
  <c r="W19" i="79"/>
  <c r="P25" i="81"/>
  <c r="Q18" i="79"/>
  <c r="Q17" i="79"/>
  <c r="O17" i="79"/>
  <c r="O32" i="79"/>
  <c r="P32" i="79" s="1"/>
  <c r="Q9" i="81"/>
  <c r="AG36" i="71"/>
  <c r="AD26" i="71"/>
  <c r="AC26" i="71"/>
  <c r="G15" i="78"/>
  <c r="D27" i="71"/>
  <c r="S22" i="71"/>
  <c r="O43" i="71"/>
  <c r="A117" i="72"/>
  <c r="G121" i="72"/>
  <c r="A116" i="72"/>
  <c r="O11" i="81" l="1"/>
  <c r="P27" i="79"/>
  <c r="A118" i="72"/>
  <c r="AC34" i="71"/>
  <c r="AJ216" i="83"/>
  <c r="D64" i="83"/>
  <c r="Q272" i="83"/>
  <c r="S62" i="83" s="1"/>
  <c r="S134" i="83"/>
  <c r="Z25" i="79"/>
  <c r="AB38" i="71"/>
  <c r="AB34" i="71"/>
  <c r="AD34" i="71"/>
  <c r="O13" i="81"/>
  <c r="P18" i="81"/>
  <c r="Y25" i="79"/>
  <c r="S18" i="79"/>
  <c r="R18" i="79"/>
  <c r="O20" i="79"/>
  <c r="O22" i="79"/>
  <c r="O25" i="79"/>
  <c r="P25" i="79" s="1"/>
  <c r="D20" i="79"/>
  <c r="E20" i="79" s="1"/>
  <c r="O33" i="79"/>
  <c r="P33" i="79" s="1"/>
  <c r="P34" i="79" s="1"/>
  <c r="O12" i="81"/>
  <c r="O19" i="81"/>
  <c r="P272" i="83" l="1"/>
  <c r="S133" i="83"/>
  <c r="S135" i="83" s="1"/>
  <c r="G282" i="83" s="1"/>
  <c r="P19" i="81"/>
  <c r="D13" i="81"/>
  <c r="E13" i="81" s="1"/>
  <c r="O28" i="79"/>
  <c r="O21" i="79"/>
  <c r="P56" i="83" l="1"/>
  <c r="Q56" i="83" s="1"/>
  <c r="S61" i="83"/>
  <c r="D22" i="79"/>
  <c r="E22" i="79" s="1"/>
  <c r="E23" i="79" s="1"/>
  <c r="P28" i="79"/>
  <c r="Q19" i="81"/>
  <c r="Q18" i="81"/>
  <c r="Q16" i="81"/>
  <c r="U90" i="17"/>
  <c r="U91" i="17"/>
  <c r="C123" i="17"/>
  <c r="F122" i="17"/>
  <c r="D122" i="17"/>
  <c r="C122" i="17"/>
  <c r="F121" i="17"/>
  <c r="D121" i="17"/>
  <c r="C121" i="17"/>
  <c r="Q20" i="81" l="1"/>
  <c r="Q28" i="79"/>
  <c r="Q27" i="79"/>
  <c r="Q25" i="79"/>
  <c r="S104" i="72"/>
  <c r="Q29" i="79" l="1"/>
  <c r="F116" i="32" l="1"/>
  <c r="C116" i="32"/>
  <c r="C116" i="47" l="1"/>
  <c r="G212" i="72" l="1"/>
  <c r="I144" i="70" l="1"/>
  <c r="I145" i="70"/>
  <c r="B117" i="1"/>
  <c r="X115" i="17" l="1"/>
  <c r="G167" i="1"/>
  <c r="H66" i="1"/>
  <c r="X115" i="64"/>
  <c r="X115" i="61"/>
  <c r="X115" i="76"/>
  <c r="X115" i="53"/>
  <c r="X115" i="50"/>
  <c r="X115" i="47"/>
  <c r="X115" i="38"/>
  <c r="X115" i="35"/>
  <c r="X115" i="41"/>
  <c r="X115" i="26"/>
  <c r="X115" i="23"/>
  <c r="X115" i="56"/>
  <c r="X115" i="11"/>
  <c r="Y115" i="1"/>
  <c r="X115" i="1"/>
  <c r="X115" i="14"/>
  <c r="X115" i="32"/>
  <c r="F40" i="64"/>
  <c r="F40" i="61"/>
  <c r="F40" i="76"/>
  <c r="F40" i="53"/>
  <c r="F40" i="50"/>
  <c r="F40" i="47"/>
  <c r="F40" i="38"/>
  <c r="F40" i="35"/>
  <c r="F40" i="41"/>
  <c r="F40" i="26"/>
  <c r="F40" i="23"/>
  <c r="F40" i="56"/>
  <c r="F40" i="32"/>
  <c r="F40" i="29"/>
  <c r="F40" i="20"/>
  <c r="F40" i="17"/>
  <c r="F40" i="14"/>
  <c r="F40" i="11"/>
  <c r="F40" i="5"/>
  <c r="F40" i="8"/>
  <c r="F40" i="1"/>
  <c r="F40" i="44"/>
  <c r="X115" i="8"/>
  <c r="X116" i="5"/>
  <c r="X115" i="44"/>
  <c r="G315" i="59"/>
  <c r="X115" i="29"/>
  <c r="U80" i="8" l="1"/>
  <c r="F135" i="60" l="1"/>
  <c r="U69" i="47" l="1"/>
  <c r="G328" i="59" l="1"/>
  <c r="G329" i="59"/>
  <c r="R105" i="70" l="1"/>
  <c r="G4" i="59"/>
  <c r="AK167" i="8"/>
  <c r="AK181" i="8"/>
  <c r="AK182" i="8"/>
  <c r="AK183" i="8"/>
  <c r="AK184" i="8"/>
  <c r="AK185" i="8"/>
  <c r="AK186" i="8"/>
  <c r="AK187" i="8"/>
  <c r="AK188" i="8"/>
  <c r="AK189" i="8"/>
  <c r="AK190" i="8"/>
  <c r="AK191" i="8"/>
  <c r="AK192" i="8"/>
  <c r="AK193" i="8"/>
  <c r="AK194" i="8"/>
  <c r="AK195" i="8"/>
  <c r="AK196" i="8"/>
  <c r="AK197" i="8"/>
  <c r="AK198" i="8"/>
  <c r="AK199" i="8"/>
  <c r="AK200" i="8"/>
  <c r="AK201" i="8"/>
  <c r="AK202" i="8"/>
  <c r="AK203" i="8"/>
  <c r="AK204" i="8"/>
  <c r="AK205" i="8"/>
  <c r="AK206" i="8"/>
  <c r="AK207" i="8"/>
  <c r="AK208" i="8"/>
  <c r="AK209" i="8"/>
  <c r="AK210" i="8"/>
  <c r="AK211" i="8"/>
  <c r="AK212" i="8"/>
  <c r="AK213" i="8"/>
  <c r="AK168" i="5"/>
  <c r="AK178" i="5"/>
  <c r="AK179" i="5"/>
  <c r="AK180" i="5"/>
  <c r="AK181" i="5"/>
  <c r="AK182" i="5"/>
  <c r="AK183" i="5"/>
  <c r="AK184" i="5"/>
  <c r="AK185" i="5"/>
  <c r="AK186" i="5"/>
  <c r="AK187" i="5"/>
  <c r="AK188" i="5"/>
  <c r="AK189" i="5"/>
  <c r="AK190" i="5"/>
  <c r="AK191" i="5"/>
  <c r="AK192" i="5"/>
  <c r="AK193" i="5"/>
  <c r="AK194" i="5"/>
  <c r="AK195" i="5"/>
  <c r="AK196" i="5"/>
  <c r="AK197" i="5"/>
  <c r="AK198" i="5"/>
  <c r="AK199" i="5"/>
  <c r="AK200" i="5"/>
  <c r="AK201" i="5"/>
  <c r="AK202" i="5"/>
  <c r="AK203" i="5"/>
  <c r="AK204" i="5"/>
  <c r="AK205" i="5"/>
  <c r="AK206" i="5"/>
  <c r="AK207" i="5"/>
  <c r="AK208" i="5"/>
  <c r="AK209" i="5"/>
  <c r="AK210" i="5"/>
  <c r="AK211" i="5"/>
  <c r="AK212" i="5"/>
  <c r="AK213" i="5"/>
  <c r="AK214" i="5"/>
  <c r="AK167" i="11"/>
  <c r="AK168" i="11"/>
  <c r="AK177" i="11"/>
  <c r="AK178" i="11"/>
  <c r="AK179" i="11"/>
  <c r="AK180" i="11"/>
  <c r="AK181" i="11"/>
  <c r="AK182" i="11"/>
  <c r="AK183" i="11"/>
  <c r="AK184" i="11"/>
  <c r="AK185" i="11"/>
  <c r="AK186" i="11"/>
  <c r="AK187" i="11"/>
  <c r="AK188" i="11"/>
  <c r="AK189" i="11"/>
  <c r="AK190" i="11"/>
  <c r="AK191" i="11"/>
  <c r="AK192" i="11"/>
  <c r="AK193" i="11"/>
  <c r="AK194" i="11"/>
  <c r="AK195" i="11"/>
  <c r="AK196" i="11"/>
  <c r="AK197" i="11"/>
  <c r="AK198" i="11"/>
  <c r="AK199" i="11"/>
  <c r="AK200" i="11"/>
  <c r="AK201" i="11"/>
  <c r="AK202" i="11"/>
  <c r="AK203" i="11"/>
  <c r="AK204" i="11"/>
  <c r="AK205" i="11"/>
  <c r="AK206" i="11"/>
  <c r="AK207" i="11"/>
  <c r="AK208" i="11"/>
  <c r="AK209" i="11"/>
  <c r="AK210" i="11"/>
  <c r="AK211" i="11"/>
  <c r="AK212" i="11"/>
  <c r="AK213" i="11"/>
  <c r="AK167" i="14"/>
  <c r="AK178" i="14"/>
  <c r="AK179" i="14"/>
  <c r="AK180" i="14"/>
  <c r="AK181" i="14"/>
  <c r="AK182" i="14"/>
  <c r="AK183" i="14"/>
  <c r="AK184" i="14"/>
  <c r="AK185" i="14"/>
  <c r="AK186" i="14"/>
  <c r="AK187" i="14"/>
  <c r="AK188" i="14"/>
  <c r="AK189" i="14"/>
  <c r="AK190" i="14"/>
  <c r="AK191" i="14"/>
  <c r="AK192" i="14"/>
  <c r="AK193" i="14"/>
  <c r="AK194" i="14"/>
  <c r="AK195" i="14"/>
  <c r="AK196" i="14"/>
  <c r="AK197" i="14"/>
  <c r="AK198" i="14"/>
  <c r="AK199" i="14"/>
  <c r="AK200" i="14"/>
  <c r="AK201" i="14"/>
  <c r="AK202" i="14"/>
  <c r="AK203" i="14"/>
  <c r="AK204" i="14"/>
  <c r="AK205" i="14"/>
  <c r="AK206" i="14"/>
  <c r="AK207" i="14"/>
  <c r="AK208" i="14"/>
  <c r="AK209" i="14"/>
  <c r="AK210" i="14"/>
  <c r="AK211" i="14"/>
  <c r="AK212" i="14"/>
  <c r="AK213" i="14"/>
  <c r="AK167" i="17"/>
  <c r="AK192" i="17"/>
  <c r="AK193" i="17"/>
  <c r="AK194" i="17"/>
  <c r="AK195" i="17"/>
  <c r="AK196" i="17"/>
  <c r="AK197" i="17"/>
  <c r="AK198" i="17"/>
  <c r="AK199" i="17"/>
  <c r="AK200" i="17"/>
  <c r="AK201" i="17"/>
  <c r="AK202" i="17"/>
  <c r="AK203" i="17"/>
  <c r="AK204" i="17"/>
  <c r="AK205" i="17"/>
  <c r="AK206" i="17"/>
  <c r="AK207" i="17"/>
  <c r="AK208" i="17"/>
  <c r="AK209" i="17"/>
  <c r="AK210" i="17"/>
  <c r="AK211" i="17"/>
  <c r="AK212" i="17"/>
  <c r="AK213" i="17"/>
  <c r="AK167" i="20"/>
  <c r="AK181" i="20"/>
  <c r="AK182" i="20"/>
  <c r="AK183" i="20"/>
  <c r="AK184" i="20"/>
  <c r="AK185" i="20"/>
  <c r="AK186" i="20"/>
  <c r="AK187" i="20"/>
  <c r="AK188" i="20"/>
  <c r="AK189" i="20"/>
  <c r="AK190" i="20"/>
  <c r="AK191" i="20"/>
  <c r="AK192" i="20"/>
  <c r="AK193" i="20"/>
  <c r="AK194" i="20"/>
  <c r="AK195" i="20"/>
  <c r="AK196" i="20"/>
  <c r="AK197" i="20"/>
  <c r="AK198" i="20"/>
  <c r="AK199" i="20"/>
  <c r="AK200" i="20"/>
  <c r="AK201" i="20"/>
  <c r="AK202" i="20"/>
  <c r="AK203" i="20"/>
  <c r="AK204" i="20"/>
  <c r="AK205" i="20"/>
  <c r="AK206" i="20"/>
  <c r="AK207" i="20"/>
  <c r="AK208" i="20"/>
  <c r="AK209" i="20"/>
  <c r="AK210" i="20"/>
  <c r="AK211" i="20"/>
  <c r="AK212" i="20"/>
  <c r="AK213" i="20"/>
  <c r="AK167" i="29"/>
  <c r="AK172" i="29"/>
  <c r="AK173" i="29"/>
  <c r="AK174" i="29"/>
  <c r="AK175" i="29"/>
  <c r="AK176" i="29"/>
  <c r="AK177" i="29"/>
  <c r="AK178" i="29"/>
  <c r="AK179" i="29"/>
  <c r="AK180" i="29"/>
  <c r="AK181" i="29"/>
  <c r="AK182" i="29"/>
  <c r="AK183" i="29"/>
  <c r="AK184" i="29"/>
  <c r="AK185" i="29"/>
  <c r="AK186" i="29"/>
  <c r="AK187" i="29"/>
  <c r="AK188" i="29"/>
  <c r="AK189" i="29"/>
  <c r="AK190" i="29"/>
  <c r="AK191" i="29"/>
  <c r="AK192" i="29"/>
  <c r="AK193" i="29"/>
  <c r="AK194" i="29"/>
  <c r="AK195" i="29"/>
  <c r="AK196" i="29"/>
  <c r="AK197" i="29"/>
  <c r="AK198" i="29"/>
  <c r="AK199" i="29"/>
  <c r="AK200" i="29"/>
  <c r="AK201" i="29"/>
  <c r="AK202" i="29"/>
  <c r="AK203" i="29"/>
  <c r="AK204" i="29"/>
  <c r="AK205" i="29"/>
  <c r="AK206" i="29"/>
  <c r="AK207" i="29"/>
  <c r="AK208" i="29"/>
  <c r="AK209" i="29"/>
  <c r="AK210" i="29"/>
  <c r="AK211" i="29"/>
  <c r="AK212" i="29"/>
  <c r="AK213" i="29"/>
  <c r="AK167" i="32"/>
  <c r="AK184" i="32"/>
  <c r="AK185" i="32"/>
  <c r="AK186" i="32"/>
  <c r="AK187" i="32"/>
  <c r="AK188" i="32"/>
  <c r="AK189" i="32"/>
  <c r="AK190" i="32"/>
  <c r="AK191" i="32"/>
  <c r="AK192" i="32"/>
  <c r="AK193" i="32"/>
  <c r="AK194" i="32"/>
  <c r="AK195" i="32"/>
  <c r="AK196" i="32"/>
  <c r="AK197" i="32"/>
  <c r="AK198" i="32"/>
  <c r="AK199" i="32"/>
  <c r="AK200" i="32"/>
  <c r="AK201" i="32"/>
  <c r="AK202" i="32"/>
  <c r="AK203" i="32"/>
  <c r="AK204" i="32"/>
  <c r="AK205" i="32"/>
  <c r="AK206" i="32"/>
  <c r="AK207" i="32"/>
  <c r="AK208" i="32"/>
  <c r="AK209" i="32"/>
  <c r="AK210" i="32"/>
  <c r="AK211" i="32"/>
  <c r="AK212" i="32"/>
  <c r="AK213" i="32"/>
  <c r="AK167" i="56"/>
  <c r="AK168" i="56"/>
  <c r="AK169" i="56"/>
  <c r="AK170" i="56"/>
  <c r="AK171" i="56"/>
  <c r="AK172" i="56"/>
  <c r="AK173" i="56"/>
  <c r="AK174" i="56"/>
  <c r="AK175" i="56"/>
  <c r="AK176" i="56"/>
  <c r="AK177" i="56"/>
  <c r="AK178" i="56"/>
  <c r="AK179" i="56"/>
  <c r="AK180" i="56"/>
  <c r="AK181" i="56"/>
  <c r="AK182" i="56"/>
  <c r="AK183" i="56"/>
  <c r="AK184" i="56"/>
  <c r="AK185" i="56"/>
  <c r="AK186" i="56"/>
  <c r="AK187" i="56"/>
  <c r="AK188" i="56"/>
  <c r="AK189" i="56"/>
  <c r="AK190" i="56"/>
  <c r="AK191" i="56"/>
  <c r="AK192" i="56"/>
  <c r="AK193" i="56"/>
  <c r="AK194" i="56"/>
  <c r="AK195" i="56"/>
  <c r="AK196" i="56"/>
  <c r="AK197" i="56"/>
  <c r="AK198" i="56"/>
  <c r="AK199" i="56"/>
  <c r="AK200" i="56"/>
  <c r="AK201" i="56"/>
  <c r="AK202" i="56"/>
  <c r="AK203" i="56"/>
  <c r="AK204" i="56"/>
  <c r="AK205" i="56"/>
  <c r="AK206" i="56"/>
  <c r="AK207" i="56"/>
  <c r="AK208" i="56"/>
  <c r="AK209" i="56"/>
  <c r="AK210" i="56"/>
  <c r="AK211" i="56"/>
  <c r="AK212" i="56"/>
  <c r="AK213" i="56"/>
  <c r="AK167" i="23"/>
  <c r="AK168" i="23"/>
  <c r="AK169" i="23"/>
  <c r="AK170" i="23"/>
  <c r="AK171" i="23"/>
  <c r="AK172" i="23"/>
  <c r="AK173" i="23"/>
  <c r="AK174" i="23"/>
  <c r="AK175" i="23"/>
  <c r="AK176" i="23"/>
  <c r="AK177" i="23"/>
  <c r="AK178" i="23"/>
  <c r="AK179" i="23"/>
  <c r="AK180" i="23"/>
  <c r="AK181" i="23"/>
  <c r="AK182" i="23"/>
  <c r="AK183" i="23"/>
  <c r="AK184" i="23"/>
  <c r="AK185" i="23"/>
  <c r="AK186" i="23"/>
  <c r="AK187" i="23"/>
  <c r="AK188" i="23"/>
  <c r="AK189" i="23"/>
  <c r="AK190" i="23"/>
  <c r="AK191" i="23"/>
  <c r="AK192" i="23"/>
  <c r="AK193" i="23"/>
  <c r="AK194" i="23"/>
  <c r="AK195" i="23"/>
  <c r="AK196" i="23"/>
  <c r="AK197" i="23"/>
  <c r="AK198" i="23"/>
  <c r="AK199" i="23"/>
  <c r="AK200" i="23"/>
  <c r="AK201" i="23"/>
  <c r="AK202" i="23"/>
  <c r="AK203" i="23"/>
  <c r="AK204" i="23"/>
  <c r="AK205" i="23"/>
  <c r="AK206" i="23"/>
  <c r="AK207" i="23"/>
  <c r="AK208" i="23"/>
  <c r="AK209" i="23"/>
  <c r="AK210" i="23"/>
  <c r="AK211" i="23"/>
  <c r="AK212" i="23"/>
  <c r="AK213" i="23"/>
  <c r="AK167" i="26"/>
  <c r="AK168" i="26"/>
  <c r="AK169" i="26"/>
  <c r="AK170" i="26"/>
  <c r="AK171" i="26"/>
  <c r="AK172" i="26"/>
  <c r="AK173" i="26"/>
  <c r="AK174" i="26"/>
  <c r="AK175" i="26"/>
  <c r="AK176" i="26"/>
  <c r="AK177" i="26"/>
  <c r="AK178" i="26"/>
  <c r="AK179" i="26"/>
  <c r="AK180" i="26"/>
  <c r="AK181" i="26"/>
  <c r="AK182" i="26"/>
  <c r="AK183" i="26"/>
  <c r="AK184" i="26"/>
  <c r="AK185" i="26"/>
  <c r="AK186" i="26"/>
  <c r="AK187" i="26"/>
  <c r="AK188" i="26"/>
  <c r="AK189" i="26"/>
  <c r="AK190" i="26"/>
  <c r="AK191" i="26"/>
  <c r="AK192" i="26"/>
  <c r="AK193" i="26"/>
  <c r="AK194" i="26"/>
  <c r="AK195" i="26"/>
  <c r="AK196" i="26"/>
  <c r="AK197" i="26"/>
  <c r="AK198" i="26"/>
  <c r="AK199" i="26"/>
  <c r="AK200" i="26"/>
  <c r="AK201" i="26"/>
  <c r="AK202" i="26"/>
  <c r="AK203" i="26"/>
  <c r="AK204" i="26"/>
  <c r="AK205" i="26"/>
  <c r="AK206" i="26"/>
  <c r="AK207" i="26"/>
  <c r="AK208" i="26"/>
  <c r="AK209" i="26"/>
  <c r="AK210" i="26"/>
  <c r="AK211" i="26"/>
  <c r="AK212" i="26"/>
  <c r="AK213" i="26"/>
  <c r="AK167" i="41"/>
  <c r="AK184" i="41"/>
  <c r="AK185" i="41"/>
  <c r="AK186" i="41"/>
  <c r="AK187" i="41"/>
  <c r="AK188" i="41"/>
  <c r="AK189" i="41"/>
  <c r="AK190" i="41"/>
  <c r="AK191" i="41"/>
  <c r="AK192" i="41"/>
  <c r="AK193" i="41"/>
  <c r="AK194" i="41"/>
  <c r="AK195" i="41"/>
  <c r="AK196" i="41"/>
  <c r="AK197" i="41"/>
  <c r="AK198" i="41"/>
  <c r="AK199" i="41"/>
  <c r="AK200" i="41"/>
  <c r="AK201" i="41"/>
  <c r="AK202" i="41"/>
  <c r="AK203" i="41"/>
  <c r="AK204" i="41"/>
  <c r="AK205" i="41"/>
  <c r="AK206" i="41"/>
  <c r="AK207" i="41"/>
  <c r="AK208" i="41"/>
  <c r="AK209" i="41"/>
  <c r="AK210" i="41"/>
  <c r="AK211" i="41"/>
  <c r="AK212" i="41"/>
  <c r="AK213" i="41"/>
  <c r="AK167" i="35"/>
  <c r="AK167" i="38"/>
  <c r="AK181" i="38"/>
  <c r="AK182" i="38"/>
  <c r="AK183" i="38"/>
  <c r="AK184" i="38"/>
  <c r="AK185" i="38"/>
  <c r="AK186" i="38"/>
  <c r="AK187" i="38"/>
  <c r="AK188" i="38"/>
  <c r="AK189" i="38"/>
  <c r="AK190" i="38"/>
  <c r="AK191" i="38"/>
  <c r="AK192" i="38"/>
  <c r="AK193" i="38"/>
  <c r="AK194" i="38"/>
  <c r="AK195" i="38"/>
  <c r="AK196" i="38"/>
  <c r="AK197" i="38"/>
  <c r="AK198" i="38"/>
  <c r="AK199" i="38"/>
  <c r="AK200" i="38"/>
  <c r="AK201" i="38"/>
  <c r="AK202" i="38"/>
  <c r="AK203" i="38"/>
  <c r="AK204" i="38"/>
  <c r="AK205" i="38"/>
  <c r="AK206" i="38"/>
  <c r="AK207" i="38"/>
  <c r="AK208" i="38"/>
  <c r="AK209" i="38"/>
  <c r="AK210" i="38"/>
  <c r="AK211" i="38"/>
  <c r="AK212" i="38"/>
  <c r="AK213" i="38"/>
  <c r="AK167" i="47"/>
  <c r="AK184" i="47"/>
  <c r="AK185" i="47"/>
  <c r="AK186" i="47"/>
  <c r="AK187" i="47"/>
  <c r="AK188" i="47"/>
  <c r="AK189" i="47"/>
  <c r="AK190" i="47"/>
  <c r="AK191" i="47"/>
  <c r="AK192" i="47"/>
  <c r="AK193" i="47"/>
  <c r="AK194" i="47"/>
  <c r="AK195" i="47"/>
  <c r="AK196" i="47"/>
  <c r="AK197" i="47"/>
  <c r="AK198" i="47"/>
  <c r="AK199" i="47"/>
  <c r="AK200" i="47"/>
  <c r="AK201" i="47"/>
  <c r="AK202" i="47"/>
  <c r="AK203" i="47"/>
  <c r="AK204" i="47"/>
  <c r="AK205" i="47"/>
  <c r="AK206" i="47"/>
  <c r="AK207" i="47"/>
  <c r="AK208" i="47"/>
  <c r="AK209" i="47"/>
  <c r="AK210" i="47"/>
  <c r="AK211" i="47"/>
  <c r="AK212" i="47"/>
  <c r="AK213" i="47"/>
  <c r="AK167" i="50"/>
  <c r="AK168" i="50"/>
  <c r="AK169" i="50"/>
  <c r="AK170" i="50"/>
  <c r="AK171" i="50"/>
  <c r="AK172" i="50"/>
  <c r="AK173" i="50"/>
  <c r="AK174" i="50"/>
  <c r="AK175" i="50"/>
  <c r="AK176" i="50"/>
  <c r="AK177" i="50"/>
  <c r="AK178" i="50"/>
  <c r="AK179" i="50"/>
  <c r="AK180" i="50"/>
  <c r="AK181" i="50"/>
  <c r="AK182" i="50"/>
  <c r="AK183" i="50"/>
  <c r="AK184" i="50"/>
  <c r="AK185" i="50"/>
  <c r="AK186" i="50"/>
  <c r="AK187" i="50"/>
  <c r="AK188" i="50"/>
  <c r="AK189" i="50"/>
  <c r="AK190" i="50"/>
  <c r="AK191" i="50"/>
  <c r="AK192" i="50"/>
  <c r="AK193" i="50"/>
  <c r="AK194" i="50"/>
  <c r="AK195" i="50"/>
  <c r="AK196" i="50"/>
  <c r="AK197" i="50"/>
  <c r="AK198" i="50"/>
  <c r="AK199" i="50"/>
  <c r="AK200" i="50"/>
  <c r="AK201" i="50"/>
  <c r="AK202" i="50"/>
  <c r="AK203" i="50"/>
  <c r="AK204" i="50"/>
  <c r="AK205" i="50"/>
  <c r="AK206" i="50"/>
  <c r="AK207" i="50"/>
  <c r="AK208" i="50"/>
  <c r="AK209" i="50"/>
  <c r="AK210" i="50"/>
  <c r="AK211" i="50"/>
  <c r="AK212" i="50"/>
  <c r="AK213" i="50"/>
  <c r="AK167" i="53"/>
  <c r="AK180" i="53"/>
  <c r="AK182" i="53"/>
  <c r="AK183" i="53"/>
  <c r="AK184" i="53"/>
  <c r="AK185" i="53"/>
  <c r="AK186" i="53"/>
  <c r="AK187" i="53"/>
  <c r="AK188" i="53"/>
  <c r="AK189" i="53"/>
  <c r="AK190" i="53"/>
  <c r="AK191" i="53"/>
  <c r="AK192" i="53"/>
  <c r="AK193" i="53"/>
  <c r="AK194" i="53"/>
  <c r="AK195" i="53"/>
  <c r="AK196" i="53"/>
  <c r="AK197" i="53"/>
  <c r="AK198" i="53"/>
  <c r="AK199" i="53"/>
  <c r="AK200" i="53"/>
  <c r="AK201" i="53"/>
  <c r="AK202" i="53"/>
  <c r="AK203" i="53"/>
  <c r="AK204" i="53"/>
  <c r="AK205" i="53"/>
  <c r="AK206" i="53"/>
  <c r="AK207" i="53"/>
  <c r="AK208" i="53"/>
  <c r="AK209" i="53"/>
  <c r="AK210" i="53"/>
  <c r="AK211" i="53"/>
  <c r="AK212" i="53"/>
  <c r="AK213" i="53"/>
  <c r="AK167" i="76"/>
  <c r="AK180" i="76"/>
  <c r="AK182" i="76"/>
  <c r="AK183" i="76"/>
  <c r="AK184" i="76"/>
  <c r="AK185" i="76"/>
  <c r="AK186" i="76"/>
  <c r="AK187" i="76"/>
  <c r="AK188" i="76"/>
  <c r="AK189" i="76"/>
  <c r="AK190" i="76"/>
  <c r="AK191" i="76"/>
  <c r="AK192" i="76"/>
  <c r="AK193" i="76"/>
  <c r="AK194" i="76"/>
  <c r="AK195" i="76"/>
  <c r="AK196" i="76"/>
  <c r="AK197" i="76"/>
  <c r="AK198" i="76"/>
  <c r="AK199" i="76"/>
  <c r="AK200" i="76"/>
  <c r="AK201" i="76"/>
  <c r="AK202" i="76"/>
  <c r="AK203" i="76"/>
  <c r="AK204" i="76"/>
  <c r="AK205" i="76"/>
  <c r="AK206" i="76"/>
  <c r="AK207" i="76"/>
  <c r="AK208" i="76"/>
  <c r="AK209" i="76"/>
  <c r="AK210" i="76"/>
  <c r="AK211" i="76"/>
  <c r="AK212" i="76"/>
  <c r="AK213" i="76"/>
  <c r="AK167" i="61"/>
  <c r="AK168" i="61"/>
  <c r="AK169" i="61"/>
  <c r="AK170" i="61"/>
  <c r="AK171" i="61"/>
  <c r="AK172" i="61"/>
  <c r="AK173" i="61"/>
  <c r="AK174" i="61"/>
  <c r="AK175" i="61"/>
  <c r="AK176" i="61"/>
  <c r="AK177" i="61"/>
  <c r="AK178" i="61"/>
  <c r="AK179" i="61"/>
  <c r="AK180" i="61"/>
  <c r="AK181" i="61"/>
  <c r="AK182" i="61"/>
  <c r="AK183" i="61"/>
  <c r="AK184" i="61"/>
  <c r="AK185" i="61"/>
  <c r="AK186" i="61"/>
  <c r="AK187" i="61"/>
  <c r="AK188" i="61"/>
  <c r="AK189" i="61"/>
  <c r="AK190" i="61"/>
  <c r="AK191" i="61"/>
  <c r="AK192" i="61"/>
  <c r="AK193" i="61"/>
  <c r="AK194" i="61"/>
  <c r="AK195" i="61"/>
  <c r="AK196" i="61"/>
  <c r="AK197" i="61"/>
  <c r="AK198" i="61"/>
  <c r="AK199" i="61"/>
  <c r="AK200" i="61"/>
  <c r="AK201" i="61"/>
  <c r="AK202" i="61"/>
  <c r="AK203" i="61"/>
  <c r="AK204" i="61"/>
  <c r="AK205" i="61"/>
  <c r="AK206" i="61"/>
  <c r="AK207" i="61"/>
  <c r="AK208" i="61"/>
  <c r="AK209" i="61"/>
  <c r="AK210" i="61"/>
  <c r="AK211" i="61"/>
  <c r="AK212" i="61"/>
  <c r="AK213" i="61"/>
  <c r="AK167" i="64"/>
  <c r="AK168" i="64"/>
  <c r="AK173" i="64"/>
  <c r="AK174" i="64"/>
  <c r="AK175" i="64"/>
  <c r="AK176" i="64"/>
  <c r="AK177" i="64"/>
  <c r="AK178" i="64"/>
  <c r="AK179" i="64"/>
  <c r="AK180" i="64"/>
  <c r="AK181" i="64"/>
  <c r="AK182" i="64"/>
  <c r="AK183" i="64"/>
  <c r="AK184" i="64"/>
  <c r="AK185" i="64"/>
  <c r="AK186" i="64"/>
  <c r="AK187" i="64"/>
  <c r="AK188" i="64"/>
  <c r="AK189" i="64"/>
  <c r="AK190" i="64"/>
  <c r="AK191" i="64"/>
  <c r="AK192" i="64"/>
  <c r="AK193" i="64"/>
  <c r="AK194" i="64"/>
  <c r="AK195" i="64"/>
  <c r="AK196" i="64"/>
  <c r="AK197" i="64"/>
  <c r="AK198" i="64"/>
  <c r="AK199" i="64"/>
  <c r="AK200" i="64"/>
  <c r="AK201" i="64"/>
  <c r="AK202" i="64"/>
  <c r="AK203" i="64"/>
  <c r="AK204" i="64"/>
  <c r="AK205" i="64"/>
  <c r="AK206" i="64"/>
  <c r="AK207" i="64"/>
  <c r="AK208" i="64"/>
  <c r="AK209" i="64"/>
  <c r="AK210" i="64"/>
  <c r="AK211" i="64"/>
  <c r="AK212" i="64"/>
  <c r="AK213" i="64"/>
  <c r="AK167" i="44"/>
  <c r="AK175" i="44"/>
  <c r="AK176" i="44"/>
  <c r="AK177" i="44"/>
  <c r="AK178" i="44"/>
  <c r="AK179" i="44"/>
  <c r="AK180" i="44"/>
  <c r="AK181" i="44"/>
  <c r="AK182" i="44"/>
  <c r="AK183" i="44"/>
  <c r="AK184" i="44"/>
  <c r="AK185" i="44"/>
  <c r="AK186" i="44"/>
  <c r="AK187" i="44"/>
  <c r="AK188" i="44"/>
  <c r="AK189" i="44"/>
  <c r="AK190" i="44"/>
  <c r="AK191" i="44"/>
  <c r="AK192" i="44"/>
  <c r="AK193" i="44"/>
  <c r="AK194" i="44"/>
  <c r="AK195" i="44"/>
  <c r="AK196" i="44"/>
  <c r="AK197" i="44"/>
  <c r="AK198" i="44"/>
  <c r="AK199" i="44"/>
  <c r="AK200" i="44"/>
  <c r="AK201" i="44"/>
  <c r="AK202" i="44"/>
  <c r="AK203" i="44"/>
  <c r="AK204" i="44"/>
  <c r="AK205" i="44"/>
  <c r="AK206" i="44"/>
  <c r="AK207" i="44"/>
  <c r="AK208" i="44"/>
  <c r="AK209" i="44"/>
  <c r="AK210" i="44"/>
  <c r="AK211" i="44"/>
  <c r="AK212" i="44"/>
  <c r="AK213" i="44"/>
  <c r="U59" i="8"/>
  <c r="U59" i="11"/>
  <c r="U59" i="17"/>
  <c r="U59" i="20"/>
  <c r="U59" i="29"/>
  <c r="Z15" i="71" s="1"/>
  <c r="U59" i="32"/>
  <c r="Z10" i="71" s="1"/>
  <c r="U59" i="56"/>
  <c r="U59" i="23"/>
  <c r="U59" i="26"/>
  <c r="U59" i="50"/>
  <c r="U59" i="53"/>
  <c r="U59" i="76"/>
  <c r="U59" i="61"/>
  <c r="U59" i="64"/>
  <c r="U59" i="44"/>
  <c r="U58" i="50"/>
  <c r="U58" i="53"/>
  <c r="U58" i="44"/>
  <c r="U57" i="50"/>
  <c r="U57" i="53"/>
  <c r="U57" i="44"/>
  <c r="S60" i="50"/>
  <c r="S60" i="53"/>
  <c r="S60" i="44"/>
  <c r="S58" i="50"/>
  <c r="S58" i="53"/>
  <c r="S58" i="44"/>
  <c r="S57" i="50"/>
  <c r="S57" i="53"/>
  <c r="S57" i="44"/>
  <c r="A39" i="8"/>
  <c r="A39" i="5"/>
  <c r="A39" i="11"/>
  <c r="A39" i="14"/>
  <c r="A39" i="17"/>
  <c r="A39" i="20"/>
  <c r="A39" i="29"/>
  <c r="A39" i="32"/>
  <c r="A39" i="56"/>
  <c r="A39" i="23"/>
  <c r="A39" i="26"/>
  <c r="A39" i="41"/>
  <c r="A39" i="35"/>
  <c r="A39" i="38"/>
  <c r="A39" i="47"/>
  <c r="A39" i="50"/>
  <c r="A39" i="53"/>
  <c r="A39" i="76"/>
  <c r="A39" i="61"/>
  <c r="A39" i="64"/>
  <c r="A39" i="44"/>
  <c r="E59" i="8"/>
  <c r="E58" i="8"/>
  <c r="E57" i="8"/>
  <c r="E56" i="8"/>
  <c r="E59" i="5"/>
  <c r="M59" i="5" s="1"/>
  <c r="E58" i="5"/>
  <c r="E57" i="5"/>
  <c r="E56" i="5"/>
  <c r="E58" i="11"/>
  <c r="E57" i="11"/>
  <c r="E56" i="11"/>
  <c r="E59" i="14"/>
  <c r="M59" i="14" s="1"/>
  <c r="E58" i="14"/>
  <c r="E57" i="14"/>
  <c r="E56" i="14"/>
  <c r="E59" i="17"/>
  <c r="E58" i="17"/>
  <c r="E57" i="17"/>
  <c r="E56" i="17"/>
  <c r="E59" i="20"/>
  <c r="M59" i="20" s="1"/>
  <c r="E58" i="20"/>
  <c r="E57" i="20"/>
  <c r="M57" i="20" s="1"/>
  <c r="E56" i="20"/>
  <c r="E59" i="29"/>
  <c r="E58" i="29"/>
  <c r="E57" i="29"/>
  <c r="N57" i="29" s="1"/>
  <c r="E56" i="29"/>
  <c r="E59" i="32"/>
  <c r="E58" i="32"/>
  <c r="E57" i="32"/>
  <c r="M57" i="32" s="1"/>
  <c r="E56" i="32"/>
  <c r="E59" i="56"/>
  <c r="J59" i="56" s="1"/>
  <c r="E58" i="56"/>
  <c r="E57" i="56"/>
  <c r="E56" i="56"/>
  <c r="E59" i="23"/>
  <c r="M59" i="23" s="1"/>
  <c r="E58" i="23"/>
  <c r="E57" i="23"/>
  <c r="E56" i="23"/>
  <c r="E59" i="26"/>
  <c r="M59" i="26" s="1"/>
  <c r="E58" i="26"/>
  <c r="E57" i="26"/>
  <c r="E56" i="26"/>
  <c r="E59" i="41"/>
  <c r="M59" i="41" s="1"/>
  <c r="E58" i="41"/>
  <c r="E57" i="41"/>
  <c r="M57" i="41" s="1"/>
  <c r="E56" i="41"/>
  <c r="E59" i="35"/>
  <c r="K59" i="35" s="1"/>
  <c r="E58" i="35"/>
  <c r="E57" i="35"/>
  <c r="E56" i="35"/>
  <c r="E59" i="38"/>
  <c r="M59" i="38" s="1"/>
  <c r="E58" i="38"/>
  <c r="E57" i="38"/>
  <c r="E56" i="38"/>
  <c r="E59" i="47"/>
  <c r="E58" i="47"/>
  <c r="E57" i="47"/>
  <c r="E56" i="47"/>
  <c r="E59" i="50"/>
  <c r="L59" i="50" s="1"/>
  <c r="E58" i="50"/>
  <c r="E57" i="50"/>
  <c r="E56" i="50"/>
  <c r="E59" i="53"/>
  <c r="M59" i="53" s="1"/>
  <c r="E58" i="53"/>
  <c r="E57" i="53"/>
  <c r="E56" i="53"/>
  <c r="E59" i="76"/>
  <c r="P59" i="76" s="1"/>
  <c r="E58" i="76"/>
  <c r="E57" i="76"/>
  <c r="J57" i="76" s="1"/>
  <c r="E56" i="76"/>
  <c r="E59" i="61"/>
  <c r="E58" i="61"/>
  <c r="E57" i="61"/>
  <c r="N57" i="61" s="1"/>
  <c r="E56" i="61"/>
  <c r="E59" i="64"/>
  <c r="P59" i="64" s="1"/>
  <c r="E58" i="64"/>
  <c r="M58" i="64" s="1"/>
  <c r="E57" i="64"/>
  <c r="E56" i="64"/>
  <c r="E58" i="44"/>
  <c r="P58" i="44" s="1"/>
  <c r="E57" i="44"/>
  <c r="E56" i="44"/>
  <c r="D58" i="1"/>
  <c r="D57" i="1"/>
  <c r="D56" i="1"/>
  <c r="G69" i="1"/>
  <c r="AK16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7" i="8"/>
  <c r="A6" i="8"/>
  <c r="A7" i="5"/>
  <c r="A6" i="5"/>
  <c r="A7" i="11"/>
  <c r="A6" i="11"/>
  <c r="A7" i="14"/>
  <c r="A6" i="14"/>
  <c r="A7" i="17"/>
  <c r="A6" i="17"/>
  <c r="A7" i="20"/>
  <c r="A6" i="20"/>
  <c r="A7" i="29"/>
  <c r="A6" i="29"/>
  <c r="A7" i="32"/>
  <c r="A6" i="32"/>
  <c r="A7" i="56"/>
  <c r="A6" i="56"/>
  <c r="A7" i="23"/>
  <c r="A6" i="23"/>
  <c r="A7" i="26"/>
  <c r="A6" i="26"/>
  <c r="A7" i="41"/>
  <c r="A6" i="41"/>
  <c r="A7" i="35"/>
  <c r="A6" i="35"/>
  <c r="A7" i="38"/>
  <c r="A6" i="38"/>
  <c r="A13" i="47"/>
  <c r="A7" i="47"/>
  <c r="A6" i="47"/>
  <c r="A7" i="53"/>
  <c r="A6" i="53"/>
  <c r="A7" i="76"/>
  <c r="A6" i="76"/>
  <c r="A7" i="61"/>
  <c r="A6" i="61"/>
  <c r="A7" i="64"/>
  <c r="A6" i="64"/>
  <c r="A7" i="44"/>
  <c r="A6" i="44"/>
  <c r="G213" i="72"/>
  <c r="H213" i="72"/>
  <c r="I213" i="72"/>
  <c r="J213" i="72"/>
  <c r="K213" i="72"/>
  <c r="L213" i="72"/>
  <c r="M213" i="72"/>
  <c r="N213" i="72"/>
  <c r="O213" i="72"/>
  <c r="P213" i="72"/>
  <c r="Q213" i="72"/>
  <c r="R213" i="72"/>
  <c r="G214" i="72"/>
  <c r="H214" i="72"/>
  <c r="I214" i="72"/>
  <c r="J214" i="72"/>
  <c r="K214" i="72"/>
  <c r="L214" i="72"/>
  <c r="M214" i="72"/>
  <c r="N214" i="72"/>
  <c r="O214" i="72"/>
  <c r="P214" i="72"/>
  <c r="Q214" i="72"/>
  <c r="R214" i="72"/>
  <c r="G215" i="72"/>
  <c r="H215" i="72"/>
  <c r="I215" i="72"/>
  <c r="J215" i="72"/>
  <c r="K215" i="72"/>
  <c r="L215" i="72"/>
  <c r="M215" i="72"/>
  <c r="N215" i="72"/>
  <c r="O215" i="72"/>
  <c r="P215" i="72"/>
  <c r="Q215" i="72"/>
  <c r="R215" i="72"/>
  <c r="G216" i="72"/>
  <c r="H216" i="72"/>
  <c r="I216" i="72"/>
  <c r="J216" i="72"/>
  <c r="K216" i="72"/>
  <c r="L216" i="72"/>
  <c r="M216" i="72"/>
  <c r="N216" i="72"/>
  <c r="O216" i="72"/>
  <c r="P216" i="72"/>
  <c r="Q216" i="72"/>
  <c r="R216" i="72"/>
  <c r="G217" i="72"/>
  <c r="H217" i="72"/>
  <c r="I217" i="72"/>
  <c r="J217" i="72"/>
  <c r="K217" i="72"/>
  <c r="L217" i="72"/>
  <c r="M217" i="72"/>
  <c r="N217" i="72"/>
  <c r="O217" i="72"/>
  <c r="P217" i="72"/>
  <c r="Q217" i="72"/>
  <c r="R217" i="72"/>
  <c r="G218" i="72"/>
  <c r="H218" i="72"/>
  <c r="I218" i="72"/>
  <c r="J218" i="72"/>
  <c r="K218" i="72"/>
  <c r="L218" i="72"/>
  <c r="M218" i="72"/>
  <c r="N218" i="72"/>
  <c r="O218" i="72"/>
  <c r="P218" i="72"/>
  <c r="Q218" i="72"/>
  <c r="R218" i="72"/>
  <c r="G219" i="72"/>
  <c r="H219" i="72"/>
  <c r="I219" i="72"/>
  <c r="J219" i="72"/>
  <c r="K219" i="72"/>
  <c r="L219" i="72"/>
  <c r="M219" i="72"/>
  <c r="N219" i="72"/>
  <c r="O219" i="72"/>
  <c r="P219" i="72"/>
  <c r="Q219" i="72"/>
  <c r="R219" i="72"/>
  <c r="G220" i="72"/>
  <c r="H220" i="72"/>
  <c r="I220" i="72"/>
  <c r="J220" i="72"/>
  <c r="K220" i="72"/>
  <c r="L220" i="72"/>
  <c r="M220" i="72"/>
  <c r="N220" i="72"/>
  <c r="O220" i="72"/>
  <c r="P220" i="72"/>
  <c r="Q220" i="72"/>
  <c r="R220" i="72"/>
  <c r="G221" i="72"/>
  <c r="H221" i="72"/>
  <c r="I221" i="72"/>
  <c r="J221" i="72"/>
  <c r="K221" i="72"/>
  <c r="L221" i="72"/>
  <c r="M221" i="72"/>
  <c r="N221" i="72"/>
  <c r="O221" i="72"/>
  <c r="P221" i="72"/>
  <c r="Q221" i="72"/>
  <c r="R221" i="72"/>
  <c r="G222" i="72"/>
  <c r="H222" i="72"/>
  <c r="I222" i="72"/>
  <c r="J222" i="72"/>
  <c r="K222" i="72"/>
  <c r="L222" i="72"/>
  <c r="M222" i="72"/>
  <c r="N222" i="72"/>
  <c r="O222" i="72"/>
  <c r="P222" i="72"/>
  <c r="Q222" i="72"/>
  <c r="R222" i="72"/>
  <c r="G223" i="72"/>
  <c r="H223" i="72"/>
  <c r="I223" i="72"/>
  <c r="J223" i="72"/>
  <c r="K223" i="72"/>
  <c r="L223" i="72"/>
  <c r="M223" i="72"/>
  <c r="N223" i="72"/>
  <c r="O223" i="72"/>
  <c r="P223" i="72"/>
  <c r="Q223" i="72"/>
  <c r="R223" i="72"/>
  <c r="G224" i="72"/>
  <c r="H224" i="72"/>
  <c r="I224" i="72"/>
  <c r="J224" i="72"/>
  <c r="K224" i="72"/>
  <c r="L224" i="72"/>
  <c r="M224" i="72"/>
  <c r="N224" i="72"/>
  <c r="O224" i="72"/>
  <c r="P224" i="72"/>
  <c r="Q224" i="72"/>
  <c r="R224" i="72"/>
  <c r="G225" i="72"/>
  <c r="H225" i="72"/>
  <c r="I225" i="72"/>
  <c r="J225" i="72"/>
  <c r="K225" i="72"/>
  <c r="L225" i="72"/>
  <c r="M225" i="72"/>
  <c r="N225" i="72"/>
  <c r="O225" i="72"/>
  <c r="P225" i="72"/>
  <c r="Q225" i="72"/>
  <c r="R225" i="72"/>
  <c r="G226" i="72"/>
  <c r="H226" i="72"/>
  <c r="I226" i="72"/>
  <c r="J226" i="72"/>
  <c r="K226" i="72"/>
  <c r="L226" i="72"/>
  <c r="M226" i="72"/>
  <c r="N226" i="72"/>
  <c r="O226" i="72"/>
  <c r="P226" i="72"/>
  <c r="Q226" i="72"/>
  <c r="R226" i="72"/>
  <c r="G227" i="72"/>
  <c r="H227" i="72"/>
  <c r="I227" i="72"/>
  <c r="J227" i="72"/>
  <c r="K227" i="72"/>
  <c r="L227" i="72"/>
  <c r="M227" i="72"/>
  <c r="N227" i="72"/>
  <c r="O227" i="72"/>
  <c r="P227" i="72"/>
  <c r="Q227" i="72"/>
  <c r="R227" i="72"/>
  <c r="G228" i="72"/>
  <c r="H228" i="72"/>
  <c r="I228" i="72"/>
  <c r="J228" i="72"/>
  <c r="K228" i="72"/>
  <c r="L228" i="72"/>
  <c r="M228" i="72"/>
  <c r="N228" i="72"/>
  <c r="O228" i="72"/>
  <c r="P228" i="72"/>
  <c r="Q228" i="72"/>
  <c r="R228" i="72"/>
  <c r="G229" i="72"/>
  <c r="H229" i="72"/>
  <c r="I229" i="72"/>
  <c r="J229" i="72"/>
  <c r="K229" i="72"/>
  <c r="L229" i="72"/>
  <c r="M229" i="72"/>
  <c r="N229" i="72"/>
  <c r="O229" i="72"/>
  <c r="P229" i="72"/>
  <c r="Q229" i="72"/>
  <c r="R229" i="72"/>
  <c r="G230" i="72"/>
  <c r="H230" i="72"/>
  <c r="I230" i="72"/>
  <c r="J230" i="72"/>
  <c r="K230" i="72"/>
  <c r="L230" i="72"/>
  <c r="M230" i="72"/>
  <c r="N230" i="72"/>
  <c r="O230" i="72"/>
  <c r="P230" i="72"/>
  <c r="Q230" i="72"/>
  <c r="R230" i="72"/>
  <c r="G231" i="72"/>
  <c r="H231" i="72"/>
  <c r="I231" i="72"/>
  <c r="J231" i="72"/>
  <c r="K231" i="72"/>
  <c r="L231" i="72"/>
  <c r="M231" i="72"/>
  <c r="N231" i="72"/>
  <c r="O231" i="72"/>
  <c r="P231" i="72"/>
  <c r="Q231" i="72"/>
  <c r="R231" i="72"/>
  <c r="G232" i="72"/>
  <c r="H232" i="72"/>
  <c r="I232" i="72"/>
  <c r="J232" i="72"/>
  <c r="K232" i="72"/>
  <c r="L232" i="72"/>
  <c r="M232" i="72"/>
  <c r="N232" i="72"/>
  <c r="O232" i="72"/>
  <c r="P232" i="72"/>
  <c r="Q232" i="72"/>
  <c r="R232" i="72"/>
  <c r="G233" i="72"/>
  <c r="H233" i="72"/>
  <c r="I233" i="72"/>
  <c r="J233" i="72"/>
  <c r="K233" i="72"/>
  <c r="L233" i="72"/>
  <c r="M233" i="72"/>
  <c r="N233" i="72"/>
  <c r="O233" i="72"/>
  <c r="P233" i="72"/>
  <c r="Q233" i="72"/>
  <c r="R233" i="72"/>
  <c r="G234" i="72"/>
  <c r="H234" i="72"/>
  <c r="I234" i="72"/>
  <c r="J234" i="72"/>
  <c r="K234" i="72"/>
  <c r="L234" i="72"/>
  <c r="M234" i="72"/>
  <c r="N234" i="72"/>
  <c r="O234" i="72"/>
  <c r="P234" i="72"/>
  <c r="Q234" i="72"/>
  <c r="R234" i="72"/>
  <c r="J212" i="72"/>
  <c r="K212" i="72"/>
  <c r="L212" i="72"/>
  <c r="M212" i="72"/>
  <c r="N212" i="72"/>
  <c r="O212" i="72"/>
  <c r="P212" i="72"/>
  <c r="Q212" i="72"/>
  <c r="R212" i="72"/>
  <c r="H212" i="72"/>
  <c r="I212" i="72"/>
  <c r="G198" i="72"/>
  <c r="F33" i="35" s="1"/>
  <c r="G202" i="72"/>
  <c r="F33" i="26" s="1"/>
  <c r="G189" i="72"/>
  <c r="F33" i="38" s="1"/>
  <c r="A7" i="1"/>
  <c r="A6" i="1"/>
  <c r="A39" i="1"/>
  <c r="D115" i="1"/>
  <c r="F137" i="60"/>
  <c r="C176" i="59"/>
  <c r="T166" i="59"/>
  <c r="AK214" i="50" l="1"/>
  <c r="AK215" i="50" s="1"/>
  <c r="P58" i="1"/>
  <c r="Q58" i="1"/>
  <c r="G244" i="59"/>
  <c r="F20" i="1" s="1"/>
  <c r="F27" i="1"/>
  <c r="F13" i="1"/>
  <c r="F6" i="83"/>
  <c r="F7" i="83" s="1"/>
  <c r="F27" i="83"/>
  <c r="F13" i="83"/>
  <c r="P42" i="83"/>
  <c r="P35" i="83"/>
  <c r="O35" i="83"/>
  <c r="O42" i="83"/>
  <c r="N35" i="83"/>
  <c r="N42" i="83"/>
  <c r="M35" i="83"/>
  <c r="M42" i="83"/>
  <c r="L35" i="83"/>
  <c r="L42" i="83"/>
  <c r="K35" i="83"/>
  <c r="K42" i="83"/>
  <c r="I35" i="83"/>
  <c r="I42" i="83"/>
  <c r="J35" i="83"/>
  <c r="J42" i="83"/>
  <c r="H42" i="83"/>
  <c r="H35" i="83"/>
  <c r="W10" i="79"/>
  <c r="Z11" i="71"/>
  <c r="G92" i="59"/>
  <c r="W8" i="79"/>
  <c r="Z8" i="71"/>
  <c r="AC3" i="79"/>
  <c r="AB3" i="79" s="1"/>
  <c r="P42" i="1"/>
  <c r="P35" i="1"/>
  <c r="I42" i="41"/>
  <c r="I35" i="41"/>
  <c r="M35" i="53"/>
  <c r="M42" i="76"/>
  <c r="M35" i="76"/>
  <c r="M42" i="53"/>
  <c r="I42" i="50"/>
  <c r="I35" i="50"/>
  <c r="M35" i="26"/>
  <c r="M42" i="26"/>
  <c r="M35" i="64"/>
  <c r="M42" i="64"/>
  <c r="I35" i="61"/>
  <c r="I42" i="61"/>
  <c r="M42" i="35"/>
  <c r="M35" i="35"/>
  <c r="I35" i="20"/>
  <c r="I42" i="20"/>
  <c r="I42" i="29"/>
  <c r="I35" i="29"/>
  <c r="M42" i="23"/>
  <c r="M35" i="23"/>
  <c r="I42" i="47"/>
  <c r="I35" i="47"/>
  <c r="M35" i="14"/>
  <c r="M42" i="14"/>
  <c r="I35" i="11"/>
  <c r="I42" i="11"/>
  <c r="M35" i="32"/>
  <c r="M42" i="32"/>
  <c r="I42" i="38"/>
  <c r="I35" i="38"/>
  <c r="M42" i="17"/>
  <c r="M35" i="17"/>
  <c r="I42" i="5"/>
  <c r="I35" i="5"/>
  <c r="M35" i="56"/>
  <c r="M42" i="56"/>
  <c r="I42" i="8"/>
  <c r="I35" i="8"/>
  <c r="M35" i="44"/>
  <c r="M42" i="44"/>
  <c r="O42" i="1"/>
  <c r="O35" i="1"/>
  <c r="P42" i="41"/>
  <c r="P35" i="41"/>
  <c r="H42" i="41"/>
  <c r="H35" i="41"/>
  <c r="L42" i="53"/>
  <c r="L35" i="53"/>
  <c r="L42" i="76"/>
  <c r="L35" i="76"/>
  <c r="P35" i="50"/>
  <c r="P42" i="50"/>
  <c r="H35" i="50"/>
  <c r="H42" i="50"/>
  <c r="L42" i="26"/>
  <c r="L35" i="26"/>
  <c r="L42" i="64"/>
  <c r="L35" i="64"/>
  <c r="P35" i="61"/>
  <c r="P42" i="61"/>
  <c r="H35" i="61"/>
  <c r="H42" i="61"/>
  <c r="L42" i="35"/>
  <c r="L35" i="35"/>
  <c r="P35" i="20"/>
  <c r="P42" i="20"/>
  <c r="H35" i="20"/>
  <c r="H42" i="20"/>
  <c r="P42" i="29"/>
  <c r="P35" i="29"/>
  <c r="H42" i="29"/>
  <c r="H35" i="29"/>
  <c r="L42" i="23"/>
  <c r="L35" i="23"/>
  <c r="P35" i="47"/>
  <c r="P42" i="47"/>
  <c r="H35" i="47"/>
  <c r="H42" i="47"/>
  <c r="L42" i="14"/>
  <c r="L35" i="14"/>
  <c r="P35" i="11"/>
  <c r="P42" i="11"/>
  <c r="H35" i="11"/>
  <c r="H42" i="11"/>
  <c r="L35" i="32"/>
  <c r="L42" i="32"/>
  <c r="P42" i="38"/>
  <c r="P35" i="38"/>
  <c r="H42" i="38"/>
  <c r="H35" i="38"/>
  <c r="L42" i="17"/>
  <c r="L35" i="17"/>
  <c r="P42" i="5"/>
  <c r="P35" i="5"/>
  <c r="H42" i="5"/>
  <c r="H35" i="5"/>
  <c r="L42" i="56"/>
  <c r="L35" i="56"/>
  <c r="P42" i="8"/>
  <c r="P35" i="8"/>
  <c r="H42" i="8"/>
  <c r="H35" i="8"/>
  <c r="L35" i="44"/>
  <c r="L42" i="44"/>
  <c r="N42" i="1"/>
  <c r="N35" i="1"/>
  <c r="O42" i="41"/>
  <c r="O35" i="41"/>
  <c r="K35" i="76"/>
  <c r="K42" i="53"/>
  <c r="K35" i="53"/>
  <c r="K42" i="76"/>
  <c r="O35" i="50"/>
  <c r="O42" i="50"/>
  <c r="K42" i="26"/>
  <c r="K35" i="26"/>
  <c r="K42" i="64"/>
  <c r="K35" i="64"/>
  <c r="O35" i="61"/>
  <c r="O42" i="61"/>
  <c r="K42" i="35"/>
  <c r="K35" i="35"/>
  <c r="O35" i="20"/>
  <c r="O42" i="20"/>
  <c r="O35" i="29"/>
  <c r="O42" i="29"/>
  <c r="K42" i="23"/>
  <c r="K35" i="23"/>
  <c r="O35" i="47"/>
  <c r="O42" i="47"/>
  <c r="K42" i="14"/>
  <c r="K35" i="14"/>
  <c r="O35" i="11"/>
  <c r="O42" i="11"/>
  <c r="K35" i="32"/>
  <c r="K42" i="32"/>
  <c r="O42" i="38"/>
  <c r="O35" i="38"/>
  <c r="K42" i="17"/>
  <c r="K35" i="17"/>
  <c r="O42" i="5"/>
  <c r="O35" i="5"/>
  <c r="K42" i="56"/>
  <c r="K35" i="56"/>
  <c r="O35" i="8"/>
  <c r="O42" i="8"/>
  <c r="K35" i="44"/>
  <c r="K42" i="44"/>
  <c r="M42" i="1"/>
  <c r="M35" i="1"/>
  <c r="N42" i="41"/>
  <c r="N35" i="41"/>
  <c r="J35" i="76"/>
  <c r="J42" i="53"/>
  <c r="J35" i="53"/>
  <c r="J42" i="76"/>
  <c r="N35" i="50"/>
  <c r="N42" i="50"/>
  <c r="J42" i="26"/>
  <c r="J35" i="26"/>
  <c r="J42" i="64"/>
  <c r="J35" i="64"/>
  <c r="N42" i="61"/>
  <c r="N35" i="61"/>
  <c r="J42" i="35"/>
  <c r="J35" i="35"/>
  <c r="N42" i="20"/>
  <c r="N35" i="20"/>
  <c r="N35" i="29"/>
  <c r="N42" i="29"/>
  <c r="J35" i="23"/>
  <c r="J42" i="23"/>
  <c r="N35" i="47"/>
  <c r="N42" i="47"/>
  <c r="J42" i="14"/>
  <c r="J35" i="14"/>
  <c r="N42" i="11"/>
  <c r="N35" i="11"/>
  <c r="J42" i="32"/>
  <c r="J35" i="32"/>
  <c r="N42" i="38"/>
  <c r="N35" i="38"/>
  <c r="J35" i="17"/>
  <c r="J42" i="17"/>
  <c r="N42" i="5"/>
  <c r="N35" i="5"/>
  <c r="J42" i="56"/>
  <c r="J35" i="56"/>
  <c r="N35" i="8"/>
  <c r="N42" i="8"/>
  <c r="J35" i="44"/>
  <c r="J42" i="44"/>
  <c r="L42" i="1"/>
  <c r="L35" i="1"/>
  <c r="M35" i="41"/>
  <c r="M42" i="41"/>
  <c r="I35" i="76"/>
  <c r="I42" i="53"/>
  <c r="I35" i="53"/>
  <c r="I42" i="76"/>
  <c r="M42" i="50"/>
  <c r="M35" i="50"/>
  <c r="I42" i="26"/>
  <c r="I35" i="26"/>
  <c r="I42" i="64"/>
  <c r="I35" i="64"/>
  <c r="M42" i="61"/>
  <c r="M35" i="61"/>
  <c r="I35" i="35"/>
  <c r="I42" i="35"/>
  <c r="M42" i="20"/>
  <c r="M35" i="20"/>
  <c r="M35" i="29"/>
  <c r="M42" i="29"/>
  <c r="I35" i="23"/>
  <c r="I42" i="23"/>
  <c r="M42" i="47"/>
  <c r="M35" i="47"/>
  <c r="I42" i="14"/>
  <c r="I35" i="14"/>
  <c r="M42" i="11"/>
  <c r="M35" i="11"/>
  <c r="I42" i="32"/>
  <c r="I35" i="32"/>
  <c r="M42" i="38"/>
  <c r="M35" i="38"/>
  <c r="I35" i="17"/>
  <c r="I42" i="17"/>
  <c r="M35" i="5"/>
  <c r="M42" i="5"/>
  <c r="I42" i="56"/>
  <c r="I35" i="56"/>
  <c r="M35" i="8"/>
  <c r="M42" i="8"/>
  <c r="I35" i="44"/>
  <c r="I42" i="44"/>
  <c r="H42" i="1"/>
  <c r="H35" i="1"/>
  <c r="K35" i="1"/>
  <c r="K42" i="1"/>
  <c r="L35" i="41"/>
  <c r="L42" i="41"/>
  <c r="P42" i="76"/>
  <c r="P35" i="76"/>
  <c r="P42" i="53"/>
  <c r="P35" i="53"/>
  <c r="H42" i="76"/>
  <c r="H35" i="76"/>
  <c r="H42" i="53"/>
  <c r="H35" i="53"/>
  <c r="L42" i="50"/>
  <c r="L35" i="50"/>
  <c r="P42" i="26"/>
  <c r="P35" i="26"/>
  <c r="H42" i="26"/>
  <c r="H35" i="26"/>
  <c r="P42" i="64"/>
  <c r="P35" i="64"/>
  <c r="H42" i="64"/>
  <c r="H35" i="64"/>
  <c r="L42" i="61"/>
  <c r="L35" i="61"/>
  <c r="P35" i="35"/>
  <c r="P42" i="35"/>
  <c r="H35" i="35"/>
  <c r="H42" i="35"/>
  <c r="L42" i="20"/>
  <c r="L35" i="20"/>
  <c r="L42" i="29"/>
  <c r="L35" i="29"/>
  <c r="P35" i="23"/>
  <c r="P42" i="23"/>
  <c r="H35" i="23"/>
  <c r="H42" i="23"/>
  <c r="L42" i="47"/>
  <c r="L35" i="47"/>
  <c r="P42" i="14"/>
  <c r="P35" i="14"/>
  <c r="H42" i="14"/>
  <c r="H35" i="14"/>
  <c r="L42" i="11"/>
  <c r="L35" i="11"/>
  <c r="P42" i="32"/>
  <c r="P35" i="32"/>
  <c r="H42" i="32"/>
  <c r="H35" i="32"/>
  <c r="L35" i="38"/>
  <c r="L42" i="38"/>
  <c r="P35" i="17"/>
  <c r="P42" i="17"/>
  <c r="H35" i="17"/>
  <c r="H42" i="17"/>
  <c r="L35" i="5"/>
  <c r="L42" i="5"/>
  <c r="P42" i="56"/>
  <c r="P35" i="56"/>
  <c r="H42" i="56"/>
  <c r="H35" i="56"/>
  <c r="L42" i="8"/>
  <c r="L35" i="8"/>
  <c r="P42" i="44"/>
  <c r="P35" i="44"/>
  <c r="H42" i="44"/>
  <c r="H35" i="44"/>
  <c r="J35" i="1"/>
  <c r="J42" i="1"/>
  <c r="K35" i="41"/>
  <c r="K42" i="41"/>
  <c r="O35" i="53"/>
  <c r="O42" i="76"/>
  <c r="O35" i="76"/>
  <c r="O42" i="53"/>
  <c r="K42" i="50"/>
  <c r="K35" i="50"/>
  <c r="O35" i="26"/>
  <c r="O42" i="26"/>
  <c r="O35" i="64"/>
  <c r="O42" i="64"/>
  <c r="K42" i="61"/>
  <c r="K35" i="61"/>
  <c r="O35" i="35"/>
  <c r="O42" i="35"/>
  <c r="K42" i="20"/>
  <c r="K35" i="20"/>
  <c r="K42" i="29"/>
  <c r="K35" i="29"/>
  <c r="O42" i="23"/>
  <c r="O35" i="23"/>
  <c r="K42" i="47"/>
  <c r="K35" i="47"/>
  <c r="O35" i="14"/>
  <c r="O42" i="14"/>
  <c r="K42" i="11"/>
  <c r="K35" i="11"/>
  <c r="O42" i="32"/>
  <c r="O35" i="32"/>
  <c r="K35" i="38"/>
  <c r="K42" i="38"/>
  <c r="O42" i="17"/>
  <c r="O35" i="17"/>
  <c r="K35" i="5"/>
  <c r="K42" i="5"/>
  <c r="O35" i="56"/>
  <c r="O42" i="56"/>
  <c r="K42" i="8"/>
  <c r="K35" i="8"/>
  <c r="O42" i="44"/>
  <c r="O35" i="44"/>
  <c r="I35" i="1"/>
  <c r="I42" i="1"/>
  <c r="J42" i="41"/>
  <c r="J35" i="41"/>
  <c r="N35" i="53"/>
  <c r="N42" i="76"/>
  <c r="N35" i="76"/>
  <c r="N42" i="53"/>
  <c r="J42" i="50"/>
  <c r="J35" i="50"/>
  <c r="N35" i="26"/>
  <c r="N42" i="26"/>
  <c r="N35" i="64"/>
  <c r="N42" i="64"/>
  <c r="J42" i="61"/>
  <c r="J35" i="61"/>
  <c r="N42" i="35"/>
  <c r="N35" i="35"/>
  <c r="J42" i="20"/>
  <c r="J35" i="20"/>
  <c r="J42" i="29"/>
  <c r="J35" i="29"/>
  <c r="N42" i="23"/>
  <c r="N35" i="23"/>
  <c r="J42" i="47"/>
  <c r="J35" i="47"/>
  <c r="N35" i="14"/>
  <c r="N42" i="14"/>
  <c r="J42" i="11"/>
  <c r="J35" i="11"/>
  <c r="N42" i="32"/>
  <c r="N35" i="32"/>
  <c r="J35" i="38"/>
  <c r="J42" i="38"/>
  <c r="N42" i="17"/>
  <c r="N35" i="17"/>
  <c r="J42" i="5"/>
  <c r="J35" i="5"/>
  <c r="N35" i="56"/>
  <c r="N42" i="56"/>
  <c r="J42" i="8"/>
  <c r="J35" i="8"/>
  <c r="N42" i="44"/>
  <c r="N35" i="44"/>
  <c r="Z5" i="71"/>
  <c r="W5" i="79"/>
  <c r="Z13" i="71"/>
  <c r="W12" i="79"/>
  <c r="G302" i="59"/>
  <c r="F21" i="1" s="1"/>
  <c r="F6" i="1"/>
  <c r="F7" i="1" s="1"/>
  <c r="S257" i="59"/>
  <c r="S315" i="59"/>
  <c r="M235" i="72"/>
  <c r="R235" i="72"/>
  <c r="S233" i="72"/>
  <c r="S231" i="72"/>
  <c r="S230" i="72"/>
  <c r="S228" i="72"/>
  <c r="S227" i="72"/>
  <c r="S225" i="72"/>
  <c r="S224" i="72"/>
  <c r="S222" i="72"/>
  <c r="S220" i="72"/>
  <c r="S217" i="72"/>
  <c r="S216" i="72"/>
  <c r="S215" i="72"/>
  <c r="S214" i="72"/>
  <c r="N235" i="72"/>
  <c r="H235" i="72"/>
  <c r="AK214" i="56"/>
  <c r="AK215" i="56" s="1"/>
  <c r="AK214" i="61"/>
  <c r="AK215" i="61" s="1"/>
  <c r="AK214" i="23"/>
  <c r="AK215" i="23" s="1"/>
  <c r="AK214" i="26"/>
  <c r="AK215" i="26" s="1"/>
  <c r="Q15" i="44"/>
  <c r="Q15" i="41"/>
  <c r="Q15" i="47"/>
  <c r="Q15" i="5"/>
  <c r="O59" i="23"/>
  <c r="G57" i="20"/>
  <c r="L57" i="29"/>
  <c r="P59" i="53"/>
  <c r="N59" i="20"/>
  <c r="G58" i="1"/>
  <c r="I58" i="1"/>
  <c r="H57" i="41"/>
  <c r="J58" i="1"/>
  <c r="L58" i="1"/>
  <c r="O58" i="1"/>
  <c r="I59" i="76"/>
  <c r="F59" i="38"/>
  <c r="Q15" i="56"/>
  <c r="Q15" i="8"/>
  <c r="P57" i="32"/>
  <c r="O59" i="38"/>
  <c r="K59" i="26"/>
  <c r="H59" i="14"/>
  <c r="F59" i="41"/>
  <c r="K57" i="20"/>
  <c r="H59" i="5"/>
  <c r="J58" i="44"/>
  <c r="Q59" i="41"/>
  <c r="Q15" i="35"/>
  <c r="Q15" i="17"/>
  <c r="F59" i="23"/>
  <c r="K58" i="11"/>
  <c r="L57" i="76"/>
  <c r="I59" i="23"/>
  <c r="H57" i="32"/>
  <c r="F59" i="20"/>
  <c r="H57" i="61"/>
  <c r="Q15" i="20"/>
  <c r="N58" i="64"/>
  <c r="K57" i="61"/>
  <c r="N59" i="14"/>
  <c r="J58" i="64"/>
  <c r="P58" i="64"/>
  <c r="L57" i="61"/>
  <c r="O57" i="61"/>
  <c r="Q15" i="76"/>
  <c r="Q15" i="11"/>
  <c r="J59" i="64"/>
  <c r="J59" i="76"/>
  <c r="I59" i="41"/>
  <c r="L59" i="26"/>
  <c r="F57" i="32"/>
  <c r="I57" i="20"/>
  <c r="G59" i="20"/>
  <c r="K59" i="76"/>
  <c r="M59" i="50"/>
  <c r="O59" i="41"/>
  <c r="P59" i="26"/>
  <c r="G57" i="32"/>
  <c r="J57" i="20"/>
  <c r="H59" i="20"/>
  <c r="F58" i="64"/>
  <c r="G57" i="61"/>
  <c r="I59" i="38"/>
  <c r="K57" i="32"/>
  <c r="N57" i="20"/>
  <c r="Q59" i="20"/>
  <c r="N57" i="26"/>
  <c r="O57" i="26"/>
  <c r="M57" i="26"/>
  <c r="L57" i="26"/>
  <c r="J57" i="26"/>
  <c r="L57" i="53"/>
  <c r="N57" i="53"/>
  <c r="M57" i="53"/>
  <c r="K57" i="53"/>
  <c r="J57" i="53"/>
  <c r="G57" i="53"/>
  <c r="L57" i="35"/>
  <c r="O57" i="35"/>
  <c r="N57" i="35"/>
  <c r="M57" i="35"/>
  <c r="J57" i="35"/>
  <c r="G57" i="35"/>
  <c r="F57" i="35"/>
  <c r="Q15" i="29"/>
  <c r="O58" i="64"/>
  <c r="N59" i="50"/>
  <c r="P59" i="38"/>
  <c r="I57" i="41"/>
  <c r="P59" i="41"/>
  <c r="P59" i="23"/>
  <c r="J59" i="17"/>
  <c r="O59" i="14"/>
  <c r="I59" i="5"/>
  <c r="P59" i="50"/>
  <c r="J57" i="41"/>
  <c r="K59" i="17"/>
  <c r="P59" i="14"/>
  <c r="L59" i="5"/>
  <c r="Q15" i="61"/>
  <c r="Q15" i="53"/>
  <c r="Q15" i="26"/>
  <c r="G58" i="64"/>
  <c r="P57" i="61"/>
  <c r="Q59" i="76"/>
  <c r="F59" i="50"/>
  <c r="Q59" i="50"/>
  <c r="G59" i="38"/>
  <c r="K57" i="41"/>
  <c r="G59" i="41"/>
  <c r="G59" i="23"/>
  <c r="I57" i="32"/>
  <c r="M57" i="29"/>
  <c r="O57" i="20"/>
  <c r="I59" i="20"/>
  <c r="L59" i="17"/>
  <c r="F59" i="14"/>
  <c r="N59" i="5"/>
  <c r="I58" i="44"/>
  <c r="H58" i="64"/>
  <c r="I59" i="64"/>
  <c r="K57" i="76"/>
  <c r="G59" i="50"/>
  <c r="H59" i="38"/>
  <c r="N57" i="41"/>
  <c r="H59" i="41"/>
  <c r="H59" i="23"/>
  <c r="J57" i="32"/>
  <c r="F57" i="20"/>
  <c r="P57" i="20"/>
  <c r="L59" i="20"/>
  <c r="G59" i="14"/>
  <c r="J58" i="11"/>
  <c r="O59" i="5"/>
  <c r="H59" i="50"/>
  <c r="O57" i="41"/>
  <c r="P59" i="5"/>
  <c r="Q15" i="32"/>
  <c r="K58" i="44"/>
  <c r="K58" i="64"/>
  <c r="K59" i="64"/>
  <c r="I59" i="50"/>
  <c r="L59" i="38"/>
  <c r="F57" i="41"/>
  <c r="P57" i="41"/>
  <c r="L59" i="41"/>
  <c r="L59" i="23"/>
  <c r="N57" i="32"/>
  <c r="H57" i="20"/>
  <c r="O59" i="20"/>
  <c r="I59" i="14"/>
  <c r="L58" i="11"/>
  <c r="F59" i="5"/>
  <c r="L58" i="64"/>
  <c r="Q59" i="64"/>
  <c r="I57" i="61"/>
  <c r="N59" i="38"/>
  <c r="G57" i="41"/>
  <c r="N59" i="41"/>
  <c r="J59" i="26"/>
  <c r="N59" i="23"/>
  <c r="O57" i="32"/>
  <c r="P59" i="20"/>
  <c r="L59" i="14"/>
  <c r="G59" i="5"/>
  <c r="H59" i="35"/>
  <c r="O59" i="53"/>
  <c r="G59" i="53"/>
  <c r="N59" i="53"/>
  <c r="F59" i="53"/>
  <c r="J59" i="35"/>
  <c r="K59" i="56"/>
  <c r="L58" i="44"/>
  <c r="I58" i="64"/>
  <c r="Q58" i="64"/>
  <c r="L59" i="64"/>
  <c r="J57" i="61"/>
  <c r="F57" i="76"/>
  <c r="N57" i="76"/>
  <c r="L59" i="76"/>
  <c r="H59" i="53"/>
  <c r="K59" i="50"/>
  <c r="J59" i="50"/>
  <c r="O59" i="50"/>
  <c r="L59" i="56"/>
  <c r="Q59" i="35"/>
  <c r="I59" i="35"/>
  <c r="O59" i="35"/>
  <c r="G59" i="35"/>
  <c r="N59" i="35"/>
  <c r="F59" i="35"/>
  <c r="O57" i="76"/>
  <c r="M59" i="56"/>
  <c r="F58" i="44"/>
  <c r="N58" i="44"/>
  <c r="F59" i="64"/>
  <c r="N59" i="64"/>
  <c r="H57" i="76"/>
  <c r="P57" i="76"/>
  <c r="F59" i="76"/>
  <c r="N59" i="76"/>
  <c r="J59" i="53"/>
  <c r="M59" i="35"/>
  <c r="K57" i="26"/>
  <c r="I57" i="26"/>
  <c r="P57" i="26"/>
  <c r="H57" i="26"/>
  <c r="M58" i="44"/>
  <c r="M59" i="64"/>
  <c r="M59" i="76"/>
  <c r="L59" i="35"/>
  <c r="G58" i="44"/>
  <c r="Q58" i="44" s="1"/>
  <c r="O58" i="44"/>
  <c r="G59" i="64"/>
  <c r="O59" i="64"/>
  <c r="M57" i="61"/>
  <c r="I57" i="76"/>
  <c r="G59" i="76"/>
  <c r="O59" i="76"/>
  <c r="I57" i="53"/>
  <c r="P57" i="53"/>
  <c r="H57" i="53"/>
  <c r="O57" i="53"/>
  <c r="K59" i="53"/>
  <c r="P59" i="35"/>
  <c r="F57" i="26"/>
  <c r="Q59" i="26"/>
  <c r="I59" i="26"/>
  <c r="O59" i="26"/>
  <c r="G59" i="26"/>
  <c r="N59" i="26"/>
  <c r="F59" i="26"/>
  <c r="K57" i="29"/>
  <c r="J57" i="29"/>
  <c r="I57" i="29"/>
  <c r="P57" i="29"/>
  <c r="H57" i="29"/>
  <c r="O57" i="29"/>
  <c r="G57" i="29"/>
  <c r="I59" i="56"/>
  <c r="P59" i="56"/>
  <c r="H59" i="56"/>
  <c r="O59" i="56"/>
  <c r="G59" i="56"/>
  <c r="Q59" i="56" s="1"/>
  <c r="N59" i="56"/>
  <c r="F59" i="56"/>
  <c r="M57" i="76"/>
  <c r="Q59" i="53"/>
  <c r="G57" i="76"/>
  <c r="I59" i="53"/>
  <c r="H58" i="44"/>
  <c r="H59" i="64"/>
  <c r="F57" i="61"/>
  <c r="H59" i="76"/>
  <c r="F57" i="53"/>
  <c r="L59" i="53"/>
  <c r="K57" i="35"/>
  <c r="I57" i="35"/>
  <c r="P57" i="35"/>
  <c r="Q57" i="35" s="1"/>
  <c r="H57" i="35"/>
  <c r="G57" i="26"/>
  <c r="H59" i="26"/>
  <c r="F57" i="29"/>
  <c r="M59" i="17"/>
  <c r="M58" i="11"/>
  <c r="J59" i="38"/>
  <c r="L57" i="41"/>
  <c r="J59" i="41"/>
  <c r="J59" i="23"/>
  <c r="L57" i="32"/>
  <c r="L57" i="20"/>
  <c r="J59" i="20"/>
  <c r="F59" i="17"/>
  <c r="N59" i="17"/>
  <c r="J59" i="14"/>
  <c r="F58" i="11"/>
  <c r="N58" i="11"/>
  <c r="J59" i="5"/>
  <c r="K59" i="38"/>
  <c r="K59" i="41"/>
  <c r="K59" i="23"/>
  <c r="K59" i="20"/>
  <c r="G59" i="17"/>
  <c r="O59" i="17"/>
  <c r="K59" i="14"/>
  <c r="G58" i="11"/>
  <c r="O58" i="11"/>
  <c r="K59" i="5"/>
  <c r="H59" i="17"/>
  <c r="P59" i="17"/>
  <c r="H58" i="11"/>
  <c r="P58" i="11"/>
  <c r="I59" i="17"/>
  <c r="I58" i="11"/>
  <c r="K58" i="1"/>
  <c r="M58" i="1"/>
  <c r="F58" i="1"/>
  <c r="N58" i="1"/>
  <c r="H58" i="1"/>
  <c r="Q15" i="50"/>
  <c r="Q15" i="38"/>
  <c r="Q15" i="23"/>
  <c r="Q15" i="14"/>
  <c r="S232" i="72"/>
  <c r="L235" i="72"/>
  <c r="S223" i="72"/>
  <c r="S234" i="72"/>
  <c r="S226" i="72"/>
  <c r="S218" i="72"/>
  <c r="J235" i="72"/>
  <c r="Q235" i="72"/>
  <c r="I235" i="72"/>
  <c r="P235" i="72"/>
  <c r="S229" i="72"/>
  <c r="S221" i="72"/>
  <c r="S219" i="72"/>
  <c r="S213" i="72"/>
  <c r="O235" i="72"/>
  <c r="K235" i="72"/>
  <c r="G235" i="72"/>
  <c r="S212" i="72"/>
  <c r="F20" i="83" l="1"/>
  <c r="F21" i="83"/>
  <c r="Q35" i="83"/>
  <c r="Q42" i="83"/>
  <c r="Q42" i="64"/>
  <c r="Q42" i="44"/>
  <c r="Q42" i="11"/>
  <c r="Q42" i="8"/>
  <c r="Q35" i="17"/>
  <c r="Q35" i="35"/>
  <c r="Q35" i="32"/>
  <c r="Q35" i="8"/>
  <c r="Q42" i="17"/>
  <c r="Q42" i="14"/>
  <c r="Q35" i="5"/>
  <c r="Q42" i="23"/>
  <c r="Q42" i="38"/>
  <c r="Q42" i="56"/>
  <c r="Q42" i="32"/>
  <c r="Q35" i="64"/>
  <c r="Q42" i="76"/>
  <c r="Q42" i="29"/>
  <c r="Q35" i="26"/>
  <c r="Q35" i="76"/>
  <c r="Q35" i="23"/>
  <c r="Q42" i="53"/>
  <c r="Q35" i="11"/>
  <c r="Q42" i="26"/>
  <c r="Q35" i="38"/>
  <c r="Q42" i="5"/>
  <c r="Q35" i="50"/>
  <c r="Q35" i="14"/>
  <c r="Q35" i="1"/>
  <c r="Q42" i="61"/>
  <c r="Q35" i="41"/>
  <c r="Q35" i="61"/>
  <c r="Q35" i="29"/>
  <c r="Q42" i="50"/>
  <c r="Q35" i="20"/>
  <c r="Q35" i="44"/>
  <c r="Q35" i="47"/>
  <c r="Q42" i="35"/>
  <c r="Q42" i="20"/>
  <c r="Q42" i="47"/>
  <c r="Q35" i="56"/>
  <c r="Q35" i="53"/>
  <c r="Q42" i="41"/>
  <c r="Q42" i="1"/>
  <c r="Q57" i="76"/>
  <c r="Q59" i="5"/>
  <c r="Q57" i="32"/>
  <c r="Q57" i="41"/>
  <c r="Q59" i="23"/>
  <c r="Q59" i="38"/>
  <c r="Q57" i="61"/>
  <c r="Q58" i="11"/>
  <c r="Q57" i="53"/>
  <c r="Q57" i="29"/>
  <c r="Q59" i="17"/>
  <c r="Q57" i="26"/>
  <c r="Q57" i="20"/>
  <c r="Q59" i="14"/>
  <c r="S235" i="72"/>
  <c r="BY162" i="14" l="1"/>
  <c r="BV161" i="14"/>
  <c r="BN160" i="14"/>
  <c r="BY159" i="14"/>
  <c r="BY158" i="14"/>
  <c r="BV156" i="14"/>
  <c r="W56" i="56"/>
  <c r="W60" i="44"/>
  <c r="W60" i="8"/>
  <c r="W60" i="5"/>
  <c r="W60" i="11"/>
  <c r="W60" i="14"/>
  <c r="W60" i="17"/>
  <c r="W56" i="17" s="1"/>
  <c r="W60" i="20"/>
  <c r="W60" i="29"/>
  <c r="W60" i="32"/>
  <c r="W60" i="56"/>
  <c r="W60" i="23"/>
  <c r="W60" i="26"/>
  <c r="W56" i="26" s="1"/>
  <c r="W60" i="41"/>
  <c r="W60" i="35"/>
  <c r="W60" i="38"/>
  <c r="W60" i="47"/>
  <c r="W60" i="50"/>
  <c r="W60" i="53"/>
  <c r="W60" i="76"/>
  <c r="W60" i="64"/>
  <c r="W60" i="61"/>
  <c r="W56" i="61" s="1"/>
  <c r="U69" i="61"/>
  <c r="W56" i="8"/>
  <c r="W56" i="11"/>
  <c r="W56" i="14"/>
  <c r="W56" i="29"/>
  <c r="W56" i="32"/>
  <c r="W56" i="23"/>
  <c r="W56" i="35"/>
  <c r="W56" i="47"/>
  <c r="W56" i="53"/>
  <c r="W56" i="76"/>
  <c r="W56" i="64"/>
  <c r="W56" i="44"/>
  <c r="W3" i="79"/>
  <c r="AN215" i="1"/>
  <c r="W56" i="1" l="1"/>
  <c r="Y47" i="1"/>
  <c r="BY157" i="14"/>
  <c r="BY156" i="14" s="1"/>
  <c r="BP157" i="14"/>
  <c r="BV158" i="14" s="1"/>
  <c r="BN157" i="14" s="1"/>
  <c r="BY160" i="14"/>
  <c r="BP158" i="14"/>
  <c r="BV163" i="14" s="1"/>
  <c r="BV164" i="14" l="1"/>
  <c r="BN158" i="14"/>
  <c r="Z168" i="14" l="1"/>
  <c r="AO187" i="8" l="1"/>
  <c r="AN187" i="8"/>
  <c r="AO186" i="8"/>
  <c r="AN186" i="8"/>
  <c r="AO185" i="8"/>
  <c r="AN185" i="8"/>
  <c r="AO184" i="8"/>
  <c r="AN184" i="8"/>
  <c r="AO183" i="8"/>
  <c r="AN183" i="8"/>
  <c r="AO182" i="8"/>
  <c r="AN182" i="8"/>
  <c r="AO181" i="8"/>
  <c r="AN181" i="8"/>
  <c r="AO180" i="8"/>
  <c r="AN180" i="8"/>
  <c r="AO179" i="8"/>
  <c r="AN179" i="8"/>
  <c r="AO178" i="8"/>
  <c r="AN178" i="8"/>
  <c r="AO177" i="8"/>
  <c r="AN177" i="8"/>
  <c r="AO176" i="8"/>
  <c r="AN176" i="8"/>
  <c r="AO175" i="8"/>
  <c r="AN175" i="8"/>
  <c r="AO174" i="8"/>
  <c r="AN174" i="8"/>
  <c r="AO173" i="8"/>
  <c r="AN173" i="8"/>
  <c r="AO172" i="8"/>
  <c r="AN172" i="8"/>
  <c r="AO171" i="8"/>
  <c r="AN171" i="8"/>
  <c r="AO170" i="8"/>
  <c r="AN170" i="8"/>
  <c r="AO169" i="8"/>
  <c r="AN169" i="8"/>
  <c r="AO168" i="8"/>
  <c r="AN168" i="8"/>
  <c r="AO167" i="8"/>
  <c r="AN167" i="8"/>
  <c r="AO188" i="5"/>
  <c r="AN188" i="5"/>
  <c r="AO187" i="5"/>
  <c r="AN187" i="5"/>
  <c r="AO186" i="5"/>
  <c r="AN186" i="5"/>
  <c r="AO185" i="5"/>
  <c r="AN185" i="5"/>
  <c r="AO184" i="5"/>
  <c r="AN184" i="5"/>
  <c r="AO183" i="5"/>
  <c r="AN183" i="5"/>
  <c r="AO182" i="5"/>
  <c r="AN182" i="5"/>
  <c r="AO181" i="5"/>
  <c r="AN181" i="5"/>
  <c r="AO180" i="5"/>
  <c r="AN180" i="5"/>
  <c r="AO179" i="5"/>
  <c r="AN179" i="5"/>
  <c r="AO178" i="5"/>
  <c r="AN178" i="5"/>
  <c r="AO177" i="5"/>
  <c r="AN177" i="5"/>
  <c r="AO176" i="5"/>
  <c r="AN176" i="5"/>
  <c r="AO175" i="5"/>
  <c r="AN175" i="5"/>
  <c r="AO174" i="5"/>
  <c r="AN174" i="5"/>
  <c r="AO173" i="5"/>
  <c r="AN173" i="5"/>
  <c r="AO172" i="5"/>
  <c r="AN172" i="5"/>
  <c r="AO171" i="5"/>
  <c r="AN171" i="5"/>
  <c r="AO170" i="5"/>
  <c r="AN170" i="5"/>
  <c r="AO169" i="5"/>
  <c r="AN169" i="5"/>
  <c r="AO168" i="5"/>
  <c r="AN168" i="5"/>
  <c r="AO187" i="11"/>
  <c r="AN187" i="11"/>
  <c r="AO186" i="11"/>
  <c r="AN186" i="11"/>
  <c r="AO185" i="11"/>
  <c r="AN185" i="11"/>
  <c r="AO184" i="11"/>
  <c r="AN184" i="11"/>
  <c r="AO183" i="11"/>
  <c r="AN183" i="11"/>
  <c r="AO182" i="11"/>
  <c r="AN182" i="11"/>
  <c r="AO181" i="11"/>
  <c r="AN181" i="11"/>
  <c r="AO180" i="11"/>
  <c r="AN180" i="11"/>
  <c r="AO179" i="11"/>
  <c r="AN179" i="11"/>
  <c r="AO178" i="11"/>
  <c r="AN178" i="11"/>
  <c r="AO177" i="11"/>
  <c r="AN177" i="11"/>
  <c r="AO176" i="11"/>
  <c r="AN176" i="11"/>
  <c r="AO175" i="11"/>
  <c r="AN175" i="11"/>
  <c r="AO174" i="11"/>
  <c r="AN174" i="11"/>
  <c r="AO173" i="11"/>
  <c r="AN173" i="11"/>
  <c r="AO172" i="11"/>
  <c r="AN172" i="11"/>
  <c r="AO171" i="11"/>
  <c r="AN171" i="11"/>
  <c r="AO170" i="11"/>
  <c r="AN170" i="11"/>
  <c r="AO169" i="11"/>
  <c r="AN169" i="11"/>
  <c r="AO168" i="11"/>
  <c r="AN168" i="11"/>
  <c r="AO167" i="11"/>
  <c r="AN167" i="11"/>
  <c r="AO187" i="14"/>
  <c r="AN187" i="14"/>
  <c r="AO186" i="14"/>
  <c r="AN186" i="14"/>
  <c r="AO185" i="14"/>
  <c r="AN185" i="14"/>
  <c r="AO184" i="14"/>
  <c r="AN184" i="14"/>
  <c r="AO183" i="14"/>
  <c r="AN183" i="14"/>
  <c r="AO182" i="14"/>
  <c r="AN182" i="14"/>
  <c r="AO181" i="14"/>
  <c r="AN181" i="14"/>
  <c r="AO180" i="14"/>
  <c r="AN180" i="14"/>
  <c r="AO179" i="14"/>
  <c r="AN179" i="14"/>
  <c r="AO178" i="14"/>
  <c r="AN178" i="14"/>
  <c r="AO177" i="14"/>
  <c r="AN177" i="14"/>
  <c r="AO176" i="14"/>
  <c r="AN176" i="14"/>
  <c r="AO175" i="14"/>
  <c r="AN175" i="14"/>
  <c r="AO174" i="14"/>
  <c r="AN174" i="14"/>
  <c r="AO173" i="14"/>
  <c r="AN173" i="14"/>
  <c r="AO172" i="14"/>
  <c r="AN172" i="14"/>
  <c r="AO171" i="14"/>
  <c r="AN171" i="14"/>
  <c r="AO170" i="14"/>
  <c r="AN170" i="14"/>
  <c r="AO169" i="14"/>
  <c r="AN169" i="14"/>
  <c r="AO168" i="14"/>
  <c r="AN168" i="14"/>
  <c r="AO167" i="14"/>
  <c r="AN167" i="14"/>
  <c r="AO187" i="17"/>
  <c r="AN187" i="17"/>
  <c r="AO186" i="17"/>
  <c r="AN186" i="17"/>
  <c r="AO185" i="17"/>
  <c r="AN185" i="17"/>
  <c r="AO184" i="17"/>
  <c r="AN184" i="17"/>
  <c r="AO183" i="17"/>
  <c r="AN183" i="17"/>
  <c r="AO182" i="17"/>
  <c r="AN182" i="17"/>
  <c r="AO181" i="17"/>
  <c r="AN181" i="17"/>
  <c r="AO180" i="17"/>
  <c r="AN180" i="17"/>
  <c r="AO179" i="17"/>
  <c r="AN179" i="17"/>
  <c r="AO178" i="17"/>
  <c r="AN178" i="17"/>
  <c r="AO177" i="17"/>
  <c r="AN177" i="17"/>
  <c r="AO176" i="17"/>
  <c r="AN176" i="17"/>
  <c r="AO175" i="17"/>
  <c r="AN175" i="17"/>
  <c r="AO174" i="17"/>
  <c r="AN174" i="17"/>
  <c r="AO173" i="17"/>
  <c r="AN173" i="17"/>
  <c r="AO172" i="17"/>
  <c r="AN172" i="17"/>
  <c r="AO171" i="17"/>
  <c r="AN171" i="17"/>
  <c r="AO170" i="17"/>
  <c r="AN170" i="17"/>
  <c r="AO169" i="17"/>
  <c r="AN169" i="17"/>
  <c r="AO168" i="17"/>
  <c r="AN168" i="17"/>
  <c r="AO167" i="17"/>
  <c r="AN167" i="17"/>
  <c r="AO187" i="20"/>
  <c r="AN187" i="20"/>
  <c r="AO186" i="20"/>
  <c r="AN186" i="20"/>
  <c r="AO185" i="20"/>
  <c r="AN185" i="20"/>
  <c r="AO184" i="20"/>
  <c r="AN184" i="20"/>
  <c r="AO183" i="20"/>
  <c r="AN183" i="20"/>
  <c r="AO182" i="20"/>
  <c r="AN182" i="20"/>
  <c r="AO181" i="20"/>
  <c r="AN181" i="20"/>
  <c r="AO180" i="20"/>
  <c r="AN180" i="20"/>
  <c r="AO179" i="20"/>
  <c r="AN179" i="20"/>
  <c r="AO178" i="20"/>
  <c r="AN178" i="20"/>
  <c r="AO177" i="20"/>
  <c r="AN177" i="20"/>
  <c r="AO176" i="20"/>
  <c r="AN176" i="20"/>
  <c r="AO175" i="20"/>
  <c r="AN175" i="20"/>
  <c r="AO174" i="20"/>
  <c r="AN174" i="20"/>
  <c r="AO173" i="20"/>
  <c r="AN173" i="20"/>
  <c r="AO172" i="20"/>
  <c r="AN172" i="20"/>
  <c r="AO171" i="20"/>
  <c r="AN171" i="20"/>
  <c r="AO170" i="20"/>
  <c r="AN170" i="20"/>
  <c r="AO169" i="20"/>
  <c r="AN169" i="20"/>
  <c r="AO168" i="20"/>
  <c r="AN168" i="20"/>
  <c r="AO167" i="20"/>
  <c r="AN167" i="20"/>
  <c r="AO187" i="29"/>
  <c r="AN187" i="29"/>
  <c r="AO186" i="29"/>
  <c r="AN186" i="29"/>
  <c r="AO185" i="29"/>
  <c r="AN185" i="29"/>
  <c r="AO184" i="29"/>
  <c r="AN184" i="29"/>
  <c r="AO183" i="29"/>
  <c r="AN183" i="29"/>
  <c r="AO182" i="29"/>
  <c r="AN182" i="29"/>
  <c r="AO181" i="29"/>
  <c r="AN181" i="29"/>
  <c r="AO180" i="29"/>
  <c r="AN180" i="29"/>
  <c r="AO179" i="29"/>
  <c r="AN179" i="29"/>
  <c r="AO178" i="29"/>
  <c r="AN178" i="29"/>
  <c r="AO177" i="29"/>
  <c r="AN177" i="29"/>
  <c r="AO176" i="29"/>
  <c r="AN176" i="29"/>
  <c r="AO175" i="29"/>
  <c r="AN175" i="29"/>
  <c r="AO174" i="29"/>
  <c r="AN174" i="29"/>
  <c r="AO173" i="29"/>
  <c r="AN173" i="29"/>
  <c r="AO172" i="29"/>
  <c r="AN172" i="29"/>
  <c r="AO171" i="29"/>
  <c r="AN171" i="29"/>
  <c r="AO170" i="29"/>
  <c r="AN170" i="29"/>
  <c r="AO169" i="29"/>
  <c r="AN169" i="29"/>
  <c r="AO168" i="29"/>
  <c r="AN168" i="29"/>
  <c r="AO167" i="29"/>
  <c r="AN167" i="29"/>
  <c r="AO187" i="32"/>
  <c r="AN187" i="32"/>
  <c r="AO186" i="32"/>
  <c r="AN186" i="32"/>
  <c r="AO185" i="32"/>
  <c r="AN185" i="32"/>
  <c r="AO184" i="32"/>
  <c r="AN184" i="32"/>
  <c r="AO183" i="32"/>
  <c r="AN183" i="32"/>
  <c r="AO182" i="32"/>
  <c r="AN182" i="32"/>
  <c r="AO181" i="32"/>
  <c r="AN181" i="32"/>
  <c r="AO180" i="32"/>
  <c r="AN180" i="32"/>
  <c r="AO179" i="32"/>
  <c r="AN179" i="32"/>
  <c r="AO178" i="32"/>
  <c r="AN178" i="32"/>
  <c r="AO177" i="32"/>
  <c r="AN177" i="32"/>
  <c r="AO176" i="32"/>
  <c r="AN176" i="32"/>
  <c r="AO175" i="32"/>
  <c r="AN175" i="32"/>
  <c r="AO174" i="32"/>
  <c r="AN174" i="32"/>
  <c r="AO173" i="32"/>
  <c r="AN173" i="32"/>
  <c r="AO172" i="32"/>
  <c r="AN172" i="32"/>
  <c r="AO171" i="32"/>
  <c r="AN171" i="32"/>
  <c r="AO170" i="32"/>
  <c r="AN170" i="32"/>
  <c r="AO169" i="32"/>
  <c r="AN169" i="32"/>
  <c r="AO168" i="32"/>
  <c r="AN168" i="32"/>
  <c r="AO167" i="32"/>
  <c r="AN167" i="32"/>
  <c r="AO187" i="56"/>
  <c r="AN187" i="56"/>
  <c r="AO186" i="56"/>
  <c r="AN186" i="56"/>
  <c r="AO185" i="56"/>
  <c r="AN185" i="56"/>
  <c r="AO184" i="56"/>
  <c r="AN184" i="56"/>
  <c r="AO183" i="56"/>
  <c r="AN183" i="56"/>
  <c r="AO182" i="56"/>
  <c r="AN182" i="56"/>
  <c r="AO181" i="56"/>
  <c r="AN181" i="56"/>
  <c r="AO180" i="56"/>
  <c r="AN180" i="56"/>
  <c r="AO179" i="56"/>
  <c r="AN179" i="56"/>
  <c r="AO178" i="56"/>
  <c r="AN178" i="56"/>
  <c r="AO177" i="56"/>
  <c r="AN177" i="56"/>
  <c r="AO176" i="56"/>
  <c r="AN176" i="56"/>
  <c r="AO175" i="56"/>
  <c r="AN175" i="56"/>
  <c r="AO174" i="56"/>
  <c r="AN174" i="56"/>
  <c r="AO173" i="56"/>
  <c r="AN173" i="56"/>
  <c r="AO172" i="56"/>
  <c r="AN172" i="56"/>
  <c r="AO171" i="56"/>
  <c r="AN171" i="56"/>
  <c r="AO170" i="56"/>
  <c r="AN170" i="56"/>
  <c r="AO169" i="56"/>
  <c r="AN169" i="56"/>
  <c r="AO168" i="56"/>
  <c r="AN168" i="56"/>
  <c r="AO167" i="56"/>
  <c r="AN167" i="56"/>
  <c r="AO187" i="23"/>
  <c r="AN187" i="23"/>
  <c r="AO186" i="23"/>
  <c r="AN186" i="23"/>
  <c r="AO185" i="23"/>
  <c r="AN185" i="23"/>
  <c r="AO184" i="23"/>
  <c r="AN184" i="23"/>
  <c r="AO183" i="23"/>
  <c r="AN183" i="23"/>
  <c r="AO182" i="23"/>
  <c r="AN182" i="23"/>
  <c r="AO181" i="23"/>
  <c r="AN181" i="23"/>
  <c r="AO180" i="23"/>
  <c r="AN180" i="23"/>
  <c r="AO179" i="23"/>
  <c r="AN179" i="23"/>
  <c r="AO178" i="23"/>
  <c r="AN178" i="23"/>
  <c r="AO177" i="23"/>
  <c r="AN177" i="23"/>
  <c r="AO176" i="23"/>
  <c r="AN176" i="23"/>
  <c r="AO175" i="23"/>
  <c r="AN175" i="23"/>
  <c r="AO174" i="23"/>
  <c r="AN174" i="23"/>
  <c r="AO173" i="23"/>
  <c r="AN173" i="23"/>
  <c r="AO172" i="23"/>
  <c r="AN172" i="23"/>
  <c r="AO171" i="23"/>
  <c r="AN171" i="23"/>
  <c r="AO170" i="23"/>
  <c r="AN170" i="23"/>
  <c r="AO169" i="23"/>
  <c r="AN169" i="23"/>
  <c r="AO168" i="23"/>
  <c r="AN168" i="23"/>
  <c r="AO167" i="23"/>
  <c r="AN167" i="23"/>
  <c r="AO187" i="26"/>
  <c r="AN187" i="26"/>
  <c r="AO186" i="26"/>
  <c r="AN186" i="26"/>
  <c r="AO185" i="26"/>
  <c r="AN185" i="26"/>
  <c r="AO184" i="26"/>
  <c r="AN184" i="26"/>
  <c r="AO183" i="26"/>
  <c r="AN183" i="26"/>
  <c r="AO182" i="26"/>
  <c r="AN182" i="26"/>
  <c r="AO181" i="26"/>
  <c r="AN181" i="26"/>
  <c r="AO180" i="26"/>
  <c r="AN180" i="26"/>
  <c r="AO179" i="26"/>
  <c r="AN179" i="26"/>
  <c r="AO178" i="26"/>
  <c r="AN178" i="26"/>
  <c r="AO177" i="26"/>
  <c r="AN177" i="26"/>
  <c r="AO176" i="26"/>
  <c r="AN176" i="26"/>
  <c r="AO175" i="26"/>
  <c r="AN175" i="26"/>
  <c r="AO174" i="26"/>
  <c r="AN174" i="26"/>
  <c r="AO173" i="26"/>
  <c r="AN173" i="26"/>
  <c r="AO172" i="26"/>
  <c r="AN172" i="26"/>
  <c r="AO171" i="26"/>
  <c r="AN171" i="26"/>
  <c r="AO170" i="26"/>
  <c r="AN170" i="26"/>
  <c r="AO169" i="26"/>
  <c r="AN169" i="26"/>
  <c r="AO168" i="26"/>
  <c r="AN168" i="26"/>
  <c r="AO167" i="26"/>
  <c r="AN167" i="26"/>
  <c r="AO187" i="41"/>
  <c r="AN187" i="41"/>
  <c r="AO186" i="41"/>
  <c r="AN186" i="41"/>
  <c r="AO185" i="41"/>
  <c r="AN185" i="41"/>
  <c r="AO184" i="41"/>
  <c r="AN184" i="41"/>
  <c r="AO183" i="41"/>
  <c r="AN183" i="41"/>
  <c r="AO182" i="41"/>
  <c r="AN182" i="41"/>
  <c r="AO181" i="41"/>
  <c r="AN181" i="41"/>
  <c r="AO180" i="41"/>
  <c r="AN180" i="41"/>
  <c r="AO179" i="41"/>
  <c r="AN179" i="41"/>
  <c r="AO178" i="41"/>
  <c r="AN178" i="41"/>
  <c r="AO177" i="41"/>
  <c r="AN177" i="41"/>
  <c r="AO176" i="41"/>
  <c r="AN176" i="41"/>
  <c r="AO175" i="41"/>
  <c r="AN175" i="41"/>
  <c r="AO174" i="41"/>
  <c r="AN174" i="41"/>
  <c r="AO173" i="41"/>
  <c r="AN173" i="41"/>
  <c r="AO172" i="41"/>
  <c r="AN172" i="41"/>
  <c r="AO171" i="41"/>
  <c r="AN171" i="41"/>
  <c r="AO170" i="41"/>
  <c r="AN170" i="41"/>
  <c r="AO169" i="41"/>
  <c r="AN169" i="41"/>
  <c r="AO168" i="41"/>
  <c r="AN168" i="41"/>
  <c r="AO167" i="41"/>
  <c r="AN167" i="41"/>
  <c r="AO187" i="35"/>
  <c r="AN187" i="35"/>
  <c r="AO186" i="35"/>
  <c r="AN186" i="35"/>
  <c r="AO185" i="35"/>
  <c r="AN185" i="35"/>
  <c r="AO184" i="35"/>
  <c r="AN184" i="35"/>
  <c r="AO183" i="35"/>
  <c r="AN183" i="35"/>
  <c r="AO182" i="35"/>
  <c r="AN182" i="35"/>
  <c r="AO181" i="35"/>
  <c r="AN181" i="35"/>
  <c r="AO180" i="35"/>
  <c r="AN180" i="35"/>
  <c r="AO179" i="35"/>
  <c r="AN179" i="35"/>
  <c r="AO178" i="35"/>
  <c r="AN178" i="35"/>
  <c r="AO177" i="35"/>
  <c r="AN177" i="35"/>
  <c r="AO176" i="35"/>
  <c r="AN176" i="35"/>
  <c r="AO175" i="35"/>
  <c r="AN175" i="35"/>
  <c r="AO174" i="35"/>
  <c r="AN174" i="35"/>
  <c r="AO173" i="35"/>
  <c r="AN173" i="35"/>
  <c r="AO172" i="35"/>
  <c r="AN172" i="35"/>
  <c r="AO171" i="35"/>
  <c r="AN171" i="35"/>
  <c r="AO170" i="35"/>
  <c r="AN170" i="35"/>
  <c r="AO169" i="35"/>
  <c r="AN169" i="35"/>
  <c r="AO168" i="35"/>
  <c r="AN168" i="35"/>
  <c r="AO167" i="35"/>
  <c r="AN167" i="35"/>
  <c r="AO187" i="38"/>
  <c r="AN187" i="38"/>
  <c r="AO186" i="38"/>
  <c r="AN186" i="38"/>
  <c r="AO185" i="38"/>
  <c r="AN185" i="38"/>
  <c r="AO184" i="38"/>
  <c r="AN184" i="38"/>
  <c r="AO183" i="38"/>
  <c r="AN183" i="38"/>
  <c r="AO182" i="38"/>
  <c r="AN182" i="38"/>
  <c r="AO181" i="38"/>
  <c r="AN181" i="38"/>
  <c r="AO180" i="38"/>
  <c r="AN180" i="38"/>
  <c r="AO179" i="38"/>
  <c r="AN179" i="38"/>
  <c r="AO178" i="38"/>
  <c r="AN178" i="38"/>
  <c r="AO177" i="38"/>
  <c r="AN177" i="38"/>
  <c r="AO176" i="38"/>
  <c r="AN176" i="38"/>
  <c r="AO175" i="38"/>
  <c r="AN175" i="38"/>
  <c r="AO174" i="38"/>
  <c r="AN174" i="38"/>
  <c r="AO173" i="38"/>
  <c r="AN173" i="38"/>
  <c r="AO172" i="38"/>
  <c r="AN172" i="38"/>
  <c r="AO171" i="38"/>
  <c r="AN171" i="38"/>
  <c r="AO170" i="38"/>
  <c r="AN170" i="38"/>
  <c r="AO169" i="38"/>
  <c r="AN169" i="38"/>
  <c r="AO168" i="38"/>
  <c r="AN168" i="38"/>
  <c r="AO167" i="38"/>
  <c r="AN167" i="38"/>
  <c r="AO187" i="47"/>
  <c r="AN187" i="47"/>
  <c r="AO186" i="47"/>
  <c r="AN186" i="47"/>
  <c r="AO185" i="47"/>
  <c r="AN185" i="47"/>
  <c r="AO184" i="47"/>
  <c r="AN184" i="47"/>
  <c r="AO183" i="47"/>
  <c r="AN183" i="47"/>
  <c r="AO182" i="47"/>
  <c r="AN182" i="47"/>
  <c r="AO181" i="47"/>
  <c r="AN181" i="47"/>
  <c r="AO180" i="47"/>
  <c r="AN180" i="47"/>
  <c r="AO179" i="47"/>
  <c r="AN179" i="47"/>
  <c r="AO178" i="47"/>
  <c r="AN178" i="47"/>
  <c r="AO177" i="47"/>
  <c r="AN177" i="47"/>
  <c r="AO176" i="47"/>
  <c r="AN176" i="47"/>
  <c r="AO175" i="47"/>
  <c r="AN175" i="47"/>
  <c r="AO174" i="47"/>
  <c r="AN174" i="47"/>
  <c r="AO173" i="47"/>
  <c r="AN173" i="47"/>
  <c r="AO172" i="47"/>
  <c r="AN172" i="47"/>
  <c r="AO171" i="47"/>
  <c r="AN171" i="47"/>
  <c r="AO170" i="47"/>
  <c r="AN170" i="47"/>
  <c r="AO169" i="47"/>
  <c r="AN169" i="47"/>
  <c r="AO168" i="47"/>
  <c r="AN168" i="47"/>
  <c r="AO167" i="47"/>
  <c r="AN167" i="47"/>
  <c r="AO187" i="50"/>
  <c r="AN187" i="50"/>
  <c r="AO186" i="50"/>
  <c r="AN186" i="50"/>
  <c r="AO185" i="50"/>
  <c r="AN185" i="50"/>
  <c r="AO184" i="50"/>
  <c r="AN184" i="50"/>
  <c r="AO183" i="50"/>
  <c r="AN183" i="50"/>
  <c r="AO182" i="50"/>
  <c r="AN182" i="50"/>
  <c r="AO181" i="50"/>
  <c r="AN181" i="50"/>
  <c r="AO180" i="50"/>
  <c r="AN180" i="50"/>
  <c r="AO179" i="50"/>
  <c r="AN179" i="50"/>
  <c r="AO178" i="50"/>
  <c r="AN178" i="50"/>
  <c r="AO177" i="50"/>
  <c r="AN177" i="50"/>
  <c r="AO176" i="50"/>
  <c r="AN176" i="50"/>
  <c r="AO175" i="50"/>
  <c r="AN175" i="50"/>
  <c r="AO174" i="50"/>
  <c r="AN174" i="50"/>
  <c r="AO173" i="50"/>
  <c r="AN173" i="50"/>
  <c r="AO172" i="50"/>
  <c r="AN172" i="50"/>
  <c r="AO171" i="50"/>
  <c r="AN171" i="50"/>
  <c r="AO170" i="50"/>
  <c r="AN170" i="50"/>
  <c r="AO169" i="50"/>
  <c r="AN169" i="50"/>
  <c r="AO168" i="50"/>
  <c r="AN168" i="50"/>
  <c r="AO167" i="50"/>
  <c r="AN167" i="50"/>
  <c r="AO187" i="53"/>
  <c r="AN187" i="53"/>
  <c r="AO186" i="53"/>
  <c r="AN186" i="53"/>
  <c r="AO185" i="53"/>
  <c r="AN185" i="53"/>
  <c r="AO184" i="53"/>
  <c r="AN184" i="53"/>
  <c r="AO183" i="53"/>
  <c r="AN183" i="53"/>
  <c r="AO182" i="53"/>
  <c r="AN182" i="53"/>
  <c r="AO181" i="53"/>
  <c r="AN181" i="53"/>
  <c r="AO180" i="53"/>
  <c r="AN180" i="53"/>
  <c r="AO179" i="53"/>
  <c r="AN179" i="53"/>
  <c r="AO178" i="53"/>
  <c r="AN178" i="53"/>
  <c r="AO177" i="53"/>
  <c r="AN177" i="53"/>
  <c r="AO176" i="53"/>
  <c r="AN176" i="53"/>
  <c r="AO175" i="53"/>
  <c r="AN175" i="53"/>
  <c r="AO174" i="53"/>
  <c r="AN174" i="53"/>
  <c r="AO173" i="53"/>
  <c r="AN173" i="53"/>
  <c r="AO172" i="53"/>
  <c r="AN172" i="53"/>
  <c r="AO171" i="53"/>
  <c r="AN171" i="53"/>
  <c r="AO170" i="53"/>
  <c r="AN170" i="53"/>
  <c r="AO169" i="53"/>
  <c r="AN169" i="53"/>
  <c r="AO168" i="53"/>
  <c r="AN168" i="53"/>
  <c r="AO167" i="53"/>
  <c r="AN167" i="53"/>
  <c r="AO187" i="76"/>
  <c r="AN187" i="76"/>
  <c r="AO186" i="76"/>
  <c r="AN186" i="76"/>
  <c r="AO185" i="76"/>
  <c r="AN185" i="76"/>
  <c r="AO184" i="76"/>
  <c r="AN184" i="76"/>
  <c r="AO183" i="76"/>
  <c r="AN183" i="76"/>
  <c r="AO182" i="76"/>
  <c r="AN182" i="76"/>
  <c r="AO181" i="76"/>
  <c r="AN181" i="76"/>
  <c r="AO180" i="76"/>
  <c r="AN180" i="76"/>
  <c r="AO179" i="76"/>
  <c r="AN179" i="76"/>
  <c r="AO178" i="76"/>
  <c r="AN178" i="76"/>
  <c r="AO177" i="76"/>
  <c r="AN177" i="76"/>
  <c r="AO176" i="76"/>
  <c r="AN176" i="76"/>
  <c r="AO175" i="76"/>
  <c r="AN175" i="76"/>
  <c r="AO174" i="76"/>
  <c r="AN174" i="76"/>
  <c r="AO173" i="76"/>
  <c r="AN173" i="76"/>
  <c r="AO172" i="76"/>
  <c r="AN172" i="76"/>
  <c r="AO171" i="76"/>
  <c r="AN171" i="76"/>
  <c r="AO170" i="76"/>
  <c r="AN170" i="76"/>
  <c r="AO169" i="76"/>
  <c r="AN169" i="76"/>
  <c r="AO168" i="76"/>
  <c r="AN168" i="76"/>
  <c r="AO167" i="76"/>
  <c r="AN167" i="76"/>
  <c r="AO187" i="61"/>
  <c r="AN187" i="61"/>
  <c r="AO186" i="61"/>
  <c r="AN186" i="61"/>
  <c r="AO185" i="61"/>
  <c r="AN185" i="61"/>
  <c r="AO184" i="61"/>
  <c r="AN184" i="61"/>
  <c r="AO183" i="61"/>
  <c r="AN183" i="61"/>
  <c r="AO182" i="61"/>
  <c r="AN182" i="61"/>
  <c r="AO181" i="61"/>
  <c r="AN181" i="61"/>
  <c r="AO180" i="61"/>
  <c r="AN180" i="61"/>
  <c r="AO179" i="61"/>
  <c r="AN179" i="61"/>
  <c r="AO178" i="61"/>
  <c r="AN178" i="61"/>
  <c r="AO177" i="61"/>
  <c r="AN177" i="61"/>
  <c r="AO176" i="61"/>
  <c r="AN176" i="61"/>
  <c r="AO175" i="61"/>
  <c r="AN175" i="61"/>
  <c r="AO174" i="61"/>
  <c r="AN174" i="61"/>
  <c r="AO173" i="61"/>
  <c r="AN173" i="61"/>
  <c r="AO172" i="61"/>
  <c r="AN172" i="61"/>
  <c r="AO171" i="61"/>
  <c r="AN171" i="61"/>
  <c r="AO170" i="61"/>
  <c r="AN170" i="61"/>
  <c r="AO169" i="61"/>
  <c r="AN169" i="61"/>
  <c r="AO168" i="61"/>
  <c r="AN168" i="61"/>
  <c r="AO167" i="61"/>
  <c r="AN167" i="61"/>
  <c r="AO187" i="64"/>
  <c r="AN187" i="64"/>
  <c r="AO186" i="64"/>
  <c r="AN186" i="64"/>
  <c r="AO185" i="64"/>
  <c r="AN185" i="64"/>
  <c r="AO184" i="64"/>
  <c r="AN184" i="64"/>
  <c r="AO183" i="64"/>
  <c r="AN183" i="64"/>
  <c r="AO182" i="64"/>
  <c r="AN182" i="64"/>
  <c r="AO181" i="64"/>
  <c r="AN181" i="64"/>
  <c r="AO180" i="64"/>
  <c r="AN180" i="64"/>
  <c r="AO179" i="64"/>
  <c r="AN179" i="64"/>
  <c r="AO178" i="64"/>
  <c r="AN178" i="64"/>
  <c r="AO177" i="64"/>
  <c r="AN177" i="64"/>
  <c r="AO176" i="64"/>
  <c r="AN176" i="64"/>
  <c r="AO175" i="64"/>
  <c r="AN175" i="64"/>
  <c r="AO174" i="64"/>
  <c r="AN174" i="64"/>
  <c r="AO173" i="64"/>
  <c r="AN173" i="64"/>
  <c r="AO172" i="64"/>
  <c r="AN172" i="64"/>
  <c r="AO171" i="64"/>
  <c r="AN171" i="64"/>
  <c r="AO170" i="64"/>
  <c r="AN170" i="64"/>
  <c r="AO169" i="64"/>
  <c r="AN169" i="64"/>
  <c r="AO168" i="64"/>
  <c r="AN168" i="64"/>
  <c r="AO167" i="64"/>
  <c r="AN167" i="64"/>
  <c r="AO187" i="44"/>
  <c r="AN187" i="44"/>
  <c r="AO186" i="44"/>
  <c r="AN186" i="44"/>
  <c r="AO185" i="44"/>
  <c r="AN185" i="44"/>
  <c r="AO184" i="44"/>
  <c r="AN184" i="44"/>
  <c r="AO183" i="44"/>
  <c r="AN183" i="44"/>
  <c r="AO182" i="44"/>
  <c r="AN182" i="44"/>
  <c r="AO181" i="44"/>
  <c r="AN181" i="44"/>
  <c r="AO180" i="44"/>
  <c r="AN180" i="44"/>
  <c r="AO179" i="44"/>
  <c r="AN179" i="44"/>
  <c r="AO178" i="44"/>
  <c r="AN178" i="44"/>
  <c r="AO177" i="44"/>
  <c r="AN177" i="44"/>
  <c r="AO176" i="44"/>
  <c r="AN176" i="44"/>
  <c r="AO175" i="44"/>
  <c r="AN175" i="44"/>
  <c r="AO174" i="44"/>
  <c r="AN174" i="44"/>
  <c r="AO173" i="44"/>
  <c r="AN173" i="44"/>
  <c r="AO172" i="44"/>
  <c r="AN172" i="44"/>
  <c r="AO171" i="44"/>
  <c r="AN171" i="44"/>
  <c r="AO170" i="44"/>
  <c r="AN170" i="44"/>
  <c r="AO169" i="44"/>
  <c r="AN169" i="44"/>
  <c r="AO168" i="44"/>
  <c r="AN168" i="44"/>
  <c r="AO167" i="44"/>
  <c r="AN167" i="44"/>
  <c r="W114" i="8"/>
  <c r="AN213" i="8" s="1"/>
  <c r="W113" i="8"/>
  <c r="W112" i="8"/>
  <c r="W111" i="8"/>
  <c r="W110" i="8"/>
  <c r="AN209" i="8" s="1"/>
  <c r="W109" i="8"/>
  <c r="W108" i="8"/>
  <c r="W107" i="8"/>
  <c r="W106" i="8"/>
  <c r="AN205" i="8" s="1"/>
  <c r="W105" i="8"/>
  <c r="W104" i="8"/>
  <c r="W103" i="8"/>
  <c r="W102" i="8"/>
  <c r="AN201" i="8" s="1"/>
  <c r="W101" i="8"/>
  <c r="W100" i="8"/>
  <c r="W99" i="8"/>
  <c r="W98" i="8"/>
  <c r="AN197" i="8" s="1"/>
  <c r="W97" i="8"/>
  <c r="W96" i="8"/>
  <c r="W95" i="8"/>
  <c r="W94" i="8"/>
  <c r="AN193" i="8" s="1"/>
  <c r="W93" i="8"/>
  <c r="W92" i="8"/>
  <c r="W91" i="8"/>
  <c r="W90" i="8"/>
  <c r="AN189" i="8" s="1"/>
  <c r="W89" i="8"/>
  <c r="W114" i="5"/>
  <c r="AN213" i="5" s="1"/>
  <c r="W113" i="5"/>
  <c r="W112" i="5"/>
  <c r="W111" i="5"/>
  <c r="W110" i="5"/>
  <c r="AN209" i="5" s="1"/>
  <c r="W109" i="5"/>
  <c r="W108" i="5"/>
  <c r="W107" i="5"/>
  <c r="W106" i="5"/>
  <c r="AN205" i="5" s="1"/>
  <c r="W105" i="5"/>
  <c r="W104" i="5"/>
  <c r="W103" i="5"/>
  <c r="W102" i="5"/>
  <c r="AN201" i="5" s="1"/>
  <c r="W101" i="5"/>
  <c r="W100" i="5"/>
  <c r="W99" i="5"/>
  <c r="W98" i="5"/>
  <c r="AN197" i="5" s="1"/>
  <c r="W97" i="5"/>
  <c r="W96" i="5"/>
  <c r="W95" i="5"/>
  <c r="W94" i="5"/>
  <c r="AN193" i="5" s="1"/>
  <c r="W93" i="5"/>
  <c r="W92" i="5"/>
  <c r="W91" i="5"/>
  <c r="W90" i="5"/>
  <c r="W114" i="11"/>
  <c r="W113" i="11"/>
  <c r="W112" i="11"/>
  <c r="W111" i="11"/>
  <c r="W110" i="11"/>
  <c r="W109" i="11"/>
  <c r="W108" i="11"/>
  <c r="W107" i="11"/>
  <c r="W106" i="11"/>
  <c r="W105" i="11"/>
  <c r="W104" i="11"/>
  <c r="W103" i="11"/>
  <c r="W102" i="11"/>
  <c r="W101" i="11"/>
  <c r="W100" i="11"/>
  <c r="W99" i="11"/>
  <c r="W98" i="11"/>
  <c r="W97" i="11"/>
  <c r="W96" i="11"/>
  <c r="AN195" i="11" s="1"/>
  <c r="W95" i="11"/>
  <c r="W94" i="11"/>
  <c r="W93" i="11"/>
  <c r="W92" i="11"/>
  <c r="W91" i="11"/>
  <c r="W90" i="11"/>
  <c r="W89" i="11"/>
  <c r="W114" i="14"/>
  <c r="W113" i="14"/>
  <c r="W112" i="14"/>
  <c r="W111" i="14"/>
  <c r="W110" i="14"/>
  <c r="W109" i="14"/>
  <c r="W108" i="14"/>
  <c r="W107" i="14"/>
  <c r="W106" i="14"/>
  <c r="W105" i="14"/>
  <c r="W104" i="14"/>
  <c r="W103" i="14"/>
  <c r="W102" i="14"/>
  <c r="W101" i="14"/>
  <c r="W100" i="14"/>
  <c r="W99" i="14"/>
  <c r="W98" i="14"/>
  <c r="W97" i="14"/>
  <c r="W96" i="14"/>
  <c r="W95" i="14"/>
  <c r="AN194" i="14" s="1"/>
  <c r="W94" i="14"/>
  <c r="W93" i="14"/>
  <c r="W92" i="14"/>
  <c r="W91" i="14"/>
  <c r="W90" i="14"/>
  <c r="W89" i="14"/>
  <c r="W114" i="17"/>
  <c r="W113" i="17"/>
  <c r="W112" i="17"/>
  <c r="W111" i="17"/>
  <c r="W110" i="17"/>
  <c r="W109" i="17"/>
  <c r="W108" i="17"/>
  <c r="W107" i="17"/>
  <c r="W106" i="17"/>
  <c r="W105" i="17"/>
  <c r="W104" i="17"/>
  <c r="W103" i="17"/>
  <c r="W102" i="17"/>
  <c r="W101" i="17"/>
  <c r="W100" i="17"/>
  <c r="W99" i="17"/>
  <c r="W98" i="17"/>
  <c r="AN197" i="17" s="1"/>
  <c r="W97" i="17"/>
  <c r="W96" i="17"/>
  <c r="W95" i="17"/>
  <c r="W94" i="17"/>
  <c r="W93" i="17"/>
  <c r="W92" i="17"/>
  <c r="W114" i="20"/>
  <c r="W113" i="20"/>
  <c r="W112" i="20"/>
  <c r="W111" i="20"/>
  <c r="W110" i="20"/>
  <c r="W109" i="20"/>
  <c r="W108" i="20"/>
  <c r="W107" i="20"/>
  <c r="W106" i="20"/>
  <c r="W105" i="20"/>
  <c r="W104" i="20"/>
  <c r="W103" i="20"/>
  <c r="W102" i="20"/>
  <c r="W101" i="20"/>
  <c r="AN200" i="20" s="1"/>
  <c r="W100" i="20"/>
  <c r="W99" i="20"/>
  <c r="W98" i="20"/>
  <c r="W97" i="20"/>
  <c r="W96" i="20"/>
  <c r="W95" i="20"/>
  <c r="W94" i="20"/>
  <c r="W93" i="20"/>
  <c r="W92" i="20"/>
  <c r="W91" i="20"/>
  <c r="W90" i="20"/>
  <c r="W89" i="20"/>
  <c r="W114" i="29"/>
  <c r="W113" i="29"/>
  <c r="W112" i="29"/>
  <c r="W111" i="29"/>
  <c r="W110" i="29"/>
  <c r="W109" i="29"/>
  <c r="W108" i="29"/>
  <c r="W107" i="29"/>
  <c r="W106" i="29"/>
  <c r="W105" i="29"/>
  <c r="W104" i="29"/>
  <c r="AN203" i="29" s="1"/>
  <c r="W103" i="29"/>
  <c r="W102" i="29"/>
  <c r="W101" i="29"/>
  <c r="W100" i="29"/>
  <c r="W99" i="29"/>
  <c r="W98" i="29"/>
  <c r="W97" i="29"/>
  <c r="W96" i="29"/>
  <c r="W95" i="29"/>
  <c r="W94" i="29"/>
  <c r="W93" i="29"/>
  <c r="W92" i="29"/>
  <c r="W91" i="29"/>
  <c r="W90" i="29"/>
  <c r="W89" i="29"/>
  <c r="W114" i="32"/>
  <c r="W113" i="32"/>
  <c r="W112" i="32"/>
  <c r="W111" i="32"/>
  <c r="W110" i="32"/>
  <c r="W109" i="32"/>
  <c r="W108" i="32"/>
  <c r="W107" i="32"/>
  <c r="W106" i="32"/>
  <c r="W105" i="32"/>
  <c r="W104" i="32"/>
  <c r="W103" i="32"/>
  <c r="AN202" i="32" s="1"/>
  <c r="W102" i="32"/>
  <c r="W101" i="32"/>
  <c r="W100" i="32"/>
  <c r="W99" i="32"/>
  <c r="W98" i="32"/>
  <c r="W97" i="32"/>
  <c r="W96" i="32"/>
  <c r="W95" i="32"/>
  <c r="W94" i="32"/>
  <c r="W93" i="32"/>
  <c r="W92" i="32"/>
  <c r="W91" i="32"/>
  <c r="W90" i="32"/>
  <c r="W89" i="32"/>
  <c r="W114" i="56"/>
  <c r="W113" i="56"/>
  <c r="W112" i="56"/>
  <c r="W111" i="56"/>
  <c r="W110" i="56"/>
  <c r="W109" i="56"/>
  <c r="W108" i="56"/>
  <c r="W107" i="56"/>
  <c r="W106" i="56"/>
  <c r="AN205" i="56" s="1"/>
  <c r="W105" i="56"/>
  <c r="W104" i="56"/>
  <c r="W103" i="56"/>
  <c r="W102" i="56"/>
  <c r="W101" i="56"/>
  <c r="W100" i="56"/>
  <c r="W99" i="56"/>
  <c r="W98" i="56"/>
  <c r="W97" i="56"/>
  <c r="W96" i="56"/>
  <c r="W95" i="56"/>
  <c r="W94" i="56"/>
  <c r="W93" i="56"/>
  <c r="W92" i="56"/>
  <c r="W91" i="56"/>
  <c r="W90" i="56"/>
  <c r="W89" i="56"/>
  <c r="W114" i="23"/>
  <c r="W113" i="23"/>
  <c r="W112" i="23"/>
  <c r="W111" i="23"/>
  <c r="W110" i="23"/>
  <c r="W109" i="23"/>
  <c r="AN208" i="23" s="1"/>
  <c r="W108" i="23"/>
  <c r="W107" i="23"/>
  <c r="W106" i="23"/>
  <c r="W105" i="23"/>
  <c r="W104" i="23"/>
  <c r="W103" i="23"/>
  <c r="W102" i="23"/>
  <c r="W101" i="23"/>
  <c r="W100" i="23"/>
  <c r="W99" i="23"/>
  <c r="W98" i="23"/>
  <c r="W97" i="23"/>
  <c r="W96" i="23"/>
  <c r="W95" i="23"/>
  <c r="W94" i="23"/>
  <c r="W93" i="23"/>
  <c r="W92" i="23"/>
  <c r="W91" i="23"/>
  <c r="W90" i="23"/>
  <c r="W89" i="23"/>
  <c r="W114" i="26"/>
  <c r="W113" i="26"/>
  <c r="W112" i="26"/>
  <c r="AN211" i="26" s="1"/>
  <c r="W111" i="26"/>
  <c r="W110" i="26"/>
  <c r="W109" i="26"/>
  <c r="W108" i="26"/>
  <c r="W107" i="26"/>
  <c r="W106" i="26"/>
  <c r="W105" i="26"/>
  <c r="W104" i="26"/>
  <c r="W103" i="26"/>
  <c r="W102" i="26"/>
  <c r="W101" i="26"/>
  <c r="W100" i="26"/>
  <c r="W99" i="26"/>
  <c r="W98" i="26"/>
  <c r="W97" i="26"/>
  <c r="W96" i="26"/>
  <c r="W95" i="26"/>
  <c r="W94" i="26"/>
  <c r="W93" i="26"/>
  <c r="W92" i="26"/>
  <c r="W91" i="26"/>
  <c r="W90" i="26"/>
  <c r="W89" i="26"/>
  <c r="W114" i="41"/>
  <c r="W113" i="41"/>
  <c r="W112" i="41"/>
  <c r="W111" i="41"/>
  <c r="AN210" i="41" s="1"/>
  <c r="W110" i="41"/>
  <c r="W109" i="41"/>
  <c r="W108" i="41"/>
  <c r="W107" i="41"/>
  <c r="W106" i="41"/>
  <c r="W105" i="41"/>
  <c r="W104" i="41"/>
  <c r="W103" i="41"/>
  <c r="W102" i="41"/>
  <c r="AO201" i="41" s="1"/>
  <c r="W101" i="41"/>
  <c r="W100" i="41"/>
  <c r="W99" i="41"/>
  <c r="W98" i="41"/>
  <c r="W97" i="41"/>
  <c r="W96" i="41"/>
  <c r="W95" i="41"/>
  <c r="W94" i="41"/>
  <c r="AO193" i="41" s="1"/>
  <c r="W93" i="41"/>
  <c r="W92" i="41"/>
  <c r="W91" i="41"/>
  <c r="W90" i="41"/>
  <c r="W89" i="41"/>
  <c r="W114" i="35"/>
  <c r="W113" i="35"/>
  <c r="AO212" i="35" s="1"/>
  <c r="W112" i="35"/>
  <c r="W111" i="35"/>
  <c r="W110" i="35"/>
  <c r="W109" i="35"/>
  <c r="W108" i="35"/>
  <c r="W107" i="35"/>
  <c r="W106" i="35"/>
  <c r="W105" i="35"/>
  <c r="AO204" i="35" s="1"/>
  <c r="W104" i="35"/>
  <c r="W103" i="35"/>
  <c r="W102" i="35"/>
  <c r="W101" i="35"/>
  <c r="W100" i="35"/>
  <c r="W99" i="35"/>
  <c r="W98" i="35"/>
  <c r="W97" i="35"/>
  <c r="AO196" i="35" s="1"/>
  <c r="W96" i="35"/>
  <c r="W95" i="35"/>
  <c r="W94" i="35"/>
  <c r="W93" i="35"/>
  <c r="AO192" i="35" s="1"/>
  <c r="W92" i="35"/>
  <c r="W91" i="35"/>
  <c r="W90" i="35"/>
  <c r="W89" i="35"/>
  <c r="AO188" i="35" s="1"/>
  <c r="W114" i="38"/>
  <c r="W113" i="38"/>
  <c r="W112" i="38"/>
  <c r="W111" i="38"/>
  <c r="W110" i="38"/>
  <c r="W109" i="38"/>
  <c r="W108" i="38"/>
  <c r="AO207" i="38" s="1"/>
  <c r="W107" i="38"/>
  <c r="W106" i="38"/>
  <c r="W105" i="38"/>
  <c r="W104" i="38"/>
  <c r="W103" i="38"/>
  <c r="W102" i="38"/>
  <c r="W101" i="38"/>
  <c r="W100" i="38"/>
  <c r="AO199" i="38" s="1"/>
  <c r="W99" i="38"/>
  <c r="W98" i="38"/>
  <c r="W97" i="38"/>
  <c r="W96" i="38"/>
  <c r="AO195" i="38" s="1"/>
  <c r="W95" i="38"/>
  <c r="W94" i="38"/>
  <c r="W93" i="38"/>
  <c r="W92" i="38"/>
  <c r="AO191" i="38" s="1"/>
  <c r="W91" i="38"/>
  <c r="W90" i="38"/>
  <c r="W89" i="38"/>
  <c r="W114" i="47"/>
  <c r="W113" i="47"/>
  <c r="W112" i="47"/>
  <c r="W111" i="47"/>
  <c r="AO210" i="47" s="1"/>
  <c r="W110" i="47"/>
  <c r="W109" i="47"/>
  <c r="W108" i="47"/>
  <c r="W107" i="47"/>
  <c r="W106" i="47"/>
  <c r="W105" i="47"/>
  <c r="W104" i="47"/>
  <c r="W103" i="47"/>
  <c r="AO202" i="47" s="1"/>
  <c r="W102" i="47"/>
  <c r="W101" i="47"/>
  <c r="W100" i="47"/>
  <c r="W99" i="47"/>
  <c r="W98" i="47"/>
  <c r="W97" i="47"/>
  <c r="W96" i="47"/>
  <c r="W95" i="47"/>
  <c r="AO194" i="47" s="1"/>
  <c r="W94" i="47"/>
  <c r="W93" i="47"/>
  <c r="W92" i="47"/>
  <c r="W91" i="47"/>
  <c r="W90" i="47"/>
  <c r="W89" i="47"/>
  <c r="W114" i="50"/>
  <c r="AO213" i="50" s="1"/>
  <c r="W113" i="50"/>
  <c r="W112" i="50"/>
  <c r="W111" i="50"/>
  <c r="W110" i="50"/>
  <c r="W109" i="50"/>
  <c r="W108" i="50"/>
  <c r="W107" i="50"/>
  <c r="W106" i="50"/>
  <c r="AO205" i="50" s="1"/>
  <c r="W105" i="50"/>
  <c r="W104" i="50"/>
  <c r="W103" i="50"/>
  <c r="W102" i="50"/>
  <c r="W101" i="50"/>
  <c r="W100" i="50"/>
  <c r="W99" i="50"/>
  <c r="W98" i="50"/>
  <c r="AO197" i="50" s="1"/>
  <c r="W97" i="50"/>
  <c r="W96" i="50"/>
  <c r="W95" i="50"/>
  <c r="W94" i="50"/>
  <c r="W93" i="50"/>
  <c r="W92" i="50"/>
  <c r="W91" i="50"/>
  <c r="W90" i="50"/>
  <c r="AO189" i="50" s="1"/>
  <c r="W89" i="50"/>
  <c r="W114" i="53"/>
  <c r="W113" i="53"/>
  <c r="W112" i="53"/>
  <c r="W111" i="53"/>
  <c r="W110" i="53"/>
  <c r="W109" i="53"/>
  <c r="AO208" i="53" s="1"/>
  <c r="W108" i="53"/>
  <c r="W107" i="53"/>
  <c r="W106" i="53"/>
  <c r="W105" i="53"/>
  <c r="W104" i="53"/>
  <c r="W103" i="53"/>
  <c r="W102" i="53"/>
  <c r="W101" i="53"/>
  <c r="AO200" i="53" s="1"/>
  <c r="W100" i="53"/>
  <c r="W99" i="53"/>
  <c r="W98" i="53"/>
  <c r="W97" i="53"/>
  <c r="W96" i="53"/>
  <c r="W95" i="53"/>
  <c r="W94" i="53"/>
  <c r="W93" i="53"/>
  <c r="AO192" i="53" s="1"/>
  <c r="W92" i="53"/>
  <c r="W91" i="53"/>
  <c r="W90" i="53"/>
  <c r="W89" i="53"/>
  <c r="W114" i="76"/>
  <c r="W113" i="76"/>
  <c r="W112" i="76"/>
  <c r="AO211" i="76" s="1"/>
  <c r="W111" i="76"/>
  <c r="W110" i="76"/>
  <c r="W109" i="76"/>
  <c r="W108" i="76"/>
  <c r="W107" i="76"/>
  <c r="W106" i="76"/>
  <c r="W105" i="76"/>
  <c r="W104" i="76"/>
  <c r="AO203" i="76" s="1"/>
  <c r="W103" i="76"/>
  <c r="W102" i="76"/>
  <c r="W101" i="76"/>
  <c r="W100" i="76"/>
  <c r="W99" i="76"/>
  <c r="W98" i="76"/>
  <c r="W97" i="76"/>
  <c r="W96" i="76"/>
  <c r="AO195" i="76" s="1"/>
  <c r="W95" i="76"/>
  <c r="W94" i="76"/>
  <c r="W93" i="76"/>
  <c r="W92" i="76"/>
  <c r="W91" i="76"/>
  <c r="W90" i="76"/>
  <c r="W89" i="76"/>
  <c r="W114" i="61"/>
  <c r="W113" i="61"/>
  <c r="W112" i="61"/>
  <c r="W111" i="61"/>
  <c r="W110" i="61"/>
  <c r="W109" i="61"/>
  <c r="W108" i="61"/>
  <c r="W107" i="61"/>
  <c r="AO206" i="61" s="1"/>
  <c r="W106" i="61"/>
  <c r="W105" i="61"/>
  <c r="W104" i="61"/>
  <c r="W103" i="61"/>
  <c r="AO202" i="61" s="1"/>
  <c r="W102" i="61"/>
  <c r="W101" i="61"/>
  <c r="W100" i="61"/>
  <c r="W99" i="61"/>
  <c r="AO198" i="61" s="1"/>
  <c r="W98" i="61"/>
  <c r="W97" i="61"/>
  <c r="W96" i="61"/>
  <c r="W95" i="61"/>
  <c r="W94" i="61"/>
  <c r="W93" i="61"/>
  <c r="W92" i="61"/>
  <c r="W91" i="61"/>
  <c r="AO190" i="61" s="1"/>
  <c r="W90" i="61"/>
  <c r="W89" i="61"/>
  <c r="W114" i="64"/>
  <c r="W113" i="64"/>
  <c r="W112" i="64"/>
  <c r="W111" i="64"/>
  <c r="W110" i="64"/>
  <c r="AO209" i="64" s="1"/>
  <c r="W109" i="64"/>
  <c r="W108" i="64"/>
  <c r="W107" i="64"/>
  <c r="W106" i="64"/>
  <c r="AO205" i="64" s="1"/>
  <c r="W105" i="64"/>
  <c r="W104" i="64"/>
  <c r="W103" i="64"/>
  <c r="W102" i="64"/>
  <c r="AO201" i="64" s="1"/>
  <c r="W101" i="64"/>
  <c r="W100" i="64"/>
  <c r="W99" i="64"/>
  <c r="W98" i="64"/>
  <c r="W97" i="64"/>
  <c r="W96" i="64"/>
  <c r="W95" i="64"/>
  <c r="W94" i="64"/>
  <c r="AO193" i="64" s="1"/>
  <c r="W93" i="64"/>
  <c r="W92" i="64"/>
  <c r="W91" i="64"/>
  <c r="W90" i="64"/>
  <c r="W89" i="64"/>
  <c r="W114" i="44"/>
  <c r="W113" i="44"/>
  <c r="W112" i="44"/>
  <c r="AO211" i="44" s="1"/>
  <c r="W111" i="44"/>
  <c r="W110" i="44"/>
  <c r="W109" i="44"/>
  <c r="W108" i="44"/>
  <c r="AO207" i="44" s="1"/>
  <c r="W107" i="44"/>
  <c r="W106" i="44"/>
  <c r="W105" i="44"/>
  <c r="W104" i="44"/>
  <c r="W103" i="44"/>
  <c r="W102" i="44"/>
  <c r="W101" i="44"/>
  <c r="W100" i="44"/>
  <c r="AO199" i="44" s="1"/>
  <c r="W99" i="44"/>
  <c r="W98" i="44"/>
  <c r="W97" i="44"/>
  <c r="W96" i="44"/>
  <c r="W95" i="44"/>
  <c r="W94" i="44"/>
  <c r="W93" i="44"/>
  <c r="W92" i="44"/>
  <c r="AO191" i="44" s="1"/>
  <c r="W91" i="44"/>
  <c r="W90" i="44"/>
  <c r="W89" i="44"/>
  <c r="AO168" i="1"/>
  <c r="AO169" i="1"/>
  <c r="AO170" i="1"/>
  <c r="AO171" i="1"/>
  <c r="AO172" i="1"/>
  <c r="AO173" i="1"/>
  <c r="AO174" i="1"/>
  <c r="AO175" i="1"/>
  <c r="AO176" i="1"/>
  <c r="AO177" i="1"/>
  <c r="AO178" i="1"/>
  <c r="AO179" i="1"/>
  <c r="AO180" i="1"/>
  <c r="AO181" i="1"/>
  <c r="AO182" i="1"/>
  <c r="AO183" i="1"/>
  <c r="AO184" i="1"/>
  <c r="AO185" i="1"/>
  <c r="AO186" i="1"/>
  <c r="AO187" i="1"/>
  <c r="AO167" i="1"/>
  <c r="AN168" i="1"/>
  <c r="AN169" i="1"/>
  <c r="AN170" i="1"/>
  <c r="AN171" i="1"/>
  <c r="AN172" i="1"/>
  <c r="AN173" i="1"/>
  <c r="AN174" i="1"/>
  <c r="AN175" i="1"/>
  <c r="AN176" i="1"/>
  <c r="AN177" i="1"/>
  <c r="AN178" i="1"/>
  <c r="AN179" i="1"/>
  <c r="AN180" i="1"/>
  <c r="AN181" i="1"/>
  <c r="AN182" i="1"/>
  <c r="AN183" i="1"/>
  <c r="AN184" i="1"/>
  <c r="AN185" i="1"/>
  <c r="AN186" i="1"/>
  <c r="AN187" i="1"/>
  <c r="AN167" i="1"/>
  <c r="W114" i="1"/>
  <c r="W113" i="1"/>
  <c r="AO212" i="1" s="1"/>
  <c r="W112" i="1"/>
  <c r="AN211" i="1" s="1"/>
  <c r="W111" i="1"/>
  <c r="AN210" i="1" s="1"/>
  <c r="W110" i="1"/>
  <c r="AN209" i="1" s="1"/>
  <c r="W109" i="1"/>
  <c r="AO208" i="1" s="1"/>
  <c r="W108" i="1"/>
  <c r="AO207" i="1" s="1"/>
  <c r="W107" i="1"/>
  <c r="AN206" i="1" s="1"/>
  <c r="W106" i="1"/>
  <c r="W105" i="1"/>
  <c r="AO204" i="1" s="1"/>
  <c r="W104" i="1"/>
  <c r="AN203" i="1" s="1"/>
  <c r="W103" i="1"/>
  <c r="AN202" i="1" s="1"/>
  <c r="W102" i="1"/>
  <c r="AN201" i="1" s="1"/>
  <c r="W101" i="1"/>
  <c r="AO200" i="1" s="1"/>
  <c r="W100" i="1"/>
  <c r="AN199" i="1" s="1"/>
  <c r="W99" i="1"/>
  <c r="AN198" i="1" s="1"/>
  <c r="W98" i="1"/>
  <c r="W97" i="1"/>
  <c r="AO196" i="1" s="1"/>
  <c r="W96" i="1"/>
  <c r="AN195" i="1" s="1"/>
  <c r="W95" i="1"/>
  <c r="AN194" i="1" s="1"/>
  <c r="W94" i="1"/>
  <c r="AN193" i="1" s="1"/>
  <c r="W93" i="1"/>
  <c r="AO192" i="1" s="1"/>
  <c r="W92" i="1"/>
  <c r="AN191" i="1" s="1"/>
  <c r="W91" i="1"/>
  <c r="AN190" i="1" s="1"/>
  <c r="W90" i="1"/>
  <c r="W89" i="1"/>
  <c r="AO188" i="1" s="1"/>
  <c r="G272" i="5"/>
  <c r="H272" i="5" s="1"/>
  <c r="I272" i="5" s="1"/>
  <c r="J272" i="5" s="1"/>
  <c r="K272" i="5" s="1"/>
  <c r="L272" i="5" s="1"/>
  <c r="M272" i="5" s="1"/>
  <c r="N272" i="5" s="1"/>
  <c r="O272" i="5" s="1"/>
  <c r="P272" i="5" s="1"/>
  <c r="Q272" i="5" s="1"/>
  <c r="G271" i="64"/>
  <c r="H271" i="64" s="1"/>
  <c r="I271" i="64" s="1"/>
  <c r="J271" i="64" s="1"/>
  <c r="K271" i="64" s="1"/>
  <c r="L271" i="64" s="1"/>
  <c r="M271" i="64" s="1"/>
  <c r="N271" i="64" s="1"/>
  <c r="O271" i="64" s="1"/>
  <c r="P271" i="64" s="1"/>
  <c r="Q271" i="64" s="1"/>
  <c r="AA166" i="17"/>
  <c r="AA178" i="17" s="1"/>
  <c r="AM213" i="44"/>
  <c r="AL213" i="44"/>
  <c r="AJ213" i="44"/>
  <c r="AI213" i="44"/>
  <c r="AH213" i="44"/>
  <c r="AG213" i="44"/>
  <c r="AF213" i="44"/>
  <c r="AE213" i="44"/>
  <c r="AD213" i="44"/>
  <c r="AC213" i="44"/>
  <c r="AB213" i="44"/>
  <c r="AA213" i="44"/>
  <c r="AM212" i="44"/>
  <c r="AL212" i="44"/>
  <c r="AJ212" i="44"/>
  <c r="AI212" i="44"/>
  <c r="AH212" i="44"/>
  <c r="AG212" i="44"/>
  <c r="AF212" i="44"/>
  <c r="AE212" i="44"/>
  <c r="AD212" i="44"/>
  <c r="AC212" i="44"/>
  <c r="AB212" i="44"/>
  <c r="AA212" i="44"/>
  <c r="AM211" i="44"/>
  <c r="AL211" i="44"/>
  <c r="AJ211" i="44"/>
  <c r="AI211" i="44"/>
  <c r="AH211" i="44"/>
  <c r="AG211" i="44"/>
  <c r="AF211" i="44"/>
  <c r="AE211" i="44"/>
  <c r="AD211" i="44"/>
  <c r="AC211" i="44"/>
  <c r="AB211" i="44"/>
  <c r="AA211" i="44"/>
  <c r="AM210" i="44"/>
  <c r="AL210" i="44"/>
  <c r="AJ210" i="44"/>
  <c r="AI210" i="44"/>
  <c r="AH210" i="44"/>
  <c r="AG210" i="44"/>
  <c r="AF210" i="44"/>
  <c r="AE210" i="44"/>
  <c r="AD210" i="44"/>
  <c r="AC210" i="44"/>
  <c r="AB210" i="44"/>
  <c r="AA210" i="44"/>
  <c r="AM209" i="44"/>
  <c r="AL209" i="44"/>
  <c r="AJ209" i="44"/>
  <c r="AI209" i="44"/>
  <c r="AH209" i="44"/>
  <c r="AG209" i="44"/>
  <c r="AF209" i="44"/>
  <c r="AE209" i="44"/>
  <c r="AD209" i="44"/>
  <c r="AC209" i="44"/>
  <c r="AB209" i="44"/>
  <c r="AA209" i="44"/>
  <c r="AM208" i="44"/>
  <c r="AL208" i="44"/>
  <c r="AJ208" i="44"/>
  <c r="AI208" i="44"/>
  <c r="AH208" i="44"/>
  <c r="AG208" i="44"/>
  <c r="AF208" i="44"/>
  <c r="AE208" i="44"/>
  <c r="AD208" i="44"/>
  <c r="AC208" i="44"/>
  <c r="AB208" i="44"/>
  <c r="AA208" i="44"/>
  <c r="AM207" i="44"/>
  <c r="AL207" i="44"/>
  <c r="AJ207" i="44"/>
  <c r="AI207" i="44"/>
  <c r="AH207" i="44"/>
  <c r="AG207" i="44"/>
  <c r="AF207" i="44"/>
  <c r="AE207" i="44"/>
  <c r="AD207" i="44"/>
  <c r="AC207" i="44"/>
  <c r="AB207" i="44"/>
  <c r="AA207" i="44"/>
  <c r="AM206" i="44"/>
  <c r="AL206" i="44"/>
  <c r="AJ206" i="44"/>
  <c r="AI206" i="44"/>
  <c r="AH206" i="44"/>
  <c r="AG206" i="44"/>
  <c r="AF206" i="44"/>
  <c r="AE206" i="44"/>
  <c r="AD206" i="44"/>
  <c r="AC206" i="44"/>
  <c r="AB206" i="44"/>
  <c r="AA206" i="44"/>
  <c r="AM205" i="44"/>
  <c r="AL205" i="44"/>
  <c r="AJ205" i="44"/>
  <c r="AI205" i="44"/>
  <c r="AH205" i="44"/>
  <c r="AG205" i="44"/>
  <c r="AF205" i="44"/>
  <c r="AE205" i="44"/>
  <c r="AD205" i="44"/>
  <c r="AC205" i="44"/>
  <c r="AB205" i="44"/>
  <c r="AA205" i="44"/>
  <c r="AM204" i="44"/>
  <c r="AL204" i="44"/>
  <c r="AJ204" i="44"/>
  <c r="AI204" i="44"/>
  <c r="AH204" i="44"/>
  <c r="AG204" i="44"/>
  <c r="AF204" i="44"/>
  <c r="AE204" i="44"/>
  <c r="AD204" i="44"/>
  <c r="AC204" i="44"/>
  <c r="AB204" i="44"/>
  <c r="AA204" i="44"/>
  <c r="AM203" i="44"/>
  <c r="AL203" i="44"/>
  <c r="AJ203" i="44"/>
  <c r="AI203" i="44"/>
  <c r="AH203" i="44"/>
  <c r="AG203" i="44"/>
  <c r="AF203" i="44"/>
  <c r="AE203" i="44"/>
  <c r="AD203" i="44"/>
  <c r="AC203" i="44"/>
  <c r="AB203" i="44"/>
  <c r="AA203" i="44"/>
  <c r="AM202" i="44"/>
  <c r="AL202" i="44"/>
  <c r="AJ202" i="44"/>
  <c r="AI202" i="44"/>
  <c r="AH202" i="44"/>
  <c r="AG202" i="44"/>
  <c r="AF202" i="44"/>
  <c r="AE202" i="44"/>
  <c r="AD202" i="44"/>
  <c r="AC202" i="44"/>
  <c r="AB202" i="44"/>
  <c r="AA202" i="44"/>
  <c r="AM201" i="44"/>
  <c r="AL201" i="44"/>
  <c r="AJ201" i="44"/>
  <c r="AI201" i="44"/>
  <c r="AH201" i="44"/>
  <c r="AG201" i="44"/>
  <c r="AF201" i="44"/>
  <c r="AE201" i="44"/>
  <c r="AD201" i="44"/>
  <c r="AC201" i="44"/>
  <c r="AB201" i="44"/>
  <c r="AA201" i="44"/>
  <c r="AM200" i="44"/>
  <c r="AL200" i="44"/>
  <c r="AJ200" i="44"/>
  <c r="AI200" i="44"/>
  <c r="AH200" i="44"/>
  <c r="AG200" i="44"/>
  <c r="AF200" i="44"/>
  <c r="AE200" i="44"/>
  <c r="AD200" i="44"/>
  <c r="AC200" i="44"/>
  <c r="AB200" i="44"/>
  <c r="AA200" i="44"/>
  <c r="AM199" i="44"/>
  <c r="AL199" i="44"/>
  <c r="AJ199" i="44"/>
  <c r="AI199" i="44"/>
  <c r="AH199" i="44"/>
  <c r="AG199" i="44"/>
  <c r="AF199" i="44"/>
  <c r="AE199" i="44"/>
  <c r="AD199" i="44"/>
  <c r="AC199" i="44"/>
  <c r="AB199" i="44"/>
  <c r="AA199" i="44"/>
  <c r="AM198" i="44"/>
  <c r="AL198" i="44"/>
  <c r="AJ198" i="44"/>
  <c r="AI198" i="44"/>
  <c r="AH198" i="44"/>
  <c r="AG198" i="44"/>
  <c r="AF198" i="44"/>
  <c r="AE198" i="44"/>
  <c r="AD198" i="44"/>
  <c r="AC198" i="44"/>
  <c r="AB198" i="44"/>
  <c r="AA198" i="44"/>
  <c r="AM197" i="44"/>
  <c r="AL197" i="44"/>
  <c r="AJ197" i="44"/>
  <c r="AI197" i="44"/>
  <c r="AH197" i="44"/>
  <c r="AG197" i="44"/>
  <c r="AF197" i="44"/>
  <c r="AE197" i="44"/>
  <c r="AD197" i="44"/>
  <c r="AC197" i="44"/>
  <c r="AB197" i="44"/>
  <c r="AA197" i="44"/>
  <c r="AM196" i="44"/>
  <c r="AL196" i="44"/>
  <c r="AJ196" i="44"/>
  <c r="AI196" i="44"/>
  <c r="AH196" i="44"/>
  <c r="AG196" i="44"/>
  <c r="AF196" i="44"/>
  <c r="AE196" i="44"/>
  <c r="AD196" i="44"/>
  <c r="AC196" i="44"/>
  <c r="AB196" i="44"/>
  <c r="AA196" i="44"/>
  <c r="AM195" i="44"/>
  <c r="AL195" i="44"/>
  <c r="AJ195" i="44"/>
  <c r="AI195" i="44"/>
  <c r="AH195" i="44"/>
  <c r="AG195" i="44"/>
  <c r="AF195" i="44"/>
  <c r="AE195" i="44"/>
  <c r="AD195" i="44"/>
  <c r="AC195" i="44"/>
  <c r="AB195" i="44"/>
  <c r="AA195" i="44"/>
  <c r="AM194" i="44"/>
  <c r="AL194" i="44"/>
  <c r="AJ194" i="44"/>
  <c r="AI194" i="44"/>
  <c r="AH194" i="44"/>
  <c r="AG194" i="44"/>
  <c r="AF194" i="44"/>
  <c r="AE194" i="44"/>
  <c r="AD194" i="44"/>
  <c r="AC194" i="44"/>
  <c r="AB194" i="44"/>
  <c r="AA194" i="44"/>
  <c r="AM193" i="44"/>
  <c r="AL193" i="44"/>
  <c r="AJ193" i="44"/>
  <c r="AI193" i="44"/>
  <c r="AH193" i="44"/>
  <c r="AG193" i="44"/>
  <c r="AF193" i="44"/>
  <c r="AE193" i="44"/>
  <c r="AD193" i="44"/>
  <c r="AC193" i="44"/>
  <c r="AB193" i="44"/>
  <c r="AA193" i="44"/>
  <c r="AM192" i="44"/>
  <c r="AL192" i="44"/>
  <c r="AJ192" i="44"/>
  <c r="AI192" i="44"/>
  <c r="AH192" i="44"/>
  <c r="AG192" i="44"/>
  <c r="AF192" i="44"/>
  <c r="AE192" i="44"/>
  <c r="AD192" i="44"/>
  <c r="AC192" i="44"/>
  <c r="AB192" i="44"/>
  <c r="AA192" i="44"/>
  <c r="AM191" i="44"/>
  <c r="AL191" i="44"/>
  <c r="AJ191" i="44"/>
  <c r="AI191" i="44"/>
  <c r="AH191" i="44"/>
  <c r="AG191" i="44"/>
  <c r="AF191" i="44"/>
  <c r="AE191" i="44"/>
  <c r="AD191" i="44"/>
  <c r="AC191" i="44"/>
  <c r="AB191" i="44"/>
  <c r="AA191" i="44"/>
  <c r="AM190" i="44"/>
  <c r="AL190" i="44"/>
  <c r="AJ190" i="44"/>
  <c r="AI190" i="44"/>
  <c r="AH190" i="44"/>
  <c r="AG190" i="44"/>
  <c r="AF190" i="44"/>
  <c r="AE190" i="44"/>
  <c r="AD190" i="44"/>
  <c r="AC190" i="44"/>
  <c r="AB190" i="44"/>
  <c r="AA190" i="44"/>
  <c r="AM189" i="44"/>
  <c r="AL189" i="44"/>
  <c r="AJ189" i="44"/>
  <c r="AI189" i="44"/>
  <c r="AH189" i="44"/>
  <c r="AG189" i="44"/>
  <c r="AF189" i="44"/>
  <c r="AE189" i="44"/>
  <c r="AD189" i="44"/>
  <c r="AC189" i="44"/>
  <c r="AB189" i="44"/>
  <c r="AA189" i="44"/>
  <c r="AM188" i="44"/>
  <c r="AL188" i="44"/>
  <c r="AJ188" i="44"/>
  <c r="AI188" i="44"/>
  <c r="AH188" i="44"/>
  <c r="AG188" i="44"/>
  <c r="AF188" i="44"/>
  <c r="AE188" i="44"/>
  <c r="AD188" i="44"/>
  <c r="AC188" i="44"/>
  <c r="AB188" i="44"/>
  <c r="AA188" i="44"/>
  <c r="AM187" i="44"/>
  <c r="AL187" i="44"/>
  <c r="AJ187" i="44"/>
  <c r="AI187" i="44"/>
  <c r="AH187" i="44"/>
  <c r="AG187" i="44"/>
  <c r="AF187" i="44"/>
  <c r="AE187" i="44"/>
  <c r="AD187" i="44"/>
  <c r="AC187" i="44"/>
  <c r="AB187" i="44"/>
  <c r="AA187" i="44"/>
  <c r="AM186" i="44"/>
  <c r="AL186" i="44"/>
  <c r="AJ186" i="44"/>
  <c r="AI186" i="44"/>
  <c r="AH186" i="44"/>
  <c r="AG186" i="44"/>
  <c r="AF186" i="44"/>
  <c r="AE186" i="44"/>
  <c r="AD186" i="44"/>
  <c r="AC186" i="44"/>
  <c r="AB186" i="44"/>
  <c r="AA186" i="44"/>
  <c r="AM185" i="44"/>
  <c r="AL185" i="44"/>
  <c r="AJ185" i="44"/>
  <c r="AI185" i="44"/>
  <c r="AH185" i="44"/>
  <c r="AG185" i="44"/>
  <c r="AF185" i="44"/>
  <c r="AE185" i="44"/>
  <c r="AD185" i="44"/>
  <c r="AC185" i="44"/>
  <c r="AB185" i="44"/>
  <c r="AA185" i="44"/>
  <c r="AM184" i="44"/>
  <c r="AL184" i="44"/>
  <c r="AJ184" i="44"/>
  <c r="AI184" i="44"/>
  <c r="AH184" i="44"/>
  <c r="AG184" i="44"/>
  <c r="AF184" i="44"/>
  <c r="AE184" i="44"/>
  <c r="AD184" i="44"/>
  <c r="AC184" i="44"/>
  <c r="AB184" i="44"/>
  <c r="AA184" i="44"/>
  <c r="AM183" i="44"/>
  <c r="AL183" i="44"/>
  <c r="AJ183" i="44"/>
  <c r="AI183" i="44"/>
  <c r="AH183" i="44"/>
  <c r="AG183" i="44"/>
  <c r="AF183" i="44"/>
  <c r="AE183" i="44"/>
  <c r="AD183" i="44"/>
  <c r="AC183" i="44"/>
  <c r="AB183" i="44"/>
  <c r="AA183" i="44"/>
  <c r="AM182" i="44"/>
  <c r="AL182" i="44"/>
  <c r="AJ182" i="44"/>
  <c r="AI182" i="44"/>
  <c r="AH182" i="44"/>
  <c r="AG182" i="44"/>
  <c r="AF182" i="44"/>
  <c r="AE182" i="44"/>
  <c r="AD182" i="44"/>
  <c r="AC182" i="44"/>
  <c r="AB182" i="44"/>
  <c r="AA182" i="44"/>
  <c r="AM181" i="44"/>
  <c r="AL181" i="44"/>
  <c r="AJ181" i="44"/>
  <c r="AI181" i="44"/>
  <c r="AH181" i="44"/>
  <c r="AG181" i="44"/>
  <c r="AF181" i="44"/>
  <c r="AE181" i="44"/>
  <c r="AD181" i="44"/>
  <c r="AC181" i="44"/>
  <c r="AB181" i="44"/>
  <c r="AA181" i="44"/>
  <c r="AM180" i="44"/>
  <c r="AL180" i="44"/>
  <c r="AJ180" i="44"/>
  <c r="AI180" i="44"/>
  <c r="AH180" i="44"/>
  <c r="AG180" i="44"/>
  <c r="AF180" i="44"/>
  <c r="AE180" i="44"/>
  <c r="AD180" i="44"/>
  <c r="AC180" i="44"/>
  <c r="AB180" i="44"/>
  <c r="AA180" i="44"/>
  <c r="AM179" i="44"/>
  <c r="AL179" i="44"/>
  <c r="AJ179" i="44"/>
  <c r="AI179" i="44"/>
  <c r="AH179" i="44"/>
  <c r="AG179" i="44"/>
  <c r="AF179" i="44"/>
  <c r="AE179" i="44"/>
  <c r="AD179" i="44"/>
  <c r="AC179" i="44"/>
  <c r="AB179" i="44"/>
  <c r="AA179" i="44"/>
  <c r="AM178" i="44"/>
  <c r="AL178" i="44"/>
  <c r="AJ178" i="44"/>
  <c r="AI178" i="44"/>
  <c r="AH178" i="44"/>
  <c r="AG178" i="44"/>
  <c r="AF178" i="44"/>
  <c r="AE178" i="44"/>
  <c r="AD178" i="44"/>
  <c r="AC178" i="44"/>
  <c r="AB178" i="44"/>
  <c r="AA178" i="44"/>
  <c r="AM177" i="44"/>
  <c r="AL177" i="44"/>
  <c r="AJ177" i="44"/>
  <c r="AI177" i="44"/>
  <c r="AH177" i="44"/>
  <c r="AG177" i="44"/>
  <c r="AF177" i="44"/>
  <c r="AE177" i="44"/>
  <c r="AD177" i="44"/>
  <c r="AC177" i="44"/>
  <c r="AB177" i="44"/>
  <c r="AA177" i="44"/>
  <c r="AJ176" i="44"/>
  <c r="AI176" i="44"/>
  <c r="AH176" i="44"/>
  <c r="AG176" i="44"/>
  <c r="AF176" i="44"/>
  <c r="AE176" i="44"/>
  <c r="AD176" i="44"/>
  <c r="AC176" i="44"/>
  <c r="AB176" i="44"/>
  <c r="AA176" i="44"/>
  <c r="AJ175" i="44"/>
  <c r="AI175" i="44"/>
  <c r="AH175" i="44"/>
  <c r="AG175" i="44"/>
  <c r="AF175" i="44"/>
  <c r="AE175" i="44"/>
  <c r="AD175" i="44"/>
  <c r="AC175" i="44"/>
  <c r="AB175" i="44"/>
  <c r="AA175" i="44"/>
  <c r="AM167" i="44"/>
  <c r="AL167" i="44"/>
  <c r="AJ167" i="44"/>
  <c r="AI167" i="44"/>
  <c r="AH167" i="44"/>
  <c r="AG167" i="44"/>
  <c r="AF167" i="44"/>
  <c r="AE167" i="44"/>
  <c r="AD167" i="44"/>
  <c r="AC167" i="44"/>
  <c r="AB167" i="44"/>
  <c r="AA167" i="44"/>
  <c r="AA166" i="44"/>
  <c r="AB166" i="44" s="1"/>
  <c r="AC166" i="44" s="1"/>
  <c r="AD166" i="44" s="1"/>
  <c r="AE166" i="44" s="1"/>
  <c r="AF166" i="44" s="1"/>
  <c r="AG166" i="44" s="1"/>
  <c r="AH166" i="44" s="1"/>
  <c r="AI166" i="44" s="1"/>
  <c r="AJ166" i="44" s="1"/>
  <c r="AK166" i="44" s="1"/>
  <c r="AM213" i="8"/>
  <c r="AL213" i="8"/>
  <c r="AJ213" i="8"/>
  <c r="AI213" i="8"/>
  <c r="AH213" i="8"/>
  <c r="AG213" i="8"/>
  <c r="AF213" i="8"/>
  <c r="AE213" i="8"/>
  <c r="AD213" i="8"/>
  <c r="AC213" i="8"/>
  <c r="AB213" i="8"/>
  <c r="AA213" i="8"/>
  <c r="AM212" i="8"/>
  <c r="AL212" i="8"/>
  <c r="AJ212" i="8"/>
  <c r="AI212" i="8"/>
  <c r="AH212" i="8"/>
  <c r="AG212" i="8"/>
  <c r="AF212" i="8"/>
  <c r="AE212" i="8"/>
  <c r="AD212" i="8"/>
  <c r="AC212" i="8"/>
  <c r="AB212" i="8"/>
  <c r="AA212" i="8"/>
  <c r="AM211" i="8"/>
  <c r="AL211" i="8"/>
  <c r="AJ211" i="8"/>
  <c r="AI211" i="8"/>
  <c r="AH211" i="8"/>
  <c r="AG211" i="8"/>
  <c r="AF211" i="8"/>
  <c r="AE211" i="8"/>
  <c r="AD211" i="8"/>
  <c r="AC211" i="8"/>
  <c r="AB211" i="8"/>
  <c r="AA211" i="8"/>
  <c r="AM210" i="8"/>
  <c r="AL210" i="8"/>
  <c r="AJ210" i="8"/>
  <c r="AI210" i="8"/>
  <c r="AH210" i="8"/>
  <c r="AG210" i="8"/>
  <c r="AF210" i="8"/>
  <c r="AE210" i="8"/>
  <c r="AD210" i="8"/>
  <c r="AC210" i="8"/>
  <c r="AB210" i="8"/>
  <c r="AA210" i="8"/>
  <c r="AM209" i="8"/>
  <c r="AL209" i="8"/>
  <c r="AJ209" i="8"/>
  <c r="AI209" i="8"/>
  <c r="AH209" i="8"/>
  <c r="AG209" i="8"/>
  <c r="AF209" i="8"/>
  <c r="AE209" i="8"/>
  <c r="AD209" i="8"/>
  <c r="AC209" i="8"/>
  <c r="AB209" i="8"/>
  <c r="AA209" i="8"/>
  <c r="AM208" i="8"/>
  <c r="AL208" i="8"/>
  <c r="AJ208" i="8"/>
  <c r="AI208" i="8"/>
  <c r="AH208" i="8"/>
  <c r="AG208" i="8"/>
  <c r="AF208" i="8"/>
  <c r="AE208" i="8"/>
  <c r="AD208" i="8"/>
  <c r="AC208" i="8"/>
  <c r="AB208" i="8"/>
  <c r="AA208" i="8"/>
  <c r="AM207" i="8"/>
  <c r="AL207" i="8"/>
  <c r="AJ207" i="8"/>
  <c r="AI207" i="8"/>
  <c r="AH207" i="8"/>
  <c r="AG207" i="8"/>
  <c r="AF207" i="8"/>
  <c r="AE207" i="8"/>
  <c r="AD207" i="8"/>
  <c r="AC207" i="8"/>
  <c r="AB207" i="8"/>
  <c r="AA207" i="8"/>
  <c r="AM206" i="8"/>
  <c r="AL206" i="8"/>
  <c r="AJ206" i="8"/>
  <c r="AI206" i="8"/>
  <c r="AH206" i="8"/>
  <c r="AG206" i="8"/>
  <c r="AF206" i="8"/>
  <c r="AE206" i="8"/>
  <c r="AD206" i="8"/>
  <c r="AC206" i="8"/>
  <c r="AB206" i="8"/>
  <c r="AA206" i="8"/>
  <c r="AM205" i="8"/>
  <c r="AL205" i="8"/>
  <c r="AJ205" i="8"/>
  <c r="AI205" i="8"/>
  <c r="AH205" i="8"/>
  <c r="AG205" i="8"/>
  <c r="AF205" i="8"/>
  <c r="AE205" i="8"/>
  <c r="AD205" i="8"/>
  <c r="AC205" i="8"/>
  <c r="AB205" i="8"/>
  <c r="AA205" i="8"/>
  <c r="AM204" i="8"/>
  <c r="AL204" i="8"/>
  <c r="AJ204" i="8"/>
  <c r="AI204" i="8"/>
  <c r="AH204" i="8"/>
  <c r="AG204" i="8"/>
  <c r="AF204" i="8"/>
  <c r="AE204" i="8"/>
  <c r="AD204" i="8"/>
  <c r="AC204" i="8"/>
  <c r="AB204" i="8"/>
  <c r="AA204" i="8"/>
  <c r="AM203" i="8"/>
  <c r="AL203" i="8"/>
  <c r="AJ203" i="8"/>
  <c r="AI203" i="8"/>
  <c r="AH203" i="8"/>
  <c r="AG203" i="8"/>
  <c r="AF203" i="8"/>
  <c r="AE203" i="8"/>
  <c r="AD203" i="8"/>
  <c r="AC203" i="8"/>
  <c r="AB203" i="8"/>
  <c r="AA203" i="8"/>
  <c r="AM202" i="8"/>
  <c r="AL202" i="8"/>
  <c r="AJ202" i="8"/>
  <c r="AI202" i="8"/>
  <c r="AH202" i="8"/>
  <c r="AG202" i="8"/>
  <c r="AF202" i="8"/>
  <c r="AE202" i="8"/>
  <c r="AD202" i="8"/>
  <c r="AC202" i="8"/>
  <c r="AB202" i="8"/>
  <c r="AA202" i="8"/>
  <c r="AM201" i="8"/>
  <c r="AL201" i="8"/>
  <c r="AJ201" i="8"/>
  <c r="AI201" i="8"/>
  <c r="AH201" i="8"/>
  <c r="AG201" i="8"/>
  <c r="AF201" i="8"/>
  <c r="AE201" i="8"/>
  <c r="AD201" i="8"/>
  <c r="AC201" i="8"/>
  <c r="AB201" i="8"/>
  <c r="AA201" i="8"/>
  <c r="AM200" i="8"/>
  <c r="AL200" i="8"/>
  <c r="AJ200" i="8"/>
  <c r="AI200" i="8"/>
  <c r="AH200" i="8"/>
  <c r="AG200" i="8"/>
  <c r="AF200" i="8"/>
  <c r="AE200" i="8"/>
  <c r="AD200" i="8"/>
  <c r="AC200" i="8"/>
  <c r="AB200" i="8"/>
  <c r="AA200" i="8"/>
  <c r="AM199" i="8"/>
  <c r="AL199" i="8"/>
  <c r="AJ199" i="8"/>
  <c r="AI199" i="8"/>
  <c r="AH199" i="8"/>
  <c r="AG199" i="8"/>
  <c r="AF199" i="8"/>
  <c r="AE199" i="8"/>
  <c r="AD199" i="8"/>
  <c r="AC199" i="8"/>
  <c r="AB199" i="8"/>
  <c r="AA199" i="8"/>
  <c r="AM198" i="8"/>
  <c r="AL198" i="8"/>
  <c r="AJ198" i="8"/>
  <c r="AI198" i="8"/>
  <c r="AH198" i="8"/>
  <c r="AG198" i="8"/>
  <c r="AF198" i="8"/>
  <c r="AE198" i="8"/>
  <c r="AD198" i="8"/>
  <c r="AC198" i="8"/>
  <c r="AB198" i="8"/>
  <c r="AA198" i="8"/>
  <c r="AM197" i="8"/>
  <c r="AL197" i="8"/>
  <c r="AJ197" i="8"/>
  <c r="AI197" i="8"/>
  <c r="AH197" i="8"/>
  <c r="AG197" i="8"/>
  <c r="AF197" i="8"/>
  <c r="AE197" i="8"/>
  <c r="AD197" i="8"/>
  <c r="AC197" i="8"/>
  <c r="AB197" i="8"/>
  <c r="AA197" i="8"/>
  <c r="AM196" i="8"/>
  <c r="AL196" i="8"/>
  <c r="AJ196" i="8"/>
  <c r="AI196" i="8"/>
  <c r="AH196" i="8"/>
  <c r="AG196" i="8"/>
  <c r="AF196" i="8"/>
  <c r="AE196" i="8"/>
  <c r="AD196" i="8"/>
  <c r="AC196" i="8"/>
  <c r="AB196" i="8"/>
  <c r="AA196" i="8"/>
  <c r="AM195" i="8"/>
  <c r="AL195" i="8"/>
  <c r="AJ195" i="8"/>
  <c r="AI195" i="8"/>
  <c r="AH195" i="8"/>
  <c r="AG195" i="8"/>
  <c r="AF195" i="8"/>
  <c r="AE195" i="8"/>
  <c r="AD195" i="8"/>
  <c r="AC195" i="8"/>
  <c r="AB195" i="8"/>
  <c r="AA195" i="8"/>
  <c r="AM194" i="8"/>
  <c r="AL194" i="8"/>
  <c r="AJ194" i="8"/>
  <c r="AI194" i="8"/>
  <c r="AH194" i="8"/>
  <c r="AG194" i="8"/>
  <c r="AF194" i="8"/>
  <c r="AE194" i="8"/>
  <c r="AD194" i="8"/>
  <c r="AC194" i="8"/>
  <c r="AB194" i="8"/>
  <c r="AA194" i="8"/>
  <c r="AM193" i="8"/>
  <c r="AL193" i="8"/>
  <c r="AJ193" i="8"/>
  <c r="AI193" i="8"/>
  <c r="AH193" i="8"/>
  <c r="AG193" i="8"/>
  <c r="AF193" i="8"/>
  <c r="AE193" i="8"/>
  <c r="AD193" i="8"/>
  <c r="AC193" i="8"/>
  <c r="AB193" i="8"/>
  <c r="AA193" i="8"/>
  <c r="AM192" i="8"/>
  <c r="AL192" i="8"/>
  <c r="AJ192" i="8"/>
  <c r="AI192" i="8"/>
  <c r="AH192" i="8"/>
  <c r="AG192" i="8"/>
  <c r="AF192" i="8"/>
  <c r="AE192" i="8"/>
  <c r="AD192" i="8"/>
  <c r="AC192" i="8"/>
  <c r="AB192" i="8"/>
  <c r="AA192" i="8"/>
  <c r="AM191" i="8"/>
  <c r="AL191" i="8"/>
  <c r="AJ191" i="8"/>
  <c r="AI191" i="8"/>
  <c r="AH191" i="8"/>
  <c r="AG191" i="8"/>
  <c r="AF191" i="8"/>
  <c r="AE191" i="8"/>
  <c r="AD191" i="8"/>
  <c r="AC191" i="8"/>
  <c r="AB191" i="8"/>
  <c r="AA191" i="8"/>
  <c r="AM190" i="8"/>
  <c r="AL190" i="8"/>
  <c r="AJ190" i="8"/>
  <c r="AI190" i="8"/>
  <c r="AH190" i="8"/>
  <c r="AG190" i="8"/>
  <c r="AF190" i="8"/>
  <c r="AE190" i="8"/>
  <c r="AD190" i="8"/>
  <c r="AC190" i="8"/>
  <c r="AB190" i="8"/>
  <c r="AA190" i="8"/>
  <c r="AM189" i="8"/>
  <c r="AL189" i="8"/>
  <c r="AJ189" i="8"/>
  <c r="AI189" i="8"/>
  <c r="AH189" i="8"/>
  <c r="AG189" i="8"/>
  <c r="AF189" i="8"/>
  <c r="AE189" i="8"/>
  <c r="AD189" i="8"/>
  <c r="AC189" i="8"/>
  <c r="AB189" i="8"/>
  <c r="AA189" i="8"/>
  <c r="AM188" i="8"/>
  <c r="AL188" i="8"/>
  <c r="AJ188" i="8"/>
  <c r="AI188" i="8"/>
  <c r="AH188" i="8"/>
  <c r="AG188" i="8"/>
  <c r="AF188" i="8"/>
  <c r="AE188" i="8"/>
  <c r="AD188" i="8"/>
  <c r="AC188" i="8"/>
  <c r="AB188" i="8"/>
  <c r="AA188" i="8"/>
  <c r="AM187" i="8"/>
  <c r="AL187" i="8"/>
  <c r="AJ187" i="8"/>
  <c r="AI187" i="8"/>
  <c r="AH187" i="8"/>
  <c r="AG187" i="8"/>
  <c r="AF187" i="8"/>
  <c r="AE187" i="8"/>
  <c r="AD187" i="8"/>
  <c r="AC187" i="8"/>
  <c r="AB187" i="8"/>
  <c r="AA187" i="8"/>
  <c r="AM186" i="8"/>
  <c r="AL186" i="8"/>
  <c r="AJ186" i="8"/>
  <c r="AI186" i="8"/>
  <c r="AH186" i="8"/>
  <c r="AG186" i="8"/>
  <c r="AF186" i="8"/>
  <c r="AE186" i="8"/>
  <c r="AD186" i="8"/>
  <c r="AC186" i="8"/>
  <c r="AB186" i="8"/>
  <c r="AA186" i="8"/>
  <c r="AM185" i="8"/>
  <c r="AL185" i="8"/>
  <c r="AJ185" i="8"/>
  <c r="AI185" i="8"/>
  <c r="AH185" i="8"/>
  <c r="AG185" i="8"/>
  <c r="AF185" i="8"/>
  <c r="AE185" i="8"/>
  <c r="AD185" i="8"/>
  <c r="AC185" i="8"/>
  <c r="AB185" i="8"/>
  <c r="AA185" i="8"/>
  <c r="AM184" i="8"/>
  <c r="AL184" i="8"/>
  <c r="AJ184" i="8"/>
  <c r="AI184" i="8"/>
  <c r="AH184" i="8"/>
  <c r="AG184" i="8"/>
  <c r="AF184" i="8"/>
  <c r="AE184" i="8"/>
  <c r="AD184" i="8"/>
  <c r="AC184" i="8"/>
  <c r="AB184" i="8"/>
  <c r="AA184" i="8"/>
  <c r="AM183" i="8"/>
  <c r="AL183" i="8"/>
  <c r="AJ183" i="8"/>
  <c r="AI183" i="8"/>
  <c r="AH183" i="8"/>
  <c r="AG183" i="8"/>
  <c r="AF183" i="8"/>
  <c r="AE183" i="8"/>
  <c r="AD183" i="8"/>
  <c r="AC183" i="8"/>
  <c r="AB183" i="8"/>
  <c r="AA183" i="8"/>
  <c r="AM182" i="8"/>
  <c r="AL182" i="8"/>
  <c r="AJ182" i="8"/>
  <c r="AI182" i="8"/>
  <c r="AH182" i="8"/>
  <c r="AG182" i="8"/>
  <c r="AF182" i="8"/>
  <c r="AE182" i="8"/>
  <c r="AD182" i="8"/>
  <c r="AC182" i="8"/>
  <c r="AB182" i="8"/>
  <c r="AA182" i="8"/>
  <c r="AM181" i="8"/>
  <c r="AL181" i="8"/>
  <c r="AJ181" i="8"/>
  <c r="AI181" i="8"/>
  <c r="AH181" i="8"/>
  <c r="AG181" i="8"/>
  <c r="AF181" i="8"/>
  <c r="AE181" i="8"/>
  <c r="AD181" i="8"/>
  <c r="AC181" i="8"/>
  <c r="AB181" i="8"/>
  <c r="AA181" i="8"/>
  <c r="AM167" i="8"/>
  <c r="AL167" i="8"/>
  <c r="AJ167" i="8"/>
  <c r="AI167" i="8"/>
  <c r="AH167" i="8"/>
  <c r="AG167" i="8"/>
  <c r="AF167" i="8"/>
  <c r="AE167" i="8"/>
  <c r="AD167" i="8"/>
  <c r="AC167" i="8"/>
  <c r="AB167" i="8"/>
  <c r="AA167" i="8"/>
  <c r="AA166" i="8"/>
  <c r="AB166" i="8" s="1"/>
  <c r="AB179" i="8" s="1"/>
  <c r="AM214" i="5"/>
  <c r="AL214" i="5"/>
  <c r="AJ214" i="5"/>
  <c r="AI214" i="5"/>
  <c r="AH214" i="5"/>
  <c r="AG214" i="5"/>
  <c r="AF214" i="5"/>
  <c r="AE214" i="5"/>
  <c r="AD214" i="5"/>
  <c r="AC214" i="5"/>
  <c r="AB214" i="5"/>
  <c r="AA214" i="5"/>
  <c r="AM213" i="5"/>
  <c r="AL213" i="5"/>
  <c r="AJ213" i="5"/>
  <c r="AI213" i="5"/>
  <c r="AH213" i="5"/>
  <c r="AG213" i="5"/>
  <c r="AF213" i="5"/>
  <c r="AE213" i="5"/>
  <c r="AD213" i="5"/>
  <c r="AC213" i="5"/>
  <c r="AB213" i="5"/>
  <c r="AA213" i="5"/>
  <c r="AM212" i="5"/>
  <c r="AL212" i="5"/>
  <c r="AJ212" i="5"/>
  <c r="AI212" i="5"/>
  <c r="AH212" i="5"/>
  <c r="AG212" i="5"/>
  <c r="AF212" i="5"/>
  <c r="AE212" i="5"/>
  <c r="AD212" i="5"/>
  <c r="AC212" i="5"/>
  <c r="AB212" i="5"/>
  <c r="AA212" i="5"/>
  <c r="AM211" i="5"/>
  <c r="AL211" i="5"/>
  <c r="AJ211" i="5"/>
  <c r="AI211" i="5"/>
  <c r="AH211" i="5"/>
  <c r="AG211" i="5"/>
  <c r="AF211" i="5"/>
  <c r="AE211" i="5"/>
  <c r="AD211" i="5"/>
  <c r="AC211" i="5"/>
  <c r="AB211" i="5"/>
  <c r="AA211" i="5"/>
  <c r="AM210" i="5"/>
  <c r="AL210" i="5"/>
  <c r="AJ210" i="5"/>
  <c r="AI210" i="5"/>
  <c r="AH210" i="5"/>
  <c r="AG210" i="5"/>
  <c r="AF210" i="5"/>
  <c r="AE210" i="5"/>
  <c r="AD210" i="5"/>
  <c r="AC210" i="5"/>
  <c r="AB210" i="5"/>
  <c r="AA210" i="5"/>
  <c r="AM209" i="5"/>
  <c r="AL209" i="5"/>
  <c r="AJ209" i="5"/>
  <c r="AI209" i="5"/>
  <c r="AH209" i="5"/>
  <c r="AG209" i="5"/>
  <c r="AF209" i="5"/>
  <c r="AE209" i="5"/>
  <c r="AD209" i="5"/>
  <c r="AC209" i="5"/>
  <c r="AB209" i="5"/>
  <c r="AA209" i="5"/>
  <c r="AM208" i="5"/>
  <c r="AL208" i="5"/>
  <c r="AJ208" i="5"/>
  <c r="AI208" i="5"/>
  <c r="AH208" i="5"/>
  <c r="AG208" i="5"/>
  <c r="AF208" i="5"/>
  <c r="AE208" i="5"/>
  <c r="AD208" i="5"/>
  <c r="AC208" i="5"/>
  <c r="AB208" i="5"/>
  <c r="AA208" i="5"/>
  <c r="AM207" i="5"/>
  <c r="AL207" i="5"/>
  <c r="AJ207" i="5"/>
  <c r="AI207" i="5"/>
  <c r="AH207" i="5"/>
  <c r="AG207" i="5"/>
  <c r="AF207" i="5"/>
  <c r="AE207" i="5"/>
  <c r="AD207" i="5"/>
  <c r="AC207" i="5"/>
  <c r="AB207" i="5"/>
  <c r="AA207" i="5"/>
  <c r="AM206" i="5"/>
  <c r="AL206" i="5"/>
  <c r="AJ206" i="5"/>
  <c r="AI206" i="5"/>
  <c r="AH206" i="5"/>
  <c r="AG206" i="5"/>
  <c r="AF206" i="5"/>
  <c r="AE206" i="5"/>
  <c r="AD206" i="5"/>
  <c r="AC206" i="5"/>
  <c r="AB206" i="5"/>
  <c r="AA206" i="5"/>
  <c r="AM205" i="5"/>
  <c r="AL205" i="5"/>
  <c r="AJ205" i="5"/>
  <c r="AI205" i="5"/>
  <c r="AH205" i="5"/>
  <c r="AG205" i="5"/>
  <c r="AF205" i="5"/>
  <c r="AE205" i="5"/>
  <c r="AD205" i="5"/>
  <c r="AC205" i="5"/>
  <c r="AB205" i="5"/>
  <c r="AA205" i="5"/>
  <c r="AM204" i="5"/>
  <c r="AL204" i="5"/>
  <c r="AJ204" i="5"/>
  <c r="AI204" i="5"/>
  <c r="AH204" i="5"/>
  <c r="AG204" i="5"/>
  <c r="AF204" i="5"/>
  <c r="AE204" i="5"/>
  <c r="AD204" i="5"/>
  <c r="AC204" i="5"/>
  <c r="AB204" i="5"/>
  <c r="AA204" i="5"/>
  <c r="AM203" i="5"/>
  <c r="AL203" i="5"/>
  <c r="AJ203" i="5"/>
  <c r="AI203" i="5"/>
  <c r="AH203" i="5"/>
  <c r="AG203" i="5"/>
  <c r="AF203" i="5"/>
  <c r="AE203" i="5"/>
  <c r="AD203" i="5"/>
  <c r="AC203" i="5"/>
  <c r="AB203" i="5"/>
  <c r="AA203" i="5"/>
  <c r="AM202" i="5"/>
  <c r="AL202" i="5"/>
  <c r="AJ202" i="5"/>
  <c r="AI202" i="5"/>
  <c r="AH202" i="5"/>
  <c r="AG202" i="5"/>
  <c r="AF202" i="5"/>
  <c r="AE202" i="5"/>
  <c r="AD202" i="5"/>
  <c r="AC202" i="5"/>
  <c r="AB202" i="5"/>
  <c r="AA202" i="5"/>
  <c r="AM201" i="5"/>
  <c r="AL201" i="5"/>
  <c r="AJ201" i="5"/>
  <c r="AI201" i="5"/>
  <c r="AH201" i="5"/>
  <c r="AG201" i="5"/>
  <c r="AF201" i="5"/>
  <c r="AE201" i="5"/>
  <c r="AD201" i="5"/>
  <c r="AC201" i="5"/>
  <c r="AB201" i="5"/>
  <c r="AA201" i="5"/>
  <c r="AM200" i="5"/>
  <c r="AL200" i="5"/>
  <c r="AJ200" i="5"/>
  <c r="AI200" i="5"/>
  <c r="AH200" i="5"/>
  <c r="AG200" i="5"/>
  <c r="AF200" i="5"/>
  <c r="AE200" i="5"/>
  <c r="AD200" i="5"/>
  <c r="AC200" i="5"/>
  <c r="AB200" i="5"/>
  <c r="AA200" i="5"/>
  <c r="AM199" i="5"/>
  <c r="AL199" i="5"/>
  <c r="AJ199" i="5"/>
  <c r="AI199" i="5"/>
  <c r="AH199" i="5"/>
  <c r="AG199" i="5"/>
  <c r="AF199" i="5"/>
  <c r="AE199" i="5"/>
  <c r="AD199" i="5"/>
  <c r="AC199" i="5"/>
  <c r="AB199" i="5"/>
  <c r="AA199" i="5"/>
  <c r="AM198" i="5"/>
  <c r="AL198" i="5"/>
  <c r="AJ198" i="5"/>
  <c r="AI198" i="5"/>
  <c r="AH198" i="5"/>
  <c r="AG198" i="5"/>
  <c r="AF198" i="5"/>
  <c r="AE198" i="5"/>
  <c r="AD198" i="5"/>
  <c r="AC198" i="5"/>
  <c r="AB198" i="5"/>
  <c r="AA198" i="5"/>
  <c r="AM197" i="5"/>
  <c r="AL197" i="5"/>
  <c r="AJ197" i="5"/>
  <c r="AI197" i="5"/>
  <c r="AH197" i="5"/>
  <c r="AG197" i="5"/>
  <c r="AF197" i="5"/>
  <c r="AE197" i="5"/>
  <c r="AD197" i="5"/>
  <c r="AC197" i="5"/>
  <c r="AB197" i="5"/>
  <c r="AA197" i="5"/>
  <c r="AM196" i="5"/>
  <c r="AL196" i="5"/>
  <c r="AJ196" i="5"/>
  <c r="AI196" i="5"/>
  <c r="AH196" i="5"/>
  <c r="AG196" i="5"/>
  <c r="AF196" i="5"/>
  <c r="AE196" i="5"/>
  <c r="AD196" i="5"/>
  <c r="AC196" i="5"/>
  <c r="AB196" i="5"/>
  <c r="AA196" i="5"/>
  <c r="AM195" i="5"/>
  <c r="AL195" i="5"/>
  <c r="AJ195" i="5"/>
  <c r="AI195" i="5"/>
  <c r="AH195" i="5"/>
  <c r="AG195" i="5"/>
  <c r="AF195" i="5"/>
  <c r="AE195" i="5"/>
  <c r="AD195" i="5"/>
  <c r="AC195" i="5"/>
  <c r="AB195" i="5"/>
  <c r="AA195" i="5"/>
  <c r="AM194" i="5"/>
  <c r="AL194" i="5"/>
  <c r="AJ194" i="5"/>
  <c r="AI194" i="5"/>
  <c r="AH194" i="5"/>
  <c r="AG194" i="5"/>
  <c r="AF194" i="5"/>
  <c r="AE194" i="5"/>
  <c r="AD194" i="5"/>
  <c r="AC194" i="5"/>
  <c r="AB194" i="5"/>
  <c r="AA194" i="5"/>
  <c r="AM193" i="5"/>
  <c r="AL193" i="5"/>
  <c r="AJ193" i="5"/>
  <c r="AI193" i="5"/>
  <c r="AH193" i="5"/>
  <c r="AG193" i="5"/>
  <c r="AF193" i="5"/>
  <c r="AE193" i="5"/>
  <c r="AD193" i="5"/>
  <c r="AC193" i="5"/>
  <c r="AB193" i="5"/>
  <c r="AA193" i="5"/>
  <c r="AM192" i="5"/>
  <c r="AL192" i="5"/>
  <c r="AJ192" i="5"/>
  <c r="AI192" i="5"/>
  <c r="AH192" i="5"/>
  <c r="AG192" i="5"/>
  <c r="AF192" i="5"/>
  <c r="AE192" i="5"/>
  <c r="AD192" i="5"/>
  <c r="AC192" i="5"/>
  <c r="AB192" i="5"/>
  <c r="AA192" i="5"/>
  <c r="AM191" i="5"/>
  <c r="AL191" i="5"/>
  <c r="AJ191" i="5"/>
  <c r="AI191" i="5"/>
  <c r="AH191" i="5"/>
  <c r="AG191" i="5"/>
  <c r="AF191" i="5"/>
  <c r="AE191" i="5"/>
  <c r="AD191" i="5"/>
  <c r="AC191" i="5"/>
  <c r="AB191" i="5"/>
  <c r="AA191" i="5"/>
  <c r="AM190" i="5"/>
  <c r="AL190" i="5"/>
  <c r="AJ190" i="5"/>
  <c r="AI190" i="5"/>
  <c r="AH190" i="5"/>
  <c r="AG190" i="5"/>
  <c r="AF190" i="5"/>
  <c r="AE190" i="5"/>
  <c r="AD190" i="5"/>
  <c r="AC190" i="5"/>
  <c r="AB190" i="5"/>
  <c r="AA190" i="5"/>
  <c r="AM189" i="5"/>
  <c r="AL189" i="5"/>
  <c r="AJ189" i="5"/>
  <c r="AI189" i="5"/>
  <c r="AH189" i="5"/>
  <c r="AG189" i="5"/>
  <c r="AF189" i="5"/>
  <c r="AE189" i="5"/>
  <c r="AD189" i="5"/>
  <c r="AC189" i="5"/>
  <c r="AB189" i="5"/>
  <c r="AA189" i="5"/>
  <c r="AM188" i="5"/>
  <c r="AL188" i="5"/>
  <c r="AJ188" i="5"/>
  <c r="AI188" i="5"/>
  <c r="AH188" i="5"/>
  <c r="AG188" i="5"/>
  <c r="AF188" i="5"/>
  <c r="AE188" i="5"/>
  <c r="AD188" i="5"/>
  <c r="AC188" i="5"/>
  <c r="AB188" i="5"/>
  <c r="AA188" i="5"/>
  <c r="AM187" i="5"/>
  <c r="AL187" i="5"/>
  <c r="AJ187" i="5"/>
  <c r="AI187" i="5"/>
  <c r="AH187" i="5"/>
  <c r="AG187" i="5"/>
  <c r="AF187" i="5"/>
  <c r="AE187" i="5"/>
  <c r="AD187" i="5"/>
  <c r="AC187" i="5"/>
  <c r="AB187" i="5"/>
  <c r="AA187" i="5"/>
  <c r="AM186" i="5"/>
  <c r="AL186" i="5"/>
  <c r="AJ186" i="5"/>
  <c r="AI186" i="5"/>
  <c r="AH186" i="5"/>
  <c r="AG186" i="5"/>
  <c r="AF186" i="5"/>
  <c r="AE186" i="5"/>
  <c r="AD186" i="5"/>
  <c r="AC186" i="5"/>
  <c r="AB186" i="5"/>
  <c r="AA186" i="5"/>
  <c r="AM185" i="5"/>
  <c r="AL185" i="5"/>
  <c r="AJ185" i="5"/>
  <c r="AI185" i="5"/>
  <c r="AH185" i="5"/>
  <c r="AG185" i="5"/>
  <c r="AF185" i="5"/>
  <c r="AE185" i="5"/>
  <c r="AD185" i="5"/>
  <c r="AC185" i="5"/>
  <c r="AB185" i="5"/>
  <c r="AA185" i="5"/>
  <c r="AM184" i="5"/>
  <c r="AL184" i="5"/>
  <c r="AJ184" i="5"/>
  <c r="AI184" i="5"/>
  <c r="AH184" i="5"/>
  <c r="AG184" i="5"/>
  <c r="AF184" i="5"/>
  <c r="AE184" i="5"/>
  <c r="AD184" i="5"/>
  <c r="AC184" i="5"/>
  <c r="AB184" i="5"/>
  <c r="AA184" i="5"/>
  <c r="AM183" i="5"/>
  <c r="AL183" i="5"/>
  <c r="AJ183" i="5"/>
  <c r="AI183" i="5"/>
  <c r="AH183" i="5"/>
  <c r="AG183" i="5"/>
  <c r="AF183" i="5"/>
  <c r="AE183" i="5"/>
  <c r="AD183" i="5"/>
  <c r="AC183" i="5"/>
  <c r="AB183" i="5"/>
  <c r="AA183" i="5"/>
  <c r="AM182" i="5"/>
  <c r="AL182" i="5"/>
  <c r="AJ182" i="5"/>
  <c r="AI182" i="5"/>
  <c r="AH182" i="5"/>
  <c r="AG182" i="5"/>
  <c r="AF182" i="5"/>
  <c r="AE182" i="5"/>
  <c r="AD182" i="5"/>
  <c r="AC182" i="5"/>
  <c r="AB182" i="5"/>
  <c r="AA182" i="5"/>
  <c r="AM181" i="5"/>
  <c r="AL181" i="5"/>
  <c r="AJ181" i="5"/>
  <c r="AI181" i="5"/>
  <c r="AH181" i="5"/>
  <c r="AG181" i="5"/>
  <c r="AF181" i="5"/>
  <c r="AE181" i="5"/>
  <c r="AD181" i="5"/>
  <c r="AC181" i="5"/>
  <c r="AB181" i="5"/>
  <c r="AA181" i="5"/>
  <c r="AM180" i="5"/>
  <c r="AL180" i="5"/>
  <c r="AJ180" i="5"/>
  <c r="AI180" i="5"/>
  <c r="AH180" i="5"/>
  <c r="AG180" i="5"/>
  <c r="AF180" i="5"/>
  <c r="AE180" i="5"/>
  <c r="AD180" i="5"/>
  <c r="AC180" i="5"/>
  <c r="AB180" i="5"/>
  <c r="AA180" i="5"/>
  <c r="AM179" i="5"/>
  <c r="AL179" i="5"/>
  <c r="AJ179" i="5"/>
  <c r="AI179" i="5"/>
  <c r="AH179" i="5"/>
  <c r="AG179" i="5"/>
  <c r="AF179" i="5"/>
  <c r="AE179" i="5"/>
  <c r="AD179" i="5"/>
  <c r="AC179" i="5"/>
  <c r="AB179" i="5"/>
  <c r="AA179" i="5"/>
  <c r="AM178" i="5"/>
  <c r="AL178" i="5"/>
  <c r="AJ178" i="5"/>
  <c r="AI178" i="5"/>
  <c r="AH178" i="5"/>
  <c r="AG178" i="5"/>
  <c r="AF178" i="5"/>
  <c r="AE178" i="5"/>
  <c r="AD178" i="5"/>
  <c r="AC178" i="5"/>
  <c r="AB178" i="5"/>
  <c r="AA178" i="5"/>
  <c r="AM168" i="5"/>
  <c r="AL168" i="5"/>
  <c r="AJ168" i="5"/>
  <c r="AI168" i="5"/>
  <c r="AH168" i="5"/>
  <c r="AG168" i="5"/>
  <c r="AF168" i="5"/>
  <c r="AE168" i="5"/>
  <c r="AD168" i="5"/>
  <c r="AC168" i="5"/>
  <c r="AB168" i="5"/>
  <c r="AA168" i="5"/>
  <c r="AA167" i="5"/>
  <c r="AA177" i="5" s="1"/>
  <c r="AM213" i="11"/>
  <c r="AL213" i="11"/>
  <c r="AJ213" i="11"/>
  <c r="AI213" i="11"/>
  <c r="AH213" i="11"/>
  <c r="AG213" i="11"/>
  <c r="AF213" i="11"/>
  <c r="AE213" i="11"/>
  <c r="AD213" i="11"/>
  <c r="AC213" i="11"/>
  <c r="AB213" i="11"/>
  <c r="AA213" i="11"/>
  <c r="AM212" i="11"/>
  <c r="AL212" i="11"/>
  <c r="AJ212" i="11"/>
  <c r="AI212" i="11"/>
  <c r="AH212" i="11"/>
  <c r="AG212" i="11"/>
  <c r="AF212" i="11"/>
  <c r="AE212" i="11"/>
  <c r="AD212" i="11"/>
  <c r="AC212" i="11"/>
  <c r="AB212" i="11"/>
  <c r="AA212" i="11"/>
  <c r="AM211" i="11"/>
  <c r="AL211" i="11"/>
  <c r="AJ211" i="11"/>
  <c r="AI211" i="11"/>
  <c r="AH211" i="11"/>
  <c r="AG211" i="11"/>
  <c r="AF211" i="11"/>
  <c r="AE211" i="11"/>
  <c r="AD211" i="11"/>
  <c r="AC211" i="11"/>
  <c r="AB211" i="11"/>
  <c r="AA211" i="11"/>
  <c r="AM210" i="11"/>
  <c r="AL210" i="11"/>
  <c r="AJ210" i="11"/>
  <c r="AI210" i="11"/>
  <c r="AH210" i="11"/>
  <c r="AG210" i="11"/>
  <c r="AF210" i="11"/>
  <c r="AE210" i="11"/>
  <c r="AD210" i="11"/>
  <c r="AC210" i="11"/>
  <c r="AB210" i="11"/>
  <c r="AA210" i="11"/>
  <c r="AM209" i="11"/>
  <c r="AL209" i="11"/>
  <c r="AJ209" i="11"/>
  <c r="AI209" i="11"/>
  <c r="AH209" i="11"/>
  <c r="AG209" i="11"/>
  <c r="AF209" i="11"/>
  <c r="AE209" i="11"/>
  <c r="AD209" i="11"/>
  <c r="AC209" i="11"/>
  <c r="AB209" i="11"/>
  <c r="AA209" i="11"/>
  <c r="AM208" i="11"/>
  <c r="AL208" i="11"/>
  <c r="AJ208" i="11"/>
  <c r="AI208" i="11"/>
  <c r="AH208" i="11"/>
  <c r="AG208" i="11"/>
  <c r="AF208" i="11"/>
  <c r="AE208" i="11"/>
  <c r="AD208" i="11"/>
  <c r="AC208" i="11"/>
  <c r="AB208" i="11"/>
  <c r="AA208" i="11"/>
  <c r="AM207" i="11"/>
  <c r="AL207" i="11"/>
  <c r="AJ207" i="11"/>
  <c r="AI207" i="11"/>
  <c r="AH207" i="11"/>
  <c r="AG207" i="11"/>
  <c r="AF207" i="11"/>
  <c r="AE207" i="11"/>
  <c r="AD207" i="11"/>
  <c r="AC207" i="11"/>
  <c r="AB207" i="11"/>
  <c r="AA207" i="11"/>
  <c r="AM206" i="11"/>
  <c r="AL206" i="11"/>
  <c r="AJ206" i="11"/>
  <c r="AI206" i="11"/>
  <c r="AH206" i="11"/>
  <c r="AG206" i="11"/>
  <c r="AF206" i="11"/>
  <c r="AE206" i="11"/>
  <c r="AD206" i="11"/>
  <c r="AC206" i="11"/>
  <c r="AB206" i="11"/>
  <c r="AA206" i="11"/>
  <c r="AM205" i="11"/>
  <c r="AL205" i="11"/>
  <c r="AJ205" i="11"/>
  <c r="AI205" i="11"/>
  <c r="AH205" i="11"/>
  <c r="AG205" i="11"/>
  <c r="AF205" i="11"/>
  <c r="AE205" i="11"/>
  <c r="AD205" i="11"/>
  <c r="AC205" i="11"/>
  <c r="AB205" i="11"/>
  <c r="AA205" i="11"/>
  <c r="AM204" i="11"/>
  <c r="AL204" i="11"/>
  <c r="AJ204" i="11"/>
  <c r="AI204" i="11"/>
  <c r="AH204" i="11"/>
  <c r="AG204" i="11"/>
  <c r="AF204" i="11"/>
  <c r="AE204" i="11"/>
  <c r="AD204" i="11"/>
  <c r="AC204" i="11"/>
  <c r="AB204" i="11"/>
  <c r="AA204" i="11"/>
  <c r="AM203" i="11"/>
  <c r="AL203" i="11"/>
  <c r="AJ203" i="11"/>
  <c r="AI203" i="11"/>
  <c r="AH203" i="11"/>
  <c r="AG203" i="11"/>
  <c r="AF203" i="11"/>
  <c r="AE203" i="11"/>
  <c r="AD203" i="11"/>
  <c r="AC203" i="11"/>
  <c r="AB203" i="11"/>
  <c r="AA203" i="11"/>
  <c r="AM202" i="11"/>
  <c r="AL202" i="11"/>
  <c r="AJ202" i="11"/>
  <c r="AI202" i="11"/>
  <c r="AH202" i="11"/>
  <c r="AG202" i="11"/>
  <c r="AF202" i="11"/>
  <c r="AE202" i="11"/>
  <c r="AD202" i="11"/>
  <c r="AC202" i="11"/>
  <c r="AB202" i="11"/>
  <c r="AA202" i="11"/>
  <c r="AM201" i="11"/>
  <c r="AL201" i="11"/>
  <c r="AJ201" i="11"/>
  <c r="AI201" i="11"/>
  <c r="AH201" i="11"/>
  <c r="AG201" i="11"/>
  <c r="AF201" i="11"/>
  <c r="AE201" i="11"/>
  <c r="AD201" i="11"/>
  <c r="AC201" i="11"/>
  <c r="AB201" i="11"/>
  <c r="AA201" i="11"/>
  <c r="AM200" i="11"/>
  <c r="AL200" i="11"/>
  <c r="AJ200" i="11"/>
  <c r="AI200" i="11"/>
  <c r="AH200" i="11"/>
  <c r="AG200" i="11"/>
  <c r="AF200" i="11"/>
  <c r="AE200" i="11"/>
  <c r="AD200" i="11"/>
  <c r="AC200" i="11"/>
  <c r="AB200" i="11"/>
  <c r="AA200" i="11"/>
  <c r="AM199" i="11"/>
  <c r="AL199" i="11"/>
  <c r="AJ199" i="11"/>
  <c r="AI199" i="11"/>
  <c r="AH199" i="11"/>
  <c r="AG199" i="11"/>
  <c r="AF199" i="11"/>
  <c r="AE199" i="11"/>
  <c r="AD199" i="11"/>
  <c r="AC199" i="11"/>
  <c r="AB199" i="11"/>
  <c r="AA199" i="11"/>
  <c r="AM198" i="11"/>
  <c r="AL198" i="11"/>
  <c r="AJ198" i="11"/>
  <c r="AI198" i="11"/>
  <c r="AH198" i="11"/>
  <c r="AG198" i="11"/>
  <c r="AF198" i="11"/>
  <c r="AE198" i="11"/>
  <c r="AD198" i="11"/>
  <c r="AC198" i="11"/>
  <c r="AB198" i="11"/>
  <c r="AA198" i="11"/>
  <c r="AM197" i="11"/>
  <c r="AL197" i="11"/>
  <c r="AJ197" i="11"/>
  <c r="AI197" i="11"/>
  <c r="AH197" i="11"/>
  <c r="AG197" i="11"/>
  <c r="AF197" i="11"/>
  <c r="AE197" i="11"/>
  <c r="AD197" i="11"/>
  <c r="AC197" i="11"/>
  <c r="AB197" i="11"/>
  <c r="AA197" i="11"/>
  <c r="AM196" i="11"/>
  <c r="AL196" i="11"/>
  <c r="AJ196" i="11"/>
  <c r="AI196" i="11"/>
  <c r="AH196" i="11"/>
  <c r="AG196" i="11"/>
  <c r="AF196" i="11"/>
  <c r="AE196" i="11"/>
  <c r="AD196" i="11"/>
  <c r="AC196" i="11"/>
  <c r="AB196" i="11"/>
  <c r="AA196" i="11"/>
  <c r="AM195" i="11"/>
  <c r="AL195" i="11"/>
  <c r="AJ195" i="11"/>
  <c r="AI195" i="11"/>
  <c r="AH195" i="11"/>
  <c r="AG195" i="11"/>
  <c r="AF195" i="11"/>
  <c r="AE195" i="11"/>
  <c r="AD195" i="11"/>
  <c r="AC195" i="11"/>
  <c r="AB195" i="11"/>
  <c r="AA195" i="11"/>
  <c r="AM194" i="11"/>
  <c r="AL194" i="11"/>
  <c r="AJ194" i="11"/>
  <c r="AI194" i="11"/>
  <c r="AH194" i="11"/>
  <c r="AG194" i="11"/>
  <c r="AF194" i="11"/>
  <c r="AE194" i="11"/>
  <c r="AD194" i="11"/>
  <c r="AC194" i="11"/>
  <c r="AB194" i="11"/>
  <c r="AA194" i="11"/>
  <c r="AM193" i="11"/>
  <c r="AL193" i="11"/>
  <c r="AJ193" i="11"/>
  <c r="AI193" i="11"/>
  <c r="AH193" i="11"/>
  <c r="AG193" i="11"/>
  <c r="AF193" i="11"/>
  <c r="AE193" i="11"/>
  <c r="AD193" i="11"/>
  <c r="AC193" i="11"/>
  <c r="AB193" i="11"/>
  <c r="AA193" i="11"/>
  <c r="AM192" i="11"/>
  <c r="AL192" i="11"/>
  <c r="AJ192" i="11"/>
  <c r="AI192" i="11"/>
  <c r="AH192" i="11"/>
  <c r="AG192" i="11"/>
  <c r="AF192" i="11"/>
  <c r="AE192" i="11"/>
  <c r="AD192" i="11"/>
  <c r="AC192" i="11"/>
  <c r="AB192" i="11"/>
  <c r="AA192" i="11"/>
  <c r="AM191" i="11"/>
  <c r="AL191" i="11"/>
  <c r="AJ191" i="11"/>
  <c r="AI191" i="11"/>
  <c r="AH191" i="11"/>
  <c r="AG191" i="11"/>
  <c r="AF191" i="11"/>
  <c r="AE191" i="11"/>
  <c r="AD191" i="11"/>
  <c r="AC191" i="11"/>
  <c r="AB191" i="11"/>
  <c r="AA191" i="11"/>
  <c r="AM190" i="11"/>
  <c r="AL190" i="11"/>
  <c r="AJ190" i="11"/>
  <c r="AI190" i="11"/>
  <c r="AH190" i="11"/>
  <c r="AG190" i="11"/>
  <c r="AF190" i="11"/>
  <c r="AE190" i="11"/>
  <c r="AD190" i="11"/>
  <c r="AC190" i="11"/>
  <c r="AB190" i="11"/>
  <c r="AA190" i="11"/>
  <c r="AM189" i="11"/>
  <c r="AL189" i="11"/>
  <c r="AJ189" i="11"/>
  <c r="AI189" i="11"/>
  <c r="AH189" i="11"/>
  <c r="AG189" i="11"/>
  <c r="AF189" i="11"/>
  <c r="AE189" i="11"/>
  <c r="AD189" i="11"/>
  <c r="AC189" i="11"/>
  <c r="AB189" i="11"/>
  <c r="AA189" i="11"/>
  <c r="AM188" i="11"/>
  <c r="AL188" i="11"/>
  <c r="AJ188" i="11"/>
  <c r="AI188" i="11"/>
  <c r="AH188" i="11"/>
  <c r="AG188" i="11"/>
  <c r="AF188" i="11"/>
  <c r="AE188" i="11"/>
  <c r="AD188" i="11"/>
  <c r="AC188" i="11"/>
  <c r="AB188" i="11"/>
  <c r="AA188" i="11"/>
  <c r="AM187" i="11"/>
  <c r="AL187" i="11"/>
  <c r="AJ187" i="11"/>
  <c r="AI187" i="11"/>
  <c r="AH187" i="11"/>
  <c r="AG187" i="11"/>
  <c r="AF187" i="11"/>
  <c r="AE187" i="11"/>
  <c r="AD187" i="11"/>
  <c r="AC187" i="11"/>
  <c r="AB187" i="11"/>
  <c r="AA187" i="11"/>
  <c r="AM186" i="11"/>
  <c r="AL186" i="11"/>
  <c r="AJ186" i="11"/>
  <c r="AI186" i="11"/>
  <c r="AH186" i="11"/>
  <c r="AG186" i="11"/>
  <c r="AF186" i="11"/>
  <c r="AE186" i="11"/>
  <c r="AD186" i="11"/>
  <c r="AC186" i="11"/>
  <c r="AB186" i="11"/>
  <c r="AA186" i="11"/>
  <c r="AM185" i="11"/>
  <c r="AL185" i="11"/>
  <c r="AJ185" i="11"/>
  <c r="AI185" i="11"/>
  <c r="AH185" i="11"/>
  <c r="AG185" i="11"/>
  <c r="AF185" i="11"/>
  <c r="AE185" i="11"/>
  <c r="AD185" i="11"/>
  <c r="AC185" i="11"/>
  <c r="AB185" i="11"/>
  <c r="AA185" i="11"/>
  <c r="AM184" i="11"/>
  <c r="AL184" i="11"/>
  <c r="AJ184" i="11"/>
  <c r="AI184" i="11"/>
  <c r="AH184" i="11"/>
  <c r="AG184" i="11"/>
  <c r="AF184" i="11"/>
  <c r="AE184" i="11"/>
  <c r="AD184" i="11"/>
  <c r="AC184" i="11"/>
  <c r="AB184" i="11"/>
  <c r="AA184" i="11"/>
  <c r="AM183" i="11"/>
  <c r="AL183" i="11"/>
  <c r="AJ183" i="11"/>
  <c r="AI183" i="11"/>
  <c r="AH183" i="11"/>
  <c r="AG183" i="11"/>
  <c r="AF183" i="11"/>
  <c r="AE183" i="11"/>
  <c r="AD183" i="11"/>
  <c r="AC183" i="11"/>
  <c r="AB183" i="11"/>
  <c r="AA183" i="11"/>
  <c r="AM182" i="11"/>
  <c r="AL182" i="11"/>
  <c r="AJ182" i="11"/>
  <c r="AI182" i="11"/>
  <c r="AH182" i="11"/>
  <c r="AG182" i="11"/>
  <c r="AF182" i="11"/>
  <c r="AE182" i="11"/>
  <c r="AD182" i="11"/>
  <c r="AC182" i="11"/>
  <c r="AB182" i="11"/>
  <c r="AA182" i="11"/>
  <c r="AM181" i="11"/>
  <c r="AL181" i="11"/>
  <c r="AJ181" i="11"/>
  <c r="AI181" i="11"/>
  <c r="AH181" i="11"/>
  <c r="AG181" i="11"/>
  <c r="AF181" i="11"/>
  <c r="AE181" i="11"/>
  <c r="AD181" i="11"/>
  <c r="AC181" i="11"/>
  <c r="AB181" i="11"/>
  <c r="AA181" i="11"/>
  <c r="AM180" i="11"/>
  <c r="AL180" i="11"/>
  <c r="AJ180" i="11"/>
  <c r="AI180" i="11"/>
  <c r="AH180" i="11"/>
  <c r="AG180" i="11"/>
  <c r="AF180" i="11"/>
  <c r="AE180" i="11"/>
  <c r="AD180" i="11"/>
  <c r="AC180" i="11"/>
  <c r="AB180" i="11"/>
  <c r="AA180" i="11"/>
  <c r="AM179" i="11"/>
  <c r="AL179" i="11"/>
  <c r="AJ179" i="11"/>
  <c r="AI179" i="11"/>
  <c r="AH179" i="11"/>
  <c r="AG179" i="11"/>
  <c r="AF179" i="11"/>
  <c r="AE179" i="11"/>
  <c r="AD179" i="11"/>
  <c r="AC179" i="11"/>
  <c r="AB179" i="11"/>
  <c r="AA179" i="11"/>
  <c r="AM178" i="11"/>
  <c r="AL178" i="11"/>
  <c r="AJ178" i="11"/>
  <c r="AI178" i="11"/>
  <c r="AH178" i="11"/>
  <c r="AG178" i="11"/>
  <c r="AF178" i="11"/>
  <c r="AE178" i="11"/>
  <c r="AD178" i="11"/>
  <c r="AC178" i="11"/>
  <c r="AB178" i="11"/>
  <c r="AA178" i="11"/>
  <c r="AM177" i="11"/>
  <c r="AL177" i="11"/>
  <c r="AJ177" i="11"/>
  <c r="AI177" i="11"/>
  <c r="AH177" i="11"/>
  <c r="AG177" i="11"/>
  <c r="AF177" i="11"/>
  <c r="AE177" i="11"/>
  <c r="AD177" i="11"/>
  <c r="AC177" i="11"/>
  <c r="AB177" i="11"/>
  <c r="AA177" i="11"/>
  <c r="AJ168" i="11"/>
  <c r="AI168" i="11"/>
  <c r="AH168" i="11"/>
  <c r="AG168" i="11"/>
  <c r="AF168" i="11"/>
  <c r="AE168" i="11"/>
  <c r="AD168" i="11"/>
  <c r="AC168" i="11"/>
  <c r="AB168" i="11"/>
  <c r="AA168" i="11"/>
  <c r="AM167" i="11"/>
  <c r="AL167" i="11"/>
  <c r="AJ167" i="11"/>
  <c r="AI167" i="11"/>
  <c r="AH167" i="11"/>
  <c r="AG167" i="11"/>
  <c r="AF167" i="11"/>
  <c r="AE167" i="11"/>
  <c r="AD167" i="11"/>
  <c r="AC167" i="11"/>
  <c r="AB167" i="11"/>
  <c r="AA167" i="11"/>
  <c r="AA166" i="11"/>
  <c r="AB166" i="11" s="1"/>
  <c r="AM213" i="14"/>
  <c r="AL213" i="14"/>
  <c r="AJ213" i="14"/>
  <c r="AI213" i="14"/>
  <c r="AH213" i="14"/>
  <c r="AG213" i="14"/>
  <c r="AF213" i="14"/>
  <c r="AE213" i="14"/>
  <c r="AD213" i="14"/>
  <c r="AC213" i="14"/>
  <c r="AB213" i="14"/>
  <c r="AA213" i="14"/>
  <c r="AM212" i="14"/>
  <c r="AL212" i="14"/>
  <c r="AJ212" i="14"/>
  <c r="AI212" i="14"/>
  <c r="AH212" i="14"/>
  <c r="AG212" i="14"/>
  <c r="AF212" i="14"/>
  <c r="AE212" i="14"/>
  <c r="AD212" i="14"/>
  <c r="AC212" i="14"/>
  <c r="AB212" i="14"/>
  <c r="AA212" i="14"/>
  <c r="AM211" i="14"/>
  <c r="AL211" i="14"/>
  <c r="AJ211" i="14"/>
  <c r="AI211" i="14"/>
  <c r="AH211" i="14"/>
  <c r="AG211" i="14"/>
  <c r="AF211" i="14"/>
  <c r="AE211" i="14"/>
  <c r="AD211" i="14"/>
  <c r="AC211" i="14"/>
  <c r="AB211" i="14"/>
  <c r="AA211" i="14"/>
  <c r="AM210" i="14"/>
  <c r="AL210" i="14"/>
  <c r="AJ210" i="14"/>
  <c r="AI210" i="14"/>
  <c r="AH210" i="14"/>
  <c r="AG210" i="14"/>
  <c r="AF210" i="14"/>
  <c r="AE210" i="14"/>
  <c r="AD210" i="14"/>
  <c r="AC210" i="14"/>
  <c r="AB210" i="14"/>
  <c r="AA210" i="14"/>
  <c r="AM209" i="14"/>
  <c r="AL209" i="14"/>
  <c r="AJ209" i="14"/>
  <c r="AI209" i="14"/>
  <c r="AH209" i="14"/>
  <c r="AG209" i="14"/>
  <c r="AF209" i="14"/>
  <c r="AE209" i="14"/>
  <c r="AD209" i="14"/>
  <c r="AC209" i="14"/>
  <c r="AB209" i="14"/>
  <c r="AA209" i="14"/>
  <c r="AM208" i="14"/>
  <c r="AL208" i="14"/>
  <c r="AJ208" i="14"/>
  <c r="AI208" i="14"/>
  <c r="AH208" i="14"/>
  <c r="AG208" i="14"/>
  <c r="AF208" i="14"/>
  <c r="AE208" i="14"/>
  <c r="AD208" i="14"/>
  <c r="AC208" i="14"/>
  <c r="AB208" i="14"/>
  <c r="AA208" i="14"/>
  <c r="AM207" i="14"/>
  <c r="AL207" i="14"/>
  <c r="AJ207" i="14"/>
  <c r="AI207" i="14"/>
  <c r="AH207" i="14"/>
  <c r="AG207" i="14"/>
  <c r="AF207" i="14"/>
  <c r="AE207" i="14"/>
  <c r="AD207" i="14"/>
  <c r="AC207" i="14"/>
  <c r="AB207" i="14"/>
  <c r="AA207" i="14"/>
  <c r="AM206" i="14"/>
  <c r="AL206" i="14"/>
  <c r="AJ206" i="14"/>
  <c r="AI206" i="14"/>
  <c r="AH206" i="14"/>
  <c r="AG206" i="14"/>
  <c r="AF206" i="14"/>
  <c r="AE206" i="14"/>
  <c r="AD206" i="14"/>
  <c r="AC206" i="14"/>
  <c r="AB206" i="14"/>
  <c r="AA206" i="14"/>
  <c r="AM205" i="14"/>
  <c r="AL205" i="14"/>
  <c r="AJ205" i="14"/>
  <c r="AI205" i="14"/>
  <c r="AH205" i="14"/>
  <c r="AG205" i="14"/>
  <c r="AF205" i="14"/>
  <c r="AE205" i="14"/>
  <c r="AD205" i="14"/>
  <c r="AC205" i="14"/>
  <c r="AB205" i="14"/>
  <c r="AA205" i="14"/>
  <c r="AM204" i="14"/>
  <c r="AL204" i="14"/>
  <c r="AJ204" i="14"/>
  <c r="AI204" i="14"/>
  <c r="AH204" i="14"/>
  <c r="AG204" i="14"/>
  <c r="AF204" i="14"/>
  <c r="AE204" i="14"/>
  <c r="AD204" i="14"/>
  <c r="AC204" i="14"/>
  <c r="AB204" i="14"/>
  <c r="AA204" i="14"/>
  <c r="AM203" i="14"/>
  <c r="AL203" i="14"/>
  <c r="AJ203" i="14"/>
  <c r="AI203" i="14"/>
  <c r="AH203" i="14"/>
  <c r="AG203" i="14"/>
  <c r="AF203" i="14"/>
  <c r="AE203" i="14"/>
  <c r="AD203" i="14"/>
  <c r="AC203" i="14"/>
  <c r="AB203" i="14"/>
  <c r="AA203" i="14"/>
  <c r="AM202" i="14"/>
  <c r="AL202" i="14"/>
  <c r="AJ202" i="14"/>
  <c r="AI202" i="14"/>
  <c r="AH202" i="14"/>
  <c r="AG202" i="14"/>
  <c r="AF202" i="14"/>
  <c r="AE202" i="14"/>
  <c r="AD202" i="14"/>
  <c r="AC202" i="14"/>
  <c r="AB202" i="14"/>
  <c r="AA202" i="14"/>
  <c r="AM201" i="14"/>
  <c r="AL201" i="14"/>
  <c r="AJ201" i="14"/>
  <c r="AI201" i="14"/>
  <c r="AH201" i="14"/>
  <c r="AG201" i="14"/>
  <c r="AF201" i="14"/>
  <c r="AE201" i="14"/>
  <c r="AD201" i="14"/>
  <c r="AC201" i="14"/>
  <c r="AB201" i="14"/>
  <c r="AA201" i="14"/>
  <c r="AM200" i="14"/>
  <c r="AL200" i="14"/>
  <c r="AJ200" i="14"/>
  <c r="AI200" i="14"/>
  <c r="AH200" i="14"/>
  <c r="AG200" i="14"/>
  <c r="AF200" i="14"/>
  <c r="AE200" i="14"/>
  <c r="AD200" i="14"/>
  <c r="AC200" i="14"/>
  <c r="AB200" i="14"/>
  <c r="AA200" i="14"/>
  <c r="AM199" i="14"/>
  <c r="AL199" i="14"/>
  <c r="AJ199" i="14"/>
  <c r="AI199" i="14"/>
  <c r="AH199" i="14"/>
  <c r="AG199" i="14"/>
  <c r="AF199" i="14"/>
  <c r="AE199" i="14"/>
  <c r="AD199" i="14"/>
  <c r="AC199" i="14"/>
  <c r="AB199" i="14"/>
  <c r="AA199" i="14"/>
  <c r="AM198" i="14"/>
  <c r="AL198" i="14"/>
  <c r="AJ198" i="14"/>
  <c r="AI198" i="14"/>
  <c r="AH198" i="14"/>
  <c r="AG198" i="14"/>
  <c r="AF198" i="14"/>
  <c r="AE198" i="14"/>
  <c r="AD198" i="14"/>
  <c r="AC198" i="14"/>
  <c r="AB198" i="14"/>
  <c r="AA198" i="14"/>
  <c r="AM197" i="14"/>
  <c r="AL197" i="14"/>
  <c r="AJ197" i="14"/>
  <c r="AI197" i="14"/>
  <c r="AH197" i="14"/>
  <c r="AG197" i="14"/>
  <c r="AF197" i="14"/>
  <c r="AE197" i="14"/>
  <c r="AD197" i="14"/>
  <c r="AC197" i="14"/>
  <c r="AB197" i="14"/>
  <c r="AA197" i="14"/>
  <c r="AM196" i="14"/>
  <c r="AL196" i="14"/>
  <c r="AJ196" i="14"/>
  <c r="AI196" i="14"/>
  <c r="AH196" i="14"/>
  <c r="AG196" i="14"/>
  <c r="AF196" i="14"/>
  <c r="AE196" i="14"/>
  <c r="AD196" i="14"/>
  <c r="AC196" i="14"/>
  <c r="AB196" i="14"/>
  <c r="AA196" i="14"/>
  <c r="AM195" i="14"/>
  <c r="AL195" i="14"/>
  <c r="AJ195" i="14"/>
  <c r="AI195" i="14"/>
  <c r="AH195" i="14"/>
  <c r="AG195" i="14"/>
  <c r="AF195" i="14"/>
  <c r="AE195" i="14"/>
  <c r="AD195" i="14"/>
  <c r="AC195" i="14"/>
  <c r="AB195" i="14"/>
  <c r="AA195" i="14"/>
  <c r="AM194" i="14"/>
  <c r="AL194" i="14"/>
  <c r="AJ194" i="14"/>
  <c r="AI194" i="14"/>
  <c r="AH194" i="14"/>
  <c r="AG194" i="14"/>
  <c r="AF194" i="14"/>
  <c r="AE194" i="14"/>
  <c r="AD194" i="14"/>
  <c r="AC194" i="14"/>
  <c r="AB194" i="14"/>
  <c r="AA194" i="14"/>
  <c r="AM193" i="14"/>
  <c r="AL193" i="14"/>
  <c r="AJ193" i="14"/>
  <c r="AI193" i="14"/>
  <c r="AH193" i="14"/>
  <c r="AG193" i="14"/>
  <c r="AF193" i="14"/>
  <c r="AE193" i="14"/>
  <c r="AD193" i="14"/>
  <c r="AC193" i="14"/>
  <c r="AB193" i="14"/>
  <c r="AA193" i="14"/>
  <c r="AM192" i="14"/>
  <c r="AL192" i="14"/>
  <c r="AJ192" i="14"/>
  <c r="AI192" i="14"/>
  <c r="AH192" i="14"/>
  <c r="AG192" i="14"/>
  <c r="AF192" i="14"/>
  <c r="AE192" i="14"/>
  <c r="AD192" i="14"/>
  <c r="AC192" i="14"/>
  <c r="AB192" i="14"/>
  <c r="AA192" i="14"/>
  <c r="AM191" i="14"/>
  <c r="AL191" i="14"/>
  <c r="AJ191" i="14"/>
  <c r="AI191" i="14"/>
  <c r="AH191" i="14"/>
  <c r="AG191" i="14"/>
  <c r="AF191" i="14"/>
  <c r="AE191" i="14"/>
  <c r="AD191" i="14"/>
  <c r="AC191" i="14"/>
  <c r="AB191" i="14"/>
  <c r="AA191" i="14"/>
  <c r="AM190" i="14"/>
  <c r="AL190" i="14"/>
  <c r="AJ190" i="14"/>
  <c r="AI190" i="14"/>
  <c r="AH190" i="14"/>
  <c r="AG190" i="14"/>
  <c r="AF190" i="14"/>
  <c r="AE190" i="14"/>
  <c r="AD190" i="14"/>
  <c r="AC190" i="14"/>
  <c r="AB190" i="14"/>
  <c r="AA190" i="14"/>
  <c r="AM189" i="14"/>
  <c r="AL189" i="14"/>
  <c r="AJ189" i="14"/>
  <c r="AI189" i="14"/>
  <c r="AH189" i="14"/>
  <c r="AG189" i="14"/>
  <c r="AF189" i="14"/>
  <c r="AE189" i="14"/>
  <c r="AD189" i="14"/>
  <c r="AC189" i="14"/>
  <c r="AB189" i="14"/>
  <c r="AA189" i="14"/>
  <c r="AM188" i="14"/>
  <c r="AL188" i="14"/>
  <c r="AJ188" i="14"/>
  <c r="AI188" i="14"/>
  <c r="AH188" i="14"/>
  <c r="AG188" i="14"/>
  <c r="AF188" i="14"/>
  <c r="AE188" i="14"/>
  <c r="AD188" i="14"/>
  <c r="AC188" i="14"/>
  <c r="AB188" i="14"/>
  <c r="AA188" i="14"/>
  <c r="AM187" i="14"/>
  <c r="AL187" i="14"/>
  <c r="AJ187" i="14"/>
  <c r="AI187" i="14"/>
  <c r="AH187" i="14"/>
  <c r="AG187" i="14"/>
  <c r="AF187" i="14"/>
  <c r="AE187" i="14"/>
  <c r="AD187" i="14"/>
  <c r="AC187" i="14"/>
  <c r="AB187" i="14"/>
  <c r="AA187" i="14"/>
  <c r="AM186" i="14"/>
  <c r="AL186" i="14"/>
  <c r="AJ186" i="14"/>
  <c r="AI186" i="14"/>
  <c r="AH186" i="14"/>
  <c r="AG186" i="14"/>
  <c r="AF186" i="14"/>
  <c r="AE186" i="14"/>
  <c r="AD186" i="14"/>
  <c r="AC186" i="14"/>
  <c r="AB186" i="14"/>
  <c r="AA186" i="14"/>
  <c r="AM185" i="14"/>
  <c r="AL185" i="14"/>
  <c r="AJ185" i="14"/>
  <c r="AI185" i="14"/>
  <c r="AH185" i="14"/>
  <c r="AG185" i="14"/>
  <c r="AF185" i="14"/>
  <c r="AE185" i="14"/>
  <c r="AD185" i="14"/>
  <c r="AC185" i="14"/>
  <c r="AB185" i="14"/>
  <c r="AA185" i="14"/>
  <c r="AM184" i="14"/>
  <c r="AL184" i="14"/>
  <c r="AJ184" i="14"/>
  <c r="AI184" i="14"/>
  <c r="AH184" i="14"/>
  <c r="AG184" i="14"/>
  <c r="AF184" i="14"/>
  <c r="AE184" i="14"/>
  <c r="AD184" i="14"/>
  <c r="AC184" i="14"/>
  <c r="AB184" i="14"/>
  <c r="AA184" i="14"/>
  <c r="AM183" i="14"/>
  <c r="AL183" i="14"/>
  <c r="AJ183" i="14"/>
  <c r="AI183" i="14"/>
  <c r="AH183" i="14"/>
  <c r="AG183" i="14"/>
  <c r="AF183" i="14"/>
  <c r="AE183" i="14"/>
  <c r="AD183" i="14"/>
  <c r="AC183" i="14"/>
  <c r="AB183" i="14"/>
  <c r="AA183" i="14"/>
  <c r="AM182" i="14"/>
  <c r="AL182" i="14"/>
  <c r="AJ182" i="14"/>
  <c r="AI182" i="14"/>
  <c r="AH182" i="14"/>
  <c r="AG182" i="14"/>
  <c r="AF182" i="14"/>
  <c r="AE182" i="14"/>
  <c r="AD182" i="14"/>
  <c r="AC182" i="14"/>
  <c r="AB182" i="14"/>
  <c r="AA182" i="14"/>
  <c r="AM181" i="14"/>
  <c r="AL181" i="14"/>
  <c r="AJ181" i="14"/>
  <c r="AI181" i="14"/>
  <c r="AH181" i="14"/>
  <c r="AG181" i="14"/>
  <c r="AF181" i="14"/>
  <c r="AE181" i="14"/>
  <c r="AD181" i="14"/>
  <c r="AC181" i="14"/>
  <c r="AB181" i="14"/>
  <c r="AA181" i="14"/>
  <c r="AM180" i="14"/>
  <c r="AL180" i="14"/>
  <c r="AJ180" i="14"/>
  <c r="AI180" i="14"/>
  <c r="AH180" i="14"/>
  <c r="AG180" i="14"/>
  <c r="AF180" i="14"/>
  <c r="AE180" i="14"/>
  <c r="AD180" i="14"/>
  <c r="AC180" i="14"/>
  <c r="AB180" i="14"/>
  <c r="AA180" i="14"/>
  <c r="AJ179" i="14"/>
  <c r="AI179" i="14"/>
  <c r="AH179" i="14"/>
  <c r="AG179" i="14"/>
  <c r="AF179" i="14"/>
  <c r="AE179" i="14"/>
  <c r="AD179" i="14"/>
  <c r="AC179" i="14"/>
  <c r="AB179" i="14"/>
  <c r="AA179" i="14"/>
  <c r="AJ178" i="14"/>
  <c r="AI178" i="14"/>
  <c r="AH178" i="14"/>
  <c r="AG178" i="14"/>
  <c r="AF178" i="14"/>
  <c r="AE178" i="14"/>
  <c r="AD178" i="14"/>
  <c r="AC178" i="14"/>
  <c r="AB178" i="14"/>
  <c r="AA178" i="14"/>
  <c r="AM167" i="14"/>
  <c r="AL167" i="14"/>
  <c r="AJ167" i="14"/>
  <c r="AI167" i="14"/>
  <c r="AH167" i="14"/>
  <c r="AG167" i="14"/>
  <c r="AF167" i="14"/>
  <c r="AE167" i="14"/>
  <c r="AD167" i="14"/>
  <c r="AC167" i="14"/>
  <c r="AB167" i="14"/>
  <c r="AA167" i="14"/>
  <c r="AA166" i="14"/>
  <c r="AB166" i="14" s="1"/>
  <c r="AM213" i="17"/>
  <c r="AL213" i="17"/>
  <c r="AJ213" i="17"/>
  <c r="AI213" i="17"/>
  <c r="AH213" i="17"/>
  <c r="AG213" i="17"/>
  <c r="AF213" i="17"/>
  <c r="AE213" i="17"/>
  <c r="AD213" i="17"/>
  <c r="AC213" i="17"/>
  <c r="AB213" i="17"/>
  <c r="AA213" i="17"/>
  <c r="AM212" i="17"/>
  <c r="AL212" i="17"/>
  <c r="AJ212" i="17"/>
  <c r="AI212" i="17"/>
  <c r="AH212" i="17"/>
  <c r="AG212" i="17"/>
  <c r="AF212" i="17"/>
  <c r="AE212" i="17"/>
  <c r="AD212" i="17"/>
  <c r="AC212" i="17"/>
  <c r="AB212" i="17"/>
  <c r="AA212" i="17"/>
  <c r="AM211" i="17"/>
  <c r="AL211" i="17"/>
  <c r="AJ211" i="17"/>
  <c r="AI211" i="17"/>
  <c r="AH211" i="17"/>
  <c r="AG211" i="17"/>
  <c r="AF211" i="17"/>
  <c r="AE211" i="17"/>
  <c r="AD211" i="17"/>
  <c r="AC211" i="17"/>
  <c r="AB211" i="17"/>
  <c r="AA211" i="17"/>
  <c r="AM210" i="17"/>
  <c r="AL210" i="17"/>
  <c r="AJ210" i="17"/>
  <c r="AI210" i="17"/>
  <c r="AH210" i="17"/>
  <c r="AG210" i="17"/>
  <c r="AF210" i="17"/>
  <c r="AE210" i="17"/>
  <c r="AD210" i="17"/>
  <c r="AC210" i="17"/>
  <c r="AB210" i="17"/>
  <c r="AA210" i="17"/>
  <c r="AM209" i="17"/>
  <c r="AL209" i="17"/>
  <c r="AJ209" i="17"/>
  <c r="AI209" i="17"/>
  <c r="AH209" i="17"/>
  <c r="AG209" i="17"/>
  <c r="AF209" i="17"/>
  <c r="AE209" i="17"/>
  <c r="AD209" i="17"/>
  <c r="AC209" i="17"/>
  <c r="AB209" i="17"/>
  <c r="AA209" i="17"/>
  <c r="AM208" i="17"/>
  <c r="AL208" i="17"/>
  <c r="AJ208" i="17"/>
  <c r="AI208" i="17"/>
  <c r="AH208" i="17"/>
  <c r="AG208" i="17"/>
  <c r="AF208" i="17"/>
  <c r="AE208" i="17"/>
  <c r="AD208" i="17"/>
  <c r="AC208" i="17"/>
  <c r="AB208" i="17"/>
  <c r="AA208" i="17"/>
  <c r="AM207" i="17"/>
  <c r="AL207" i="17"/>
  <c r="AJ207" i="17"/>
  <c r="AI207" i="17"/>
  <c r="AH207" i="17"/>
  <c r="AG207" i="17"/>
  <c r="AF207" i="17"/>
  <c r="AE207" i="17"/>
  <c r="AD207" i="17"/>
  <c r="AC207" i="17"/>
  <c r="AB207" i="17"/>
  <c r="AA207" i="17"/>
  <c r="AM206" i="17"/>
  <c r="AL206" i="17"/>
  <c r="AJ206" i="17"/>
  <c r="AI206" i="17"/>
  <c r="AH206" i="17"/>
  <c r="AG206" i="17"/>
  <c r="AF206" i="17"/>
  <c r="AE206" i="17"/>
  <c r="AD206" i="17"/>
  <c r="AC206" i="17"/>
  <c r="AB206" i="17"/>
  <c r="AA206" i="17"/>
  <c r="AM205" i="17"/>
  <c r="AL205" i="17"/>
  <c r="AJ205" i="17"/>
  <c r="AI205" i="17"/>
  <c r="AH205" i="17"/>
  <c r="AG205" i="17"/>
  <c r="AF205" i="17"/>
  <c r="AE205" i="17"/>
  <c r="AD205" i="17"/>
  <c r="AC205" i="17"/>
  <c r="AB205" i="17"/>
  <c r="AA205" i="17"/>
  <c r="AM204" i="17"/>
  <c r="AL204" i="17"/>
  <c r="AJ204" i="17"/>
  <c r="AI204" i="17"/>
  <c r="AH204" i="17"/>
  <c r="AG204" i="17"/>
  <c r="AF204" i="17"/>
  <c r="AE204" i="17"/>
  <c r="AD204" i="17"/>
  <c r="AC204" i="17"/>
  <c r="AB204" i="17"/>
  <c r="AA204" i="17"/>
  <c r="AM203" i="17"/>
  <c r="AL203" i="17"/>
  <c r="AJ203" i="17"/>
  <c r="AI203" i="17"/>
  <c r="AH203" i="17"/>
  <c r="AG203" i="17"/>
  <c r="AF203" i="17"/>
  <c r="AE203" i="17"/>
  <c r="AD203" i="17"/>
  <c r="AC203" i="17"/>
  <c r="AB203" i="17"/>
  <c r="AA203" i="17"/>
  <c r="AM202" i="17"/>
  <c r="AL202" i="17"/>
  <c r="AJ202" i="17"/>
  <c r="AI202" i="17"/>
  <c r="AH202" i="17"/>
  <c r="AG202" i="17"/>
  <c r="AF202" i="17"/>
  <c r="AE202" i="17"/>
  <c r="AD202" i="17"/>
  <c r="AC202" i="17"/>
  <c r="AB202" i="17"/>
  <c r="AA202" i="17"/>
  <c r="AM201" i="17"/>
  <c r="AL201" i="17"/>
  <c r="AJ201" i="17"/>
  <c r="AI201" i="17"/>
  <c r="AH201" i="17"/>
  <c r="AG201" i="17"/>
  <c r="AF201" i="17"/>
  <c r="AE201" i="17"/>
  <c r="AD201" i="17"/>
  <c r="AC201" i="17"/>
  <c r="AB201" i="17"/>
  <c r="AA201" i="17"/>
  <c r="AM200" i="17"/>
  <c r="AL200" i="17"/>
  <c r="AJ200" i="17"/>
  <c r="AI200" i="17"/>
  <c r="AH200" i="17"/>
  <c r="AG200" i="17"/>
  <c r="AF200" i="17"/>
  <c r="AE200" i="17"/>
  <c r="AD200" i="17"/>
  <c r="AC200" i="17"/>
  <c r="AB200" i="17"/>
  <c r="AA200" i="17"/>
  <c r="AM199" i="17"/>
  <c r="AL199" i="17"/>
  <c r="AJ199" i="17"/>
  <c r="AI199" i="17"/>
  <c r="AH199" i="17"/>
  <c r="AG199" i="17"/>
  <c r="AF199" i="17"/>
  <c r="AE199" i="17"/>
  <c r="AD199" i="17"/>
  <c r="AC199" i="17"/>
  <c r="AB199" i="17"/>
  <c r="AA199" i="17"/>
  <c r="AM198" i="17"/>
  <c r="AL198" i="17"/>
  <c r="AJ198" i="17"/>
  <c r="AI198" i="17"/>
  <c r="AH198" i="17"/>
  <c r="AG198" i="17"/>
  <c r="AF198" i="17"/>
  <c r="AE198" i="17"/>
  <c r="AD198" i="17"/>
  <c r="AC198" i="17"/>
  <c r="AB198" i="17"/>
  <c r="AA198" i="17"/>
  <c r="AM197" i="17"/>
  <c r="AL197" i="17"/>
  <c r="AJ197" i="17"/>
  <c r="AI197" i="17"/>
  <c r="AH197" i="17"/>
  <c r="AG197" i="17"/>
  <c r="AF197" i="17"/>
  <c r="AE197" i="17"/>
  <c r="AD197" i="17"/>
  <c r="AC197" i="17"/>
  <c r="AB197" i="17"/>
  <c r="AA197" i="17"/>
  <c r="AM196" i="17"/>
  <c r="AL196" i="17"/>
  <c r="AJ196" i="17"/>
  <c r="AI196" i="17"/>
  <c r="AH196" i="17"/>
  <c r="AG196" i="17"/>
  <c r="AF196" i="17"/>
  <c r="AE196" i="17"/>
  <c r="AD196" i="17"/>
  <c r="AC196" i="17"/>
  <c r="AB196" i="17"/>
  <c r="AA196" i="17"/>
  <c r="AM195" i="17"/>
  <c r="AL195" i="17"/>
  <c r="AJ195" i="17"/>
  <c r="AI195" i="17"/>
  <c r="AH195" i="17"/>
  <c r="AG195" i="17"/>
  <c r="AF195" i="17"/>
  <c r="AE195" i="17"/>
  <c r="AD195" i="17"/>
  <c r="AC195" i="17"/>
  <c r="AB195" i="17"/>
  <c r="AA195" i="17"/>
  <c r="AM194" i="17"/>
  <c r="AL194" i="17"/>
  <c r="AJ194" i="17"/>
  <c r="AI194" i="17"/>
  <c r="AH194" i="17"/>
  <c r="AG194" i="17"/>
  <c r="AF194" i="17"/>
  <c r="AE194" i="17"/>
  <c r="AD194" i="17"/>
  <c r="AC194" i="17"/>
  <c r="AB194" i="17"/>
  <c r="AA194" i="17"/>
  <c r="AM193" i="17"/>
  <c r="AL193" i="17"/>
  <c r="AJ193" i="17"/>
  <c r="AI193" i="17"/>
  <c r="AH193" i="17"/>
  <c r="AG193" i="17"/>
  <c r="AF193" i="17"/>
  <c r="AE193" i="17"/>
  <c r="AD193" i="17"/>
  <c r="AC193" i="17"/>
  <c r="AB193" i="17"/>
  <c r="AA193" i="17"/>
  <c r="AM192" i="17"/>
  <c r="AL192" i="17"/>
  <c r="AJ192" i="17"/>
  <c r="AI192" i="17"/>
  <c r="AH192" i="17"/>
  <c r="AG192" i="17"/>
  <c r="AF192" i="17"/>
  <c r="AE192" i="17"/>
  <c r="AD192" i="17"/>
  <c r="AC192" i="17"/>
  <c r="AB192" i="17"/>
  <c r="AA192" i="17"/>
  <c r="AM191" i="17"/>
  <c r="AL191" i="17"/>
  <c r="AM167" i="17"/>
  <c r="AL167" i="17"/>
  <c r="AJ167" i="17"/>
  <c r="AI167" i="17"/>
  <c r="AH167" i="17"/>
  <c r="AG167" i="17"/>
  <c r="AF167" i="17"/>
  <c r="AE167" i="17"/>
  <c r="AD167" i="17"/>
  <c r="AC167" i="17"/>
  <c r="AB167" i="17"/>
  <c r="AA167" i="17"/>
  <c r="AM213" i="29"/>
  <c r="AL213" i="29"/>
  <c r="AJ213" i="29"/>
  <c r="AI213" i="29"/>
  <c r="AH213" i="29"/>
  <c r="AG213" i="29"/>
  <c r="AF213" i="29"/>
  <c r="AE213" i="29"/>
  <c r="AD213" i="29"/>
  <c r="AC213" i="29"/>
  <c r="AB213" i="29"/>
  <c r="AA213" i="29"/>
  <c r="AM212" i="29"/>
  <c r="AL212" i="29"/>
  <c r="AJ212" i="29"/>
  <c r="AI212" i="29"/>
  <c r="AH212" i="29"/>
  <c r="AG212" i="29"/>
  <c r="AF212" i="29"/>
  <c r="AE212" i="29"/>
  <c r="AD212" i="29"/>
  <c r="AC212" i="29"/>
  <c r="AB212" i="29"/>
  <c r="AA212" i="29"/>
  <c r="AM211" i="29"/>
  <c r="AL211" i="29"/>
  <c r="AJ211" i="29"/>
  <c r="AI211" i="29"/>
  <c r="AH211" i="29"/>
  <c r="AG211" i="29"/>
  <c r="AF211" i="29"/>
  <c r="AE211" i="29"/>
  <c r="AD211" i="29"/>
  <c r="AC211" i="29"/>
  <c r="AB211" i="29"/>
  <c r="AA211" i="29"/>
  <c r="AM210" i="29"/>
  <c r="AL210" i="29"/>
  <c r="AJ210" i="29"/>
  <c r="AI210" i="29"/>
  <c r="AH210" i="29"/>
  <c r="AG210" i="29"/>
  <c r="AF210" i="29"/>
  <c r="AE210" i="29"/>
  <c r="AD210" i="29"/>
  <c r="AC210" i="29"/>
  <c r="AB210" i="29"/>
  <c r="AA210" i="29"/>
  <c r="AM209" i="29"/>
  <c r="AL209" i="29"/>
  <c r="AJ209" i="29"/>
  <c r="AI209" i="29"/>
  <c r="AH209" i="29"/>
  <c r="AG209" i="29"/>
  <c r="AF209" i="29"/>
  <c r="AE209" i="29"/>
  <c r="AD209" i="29"/>
  <c r="AC209" i="29"/>
  <c r="AB209" i="29"/>
  <c r="AA209" i="29"/>
  <c r="AM208" i="29"/>
  <c r="AL208" i="29"/>
  <c r="AJ208" i="29"/>
  <c r="AI208" i="29"/>
  <c r="AH208" i="29"/>
  <c r="AG208" i="29"/>
  <c r="AF208" i="29"/>
  <c r="AE208" i="29"/>
  <c r="AD208" i="29"/>
  <c r="AC208" i="29"/>
  <c r="AB208" i="29"/>
  <c r="AA208" i="29"/>
  <c r="AM207" i="29"/>
  <c r="AL207" i="29"/>
  <c r="AJ207" i="29"/>
  <c r="AI207" i="29"/>
  <c r="AH207" i="29"/>
  <c r="AG207" i="29"/>
  <c r="AF207" i="29"/>
  <c r="AE207" i="29"/>
  <c r="AD207" i="29"/>
  <c r="AC207" i="29"/>
  <c r="AB207" i="29"/>
  <c r="AA207" i="29"/>
  <c r="AM206" i="29"/>
  <c r="AL206" i="29"/>
  <c r="AJ206" i="29"/>
  <c r="AI206" i="29"/>
  <c r="AH206" i="29"/>
  <c r="AG206" i="29"/>
  <c r="AF206" i="29"/>
  <c r="AE206" i="29"/>
  <c r="AD206" i="29"/>
  <c r="AC206" i="29"/>
  <c r="AB206" i="29"/>
  <c r="AA206" i="29"/>
  <c r="AM205" i="29"/>
  <c r="AL205" i="29"/>
  <c r="AJ205" i="29"/>
  <c r="AI205" i="29"/>
  <c r="AH205" i="29"/>
  <c r="AG205" i="29"/>
  <c r="AF205" i="29"/>
  <c r="AE205" i="29"/>
  <c r="AD205" i="29"/>
  <c r="AC205" i="29"/>
  <c r="AB205" i="29"/>
  <c r="AA205" i="29"/>
  <c r="AM204" i="29"/>
  <c r="AL204" i="29"/>
  <c r="AJ204" i="29"/>
  <c r="AI204" i="29"/>
  <c r="AH204" i="29"/>
  <c r="AG204" i="29"/>
  <c r="AF204" i="29"/>
  <c r="AE204" i="29"/>
  <c r="AD204" i="29"/>
  <c r="AC204" i="29"/>
  <c r="AB204" i="29"/>
  <c r="AA204" i="29"/>
  <c r="AM203" i="29"/>
  <c r="AL203" i="29"/>
  <c r="AJ203" i="29"/>
  <c r="AI203" i="29"/>
  <c r="AH203" i="29"/>
  <c r="AG203" i="29"/>
  <c r="AF203" i="29"/>
  <c r="AE203" i="29"/>
  <c r="AD203" i="29"/>
  <c r="AC203" i="29"/>
  <c r="AB203" i="29"/>
  <c r="AA203" i="29"/>
  <c r="AM202" i="29"/>
  <c r="AL202" i="29"/>
  <c r="AJ202" i="29"/>
  <c r="AI202" i="29"/>
  <c r="AH202" i="29"/>
  <c r="AG202" i="29"/>
  <c r="AF202" i="29"/>
  <c r="AE202" i="29"/>
  <c r="AD202" i="29"/>
  <c r="AC202" i="29"/>
  <c r="AB202" i="29"/>
  <c r="AA202" i="29"/>
  <c r="AM201" i="29"/>
  <c r="AL201" i="29"/>
  <c r="AJ201" i="29"/>
  <c r="AI201" i="29"/>
  <c r="AH201" i="29"/>
  <c r="AG201" i="29"/>
  <c r="AF201" i="29"/>
  <c r="AE201" i="29"/>
  <c r="AD201" i="29"/>
  <c r="AC201" i="29"/>
  <c r="AB201" i="29"/>
  <c r="AA201" i="29"/>
  <c r="AM200" i="29"/>
  <c r="AL200" i="29"/>
  <c r="AJ200" i="29"/>
  <c r="AI200" i="29"/>
  <c r="AH200" i="29"/>
  <c r="AG200" i="29"/>
  <c r="AF200" i="29"/>
  <c r="AE200" i="29"/>
  <c r="AD200" i="29"/>
  <c r="AC200" i="29"/>
  <c r="AB200" i="29"/>
  <c r="AA200" i="29"/>
  <c r="AM199" i="29"/>
  <c r="AL199" i="29"/>
  <c r="AJ199" i="29"/>
  <c r="AI199" i="29"/>
  <c r="AH199" i="29"/>
  <c r="AG199" i="29"/>
  <c r="AF199" i="29"/>
  <c r="AE199" i="29"/>
  <c r="AD199" i="29"/>
  <c r="AC199" i="29"/>
  <c r="AB199" i="29"/>
  <c r="AA199" i="29"/>
  <c r="AM198" i="29"/>
  <c r="AL198" i="29"/>
  <c r="AJ198" i="29"/>
  <c r="AI198" i="29"/>
  <c r="AH198" i="29"/>
  <c r="AG198" i="29"/>
  <c r="AF198" i="29"/>
  <c r="AE198" i="29"/>
  <c r="AD198" i="29"/>
  <c r="AC198" i="29"/>
  <c r="AB198" i="29"/>
  <c r="AA198" i="29"/>
  <c r="AM197" i="29"/>
  <c r="AL197" i="29"/>
  <c r="AJ197" i="29"/>
  <c r="AI197" i="29"/>
  <c r="AH197" i="29"/>
  <c r="AG197" i="29"/>
  <c r="AF197" i="29"/>
  <c r="AE197" i="29"/>
  <c r="AD197" i="29"/>
  <c r="AC197" i="29"/>
  <c r="AB197" i="29"/>
  <c r="AA197" i="29"/>
  <c r="AM196" i="29"/>
  <c r="AL196" i="29"/>
  <c r="AJ196" i="29"/>
  <c r="AI196" i="29"/>
  <c r="AH196" i="29"/>
  <c r="AG196" i="29"/>
  <c r="AF196" i="29"/>
  <c r="AE196" i="29"/>
  <c r="AD196" i="29"/>
  <c r="AC196" i="29"/>
  <c r="AB196" i="29"/>
  <c r="AA196" i="29"/>
  <c r="AM195" i="29"/>
  <c r="AL195" i="29"/>
  <c r="AJ195" i="29"/>
  <c r="AI195" i="29"/>
  <c r="AH195" i="29"/>
  <c r="AG195" i="29"/>
  <c r="AF195" i="29"/>
  <c r="AE195" i="29"/>
  <c r="AD195" i="29"/>
  <c r="AC195" i="29"/>
  <c r="AB195" i="29"/>
  <c r="AA195" i="29"/>
  <c r="AM194" i="29"/>
  <c r="AL194" i="29"/>
  <c r="AJ194" i="29"/>
  <c r="AI194" i="29"/>
  <c r="AH194" i="29"/>
  <c r="AG194" i="29"/>
  <c r="AF194" i="29"/>
  <c r="AE194" i="29"/>
  <c r="AD194" i="29"/>
  <c r="AC194" i="29"/>
  <c r="AB194" i="29"/>
  <c r="AA194" i="29"/>
  <c r="AM193" i="29"/>
  <c r="AL193" i="29"/>
  <c r="AJ193" i="29"/>
  <c r="AI193" i="29"/>
  <c r="AH193" i="29"/>
  <c r="AG193" i="29"/>
  <c r="AF193" i="29"/>
  <c r="AE193" i="29"/>
  <c r="AD193" i="29"/>
  <c r="AC193" i="29"/>
  <c r="AB193" i="29"/>
  <c r="AA193" i="29"/>
  <c r="AM192" i="29"/>
  <c r="AL192" i="29"/>
  <c r="AJ192" i="29"/>
  <c r="AI192" i="29"/>
  <c r="AH192" i="29"/>
  <c r="AG192" i="29"/>
  <c r="AF192" i="29"/>
  <c r="AE192" i="29"/>
  <c r="AD192" i="29"/>
  <c r="AC192" i="29"/>
  <c r="AB192" i="29"/>
  <c r="AA192" i="29"/>
  <c r="AM191" i="29"/>
  <c r="AL191" i="29"/>
  <c r="AJ191" i="29"/>
  <c r="AI191" i="29"/>
  <c r="AH191" i="29"/>
  <c r="AG191" i="29"/>
  <c r="AF191" i="29"/>
  <c r="AE191" i="29"/>
  <c r="AD191" i="29"/>
  <c r="AC191" i="29"/>
  <c r="AB191" i="29"/>
  <c r="AA191" i="29"/>
  <c r="AM190" i="29"/>
  <c r="AL190" i="29"/>
  <c r="AJ190" i="29"/>
  <c r="AI190" i="29"/>
  <c r="AH190" i="29"/>
  <c r="AG190" i="29"/>
  <c r="AF190" i="29"/>
  <c r="AE190" i="29"/>
  <c r="AD190" i="29"/>
  <c r="AC190" i="29"/>
  <c r="AB190" i="29"/>
  <c r="AA190" i="29"/>
  <c r="AM189" i="29"/>
  <c r="AL189" i="29"/>
  <c r="AJ189" i="29"/>
  <c r="AI189" i="29"/>
  <c r="AH189" i="29"/>
  <c r="AG189" i="29"/>
  <c r="AF189" i="29"/>
  <c r="AE189" i="29"/>
  <c r="AD189" i="29"/>
  <c r="AC189" i="29"/>
  <c r="AB189" i="29"/>
  <c r="AA189" i="29"/>
  <c r="AM188" i="29"/>
  <c r="AL188" i="29"/>
  <c r="AJ188" i="29"/>
  <c r="AI188" i="29"/>
  <c r="AH188" i="29"/>
  <c r="AG188" i="29"/>
  <c r="AF188" i="29"/>
  <c r="AE188" i="29"/>
  <c r="AD188" i="29"/>
  <c r="AC188" i="29"/>
  <c r="AB188" i="29"/>
  <c r="AA188" i="29"/>
  <c r="AM187" i="29"/>
  <c r="AL187" i="29"/>
  <c r="AJ187" i="29"/>
  <c r="AI187" i="29"/>
  <c r="AH187" i="29"/>
  <c r="AG187" i="29"/>
  <c r="AF187" i="29"/>
  <c r="AE187" i="29"/>
  <c r="AD187" i="29"/>
  <c r="AC187" i="29"/>
  <c r="AB187" i="29"/>
  <c r="AA187" i="29"/>
  <c r="AM186" i="29"/>
  <c r="AL186" i="29"/>
  <c r="AJ186" i="29"/>
  <c r="AI186" i="29"/>
  <c r="AH186" i="29"/>
  <c r="AG186" i="29"/>
  <c r="AF186" i="29"/>
  <c r="AE186" i="29"/>
  <c r="AD186" i="29"/>
  <c r="AC186" i="29"/>
  <c r="AB186" i="29"/>
  <c r="AA186" i="29"/>
  <c r="AM185" i="29"/>
  <c r="AL185" i="29"/>
  <c r="AJ185" i="29"/>
  <c r="AI185" i="29"/>
  <c r="AH185" i="29"/>
  <c r="AG185" i="29"/>
  <c r="AF185" i="29"/>
  <c r="AE185" i="29"/>
  <c r="AD185" i="29"/>
  <c r="AC185" i="29"/>
  <c r="AB185" i="29"/>
  <c r="AA185" i="29"/>
  <c r="AM184" i="29"/>
  <c r="AL184" i="29"/>
  <c r="AJ184" i="29"/>
  <c r="AI184" i="29"/>
  <c r="AH184" i="29"/>
  <c r="AG184" i="29"/>
  <c r="AF184" i="29"/>
  <c r="AE184" i="29"/>
  <c r="AD184" i="29"/>
  <c r="AC184" i="29"/>
  <c r="AB184" i="29"/>
  <c r="AA184" i="29"/>
  <c r="AM183" i="29"/>
  <c r="AL183" i="29"/>
  <c r="AJ183" i="29"/>
  <c r="AI183" i="29"/>
  <c r="AH183" i="29"/>
  <c r="AG183" i="29"/>
  <c r="AF183" i="29"/>
  <c r="AE183" i="29"/>
  <c r="AD183" i="29"/>
  <c r="AC183" i="29"/>
  <c r="AB183" i="29"/>
  <c r="AA183" i="29"/>
  <c r="AM182" i="29"/>
  <c r="AL182" i="29"/>
  <c r="AJ182" i="29"/>
  <c r="AI182" i="29"/>
  <c r="AH182" i="29"/>
  <c r="AG182" i="29"/>
  <c r="AF182" i="29"/>
  <c r="AE182" i="29"/>
  <c r="AD182" i="29"/>
  <c r="AC182" i="29"/>
  <c r="AB182" i="29"/>
  <c r="AA182" i="29"/>
  <c r="AM181" i="29"/>
  <c r="AL181" i="29"/>
  <c r="AJ181" i="29"/>
  <c r="AI181" i="29"/>
  <c r="AH181" i="29"/>
  <c r="AG181" i="29"/>
  <c r="AF181" i="29"/>
  <c r="AE181" i="29"/>
  <c r="AD181" i="29"/>
  <c r="AC181" i="29"/>
  <c r="AB181" i="29"/>
  <c r="AA181" i="29"/>
  <c r="AM180" i="29"/>
  <c r="AL180" i="29"/>
  <c r="AJ180" i="29"/>
  <c r="AI180" i="29"/>
  <c r="AH180" i="29"/>
  <c r="AG180" i="29"/>
  <c r="AF180" i="29"/>
  <c r="AE180" i="29"/>
  <c r="AD180" i="29"/>
  <c r="AC180" i="29"/>
  <c r="AB180" i="29"/>
  <c r="AA180" i="29"/>
  <c r="AM179" i="29"/>
  <c r="AL179" i="29"/>
  <c r="AJ179" i="29"/>
  <c r="AI179" i="29"/>
  <c r="AH179" i="29"/>
  <c r="AG179" i="29"/>
  <c r="AF179" i="29"/>
  <c r="AE179" i="29"/>
  <c r="AD179" i="29"/>
  <c r="AC179" i="29"/>
  <c r="AB179" i="29"/>
  <c r="AA179" i="29"/>
  <c r="AM178" i="29"/>
  <c r="AL178" i="29"/>
  <c r="AJ178" i="29"/>
  <c r="AI178" i="29"/>
  <c r="AH178" i="29"/>
  <c r="AG178" i="29"/>
  <c r="AF178" i="29"/>
  <c r="AE178" i="29"/>
  <c r="AD178" i="29"/>
  <c r="AC178" i="29"/>
  <c r="AB178" i="29"/>
  <c r="AA178" i="29"/>
  <c r="AM177" i="29"/>
  <c r="AL177" i="29"/>
  <c r="AJ177" i="29"/>
  <c r="AI177" i="29"/>
  <c r="AH177" i="29"/>
  <c r="AG177" i="29"/>
  <c r="AF177" i="29"/>
  <c r="AE177" i="29"/>
  <c r="AD177" i="29"/>
  <c r="AC177" i="29"/>
  <c r="AB177" i="29"/>
  <c r="AA177" i="29"/>
  <c r="AJ176" i="29"/>
  <c r="AI176" i="29"/>
  <c r="AH176" i="29"/>
  <c r="AG176" i="29"/>
  <c r="AF176" i="29"/>
  <c r="AE176" i="29"/>
  <c r="AD176" i="29"/>
  <c r="AC176" i="29"/>
  <c r="AB176" i="29"/>
  <c r="AA176" i="29"/>
  <c r="AJ175" i="29"/>
  <c r="AI175" i="29"/>
  <c r="AH175" i="29"/>
  <c r="AG175" i="29"/>
  <c r="AF175" i="29"/>
  <c r="AE175" i="29"/>
  <c r="AD175" i="29"/>
  <c r="AC175" i="29"/>
  <c r="AB175" i="29"/>
  <c r="AA175" i="29"/>
  <c r="AJ174" i="29"/>
  <c r="AI174" i="29"/>
  <c r="AH174" i="29"/>
  <c r="AG174" i="29"/>
  <c r="AF174" i="29"/>
  <c r="AE174" i="29"/>
  <c r="AD174" i="29"/>
  <c r="AC174" i="29"/>
  <c r="AB174" i="29"/>
  <c r="AA174" i="29"/>
  <c r="AJ173" i="29"/>
  <c r="AI173" i="29"/>
  <c r="AH173" i="29"/>
  <c r="AG173" i="29"/>
  <c r="AF173" i="29"/>
  <c r="AE173" i="29"/>
  <c r="AD173" i="29"/>
  <c r="AC173" i="29"/>
  <c r="AB173" i="29"/>
  <c r="AA173" i="29"/>
  <c r="AJ172" i="29"/>
  <c r="AI172" i="29"/>
  <c r="AH172" i="29"/>
  <c r="AG172" i="29"/>
  <c r="AF172" i="29"/>
  <c r="AE172" i="29"/>
  <c r="AD172" i="29"/>
  <c r="AC172" i="29"/>
  <c r="AB172" i="29"/>
  <c r="AA172" i="29"/>
  <c r="AM167" i="29"/>
  <c r="AL167" i="29"/>
  <c r="AJ167" i="29"/>
  <c r="AI167" i="29"/>
  <c r="AH167" i="29"/>
  <c r="AG167" i="29"/>
  <c r="AF167" i="29"/>
  <c r="AE167" i="29"/>
  <c r="AD167" i="29"/>
  <c r="AC167" i="29"/>
  <c r="AB167" i="29"/>
  <c r="AA167" i="29"/>
  <c r="AA166" i="29"/>
  <c r="AB166" i="29" s="1"/>
  <c r="AM213" i="32"/>
  <c r="AL213" i="32"/>
  <c r="AJ213" i="32"/>
  <c r="AI213" i="32"/>
  <c r="AH213" i="32"/>
  <c r="AG213" i="32"/>
  <c r="AF213" i="32"/>
  <c r="AE213" i="32"/>
  <c r="AD213" i="32"/>
  <c r="AC213" i="32"/>
  <c r="AB213" i="32"/>
  <c r="AA213" i="32"/>
  <c r="AM212" i="32"/>
  <c r="AL212" i="32"/>
  <c r="AJ212" i="32"/>
  <c r="AI212" i="32"/>
  <c r="AH212" i="32"/>
  <c r="AG212" i="32"/>
  <c r="AF212" i="32"/>
  <c r="AE212" i="32"/>
  <c r="AD212" i="32"/>
  <c r="AC212" i="32"/>
  <c r="AB212" i="32"/>
  <c r="AA212" i="32"/>
  <c r="AM211" i="32"/>
  <c r="AL211" i="32"/>
  <c r="AJ211" i="32"/>
  <c r="AI211" i="32"/>
  <c r="AH211" i="32"/>
  <c r="AG211" i="32"/>
  <c r="AF211" i="32"/>
  <c r="AE211" i="32"/>
  <c r="AD211" i="32"/>
  <c r="AC211" i="32"/>
  <c r="AB211" i="32"/>
  <c r="AA211" i="32"/>
  <c r="AM210" i="32"/>
  <c r="AL210" i="32"/>
  <c r="AJ210" i="32"/>
  <c r="AI210" i="32"/>
  <c r="AH210" i="32"/>
  <c r="AG210" i="32"/>
  <c r="AF210" i="32"/>
  <c r="AE210" i="32"/>
  <c r="AD210" i="32"/>
  <c r="AC210" i="32"/>
  <c r="AB210" i="32"/>
  <c r="AA210" i="32"/>
  <c r="AM209" i="32"/>
  <c r="AL209" i="32"/>
  <c r="AJ209" i="32"/>
  <c r="AI209" i="32"/>
  <c r="AH209" i="32"/>
  <c r="AG209" i="32"/>
  <c r="AF209" i="32"/>
  <c r="AE209" i="32"/>
  <c r="AD209" i="32"/>
  <c r="AC209" i="32"/>
  <c r="AB209" i="32"/>
  <c r="AA209" i="32"/>
  <c r="AM208" i="32"/>
  <c r="AL208" i="32"/>
  <c r="AJ208" i="32"/>
  <c r="AI208" i="32"/>
  <c r="AH208" i="32"/>
  <c r="AG208" i="32"/>
  <c r="AF208" i="32"/>
  <c r="AE208" i="32"/>
  <c r="AD208" i="32"/>
  <c r="AC208" i="32"/>
  <c r="AB208" i="32"/>
  <c r="AA208" i="32"/>
  <c r="AM207" i="32"/>
  <c r="AL207" i="32"/>
  <c r="AJ207" i="32"/>
  <c r="AI207" i="32"/>
  <c r="AH207" i="32"/>
  <c r="AG207" i="32"/>
  <c r="AF207" i="32"/>
  <c r="AE207" i="32"/>
  <c r="AD207" i="32"/>
  <c r="AC207" i="32"/>
  <c r="AB207" i="32"/>
  <c r="AA207" i="32"/>
  <c r="AM206" i="32"/>
  <c r="AL206" i="32"/>
  <c r="AJ206" i="32"/>
  <c r="AI206" i="32"/>
  <c r="AH206" i="32"/>
  <c r="AG206" i="32"/>
  <c r="AF206" i="32"/>
  <c r="AE206" i="32"/>
  <c r="AD206" i="32"/>
  <c r="AC206" i="32"/>
  <c r="AB206" i="32"/>
  <c r="AA206" i="32"/>
  <c r="AM205" i="32"/>
  <c r="AL205" i="32"/>
  <c r="AJ205" i="32"/>
  <c r="AI205" i="32"/>
  <c r="AH205" i="32"/>
  <c r="AG205" i="32"/>
  <c r="AF205" i="32"/>
  <c r="AE205" i="32"/>
  <c r="AD205" i="32"/>
  <c r="AC205" i="32"/>
  <c r="AB205" i="32"/>
  <c r="AA205" i="32"/>
  <c r="AM204" i="32"/>
  <c r="AL204" i="32"/>
  <c r="AJ204" i="32"/>
  <c r="AI204" i="32"/>
  <c r="AH204" i="32"/>
  <c r="AG204" i="32"/>
  <c r="AF204" i="32"/>
  <c r="AE204" i="32"/>
  <c r="AD204" i="32"/>
  <c r="AC204" i="32"/>
  <c r="AB204" i="32"/>
  <c r="AA204" i="32"/>
  <c r="AM203" i="32"/>
  <c r="AL203" i="32"/>
  <c r="AJ203" i="32"/>
  <c r="AI203" i="32"/>
  <c r="AH203" i="32"/>
  <c r="AG203" i="32"/>
  <c r="AF203" i="32"/>
  <c r="AE203" i="32"/>
  <c r="AD203" i="32"/>
  <c r="AC203" i="32"/>
  <c r="AB203" i="32"/>
  <c r="AA203" i="32"/>
  <c r="AM202" i="32"/>
  <c r="AL202" i="32"/>
  <c r="AJ202" i="32"/>
  <c r="AI202" i="32"/>
  <c r="AH202" i="32"/>
  <c r="AG202" i="32"/>
  <c r="AF202" i="32"/>
  <c r="AE202" i="32"/>
  <c r="AD202" i="32"/>
  <c r="AC202" i="32"/>
  <c r="AB202" i="32"/>
  <c r="AA202" i="32"/>
  <c r="AM201" i="32"/>
  <c r="AL201" i="32"/>
  <c r="AJ201" i="32"/>
  <c r="AI201" i="32"/>
  <c r="AH201" i="32"/>
  <c r="AG201" i="32"/>
  <c r="AF201" i="32"/>
  <c r="AE201" i="32"/>
  <c r="AD201" i="32"/>
  <c r="AC201" i="32"/>
  <c r="AB201" i="32"/>
  <c r="AA201" i="32"/>
  <c r="AM200" i="32"/>
  <c r="AL200" i="32"/>
  <c r="AJ200" i="32"/>
  <c r="AI200" i="32"/>
  <c r="AH200" i="32"/>
  <c r="AG200" i="32"/>
  <c r="AF200" i="32"/>
  <c r="AE200" i="32"/>
  <c r="AD200" i="32"/>
  <c r="AC200" i="32"/>
  <c r="AB200" i="32"/>
  <c r="AA200" i="32"/>
  <c r="AM199" i="32"/>
  <c r="AL199" i="32"/>
  <c r="AJ199" i="32"/>
  <c r="AI199" i="32"/>
  <c r="AH199" i="32"/>
  <c r="AG199" i="32"/>
  <c r="AF199" i="32"/>
  <c r="AE199" i="32"/>
  <c r="AD199" i="32"/>
  <c r="AC199" i="32"/>
  <c r="AB199" i="32"/>
  <c r="AA199" i="32"/>
  <c r="AM198" i="32"/>
  <c r="AL198" i="32"/>
  <c r="AJ198" i="32"/>
  <c r="AI198" i="32"/>
  <c r="AH198" i="32"/>
  <c r="AG198" i="32"/>
  <c r="AF198" i="32"/>
  <c r="AE198" i="32"/>
  <c r="AD198" i="32"/>
  <c r="AC198" i="32"/>
  <c r="AB198" i="32"/>
  <c r="AA198" i="32"/>
  <c r="AM197" i="32"/>
  <c r="AL197" i="32"/>
  <c r="AJ197" i="32"/>
  <c r="AI197" i="32"/>
  <c r="AH197" i="32"/>
  <c r="AG197" i="32"/>
  <c r="AF197" i="32"/>
  <c r="AE197" i="32"/>
  <c r="AD197" i="32"/>
  <c r="AC197" i="32"/>
  <c r="AB197" i="32"/>
  <c r="AA197" i="32"/>
  <c r="AM196" i="32"/>
  <c r="AL196" i="32"/>
  <c r="AJ196" i="32"/>
  <c r="AI196" i="32"/>
  <c r="AH196" i="32"/>
  <c r="AG196" i="32"/>
  <c r="AF196" i="32"/>
  <c r="AE196" i="32"/>
  <c r="AD196" i="32"/>
  <c r="AC196" i="32"/>
  <c r="AB196" i="32"/>
  <c r="AA196" i="32"/>
  <c r="AM195" i="32"/>
  <c r="AL195" i="32"/>
  <c r="AJ195" i="32"/>
  <c r="AI195" i="32"/>
  <c r="AH195" i="32"/>
  <c r="AG195" i="32"/>
  <c r="AF195" i="32"/>
  <c r="AE195" i="32"/>
  <c r="AD195" i="32"/>
  <c r="AC195" i="32"/>
  <c r="AB195" i="32"/>
  <c r="AA195" i="32"/>
  <c r="AM194" i="32"/>
  <c r="AL194" i="32"/>
  <c r="AJ194" i="32"/>
  <c r="AI194" i="32"/>
  <c r="AH194" i="32"/>
  <c r="AG194" i="32"/>
  <c r="AF194" i="32"/>
  <c r="AE194" i="32"/>
  <c r="AD194" i="32"/>
  <c r="AC194" i="32"/>
  <c r="AB194" i="32"/>
  <c r="AA194" i="32"/>
  <c r="AM193" i="32"/>
  <c r="AL193" i="32"/>
  <c r="AJ193" i="32"/>
  <c r="AI193" i="32"/>
  <c r="AH193" i="32"/>
  <c r="AG193" i="32"/>
  <c r="AF193" i="32"/>
  <c r="AE193" i="32"/>
  <c r="AD193" i="32"/>
  <c r="AC193" i="32"/>
  <c r="AB193" i="32"/>
  <c r="AA193" i="32"/>
  <c r="AM192" i="32"/>
  <c r="AL192" i="32"/>
  <c r="AJ192" i="32"/>
  <c r="AI192" i="32"/>
  <c r="AH192" i="32"/>
  <c r="AG192" i="32"/>
  <c r="AF192" i="32"/>
  <c r="AE192" i="32"/>
  <c r="AD192" i="32"/>
  <c r="AC192" i="32"/>
  <c r="AB192" i="32"/>
  <c r="AA192" i="32"/>
  <c r="AM191" i="32"/>
  <c r="AL191" i="32"/>
  <c r="AJ191" i="32"/>
  <c r="AI191" i="32"/>
  <c r="AH191" i="32"/>
  <c r="AG191" i="32"/>
  <c r="AF191" i="32"/>
  <c r="AE191" i="32"/>
  <c r="AD191" i="32"/>
  <c r="AC191" i="32"/>
  <c r="AB191" i="32"/>
  <c r="AA191" i="32"/>
  <c r="AM190" i="32"/>
  <c r="AL190" i="32"/>
  <c r="AJ190" i="32"/>
  <c r="AI190" i="32"/>
  <c r="AH190" i="32"/>
  <c r="AG190" i="32"/>
  <c r="AF190" i="32"/>
  <c r="AE190" i="32"/>
  <c r="AD190" i="32"/>
  <c r="AC190" i="32"/>
  <c r="AB190" i="32"/>
  <c r="AA190" i="32"/>
  <c r="AM189" i="32"/>
  <c r="AL189" i="32"/>
  <c r="AJ189" i="32"/>
  <c r="AI189" i="32"/>
  <c r="AH189" i="32"/>
  <c r="AG189" i="32"/>
  <c r="AF189" i="32"/>
  <c r="AE189" i="32"/>
  <c r="AD189" i="32"/>
  <c r="AC189" i="32"/>
  <c r="AB189" i="32"/>
  <c r="AA189" i="32"/>
  <c r="AM188" i="32"/>
  <c r="AL188" i="32"/>
  <c r="AJ188" i="32"/>
  <c r="AI188" i="32"/>
  <c r="AH188" i="32"/>
  <c r="AG188" i="32"/>
  <c r="AF188" i="32"/>
  <c r="AE188" i="32"/>
  <c r="AD188" i="32"/>
  <c r="AC188" i="32"/>
  <c r="AB188" i="32"/>
  <c r="AA188" i="32"/>
  <c r="AM187" i="32"/>
  <c r="AL187" i="32"/>
  <c r="AJ187" i="32"/>
  <c r="AI187" i="32"/>
  <c r="AH187" i="32"/>
  <c r="AG187" i="32"/>
  <c r="AF187" i="32"/>
  <c r="AE187" i="32"/>
  <c r="AD187" i="32"/>
  <c r="AC187" i="32"/>
  <c r="AB187" i="32"/>
  <c r="AA187" i="32"/>
  <c r="AM186" i="32"/>
  <c r="AL186" i="32"/>
  <c r="AJ186" i="32"/>
  <c r="AI186" i="32"/>
  <c r="AH186" i="32"/>
  <c r="AG186" i="32"/>
  <c r="AF186" i="32"/>
  <c r="AE186" i="32"/>
  <c r="AD186" i="32"/>
  <c r="AC186" i="32"/>
  <c r="AB186" i="32"/>
  <c r="AA186" i="32"/>
  <c r="AM185" i="32"/>
  <c r="AL185" i="32"/>
  <c r="AJ185" i="32"/>
  <c r="AI185" i="32"/>
  <c r="AH185" i="32"/>
  <c r="AG185" i="32"/>
  <c r="AF185" i="32"/>
  <c r="AE185" i="32"/>
  <c r="AD185" i="32"/>
  <c r="AC185" i="32"/>
  <c r="AB185" i="32"/>
  <c r="AA185" i="32"/>
  <c r="AM184" i="32"/>
  <c r="AL184" i="32"/>
  <c r="AJ184" i="32"/>
  <c r="AI184" i="32"/>
  <c r="AH184" i="32"/>
  <c r="AG184" i="32"/>
  <c r="AF184" i="32"/>
  <c r="AE184" i="32"/>
  <c r="AD184" i="32"/>
  <c r="AC184" i="32"/>
  <c r="AB184" i="32"/>
  <c r="AA184" i="32"/>
  <c r="AM167" i="32"/>
  <c r="AL167" i="32"/>
  <c r="AJ167" i="32"/>
  <c r="AI167" i="32"/>
  <c r="AH167" i="32"/>
  <c r="AG167" i="32"/>
  <c r="AF167" i="32"/>
  <c r="AE167" i="32"/>
  <c r="AD167" i="32"/>
  <c r="AC167" i="32"/>
  <c r="AB167" i="32"/>
  <c r="AA167" i="32"/>
  <c r="AA166" i="32"/>
  <c r="AM213" i="56"/>
  <c r="AL213" i="56"/>
  <c r="AJ213" i="56"/>
  <c r="AI213" i="56"/>
  <c r="AH213" i="56"/>
  <c r="AG213" i="56"/>
  <c r="AF213" i="56"/>
  <c r="AE213" i="56"/>
  <c r="AD213" i="56"/>
  <c r="AC213" i="56"/>
  <c r="AB213" i="56"/>
  <c r="AA213" i="56"/>
  <c r="AM212" i="56"/>
  <c r="AL212" i="56"/>
  <c r="AJ212" i="56"/>
  <c r="AI212" i="56"/>
  <c r="AH212" i="56"/>
  <c r="AG212" i="56"/>
  <c r="AF212" i="56"/>
  <c r="AE212" i="56"/>
  <c r="AD212" i="56"/>
  <c r="AC212" i="56"/>
  <c r="AB212" i="56"/>
  <c r="AA212" i="56"/>
  <c r="AM211" i="56"/>
  <c r="AL211" i="56"/>
  <c r="AJ211" i="56"/>
  <c r="AI211" i="56"/>
  <c r="AH211" i="56"/>
  <c r="AG211" i="56"/>
  <c r="AF211" i="56"/>
  <c r="AE211" i="56"/>
  <c r="AD211" i="56"/>
  <c r="AC211" i="56"/>
  <c r="AB211" i="56"/>
  <c r="AA211" i="56"/>
  <c r="AM210" i="56"/>
  <c r="AL210" i="56"/>
  <c r="AJ210" i="56"/>
  <c r="AI210" i="56"/>
  <c r="AH210" i="56"/>
  <c r="AG210" i="56"/>
  <c r="AF210" i="56"/>
  <c r="AE210" i="56"/>
  <c r="AD210" i="56"/>
  <c r="AC210" i="56"/>
  <c r="AB210" i="56"/>
  <c r="AA210" i="56"/>
  <c r="AM209" i="56"/>
  <c r="AL209" i="56"/>
  <c r="AJ209" i="56"/>
  <c r="AI209" i="56"/>
  <c r="AH209" i="56"/>
  <c r="AG209" i="56"/>
  <c r="AF209" i="56"/>
  <c r="AE209" i="56"/>
  <c r="AD209" i="56"/>
  <c r="AC209" i="56"/>
  <c r="AB209" i="56"/>
  <c r="AA209" i="56"/>
  <c r="AM208" i="56"/>
  <c r="AL208" i="56"/>
  <c r="AJ208" i="56"/>
  <c r="AI208" i="56"/>
  <c r="AH208" i="56"/>
  <c r="AG208" i="56"/>
  <c r="AF208" i="56"/>
  <c r="AE208" i="56"/>
  <c r="AD208" i="56"/>
  <c r="AC208" i="56"/>
  <c r="AB208" i="56"/>
  <c r="AA208" i="56"/>
  <c r="AM207" i="56"/>
  <c r="AL207" i="56"/>
  <c r="AJ207" i="56"/>
  <c r="AI207" i="56"/>
  <c r="AH207" i="56"/>
  <c r="AG207" i="56"/>
  <c r="AF207" i="56"/>
  <c r="AE207" i="56"/>
  <c r="AD207" i="56"/>
  <c r="AC207" i="56"/>
  <c r="AB207" i="56"/>
  <c r="AA207" i="56"/>
  <c r="AM206" i="56"/>
  <c r="AL206" i="56"/>
  <c r="AJ206" i="56"/>
  <c r="AI206" i="56"/>
  <c r="AH206" i="56"/>
  <c r="AG206" i="56"/>
  <c r="AF206" i="56"/>
  <c r="AE206" i="56"/>
  <c r="AD206" i="56"/>
  <c r="AC206" i="56"/>
  <c r="AB206" i="56"/>
  <c r="AA206" i="56"/>
  <c r="AM205" i="56"/>
  <c r="AL205" i="56"/>
  <c r="AJ205" i="56"/>
  <c r="AI205" i="56"/>
  <c r="AH205" i="56"/>
  <c r="AG205" i="56"/>
  <c r="AF205" i="56"/>
  <c r="AE205" i="56"/>
  <c r="AD205" i="56"/>
  <c r="AC205" i="56"/>
  <c r="AB205" i="56"/>
  <c r="AA205" i="56"/>
  <c r="AM204" i="56"/>
  <c r="AL204" i="56"/>
  <c r="AJ204" i="56"/>
  <c r="AI204" i="56"/>
  <c r="AH204" i="56"/>
  <c r="AG204" i="56"/>
  <c r="AF204" i="56"/>
  <c r="AE204" i="56"/>
  <c r="AD204" i="56"/>
  <c r="AC204" i="56"/>
  <c r="AB204" i="56"/>
  <c r="AA204" i="56"/>
  <c r="AM203" i="56"/>
  <c r="AL203" i="56"/>
  <c r="AJ203" i="56"/>
  <c r="AI203" i="56"/>
  <c r="AH203" i="56"/>
  <c r="AG203" i="56"/>
  <c r="AF203" i="56"/>
  <c r="AE203" i="56"/>
  <c r="AD203" i="56"/>
  <c r="AC203" i="56"/>
  <c r="AB203" i="56"/>
  <c r="AA203" i="56"/>
  <c r="AM202" i="56"/>
  <c r="AL202" i="56"/>
  <c r="AJ202" i="56"/>
  <c r="AI202" i="56"/>
  <c r="AH202" i="56"/>
  <c r="AG202" i="56"/>
  <c r="AF202" i="56"/>
  <c r="AE202" i="56"/>
  <c r="AD202" i="56"/>
  <c r="AC202" i="56"/>
  <c r="AB202" i="56"/>
  <c r="AA202" i="56"/>
  <c r="AM201" i="56"/>
  <c r="AL201" i="56"/>
  <c r="AJ201" i="56"/>
  <c r="AI201" i="56"/>
  <c r="AH201" i="56"/>
  <c r="AG201" i="56"/>
  <c r="AF201" i="56"/>
  <c r="AE201" i="56"/>
  <c r="AD201" i="56"/>
  <c r="AC201" i="56"/>
  <c r="AB201" i="56"/>
  <c r="AA201" i="56"/>
  <c r="AM200" i="56"/>
  <c r="AL200" i="56"/>
  <c r="AJ200" i="56"/>
  <c r="AI200" i="56"/>
  <c r="AH200" i="56"/>
  <c r="AG200" i="56"/>
  <c r="AF200" i="56"/>
  <c r="AE200" i="56"/>
  <c r="AD200" i="56"/>
  <c r="AC200" i="56"/>
  <c r="AB200" i="56"/>
  <c r="AA200" i="56"/>
  <c r="AM199" i="56"/>
  <c r="AL199" i="56"/>
  <c r="AJ199" i="56"/>
  <c r="AI199" i="56"/>
  <c r="AH199" i="56"/>
  <c r="AG199" i="56"/>
  <c r="AF199" i="56"/>
  <c r="AE199" i="56"/>
  <c r="AD199" i="56"/>
  <c r="AC199" i="56"/>
  <c r="AB199" i="56"/>
  <c r="AA199" i="56"/>
  <c r="AM198" i="56"/>
  <c r="AL198" i="56"/>
  <c r="AJ198" i="56"/>
  <c r="AI198" i="56"/>
  <c r="AH198" i="56"/>
  <c r="AG198" i="56"/>
  <c r="AF198" i="56"/>
  <c r="AE198" i="56"/>
  <c r="AD198" i="56"/>
  <c r="AC198" i="56"/>
  <c r="AB198" i="56"/>
  <c r="AA198" i="56"/>
  <c r="AM197" i="56"/>
  <c r="AL197" i="56"/>
  <c r="AJ197" i="56"/>
  <c r="AI197" i="56"/>
  <c r="AH197" i="56"/>
  <c r="AG197" i="56"/>
  <c r="AF197" i="56"/>
  <c r="AE197" i="56"/>
  <c r="AD197" i="56"/>
  <c r="AC197" i="56"/>
  <c r="AB197" i="56"/>
  <c r="AA197" i="56"/>
  <c r="AM196" i="56"/>
  <c r="AL196" i="56"/>
  <c r="AJ196" i="56"/>
  <c r="AI196" i="56"/>
  <c r="AH196" i="56"/>
  <c r="AG196" i="56"/>
  <c r="AF196" i="56"/>
  <c r="AE196" i="56"/>
  <c r="AD196" i="56"/>
  <c r="AC196" i="56"/>
  <c r="AB196" i="56"/>
  <c r="AA196" i="56"/>
  <c r="AM195" i="56"/>
  <c r="AL195" i="56"/>
  <c r="AJ195" i="56"/>
  <c r="AI195" i="56"/>
  <c r="AH195" i="56"/>
  <c r="AG195" i="56"/>
  <c r="AF195" i="56"/>
  <c r="AE195" i="56"/>
  <c r="AD195" i="56"/>
  <c r="AC195" i="56"/>
  <c r="AB195" i="56"/>
  <c r="AA195" i="56"/>
  <c r="AM194" i="56"/>
  <c r="AL194" i="56"/>
  <c r="AJ194" i="56"/>
  <c r="AI194" i="56"/>
  <c r="AH194" i="56"/>
  <c r="AG194" i="56"/>
  <c r="AF194" i="56"/>
  <c r="AE194" i="56"/>
  <c r="AD194" i="56"/>
  <c r="AC194" i="56"/>
  <c r="AB194" i="56"/>
  <c r="AA194" i="56"/>
  <c r="AM193" i="56"/>
  <c r="AL193" i="56"/>
  <c r="AJ193" i="56"/>
  <c r="AI193" i="56"/>
  <c r="AH193" i="56"/>
  <c r="AG193" i="56"/>
  <c r="AF193" i="56"/>
  <c r="AE193" i="56"/>
  <c r="AD193" i="56"/>
  <c r="AC193" i="56"/>
  <c r="AB193" i="56"/>
  <c r="AA193" i="56"/>
  <c r="AM192" i="56"/>
  <c r="AL192" i="56"/>
  <c r="AJ192" i="56"/>
  <c r="AI192" i="56"/>
  <c r="AH192" i="56"/>
  <c r="AG192" i="56"/>
  <c r="AF192" i="56"/>
  <c r="AE192" i="56"/>
  <c r="AD192" i="56"/>
  <c r="AC192" i="56"/>
  <c r="AB192" i="56"/>
  <c r="AA192" i="56"/>
  <c r="AM191" i="56"/>
  <c r="AL191" i="56"/>
  <c r="AJ191" i="56"/>
  <c r="AI191" i="56"/>
  <c r="AH191" i="56"/>
  <c r="AG191" i="56"/>
  <c r="AF191" i="56"/>
  <c r="AE191" i="56"/>
  <c r="AD191" i="56"/>
  <c r="AC191" i="56"/>
  <c r="AB191" i="56"/>
  <c r="AA191" i="56"/>
  <c r="AM190" i="56"/>
  <c r="AL190" i="56"/>
  <c r="AJ190" i="56"/>
  <c r="AI190" i="56"/>
  <c r="AH190" i="56"/>
  <c r="AG190" i="56"/>
  <c r="AF190" i="56"/>
  <c r="AE190" i="56"/>
  <c r="AD190" i="56"/>
  <c r="AC190" i="56"/>
  <c r="AB190" i="56"/>
  <c r="AA190" i="56"/>
  <c r="AM189" i="56"/>
  <c r="AL189" i="56"/>
  <c r="AJ189" i="56"/>
  <c r="AI189" i="56"/>
  <c r="AH189" i="56"/>
  <c r="AG189" i="56"/>
  <c r="AF189" i="56"/>
  <c r="AE189" i="56"/>
  <c r="AD189" i="56"/>
  <c r="AC189" i="56"/>
  <c r="AB189" i="56"/>
  <c r="AA189" i="56"/>
  <c r="AM188" i="56"/>
  <c r="AL188" i="56"/>
  <c r="AJ188" i="56"/>
  <c r="AI188" i="56"/>
  <c r="AH188" i="56"/>
  <c r="AG188" i="56"/>
  <c r="AF188" i="56"/>
  <c r="AE188" i="56"/>
  <c r="AD188" i="56"/>
  <c r="AC188" i="56"/>
  <c r="AB188" i="56"/>
  <c r="AA188" i="56"/>
  <c r="AM187" i="56"/>
  <c r="AL187" i="56"/>
  <c r="AJ187" i="56"/>
  <c r="AI187" i="56"/>
  <c r="AH187" i="56"/>
  <c r="AG187" i="56"/>
  <c r="AF187" i="56"/>
  <c r="AE187" i="56"/>
  <c r="AD187" i="56"/>
  <c r="AC187" i="56"/>
  <c r="AB187" i="56"/>
  <c r="AA187" i="56"/>
  <c r="AM186" i="56"/>
  <c r="AL186" i="56"/>
  <c r="AJ186" i="56"/>
  <c r="AI186" i="56"/>
  <c r="AH186" i="56"/>
  <c r="AG186" i="56"/>
  <c r="AF186" i="56"/>
  <c r="AE186" i="56"/>
  <c r="AD186" i="56"/>
  <c r="AC186" i="56"/>
  <c r="AB186" i="56"/>
  <c r="AA186" i="56"/>
  <c r="AM185" i="56"/>
  <c r="AL185" i="56"/>
  <c r="AJ185" i="56"/>
  <c r="AI185" i="56"/>
  <c r="AH185" i="56"/>
  <c r="AG185" i="56"/>
  <c r="AF185" i="56"/>
  <c r="AE185" i="56"/>
  <c r="AD185" i="56"/>
  <c r="AC185" i="56"/>
  <c r="AB185" i="56"/>
  <c r="AA185" i="56"/>
  <c r="AM184" i="56"/>
  <c r="AL184" i="56"/>
  <c r="AJ184" i="56"/>
  <c r="AI184" i="56"/>
  <c r="AH184" i="56"/>
  <c r="AG184" i="56"/>
  <c r="AF184" i="56"/>
  <c r="AE184" i="56"/>
  <c r="AD184" i="56"/>
  <c r="AC184" i="56"/>
  <c r="AB184" i="56"/>
  <c r="AA184" i="56"/>
  <c r="AJ183" i="56"/>
  <c r="AI183" i="56"/>
  <c r="AH183" i="56"/>
  <c r="AG183" i="56"/>
  <c r="AF183" i="56"/>
  <c r="AE183" i="56"/>
  <c r="AD183" i="56"/>
  <c r="AC183" i="56"/>
  <c r="AB183" i="56"/>
  <c r="AA183" i="56"/>
  <c r="AJ182" i="56"/>
  <c r="AI182" i="56"/>
  <c r="AH182" i="56"/>
  <c r="AG182" i="56"/>
  <c r="AF182" i="56"/>
  <c r="AE182" i="56"/>
  <c r="AD182" i="56"/>
  <c r="AC182" i="56"/>
  <c r="AB182" i="56"/>
  <c r="AA182" i="56"/>
  <c r="AJ181" i="56"/>
  <c r="AI181" i="56"/>
  <c r="AH181" i="56"/>
  <c r="AG181" i="56"/>
  <c r="AF181" i="56"/>
  <c r="AE181" i="56"/>
  <c r="AD181" i="56"/>
  <c r="AC181" i="56"/>
  <c r="AB181" i="56"/>
  <c r="AA181" i="56"/>
  <c r="AJ180" i="56"/>
  <c r="AI180" i="56"/>
  <c r="AH180" i="56"/>
  <c r="AG180" i="56"/>
  <c r="AF180" i="56"/>
  <c r="AE180" i="56"/>
  <c r="AD180" i="56"/>
  <c r="AC180" i="56"/>
  <c r="AB180" i="56"/>
  <c r="AA180" i="56"/>
  <c r="AJ179" i="56"/>
  <c r="AI179" i="56"/>
  <c r="AH179" i="56"/>
  <c r="AG179" i="56"/>
  <c r="AF179" i="56"/>
  <c r="AE179" i="56"/>
  <c r="AD179" i="56"/>
  <c r="AC179" i="56"/>
  <c r="AB179" i="56"/>
  <c r="AA179" i="56"/>
  <c r="AJ178" i="56"/>
  <c r="AI178" i="56"/>
  <c r="AH178" i="56"/>
  <c r="AG178" i="56"/>
  <c r="AF178" i="56"/>
  <c r="AE178" i="56"/>
  <c r="AD178" i="56"/>
  <c r="AC178" i="56"/>
  <c r="AB178" i="56"/>
  <c r="AA178" i="56"/>
  <c r="AJ177" i="56"/>
  <c r="AI177" i="56"/>
  <c r="AH177" i="56"/>
  <c r="AG177" i="56"/>
  <c r="AF177" i="56"/>
  <c r="AE177" i="56"/>
  <c r="AD177" i="56"/>
  <c r="AC177" i="56"/>
  <c r="AB177" i="56"/>
  <c r="AA177" i="56"/>
  <c r="AJ176" i="56"/>
  <c r="AI176" i="56"/>
  <c r="AH176" i="56"/>
  <c r="AG176" i="56"/>
  <c r="AF176" i="56"/>
  <c r="AE176" i="56"/>
  <c r="AD176" i="56"/>
  <c r="AC176" i="56"/>
  <c r="AB176" i="56"/>
  <c r="AA176" i="56"/>
  <c r="AJ175" i="56"/>
  <c r="AI175" i="56"/>
  <c r="AH175" i="56"/>
  <c r="AG175" i="56"/>
  <c r="AF175" i="56"/>
  <c r="AE175" i="56"/>
  <c r="AD175" i="56"/>
  <c r="AC175" i="56"/>
  <c r="AB175" i="56"/>
  <c r="AA175" i="56"/>
  <c r="AJ174" i="56"/>
  <c r="AI174" i="56"/>
  <c r="AH174" i="56"/>
  <c r="AG174" i="56"/>
  <c r="AF174" i="56"/>
  <c r="AE174" i="56"/>
  <c r="AD174" i="56"/>
  <c r="AC174" i="56"/>
  <c r="AB174" i="56"/>
  <c r="AA174" i="56"/>
  <c r="AJ173" i="56"/>
  <c r="AI173" i="56"/>
  <c r="AH173" i="56"/>
  <c r="AG173" i="56"/>
  <c r="AF173" i="56"/>
  <c r="AE173" i="56"/>
  <c r="AD173" i="56"/>
  <c r="AC173" i="56"/>
  <c r="AB173" i="56"/>
  <c r="AA173" i="56"/>
  <c r="AJ172" i="56"/>
  <c r="AI172" i="56"/>
  <c r="AH172" i="56"/>
  <c r="AG172" i="56"/>
  <c r="AF172" i="56"/>
  <c r="AE172" i="56"/>
  <c r="AD172" i="56"/>
  <c r="AC172" i="56"/>
  <c r="AB172" i="56"/>
  <c r="AA172" i="56"/>
  <c r="AJ171" i="56"/>
  <c r="AI171" i="56"/>
  <c r="AH171" i="56"/>
  <c r="AG171" i="56"/>
  <c r="AF171" i="56"/>
  <c r="AE171" i="56"/>
  <c r="AD171" i="56"/>
  <c r="AC171" i="56"/>
  <c r="AB171" i="56"/>
  <c r="AA171" i="56"/>
  <c r="AJ170" i="56"/>
  <c r="AI170" i="56"/>
  <c r="AH170" i="56"/>
  <c r="AG170" i="56"/>
  <c r="AF170" i="56"/>
  <c r="AE170" i="56"/>
  <c r="AD170" i="56"/>
  <c r="AC170" i="56"/>
  <c r="AB170" i="56"/>
  <c r="AA170" i="56"/>
  <c r="AJ169" i="56"/>
  <c r="AI169" i="56"/>
  <c r="AH169" i="56"/>
  <c r="AG169" i="56"/>
  <c r="AF169" i="56"/>
  <c r="AE169" i="56"/>
  <c r="AD169" i="56"/>
  <c r="AC169" i="56"/>
  <c r="AB169" i="56"/>
  <c r="AA169" i="56"/>
  <c r="AJ168" i="56"/>
  <c r="AI168" i="56"/>
  <c r="AH168" i="56"/>
  <c r="AG168" i="56"/>
  <c r="AF168" i="56"/>
  <c r="AE168" i="56"/>
  <c r="AD168" i="56"/>
  <c r="AC168" i="56"/>
  <c r="AB168" i="56"/>
  <c r="AA168" i="56"/>
  <c r="AM167" i="56"/>
  <c r="AL167" i="56"/>
  <c r="AJ167" i="56"/>
  <c r="AI167" i="56"/>
  <c r="AH167" i="56"/>
  <c r="AG167" i="56"/>
  <c r="AF167" i="56"/>
  <c r="AE167" i="56"/>
  <c r="AD167" i="56"/>
  <c r="AC167" i="56"/>
  <c r="AB167" i="56"/>
  <c r="AA167" i="56"/>
  <c r="AA166" i="56"/>
  <c r="AB166" i="56" s="1"/>
  <c r="AC166" i="56" s="1"/>
  <c r="AD166" i="56" s="1"/>
  <c r="AE166" i="56" s="1"/>
  <c r="AF166" i="56" s="1"/>
  <c r="AG166" i="56" s="1"/>
  <c r="AH166" i="56" s="1"/>
  <c r="AI166" i="56" s="1"/>
  <c r="AJ166" i="56" s="1"/>
  <c r="AK166" i="56" s="1"/>
  <c r="AM213" i="23"/>
  <c r="AL213" i="23"/>
  <c r="AJ213" i="23"/>
  <c r="AI213" i="23"/>
  <c r="AH213" i="23"/>
  <c r="AG213" i="23"/>
  <c r="AF213" i="23"/>
  <c r="AE213" i="23"/>
  <c r="AD213" i="23"/>
  <c r="AC213" i="23"/>
  <c r="AB213" i="23"/>
  <c r="AA213" i="23"/>
  <c r="AM212" i="23"/>
  <c r="AL212" i="23"/>
  <c r="AJ212" i="23"/>
  <c r="AI212" i="23"/>
  <c r="AH212" i="23"/>
  <c r="AG212" i="23"/>
  <c r="AF212" i="23"/>
  <c r="AE212" i="23"/>
  <c r="AD212" i="23"/>
  <c r="AC212" i="23"/>
  <c r="AB212" i="23"/>
  <c r="AA212" i="23"/>
  <c r="AM211" i="23"/>
  <c r="AL211" i="23"/>
  <c r="AJ211" i="23"/>
  <c r="AI211" i="23"/>
  <c r="AH211" i="23"/>
  <c r="AG211" i="23"/>
  <c r="AF211" i="23"/>
  <c r="AE211" i="23"/>
  <c r="AD211" i="23"/>
  <c r="AC211" i="23"/>
  <c r="AB211" i="23"/>
  <c r="AA211" i="23"/>
  <c r="AM210" i="23"/>
  <c r="AL210" i="23"/>
  <c r="AJ210" i="23"/>
  <c r="AI210" i="23"/>
  <c r="AH210" i="23"/>
  <c r="AG210" i="23"/>
  <c r="AF210" i="23"/>
  <c r="AE210" i="23"/>
  <c r="AD210" i="23"/>
  <c r="AC210" i="23"/>
  <c r="AB210" i="23"/>
  <c r="AA210" i="23"/>
  <c r="AM209" i="23"/>
  <c r="AL209" i="23"/>
  <c r="AJ209" i="23"/>
  <c r="AI209" i="23"/>
  <c r="AH209" i="23"/>
  <c r="AG209" i="23"/>
  <c r="AF209" i="23"/>
  <c r="AE209" i="23"/>
  <c r="AD209" i="23"/>
  <c r="AC209" i="23"/>
  <c r="AB209" i="23"/>
  <c r="AA209" i="23"/>
  <c r="AM208" i="23"/>
  <c r="AL208" i="23"/>
  <c r="AJ208" i="23"/>
  <c r="AI208" i="23"/>
  <c r="AH208" i="23"/>
  <c r="AG208" i="23"/>
  <c r="AF208" i="23"/>
  <c r="AE208" i="23"/>
  <c r="AD208" i="23"/>
  <c r="AC208" i="23"/>
  <c r="AB208" i="23"/>
  <c r="AA208" i="23"/>
  <c r="AM207" i="23"/>
  <c r="AL207" i="23"/>
  <c r="AJ207" i="23"/>
  <c r="AI207" i="23"/>
  <c r="AH207" i="23"/>
  <c r="AG207" i="23"/>
  <c r="AF207" i="23"/>
  <c r="AE207" i="23"/>
  <c r="AD207" i="23"/>
  <c r="AC207" i="23"/>
  <c r="AB207" i="23"/>
  <c r="AA207" i="23"/>
  <c r="AM206" i="23"/>
  <c r="AL206" i="23"/>
  <c r="AJ206" i="23"/>
  <c r="AI206" i="23"/>
  <c r="AH206" i="23"/>
  <c r="AG206" i="23"/>
  <c r="AF206" i="23"/>
  <c r="AE206" i="23"/>
  <c r="AD206" i="23"/>
  <c r="AC206" i="23"/>
  <c r="AB206" i="23"/>
  <c r="AA206" i="23"/>
  <c r="AM205" i="23"/>
  <c r="AL205" i="23"/>
  <c r="AJ205" i="23"/>
  <c r="AI205" i="23"/>
  <c r="AH205" i="23"/>
  <c r="AG205" i="23"/>
  <c r="AF205" i="23"/>
  <c r="AE205" i="23"/>
  <c r="AD205" i="23"/>
  <c r="AC205" i="23"/>
  <c r="AB205" i="23"/>
  <c r="AA205" i="23"/>
  <c r="AM204" i="23"/>
  <c r="AL204" i="23"/>
  <c r="AJ204" i="23"/>
  <c r="AI204" i="23"/>
  <c r="AH204" i="23"/>
  <c r="AG204" i="23"/>
  <c r="AF204" i="23"/>
  <c r="AE204" i="23"/>
  <c r="AD204" i="23"/>
  <c r="AC204" i="23"/>
  <c r="AB204" i="23"/>
  <c r="AA204" i="23"/>
  <c r="AM203" i="23"/>
  <c r="AL203" i="23"/>
  <c r="AJ203" i="23"/>
  <c r="AI203" i="23"/>
  <c r="AH203" i="23"/>
  <c r="AG203" i="23"/>
  <c r="AF203" i="23"/>
  <c r="AE203" i="23"/>
  <c r="AD203" i="23"/>
  <c r="AC203" i="23"/>
  <c r="AB203" i="23"/>
  <c r="AA203" i="23"/>
  <c r="AM202" i="23"/>
  <c r="AL202" i="23"/>
  <c r="AJ202" i="23"/>
  <c r="AI202" i="23"/>
  <c r="AH202" i="23"/>
  <c r="AG202" i="23"/>
  <c r="AF202" i="23"/>
  <c r="AE202" i="23"/>
  <c r="AD202" i="23"/>
  <c r="AC202" i="23"/>
  <c r="AB202" i="23"/>
  <c r="AA202" i="23"/>
  <c r="AM201" i="23"/>
  <c r="AL201" i="23"/>
  <c r="AJ201" i="23"/>
  <c r="AI201" i="23"/>
  <c r="AH201" i="23"/>
  <c r="AG201" i="23"/>
  <c r="AF201" i="23"/>
  <c r="AE201" i="23"/>
  <c r="AD201" i="23"/>
  <c r="AC201" i="23"/>
  <c r="AB201" i="23"/>
  <c r="AA201" i="23"/>
  <c r="AM200" i="23"/>
  <c r="AL200" i="23"/>
  <c r="AJ200" i="23"/>
  <c r="AI200" i="23"/>
  <c r="AH200" i="23"/>
  <c r="AG200" i="23"/>
  <c r="AF200" i="23"/>
  <c r="AE200" i="23"/>
  <c r="AD200" i="23"/>
  <c r="AC200" i="23"/>
  <c r="AB200" i="23"/>
  <c r="AA200" i="23"/>
  <c r="AM199" i="23"/>
  <c r="AL199" i="23"/>
  <c r="AJ199" i="23"/>
  <c r="AI199" i="23"/>
  <c r="AH199" i="23"/>
  <c r="AG199" i="23"/>
  <c r="AF199" i="23"/>
  <c r="AE199" i="23"/>
  <c r="AD199" i="23"/>
  <c r="AC199" i="23"/>
  <c r="AB199" i="23"/>
  <c r="AA199" i="23"/>
  <c r="AM198" i="23"/>
  <c r="AL198" i="23"/>
  <c r="AJ198" i="23"/>
  <c r="AI198" i="23"/>
  <c r="AH198" i="23"/>
  <c r="AG198" i="23"/>
  <c r="AF198" i="23"/>
  <c r="AE198" i="23"/>
  <c r="AD198" i="23"/>
  <c r="AC198" i="23"/>
  <c r="AB198" i="23"/>
  <c r="AA198" i="23"/>
  <c r="AM197" i="23"/>
  <c r="AL197" i="23"/>
  <c r="AJ197" i="23"/>
  <c r="AI197" i="23"/>
  <c r="AH197" i="23"/>
  <c r="AG197" i="23"/>
  <c r="AF197" i="23"/>
  <c r="AE197" i="23"/>
  <c r="AD197" i="23"/>
  <c r="AC197" i="23"/>
  <c r="AB197" i="23"/>
  <c r="AA197" i="23"/>
  <c r="AM196" i="23"/>
  <c r="AL196" i="23"/>
  <c r="AJ196" i="23"/>
  <c r="AI196" i="23"/>
  <c r="AH196" i="23"/>
  <c r="AG196" i="23"/>
  <c r="AF196" i="23"/>
  <c r="AE196" i="23"/>
  <c r="AD196" i="23"/>
  <c r="AC196" i="23"/>
  <c r="AB196" i="23"/>
  <c r="AA196" i="23"/>
  <c r="AM195" i="23"/>
  <c r="AL195" i="23"/>
  <c r="AJ195" i="23"/>
  <c r="AI195" i="23"/>
  <c r="AH195" i="23"/>
  <c r="AG195" i="23"/>
  <c r="AF195" i="23"/>
  <c r="AE195" i="23"/>
  <c r="AD195" i="23"/>
  <c r="AC195" i="23"/>
  <c r="AB195" i="23"/>
  <c r="AA195" i="23"/>
  <c r="AM194" i="23"/>
  <c r="AL194" i="23"/>
  <c r="AJ194" i="23"/>
  <c r="AI194" i="23"/>
  <c r="AH194" i="23"/>
  <c r="AG194" i="23"/>
  <c r="AF194" i="23"/>
  <c r="AE194" i="23"/>
  <c r="AD194" i="23"/>
  <c r="AC194" i="23"/>
  <c r="AB194" i="23"/>
  <c r="AA194" i="23"/>
  <c r="AM193" i="23"/>
  <c r="AL193" i="23"/>
  <c r="AJ193" i="23"/>
  <c r="AI193" i="23"/>
  <c r="AH193" i="23"/>
  <c r="AG193" i="23"/>
  <c r="AF193" i="23"/>
  <c r="AE193" i="23"/>
  <c r="AD193" i="23"/>
  <c r="AC193" i="23"/>
  <c r="AB193" i="23"/>
  <c r="AA193" i="23"/>
  <c r="AM192" i="23"/>
  <c r="AL192" i="23"/>
  <c r="AJ192" i="23"/>
  <c r="AI192" i="23"/>
  <c r="AH192" i="23"/>
  <c r="AG192" i="23"/>
  <c r="AF192" i="23"/>
  <c r="AE192" i="23"/>
  <c r="AD192" i="23"/>
  <c r="AC192" i="23"/>
  <c r="AB192" i="23"/>
  <c r="AA192" i="23"/>
  <c r="AM191" i="23"/>
  <c r="AL191" i="23"/>
  <c r="AJ191" i="23"/>
  <c r="AI191" i="23"/>
  <c r="AH191" i="23"/>
  <c r="AG191" i="23"/>
  <c r="AF191" i="23"/>
  <c r="AE191" i="23"/>
  <c r="AD191" i="23"/>
  <c r="AC191" i="23"/>
  <c r="AB191" i="23"/>
  <c r="AA191" i="23"/>
  <c r="AM190" i="23"/>
  <c r="AL190" i="23"/>
  <c r="AJ190" i="23"/>
  <c r="AI190" i="23"/>
  <c r="AH190" i="23"/>
  <c r="AG190" i="23"/>
  <c r="AF190" i="23"/>
  <c r="AE190" i="23"/>
  <c r="AD190" i="23"/>
  <c r="AC190" i="23"/>
  <c r="AB190" i="23"/>
  <c r="AA190" i="23"/>
  <c r="AM189" i="23"/>
  <c r="AL189" i="23"/>
  <c r="AJ189" i="23"/>
  <c r="AI189" i="23"/>
  <c r="AH189" i="23"/>
  <c r="AG189" i="23"/>
  <c r="AF189" i="23"/>
  <c r="AE189" i="23"/>
  <c r="AD189" i="23"/>
  <c r="AC189" i="23"/>
  <c r="AB189" i="23"/>
  <c r="AA189" i="23"/>
  <c r="AM188" i="23"/>
  <c r="AL188" i="23"/>
  <c r="AJ188" i="23"/>
  <c r="AI188" i="23"/>
  <c r="AH188" i="23"/>
  <c r="AG188" i="23"/>
  <c r="AF188" i="23"/>
  <c r="AE188" i="23"/>
  <c r="AD188" i="23"/>
  <c r="AC188" i="23"/>
  <c r="AB188" i="23"/>
  <c r="AA188" i="23"/>
  <c r="AM187" i="23"/>
  <c r="AL187" i="23"/>
  <c r="AJ187" i="23"/>
  <c r="AI187" i="23"/>
  <c r="AH187" i="23"/>
  <c r="AG187" i="23"/>
  <c r="AF187" i="23"/>
  <c r="AE187" i="23"/>
  <c r="AD187" i="23"/>
  <c r="AC187" i="23"/>
  <c r="AB187" i="23"/>
  <c r="AA187" i="23"/>
  <c r="AM186" i="23"/>
  <c r="AL186" i="23"/>
  <c r="AJ186" i="23"/>
  <c r="AI186" i="23"/>
  <c r="AH186" i="23"/>
  <c r="AG186" i="23"/>
  <c r="AF186" i="23"/>
  <c r="AE186" i="23"/>
  <c r="AD186" i="23"/>
  <c r="AC186" i="23"/>
  <c r="AB186" i="23"/>
  <c r="AA186" i="23"/>
  <c r="AM185" i="23"/>
  <c r="AL185" i="23"/>
  <c r="AJ185" i="23"/>
  <c r="AI185" i="23"/>
  <c r="AH185" i="23"/>
  <c r="AG185" i="23"/>
  <c r="AF185" i="23"/>
  <c r="AE185" i="23"/>
  <c r="AD185" i="23"/>
  <c r="AC185" i="23"/>
  <c r="AB185" i="23"/>
  <c r="AA185" i="23"/>
  <c r="AM184" i="23"/>
  <c r="AL184" i="23"/>
  <c r="AJ184" i="23"/>
  <c r="AI184" i="23"/>
  <c r="AH184" i="23"/>
  <c r="AG184" i="23"/>
  <c r="AF184" i="23"/>
  <c r="AE184" i="23"/>
  <c r="AD184" i="23"/>
  <c r="AC184" i="23"/>
  <c r="AB184" i="23"/>
  <c r="AA184" i="23"/>
  <c r="AM183" i="23"/>
  <c r="AL183" i="23"/>
  <c r="AJ183" i="23"/>
  <c r="AI183" i="23"/>
  <c r="AH183" i="23"/>
  <c r="AG183" i="23"/>
  <c r="AF183" i="23"/>
  <c r="AE183" i="23"/>
  <c r="AD183" i="23"/>
  <c r="AC183" i="23"/>
  <c r="AB183" i="23"/>
  <c r="AA183" i="23"/>
  <c r="AM182" i="23"/>
  <c r="AL182" i="23"/>
  <c r="AJ182" i="23"/>
  <c r="AI182" i="23"/>
  <c r="AH182" i="23"/>
  <c r="AG182" i="23"/>
  <c r="AF182" i="23"/>
  <c r="AE182" i="23"/>
  <c r="AD182" i="23"/>
  <c r="AC182" i="23"/>
  <c r="AB182" i="23"/>
  <c r="AA182" i="23"/>
  <c r="AM181" i="23"/>
  <c r="AL181" i="23"/>
  <c r="AJ181" i="23"/>
  <c r="AI181" i="23"/>
  <c r="AH181" i="23"/>
  <c r="AG181" i="23"/>
  <c r="AF181" i="23"/>
  <c r="AE181" i="23"/>
  <c r="AD181" i="23"/>
  <c r="AC181" i="23"/>
  <c r="AB181" i="23"/>
  <c r="AA181" i="23"/>
  <c r="AM180" i="23"/>
  <c r="AL180" i="23"/>
  <c r="AJ180" i="23"/>
  <c r="AI180" i="23"/>
  <c r="AH180" i="23"/>
  <c r="AG180" i="23"/>
  <c r="AF180" i="23"/>
  <c r="AE180" i="23"/>
  <c r="AD180" i="23"/>
  <c r="AC180" i="23"/>
  <c r="AB180" i="23"/>
  <c r="AA180" i="23"/>
  <c r="AM179" i="23"/>
  <c r="AL179" i="23"/>
  <c r="AJ179" i="23"/>
  <c r="AI179" i="23"/>
  <c r="AH179" i="23"/>
  <c r="AG179" i="23"/>
  <c r="AF179" i="23"/>
  <c r="AE179" i="23"/>
  <c r="AD179" i="23"/>
  <c r="AC179" i="23"/>
  <c r="AB179" i="23"/>
  <c r="AA179" i="23"/>
  <c r="AM178" i="23"/>
  <c r="AL178" i="23"/>
  <c r="AJ178" i="23"/>
  <c r="AI178" i="23"/>
  <c r="AH178" i="23"/>
  <c r="AG178" i="23"/>
  <c r="AF178" i="23"/>
  <c r="AE178" i="23"/>
  <c r="AD178" i="23"/>
  <c r="AC178" i="23"/>
  <c r="AB178" i="23"/>
  <c r="AA178" i="23"/>
  <c r="AM177" i="23"/>
  <c r="AL177" i="23"/>
  <c r="AJ177" i="23"/>
  <c r="AI177" i="23"/>
  <c r="AH177" i="23"/>
  <c r="AG177" i="23"/>
  <c r="AF177" i="23"/>
  <c r="AE177" i="23"/>
  <c r="AD177" i="23"/>
  <c r="AC177" i="23"/>
  <c r="AB177" i="23"/>
  <c r="AA177" i="23"/>
  <c r="AJ176" i="23"/>
  <c r="AI176" i="23"/>
  <c r="AH176" i="23"/>
  <c r="AG176" i="23"/>
  <c r="AF176" i="23"/>
  <c r="AE176" i="23"/>
  <c r="AD176" i="23"/>
  <c r="AC176" i="23"/>
  <c r="AB176" i="23"/>
  <c r="AA176" i="23"/>
  <c r="AJ175" i="23"/>
  <c r="AI175" i="23"/>
  <c r="AH175" i="23"/>
  <c r="AG175" i="23"/>
  <c r="AF175" i="23"/>
  <c r="AE175" i="23"/>
  <c r="AD175" i="23"/>
  <c r="AC175" i="23"/>
  <c r="AB175" i="23"/>
  <c r="AA175" i="23"/>
  <c r="AJ174" i="23"/>
  <c r="AI174" i="23"/>
  <c r="AH174" i="23"/>
  <c r="AG174" i="23"/>
  <c r="AF174" i="23"/>
  <c r="AE174" i="23"/>
  <c r="AD174" i="23"/>
  <c r="AC174" i="23"/>
  <c r="AB174" i="23"/>
  <c r="AA174" i="23"/>
  <c r="AJ173" i="23"/>
  <c r="AI173" i="23"/>
  <c r="AH173" i="23"/>
  <c r="AG173" i="23"/>
  <c r="AF173" i="23"/>
  <c r="AE173" i="23"/>
  <c r="AD173" i="23"/>
  <c r="AC173" i="23"/>
  <c r="AB173" i="23"/>
  <c r="AA173" i="23"/>
  <c r="AJ172" i="23"/>
  <c r="AI172" i="23"/>
  <c r="AH172" i="23"/>
  <c r="AG172" i="23"/>
  <c r="AF172" i="23"/>
  <c r="AE172" i="23"/>
  <c r="AD172" i="23"/>
  <c r="AC172" i="23"/>
  <c r="AB172" i="23"/>
  <c r="AA172" i="23"/>
  <c r="AJ171" i="23"/>
  <c r="AI171" i="23"/>
  <c r="AH171" i="23"/>
  <c r="AG171" i="23"/>
  <c r="AF171" i="23"/>
  <c r="AE171" i="23"/>
  <c r="AD171" i="23"/>
  <c r="AC171" i="23"/>
  <c r="AB171" i="23"/>
  <c r="AA171" i="23"/>
  <c r="AJ170" i="23"/>
  <c r="AI170" i="23"/>
  <c r="AH170" i="23"/>
  <c r="AG170" i="23"/>
  <c r="AF170" i="23"/>
  <c r="AE170" i="23"/>
  <c r="AD170" i="23"/>
  <c r="AC170" i="23"/>
  <c r="AB170" i="23"/>
  <c r="AA170" i="23"/>
  <c r="AJ169" i="23"/>
  <c r="AI169" i="23"/>
  <c r="AH169" i="23"/>
  <c r="AG169" i="23"/>
  <c r="AF169" i="23"/>
  <c r="AE169" i="23"/>
  <c r="AD169" i="23"/>
  <c r="AC169" i="23"/>
  <c r="AB169" i="23"/>
  <c r="AA169" i="23"/>
  <c r="AJ168" i="23"/>
  <c r="AI168" i="23"/>
  <c r="AH168" i="23"/>
  <c r="AG168" i="23"/>
  <c r="AF168" i="23"/>
  <c r="AE168" i="23"/>
  <c r="AD168" i="23"/>
  <c r="AC168" i="23"/>
  <c r="AB168" i="23"/>
  <c r="AA168" i="23"/>
  <c r="AM167" i="23"/>
  <c r="AL167" i="23"/>
  <c r="AJ167" i="23"/>
  <c r="AI167" i="23"/>
  <c r="AH167" i="23"/>
  <c r="AG167" i="23"/>
  <c r="AF167" i="23"/>
  <c r="AE167" i="23"/>
  <c r="AD167" i="23"/>
  <c r="AC167" i="23"/>
  <c r="AB167" i="23"/>
  <c r="AA167" i="23"/>
  <c r="AA166" i="23"/>
  <c r="AB166" i="23" s="1"/>
  <c r="AC166" i="23" s="1"/>
  <c r="AD166" i="23" s="1"/>
  <c r="AE166" i="23" s="1"/>
  <c r="AF166" i="23" s="1"/>
  <c r="AG166" i="23" s="1"/>
  <c r="AH166" i="23" s="1"/>
  <c r="AI166" i="23" s="1"/>
  <c r="AJ166" i="23" s="1"/>
  <c r="AK166" i="23" s="1"/>
  <c r="AM213" i="26"/>
  <c r="AL213" i="26"/>
  <c r="AJ213" i="26"/>
  <c r="AI213" i="26"/>
  <c r="AH213" i="26"/>
  <c r="AG213" i="26"/>
  <c r="AF213" i="26"/>
  <c r="AE213" i="26"/>
  <c r="AD213" i="26"/>
  <c r="AC213" i="26"/>
  <c r="AB213" i="26"/>
  <c r="AA213" i="26"/>
  <c r="AM212" i="26"/>
  <c r="AL212" i="26"/>
  <c r="AJ212" i="26"/>
  <c r="AI212" i="26"/>
  <c r="AH212" i="26"/>
  <c r="AG212" i="26"/>
  <c r="AF212" i="26"/>
  <c r="AE212" i="26"/>
  <c r="AD212" i="26"/>
  <c r="AC212" i="26"/>
  <c r="AB212" i="26"/>
  <c r="AA212" i="26"/>
  <c r="AM211" i="26"/>
  <c r="AL211" i="26"/>
  <c r="AJ211" i="26"/>
  <c r="AI211" i="26"/>
  <c r="AH211" i="26"/>
  <c r="AG211" i="26"/>
  <c r="AF211" i="26"/>
  <c r="AE211" i="26"/>
  <c r="AD211" i="26"/>
  <c r="AC211" i="26"/>
  <c r="AB211" i="26"/>
  <c r="AA211" i="26"/>
  <c r="AM210" i="26"/>
  <c r="AL210" i="26"/>
  <c r="AJ210" i="26"/>
  <c r="AI210" i="26"/>
  <c r="AH210" i="26"/>
  <c r="AG210" i="26"/>
  <c r="AF210" i="26"/>
  <c r="AE210" i="26"/>
  <c r="AD210" i="26"/>
  <c r="AC210" i="26"/>
  <c r="AB210" i="26"/>
  <c r="AA210" i="26"/>
  <c r="AM209" i="26"/>
  <c r="AL209" i="26"/>
  <c r="AJ209" i="26"/>
  <c r="AI209" i="26"/>
  <c r="AH209" i="26"/>
  <c r="AG209" i="26"/>
  <c r="AF209" i="26"/>
  <c r="AE209" i="26"/>
  <c r="AD209" i="26"/>
  <c r="AC209" i="26"/>
  <c r="AB209" i="26"/>
  <c r="AA209" i="26"/>
  <c r="AM208" i="26"/>
  <c r="AL208" i="26"/>
  <c r="AJ208" i="26"/>
  <c r="AI208" i="26"/>
  <c r="AH208" i="26"/>
  <c r="AG208" i="26"/>
  <c r="AF208" i="26"/>
  <c r="AE208" i="26"/>
  <c r="AD208" i="26"/>
  <c r="AC208" i="26"/>
  <c r="AB208" i="26"/>
  <c r="AA208" i="26"/>
  <c r="AM207" i="26"/>
  <c r="AL207" i="26"/>
  <c r="AJ207" i="26"/>
  <c r="AI207" i="26"/>
  <c r="AH207" i="26"/>
  <c r="AG207" i="26"/>
  <c r="AF207" i="26"/>
  <c r="AE207" i="26"/>
  <c r="AD207" i="26"/>
  <c r="AC207" i="26"/>
  <c r="AB207" i="26"/>
  <c r="AA207" i="26"/>
  <c r="AM206" i="26"/>
  <c r="AL206" i="26"/>
  <c r="AJ206" i="26"/>
  <c r="AI206" i="26"/>
  <c r="AH206" i="26"/>
  <c r="AG206" i="26"/>
  <c r="AF206" i="26"/>
  <c r="AE206" i="26"/>
  <c r="AD206" i="26"/>
  <c r="AC206" i="26"/>
  <c r="AB206" i="26"/>
  <c r="AA206" i="26"/>
  <c r="AM205" i="26"/>
  <c r="AL205" i="26"/>
  <c r="AJ205" i="26"/>
  <c r="AI205" i="26"/>
  <c r="AH205" i="26"/>
  <c r="AG205" i="26"/>
  <c r="AF205" i="26"/>
  <c r="AE205" i="26"/>
  <c r="AD205" i="26"/>
  <c r="AC205" i="26"/>
  <c r="AB205" i="26"/>
  <c r="AA205" i="26"/>
  <c r="AM204" i="26"/>
  <c r="AL204" i="26"/>
  <c r="AJ204" i="26"/>
  <c r="AI204" i="26"/>
  <c r="AH204" i="26"/>
  <c r="AG204" i="26"/>
  <c r="AF204" i="26"/>
  <c r="AE204" i="26"/>
  <c r="AD204" i="26"/>
  <c r="AC204" i="26"/>
  <c r="AB204" i="26"/>
  <c r="AA204" i="26"/>
  <c r="AM203" i="26"/>
  <c r="AL203" i="26"/>
  <c r="AJ203" i="26"/>
  <c r="AI203" i="26"/>
  <c r="AH203" i="26"/>
  <c r="AG203" i="26"/>
  <c r="AF203" i="26"/>
  <c r="AE203" i="26"/>
  <c r="AD203" i="26"/>
  <c r="AC203" i="26"/>
  <c r="AB203" i="26"/>
  <c r="AA203" i="26"/>
  <c r="AM202" i="26"/>
  <c r="AL202" i="26"/>
  <c r="AJ202" i="26"/>
  <c r="AI202" i="26"/>
  <c r="AH202" i="26"/>
  <c r="AG202" i="26"/>
  <c r="AF202" i="26"/>
  <c r="AE202" i="26"/>
  <c r="AD202" i="26"/>
  <c r="AC202" i="26"/>
  <c r="AB202" i="26"/>
  <c r="AA202" i="26"/>
  <c r="AM201" i="26"/>
  <c r="AL201" i="26"/>
  <c r="AJ201" i="26"/>
  <c r="AI201" i="26"/>
  <c r="AH201" i="26"/>
  <c r="AG201" i="26"/>
  <c r="AF201" i="26"/>
  <c r="AE201" i="26"/>
  <c r="AD201" i="26"/>
  <c r="AC201" i="26"/>
  <c r="AB201" i="26"/>
  <c r="AA201" i="26"/>
  <c r="AM200" i="26"/>
  <c r="AL200" i="26"/>
  <c r="AJ200" i="26"/>
  <c r="AI200" i="26"/>
  <c r="AH200" i="26"/>
  <c r="AG200" i="26"/>
  <c r="AF200" i="26"/>
  <c r="AE200" i="26"/>
  <c r="AD200" i="26"/>
  <c r="AC200" i="26"/>
  <c r="AB200" i="26"/>
  <c r="AA200" i="26"/>
  <c r="AM199" i="26"/>
  <c r="AL199" i="26"/>
  <c r="AJ199" i="26"/>
  <c r="AI199" i="26"/>
  <c r="AH199" i="26"/>
  <c r="AG199" i="26"/>
  <c r="AF199" i="26"/>
  <c r="AE199" i="26"/>
  <c r="AD199" i="26"/>
  <c r="AC199" i="26"/>
  <c r="AB199" i="26"/>
  <c r="AA199" i="26"/>
  <c r="AM198" i="26"/>
  <c r="AL198" i="26"/>
  <c r="AJ198" i="26"/>
  <c r="AI198" i="26"/>
  <c r="AH198" i="26"/>
  <c r="AG198" i="26"/>
  <c r="AF198" i="26"/>
  <c r="AE198" i="26"/>
  <c r="AD198" i="26"/>
  <c r="AC198" i="26"/>
  <c r="AB198" i="26"/>
  <c r="AA198" i="26"/>
  <c r="AM197" i="26"/>
  <c r="AL197" i="26"/>
  <c r="AJ197" i="26"/>
  <c r="AI197" i="26"/>
  <c r="AH197" i="26"/>
  <c r="AG197" i="26"/>
  <c r="AF197" i="26"/>
  <c r="AE197" i="26"/>
  <c r="AD197" i="26"/>
  <c r="AC197" i="26"/>
  <c r="AB197" i="26"/>
  <c r="AA197" i="26"/>
  <c r="AM196" i="26"/>
  <c r="AL196" i="26"/>
  <c r="AJ196" i="26"/>
  <c r="AI196" i="26"/>
  <c r="AH196" i="26"/>
  <c r="AG196" i="26"/>
  <c r="AF196" i="26"/>
  <c r="AE196" i="26"/>
  <c r="AD196" i="26"/>
  <c r="AC196" i="26"/>
  <c r="AB196" i="26"/>
  <c r="AA196" i="26"/>
  <c r="AM195" i="26"/>
  <c r="AL195" i="26"/>
  <c r="AJ195" i="26"/>
  <c r="AI195" i="26"/>
  <c r="AH195" i="26"/>
  <c r="AG195" i="26"/>
  <c r="AF195" i="26"/>
  <c r="AE195" i="26"/>
  <c r="AD195" i="26"/>
  <c r="AC195" i="26"/>
  <c r="AB195" i="26"/>
  <c r="AA195" i="26"/>
  <c r="AM194" i="26"/>
  <c r="AL194" i="26"/>
  <c r="AJ194" i="26"/>
  <c r="AI194" i="26"/>
  <c r="AH194" i="26"/>
  <c r="AG194" i="26"/>
  <c r="AF194" i="26"/>
  <c r="AE194" i="26"/>
  <c r="AD194" i="26"/>
  <c r="AC194" i="26"/>
  <c r="AB194" i="26"/>
  <c r="AA194" i="26"/>
  <c r="AM193" i="26"/>
  <c r="AL193" i="26"/>
  <c r="AJ193" i="26"/>
  <c r="AI193" i="26"/>
  <c r="AH193" i="26"/>
  <c r="AG193" i="26"/>
  <c r="AF193" i="26"/>
  <c r="AE193" i="26"/>
  <c r="AD193" i="26"/>
  <c r="AC193" i="26"/>
  <c r="AB193" i="26"/>
  <c r="AA193" i="26"/>
  <c r="AM192" i="26"/>
  <c r="AL192" i="26"/>
  <c r="AJ192" i="26"/>
  <c r="AI192" i="26"/>
  <c r="AH192" i="26"/>
  <c r="AG192" i="26"/>
  <c r="AF192" i="26"/>
  <c r="AE192" i="26"/>
  <c r="AD192" i="26"/>
  <c r="AC192" i="26"/>
  <c r="AB192" i="26"/>
  <c r="AA192" i="26"/>
  <c r="AM191" i="26"/>
  <c r="AL191" i="26"/>
  <c r="AJ191" i="26"/>
  <c r="AI191" i="26"/>
  <c r="AH191" i="26"/>
  <c r="AG191" i="26"/>
  <c r="AF191" i="26"/>
  <c r="AE191" i="26"/>
  <c r="AD191" i="26"/>
  <c r="AC191" i="26"/>
  <c r="AB191" i="26"/>
  <c r="AA191" i="26"/>
  <c r="AM190" i="26"/>
  <c r="AL190" i="26"/>
  <c r="AJ190" i="26"/>
  <c r="AI190" i="26"/>
  <c r="AH190" i="26"/>
  <c r="AG190" i="26"/>
  <c r="AF190" i="26"/>
  <c r="AE190" i="26"/>
  <c r="AD190" i="26"/>
  <c r="AC190" i="26"/>
  <c r="AB190" i="26"/>
  <c r="AA190" i="26"/>
  <c r="AM189" i="26"/>
  <c r="AL189" i="26"/>
  <c r="AJ189" i="26"/>
  <c r="AI189" i="26"/>
  <c r="AH189" i="26"/>
  <c r="AG189" i="26"/>
  <c r="AF189" i="26"/>
  <c r="AE189" i="26"/>
  <c r="AD189" i="26"/>
  <c r="AC189" i="26"/>
  <c r="AB189" i="26"/>
  <c r="AA189" i="26"/>
  <c r="AM188" i="26"/>
  <c r="AL188" i="26"/>
  <c r="AJ188" i="26"/>
  <c r="AI188" i="26"/>
  <c r="AH188" i="26"/>
  <c r="AG188" i="26"/>
  <c r="AF188" i="26"/>
  <c r="AE188" i="26"/>
  <c r="AD188" i="26"/>
  <c r="AC188" i="26"/>
  <c r="AB188" i="26"/>
  <c r="AA188" i="26"/>
  <c r="AM187" i="26"/>
  <c r="AL187" i="26"/>
  <c r="AJ187" i="26"/>
  <c r="AI187" i="26"/>
  <c r="AH187" i="26"/>
  <c r="AG187" i="26"/>
  <c r="AF187" i="26"/>
  <c r="AE187" i="26"/>
  <c r="AD187" i="26"/>
  <c r="AC187" i="26"/>
  <c r="AB187" i="26"/>
  <c r="AA187" i="26"/>
  <c r="AM186" i="26"/>
  <c r="AL186" i="26"/>
  <c r="AJ186" i="26"/>
  <c r="AI186" i="26"/>
  <c r="AH186" i="26"/>
  <c r="AG186" i="26"/>
  <c r="AF186" i="26"/>
  <c r="AE186" i="26"/>
  <c r="AD186" i="26"/>
  <c r="AC186" i="26"/>
  <c r="AB186" i="26"/>
  <c r="AA186" i="26"/>
  <c r="AM185" i="26"/>
  <c r="AL185" i="26"/>
  <c r="AJ185" i="26"/>
  <c r="AI185" i="26"/>
  <c r="AH185" i="26"/>
  <c r="AG185" i="26"/>
  <c r="AF185" i="26"/>
  <c r="AE185" i="26"/>
  <c r="AD185" i="26"/>
  <c r="AC185" i="26"/>
  <c r="AB185" i="26"/>
  <c r="AA185" i="26"/>
  <c r="AM184" i="26"/>
  <c r="AL184" i="26"/>
  <c r="AJ184" i="26"/>
  <c r="AI184" i="26"/>
  <c r="AH184" i="26"/>
  <c r="AG184" i="26"/>
  <c r="AF184" i="26"/>
  <c r="AE184" i="26"/>
  <c r="AD184" i="26"/>
  <c r="AC184" i="26"/>
  <c r="AB184" i="26"/>
  <c r="AA184" i="26"/>
  <c r="AM183" i="26"/>
  <c r="AL183" i="26"/>
  <c r="AJ183" i="26"/>
  <c r="AI183" i="26"/>
  <c r="AH183" i="26"/>
  <c r="AG183" i="26"/>
  <c r="AF183" i="26"/>
  <c r="AE183" i="26"/>
  <c r="AD183" i="26"/>
  <c r="AC183" i="26"/>
  <c r="AB183" i="26"/>
  <c r="AA183" i="26"/>
  <c r="AM182" i="26"/>
  <c r="AL182" i="26"/>
  <c r="AJ182" i="26"/>
  <c r="AI182" i="26"/>
  <c r="AH182" i="26"/>
  <c r="AG182" i="26"/>
  <c r="AF182" i="26"/>
  <c r="AE182" i="26"/>
  <c r="AD182" i="26"/>
  <c r="AC182" i="26"/>
  <c r="AB182" i="26"/>
  <c r="AA182" i="26"/>
  <c r="AM181" i="26"/>
  <c r="AL181" i="26"/>
  <c r="AJ181" i="26"/>
  <c r="AI181" i="26"/>
  <c r="AH181" i="26"/>
  <c r="AG181" i="26"/>
  <c r="AF181" i="26"/>
  <c r="AE181" i="26"/>
  <c r="AD181" i="26"/>
  <c r="AC181" i="26"/>
  <c r="AB181" i="26"/>
  <c r="AA181" i="26"/>
  <c r="AM180" i="26"/>
  <c r="AL180" i="26"/>
  <c r="AJ180" i="26"/>
  <c r="AI180" i="26"/>
  <c r="AH180" i="26"/>
  <c r="AG180" i="26"/>
  <c r="AF180" i="26"/>
  <c r="AE180" i="26"/>
  <c r="AD180" i="26"/>
  <c r="AC180" i="26"/>
  <c r="AB180" i="26"/>
  <c r="AA180" i="26"/>
  <c r="AM179" i="26"/>
  <c r="AL179" i="26"/>
  <c r="AJ179" i="26"/>
  <c r="AI179" i="26"/>
  <c r="AH179" i="26"/>
  <c r="AG179" i="26"/>
  <c r="AF179" i="26"/>
  <c r="AE179" i="26"/>
  <c r="AD179" i="26"/>
  <c r="AC179" i="26"/>
  <c r="AB179" i="26"/>
  <c r="AA179" i="26"/>
  <c r="AM178" i="26"/>
  <c r="AL178" i="26"/>
  <c r="AJ178" i="26"/>
  <c r="AI178" i="26"/>
  <c r="AH178" i="26"/>
  <c r="AG178" i="26"/>
  <c r="AF178" i="26"/>
  <c r="AE178" i="26"/>
  <c r="AD178" i="26"/>
  <c r="AC178" i="26"/>
  <c r="AB178" i="26"/>
  <c r="AA178" i="26"/>
  <c r="AM177" i="26"/>
  <c r="AL177" i="26"/>
  <c r="AJ177" i="26"/>
  <c r="AI177" i="26"/>
  <c r="AH177" i="26"/>
  <c r="AG177" i="26"/>
  <c r="AF177" i="26"/>
  <c r="AE177" i="26"/>
  <c r="AD177" i="26"/>
  <c r="AC177" i="26"/>
  <c r="AB177" i="26"/>
  <c r="AA177" i="26"/>
  <c r="AJ176" i="26"/>
  <c r="AI176" i="26"/>
  <c r="AH176" i="26"/>
  <c r="AG176" i="26"/>
  <c r="AF176" i="26"/>
  <c r="AE176" i="26"/>
  <c r="AD176" i="26"/>
  <c r="AC176" i="26"/>
  <c r="AB176" i="26"/>
  <c r="AA176" i="26"/>
  <c r="AJ175" i="26"/>
  <c r="AI175" i="26"/>
  <c r="AH175" i="26"/>
  <c r="AG175" i="26"/>
  <c r="AF175" i="26"/>
  <c r="AE175" i="26"/>
  <c r="AD175" i="26"/>
  <c r="AC175" i="26"/>
  <c r="AB175" i="26"/>
  <c r="AA175" i="26"/>
  <c r="AJ174" i="26"/>
  <c r="AI174" i="26"/>
  <c r="AH174" i="26"/>
  <c r="AG174" i="26"/>
  <c r="AF174" i="26"/>
  <c r="AE174" i="26"/>
  <c r="AD174" i="26"/>
  <c r="AC174" i="26"/>
  <c r="AB174" i="26"/>
  <c r="AA174" i="26"/>
  <c r="AJ173" i="26"/>
  <c r="AI173" i="26"/>
  <c r="AH173" i="26"/>
  <c r="AG173" i="26"/>
  <c r="AF173" i="26"/>
  <c r="AE173" i="26"/>
  <c r="AD173" i="26"/>
  <c r="AC173" i="26"/>
  <c r="AB173" i="26"/>
  <c r="AA173" i="26"/>
  <c r="AJ172" i="26"/>
  <c r="AI172" i="26"/>
  <c r="AH172" i="26"/>
  <c r="AG172" i="26"/>
  <c r="AF172" i="26"/>
  <c r="AE172" i="26"/>
  <c r="AD172" i="26"/>
  <c r="AC172" i="26"/>
  <c r="AB172" i="26"/>
  <c r="AA172" i="26"/>
  <c r="AJ171" i="26"/>
  <c r="AI171" i="26"/>
  <c r="AH171" i="26"/>
  <c r="AG171" i="26"/>
  <c r="AF171" i="26"/>
  <c r="AE171" i="26"/>
  <c r="AD171" i="26"/>
  <c r="AC171" i="26"/>
  <c r="AB171" i="26"/>
  <c r="AA171" i="26"/>
  <c r="AJ170" i="26"/>
  <c r="AI170" i="26"/>
  <c r="AH170" i="26"/>
  <c r="AG170" i="26"/>
  <c r="AF170" i="26"/>
  <c r="AE170" i="26"/>
  <c r="AD170" i="26"/>
  <c r="AC170" i="26"/>
  <c r="AB170" i="26"/>
  <c r="AA170" i="26"/>
  <c r="AJ169" i="26"/>
  <c r="AI169" i="26"/>
  <c r="AH169" i="26"/>
  <c r="AG169" i="26"/>
  <c r="AF169" i="26"/>
  <c r="AE169" i="26"/>
  <c r="AD169" i="26"/>
  <c r="AC169" i="26"/>
  <c r="AB169" i="26"/>
  <c r="AA169" i="26"/>
  <c r="AJ168" i="26"/>
  <c r="AI168" i="26"/>
  <c r="AH168" i="26"/>
  <c r="AG168" i="26"/>
  <c r="AF168" i="26"/>
  <c r="AE168" i="26"/>
  <c r="AD168" i="26"/>
  <c r="AC168" i="26"/>
  <c r="AB168" i="26"/>
  <c r="AA168" i="26"/>
  <c r="AM167" i="26"/>
  <c r="AL167" i="26"/>
  <c r="AJ167" i="26"/>
  <c r="AI167" i="26"/>
  <c r="AH167" i="26"/>
  <c r="AG167" i="26"/>
  <c r="AF167" i="26"/>
  <c r="AE167" i="26"/>
  <c r="AD167" i="26"/>
  <c r="AC167" i="26"/>
  <c r="AB167" i="26"/>
  <c r="AA167" i="26"/>
  <c r="AA166" i="26"/>
  <c r="AB166" i="26" s="1"/>
  <c r="AC166" i="26" s="1"/>
  <c r="AD166" i="26" s="1"/>
  <c r="AE166" i="26" s="1"/>
  <c r="AF166" i="26" s="1"/>
  <c r="AG166" i="26" s="1"/>
  <c r="AH166" i="26" s="1"/>
  <c r="AI166" i="26" s="1"/>
  <c r="AJ166" i="26" s="1"/>
  <c r="AK166" i="26" s="1"/>
  <c r="AM213" i="41"/>
  <c r="AL213" i="41"/>
  <c r="AJ213" i="41"/>
  <c r="AI213" i="41"/>
  <c r="AH213" i="41"/>
  <c r="AG213" i="41"/>
  <c r="AF213" i="41"/>
  <c r="AE213" i="41"/>
  <c r="AD213" i="41"/>
  <c r="AC213" i="41"/>
  <c r="AB213" i="41"/>
  <c r="AA213" i="41"/>
  <c r="AM212" i="41"/>
  <c r="AL212" i="41"/>
  <c r="AJ212" i="41"/>
  <c r="AI212" i="41"/>
  <c r="AH212" i="41"/>
  <c r="AG212" i="41"/>
  <c r="AF212" i="41"/>
  <c r="AE212" i="41"/>
  <c r="AD212" i="41"/>
  <c r="AC212" i="41"/>
  <c r="AB212" i="41"/>
  <c r="AA212" i="41"/>
  <c r="AM211" i="41"/>
  <c r="AL211" i="41"/>
  <c r="AJ211" i="41"/>
  <c r="AI211" i="41"/>
  <c r="AH211" i="41"/>
  <c r="AG211" i="41"/>
  <c r="AF211" i="41"/>
  <c r="AE211" i="41"/>
  <c r="AD211" i="41"/>
  <c r="AC211" i="41"/>
  <c r="AB211" i="41"/>
  <c r="AA211" i="41"/>
  <c r="AM210" i="41"/>
  <c r="AL210" i="41"/>
  <c r="AJ210" i="41"/>
  <c r="AI210" i="41"/>
  <c r="AH210" i="41"/>
  <c r="AG210" i="41"/>
  <c r="AF210" i="41"/>
  <c r="AE210" i="41"/>
  <c r="AD210" i="41"/>
  <c r="AC210" i="41"/>
  <c r="AB210" i="41"/>
  <c r="AA210" i="41"/>
  <c r="AM209" i="41"/>
  <c r="AL209" i="41"/>
  <c r="AJ209" i="41"/>
  <c r="AI209" i="41"/>
  <c r="AH209" i="41"/>
  <c r="AG209" i="41"/>
  <c r="AF209" i="41"/>
  <c r="AE209" i="41"/>
  <c r="AD209" i="41"/>
  <c r="AC209" i="41"/>
  <c r="AB209" i="41"/>
  <c r="AA209" i="41"/>
  <c r="AM208" i="41"/>
  <c r="AL208" i="41"/>
  <c r="AJ208" i="41"/>
  <c r="AI208" i="41"/>
  <c r="AH208" i="41"/>
  <c r="AG208" i="41"/>
  <c r="AF208" i="41"/>
  <c r="AE208" i="41"/>
  <c r="AD208" i="41"/>
  <c r="AC208" i="41"/>
  <c r="AB208" i="41"/>
  <c r="AA208" i="41"/>
  <c r="AM207" i="41"/>
  <c r="AL207" i="41"/>
  <c r="AJ207" i="41"/>
  <c r="AI207" i="41"/>
  <c r="AH207" i="41"/>
  <c r="AG207" i="41"/>
  <c r="AF207" i="41"/>
  <c r="AE207" i="41"/>
  <c r="AD207" i="41"/>
  <c r="AC207" i="41"/>
  <c r="AB207" i="41"/>
  <c r="AA207" i="41"/>
  <c r="AM206" i="41"/>
  <c r="AL206" i="41"/>
  <c r="AJ206" i="41"/>
  <c r="AI206" i="41"/>
  <c r="AH206" i="41"/>
  <c r="AG206" i="41"/>
  <c r="AF206" i="41"/>
  <c r="AE206" i="41"/>
  <c r="AD206" i="41"/>
  <c r="AC206" i="41"/>
  <c r="AB206" i="41"/>
  <c r="AA206" i="41"/>
  <c r="AM205" i="41"/>
  <c r="AL205" i="41"/>
  <c r="AJ205" i="41"/>
  <c r="AI205" i="41"/>
  <c r="AH205" i="41"/>
  <c r="AG205" i="41"/>
  <c r="AF205" i="41"/>
  <c r="AE205" i="41"/>
  <c r="AD205" i="41"/>
  <c r="AC205" i="41"/>
  <c r="AB205" i="41"/>
  <c r="AA205" i="41"/>
  <c r="AM204" i="41"/>
  <c r="AL204" i="41"/>
  <c r="AJ204" i="41"/>
  <c r="AI204" i="41"/>
  <c r="AH204" i="41"/>
  <c r="AG204" i="41"/>
  <c r="AF204" i="41"/>
  <c r="AE204" i="41"/>
  <c r="AD204" i="41"/>
  <c r="AC204" i="41"/>
  <c r="AB204" i="41"/>
  <c r="AA204" i="41"/>
  <c r="AM203" i="41"/>
  <c r="AL203" i="41"/>
  <c r="AJ203" i="41"/>
  <c r="AI203" i="41"/>
  <c r="AH203" i="41"/>
  <c r="AG203" i="41"/>
  <c r="AF203" i="41"/>
  <c r="AE203" i="41"/>
  <c r="AD203" i="41"/>
  <c r="AC203" i="41"/>
  <c r="AB203" i="41"/>
  <c r="AA203" i="41"/>
  <c r="AM202" i="41"/>
  <c r="AL202" i="41"/>
  <c r="AJ202" i="41"/>
  <c r="AI202" i="41"/>
  <c r="AH202" i="41"/>
  <c r="AG202" i="41"/>
  <c r="AF202" i="41"/>
  <c r="AE202" i="41"/>
  <c r="AD202" i="41"/>
  <c r="AC202" i="41"/>
  <c r="AB202" i="41"/>
  <c r="AA202" i="41"/>
  <c r="AM201" i="41"/>
  <c r="AL201" i="41"/>
  <c r="AJ201" i="41"/>
  <c r="AI201" i="41"/>
  <c r="AH201" i="41"/>
  <c r="AG201" i="41"/>
  <c r="AF201" i="41"/>
  <c r="AE201" i="41"/>
  <c r="AD201" i="41"/>
  <c r="AC201" i="41"/>
  <c r="AB201" i="41"/>
  <c r="AA201" i="41"/>
  <c r="AM200" i="41"/>
  <c r="AL200" i="41"/>
  <c r="AJ200" i="41"/>
  <c r="AI200" i="41"/>
  <c r="AH200" i="41"/>
  <c r="AG200" i="41"/>
  <c r="AF200" i="41"/>
  <c r="AE200" i="41"/>
  <c r="AD200" i="41"/>
  <c r="AC200" i="41"/>
  <c r="AB200" i="41"/>
  <c r="AA200" i="41"/>
  <c r="AM199" i="41"/>
  <c r="AL199" i="41"/>
  <c r="AJ199" i="41"/>
  <c r="AI199" i="41"/>
  <c r="AH199" i="41"/>
  <c r="AG199" i="41"/>
  <c r="AF199" i="41"/>
  <c r="AE199" i="41"/>
  <c r="AD199" i="41"/>
  <c r="AC199" i="41"/>
  <c r="AB199" i="41"/>
  <c r="AA199" i="41"/>
  <c r="AM198" i="41"/>
  <c r="AL198" i="41"/>
  <c r="AJ198" i="41"/>
  <c r="AI198" i="41"/>
  <c r="AH198" i="41"/>
  <c r="AG198" i="41"/>
  <c r="AF198" i="41"/>
  <c r="AE198" i="41"/>
  <c r="AD198" i="41"/>
  <c r="AC198" i="41"/>
  <c r="AB198" i="41"/>
  <c r="AA198" i="41"/>
  <c r="AM197" i="41"/>
  <c r="AL197" i="41"/>
  <c r="AJ197" i="41"/>
  <c r="AI197" i="41"/>
  <c r="AH197" i="41"/>
  <c r="AG197" i="41"/>
  <c r="AF197" i="41"/>
  <c r="AE197" i="41"/>
  <c r="AD197" i="41"/>
  <c r="AC197" i="41"/>
  <c r="AB197" i="41"/>
  <c r="AA197" i="41"/>
  <c r="AM196" i="41"/>
  <c r="AL196" i="41"/>
  <c r="AJ196" i="41"/>
  <c r="AI196" i="41"/>
  <c r="AH196" i="41"/>
  <c r="AG196" i="41"/>
  <c r="AF196" i="41"/>
  <c r="AE196" i="41"/>
  <c r="AD196" i="41"/>
  <c r="AC196" i="41"/>
  <c r="AB196" i="41"/>
  <c r="AA196" i="41"/>
  <c r="AM195" i="41"/>
  <c r="AL195" i="41"/>
  <c r="AJ195" i="41"/>
  <c r="AI195" i="41"/>
  <c r="AH195" i="41"/>
  <c r="AG195" i="41"/>
  <c r="AF195" i="41"/>
  <c r="AE195" i="41"/>
  <c r="AD195" i="41"/>
  <c r="AC195" i="41"/>
  <c r="AB195" i="41"/>
  <c r="AA195" i="41"/>
  <c r="AM194" i="41"/>
  <c r="AL194" i="41"/>
  <c r="AJ194" i="41"/>
  <c r="AI194" i="41"/>
  <c r="AH194" i="41"/>
  <c r="AG194" i="41"/>
  <c r="AF194" i="41"/>
  <c r="AE194" i="41"/>
  <c r="AD194" i="41"/>
  <c r="AC194" i="41"/>
  <c r="AB194" i="41"/>
  <c r="AA194" i="41"/>
  <c r="AM193" i="41"/>
  <c r="AL193" i="41"/>
  <c r="AJ193" i="41"/>
  <c r="AI193" i="41"/>
  <c r="AH193" i="41"/>
  <c r="AG193" i="41"/>
  <c r="AF193" i="41"/>
  <c r="AE193" i="41"/>
  <c r="AD193" i="41"/>
  <c r="AC193" i="41"/>
  <c r="AB193" i="41"/>
  <c r="AA193" i="41"/>
  <c r="AM192" i="41"/>
  <c r="AL192" i="41"/>
  <c r="AJ192" i="41"/>
  <c r="AI192" i="41"/>
  <c r="AH192" i="41"/>
  <c r="AG192" i="41"/>
  <c r="AF192" i="41"/>
  <c r="AE192" i="41"/>
  <c r="AD192" i="41"/>
  <c r="AC192" i="41"/>
  <c r="AB192" i="41"/>
  <c r="AA192" i="41"/>
  <c r="AM191" i="41"/>
  <c r="AL191" i="41"/>
  <c r="AJ191" i="41"/>
  <c r="AI191" i="41"/>
  <c r="AH191" i="41"/>
  <c r="AG191" i="41"/>
  <c r="AF191" i="41"/>
  <c r="AE191" i="41"/>
  <c r="AD191" i="41"/>
  <c r="AC191" i="41"/>
  <c r="AB191" i="41"/>
  <c r="AA191" i="41"/>
  <c r="AM190" i="41"/>
  <c r="AL190" i="41"/>
  <c r="AJ190" i="41"/>
  <c r="AI190" i="41"/>
  <c r="AH190" i="41"/>
  <c r="AG190" i="41"/>
  <c r="AF190" i="41"/>
  <c r="AE190" i="41"/>
  <c r="AD190" i="41"/>
  <c r="AC190" i="41"/>
  <c r="AB190" i="41"/>
  <c r="AA190" i="41"/>
  <c r="AM189" i="41"/>
  <c r="AL189" i="41"/>
  <c r="AJ189" i="41"/>
  <c r="AI189" i="41"/>
  <c r="AH189" i="41"/>
  <c r="AG189" i="41"/>
  <c r="AF189" i="41"/>
  <c r="AE189" i="41"/>
  <c r="AD189" i="41"/>
  <c r="AC189" i="41"/>
  <c r="AB189" i="41"/>
  <c r="AA189" i="41"/>
  <c r="AM188" i="41"/>
  <c r="AL188" i="41"/>
  <c r="AJ188" i="41"/>
  <c r="AI188" i="41"/>
  <c r="AH188" i="41"/>
  <c r="AG188" i="41"/>
  <c r="AF188" i="41"/>
  <c r="AE188" i="41"/>
  <c r="AD188" i="41"/>
  <c r="AC188" i="41"/>
  <c r="AB188" i="41"/>
  <c r="AA188" i="41"/>
  <c r="AM187" i="41"/>
  <c r="AL187" i="41"/>
  <c r="AJ187" i="41"/>
  <c r="AI187" i="41"/>
  <c r="AH187" i="41"/>
  <c r="AG187" i="41"/>
  <c r="AF187" i="41"/>
  <c r="AE187" i="41"/>
  <c r="AD187" i="41"/>
  <c r="AC187" i="41"/>
  <c r="AB187" i="41"/>
  <c r="AA187" i="41"/>
  <c r="AM186" i="41"/>
  <c r="AL186" i="41"/>
  <c r="AJ186" i="41"/>
  <c r="AI186" i="41"/>
  <c r="AH186" i="41"/>
  <c r="AG186" i="41"/>
  <c r="AF186" i="41"/>
  <c r="AE186" i="41"/>
  <c r="AD186" i="41"/>
  <c r="AC186" i="41"/>
  <c r="AB186" i="41"/>
  <c r="AA186" i="41"/>
  <c r="AM185" i="41"/>
  <c r="AL185" i="41"/>
  <c r="AJ185" i="41"/>
  <c r="AI185" i="41"/>
  <c r="AH185" i="41"/>
  <c r="AG185" i="41"/>
  <c r="AF185" i="41"/>
  <c r="AE185" i="41"/>
  <c r="AD185" i="41"/>
  <c r="AC185" i="41"/>
  <c r="AB185" i="41"/>
  <c r="AA185" i="41"/>
  <c r="AM184" i="41"/>
  <c r="AL184" i="41"/>
  <c r="AJ184" i="41"/>
  <c r="AI184" i="41"/>
  <c r="AH184" i="41"/>
  <c r="AG184" i="41"/>
  <c r="AF184" i="41"/>
  <c r="AE184" i="41"/>
  <c r="AD184" i="41"/>
  <c r="AC184" i="41"/>
  <c r="AB184" i="41"/>
  <c r="AA184" i="41"/>
  <c r="AM183" i="41"/>
  <c r="AL183" i="41"/>
  <c r="AM182" i="41"/>
  <c r="AL182" i="41"/>
  <c r="AM181" i="41"/>
  <c r="AL181" i="41"/>
  <c r="AM180" i="41"/>
  <c r="AL180" i="41"/>
  <c r="AM179" i="41"/>
  <c r="AL179" i="41"/>
  <c r="AM178" i="41"/>
  <c r="AL178" i="41"/>
  <c r="AM177" i="41"/>
  <c r="AL177" i="41"/>
  <c r="AM167" i="41"/>
  <c r="AL167" i="41"/>
  <c r="AJ167" i="41"/>
  <c r="AI167" i="41"/>
  <c r="AH167" i="41"/>
  <c r="AG167" i="41"/>
  <c r="AF167" i="41"/>
  <c r="AE167" i="41"/>
  <c r="AD167" i="41"/>
  <c r="AC167" i="41"/>
  <c r="AB167" i="41"/>
  <c r="AA167" i="41"/>
  <c r="AA166" i="41"/>
  <c r="AB166" i="41" s="1"/>
  <c r="AC166" i="41" s="1"/>
  <c r="AD166" i="41" s="1"/>
  <c r="AE166" i="41" s="1"/>
  <c r="AF166" i="41" s="1"/>
  <c r="AG166" i="41" s="1"/>
  <c r="AH166" i="41" s="1"/>
  <c r="AI166" i="41" s="1"/>
  <c r="AJ166" i="41" s="1"/>
  <c r="AK166" i="41" s="1"/>
  <c r="AM213" i="35"/>
  <c r="AL213" i="35"/>
  <c r="AM212" i="35"/>
  <c r="AL212" i="35"/>
  <c r="AM211" i="35"/>
  <c r="AL211" i="35"/>
  <c r="AM210" i="35"/>
  <c r="AL210" i="35"/>
  <c r="AM209" i="35"/>
  <c r="AL209" i="35"/>
  <c r="AM208" i="35"/>
  <c r="AL208" i="35"/>
  <c r="AM207" i="35"/>
  <c r="AL207" i="35"/>
  <c r="AM206" i="35"/>
  <c r="AL206" i="35"/>
  <c r="AM205" i="35"/>
  <c r="AL205" i="35"/>
  <c r="AM204" i="35"/>
  <c r="AL204" i="35"/>
  <c r="AM203" i="35"/>
  <c r="AL203" i="35"/>
  <c r="AM202" i="35"/>
  <c r="AL202" i="35"/>
  <c r="AM201" i="35"/>
  <c r="AL201" i="35"/>
  <c r="AM200" i="35"/>
  <c r="AL200" i="35"/>
  <c r="AM199" i="35"/>
  <c r="AL199" i="35"/>
  <c r="AM198" i="35"/>
  <c r="AL198" i="35"/>
  <c r="AM197" i="35"/>
  <c r="AL197" i="35"/>
  <c r="AM196" i="35"/>
  <c r="AL196" i="35"/>
  <c r="AM195" i="35"/>
  <c r="AL195" i="35"/>
  <c r="AM194" i="35"/>
  <c r="AL194" i="35"/>
  <c r="AM193" i="35"/>
  <c r="AL193" i="35"/>
  <c r="AM192" i="35"/>
  <c r="AL192" i="35"/>
  <c r="AM191" i="35"/>
  <c r="AL191" i="35"/>
  <c r="AM190" i="35"/>
  <c r="AL190" i="35"/>
  <c r="AM189" i="35"/>
  <c r="AL189" i="35"/>
  <c r="AM188" i="35"/>
  <c r="AL188" i="35"/>
  <c r="AM187" i="35"/>
  <c r="AL187" i="35"/>
  <c r="AM186" i="35"/>
  <c r="AL186" i="35"/>
  <c r="AM185" i="35"/>
  <c r="AL185" i="35"/>
  <c r="AM184" i="35"/>
  <c r="AL184" i="35"/>
  <c r="AM183" i="35"/>
  <c r="AL183" i="35"/>
  <c r="AM182" i="35"/>
  <c r="AL182" i="35"/>
  <c r="AM181" i="35"/>
  <c r="AL181" i="35"/>
  <c r="AM180" i="35"/>
  <c r="AL180" i="35"/>
  <c r="AM179" i="35"/>
  <c r="AL179" i="35"/>
  <c r="AM178" i="35"/>
  <c r="AL178" i="35"/>
  <c r="AM177" i="35"/>
  <c r="AL177" i="35"/>
  <c r="AM167" i="35"/>
  <c r="AL167" i="35"/>
  <c r="AJ167" i="35"/>
  <c r="AI167" i="35"/>
  <c r="AH167" i="35"/>
  <c r="AG167" i="35"/>
  <c r="AF167" i="35"/>
  <c r="AE167" i="35"/>
  <c r="AD167" i="35"/>
  <c r="AC167" i="35"/>
  <c r="AB167" i="35"/>
  <c r="AA167" i="35"/>
  <c r="AA166" i="35"/>
  <c r="AM213" i="38"/>
  <c r="AL213" i="38"/>
  <c r="AJ213" i="38"/>
  <c r="AI213" i="38"/>
  <c r="AH213" i="38"/>
  <c r="AG213" i="38"/>
  <c r="AF213" i="38"/>
  <c r="AE213" i="38"/>
  <c r="AD213" i="38"/>
  <c r="AC213" i="38"/>
  <c r="AB213" i="38"/>
  <c r="AA213" i="38"/>
  <c r="AM212" i="38"/>
  <c r="AL212" i="38"/>
  <c r="AJ212" i="38"/>
  <c r="AI212" i="38"/>
  <c r="AH212" i="38"/>
  <c r="AG212" i="38"/>
  <c r="AF212" i="38"/>
  <c r="AE212" i="38"/>
  <c r="AD212" i="38"/>
  <c r="AC212" i="38"/>
  <c r="AB212" i="38"/>
  <c r="AA212" i="38"/>
  <c r="AM211" i="38"/>
  <c r="AL211" i="38"/>
  <c r="AJ211" i="38"/>
  <c r="AI211" i="38"/>
  <c r="AH211" i="38"/>
  <c r="AG211" i="38"/>
  <c r="AF211" i="38"/>
  <c r="AE211" i="38"/>
  <c r="AD211" i="38"/>
  <c r="AC211" i="38"/>
  <c r="AB211" i="38"/>
  <c r="AA211" i="38"/>
  <c r="AM210" i="38"/>
  <c r="AL210" i="38"/>
  <c r="AJ210" i="38"/>
  <c r="AI210" i="38"/>
  <c r="AH210" i="38"/>
  <c r="AG210" i="38"/>
  <c r="AF210" i="38"/>
  <c r="AE210" i="38"/>
  <c r="AD210" i="38"/>
  <c r="AC210" i="38"/>
  <c r="AB210" i="38"/>
  <c r="AA210" i="38"/>
  <c r="AM209" i="38"/>
  <c r="AL209" i="38"/>
  <c r="AJ209" i="38"/>
  <c r="AI209" i="38"/>
  <c r="AH209" i="38"/>
  <c r="AG209" i="38"/>
  <c r="AF209" i="38"/>
  <c r="AE209" i="38"/>
  <c r="AD209" i="38"/>
  <c r="AC209" i="38"/>
  <c r="AB209" i="38"/>
  <c r="AA209" i="38"/>
  <c r="AM208" i="38"/>
  <c r="AL208" i="38"/>
  <c r="AJ208" i="38"/>
  <c r="AI208" i="38"/>
  <c r="AH208" i="38"/>
  <c r="AG208" i="38"/>
  <c r="AF208" i="38"/>
  <c r="AE208" i="38"/>
  <c r="AD208" i="38"/>
  <c r="AC208" i="38"/>
  <c r="AB208" i="38"/>
  <c r="AA208" i="38"/>
  <c r="AM207" i="38"/>
  <c r="AL207" i="38"/>
  <c r="AJ207" i="38"/>
  <c r="AI207" i="38"/>
  <c r="AH207" i="38"/>
  <c r="AG207" i="38"/>
  <c r="AF207" i="38"/>
  <c r="AE207" i="38"/>
  <c r="AD207" i="38"/>
  <c r="AC207" i="38"/>
  <c r="AB207" i="38"/>
  <c r="AA207" i="38"/>
  <c r="AM206" i="38"/>
  <c r="AL206" i="38"/>
  <c r="AJ206" i="38"/>
  <c r="AI206" i="38"/>
  <c r="AH206" i="38"/>
  <c r="AG206" i="38"/>
  <c r="AF206" i="38"/>
  <c r="AE206" i="38"/>
  <c r="AD206" i="38"/>
  <c r="AC206" i="38"/>
  <c r="AB206" i="38"/>
  <c r="AA206" i="38"/>
  <c r="AM205" i="38"/>
  <c r="AL205" i="38"/>
  <c r="AJ205" i="38"/>
  <c r="AI205" i="38"/>
  <c r="AH205" i="38"/>
  <c r="AG205" i="38"/>
  <c r="AF205" i="38"/>
  <c r="AE205" i="38"/>
  <c r="AD205" i="38"/>
  <c r="AC205" i="38"/>
  <c r="AB205" i="38"/>
  <c r="AA205" i="38"/>
  <c r="AM204" i="38"/>
  <c r="AL204" i="38"/>
  <c r="AJ204" i="38"/>
  <c r="AI204" i="38"/>
  <c r="AH204" i="38"/>
  <c r="AG204" i="38"/>
  <c r="AF204" i="38"/>
  <c r="AE204" i="38"/>
  <c r="AD204" i="38"/>
  <c r="AC204" i="38"/>
  <c r="AB204" i="38"/>
  <c r="AA204" i="38"/>
  <c r="AM203" i="38"/>
  <c r="AL203" i="38"/>
  <c r="AJ203" i="38"/>
  <c r="AI203" i="38"/>
  <c r="AH203" i="38"/>
  <c r="AG203" i="38"/>
  <c r="AF203" i="38"/>
  <c r="AE203" i="38"/>
  <c r="AD203" i="38"/>
  <c r="AC203" i="38"/>
  <c r="AB203" i="38"/>
  <c r="AA203" i="38"/>
  <c r="AM202" i="38"/>
  <c r="AL202" i="38"/>
  <c r="AJ202" i="38"/>
  <c r="AI202" i="38"/>
  <c r="AH202" i="38"/>
  <c r="AG202" i="38"/>
  <c r="AF202" i="38"/>
  <c r="AE202" i="38"/>
  <c r="AD202" i="38"/>
  <c r="AC202" i="38"/>
  <c r="AB202" i="38"/>
  <c r="AA202" i="38"/>
  <c r="AM201" i="38"/>
  <c r="AL201" i="38"/>
  <c r="AJ201" i="38"/>
  <c r="AI201" i="38"/>
  <c r="AH201" i="38"/>
  <c r="AG201" i="38"/>
  <c r="AF201" i="38"/>
  <c r="AE201" i="38"/>
  <c r="AD201" i="38"/>
  <c r="AC201" i="38"/>
  <c r="AB201" i="38"/>
  <c r="AA201" i="38"/>
  <c r="AM200" i="38"/>
  <c r="AL200" i="38"/>
  <c r="AJ200" i="38"/>
  <c r="AI200" i="38"/>
  <c r="AH200" i="38"/>
  <c r="AG200" i="38"/>
  <c r="AF200" i="38"/>
  <c r="AE200" i="38"/>
  <c r="AD200" i="38"/>
  <c r="AC200" i="38"/>
  <c r="AB200" i="38"/>
  <c r="AA200" i="38"/>
  <c r="AM199" i="38"/>
  <c r="AL199" i="38"/>
  <c r="AJ199" i="38"/>
  <c r="AI199" i="38"/>
  <c r="AH199" i="38"/>
  <c r="AG199" i="38"/>
  <c r="AF199" i="38"/>
  <c r="AE199" i="38"/>
  <c r="AD199" i="38"/>
  <c r="AC199" i="38"/>
  <c r="AB199" i="38"/>
  <c r="AA199" i="38"/>
  <c r="AM198" i="38"/>
  <c r="AL198" i="38"/>
  <c r="AJ198" i="38"/>
  <c r="AI198" i="38"/>
  <c r="AH198" i="38"/>
  <c r="AG198" i="38"/>
  <c r="AF198" i="38"/>
  <c r="AE198" i="38"/>
  <c r="AD198" i="38"/>
  <c r="AC198" i="38"/>
  <c r="AB198" i="38"/>
  <c r="AA198" i="38"/>
  <c r="AM197" i="38"/>
  <c r="AL197" i="38"/>
  <c r="AJ197" i="38"/>
  <c r="AI197" i="38"/>
  <c r="AH197" i="38"/>
  <c r="AG197" i="38"/>
  <c r="AF197" i="38"/>
  <c r="AE197" i="38"/>
  <c r="AD197" i="38"/>
  <c r="AC197" i="38"/>
  <c r="AB197" i="38"/>
  <c r="AA197" i="38"/>
  <c r="AM196" i="38"/>
  <c r="AL196" i="38"/>
  <c r="AJ196" i="38"/>
  <c r="AI196" i="38"/>
  <c r="AH196" i="38"/>
  <c r="AG196" i="38"/>
  <c r="AF196" i="38"/>
  <c r="AE196" i="38"/>
  <c r="AD196" i="38"/>
  <c r="AC196" i="38"/>
  <c r="AB196" i="38"/>
  <c r="AA196" i="38"/>
  <c r="AM195" i="38"/>
  <c r="AL195" i="38"/>
  <c r="AJ195" i="38"/>
  <c r="AI195" i="38"/>
  <c r="AH195" i="38"/>
  <c r="AG195" i="38"/>
  <c r="AF195" i="38"/>
  <c r="AE195" i="38"/>
  <c r="AD195" i="38"/>
  <c r="AC195" i="38"/>
  <c r="AB195" i="38"/>
  <c r="AA195" i="38"/>
  <c r="AM194" i="38"/>
  <c r="AL194" i="38"/>
  <c r="AJ194" i="38"/>
  <c r="AI194" i="38"/>
  <c r="AH194" i="38"/>
  <c r="AG194" i="38"/>
  <c r="AF194" i="38"/>
  <c r="AE194" i="38"/>
  <c r="AD194" i="38"/>
  <c r="AC194" i="38"/>
  <c r="AB194" i="38"/>
  <c r="AA194" i="38"/>
  <c r="AM193" i="38"/>
  <c r="AL193" i="38"/>
  <c r="AJ193" i="38"/>
  <c r="AI193" i="38"/>
  <c r="AH193" i="38"/>
  <c r="AG193" i="38"/>
  <c r="AF193" i="38"/>
  <c r="AE193" i="38"/>
  <c r="AD193" i="38"/>
  <c r="AC193" i="38"/>
  <c r="AB193" i="38"/>
  <c r="AA193" i="38"/>
  <c r="AM192" i="38"/>
  <c r="AL192" i="38"/>
  <c r="AJ192" i="38"/>
  <c r="AI192" i="38"/>
  <c r="AH192" i="38"/>
  <c r="AG192" i="38"/>
  <c r="AF192" i="38"/>
  <c r="AE192" i="38"/>
  <c r="AD192" i="38"/>
  <c r="AC192" i="38"/>
  <c r="AB192" i="38"/>
  <c r="AA192" i="38"/>
  <c r="AM191" i="38"/>
  <c r="AL191" i="38"/>
  <c r="AJ191" i="38"/>
  <c r="AI191" i="38"/>
  <c r="AH191" i="38"/>
  <c r="AG191" i="38"/>
  <c r="AF191" i="38"/>
  <c r="AE191" i="38"/>
  <c r="AD191" i="38"/>
  <c r="AC191" i="38"/>
  <c r="AB191" i="38"/>
  <c r="AA191" i="38"/>
  <c r="AM190" i="38"/>
  <c r="AL190" i="38"/>
  <c r="AJ190" i="38"/>
  <c r="AI190" i="38"/>
  <c r="AH190" i="38"/>
  <c r="AG190" i="38"/>
  <c r="AF190" i="38"/>
  <c r="AE190" i="38"/>
  <c r="AD190" i="38"/>
  <c r="AC190" i="38"/>
  <c r="AB190" i="38"/>
  <c r="AA190" i="38"/>
  <c r="AM189" i="38"/>
  <c r="AL189" i="38"/>
  <c r="AJ189" i="38"/>
  <c r="AI189" i="38"/>
  <c r="AH189" i="38"/>
  <c r="AG189" i="38"/>
  <c r="AF189" i="38"/>
  <c r="AE189" i="38"/>
  <c r="AD189" i="38"/>
  <c r="AC189" i="38"/>
  <c r="AB189" i="38"/>
  <c r="AA189" i="38"/>
  <c r="AM188" i="38"/>
  <c r="AL188" i="38"/>
  <c r="AJ188" i="38"/>
  <c r="AI188" i="38"/>
  <c r="AH188" i="38"/>
  <c r="AG188" i="38"/>
  <c r="AF188" i="38"/>
  <c r="AE188" i="38"/>
  <c r="AD188" i="38"/>
  <c r="AC188" i="38"/>
  <c r="AB188" i="38"/>
  <c r="AA188" i="38"/>
  <c r="AM187" i="38"/>
  <c r="AL187" i="38"/>
  <c r="AJ187" i="38"/>
  <c r="AI187" i="38"/>
  <c r="AH187" i="38"/>
  <c r="AG187" i="38"/>
  <c r="AF187" i="38"/>
  <c r="AE187" i="38"/>
  <c r="AD187" i="38"/>
  <c r="AC187" i="38"/>
  <c r="AB187" i="38"/>
  <c r="AA187" i="38"/>
  <c r="AM186" i="38"/>
  <c r="AL186" i="38"/>
  <c r="AJ186" i="38"/>
  <c r="AI186" i="38"/>
  <c r="AH186" i="38"/>
  <c r="AG186" i="38"/>
  <c r="AF186" i="38"/>
  <c r="AE186" i="38"/>
  <c r="AD186" i="38"/>
  <c r="AC186" i="38"/>
  <c r="AB186" i="38"/>
  <c r="AA186" i="38"/>
  <c r="AM185" i="38"/>
  <c r="AL185" i="38"/>
  <c r="AJ185" i="38"/>
  <c r="AI185" i="38"/>
  <c r="AH185" i="38"/>
  <c r="AG185" i="38"/>
  <c r="AF185" i="38"/>
  <c r="AE185" i="38"/>
  <c r="AD185" i="38"/>
  <c r="AC185" i="38"/>
  <c r="AB185" i="38"/>
  <c r="AA185" i="38"/>
  <c r="AM184" i="38"/>
  <c r="AL184" i="38"/>
  <c r="AJ184" i="38"/>
  <c r="AI184" i="38"/>
  <c r="AH184" i="38"/>
  <c r="AG184" i="38"/>
  <c r="AF184" i="38"/>
  <c r="AE184" i="38"/>
  <c r="AD184" i="38"/>
  <c r="AC184" i="38"/>
  <c r="AB184" i="38"/>
  <c r="AA184" i="38"/>
  <c r="AM183" i="38"/>
  <c r="AL183" i="38"/>
  <c r="AJ183" i="38"/>
  <c r="AI183" i="38"/>
  <c r="AH183" i="38"/>
  <c r="AG183" i="38"/>
  <c r="AF183" i="38"/>
  <c r="AE183" i="38"/>
  <c r="AD183" i="38"/>
  <c r="AC183" i="38"/>
  <c r="AB183" i="38"/>
  <c r="AA183" i="38"/>
  <c r="AM182" i="38"/>
  <c r="AL182" i="38"/>
  <c r="AJ182" i="38"/>
  <c r="AI182" i="38"/>
  <c r="AH182" i="38"/>
  <c r="AG182" i="38"/>
  <c r="AF182" i="38"/>
  <c r="AE182" i="38"/>
  <c r="AD182" i="38"/>
  <c r="AC182" i="38"/>
  <c r="AB182" i="38"/>
  <c r="AA182" i="38"/>
  <c r="AM181" i="38"/>
  <c r="AL181" i="38"/>
  <c r="AJ181" i="38"/>
  <c r="AI181" i="38"/>
  <c r="AH181" i="38"/>
  <c r="AG181" i="38"/>
  <c r="AF181" i="38"/>
  <c r="AE181" i="38"/>
  <c r="AD181" i="38"/>
  <c r="AC181" i="38"/>
  <c r="AB181" i="38"/>
  <c r="AA181" i="38"/>
  <c r="AM180" i="38"/>
  <c r="AL180" i="38"/>
  <c r="AM179" i="38"/>
  <c r="AL179" i="38"/>
  <c r="AM178" i="38"/>
  <c r="AL178" i="38"/>
  <c r="AM177" i="38"/>
  <c r="AL177" i="38"/>
  <c r="AM167" i="38"/>
  <c r="AL167" i="38"/>
  <c r="AJ167" i="38"/>
  <c r="AI167" i="38"/>
  <c r="AH167" i="38"/>
  <c r="AG167" i="38"/>
  <c r="AF167" i="38"/>
  <c r="AE167" i="38"/>
  <c r="AD167" i="38"/>
  <c r="AC167" i="38"/>
  <c r="AB167" i="38"/>
  <c r="AA167" i="38"/>
  <c r="AA166" i="38"/>
  <c r="AM213" i="47"/>
  <c r="AL213" i="47"/>
  <c r="AJ213" i="47"/>
  <c r="AI213" i="47"/>
  <c r="AH213" i="47"/>
  <c r="AG213" i="47"/>
  <c r="AF213" i="47"/>
  <c r="AE213" i="47"/>
  <c r="AD213" i="47"/>
  <c r="AC213" i="47"/>
  <c r="AB213" i="47"/>
  <c r="AA213" i="47"/>
  <c r="AM212" i="47"/>
  <c r="AL212" i="47"/>
  <c r="AJ212" i="47"/>
  <c r="AI212" i="47"/>
  <c r="AH212" i="47"/>
  <c r="AG212" i="47"/>
  <c r="AF212" i="47"/>
  <c r="AE212" i="47"/>
  <c r="AD212" i="47"/>
  <c r="AC212" i="47"/>
  <c r="AB212" i="47"/>
  <c r="AA212" i="47"/>
  <c r="AM211" i="47"/>
  <c r="AL211" i="47"/>
  <c r="AJ211" i="47"/>
  <c r="AI211" i="47"/>
  <c r="AH211" i="47"/>
  <c r="AG211" i="47"/>
  <c r="AF211" i="47"/>
  <c r="AE211" i="47"/>
  <c r="AD211" i="47"/>
  <c r="AC211" i="47"/>
  <c r="AB211" i="47"/>
  <c r="AA211" i="47"/>
  <c r="AM210" i="47"/>
  <c r="AL210" i="47"/>
  <c r="AJ210" i="47"/>
  <c r="AI210" i="47"/>
  <c r="AH210" i="47"/>
  <c r="AG210" i="47"/>
  <c r="AF210" i="47"/>
  <c r="AE210" i="47"/>
  <c r="AD210" i="47"/>
  <c r="AC210" i="47"/>
  <c r="AB210" i="47"/>
  <c r="AA210" i="47"/>
  <c r="AM209" i="47"/>
  <c r="AL209" i="47"/>
  <c r="AJ209" i="47"/>
  <c r="AI209" i="47"/>
  <c r="AH209" i="47"/>
  <c r="AG209" i="47"/>
  <c r="AF209" i="47"/>
  <c r="AE209" i="47"/>
  <c r="AD209" i="47"/>
  <c r="AC209" i="47"/>
  <c r="AB209" i="47"/>
  <c r="AA209" i="47"/>
  <c r="AM208" i="47"/>
  <c r="AL208" i="47"/>
  <c r="AJ208" i="47"/>
  <c r="AI208" i="47"/>
  <c r="AH208" i="47"/>
  <c r="AG208" i="47"/>
  <c r="AF208" i="47"/>
  <c r="AE208" i="47"/>
  <c r="AD208" i="47"/>
  <c r="AC208" i="47"/>
  <c r="AB208" i="47"/>
  <c r="AA208" i="47"/>
  <c r="AM207" i="47"/>
  <c r="AL207" i="47"/>
  <c r="AJ207" i="47"/>
  <c r="AI207" i="47"/>
  <c r="AH207" i="47"/>
  <c r="AG207" i="47"/>
  <c r="AF207" i="47"/>
  <c r="AE207" i="47"/>
  <c r="AD207" i="47"/>
  <c r="AC207" i="47"/>
  <c r="AB207" i="47"/>
  <c r="AA207" i="47"/>
  <c r="AM206" i="47"/>
  <c r="AL206" i="47"/>
  <c r="AJ206" i="47"/>
  <c r="AI206" i="47"/>
  <c r="AH206" i="47"/>
  <c r="AG206" i="47"/>
  <c r="AF206" i="47"/>
  <c r="AE206" i="47"/>
  <c r="AD206" i="47"/>
  <c r="AC206" i="47"/>
  <c r="AB206" i="47"/>
  <c r="AA206" i="47"/>
  <c r="AM205" i="47"/>
  <c r="AL205" i="47"/>
  <c r="AJ205" i="47"/>
  <c r="AI205" i="47"/>
  <c r="AH205" i="47"/>
  <c r="AG205" i="47"/>
  <c r="AF205" i="47"/>
  <c r="AE205" i="47"/>
  <c r="AD205" i="47"/>
  <c r="AC205" i="47"/>
  <c r="AB205" i="47"/>
  <c r="AA205" i="47"/>
  <c r="AM204" i="47"/>
  <c r="AL204" i="47"/>
  <c r="AJ204" i="47"/>
  <c r="AI204" i="47"/>
  <c r="AH204" i="47"/>
  <c r="AG204" i="47"/>
  <c r="AF204" i="47"/>
  <c r="AE204" i="47"/>
  <c r="AD204" i="47"/>
  <c r="AC204" i="47"/>
  <c r="AB204" i="47"/>
  <c r="AA204" i="47"/>
  <c r="AM203" i="47"/>
  <c r="AL203" i="47"/>
  <c r="AJ203" i="47"/>
  <c r="AI203" i="47"/>
  <c r="AH203" i="47"/>
  <c r="AG203" i="47"/>
  <c r="AF203" i="47"/>
  <c r="AE203" i="47"/>
  <c r="AD203" i="47"/>
  <c r="AC203" i="47"/>
  <c r="AB203" i="47"/>
  <c r="AA203" i="47"/>
  <c r="AM202" i="47"/>
  <c r="AL202" i="47"/>
  <c r="AJ202" i="47"/>
  <c r="AI202" i="47"/>
  <c r="AH202" i="47"/>
  <c r="AG202" i="47"/>
  <c r="AF202" i="47"/>
  <c r="AE202" i="47"/>
  <c r="AD202" i="47"/>
  <c r="AC202" i="47"/>
  <c r="AB202" i="47"/>
  <c r="AA202" i="47"/>
  <c r="AM201" i="47"/>
  <c r="AL201" i="47"/>
  <c r="AJ201" i="47"/>
  <c r="AI201" i="47"/>
  <c r="AH201" i="47"/>
  <c r="AG201" i="47"/>
  <c r="AF201" i="47"/>
  <c r="AE201" i="47"/>
  <c r="AD201" i="47"/>
  <c r="AC201" i="47"/>
  <c r="AB201" i="47"/>
  <c r="AA201" i="47"/>
  <c r="AM200" i="47"/>
  <c r="AL200" i="47"/>
  <c r="AJ200" i="47"/>
  <c r="AI200" i="47"/>
  <c r="AH200" i="47"/>
  <c r="AG200" i="47"/>
  <c r="AF200" i="47"/>
  <c r="AE200" i="47"/>
  <c r="AD200" i="47"/>
  <c r="AC200" i="47"/>
  <c r="AB200" i="47"/>
  <c r="AA200" i="47"/>
  <c r="AM199" i="47"/>
  <c r="AL199" i="47"/>
  <c r="AJ199" i="47"/>
  <c r="AI199" i="47"/>
  <c r="AH199" i="47"/>
  <c r="AG199" i="47"/>
  <c r="AF199" i="47"/>
  <c r="AE199" i="47"/>
  <c r="AD199" i="47"/>
  <c r="AC199" i="47"/>
  <c r="AB199" i="47"/>
  <c r="AA199" i="47"/>
  <c r="AM198" i="47"/>
  <c r="AL198" i="47"/>
  <c r="AJ198" i="47"/>
  <c r="AI198" i="47"/>
  <c r="AH198" i="47"/>
  <c r="AG198" i="47"/>
  <c r="AF198" i="47"/>
  <c r="AE198" i="47"/>
  <c r="AD198" i="47"/>
  <c r="AC198" i="47"/>
  <c r="AB198" i="47"/>
  <c r="AA198" i="47"/>
  <c r="AM197" i="47"/>
  <c r="AL197" i="47"/>
  <c r="AJ197" i="47"/>
  <c r="AI197" i="47"/>
  <c r="AH197" i="47"/>
  <c r="AG197" i="47"/>
  <c r="AF197" i="47"/>
  <c r="AE197" i="47"/>
  <c r="AD197" i="47"/>
  <c r="AC197" i="47"/>
  <c r="AB197" i="47"/>
  <c r="AA197" i="47"/>
  <c r="AM196" i="47"/>
  <c r="AL196" i="47"/>
  <c r="AJ196" i="47"/>
  <c r="AI196" i="47"/>
  <c r="AH196" i="47"/>
  <c r="AG196" i="47"/>
  <c r="AF196" i="47"/>
  <c r="AE196" i="47"/>
  <c r="AD196" i="47"/>
  <c r="AC196" i="47"/>
  <c r="AB196" i="47"/>
  <c r="AA196" i="47"/>
  <c r="AM195" i="47"/>
  <c r="AL195" i="47"/>
  <c r="AJ195" i="47"/>
  <c r="AI195" i="47"/>
  <c r="AH195" i="47"/>
  <c r="AG195" i="47"/>
  <c r="AF195" i="47"/>
  <c r="AE195" i="47"/>
  <c r="AD195" i="47"/>
  <c r="AC195" i="47"/>
  <c r="AB195" i="47"/>
  <c r="AA195" i="47"/>
  <c r="AM194" i="47"/>
  <c r="AL194" i="47"/>
  <c r="AJ194" i="47"/>
  <c r="AI194" i="47"/>
  <c r="AH194" i="47"/>
  <c r="AG194" i="47"/>
  <c r="AF194" i="47"/>
  <c r="AE194" i="47"/>
  <c r="AD194" i="47"/>
  <c r="AC194" i="47"/>
  <c r="AB194" i="47"/>
  <c r="AA194" i="47"/>
  <c r="AM193" i="47"/>
  <c r="AL193" i="47"/>
  <c r="AJ193" i="47"/>
  <c r="AI193" i="47"/>
  <c r="AH193" i="47"/>
  <c r="AG193" i="47"/>
  <c r="AF193" i="47"/>
  <c r="AE193" i="47"/>
  <c r="AD193" i="47"/>
  <c r="AC193" i="47"/>
  <c r="AB193" i="47"/>
  <c r="AA193" i="47"/>
  <c r="AM192" i="47"/>
  <c r="AL192" i="47"/>
  <c r="AJ192" i="47"/>
  <c r="AI192" i="47"/>
  <c r="AH192" i="47"/>
  <c r="AG192" i="47"/>
  <c r="AF192" i="47"/>
  <c r="AE192" i="47"/>
  <c r="AD192" i="47"/>
  <c r="AC192" i="47"/>
  <c r="AB192" i="47"/>
  <c r="AA192" i="47"/>
  <c r="AM191" i="47"/>
  <c r="AL191" i="47"/>
  <c r="AJ191" i="47"/>
  <c r="AI191" i="47"/>
  <c r="AH191" i="47"/>
  <c r="AG191" i="47"/>
  <c r="AF191" i="47"/>
  <c r="AE191" i="47"/>
  <c r="AD191" i="47"/>
  <c r="AC191" i="47"/>
  <c r="AB191" i="47"/>
  <c r="AA191" i="47"/>
  <c r="AM190" i="47"/>
  <c r="AL190" i="47"/>
  <c r="AJ190" i="47"/>
  <c r="AI190" i="47"/>
  <c r="AH190" i="47"/>
  <c r="AG190" i="47"/>
  <c r="AF190" i="47"/>
  <c r="AE190" i="47"/>
  <c r="AD190" i="47"/>
  <c r="AC190" i="47"/>
  <c r="AB190" i="47"/>
  <c r="AA190" i="47"/>
  <c r="AM189" i="47"/>
  <c r="AL189" i="47"/>
  <c r="AJ189" i="47"/>
  <c r="AI189" i="47"/>
  <c r="AH189" i="47"/>
  <c r="AG189" i="47"/>
  <c r="AF189" i="47"/>
  <c r="AE189" i="47"/>
  <c r="AD189" i="47"/>
  <c r="AC189" i="47"/>
  <c r="AB189" i="47"/>
  <c r="AA189" i="47"/>
  <c r="AM188" i="47"/>
  <c r="AL188" i="47"/>
  <c r="AJ188" i="47"/>
  <c r="AI188" i="47"/>
  <c r="AH188" i="47"/>
  <c r="AG188" i="47"/>
  <c r="AF188" i="47"/>
  <c r="AE188" i="47"/>
  <c r="AD188" i="47"/>
  <c r="AC188" i="47"/>
  <c r="AB188" i="47"/>
  <c r="AA188" i="47"/>
  <c r="AM187" i="47"/>
  <c r="AL187" i="47"/>
  <c r="AJ187" i="47"/>
  <c r="AI187" i="47"/>
  <c r="AH187" i="47"/>
  <c r="AG187" i="47"/>
  <c r="AF187" i="47"/>
  <c r="AE187" i="47"/>
  <c r="AD187" i="47"/>
  <c r="AC187" i="47"/>
  <c r="AB187" i="47"/>
  <c r="AA187" i="47"/>
  <c r="AJ186" i="47"/>
  <c r="AI186" i="47"/>
  <c r="AH186" i="47"/>
  <c r="AG186" i="47"/>
  <c r="AF186" i="47"/>
  <c r="AE186" i="47"/>
  <c r="AD186" i="47"/>
  <c r="AC186" i="47"/>
  <c r="AB186" i="47"/>
  <c r="AA186" i="47"/>
  <c r="AJ185" i="47"/>
  <c r="AI185" i="47"/>
  <c r="AH185" i="47"/>
  <c r="AG185" i="47"/>
  <c r="AF185" i="47"/>
  <c r="AE185" i="47"/>
  <c r="AD185" i="47"/>
  <c r="AC185" i="47"/>
  <c r="AB185" i="47"/>
  <c r="AA185" i="47"/>
  <c r="AJ184" i="47"/>
  <c r="AI184" i="47"/>
  <c r="AH184" i="47"/>
  <c r="AG184" i="47"/>
  <c r="AF184" i="47"/>
  <c r="AE184" i="47"/>
  <c r="AD184" i="47"/>
  <c r="AC184" i="47"/>
  <c r="AB184" i="47"/>
  <c r="AA184" i="47"/>
  <c r="AM167" i="47"/>
  <c r="AL167" i="47"/>
  <c r="AJ167" i="47"/>
  <c r="AI167" i="47"/>
  <c r="AH167" i="47"/>
  <c r="AG167" i="47"/>
  <c r="AF167" i="47"/>
  <c r="AE167" i="47"/>
  <c r="AD167" i="47"/>
  <c r="AC167" i="47"/>
  <c r="AB167" i="47"/>
  <c r="AA167" i="47"/>
  <c r="AA166" i="47"/>
  <c r="AB166" i="47" s="1"/>
  <c r="AC166" i="47" s="1"/>
  <c r="AM213" i="50"/>
  <c r="AL213" i="50"/>
  <c r="AJ213" i="50"/>
  <c r="AI213" i="50"/>
  <c r="AH213" i="50"/>
  <c r="AG213" i="50"/>
  <c r="AF213" i="50"/>
  <c r="AE213" i="50"/>
  <c r="AD213" i="50"/>
  <c r="AC213" i="50"/>
  <c r="AB213" i="50"/>
  <c r="AA213" i="50"/>
  <c r="AM212" i="50"/>
  <c r="AL212" i="50"/>
  <c r="AJ212" i="50"/>
  <c r="AI212" i="50"/>
  <c r="AH212" i="50"/>
  <c r="AG212" i="50"/>
  <c r="AF212" i="50"/>
  <c r="AE212" i="50"/>
  <c r="AD212" i="50"/>
  <c r="AC212" i="50"/>
  <c r="AB212" i="50"/>
  <c r="AA212" i="50"/>
  <c r="AM211" i="50"/>
  <c r="AL211" i="50"/>
  <c r="AJ211" i="50"/>
  <c r="AI211" i="50"/>
  <c r="AH211" i="50"/>
  <c r="AG211" i="50"/>
  <c r="AF211" i="50"/>
  <c r="AE211" i="50"/>
  <c r="AD211" i="50"/>
  <c r="AC211" i="50"/>
  <c r="AB211" i="50"/>
  <c r="AA211" i="50"/>
  <c r="AM210" i="50"/>
  <c r="AL210" i="50"/>
  <c r="AJ210" i="50"/>
  <c r="AI210" i="50"/>
  <c r="AH210" i="50"/>
  <c r="AG210" i="50"/>
  <c r="AF210" i="50"/>
  <c r="AE210" i="50"/>
  <c r="AD210" i="50"/>
  <c r="AC210" i="50"/>
  <c r="AB210" i="50"/>
  <c r="AA210" i="50"/>
  <c r="AM209" i="50"/>
  <c r="AL209" i="50"/>
  <c r="AJ209" i="50"/>
  <c r="AI209" i="50"/>
  <c r="AH209" i="50"/>
  <c r="AG209" i="50"/>
  <c r="AF209" i="50"/>
  <c r="AE209" i="50"/>
  <c r="AD209" i="50"/>
  <c r="AC209" i="50"/>
  <c r="AB209" i="50"/>
  <c r="AA209" i="50"/>
  <c r="AM208" i="50"/>
  <c r="AL208" i="50"/>
  <c r="AJ208" i="50"/>
  <c r="AI208" i="50"/>
  <c r="AH208" i="50"/>
  <c r="AG208" i="50"/>
  <c r="AF208" i="50"/>
  <c r="AE208" i="50"/>
  <c r="AD208" i="50"/>
  <c r="AC208" i="50"/>
  <c r="AB208" i="50"/>
  <c r="AA208" i="50"/>
  <c r="AM207" i="50"/>
  <c r="AL207" i="50"/>
  <c r="AJ207" i="50"/>
  <c r="AI207" i="50"/>
  <c r="AH207" i="50"/>
  <c r="AG207" i="50"/>
  <c r="AF207" i="50"/>
  <c r="AE207" i="50"/>
  <c r="AD207" i="50"/>
  <c r="AC207" i="50"/>
  <c r="AB207" i="50"/>
  <c r="AA207" i="50"/>
  <c r="AM206" i="50"/>
  <c r="AL206" i="50"/>
  <c r="AJ206" i="50"/>
  <c r="AI206" i="50"/>
  <c r="AH206" i="50"/>
  <c r="AG206" i="50"/>
  <c r="AF206" i="50"/>
  <c r="AE206" i="50"/>
  <c r="AD206" i="50"/>
  <c r="AC206" i="50"/>
  <c r="AB206" i="50"/>
  <c r="AA206" i="50"/>
  <c r="AM205" i="50"/>
  <c r="AL205" i="50"/>
  <c r="AJ205" i="50"/>
  <c r="AI205" i="50"/>
  <c r="AH205" i="50"/>
  <c r="AG205" i="50"/>
  <c r="AF205" i="50"/>
  <c r="AE205" i="50"/>
  <c r="AD205" i="50"/>
  <c r="AC205" i="50"/>
  <c r="AB205" i="50"/>
  <c r="AA205" i="50"/>
  <c r="AM204" i="50"/>
  <c r="AL204" i="50"/>
  <c r="AJ204" i="50"/>
  <c r="AI204" i="50"/>
  <c r="AH204" i="50"/>
  <c r="AG204" i="50"/>
  <c r="AF204" i="50"/>
  <c r="AE204" i="50"/>
  <c r="AD204" i="50"/>
  <c r="AC204" i="50"/>
  <c r="AB204" i="50"/>
  <c r="AA204" i="50"/>
  <c r="AM203" i="50"/>
  <c r="AL203" i="50"/>
  <c r="AJ203" i="50"/>
  <c r="AI203" i="50"/>
  <c r="AH203" i="50"/>
  <c r="AG203" i="50"/>
  <c r="AF203" i="50"/>
  <c r="AE203" i="50"/>
  <c r="AD203" i="50"/>
  <c r="AC203" i="50"/>
  <c r="AB203" i="50"/>
  <c r="AA203" i="50"/>
  <c r="AM202" i="50"/>
  <c r="AL202" i="50"/>
  <c r="AJ202" i="50"/>
  <c r="AI202" i="50"/>
  <c r="AH202" i="50"/>
  <c r="AG202" i="50"/>
  <c r="AF202" i="50"/>
  <c r="AE202" i="50"/>
  <c r="AD202" i="50"/>
  <c r="AC202" i="50"/>
  <c r="AB202" i="50"/>
  <c r="AA202" i="50"/>
  <c r="AM201" i="50"/>
  <c r="AL201" i="50"/>
  <c r="AJ201" i="50"/>
  <c r="AI201" i="50"/>
  <c r="AH201" i="50"/>
  <c r="AG201" i="50"/>
  <c r="AF201" i="50"/>
  <c r="AE201" i="50"/>
  <c r="AD201" i="50"/>
  <c r="AC201" i="50"/>
  <c r="AB201" i="50"/>
  <c r="AA201" i="50"/>
  <c r="AM200" i="50"/>
  <c r="AL200" i="50"/>
  <c r="AJ200" i="50"/>
  <c r="AI200" i="50"/>
  <c r="AH200" i="50"/>
  <c r="AG200" i="50"/>
  <c r="AF200" i="50"/>
  <c r="AE200" i="50"/>
  <c r="AD200" i="50"/>
  <c r="AC200" i="50"/>
  <c r="AB200" i="50"/>
  <c r="AA200" i="50"/>
  <c r="AM199" i="50"/>
  <c r="AL199" i="50"/>
  <c r="AJ199" i="50"/>
  <c r="AI199" i="50"/>
  <c r="AH199" i="50"/>
  <c r="AG199" i="50"/>
  <c r="AF199" i="50"/>
  <c r="AE199" i="50"/>
  <c r="AD199" i="50"/>
  <c r="AC199" i="50"/>
  <c r="AB199" i="50"/>
  <c r="AA199" i="50"/>
  <c r="AM198" i="50"/>
  <c r="AL198" i="50"/>
  <c r="AJ198" i="50"/>
  <c r="AI198" i="50"/>
  <c r="AH198" i="50"/>
  <c r="AG198" i="50"/>
  <c r="AF198" i="50"/>
  <c r="AE198" i="50"/>
  <c r="AD198" i="50"/>
  <c r="AC198" i="50"/>
  <c r="AB198" i="50"/>
  <c r="AA198" i="50"/>
  <c r="AM197" i="50"/>
  <c r="AL197" i="50"/>
  <c r="AJ197" i="50"/>
  <c r="AI197" i="50"/>
  <c r="AH197" i="50"/>
  <c r="AG197" i="50"/>
  <c r="AF197" i="50"/>
  <c r="AE197" i="50"/>
  <c r="AD197" i="50"/>
  <c r="AC197" i="50"/>
  <c r="AB197" i="50"/>
  <c r="AA197" i="50"/>
  <c r="AM196" i="50"/>
  <c r="AL196" i="50"/>
  <c r="AJ196" i="50"/>
  <c r="AI196" i="50"/>
  <c r="AH196" i="50"/>
  <c r="AG196" i="50"/>
  <c r="AF196" i="50"/>
  <c r="AE196" i="50"/>
  <c r="AD196" i="50"/>
  <c r="AC196" i="50"/>
  <c r="AB196" i="50"/>
  <c r="AA196" i="50"/>
  <c r="AM195" i="50"/>
  <c r="AL195" i="50"/>
  <c r="AJ195" i="50"/>
  <c r="AI195" i="50"/>
  <c r="AH195" i="50"/>
  <c r="AG195" i="50"/>
  <c r="AF195" i="50"/>
  <c r="AE195" i="50"/>
  <c r="AD195" i="50"/>
  <c r="AC195" i="50"/>
  <c r="AB195" i="50"/>
  <c r="AA195" i="50"/>
  <c r="AM194" i="50"/>
  <c r="AL194" i="50"/>
  <c r="AJ194" i="50"/>
  <c r="AI194" i="50"/>
  <c r="AH194" i="50"/>
  <c r="AG194" i="50"/>
  <c r="AF194" i="50"/>
  <c r="AE194" i="50"/>
  <c r="AD194" i="50"/>
  <c r="AC194" i="50"/>
  <c r="AB194" i="50"/>
  <c r="AA194" i="50"/>
  <c r="AM193" i="50"/>
  <c r="AL193" i="50"/>
  <c r="AJ193" i="50"/>
  <c r="AI193" i="50"/>
  <c r="AH193" i="50"/>
  <c r="AG193" i="50"/>
  <c r="AF193" i="50"/>
  <c r="AE193" i="50"/>
  <c r="AD193" i="50"/>
  <c r="AC193" i="50"/>
  <c r="AB193" i="50"/>
  <c r="AA193" i="50"/>
  <c r="AM192" i="50"/>
  <c r="AL192" i="50"/>
  <c r="AJ192" i="50"/>
  <c r="AI192" i="50"/>
  <c r="AH192" i="50"/>
  <c r="AG192" i="50"/>
  <c r="AF192" i="50"/>
  <c r="AE192" i="50"/>
  <c r="AD192" i="50"/>
  <c r="AC192" i="50"/>
  <c r="AB192" i="50"/>
  <c r="AA192" i="50"/>
  <c r="AM191" i="50"/>
  <c r="AL191" i="50"/>
  <c r="AJ191" i="50"/>
  <c r="AI191" i="50"/>
  <c r="AH191" i="50"/>
  <c r="AG191" i="50"/>
  <c r="AF191" i="50"/>
  <c r="AE191" i="50"/>
  <c r="AD191" i="50"/>
  <c r="AC191" i="50"/>
  <c r="AB191" i="50"/>
  <c r="AA191" i="50"/>
  <c r="AM190" i="50"/>
  <c r="AL190" i="50"/>
  <c r="AJ190" i="50"/>
  <c r="AI190" i="50"/>
  <c r="AH190" i="50"/>
  <c r="AG190" i="50"/>
  <c r="AF190" i="50"/>
  <c r="AE190" i="50"/>
  <c r="AD190" i="50"/>
  <c r="AC190" i="50"/>
  <c r="AB190" i="50"/>
  <c r="AA190" i="50"/>
  <c r="AM189" i="50"/>
  <c r="AL189" i="50"/>
  <c r="AJ189" i="50"/>
  <c r="AI189" i="50"/>
  <c r="AH189" i="50"/>
  <c r="AG189" i="50"/>
  <c r="AF189" i="50"/>
  <c r="AE189" i="50"/>
  <c r="AD189" i="50"/>
  <c r="AC189" i="50"/>
  <c r="AB189" i="50"/>
  <c r="AA189" i="50"/>
  <c r="AM188" i="50"/>
  <c r="AL188" i="50"/>
  <c r="AJ188" i="50"/>
  <c r="AI188" i="50"/>
  <c r="AH188" i="50"/>
  <c r="AG188" i="50"/>
  <c r="AF188" i="50"/>
  <c r="AE188" i="50"/>
  <c r="AD188" i="50"/>
  <c r="AC188" i="50"/>
  <c r="AB188" i="50"/>
  <c r="AA188" i="50"/>
  <c r="AM187" i="50"/>
  <c r="AL187" i="50"/>
  <c r="AJ187" i="50"/>
  <c r="AI187" i="50"/>
  <c r="AH187" i="50"/>
  <c r="AG187" i="50"/>
  <c r="AF187" i="50"/>
  <c r="AE187" i="50"/>
  <c r="AD187" i="50"/>
  <c r="AC187" i="50"/>
  <c r="AB187" i="50"/>
  <c r="AA187" i="50"/>
  <c r="AM186" i="50"/>
  <c r="AL186" i="50"/>
  <c r="AJ186" i="50"/>
  <c r="AI186" i="50"/>
  <c r="AH186" i="50"/>
  <c r="AG186" i="50"/>
  <c r="AF186" i="50"/>
  <c r="AE186" i="50"/>
  <c r="AD186" i="50"/>
  <c r="AC186" i="50"/>
  <c r="AB186" i="50"/>
  <c r="AA186" i="50"/>
  <c r="AM185" i="50"/>
  <c r="AL185" i="50"/>
  <c r="AJ185" i="50"/>
  <c r="AI185" i="50"/>
  <c r="AH185" i="50"/>
  <c r="AG185" i="50"/>
  <c r="AF185" i="50"/>
  <c r="AE185" i="50"/>
  <c r="AD185" i="50"/>
  <c r="AC185" i="50"/>
  <c r="AB185" i="50"/>
  <c r="AA185" i="50"/>
  <c r="AM184" i="50"/>
  <c r="AL184" i="50"/>
  <c r="AJ184" i="50"/>
  <c r="AI184" i="50"/>
  <c r="AH184" i="50"/>
  <c r="AG184" i="50"/>
  <c r="AF184" i="50"/>
  <c r="AE184" i="50"/>
  <c r="AD184" i="50"/>
  <c r="AC184" i="50"/>
  <c r="AB184" i="50"/>
  <c r="AA184" i="50"/>
  <c r="AM183" i="50"/>
  <c r="AL183" i="50"/>
  <c r="AJ183" i="50"/>
  <c r="AI183" i="50"/>
  <c r="AH183" i="50"/>
  <c r="AG183" i="50"/>
  <c r="AF183" i="50"/>
  <c r="AE183" i="50"/>
  <c r="AD183" i="50"/>
  <c r="AC183" i="50"/>
  <c r="AB183" i="50"/>
  <c r="AA183" i="50"/>
  <c r="AM182" i="50"/>
  <c r="AL182" i="50"/>
  <c r="AJ182" i="50"/>
  <c r="AI182" i="50"/>
  <c r="AH182" i="50"/>
  <c r="AG182" i="50"/>
  <c r="AF182" i="50"/>
  <c r="AE182" i="50"/>
  <c r="AD182" i="50"/>
  <c r="AC182" i="50"/>
  <c r="AB182" i="50"/>
  <c r="AA182" i="50"/>
  <c r="AM181" i="50"/>
  <c r="AL181" i="50"/>
  <c r="AJ181" i="50"/>
  <c r="AI181" i="50"/>
  <c r="AH181" i="50"/>
  <c r="AG181" i="50"/>
  <c r="AF181" i="50"/>
  <c r="AE181" i="50"/>
  <c r="AD181" i="50"/>
  <c r="AC181" i="50"/>
  <c r="AB181" i="50"/>
  <c r="AA181" i="50"/>
  <c r="AM180" i="50"/>
  <c r="AL180" i="50"/>
  <c r="AJ180" i="50"/>
  <c r="AI180" i="50"/>
  <c r="AH180" i="50"/>
  <c r="AG180" i="50"/>
  <c r="AF180" i="50"/>
  <c r="AE180" i="50"/>
  <c r="AD180" i="50"/>
  <c r="AC180" i="50"/>
  <c r="AB180" i="50"/>
  <c r="AA180" i="50"/>
  <c r="AM179" i="50"/>
  <c r="AL179" i="50"/>
  <c r="AJ179" i="50"/>
  <c r="AI179" i="50"/>
  <c r="AH179" i="50"/>
  <c r="AG179" i="50"/>
  <c r="AF179" i="50"/>
  <c r="AE179" i="50"/>
  <c r="AD179" i="50"/>
  <c r="AC179" i="50"/>
  <c r="AB179" i="50"/>
  <c r="AA179" i="50"/>
  <c r="AM178" i="50"/>
  <c r="AL178" i="50"/>
  <c r="AJ178" i="50"/>
  <c r="AI178" i="50"/>
  <c r="AH178" i="50"/>
  <c r="AG178" i="50"/>
  <c r="AF178" i="50"/>
  <c r="AE178" i="50"/>
  <c r="AD178" i="50"/>
  <c r="AC178" i="50"/>
  <c r="AB178" i="50"/>
  <c r="AA178" i="50"/>
  <c r="AM177" i="50"/>
  <c r="AL177" i="50"/>
  <c r="AJ177" i="50"/>
  <c r="AI177" i="50"/>
  <c r="AH177" i="50"/>
  <c r="AG177" i="50"/>
  <c r="AF177" i="50"/>
  <c r="AE177" i="50"/>
  <c r="AD177" i="50"/>
  <c r="AC177" i="50"/>
  <c r="AB177" i="50"/>
  <c r="AA177" i="50"/>
  <c r="AJ176" i="50"/>
  <c r="AI176" i="50"/>
  <c r="AH176" i="50"/>
  <c r="AG176" i="50"/>
  <c r="AF176" i="50"/>
  <c r="AE176" i="50"/>
  <c r="AD176" i="50"/>
  <c r="AC176" i="50"/>
  <c r="AB176" i="50"/>
  <c r="AA176" i="50"/>
  <c r="AJ175" i="50"/>
  <c r="AI175" i="50"/>
  <c r="AH175" i="50"/>
  <c r="AG175" i="50"/>
  <c r="AF175" i="50"/>
  <c r="AE175" i="50"/>
  <c r="AD175" i="50"/>
  <c r="AC175" i="50"/>
  <c r="AB175" i="50"/>
  <c r="AA175" i="50"/>
  <c r="AJ174" i="50"/>
  <c r="AI174" i="50"/>
  <c r="AH174" i="50"/>
  <c r="AG174" i="50"/>
  <c r="AF174" i="50"/>
  <c r="AE174" i="50"/>
  <c r="AD174" i="50"/>
  <c r="AC174" i="50"/>
  <c r="AB174" i="50"/>
  <c r="AA174" i="50"/>
  <c r="AJ173" i="50"/>
  <c r="AI173" i="50"/>
  <c r="AH173" i="50"/>
  <c r="AG173" i="50"/>
  <c r="AF173" i="50"/>
  <c r="AE173" i="50"/>
  <c r="AD173" i="50"/>
  <c r="AC173" i="50"/>
  <c r="AB173" i="50"/>
  <c r="AA173" i="50"/>
  <c r="AJ172" i="50"/>
  <c r="AI172" i="50"/>
  <c r="AH172" i="50"/>
  <c r="AG172" i="50"/>
  <c r="AF172" i="50"/>
  <c r="AE172" i="50"/>
  <c r="AD172" i="50"/>
  <c r="AC172" i="50"/>
  <c r="AB172" i="50"/>
  <c r="AA172" i="50"/>
  <c r="AJ171" i="50"/>
  <c r="AI171" i="50"/>
  <c r="AH171" i="50"/>
  <c r="AG171" i="50"/>
  <c r="AF171" i="50"/>
  <c r="AE171" i="50"/>
  <c r="AD171" i="50"/>
  <c r="AC171" i="50"/>
  <c r="AB171" i="50"/>
  <c r="AA171" i="50"/>
  <c r="AJ170" i="50"/>
  <c r="AI170" i="50"/>
  <c r="AH170" i="50"/>
  <c r="AG170" i="50"/>
  <c r="AF170" i="50"/>
  <c r="AE170" i="50"/>
  <c r="AD170" i="50"/>
  <c r="AC170" i="50"/>
  <c r="AB170" i="50"/>
  <c r="AA170" i="50"/>
  <c r="AJ169" i="50"/>
  <c r="AI169" i="50"/>
  <c r="AH169" i="50"/>
  <c r="AG169" i="50"/>
  <c r="AF169" i="50"/>
  <c r="AE169" i="50"/>
  <c r="AD169" i="50"/>
  <c r="AC169" i="50"/>
  <c r="AB169" i="50"/>
  <c r="AA169" i="50"/>
  <c r="AJ168" i="50"/>
  <c r="AI168" i="50"/>
  <c r="AH168" i="50"/>
  <c r="AG168" i="50"/>
  <c r="AF168" i="50"/>
  <c r="AE168" i="50"/>
  <c r="AD168" i="50"/>
  <c r="AC168" i="50"/>
  <c r="AB168" i="50"/>
  <c r="AA168" i="50"/>
  <c r="AM167" i="50"/>
  <c r="AL167" i="50"/>
  <c r="AJ167" i="50"/>
  <c r="AJ214" i="50" s="1"/>
  <c r="AJ215" i="50" s="1"/>
  <c r="AI167" i="50"/>
  <c r="AI214" i="50" s="1"/>
  <c r="AI215" i="50" s="1"/>
  <c r="AH167" i="50"/>
  <c r="AH214" i="50" s="1"/>
  <c r="AH215" i="50" s="1"/>
  <c r="AG167" i="50"/>
  <c r="AG214" i="50" s="1"/>
  <c r="AG215" i="50" s="1"/>
  <c r="AF167" i="50"/>
  <c r="AF214" i="50" s="1"/>
  <c r="AF215" i="50" s="1"/>
  <c r="AE167" i="50"/>
  <c r="AE214" i="50" s="1"/>
  <c r="AE215" i="50" s="1"/>
  <c r="AD167" i="50"/>
  <c r="AD214" i="50" s="1"/>
  <c r="AD215" i="50" s="1"/>
  <c r="AC167" i="50"/>
  <c r="AC214" i="50" s="1"/>
  <c r="AC215" i="50" s="1"/>
  <c r="AB167" i="50"/>
  <c r="AB214" i="50" s="1"/>
  <c r="AB215" i="50" s="1"/>
  <c r="AA167" i="50"/>
  <c r="AA214" i="50" s="1"/>
  <c r="AA215" i="50" s="1"/>
  <c r="AA166" i="50"/>
  <c r="AB166" i="50" s="1"/>
  <c r="AC166" i="50" s="1"/>
  <c r="AD166" i="50" s="1"/>
  <c r="AE166" i="50" s="1"/>
  <c r="AF166" i="50" s="1"/>
  <c r="AG166" i="50" s="1"/>
  <c r="AH166" i="50" s="1"/>
  <c r="AI166" i="50" s="1"/>
  <c r="AJ166" i="50" s="1"/>
  <c r="AK166" i="50" s="1"/>
  <c r="AM213" i="53"/>
  <c r="AL213" i="53"/>
  <c r="AJ213" i="53"/>
  <c r="AI213" i="53"/>
  <c r="AH213" i="53"/>
  <c r="AG213" i="53"/>
  <c r="AF213" i="53"/>
  <c r="AE213" i="53"/>
  <c r="AD213" i="53"/>
  <c r="AC213" i="53"/>
  <c r="AB213" i="53"/>
  <c r="AA213" i="53"/>
  <c r="AM212" i="53"/>
  <c r="AL212" i="53"/>
  <c r="AJ212" i="53"/>
  <c r="AI212" i="53"/>
  <c r="AH212" i="53"/>
  <c r="AG212" i="53"/>
  <c r="AF212" i="53"/>
  <c r="AE212" i="53"/>
  <c r="AD212" i="53"/>
  <c r="AC212" i="53"/>
  <c r="AB212" i="53"/>
  <c r="AA212" i="53"/>
  <c r="AM211" i="53"/>
  <c r="AL211" i="53"/>
  <c r="AJ211" i="53"/>
  <c r="AI211" i="53"/>
  <c r="AH211" i="53"/>
  <c r="AG211" i="53"/>
  <c r="AF211" i="53"/>
  <c r="AE211" i="53"/>
  <c r="AD211" i="53"/>
  <c r="AC211" i="53"/>
  <c r="AB211" i="53"/>
  <c r="AA211" i="53"/>
  <c r="AM210" i="53"/>
  <c r="AL210" i="53"/>
  <c r="AJ210" i="53"/>
  <c r="AI210" i="53"/>
  <c r="AH210" i="53"/>
  <c r="AG210" i="53"/>
  <c r="AF210" i="53"/>
  <c r="AE210" i="53"/>
  <c r="AD210" i="53"/>
  <c r="AC210" i="53"/>
  <c r="AB210" i="53"/>
  <c r="AA210" i="53"/>
  <c r="AM209" i="53"/>
  <c r="AL209" i="53"/>
  <c r="AJ209" i="53"/>
  <c r="AI209" i="53"/>
  <c r="AH209" i="53"/>
  <c r="AG209" i="53"/>
  <c r="AF209" i="53"/>
  <c r="AE209" i="53"/>
  <c r="AD209" i="53"/>
  <c r="AC209" i="53"/>
  <c r="AB209" i="53"/>
  <c r="AA209" i="53"/>
  <c r="AM208" i="53"/>
  <c r="AL208" i="53"/>
  <c r="AJ208" i="53"/>
  <c r="AI208" i="53"/>
  <c r="AH208" i="53"/>
  <c r="AG208" i="53"/>
  <c r="AF208" i="53"/>
  <c r="AE208" i="53"/>
  <c r="AD208" i="53"/>
  <c r="AC208" i="53"/>
  <c r="AB208" i="53"/>
  <c r="AA208" i="53"/>
  <c r="AM207" i="53"/>
  <c r="AL207" i="53"/>
  <c r="AJ207" i="53"/>
  <c r="AI207" i="53"/>
  <c r="AH207" i="53"/>
  <c r="AG207" i="53"/>
  <c r="AF207" i="53"/>
  <c r="AE207" i="53"/>
  <c r="AD207" i="53"/>
  <c r="AC207" i="53"/>
  <c r="AB207" i="53"/>
  <c r="AA207" i="53"/>
  <c r="AM206" i="53"/>
  <c r="AL206" i="53"/>
  <c r="AJ206" i="53"/>
  <c r="AI206" i="53"/>
  <c r="AH206" i="53"/>
  <c r="AG206" i="53"/>
  <c r="AF206" i="53"/>
  <c r="AE206" i="53"/>
  <c r="AD206" i="53"/>
  <c r="AC206" i="53"/>
  <c r="AB206" i="53"/>
  <c r="AA206" i="53"/>
  <c r="AM205" i="53"/>
  <c r="AL205" i="53"/>
  <c r="AJ205" i="53"/>
  <c r="AI205" i="53"/>
  <c r="AH205" i="53"/>
  <c r="AG205" i="53"/>
  <c r="AF205" i="53"/>
  <c r="AE205" i="53"/>
  <c r="AD205" i="53"/>
  <c r="AC205" i="53"/>
  <c r="AB205" i="53"/>
  <c r="AA205" i="53"/>
  <c r="AM204" i="53"/>
  <c r="AL204" i="53"/>
  <c r="AJ204" i="53"/>
  <c r="AI204" i="53"/>
  <c r="AH204" i="53"/>
  <c r="AG204" i="53"/>
  <c r="AF204" i="53"/>
  <c r="AE204" i="53"/>
  <c r="AD204" i="53"/>
  <c r="AC204" i="53"/>
  <c r="AB204" i="53"/>
  <c r="AA204" i="53"/>
  <c r="AM203" i="53"/>
  <c r="AL203" i="53"/>
  <c r="AJ203" i="53"/>
  <c r="AI203" i="53"/>
  <c r="AH203" i="53"/>
  <c r="AG203" i="53"/>
  <c r="AF203" i="53"/>
  <c r="AE203" i="53"/>
  <c r="AD203" i="53"/>
  <c r="AC203" i="53"/>
  <c r="AB203" i="53"/>
  <c r="AA203" i="53"/>
  <c r="AM202" i="53"/>
  <c r="AL202" i="53"/>
  <c r="AJ202" i="53"/>
  <c r="AI202" i="53"/>
  <c r="AH202" i="53"/>
  <c r="AG202" i="53"/>
  <c r="AF202" i="53"/>
  <c r="AE202" i="53"/>
  <c r="AD202" i="53"/>
  <c r="AC202" i="53"/>
  <c r="AB202" i="53"/>
  <c r="AA202" i="53"/>
  <c r="AM201" i="53"/>
  <c r="AL201" i="53"/>
  <c r="AJ201" i="53"/>
  <c r="AI201" i="53"/>
  <c r="AH201" i="53"/>
  <c r="AG201" i="53"/>
  <c r="AF201" i="53"/>
  <c r="AE201" i="53"/>
  <c r="AD201" i="53"/>
  <c r="AC201" i="53"/>
  <c r="AB201" i="53"/>
  <c r="AA201" i="53"/>
  <c r="AM200" i="53"/>
  <c r="AL200" i="53"/>
  <c r="AJ200" i="53"/>
  <c r="AI200" i="53"/>
  <c r="AH200" i="53"/>
  <c r="AG200" i="53"/>
  <c r="AF200" i="53"/>
  <c r="AE200" i="53"/>
  <c r="AD200" i="53"/>
  <c r="AC200" i="53"/>
  <c r="AB200" i="53"/>
  <c r="AA200" i="53"/>
  <c r="AM199" i="53"/>
  <c r="AL199" i="53"/>
  <c r="AJ199" i="53"/>
  <c r="AI199" i="53"/>
  <c r="AH199" i="53"/>
  <c r="AG199" i="53"/>
  <c r="AF199" i="53"/>
  <c r="AE199" i="53"/>
  <c r="AD199" i="53"/>
  <c r="AC199" i="53"/>
  <c r="AB199" i="53"/>
  <c r="AA199" i="53"/>
  <c r="AM198" i="53"/>
  <c r="AL198" i="53"/>
  <c r="AJ198" i="53"/>
  <c r="AI198" i="53"/>
  <c r="AH198" i="53"/>
  <c r="AG198" i="53"/>
  <c r="AF198" i="53"/>
  <c r="AE198" i="53"/>
  <c r="AD198" i="53"/>
  <c r="AC198" i="53"/>
  <c r="AB198" i="53"/>
  <c r="AA198" i="53"/>
  <c r="AM197" i="53"/>
  <c r="AL197" i="53"/>
  <c r="AJ197" i="53"/>
  <c r="AI197" i="53"/>
  <c r="AH197" i="53"/>
  <c r="AG197" i="53"/>
  <c r="AF197" i="53"/>
  <c r="AE197" i="53"/>
  <c r="AD197" i="53"/>
  <c r="AC197" i="53"/>
  <c r="AB197" i="53"/>
  <c r="AA197" i="53"/>
  <c r="AM196" i="53"/>
  <c r="AL196" i="53"/>
  <c r="AJ196" i="53"/>
  <c r="AI196" i="53"/>
  <c r="AH196" i="53"/>
  <c r="AG196" i="53"/>
  <c r="AF196" i="53"/>
  <c r="AE196" i="53"/>
  <c r="AD196" i="53"/>
  <c r="AC196" i="53"/>
  <c r="AB196" i="53"/>
  <c r="AA196" i="53"/>
  <c r="AM195" i="53"/>
  <c r="AL195" i="53"/>
  <c r="AJ195" i="53"/>
  <c r="AI195" i="53"/>
  <c r="AH195" i="53"/>
  <c r="AG195" i="53"/>
  <c r="AF195" i="53"/>
  <c r="AE195" i="53"/>
  <c r="AD195" i="53"/>
  <c r="AC195" i="53"/>
  <c r="AB195" i="53"/>
  <c r="AA195" i="53"/>
  <c r="AM194" i="53"/>
  <c r="AL194" i="53"/>
  <c r="AJ194" i="53"/>
  <c r="AI194" i="53"/>
  <c r="AH194" i="53"/>
  <c r="AG194" i="53"/>
  <c r="AF194" i="53"/>
  <c r="AE194" i="53"/>
  <c r="AD194" i="53"/>
  <c r="AC194" i="53"/>
  <c r="AB194" i="53"/>
  <c r="AA194" i="53"/>
  <c r="AM193" i="53"/>
  <c r="AL193" i="53"/>
  <c r="AJ193" i="53"/>
  <c r="AI193" i="53"/>
  <c r="AH193" i="53"/>
  <c r="AG193" i="53"/>
  <c r="AF193" i="53"/>
  <c r="AE193" i="53"/>
  <c r="AD193" i="53"/>
  <c r="AC193" i="53"/>
  <c r="AB193" i="53"/>
  <c r="AA193" i="53"/>
  <c r="AM192" i="53"/>
  <c r="AL192" i="53"/>
  <c r="AJ192" i="53"/>
  <c r="AI192" i="53"/>
  <c r="AH192" i="53"/>
  <c r="AG192" i="53"/>
  <c r="AF192" i="53"/>
  <c r="AE192" i="53"/>
  <c r="AD192" i="53"/>
  <c r="AC192" i="53"/>
  <c r="AB192" i="53"/>
  <c r="AA192" i="53"/>
  <c r="AM191" i="53"/>
  <c r="AL191" i="53"/>
  <c r="AJ191" i="53"/>
  <c r="AI191" i="53"/>
  <c r="AH191" i="53"/>
  <c r="AG191" i="53"/>
  <c r="AF191" i="53"/>
  <c r="AE191" i="53"/>
  <c r="AD191" i="53"/>
  <c r="AC191" i="53"/>
  <c r="AB191" i="53"/>
  <c r="AA191" i="53"/>
  <c r="AM190" i="53"/>
  <c r="AL190" i="53"/>
  <c r="AJ190" i="53"/>
  <c r="AI190" i="53"/>
  <c r="AH190" i="53"/>
  <c r="AG190" i="53"/>
  <c r="AF190" i="53"/>
  <c r="AE190" i="53"/>
  <c r="AD190" i="53"/>
  <c r="AC190" i="53"/>
  <c r="AB190" i="53"/>
  <c r="AA190" i="53"/>
  <c r="AM189" i="53"/>
  <c r="AL189" i="53"/>
  <c r="AJ189" i="53"/>
  <c r="AI189" i="53"/>
  <c r="AH189" i="53"/>
  <c r="AG189" i="53"/>
  <c r="AF189" i="53"/>
  <c r="AE189" i="53"/>
  <c r="AD189" i="53"/>
  <c r="AC189" i="53"/>
  <c r="AB189" i="53"/>
  <c r="AA189" i="53"/>
  <c r="AM188" i="53"/>
  <c r="AL188" i="53"/>
  <c r="AJ188" i="53"/>
  <c r="AI188" i="53"/>
  <c r="AH188" i="53"/>
  <c r="AG188" i="53"/>
  <c r="AF188" i="53"/>
  <c r="AE188" i="53"/>
  <c r="AD188" i="53"/>
  <c r="AC188" i="53"/>
  <c r="AB188" i="53"/>
  <c r="AA188" i="53"/>
  <c r="AJ187" i="53"/>
  <c r="AI187" i="53"/>
  <c r="AH187" i="53"/>
  <c r="AG187" i="53"/>
  <c r="AF187" i="53"/>
  <c r="AE187" i="53"/>
  <c r="AD187" i="53"/>
  <c r="AC187" i="53"/>
  <c r="AB187" i="53"/>
  <c r="AA187" i="53"/>
  <c r="AJ186" i="53"/>
  <c r="AI186" i="53"/>
  <c r="AH186" i="53"/>
  <c r="AG186" i="53"/>
  <c r="AF186" i="53"/>
  <c r="AE186" i="53"/>
  <c r="AD186" i="53"/>
  <c r="AC186" i="53"/>
  <c r="AB186" i="53"/>
  <c r="AA186" i="53"/>
  <c r="AJ185" i="53"/>
  <c r="AI185" i="53"/>
  <c r="AH185" i="53"/>
  <c r="AG185" i="53"/>
  <c r="AF185" i="53"/>
  <c r="AE185" i="53"/>
  <c r="AD185" i="53"/>
  <c r="AC185" i="53"/>
  <c r="AB185" i="53"/>
  <c r="AA185" i="53"/>
  <c r="AJ184" i="53"/>
  <c r="AI184" i="53"/>
  <c r="AH184" i="53"/>
  <c r="AG184" i="53"/>
  <c r="AF184" i="53"/>
  <c r="AE184" i="53"/>
  <c r="AD184" i="53"/>
  <c r="AC184" i="53"/>
  <c r="AB184" i="53"/>
  <c r="AA184" i="53"/>
  <c r="AJ183" i="53"/>
  <c r="AI183" i="53"/>
  <c r="AH183" i="53"/>
  <c r="AG183" i="53"/>
  <c r="AF183" i="53"/>
  <c r="AE183" i="53"/>
  <c r="AD183" i="53"/>
  <c r="AC183" i="53"/>
  <c r="AB183" i="53"/>
  <c r="AA183" i="53"/>
  <c r="AJ182" i="53"/>
  <c r="AI182" i="53"/>
  <c r="AH182" i="53"/>
  <c r="AG182" i="53"/>
  <c r="AF182" i="53"/>
  <c r="AE182" i="53"/>
  <c r="AD182" i="53"/>
  <c r="AC182" i="53"/>
  <c r="AB182" i="53"/>
  <c r="AA182" i="53"/>
  <c r="AJ180" i="53"/>
  <c r="AI180" i="53"/>
  <c r="AH180" i="53"/>
  <c r="AG180" i="53"/>
  <c r="AF180" i="53"/>
  <c r="AE180" i="53"/>
  <c r="AD180" i="53"/>
  <c r="AC180" i="53"/>
  <c r="AB180" i="53"/>
  <c r="AA180" i="53"/>
  <c r="AM167" i="53"/>
  <c r="AL167" i="53"/>
  <c r="AJ167" i="53"/>
  <c r="AI167" i="53"/>
  <c r="AH167" i="53"/>
  <c r="AG167" i="53"/>
  <c r="AF167" i="53"/>
  <c r="AE167" i="53"/>
  <c r="AD167" i="53"/>
  <c r="AC167" i="53"/>
  <c r="AB167" i="53"/>
  <c r="AA167" i="53"/>
  <c r="AA166" i="53"/>
  <c r="AM213" i="76"/>
  <c r="AL213" i="76"/>
  <c r="AJ213" i="76"/>
  <c r="AI213" i="76"/>
  <c r="AH213" i="76"/>
  <c r="AG213" i="76"/>
  <c r="AF213" i="76"/>
  <c r="AE213" i="76"/>
  <c r="AD213" i="76"/>
  <c r="AC213" i="76"/>
  <c r="AB213" i="76"/>
  <c r="AA213" i="76"/>
  <c r="AM212" i="76"/>
  <c r="AL212" i="76"/>
  <c r="AJ212" i="76"/>
  <c r="AI212" i="76"/>
  <c r="AH212" i="76"/>
  <c r="AG212" i="76"/>
  <c r="AF212" i="76"/>
  <c r="AE212" i="76"/>
  <c r="AD212" i="76"/>
  <c r="AC212" i="76"/>
  <c r="AB212" i="76"/>
  <c r="AA212" i="76"/>
  <c r="AM211" i="76"/>
  <c r="AL211" i="76"/>
  <c r="AJ211" i="76"/>
  <c r="AI211" i="76"/>
  <c r="AH211" i="76"/>
  <c r="AG211" i="76"/>
  <c r="AF211" i="76"/>
  <c r="AE211" i="76"/>
  <c r="AD211" i="76"/>
  <c r="AC211" i="76"/>
  <c r="AB211" i="76"/>
  <c r="AA211" i="76"/>
  <c r="AM210" i="76"/>
  <c r="AL210" i="76"/>
  <c r="AJ210" i="76"/>
  <c r="AI210" i="76"/>
  <c r="AH210" i="76"/>
  <c r="AG210" i="76"/>
  <c r="AF210" i="76"/>
  <c r="AE210" i="76"/>
  <c r="AD210" i="76"/>
  <c r="AC210" i="76"/>
  <c r="AB210" i="76"/>
  <c r="AA210" i="76"/>
  <c r="AM209" i="76"/>
  <c r="AL209" i="76"/>
  <c r="AJ209" i="76"/>
  <c r="AI209" i="76"/>
  <c r="AH209" i="76"/>
  <c r="AG209" i="76"/>
  <c r="AF209" i="76"/>
  <c r="AE209" i="76"/>
  <c r="AD209" i="76"/>
  <c r="AC209" i="76"/>
  <c r="AB209" i="76"/>
  <c r="AA209" i="76"/>
  <c r="AM208" i="76"/>
  <c r="AL208" i="76"/>
  <c r="AJ208" i="76"/>
  <c r="AI208" i="76"/>
  <c r="AH208" i="76"/>
  <c r="AG208" i="76"/>
  <c r="AF208" i="76"/>
  <c r="AE208" i="76"/>
  <c r="AD208" i="76"/>
  <c r="AC208" i="76"/>
  <c r="AB208" i="76"/>
  <c r="AA208" i="76"/>
  <c r="AM207" i="76"/>
  <c r="AL207" i="76"/>
  <c r="AJ207" i="76"/>
  <c r="AI207" i="76"/>
  <c r="AH207" i="76"/>
  <c r="AG207" i="76"/>
  <c r="AF207" i="76"/>
  <c r="AE207" i="76"/>
  <c r="AD207" i="76"/>
  <c r="AC207" i="76"/>
  <c r="AB207" i="76"/>
  <c r="AA207" i="76"/>
  <c r="AM206" i="76"/>
  <c r="AL206" i="76"/>
  <c r="AJ206" i="76"/>
  <c r="AI206" i="76"/>
  <c r="AH206" i="76"/>
  <c r="AG206" i="76"/>
  <c r="AF206" i="76"/>
  <c r="AE206" i="76"/>
  <c r="AD206" i="76"/>
  <c r="AC206" i="76"/>
  <c r="AB206" i="76"/>
  <c r="AA206" i="76"/>
  <c r="AM205" i="76"/>
  <c r="AL205" i="76"/>
  <c r="AJ205" i="76"/>
  <c r="AI205" i="76"/>
  <c r="AH205" i="76"/>
  <c r="AG205" i="76"/>
  <c r="AF205" i="76"/>
  <c r="AE205" i="76"/>
  <c r="AD205" i="76"/>
  <c r="AC205" i="76"/>
  <c r="AB205" i="76"/>
  <c r="AA205" i="76"/>
  <c r="AM204" i="76"/>
  <c r="AL204" i="76"/>
  <c r="AJ204" i="76"/>
  <c r="AI204" i="76"/>
  <c r="AH204" i="76"/>
  <c r="AG204" i="76"/>
  <c r="AF204" i="76"/>
  <c r="AE204" i="76"/>
  <c r="AD204" i="76"/>
  <c r="AC204" i="76"/>
  <c r="AB204" i="76"/>
  <c r="AA204" i="76"/>
  <c r="AM203" i="76"/>
  <c r="AL203" i="76"/>
  <c r="AJ203" i="76"/>
  <c r="AI203" i="76"/>
  <c r="AH203" i="76"/>
  <c r="AG203" i="76"/>
  <c r="AF203" i="76"/>
  <c r="AE203" i="76"/>
  <c r="AD203" i="76"/>
  <c r="AC203" i="76"/>
  <c r="AB203" i="76"/>
  <c r="AA203" i="76"/>
  <c r="AM202" i="76"/>
  <c r="AL202" i="76"/>
  <c r="AJ202" i="76"/>
  <c r="AI202" i="76"/>
  <c r="AH202" i="76"/>
  <c r="AG202" i="76"/>
  <c r="AF202" i="76"/>
  <c r="AE202" i="76"/>
  <c r="AD202" i="76"/>
  <c r="AC202" i="76"/>
  <c r="AB202" i="76"/>
  <c r="AA202" i="76"/>
  <c r="AM201" i="76"/>
  <c r="AL201" i="76"/>
  <c r="AJ201" i="76"/>
  <c r="AI201" i="76"/>
  <c r="AH201" i="76"/>
  <c r="AG201" i="76"/>
  <c r="AF201" i="76"/>
  <c r="AE201" i="76"/>
  <c r="AD201" i="76"/>
  <c r="AC201" i="76"/>
  <c r="AB201" i="76"/>
  <c r="AA201" i="76"/>
  <c r="AM200" i="76"/>
  <c r="AL200" i="76"/>
  <c r="AJ200" i="76"/>
  <c r="AI200" i="76"/>
  <c r="AH200" i="76"/>
  <c r="AG200" i="76"/>
  <c r="AF200" i="76"/>
  <c r="AE200" i="76"/>
  <c r="AD200" i="76"/>
  <c r="AC200" i="76"/>
  <c r="AB200" i="76"/>
  <c r="AA200" i="76"/>
  <c r="AM199" i="76"/>
  <c r="AL199" i="76"/>
  <c r="AJ199" i="76"/>
  <c r="AI199" i="76"/>
  <c r="AH199" i="76"/>
  <c r="AG199" i="76"/>
  <c r="AF199" i="76"/>
  <c r="AE199" i="76"/>
  <c r="AD199" i="76"/>
  <c r="AC199" i="76"/>
  <c r="AB199" i="76"/>
  <c r="AA199" i="76"/>
  <c r="AM198" i="76"/>
  <c r="AL198" i="76"/>
  <c r="AJ198" i="76"/>
  <c r="AI198" i="76"/>
  <c r="AH198" i="76"/>
  <c r="AG198" i="76"/>
  <c r="AF198" i="76"/>
  <c r="AE198" i="76"/>
  <c r="AD198" i="76"/>
  <c r="AC198" i="76"/>
  <c r="AB198" i="76"/>
  <c r="AA198" i="76"/>
  <c r="AM197" i="76"/>
  <c r="AL197" i="76"/>
  <c r="AJ197" i="76"/>
  <c r="AI197" i="76"/>
  <c r="AH197" i="76"/>
  <c r="AG197" i="76"/>
  <c r="AF197" i="76"/>
  <c r="AE197" i="76"/>
  <c r="AD197" i="76"/>
  <c r="AC197" i="76"/>
  <c r="AB197" i="76"/>
  <c r="AA197" i="76"/>
  <c r="AM196" i="76"/>
  <c r="AL196" i="76"/>
  <c r="AJ196" i="76"/>
  <c r="AI196" i="76"/>
  <c r="AH196" i="76"/>
  <c r="AG196" i="76"/>
  <c r="AF196" i="76"/>
  <c r="AE196" i="76"/>
  <c r="AD196" i="76"/>
  <c r="AC196" i="76"/>
  <c r="AB196" i="76"/>
  <c r="AA196" i="76"/>
  <c r="AM195" i="76"/>
  <c r="AL195" i="76"/>
  <c r="AJ195" i="76"/>
  <c r="AI195" i="76"/>
  <c r="AH195" i="76"/>
  <c r="AG195" i="76"/>
  <c r="AF195" i="76"/>
  <c r="AE195" i="76"/>
  <c r="AD195" i="76"/>
  <c r="AC195" i="76"/>
  <c r="AB195" i="76"/>
  <c r="AA195" i="76"/>
  <c r="AM194" i="76"/>
  <c r="AL194" i="76"/>
  <c r="AJ194" i="76"/>
  <c r="AI194" i="76"/>
  <c r="AH194" i="76"/>
  <c r="AG194" i="76"/>
  <c r="AF194" i="76"/>
  <c r="AE194" i="76"/>
  <c r="AD194" i="76"/>
  <c r="AC194" i="76"/>
  <c r="AB194" i="76"/>
  <c r="AA194" i="76"/>
  <c r="AM193" i="76"/>
  <c r="AL193" i="76"/>
  <c r="AJ193" i="76"/>
  <c r="AI193" i="76"/>
  <c r="AH193" i="76"/>
  <c r="AG193" i="76"/>
  <c r="AF193" i="76"/>
  <c r="AE193" i="76"/>
  <c r="AD193" i="76"/>
  <c r="AC193" i="76"/>
  <c r="AB193" i="76"/>
  <c r="AA193" i="76"/>
  <c r="AM192" i="76"/>
  <c r="AL192" i="76"/>
  <c r="AJ192" i="76"/>
  <c r="AI192" i="76"/>
  <c r="AH192" i="76"/>
  <c r="AG192" i="76"/>
  <c r="AF192" i="76"/>
  <c r="AE192" i="76"/>
  <c r="AD192" i="76"/>
  <c r="AC192" i="76"/>
  <c r="AB192" i="76"/>
  <c r="AA192" i="76"/>
  <c r="AM191" i="76"/>
  <c r="AL191" i="76"/>
  <c r="AJ191" i="76"/>
  <c r="AI191" i="76"/>
  <c r="AH191" i="76"/>
  <c r="AG191" i="76"/>
  <c r="AF191" i="76"/>
  <c r="AE191" i="76"/>
  <c r="AD191" i="76"/>
  <c r="AC191" i="76"/>
  <c r="AB191" i="76"/>
  <c r="AA191" i="76"/>
  <c r="AM190" i="76"/>
  <c r="AL190" i="76"/>
  <c r="AJ190" i="76"/>
  <c r="AI190" i="76"/>
  <c r="AH190" i="76"/>
  <c r="AG190" i="76"/>
  <c r="AF190" i="76"/>
  <c r="AE190" i="76"/>
  <c r="AD190" i="76"/>
  <c r="AC190" i="76"/>
  <c r="AB190" i="76"/>
  <c r="AA190" i="76"/>
  <c r="AM189" i="76"/>
  <c r="AL189" i="76"/>
  <c r="AJ189" i="76"/>
  <c r="AI189" i="76"/>
  <c r="AH189" i="76"/>
  <c r="AG189" i="76"/>
  <c r="AF189" i="76"/>
  <c r="AE189" i="76"/>
  <c r="AD189" i="76"/>
  <c r="AC189" i="76"/>
  <c r="AB189" i="76"/>
  <c r="AA189" i="76"/>
  <c r="AM188" i="76"/>
  <c r="AL188" i="76"/>
  <c r="AJ188" i="76"/>
  <c r="AI188" i="76"/>
  <c r="AH188" i="76"/>
  <c r="AG188" i="76"/>
  <c r="AF188" i="76"/>
  <c r="AE188" i="76"/>
  <c r="AD188" i="76"/>
  <c r="AC188" i="76"/>
  <c r="AB188" i="76"/>
  <c r="AA188" i="76"/>
  <c r="AJ187" i="76"/>
  <c r="AI187" i="76"/>
  <c r="AH187" i="76"/>
  <c r="AG187" i="76"/>
  <c r="AF187" i="76"/>
  <c r="AE187" i="76"/>
  <c r="AD187" i="76"/>
  <c r="AC187" i="76"/>
  <c r="AB187" i="76"/>
  <c r="AA187" i="76"/>
  <c r="AJ186" i="76"/>
  <c r="AI186" i="76"/>
  <c r="AH186" i="76"/>
  <c r="AG186" i="76"/>
  <c r="AF186" i="76"/>
  <c r="AE186" i="76"/>
  <c r="AD186" i="76"/>
  <c r="AC186" i="76"/>
  <c r="AB186" i="76"/>
  <c r="AA186" i="76"/>
  <c r="AJ185" i="76"/>
  <c r="AI185" i="76"/>
  <c r="AH185" i="76"/>
  <c r="AG185" i="76"/>
  <c r="AF185" i="76"/>
  <c r="AE185" i="76"/>
  <c r="AD185" i="76"/>
  <c r="AC185" i="76"/>
  <c r="AB185" i="76"/>
  <c r="AA185" i="76"/>
  <c r="AJ184" i="76"/>
  <c r="AI184" i="76"/>
  <c r="AH184" i="76"/>
  <c r="AG184" i="76"/>
  <c r="AF184" i="76"/>
  <c r="AE184" i="76"/>
  <c r="AD184" i="76"/>
  <c r="AC184" i="76"/>
  <c r="AB184" i="76"/>
  <c r="AA184" i="76"/>
  <c r="AJ183" i="76"/>
  <c r="AI183" i="76"/>
  <c r="AH183" i="76"/>
  <c r="AG183" i="76"/>
  <c r="AF183" i="76"/>
  <c r="AE183" i="76"/>
  <c r="AD183" i="76"/>
  <c r="AC183" i="76"/>
  <c r="AB183" i="76"/>
  <c r="AA183" i="76"/>
  <c r="AJ182" i="76"/>
  <c r="AI182" i="76"/>
  <c r="AH182" i="76"/>
  <c r="AG182" i="76"/>
  <c r="AF182" i="76"/>
  <c r="AE182" i="76"/>
  <c r="AD182" i="76"/>
  <c r="AC182" i="76"/>
  <c r="AB182" i="76"/>
  <c r="AA182" i="76"/>
  <c r="AJ180" i="76"/>
  <c r="AI180" i="76"/>
  <c r="AH180" i="76"/>
  <c r="AG180" i="76"/>
  <c r="AF180" i="76"/>
  <c r="AE180" i="76"/>
  <c r="AD180" i="76"/>
  <c r="AC180" i="76"/>
  <c r="AB180" i="76"/>
  <c r="AA180" i="76"/>
  <c r="AM167" i="76"/>
  <c r="AL167" i="76"/>
  <c r="AJ167" i="76"/>
  <c r="AI167" i="76"/>
  <c r="AH167" i="76"/>
  <c r="AG167" i="76"/>
  <c r="AF167" i="76"/>
  <c r="AE167" i="76"/>
  <c r="AD167" i="76"/>
  <c r="AC167" i="76"/>
  <c r="AB167" i="76"/>
  <c r="AA167" i="76"/>
  <c r="AA166" i="76"/>
  <c r="AM213" i="61"/>
  <c r="AL213" i="61"/>
  <c r="AJ213" i="61"/>
  <c r="AI213" i="61"/>
  <c r="AH213" i="61"/>
  <c r="AG213" i="61"/>
  <c r="AF213" i="61"/>
  <c r="AE213" i="61"/>
  <c r="AD213" i="61"/>
  <c r="AC213" i="61"/>
  <c r="AB213" i="61"/>
  <c r="AA213" i="61"/>
  <c r="AM212" i="61"/>
  <c r="AL212" i="61"/>
  <c r="AJ212" i="61"/>
  <c r="AI212" i="61"/>
  <c r="AH212" i="61"/>
  <c r="AG212" i="61"/>
  <c r="AF212" i="61"/>
  <c r="AE212" i="61"/>
  <c r="AD212" i="61"/>
  <c r="AC212" i="61"/>
  <c r="AB212" i="61"/>
  <c r="AA212" i="61"/>
  <c r="AM211" i="61"/>
  <c r="AL211" i="61"/>
  <c r="AJ211" i="61"/>
  <c r="AI211" i="61"/>
  <c r="AH211" i="61"/>
  <c r="AG211" i="61"/>
  <c r="AF211" i="61"/>
  <c r="AE211" i="61"/>
  <c r="AD211" i="61"/>
  <c r="AC211" i="61"/>
  <c r="AB211" i="61"/>
  <c r="AA211" i="61"/>
  <c r="AM210" i="61"/>
  <c r="AL210" i="61"/>
  <c r="AJ210" i="61"/>
  <c r="AI210" i="61"/>
  <c r="AH210" i="61"/>
  <c r="AG210" i="61"/>
  <c r="AF210" i="61"/>
  <c r="AE210" i="61"/>
  <c r="AD210" i="61"/>
  <c r="AC210" i="61"/>
  <c r="AB210" i="61"/>
  <c r="AA210" i="61"/>
  <c r="AM209" i="61"/>
  <c r="AL209" i="61"/>
  <c r="AJ209" i="61"/>
  <c r="AI209" i="61"/>
  <c r="AH209" i="61"/>
  <c r="AG209" i="61"/>
  <c r="AF209" i="61"/>
  <c r="AE209" i="61"/>
  <c r="AD209" i="61"/>
  <c r="AC209" i="61"/>
  <c r="AB209" i="61"/>
  <c r="AA209" i="61"/>
  <c r="AM208" i="61"/>
  <c r="AL208" i="61"/>
  <c r="AJ208" i="61"/>
  <c r="AI208" i="61"/>
  <c r="AH208" i="61"/>
  <c r="AG208" i="61"/>
  <c r="AF208" i="61"/>
  <c r="AE208" i="61"/>
  <c r="AD208" i="61"/>
  <c r="AC208" i="61"/>
  <c r="AB208" i="61"/>
  <c r="AA208" i="61"/>
  <c r="AM207" i="61"/>
  <c r="AL207" i="61"/>
  <c r="AJ207" i="61"/>
  <c r="AI207" i="61"/>
  <c r="AH207" i="61"/>
  <c r="AG207" i="61"/>
  <c r="AF207" i="61"/>
  <c r="AE207" i="61"/>
  <c r="AD207" i="61"/>
  <c r="AC207" i="61"/>
  <c r="AB207" i="61"/>
  <c r="AA207" i="61"/>
  <c r="AM206" i="61"/>
  <c r="AL206" i="61"/>
  <c r="AJ206" i="61"/>
  <c r="AI206" i="61"/>
  <c r="AH206" i="61"/>
  <c r="AG206" i="61"/>
  <c r="AF206" i="61"/>
  <c r="AE206" i="61"/>
  <c r="AD206" i="61"/>
  <c r="AC206" i="61"/>
  <c r="AB206" i="61"/>
  <c r="AA206" i="61"/>
  <c r="AM205" i="61"/>
  <c r="AL205" i="61"/>
  <c r="AJ205" i="61"/>
  <c r="AI205" i="61"/>
  <c r="AH205" i="61"/>
  <c r="AG205" i="61"/>
  <c r="AF205" i="61"/>
  <c r="AE205" i="61"/>
  <c r="AD205" i="61"/>
  <c r="AC205" i="61"/>
  <c r="AB205" i="61"/>
  <c r="AA205" i="61"/>
  <c r="AM204" i="61"/>
  <c r="AL204" i="61"/>
  <c r="AJ204" i="61"/>
  <c r="AI204" i="61"/>
  <c r="AH204" i="61"/>
  <c r="AG204" i="61"/>
  <c r="AF204" i="61"/>
  <c r="AE204" i="61"/>
  <c r="AD204" i="61"/>
  <c r="AC204" i="61"/>
  <c r="AB204" i="61"/>
  <c r="AA204" i="61"/>
  <c r="AM203" i="61"/>
  <c r="AL203" i="61"/>
  <c r="AJ203" i="61"/>
  <c r="AI203" i="61"/>
  <c r="AH203" i="61"/>
  <c r="AG203" i="61"/>
  <c r="AF203" i="61"/>
  <c r="AE203" i="61"/>
  <c r="AD203" i="61"/>
  <c r="AC203" i="61"/>
  <c r="AB203" i="61"/>
  <c r="AA203" i="61"/>
  <c r="AM202" i="61"/>
  <c r="AL202" i="61"/>
  <c r="AJ202" i="61"/>
  <c r="AI202" i="61"/>
  <c r="AH202" i="61"/>
  <c r="AG202" i="61"/>
  <c r="AF202" i="61"/>
  <c r="AE202" i="61"/>
  <c r="AD202" i="61"/>
  <c r="AC202" i="61"/>
  <c r="AB202" i="61"/>
  <c r="AA202" i="61"/>
  <c r="AM201" i="61"/>
  <c r="AL201" i="61"/>
  <c r="AJ201" i="61"/>
  <c r="AI201" i="61"/>
  <c r="AH201" i="61"/>
  <c r="AG201" i="61"/>
  <c r="AF201" i="61"/>
  <c r="AE201" i="61"/>
  <c r="AD201" i="61"/>
  <c r="AC201" i="61"/>
  <c r="AB201" i="61"/>
  <c r="AA201" i="61"/>
  <c r="AM200" i="61"/>
  <c r="AL200" i="61"/>
  <c r="AJ200" i="61"/>
  <c r="AI200" i="61"/>
  <c r="AH200" i="61"/>
  <c r="AG200" i="61"/>
  <c r="AF200" i="61"/>
  <c r="AE200" i="61"/>
  <c r="AD200" i="61"/>
  <c r="AC200" i="61"/>
  <c r="AB200" i="61"/>
  <c r="AA200" i="61"/>
  <c r="AM199" i="61"/>
  <c r="AL199" i="61"/>
  <c r="AJ199" i="61"/>
  <c r="AI199" i="61"/>
  <c r="AH199" i="61"/>
  <c r="AG199" i="61"/>
  <c r="AF199" i="61"/>
  <c r="AE199" i="61"/>
  <c r="AD199" i="61"/>
  <c r="AC199" i="61"/>
  <c r="AB199" i="61"/>
  <c r="AA199" i="61"/>
  <c r="AM198" i="61"/>
  <c r="AL198" i="61"/>
  <c r="AJ198" i="61"/>
  <c r="AI198" i="61"/>
  <c r="AH198" i="61"/>
  <c r="AG198" i="61"/>
  <c r="AF198" i="61"/>
  <c r="AE198" i="61"/>
  <c r="AD198" i="61"/>
  <c r="AC198" i="61"/>
  <c r="AB198" i="61"/>
  <c r="AA198" i="61"/>
  <c r="AM197" i="61"/>
  <c r="AL197" i="61"/>
  <c r="AJ197" i="61"/>
  <c r="AI197" i="61"/>
  <c r="AH197" i="61"/>
  <c r="AG197" i="61"/>
  <c r="AF197" i="61"/>
  <c r="AE197" i="61"/>
  <c r="AD197" i="61"/>
  <c r="AC197" i="61"/>
  <c r="AB197" i="61"/>
  <c r="AA197" i="61"/>
  <c r="AM196" i="61"/>
  <c r="AL196" i="61"/>
  <c r="AJ196" i="61"/>
  <c r="AI196" i="61"/>
  <c r="AH196" i="61"/>
  <c r="AG196" i="61"/>
  <c r="AF196" i="61"/>
  <c r="AE196" i="61"/>
  <c r="AD196" i="61"/>
  <c r="AC196" i="61"/>
  <c r="AB196" i="61"/>
  <c r="AA196" i="61"/>
  <c r="AM195" i="61"/>
  <c r="AL195" i="61"/>
  <c r="AJ195" i="61"/>
  <c r="AI195" i="61"/>
  <c r="AH195" i="61"/>
  <c r="AG195" i="61"/>
  <c r="AF195" i="61"/>
  <c r="AE195" i="61"/>
  <c r="AD195" i="61"/>
  <c r="AC195" i="61"/>
  <c r="AB195" i="61"/>
  <c r="AA195" i="61"/>
  <c r="AM194" i="61"/>
  <c r="AL194" i="61"/>
  <c r="AJ194" i="61"/>
  <c r="AI194" i="61"/>
  <c r="AH194" i="61"/>
  <c r="AG194" i="61"/>
  <c r="AF194" i="61"/>
  <c r="AE194" i="61"/>
  <c r="AD194" i="61"/>
  <c r="AC194" i="61"/>
  <c r="AB194" i="61"/>
  <c r="AA194" i="61"/>
  <c r="AM193" i="61"/>
  <c r="AL193" i="61"/>
  <c r="AJ193" i="61"/>
  <c r="AI193" i="61"/>
  <c r="AH193" i="61"/>
  <c r="AG193" i="61"/>
  <c r="AF193" i="61"/>
  <c r="AE193" i="61"/>
  <c r="AD193" i="61"/>
  <c r="AC193" i="61"/>
  <c r="AB193" i="61"/>
  <c r="AA193" i="61"/>
  <c r="AM192" i="61"/>
  <c r="AL192" i="61"/>
  <c r="AJ192" i="61"/>
  <c r="AI192" i="61"/>
  <c r="AH192" i="61"/>
  <c r="AG192" i="61"/>
  <c r="AF192" i="61"/>
  <c r="AE192" i="61"/>
  <c r="AD192" i="61"/>
  <c r="AC192" i="61"/>
  <c r="AB192" i="61"/>
  <c r="AA192" i="61"/>
  <c r="AM191" i="61"/>
  <c r="AL191" i="61"/>
  <c r="AJ191" i="61"/>
  <c r="AI191" i="61"/>
  <c r="AH191" i="61"/>
  <c r="AG191" i="61"/>
  <c r="AF191" i="61"/>
  <c r="AE191" i="61"/>
  <c r="AD191" i="61"/>
  <c r="AC191" i="61"/>
  <c r="AB191" i="61"/>
  <c r="AA191" i="61"/>
  <c r="AM190" i="61"/>
  <c r="AL190" i="61"/>
  <c r="AJ190" i="61"/>
  <c r="AI190" i="61"/>
  <c r="AH190" i="61"/>
  <c r="AG190" i="61"/>
  <c r="AF190" i="61"/>
  <c r="AE190" i="61"/>
  <c r="AD190" i="61"/>
  <c r="AC190" i="61"/>
  <c r="AB190" i="61"/>
  <c r="AA190" i="61"/>
  <c r="AM189" i="61"/>
  <c r="AL189" i="61"/>
  <c r="AJ189" i="61"/>
  <c r="AI189" i="61"/>
  <c r="AH189" i="61"/>
  <c r="AG189" i="61"/>
  <c r="AF189" i="61"/>
  <c r="AE189" i="61"/>
  <c r="AD189" i="61"/>
  <c r="AC189" i="61"/>
  <c r="AB189" i="61"/>
  <c r="AA189" i="61"/>
  <c r="AM188" i="61"/>
  <c r="AL188" i="61"/>
  <c r="AJ188" i="61"/>
  <c r="AI188" i="61"/>
  <c r="AH188" i="61"/>
  <c r="AG188" i="61"/>
  <c r="AF188" i="61"/>
  <c r="AE188" i="61"/>
  <c r="AD188" i="61"/>
  <c r="AC188" i="61"/>
  <c r="AB188" i="61"/>
  <c r="AA188" i="61"/>
  <c r="AM187" i="61"/>
  <c r="AL187" i="61"/>
  <c r="AJ187" i="61"/>
  <c r="AI187" i="61"/>
  <c r="AH187" i="61"/>
  <c r="AG187" i="61"/>
  <c r="AF187" i="61"/>
  <c r="AE187" i="61"/>
  <c r="AD187" i="61"/>
  <c r="AC187" i="61"/>
  <c r="AB187" i="61"/>
  <c r="AA187" i="61"/>
  <c r="AM186" i="61"/>
  <c r="AL186" i="61"/>
  <c r="AJ186" i="61"/>
  <c r="AI186" i="61"/>
  <c r="AH186" i="61"/>
  <c r="AG186" i="61"/>
  <c r="AF186" i="61"/>
  <c r="AE186" i="61"/>
  <c r="AD186" i="61"/>
  <c r="AC186" i="61"/>
  <c r="AB186" i="61"/>
  <c r="AA186" i="61"/>
  <c r="AM185" i="61"/>
  <c r="AL185" i="61"/>
  <c r="AJ185" i="61"/>
  <c r="AI185" i="61"/>
  <c r="AH185" i="61"/>
  <c r="AG185" i="61"/>
  <c r="AF185" i="61"/>
  <c r="AE185" i="61"/>
  <c r="AD185" i="61"/>
  <c r="AC185" i="61"/>
  <c r="AB185" i="61"/>
  <c r="AA185" i="61"/>
  <c r="AM184" i="61"/>
  <c r="AL184" i="61"/>
  <c r="AJ184" i="61"/>
  <c r="AI184" i="61"/>
  <c r="AH184" i="61"/>
  <c r="AG184" i="61"/>
  <c r="AF184" i="61"/>
  <c r="AE184" i="61"/>
  <c r="AD184" i="61"/>
  <c r="AC184" i="61"/>
  <c r="AB184" i="61"/>
  <c r="AA184" i="61"/>
  <c r="AM183" i="61"/>
  <c r="AL183" i="61"/>
  <c r="AJ183" i="61"/>
  <c r="AI183" i="61"/>
  <c r="AH183" i="61"/>
  <c r="AG183" i="61"/>
  <c r="AF183" i="61"/>
  <c r="AE183" i="61"/>
  <c r="AD183" i="61"/>
  <c r="AC183" i="61"/>
  <c r="AB183" i="61"/>
  <c r="AA183" i="61"/>
  <c r="AM182" i="61"/>
  <c r="AL182" i="61"/>
  <c r="AJ182" i="61"/>
  <c r="AI182" i="61"/>
  <c r="AH182" i="61"/>
  <c r="AG182" i="61"/>
  <c r="AF182" i="61"/>
  <c r="AE182" i="61"/>
  <c r="AD182" i="61"/>
  <c r="AC182" i="61"/>
  <c r="AB182" i="61"/>
  <c r="AA182" i="61"/>
  <c r="AM181" i="61"/>
  <c r="AL181" i="61"/>
  <c r="AJ181" i="61"/>
  <c r="AI181" i="61"/>
  <c r="AH181" i="61"/>
  <c r="AG181" i="61"/>
  <c r="AF181" i="61"/>
  <c r="AE181" i="61"/>
  <c r="AD181" i="61"/>
  <c r="AC181" i="61"/>
  <c r="AB181" i="61"/>
  <c r="AA181" i="61"/>
  <c r="AM180" i="61"/>
  <c r="AL180" i="61"/>
  <c r="AJ180" i="61"/>
  <c r="AI180" i="61"/>
  <c r="AH180" i="61"/>
  <c r="AG180" i="61"/>
  <c r="AF180" i="61"/>
  <c r="AE180" i="61"/>
  <c r="AD180" i="61"/>
  <c r="AC180" i="61"/>
  <c r="AB180" i="61"/>
  <c r="AA180" i="61"/>
  <c r="AM179" i="61"/>
  <c r="AL179" i="61"/>
  <c r="AJ179" i="61"/>
  <c r="AI179" i="61"/>
  <c r="AH179" i="61"/>
  <c r="AG179" i="61"/>
  <c r="AF179" i="61"/>
  <c r="AE179" i="61"/>
  <c r="AD179" i="61"/>
  <c r="AC179" i="61"/>
  <c r="AB179" i="61"/>
  <c r="AA179" i="61"/>
  <c r="AM178" i="61"/>
  <c r="AL178" i="61"/>
  <c r="AJ178" i="61"/>
  <c r="AI178" i="61"/>
  <c r="AH178" i="61"/>
  <c r="AG178" i="61"/>
  <c r="AF178" i="61"/>
  <c r="AE178" i="61"/>
  <c r="AD178" i="61"/>
  <c r="AC178" i="61"/>
  <c r="AB178" i="61"/>
  <c r="AA178" i="61"/>
  <c r="AM177" i="61"/>
  <c r="AL177" i="61"/>
  <c r="AJ177" i="61"/>
  <c r="AI177" i="61"/>
  <c r="AH177" i="61"/>
  <c r="AG177" i="61"/>
  <c r="AF177" i="61"/>
  <c r="AE177" i="61"/>
  <c r="AD177" i="61"/>
  <c r="AC177" i="61"/>
  <c r="AB177" i="61"/>
  <c r="AA177" i="61"/>
  <c r="AJ176" i="61"/>
  <c r="AI176" i="61"/>
  <c r="AH176" i="61"/>
  <c r="AG176" i="61"/>
  <c r="AF176" i="61"/>
  <c r="AE176" i="61"/>
  <c r="AD176" i="61"/>
  <c r="AC176" i="61"/>
  <c r="AB176" i="61"/>
  <c r="AA176" i="61"/>
  <c r="AJ175" i="61"/>
  <c r="AI175" i="61"/>
  <c r="AH175" i="61"/>
  <c r="AG175" i="61"/>
  <c r="AF175" i="61"/>
  <c r="AE175" i="61"/>
  <c r="AD175" i="61"/>
  <c r="AC175" i="61"/>
  <c r="AB175" i="61"/>
  <c r="AA175" i="61"/>
  <c r="AJ174" i="61"/>
  <c r="AI174" i="61"/>
  <c r="AH174" i="61"/>
  <c r="AG174" i="61"/>
  <c r="AF174" i="61"/>
  <c r="AE174" i="61"/>
  <c r="AD174" i="61"/>
  <c r="AC174" i="61"/>
  <c r="AB174" i="61"/>
  <c r="AA174" i="61"/>
  <c r="AJ173" i="61"/>
  <c r="AI173" i="61"/>
  <c r="AH173" i="61"/>
  <c r="AG173" i="61"/>
  <c r="AF173" i="61"/>
  <c r="AE173" i="61"/>
  <c r="AD173" i="61"/>
  <c r="AC173" i="61"/>
  <c r="AB173" i="61"/>
  <c r="AA173" i="61"/>
  <c r="AJ172" i="61"/>
  <c r="AI172" i="61"/>
  <c r="AH172" i="61"/>
  <c r="AG172" i="61"/>
  <c r="AF172" i="61"/>
  <c r="AE172" i="61"/>
  <c r="AD172" i="61"/>
  <c r="AC172" i="61"/>
  <c r="AB172" i="61"/>
  <c r="AA172" i="61"/>
  <c r="AJ171" i="61"/>
  <c r="AI171" i="61"/>
  <c r="AH171" i="61"/>
  <c r="AG171" i="61"/>
  <c r="AF171" i="61"/>
  <c r="AE171" i="61"/>
  <c r="AD171" i="61"/>
  <c r="AC171" i="61"/>
  <c r="AB171" i="61"/>
  <c r="AA171" i="61"/>
  <c r="AJ170" i="61"/>
  <c r="AI170" i="61"/>
  <c r="AH170" i="61"/>
  <c r="AG170" i="61"/>
  <c r="AF170" i="61"/>
  <c r="AE170" i="61"/>
  <c r="AD170" i="61"/>
  <c r="AC170" i="61"/>
  <c r="AB170" i="61"/>
  <c r="AA170" i="61"/>
  <c r="AJ169" i="61"/>
  <c r="AI169" i="61"/>
  <c r="AH169" i="61"/>
  <c r="AG169" i="61"/>
  <c r="AF169" i="61"/>
  <c r="AE169" i="61"/>
  <c r="AD169" i="61"/>
  <c r="AC169" i="61"/>
  <c r="AB169" i="61"/>
  <c r="AA169" i="61"/>
  <c r="AJ168" i="61"/>
  <c r="AI168" i="61"/>
  <c r="AH168" i="61"/>
  <c r="AG168" i="61"/>
  <c r="AF168" i="61"/>
  <c r="AE168" i="61"/>
  <c r="AD168" i="61"/>
  <c r="AC168" i="61"/>
  <c r="AB168" i="61"/>
  <c r="AA168" i="61"/>
  <c r="AM167" i="61"/>
  <c r="AL167" i="61"/>
  <c r="AJ167" i="61"/>
  <c r="AI167" i="61"/>
  <c r="AH167" i="61"/>
  <c r="AG167" i="61"/>
  <c r="AF167" i="61"/>
  <c r="AE167" i="61"/>
  <c r="AD167" i="61"/>
  <c r="AC167" i="61"/>
  <c r="AB167" i="61"/>
  <c r="AA167" i="61"/>
  <c r="AA166" i="61"/>
  <c r="AB166" i="61" s="1"/>
  <c r="AC166" i="61" s="1"/>
  <c r="AD166" i="61" s="1"/>
  <c r="AE166" i="61" s="1"/>
  <c r="AF166" i="61" s="1"/>
  <c r="AG166" i="61" s="1"/>
  <c r="AH166" i="61" s="1"/>
  <c r="AI166" i="61" s="1"/>
  <c r="AJ166" i="61" s="1"/>
  <c r="AK166" i="61" s="1"/>
  <c r="AM213" i="64"/>
  <c r="AL213" i="64"/>
  <c r="AJ213" i="64"/>
  <c r="AI213" i="64"/>
  <c r="AH213" i="64"/>
  <c r="AG213" i="64"/>
  <c r="AF213" i="64"/>
  <c r="AE213" i="64"/>
  <c r="AD213" i="64"/>
  <c r="AC213" i="64"/>
  <c r="AB213" i="64"/>
  <c r="AA213" i="64"/>
  <c r="AM212" i="64"/>
  <c r="AL212" i="64"/>
  <c r="AJ212" i="64"/>
  <c r="AI212" i="64"/>
  <c r="AH212" i="64"/>
  <c r="AG212" i="64"/>
  <c r="AF212" i="64"/>
  <c r="AE212" i="64"/>
  <c r="AD212" i="64"/>
  <c r="AC212" i="64"/>
  <c r="AB212" i="64"/>
  <c r="AA212" i="64"/>
  <c r="AM211" i="64"/>
  <c r="AL211" i="64"/>
  <c r="AJ211" i="64"/>
  <c r="AI211" i="64"/>
  <c r="AH211" i="64"/>
  <c r="AG211" i="64"/>
  <c r="AF211" i="64"/>
  <c r="AE211" i="64"/>
  <c r="AD211" i="64"/>
  <c r="AC211" i="64"/>
  <c r="AB211" i="64"/>
  <c r="AA211" i="64"/>
  <c r="AM210" i="64"/>
  <c r="AL210" i="64"/>
  <c r="AJ210" i="64"/>
  <c r="AI210" i="64"/>
  <c r="AH210" i="64"/>
  <c r="AG210" i="64"/>
  <c r="AF210" i="64"/>
  <c r="AE210" i="64"/>
  <c r="AD210" i="64"/>
  <c r="AC210" i="64"/>
  <c r="AB210" i="64"/>
  <c r="AA210" i="64"/>
  <c r="AM209" i="64"/>
  <c r="AL209" i="64"/>
  <c r="AJ209" i="64"/>
  <c r="AI209" i="64"/>
  <c r="AH209" i="64"/>
  <c r="AG209" i="64"/>
  <c r="AF209" i="64"/>
  <c r="AE209" i="64"/>
  <c r="AD209" i="64"/>
  <c r="AC209" i="64"/>
  <c r="AB209" i="64"/>
  <c r="AA209" i="64"/>
  <c r="AM208" i="64"/>
  <c r="AL208" i="64"/>
  <c r="AJ208" i="64"/>
  <c r="AI208" i="64"/>
  <c r="AH208" i="64"/>
  <c r="AG208" i="64"/>
  <c r="AF208" i="64"/>
  <c r="AE208" i="64"/>
  <c r="AD208" i="64"/>
  <c r="AC208" i="64"/>
  <c r="AB208" i="64"/>
  <c r="AA208" i="64"/>
  <c r="AM207" i="64"/>
  <c r="AL207" i="64"/>
  <c r="AJ207" i="64"/>
  <c r="AI207" i="64"/>
  <c r="AH207" i="64"/>
  <c r="AG207" i="64"/>
  <c r="AF207" i="64"/>
  <c r="AE207" i="64"/>
  <c r="AD207" i="64"/>
  <c r="AC207" i="64"/>
  <c r="AB207" i="64"/>
  <c r="AA207" i="64"/>
  <c r="AM206" i="64"/>
  <c r="AL206" i="64"/>
  <c r="AJ206" i="64"/>
  <c r="AI206" i="64"/>
  <c r="AH206" i="64"/>
  <c r="AG206" i="64"/>
  <c r="AF206" i="64"/>
  <c r="AE206" i="64"/>
  <c r="AD206" i="64"/>
  <c r="AC206" i="64"/>
  <c r="AB206" i="64"/>
  <c r="AA206" i="64"/>
  <c r="AM205" i="64"/>
  <c r="AL205" i="64"/>
  <c r="AJ205" i="64"/>
  <c r="AI205" i="64"/>
  <c r="AH205" i="64"/>
  <c r="AG205" i="64"/>
  <c r="AF205" i="64"/>
  <c r="AE205" i="64"/>
  <c r="AD205" i="64"/>
  <c r="AC205" i="64"/>
  <c r="AB205" i="64"/>
  <c r="AA205" i="64"/>
  <c r="AM204" i="64"/>
  <c r="AL204" i="64"/>
  <c r="AJ204" i="64"/>
  <c r="AI204" i="64"/>
  <c r="AH204" i="64"/>
  <c r="AG204" i="64"/>
  <c r="AF204" i="64"/>
  <c r="AE204" i="64"/>
  <c r="AD204" i="64"/>
  <c r="AC204" i="64"/>
  <c r="AB204" i="64"/>
  <c r="AA204" i="64"/>
  <c r="AM203" i="64"/>
  <c r="AL203" i="64"/>
  <c r="AJ203" i="64"/>
  <c r="AI203" i="64"/>
  <c r="AH203" i="64"/>
  <c r="AG203" i="64"/>
  <c r="AF203" i="64"/>
  <c r="AE203" i="64"/>
  <c r="AD203" i="64"/>
  <c r="AC203" i="64"/>
  <c r="AB203" i="64"/>
  <c r="AA203" i="64"/>
  <c r="AM202" i="64"/>
  <c r="AL202" i="64"/>
  <c r="AJ202" i="64"/>
  <c r="AI202" i="64"/>
  <c r="AH202" i="64"/>
  <c r="AG202" i="64"/>
  <c r="AF202" i="64"/>
  <c r="AE202" i="64"/>
  <c r="AD202" i="64"/>
  <c r="AC202" i="64"/>
  <c r="AB202" i="64"/>
  <c r="AA202" i="64"/>
  <c r="AM201" i="64"/>
  <c r="AL201" i="64"/>
  <c r="AJ201" i="64"/>
  <c r="AI201" i="64"/>
  <c r="AH201" i="64"/>
  <c r="AG201" i="64"/>
  <c r="AF201" i="64"/>
  <c r="AE201" i="64"/>
  <c r="AD201" i="64"/>
  <c r="AC201" i="64"/>
  <c r="AB201" i="64"/>
  <c r="AA201" i="64"/>
  <c r="AM200" i="64"/>
  <c r="AL200" i="64"/>
  <c r="AJ200" i="64"/>
  <c r="AI200" i="64"/>
  <c r="AH200" i="64"/>
  <c r="AG200" i="64"/>
  <c r="AF200" i="64"/>
  <c r="AE200" i="64"/>
  <c r="AD200" i="64"/>
  <c r="AC200" i="64"/>
  <c r="AB200" i="64"/>
  <c r="AA200" i="64"/>
  <c r="AM199" i="64"/>
  <c r="AL199" i="64"/>
  <c r="AJ199" i="64"/>
  <c r="AI199" i="64"/>
  <c r="AH199" i="64"/>
  <c r="AG199" i="64"/>
  <c r="AF199" i="64"/>
  <c r="AE199" i="64"/>
  <c r="AD199" i="64"/>
  <c r="AC199" i="64"/>
  <c r="AB199" i="64"/>
  <c r="AA199" i="64"/>
  <c r="AM198" i="64"/>
  <c r="AL198" i="64"/>
  <c r="AJ198" i="64"/>
  <c r="AI198" i="64"/>
  <c r="AH198" i="64"/>
  <c r="AG198" i="64"/>
  <c r="AF198" i="64"/>
  <c r="AE198" i="64"/>
  <c r="AD198" i="64"/>
  <c r="AC198" i="64"/>
  <c r="AB198" i="64"/>
  <c r="AA198" i="64"/>
  <c r="AM197" i="64"/>
  <c r="AL197" i="64"/>
  <c r="AJ197" i="64"/>
  <c r="AI197" i="64"/>
  <c r="AH197" i="64"/>
  <c r="AG197" i="64"/>
  <c r="AF197" i="64"/>
  <c r="AE197" i="64"/>
  <c r="AD197" i="64"/>
  <c r="AC197" i="64"/>
  <c r="AB197" i="64"/>
  <c r="AA197" i="64"/>
  <c r="AM196" i="64"/>
  <c r="AL196" i="64"/>
  <c r="AJ196" i="64"/>
  <c r="AI196" i="64"/>
  <c r="AH196" i="64"/>
  <c r="AG196" i="64"/>
  <c r="AF196" i="64"/>
  <c r="AE196" i="64"/>
  <c r="AD196" i="64"/>
  <c r="AC196" i="64"/>
  <c r="AB196" i="64"/>
  <c r="AA196" i="64"/>
  <c r="AM195" i="64"/>
  <c r="AL195" i="64"/>
  <c r="AJ195" i="64"/>
  <c r="AI195" i="64"/>
  <c r="AH195" i="64"/>
  <c r="AG195" i="64"/>
  <c r="AF195" i="64"/>
  <c r="AE195" i="64"/>
  <c r="AD195" i="64"/>
  <c r="AC195" i="64"/>
  <c r="AB195" i="64"/>
  <c r="AA195" i="64"/>
  <c r="AM194" i="64"/>
  <c r="AL194" i="64"/>
  <c r="AJ194" i="64"/>
  <c r="AI194" i="64"/>
  <c r="AH194" i="64"/>
  <c r="AG194" i="64"/>
  <c r="AF194" i="64"/>
  <c r="AE194" i="64"/>
  <c r="AD194" i="64"/>
  <c r="AC194" i="64"/>
  <c r="AB194" i="64"/>
  <c r="AA194" i="64"/>
  <c r="AM193" i="64"/>
  <c r="AL193" i="64"/>
  <c r="AJ193" i="64"/>
  <c r="AI193" i="64"/>
  <c r="AH193" i="64"/>
  <c r="AG193" i="64"/>
  <c r="AF193" i="64"/>
  <c r="AE193" i="64"/>
  <c r="AD193" i="64"/>
  <c r="AC193" i="64"/>
  <c r="AB193" i="64"/>
  <c r="AA193" i="64"/>
  <c r="AM192" i="64"/>
  <c r="AL192" i="64"/>
  <c r="AJ192" i="64"/>
  <c r="AI192" i="64"/>
  <c r="AH192" i="64"/>
  <c r="AG192" i="64"/>
  <c r="AF192" i="64"/>
  <c r="AE192" i="64"/>
  <c r="AD192" i="64"/>
  <c r="AC192" i="64"/>
  <c r="AB192" i="64"/>
  <c r="AA192" i="64"/>
  <c r="AM191" i="64"/>
  <c r="AL191" i="64"/>
  <c r="AJ191" i="64"/>
  <c r="AI191" i="64"/>
  <c r="AH191" i="64"/>
  <c r="AG191" i="64"/>
  <c r="AF191" i="64"/>
  <c r="AE191" i="64"/>
  <c r="AD191" i="64"/>
  <c r="AC191" i="64"/>
  <c r="AB191" i="64"/>
  <c r="AA191" i="64"/>
  <c r="AM190" i="64"/>
  <c r="AL190" i="64"/>
  <c r="AJ190" i="64"/>
  <c r="AI190" i="64"/>
  <c r="AH190" i="64"/>
  <c r="AG190" i="64"/>
  <c r="AF190" i="64"/>
  <c r="AE190" i="64"/>
  <c r="AD190" i="64"/>
  <c r="AC190" i="64"/>
  <c r="AB190" i="64"/>
  <c r="AA190" i="64"/>
  <c r="AM189" i="64"/>
  <c r="AL189" i="64"/>
  <c r="AJ189" i="64"/>
  <c r="AI189" i="64"/>
  <c r="AH189" i="64"/>
  <c r="AG189" i="64"/>
  <c r="AF189" i="64"/>
  <c r="AE189" i="64"/>
  <c r="AD189" i="64"/>
  <c r="AC189" i="64"/>
  <c r="AB189" i="64"/>
  <c r="AA189" i="64"/>
  <c r="AM188" i="64"/>
  <c r="AL188" i="64"/>
  <c r="AJ188" i="64"/>
  <c r="AI188" i="64"/>
  <c r="AH188" i="64"/>
  <c r="AG188" i="64"/>
  <c r="AF188" i="64"/>
  <c r="AE188" i="64"/>
  <c r="AD188" i="64"/>
  <c r="AC188" i="64"/>
  <c r="AB188" i="64"/>
  <c r="AA188" i="64"/>
  <c r="AM187" i="64"/>
  <c r="AL187" i="64"/>
  <c r="AJ187" i="64"/>
  <c r="AI187" i="64"/>
  <c r="AH187" i="64"/>
  <c r="AG187" i="64"/>
  <c r="AF187" i="64"/>
  <c r="AE187" i="64"/>
  <c r="AD187" i="64"/>
  <c r="AC187" i="64"/>
  <c r="AB187" i="64"/>
  <c r="AA187" i="64"/>
  <c r="AM186" i="64"/>
  <c r="AL186" i="64"/>
  <c r="AJ186" i="64"/>
  <c r="AI186" i="64"/>
  <c r="AH186" i="64"/>
  <c r="AG186" i="64"/>
  <c r="AF186" i="64"/>
  <c r="AE186" i="64"/>
  <c r="AD186" i="64"/>
  <c r="AC186" i="64"/>
  <c r="AB186" i="64"/>
  <c r="AA186" i="64"/>
  <c r="AM185" i="64"/>
  <c r="AL185" i="64"/>
  <c r="AJ185" i="64"/>
  <c r="AI185" i="64"/>
  <c r="AH185" i="64"/>
  <c r="AG185" i="64"/>
  <c r="AF185" i="64"/>
  <c r="AE185" i="64"/>
  <c r="AD185" i="64"/>
  <c r="AC185" i="64"/>
  <c r="AB185" i="64"/>
  <c r="AA185" i="64"/>
  <c r="AM184" i="64"/>
  <c r="AL184" i="64"/>
  <c r="AJ184" i="64"/>
  <c r="AI184" i="64"/>
  <c r="AH184" i="64"/>
  <c r="AG184" i="64"/>
  <c r="AF184" i="64"/>
  <c r="AE184" i="64"/>
  <c r="AD184" i="64"/>
  <c r="AC184" i="64"/>
  <c r="AB184" i="64"/>
  <c r="AA184" i="64"/>
  <c r="AM183" i="64"/>
  <c r="AL183" i="64"/>
  <c r="AJ183" i="64"/>
  <c r="AI183" i="64"/>
  <c r="AH183" i="64"/>
  <c r="AG183" i="64"/>
  <c r="AF183" i="64"/>
  <c r="AE183" i="64"/>
  <c r="AD183" i="64"/>
  <c r="AC183" i="64"/>
  <c r="AB183" i="64"/>
  <c r="AA183" i="64"/>
  <c r="AM182" i="64"/>
  <c r="AL182" i="64"/>
  <c r="AJ182" i="64"/>
  <c r="AI182" i="64"/>
  <c r="AH182" i="64"/>
  <c r="AG182" i="64"/>
  <c r="AF182" i="64"/>
  <c r="AE182" i="64"/>
  <c r="AD182" i="64"/>
  <c r="AC182" i="64"/>
  <c r="AB182" i="64"/>
  <c r="AA182" i="64"/>
  <c r="AM181" i="64"/>
  <c r="AL181" i="64"/>
  <c r="AJ181" i="64"/>
  <c r="AI181" i="64"/>
  <c r="AH181" i="64"/>
  <c r="AG181" i="64"/>
  <c r="AF181" i="64"/>
  <c r="AE181" i="64"/>
  <c r="AD181" i="64"/>
  <c r="AC181" i="64"/>
  <c r="AB181" i="64"/>
  <c r="AA181" i="64"/>
  <c r="AM180" i="64"/>
  <c r="AL180" i="64"/>
  <c r="AJ180" i="64"/>
  <c r="AI180" i="64"/>
  <c r="AH180" i="64"/>
  <c r="AG180" i="64"/>
  <c r="AF180" i="64"/>
  <c r="AE180" i="64"/>
  <c r="AD180" i="64"/>
  <c r="AC180" i="64"/>
  <c r="AB180" i="64"/>
  <c r="AA180" i="64"/>
  <c r="AM179" i="64"/>
  <c r="AL179" i="64"/>
  <c r="AJ179" i="64"/>
  <c r="AI179" i="64"/>
  <c r="AH179" i="64"/>
  <c r="AG179" i="64"/>
  <c r="AF179" i="64"/>
  <c r="AE179" i="64"/>
  <c r="AD179" i="64"/>
  <c r="AC179" i="64"/>
  <c r="AB179" i="64"/>
  <c r="AA179" i="64"/>
  <c r="AM178" i="64"/>
  <c r="AL178" i="64"/>
  <c r="AJ178" i="64"/>
  <c r="AI178" i="64"/>
  <c r="AH178" i="64"/>
  <c r="AG178" i="64"/>
  <c r="AF178" i="64"/>
  <c r="AE178" i="64"/>
  <c r="AD178" i="64"/>
  <c r="AC178" i="64"/>
  <c r="AB178" i="64"/>
  <c r="AA178" i="64"/>
  <c r="AM177" i="64"/>
  <c r="AL177" i="64"/>
  <c r="AJ177" i="64"/>
  <c r="AI177" i="64"/>
  <c r="AH177" i="64"/>
  <c r="AG177" i="64"/>
  <c r="AF177" i="64"/>
  <c r="AE177" i="64"/>
  <c r="AD177" i="64"/>
  <c r="AC177" i="64"/>
  <c r="AB177" i="64"/>
  <c r="AA177" i="64"/>
  <c r="AJ176" i="64"/>
  <c r="AI176" i="64"/>
  <c r="AH176" i="64"/>
  <c r="AG176" i="64"/>
  <c r="AF176" i="64"/>
  <c r="AE176" i="64"/>
  <c r="AD176" i="64"/>
  <c r="AC176" i="64"/>
  <c r="AB176" i="64"/>
  <c r="AA176" i="64"/>
  <c r="AJ175" i="64"/>
  <c r="AI175" i="64"/>
  <c r="AH175" i="64"/>
  <c r="AG175" i="64"/>
  <c r="AF175" i="64"/>
  <c r="AE175" i="64"/>
  <c r="AD175" i="64"/>
  <c r="AC175" i="64"/>
  <c r="AB175" i="64"/>
  <c r="AA175" i="64"/>
  <c r="AJ174" i="64"/>
  <c r="AI174" i="64"/>
  <c r="AH174" i="64"/>
  <c r="AG174" i="64"/>
  <c r="AF174" i="64"/>
  <c r="AE174" i="64"/>
  <c r="AD174" i="64"/>
  <c r="AC174" i="64"/>
  <c r="AB174" i="64"/>
  <c r="AA174" i="64"/>
  <c r="AJ173" i="64"/>
  <c r="AI173" i="64"/>
  <c r="AH173" i="64"/>
  <c r="AG173" i="64"/>
  <c r="AF173" i="64"/>
  <c r="AE173" i="64"/>
  <c r="AD173" i="64"/>
  <c r="AC173" i="64"/>
  <c r="AB173" i="64"/>
  <c r="AA173" i="64"/>
  <c r="AJ168" i="64"/>
  <c r="AI168" i="64"/>
  <c r="AH168" i="64"/>
  <c r="AG168" i="64"/>
  <c r="AF168" i="64"/>
  <c r="AE168" i="64"/>
  <c r="AD168" i="64"/>
  <c r="AC168" i="64"/>
  <c r="AB168" i="64"/>
  <c r="AA168" i="64"/>
  <c r="AM167" i="64"/>
  <c r="AL167" i="64"/>
  <c r="AJ167" i="64"/>
  <c r="AI167" i="64"/>
  <c r="AH167" i="64"/>
  <c r="AG167" i="64"/>
  <c r="AF167" i="64"/>
  <c r="AE167" i="64"/>
  <c r="AD167" i="64"/>
  <c r="AC167" i="64"/>
  <c r="AB167" i="64"/>
  <c r="AA167" i="64"/>
  <c r="AA166" i="64"/>
  <c r="AB166" i="64" s="1"/>
  <c r="AC166" i="64" s="1"/>
  <c r="AD166" i="64" s="1"/>
  <c r="AE166" i="64" s="1"/>
  <c r="AF166" i="64" s="1"/>
  <c r="AG166" i="64" s="1"/>
  <c r="AH166" i="64" s="1"/>
  <c r="AI166" i="64" s="1"/>
  <c r="AJ166" i="64" s="1"/>
  <c r="AK166" i="64" s="1"/>
  <c r="AM213" i="1"/>
  <c r="AL213" i="1"/>
  <c r="AJ213" i="1"/>
  <c r="AI213" i="1"/>
  <c r="AH213" i="1"/>
  <c r="AG213" i="1"/>
  <c r="AF213" i="1"/>
  <c r="AE213" i="1"/>
  <c r="AD213" i="1"/>
  <c r="AC213" i="1"/>
  <c r="AB213" i="1"/>
  <c r="AA213" i="1"/>
  <c r="AM212" i="1"/>
  <c r="AL212" i="1"/>
  <c r="AJ212" i="1"/>
  <c r="AI212" i="1"/>
  <c r="AH212" i="1"/>
  <c r="AG212" i="1"/>
  <c r="AF212" i="1"/>
  <c r="AE212" i="1"/>
  <c r="AD212" i="1"/>
  <c r="AC212" i="1"/>
  <c r="AB212" i="1"/>
  <c r="AA212" i="1"/>
  <c r="AM211" i="1"/>
  <c r="AL211" i="1"/>
  <c r="AJ211" i="1"/>
  <c r="AI211" i="1"/>
  <c r="AH211" i="1"/>
  <c r="AG211" i="1"/>
  <c r="AF211" i="1"/>
  <c r="AE211" i="1"/>
  <c r="AD211" i="1"/>
  <c r="AC211" i="1"/>
  <c r="AB211" i="1"/>
  <c r="AA211" i="1"/>
  <c r="AM210" i="1"/>
  <c r="AL210" i="1"/>
  <c r="AJ210" i="1"/>
  <c r="AI210" i="1"/>
  <c r="AH210" i="1"/>
  <c r="AG210" i="1"/>
  <c r="AF210" i="1"/>
  <c r="AE210" i="1"/>
  <c r="AD210" i="1"/>
  <c r="AC210" i="1"/>
  <c r="AB210" i="1"/>
  <c r="AA210" i="1"/>
  <c r="AM209" i="1"/>
  <c r="AL209" i="1"/>
  <c r="AJ209" i="1"/>
  <c r="AI209" i="1"/>
  <c r="AH209" i="1"/>
  <c r="AG209" i="1"/>
  <c r="AF209" i="1"/>
  <c r="AE209" i="1"/>
  <c r="AD209" i="1"/>
  <c r="AC209" i="1"/>
  <c r="AB209" i="1"/>
  <c r="AA209" i="1"/>
  <c r="AM208" i="1"/>
  <c r="AL208" i="1"/>
  <c r="AJ208" i="1"/>
  <c r="AI208" i="1"/>
  <c r="AH208" i="1"/>
  <c r="AG208" i="1"/>
  <c r="AF208" i="1"/>
  <c r="AE208" i="1"/>
  <c r="AD208" i="1"/>
  <c r="AC208" i="1"/>
  <c r="AB208" i="1"/>
  <c r="AA208" i="1"/>
  <c r="AM207" i="1"/>
  <c r="AL207" i="1"/>
  <c r="AJ207" i="1"/>
  <c r="AI207" i="1"/>
  <c r="AH207" i="1"/>
  <c r="AG207" i="1"/>
  <c r="AF207" i="1"/>
  <c r="AE207" i="1"/>
  <c r="AD207" i="1"/>
  <c r="AC207" i="1"/>
  <c r="AB207" i="1"/>
  <c r="AA207" i="1"/>
  <c r="AM206" i="1"/>
  <c r="AL206" i="1"/>
  <c r="AJ206" i="1"/>
  <c r="AI206" i="1"/>
  <c r="AH206" i="1"/>
  <c r="AG206" i="1"/>
  <c r="AF206" i="1"/>
  <c r="AE206" i="1"/>
  <c r="AD206" i="1"/>
  <c r="AC206" i="1"/>
  <c r="AB206" i="1"/>
  <c r="AA206" i="1"/>
  <c r="AM205" i="1"/>
  <c r="AL205" i="1"/>
  <c r="AJ205" i="1"/>
  <c r="AI205" i="1"/>
  <c r="AH205" i="1"/>
  <c r="AG205" i="1"/>
  <c r="AF205" i="1"/>
  <c r="AE205" i="1"/>
  <c r="AD205" i="1"/>
  <c r="AC205" i="1"/>
  <c r="AB205" i="1"/>
  <c r="AA205" i="1"/>
  <c r="AM204" i="1"/>
  <c r="AL204" i="1"/>
  <c r="AJ204" i="1"/>
  <c r="AI204" i="1"/>
  <c r="AH204" i="1"/>
  <c r="AG204" i="1"/>
  <c r="AF204" i="1"/>
  <c r="AE204" i="1"/>
  <c r="AD204" i="1"/>
  <c r="AC204" i="1"/>
  <c r="AB204" i="1"/>
  <c r="AA204" i="1"/>
  <c r="AM203" i="1"/>
  <c r="AL203" i="1"/>
  <c r="AJ203" i="1"/>
  <c r="AI203" i="1"/>
  <c r="AH203" i="1"/>
  <c r="AG203" i="1"/>
  <c r="AF203" i="1"/>
  <c r="AE203" i="1"/>
  <c r="AD203" i="1"/>
  <c r="AC203" i="1"/>
  <c r="AB203" i="1"/>
  <c r="AA203" i="1"/>
  <c r="AM202" i="1"/>
  <c r="AL202" i="1"/>
  <c r="AJ202" i="1"/>
  <c r="AI202" i="1"/>
  <c r="AH202" i="1"/>
  <c r="AG202" i="1"/>
  <c r="AF202" i="1"/>
  <c r="AE202" i="1"/>
  <c r="AD202" i="1"/>
  <c r="AC202" i="1"/>
  <c r="AB202" i="1"/>
  <c r="AA202" i="1"/>
  <c r="AM201" i="1"/>
  <c r="AL201" i="1"/>
  <c r="AJ201" i="1"/>
  <c r="AI201" i="1"/>
  <c r="AH201" i="1"/>
  <c r="AG201" i="1"/>
  <c r="AF201" i="1"/>
  <c r="AE201" i="1"/>
  <c r="AD201" i="1"/>
  <c r="AC201" i="1"/>
  <c r="AB201" i="1"/>
  <c r="AA201" i="1"/>
  <c r="AM200" i="1"/>
  <c r="AL200" i="1"/>
  <c r="AJ200" i="1"/>
  <c r="AI200" i="1"/>
  <c r="AH200" i="1"/>
  <c r="AG200" i="1"/>
  <c r="AF200" i="1"/>
  <c r="AE200" i="1"/>
  <c r="AD200" i="1"/>
  <c r="AC200" i="1"/>
  <c r="AB200" i="1"/>
  <c r="AA200" i="1"/>
  <c r="AM199" i="1"/>
  <c r="AL199" i="1"/>
  <c r="AJ199" i="1"/>
  <c r="AI199" i="1"/>
  <c r="AH199" i="1"/>
  <c r="AG199" i="1"/>
  <c r="AF199" i="1"/>
  <c r="AE199" i="1"/>
  <c r="AD199" i="1"/>
  <c r="AC199" i="1"/>
  <c r="AB199" i="1"/>
  <c r="AA199" i="1"/>
  <c r="AM198" i="1"/>
  <c r="AL198" i="1"/>
  <c r="AJ198" i="1"/>
  <c r="AI198" i="1"/>
  <c r="AH198" i="1"/>
  <c r="AG198" i="1"/>
  <c r="AF198" i="1"/>
  <c r="AE198" i="1"/>
  <c r="AD198" i="1"/>
  <c r="AC198" i="1"/>
  <c r="AB198" i="1"/>
  <c r="AA198" i="1"/>
  <c r="AM197" i="1"/>
  <c r="AL197" i="1"/>
  <c r="AJ197" i="1"/>
  <c r="AI197" i="1"/>
  <c r="AH197" i="1"/>
  <c r="AG197" i="1"/>
  <c r="AF197" i="1"/>
  <c r="AE197" i="1"/>
  <c r="AD197" i="1"/>
  <c r="AC197" i="1"/>
  <c r="AB197" i="1"/>
  <c r="AA197" i="1"/>
  <c r="AM196" i="1"/>
  <c r="AL196" i="1"/>
  <c r="AJ196" i="1"/>
  <c r="AI196" i="1"/>
  <c r="AH196" i="1"/>
  <c r="AG196" i="1"/>
  <c r="AF196" i="1"/>
  <c r="AE196" i="1"/>
  <c r="AD196" i="1"/>
  <c r="AC196" i="1"/>
  <c r="AB196" i="1"/>
  <c r="AA196" i="1"/>
  <c r="AM195" i="1"/>
  <c r="AL195" i="1"/>
  <c r="AJ195" i="1"/>
  <c r="AI195" i="1"/>
  <c r="AH195" i="1"/>
  <c r="AG195" i="1"/>
  <c r="AF195" i="1"/>
  <c r="AE195" i="1"/>
  <c r="AD195" i="1"/>
  <c r="AC195" i="1"/>
  <c r="AB195" i="1"/>
  <c r="AA195" i="1"/>
  <c r="AM194" i="1"/>
  <c r="AL194" i="1"/>
  <c r="AJ194" i="1"/>
  <c r="AI194" i="1"/>
  <c r="AH194" i="1"/>
  <c r="AG194" i="1"/>
  <c r="AF194" i="1"/>
  <c r="AE194" i="1"/>
  <c r="AD194" i="1"/>
  <c r="AC194" i="1"/>
  <c r="AB194" i="1"/>
  <c r="AA194" i="1"/>
  <c r="AM193" i="1"/>
  <c r="AL193" i="1"/>
  <c r="AJ193" i="1"/>
  <c r="AI193" i="1"/>
  <c r="AH193" i="1"/>
  <c r="AG193" i="1"/>
  <c r="AF193" i="1"/>
  <c r="AE193" i="1"/>
  <c r="AD193" i="1"/>
  <c r="AC193" i="1"/>
  <c r="AB193" i="1"/>
  <c r="AA193" i="1"/>
  <c r="AM192" i="1"/>
  <c r="AL192" i="1"/>
  <c r="AJ192" i="1"/>
  <c r="AI192" i="1"/>
  <c r="AH192" i="1"/>
  <c r="AG192" i="1"/>
  <c r="AF192" i="1"/>
  <c r="AE192" i="1"/>
  <c r="AD192" i="1"/>
  <c r="AC192" i="1"/>
  <c r="AB192" i="1"/>
  <c r="AA192" i="1"/>
  <c r="AM191" i="1"/>
  <c r="AL191" i="1"/>
  <c r="AJ191" i="1"/>
  <c r="AI191" i="1"/>
  <c r="AH191" i="1"/>
  <c r="AG191" i="1"/>
  <c r="AF191" i="1"/>
  <c r="AE191" i="1"/>
  <c r="AD191" i="1"/>
  <c r="AC191" i="1"/>
  <c r="AB191" i="1"/>
  <c r="AA191" i="1"/>
  <c r="AM190" i="1"/>
  <c r="AL190" i="1"/>
  <c r="AJ190" i="1"/>
  <c r="AI190" i="1"/>
  <c r="AH190" i="1"/>
  <c r="AG190" i="1"/>
  <c r="AF190" i="1"/>
  <c r="AE190" i="1"/>
  <c r="AD190" i="1"/>
  <c r="AC190" i="1"/>
  <c r="AB190" i="1"/>
  <c r="AA190" i="1"/>
  <c r="AM189" i="1"/>
  <c r="AL189" i="1"/>
  <c r="AJ189" i="1"/>
  <c r="AI189" i="1"/>
  <c r="AH189" i="1"/>
  <c r="AG189" i="1"/>
  <c r="AF189" i="1"/>
  <c r="AE189" i="1"/>
  <c r="AD189" i="1"/>
  <c r="AC189" i="1"/>
  <c r="AB189" i="1"/>
  <c r="AA189" i="1"/>
  <c r="AM188" i="1"/>
  <c r="AL188" i="1"/>
  <c r="AJ188" i="1"/>
  <c r="AI188" i="1"/>
  <c r="AH188" i="1"/>
  <c r="AG188" i="1"/>
  <c r="AF188" i="1"/>
  <c r="AE188" i="1"/>
  <c r="AD188" i="1"/>
  <c r="AC188" i="1"/>
  <c r="AB188" i="1"/>
  <c r="AA188" i="1"/>
  <c r="AM167" i="1"/>
  <c r="AL167" i="1"/>
  <c r="AJ167" i="1"/>
  <c r="AI167" i="1"/>
  <c r="AH167" i="1"/>
  <c r="AG167" i="1"/>
  <c r="AF167" i="1"/>
  <c r="AE167" i="1"/>
  <c r="AD167" i="1"/>
  <c r="AC167" i="1"/>
  <c r="AB167" i="1"/>
  <c r="AA167" i="1"/>
  <c r="I66" i="64"/>
  <c r="Z215" i="44"/>
  <c r="Z215" i="8"/>
  <c r="Z216" i="5"/>
  <c r="Z215" i="11"/>
  <c r="Z215" i="14"/>
  <c r="Z215" i="17"/>
  <c r="Z215" i="29"/>
  <c r="Z215" i="32"/>
  <c r="Z215" i="56"/>
  <c r="Z215" i="23"/>
  <c r="Z215" i="26"/>
  <c r="Z215" i="41"/>
  <c r="Z215" i="35"/>
  <c r="Z215" i="38"/>
  <c r="Z215" i="47"/>
  <c r="Z215" i="50"/>
  <c r="Z215" i="53"/>
  <c r="Z215" i="76"/>
  <c r="Z215" i="61"/>
  <c r="Z215" i="64"/>
  <c r="Z215" i="1"/>
  <c r="BG164" i="44"/>
  <c r="BF164" i="44"/>
  <c r="BB164" i="44" s="1"/>
  <c r="BG163" i="44"/>
  <c r="BF163" i="44"/>
  <c r="BB163" i="44" s="1"/>
  <c r="BG162" i="44"/>
  <c r="BF162" i="44"/>
  <c r="BB162" i="44" s="1"/>
  <c r="BG161" i="44"/>
  <c r="BF161" i="44"/>
  <c r="BB161" i="44" s="1"/>
  <c r="BG160" i="44"/>
  <c r="BF160" i="44"/>
  <c r="BB160" i="44" s="1"/>
  <c r="BG159" i="44"/>
  <c r="BF159" i="44"/>
  <c r="BB159" i="44" s="1"/>
  <c r="BG158" i="44"/>
  <c r="BF158" i="44"/>
  <c r="BB158" i="44" s="1"/>
  <c r="BG157" i="44"/>
  <c r="BF157" i="44"/>
  <c r="BB157" i="44" s="1"/>
  <c r="BG156" i="44"/>
  <c r="BF156" i="44"/>
  <c r="BD156" i="44" s="1"/>
  <c r="AY155" i="44"/>
  <c r="AX155" i="44"/>
  <c r="AW155" i="44"/>
  <c r="AV155" i="44"/>
  <c r="BG155" i="44" s="1"/>
  <c r="AU155" i="44"/>
  <c r="AR155" i="44"/>
  <c r="AQ155" i="44"/>
  <c r="AP155" i="44"/>
  <c r="AO155" i="44"/>
  <c r="BF155" i="44" s="1"/>
  <c r="BB155" i="44" s="1"/>
  <c r="AN155" i="44"/>
  <c r="AY154" i="44"/>
  <c r="AX154" i="44"/>
  <c r="AW154" i="44"/>
  <c r="AV154" i="44"/>
  <c r="BG154" i="44" s="1"/>
  <c r="AU154" i="44"/>
  <c r="AR154" i="44"/>
  <c r="AQ154" i="44"/>
  <c r="AP154" i="44"/>
  <c r="AO154" i="44"/>
  <c r="BF154" i="44" s="1"/>
  <c r="BB154" i="44" s="1"/>
  <c r="AN154" i="44"/>
  <c r="BG164" i="8"/>
  <c r="BF164" i="8"/>
  <c r="BB164" i="8" s="1"/>
  <c r="BG163" i="8"/>
  <c r="BF163" i="8"/>
  <c r="BB163" i="8" s="1"/>
  <c r="BG162" i="8"/>
  <c r="BF162" i="8"/>
  <c r="BB162" i="8" s="1"/>
  <c r="BG161" i="8"/>
  <c r="BF161" i="8"/>
  <c r="BB161" i="8" s="1"/>
  <c r="BG160" i="8"/>
  <c r="BF160" i="8"/>
  <c r="BB160" i="8" s="1"/>
  <c r="BG159" i="8"/>
  <c r="BF159" i="8"/>
  <c r="BB159" i="8" s="1"/>
  <c r="BG158" i="8"/>
  <c r="BF158" i="8"/>
  <c r="BB158" i="8" s="1"/>
  <c r="BG157" i="8"/>
  <c r="BF157" i="8"/>
  <c r="BB157" i="8" s="1"/>
  <c r="BG156" i="8"/>
  <c r="BF156" i="8"/>
  <c r="AY155" i="8"/>
  <c r="AX155" i="8"/>
  <c r="AW155" i="8"/>
  <c r="AV155" i="8"/>
  <c r="AU155" i="8"/>
  <c r="BG155" i="8" s="1"/>
  <c r="AR155" i="8"/>
  <c r="AQ155" i="8"/>
  <c r="AP155" i="8"/>
  <c r="AO155" i="8"/>
  <c r="AN155" i="8"/>
  <c r="BF155" i="8" s="1"/>
  <c r="BB155" i="8" s="1"/>
  <c r="AY154" i="8"/>
  <c r="AX154" i="8"/>
  <c r="AW154" i="8"/>
  <c r="AV154" i="8"/>
  <c r="AU154" i="8"/>
  <c r="BG154" i="8" s="1"/>
  <c r="AR154" i="8"/>
  <c r="AQ154" i="8"/>
  <c r="AP154" i="8"/>
  <c r="AO154" i="8"/>
  <c r="AN154" i="8"/>
  <c r="BF154" i="8" s="1"/>
  <c r="BB154" i="8" s="1"/>
  <c r="BG165" i="5"/>
  <c r="BF165" i="5"/>
  <c r="BB165" i="5" s="1"/>
  <c r="BG164" i="5"/>
  <c r="BF164" i="5"/>
  <c r="BB164" i="5" s="1"/>
  <c r="BG163" i="5"/>
  <c r="BF163" i="5"/>
  <c r="BB163" i="5" s="1"/>
  <c r="BG162" i="5"/>
  <c r="BF162" i="5"/>
  <c r="BB162" i="5" s="1"/>
  <c r="BG161" i="5"/>
  <c r="BF161" i="5"/>
  <c r="BB161" i="5" s="1"/>
  <c r="BG160" i="5"/>
  <c r="BF160" i="5"/>
  <c r="BB160" i="5" s="1"/>
  <c r="BG159" i="5"/>
  <c r="BF159" i="5"/>
  <c r="BB159" i="5" s="1"/>
  <c r="BG158" i="5"/>
  <c r="BF158" i="5"/>
  <c r="BB158" i="5" s="1"/>
  <c r="BG157" i="5"/>
  <c r="BF157" i="5"/>
  <c r="AY156" i="5"/>
  <c r="AX156" i="5"/>
  <c r="AW156" i="5"/>
  <c r="AV156" i="5"/>
  <c r="AU156" i="5"/>
  <c r="BG156" i="5" s="1"/>
  <c r="AR156" i="5"/>
  <c r="AQ156" i="5"/>
  <c r="AP156" i="5"/>
  <c r="AO156" i="5"/>
  <c r="AN156" i="5"/>
  <c r="BF156" i="5" s="1"/>
  <c r="BB156" i="5" s="1"/>
  <c r="AY155" i="5"/>
  <c r="AX155" i="5"/>
  <c r="AW155" i="5"/>
  <c r="AV155" i="5"/>
  <c r="AU155" i="5"/>
  <c r="BG155" i="5" s="1"/>
  <c r="AR155" i="5"/>
  <c r="AQ155" i="5"/>
  <c r="AP155" i="5"/>
  <c r="AO155" i="5"/>
  <c r="AN155" i="5"/>
  <c r="BF155" i="5" s="1"/>
  <c r="BB155" i="5" s="1"/>
  <c r="BG164" i="11"/>
  <c r="BF164" i="11"/>
  <c r="BB164" i="11" s="1"/>
  <c r="BG163" i="11"/>
  <c r="BF163" i="11"/>
  <c r="BB163" i="11" s="1"/>
  <c r="BG162" i="11"/>
  <c r="BF162" i="11"/>
  <c r="BB162" i="11" s="1"/>
  <c r="BG161" i="11"/>
  <c r="BF161" i="11"/>
  <c r="BB161" i="11" s="1"/>
  <c r="BG160" i="11"/>
  <c r="BF160" i="11"/>
  <c r="BB160" i="11" s="1"/>
  <c r="BG159" i="11"/>
  <c r="BF159" i="11"/>
  <c r="BB159" i="11" s="1"/>
  <c r="BG158" i="11"/>
  <c r="BF158" i="11"/>
  <c r="BB158" i="11" s="1"/>
  <c r="BG157" i="11"/>
  <c r="BF157" i="11"/>
  <c r="BB157" i="11" s="1"/>
  <c r="BG156" i="11"/>
  <c r="BF156" i="11"/>
  <c r="BB156" i="11" s="1"/>
  <c r="AY155" i="11"/>
  <c r="AX155" i="11"/>
  <c r="AW155" i="11"/>
  <c r="AV155" i="11"/>
  <c r="AU155" i="11"/>
  <c r="BG155" i="11" s="1"/>
  <c r="AR155" i="11"/>
  <c r="AQ155" i="11"/>
  <c r="AP155" i="11"/>
  <c r="AO155" i="11"/>
  <c r="AN155" i="11"/>
  <c r="BF155" i="11" s="1"/>
  <c r="BB155" i="11" s="1"/>
  <c r="AY154" i="11"/>
  <c r="AX154" i="11"/>
  <c r="AW154" i="11"/>
  <c r="AV154" i="11"/>
  <c r="AU154" i="11"/>
  <c r="BG154" i="11" s="1"/>
  <c r="AR154" i="11"/>
  <c r="AQ154" i="11"/>
  <c r="AP154" i="11"/>
  <c r="AO154" i="11"/>
  <c r="AN154" i="11"/>
  <c r="BF154" i="11" s="1"/>
  <c r="BB154" i="11" s="1"/>
  <c r="BG164" i="14"/>
  <c r="BF164" i="14"/>
  <c r="BB164" i="14" s="1"/>
  <c r="BG163" i="14"/>
  <c r="BF163" i="14"/>
  <c r="BB163" i="14" s="1"/>
  <c r="BG162" i="14"/>
  <c r="BF162" i="14"/>
  <c r="BB162" i="14" s="1"/>
  <c r="BG161" i="14"/>
  <c r="BF161" i="14"/>
  <c r="BB161" i="14" s="1"/>
  <c r="BG160" i="14"/>
  <c r="BF160" i="14"/>
  <c r="BB160" i="14" s="1"/>
  <c r="BG159" i="14"/>
  <c r="BF159" i="14"/>
  <c r="BB159" i="14" s="1"/>
  <c r="BG158" i="14"/>
  <c r="BF158" i="14"/>
  <c r="BB158" i="14" s="1"/>
  <c r="BG157" i="14"/>
  <c r="BF157" i="14"/>
  <c r="BB157" i="14" s="1"/>
  <c r="BG156" i="14"/>
  <c r="BF156" i="14"/>
  <c r="BD156" i="14" s="1"/>
  <c r="AY155" i="14"/>
  <c r="AX155" i="14"/>
  <c r="AW155" i="14"/>
  <c r="AV155" i="14"/>
  <c r="AU155" i="14"/>
  <c r="BG155" i="14" s="1"/>
  <c r="AR155" i="14"/>
  <c r="AQ155" i="14"/>
  <c r="AP155" i="14"/>
  <c r="AO155" i="14"/>
  <c r="AN155" i="14"/>
  <c r="BF155" i="14" s="1"/>
  <c r="BB155" i="14" s="1"/>
  <c r="AY154" i="14"/>
  <c r="AX154" i="14"/>
  <c r="AW154" i="14"/>
  <c r="AV154" i="14"/>
  <c r="AU154" i="14"/>
  <c r="BG154" i="14" s="1"/>
  <c r="AR154" i="14"/>
  <c r="AQ154" i="14"/>
  <c r="AP154" i="14"/>
  <c r="AO154" i="14"/>
  <c r="AN154" i="14"/>
  <c r="BF154" i="14" s="1"/>
  <c r="BB154" i="14" s="1"/>
  <c r="BG164" i="17"/>
  <c r="BF164" i="17"/>
  <c r="BB164" i="17" s="1"/>
  <c r="BG163" i="17"/>
  <c r="BF163" i="17"/>
  <c r="BB163" i="17" s="1"/>
  <c r="BG162" i="17"/>
  <c r="BF162" i="17"/>
  <c r="BB162" i="17" s="1"/>
  <c r="BG161" i="17"/>
  <c r="BF161" i="17"/>
  <c r="BB161" i="17" s="1"/>
  <c r="BG160" i="17"/>
  <c r="BF160" i="17"/>
  <c r="BB160" i="17" s="1"/>
  <c r="BG159" i="17"/>
  <c r="BF159" i="17"/>
  <c r="BB159" i="17" s="1"/>
  <c r="BG158" i="17"/>
  <c r="BF158" i="17"/>
  <c r="BB158" i="17" s="1"/>
  <c r="BG157" i="17"/>
  <c r="BF157" i="17"/>
  <c r="BB157" i="17" s="1"/>
  <c r="BG156" i="17"/>
  <c r="BF156" i="17"/>
  <c r="AY155" i="17"/>
  <c r="AX155" i="17"/>
  <c r="AW155" i="17"/>
  <c r="AV155" i="17"/>
  <c r="AU155" i="17"/>
  <c r="BG155" i="17" s="1"/>
  <c r="AR155" i="17"/>
  <c r="AQ155" i="17"/>
  <c r="AP155" i="17"/>
  <c r="AO155" i="17"/>
  <c r="AN155" i="17"/>
  <c r="BF155" i="17" s="1"/>
  <c r="BB155" i="17" s="1"/>
  <c r="AY154" i="17"/>
  <c r="AX154" i="17"/>
  <c r="AW154" i="17"/>
  <c r="AV154" i="17"/>
  <c r="AU154" i="17"/>
  <c r="BG154" i="17" s="1"/>
  <c r="AR154" i="17"/>
  <c r="AQ154" i="17"/>
  <c r="AP154" i="17"/>
  <c r="AO154" i="17"/>
  <c r="AN154" i="17"/>
  <c r="BF154" i="17" s="1"/>
  <c r="BB154" i="17" s="1"/>
  <c r="BG164" i="29"/>
  <c r="BF164" i="29"/>
  <c r="BB164" i="29" s="1"/>
  <c r="BG163" i="29"/>
  <c r="BF163" i="29"/>
  <c r="BB163" i="29" s="1"/>
  <c r="BG162" i="29"/>
  <c r="BF162" i="29"/>
  <c r="BB162" i="29" s="1"/>
  <c r="BG161" i="29"/>
  <c r="BF161" i="29"/>
  <c r="BB161" i="29" s="1"/>
  <c r="BG160" i="29"/>
  <c r="BF160" i="29"/>
  <c r="BB160" i="29" s="1"/>
  <c r="BG159" i="29"/>
  <c r="BF159" i="29"/>
  <c r="BB159" i="29" s="1"/>
  <c r="BG158" i="29"/>
  <c r="BF158" i="29"/>
  <c r="BB158" i="29" s="1"/>
  <c r="BG157" i="29"/>
  <c r="BF157" i="29"/>
  <c r="BB157" i="29" s="1"/>
  <c r="BG156" i="29"/>
  <c r="BF156" i="29"/>
  <c r="BD156" i="29" s="1"/>
  <c r="AY155" i="29"/>
  <c r="AX155" i="29"/>
  <c r="AW155" i="29"/>
  <c r="AV155" i="29"/>
  <c r="AU155" i="29"/>
  <c r="BG155" i="29" s="1"/>
  <c r="AR155" i="29"/>
  <c r="AQ155" i="29"/>
  <c r="AP155" i="29"/>
  <c r="AO155" i="29"/>
  <c r="AN155" i="29"/>
  <c r="BF155" i="29" s="1"/>
  <c r="BB155" i="29" s="1"/>
  <c r="AY154" i="29"/>
  <c r="AX154" i="29"/>
  <c r="AW154" i="29"/>
  <c r="AV154" i="29"/>
  <c r="AU154" i="29"/>
  <c r="BG154" i="29" s="1"/>
  <c r="AR154" i="29"/>
  <c r="AQ154" i="29"/>
  <c r="AP154" i="29"/>
  <c r="AO154" i="29"/>
  <c r="AN154" i="29"/>
  <c r="BF154" i="29" s="1"/>
  <c r="BB154" i="29" s="1"/>
  <c r="BG164" i="32"/>
  <c r="BF164" i="32"/>
  <c r="BB164" i="32" s="1"/>
  <c r="BG163" i="32"/>
  <c r="BF163" i="32"/>
  <c r="BB163" i="32" s="1"/>
  <c r="BG162" i="32"/>
  <c r="BF162" i="32"/>
  <c r="BB162" i="32" s="1"/>
  <c r="BG161" i="32"/>
  <c r="BF161" i="32"/>
  <c r="BB161" i="32" s="1"/>
  <c r="BG160" i="32"/>
  <c r="BF160" i="32"/>
  <c r="BB160" i="32" s="1"/>
  <c r="BG159" i="32"/>
  <c r="BF159" i="32"/>
  <c r="BB159" i="32" s="1"/>
  <c r="BG158" i="32"/>
  <c r="BF158" i="32"/>
  <c r="BB158" i="32" s="1"/>
  <c r="BG157" i="32"/>
  <c r="BF157" i="32"/>
  <c r="BB157" i="32" s="1"/>
  <c r="BG156" i="32"/>
  <c r="BF156" i="32"/>
  <c r="BB156" i="32" s="1"/>
  <c r="AY155" i="32"/>
  <c r="AX155" i="32"/>
  <c r="AW155" i="32"/>
  <c r="AV155" i="32"/>
  <c r="AU155" i="32"/>
  <c r="BG155" i="32" s="1"/>
  <c r="AR155" i="32"/>
  <c r="AQ155" i="32"/>
  <c r="AP155" i="32"/>
  <c r="AO155" i="32"/>
  <c r="AN155" i="32"/>
  <c r="BF155" i="32" s="1"/>
  <c r="BB155" i="32" s="1"/>
  <c r="AY154" i="32"/>
  <c r="AX154" i="32"/>
  <c r="AW154" i="32"/>
  <c r="AV154" i="32"/>
  <c r="AU154" i="32"/>
  <c r="BG154" i="32" s="1"/>
  <c r="AR154" i="32"/>
  <c r="AQ154" i="32"/>
  <c r="AP154" i="32"/>
  <c r="AO154" i="32"/>
  <c r="AN154" i="32"/>
  <c r="BF154" i="32" s="1"/>
  <c r="BB154" i="32" s="1"/>
  <c r="BG164" i="56"/>
  <c r="BF164" i="56"/>
  <c r="BB164" i="56" s="1"/>
  <c r="BG163" i="56"/>
  <c r="BF163" i="56"/>
  <c r="BB163" i="56" s="1"/>
  <c r="BG162" i="56"/>
  <c r="BF162" i="56"/>
  <c r="BB162" i="56" s="1"/>
  <c r="BG161" i="56"/>
  <c r="BF161" i="56"/>
  <c r="BB161" i="56" s="1"/>
  <c r="BG160" i="56"/>
  <c r="BF160" i="56"/>
  <c r="BB160" i="56" s="1"/>
  <c r="BG159" i="56"/>
  <c r="BF159" i="56"/>
  <c r="BB159" i="56" s="1"/>
  <c r="BG158" i="56"/>
  <c r="BF158" i="56"/>
  <c r="BB158" i="56" s="1"/>
  <c r="BG157" i="56"/>
  <c r="BF157" i="56"/>
  <c r="BB157" i="56" s="1"/>
  <c r="BG156" i="56"/>
  <c r="BF156" i="56"/>
  <c r="AY155" i="56"/>
  <c r="AX155" i="56"/>
  <c r="AW155" i="56"/>
  <c r="AV155" i="56"/>
  <c r="AU155" i="56"/>
  <c r="BG155" i="56" s="1"/>
  <c r="AR155" i="56"/>
  <c r="AQ155" i="56"/>
  <c r="AP155" i="56"/>
  <c r="AO155" i="56"/>
  <c r="AN155" i="56"/>
  <c r="BF155" i="56" s="1"/>
  <c r="BB155" i="56" s="1"/>
  <c r="AY154" i="56"/>
  <c r="AX154" i="56"/>
  <c r="AW154" i="56"/>
  <c r="AV154" i="56"/>
  <c r="AU154" i="56"/>
  <c r="BG154" i="56" s="1"/>
  <c r="AR154" i="56"/>
  <c r="AQ154" i="56"/>
  <c r="AP154" i="56"/>
  <c r="AO154" i="56"/>
  <c r="AN154" i="56"/>
  <c r="BF154" i="56" s="1"/>
  <c r="BB154" i="56" s="1"/>
  <c r="BG164" i="23"/>
  <c r="BF164" i="23"/>
  <c r="BB164" i="23" s="1"/>
  <c r="BG163" i="23"/>
  <c r="BF163" i="23"/>
  <c r="BB163" i="23" s="1"/>
  <c r="BG162" i="23"/>
  <c r="BF162" i="23"/>
  <c r="BB162" i="23" s="1"/>
  <c r="BG161" i="23"/>
  <c r="BF161" i="23"/>
  <c r="BB161" i="23" s="1"/>
  <c r="BG160" i="23"/>
  <c r="BF160" i="23"/>
  <c r="BB160" i="23" s="1"/>
  <c r="BG159" i="23"/>
  <c r="BF159" i="23"/>
  <c r="BB159" i="23" s="1"/>
  <c r="BG158" i="23"/>
  <c r="BF158" i="23"/>
  <c r="BB158" i="23" s="1"/>
  <c r="BG157" i="23"/>
  <c r="BF157" i="23"/>
  <c r="BB157" i="23" s="1"/>
  <c r="BG156" i="23"/>
  <c r="BF156" i="23"/>
  <c r="BD156" i="23" s="1"/>
  <c r="AY155" i="23"/>
  <c r="AX155" i="23"/>
  <c r="AW155" i="23"/>
  <c r="AV155" i="23"/>
  <c r="AU155" i="23"/>
  <c r="BG155" i="23" s="1"/>
  <c r="AR155" i="23"/>
  <c r="AQ155" i="23"/>
  <c r="AP155" i="23"/>
  <c r="AO155" i="23"/>
  <c r="AN155" i="23"/>
  <c r="BF155" i="23" s="1"/>
  <c r="BB155" i="23" s="1"/>
  <c r="AY154" i="23"/>
  <c r="AX154" i="23"/>
  <c r="AW154" i="23"/>
  <c r="AV154" i="23"/>
  <c r="AU154" i="23"/>
  <c r="BG154" i="23" s="1"/>
  <c r="AR154" i="23"/>
  <c r="AQ154" i="23"/>
  <c r="AP154" i="23"/>
  <c r="AO154" i="23"/>
  <c r="AN154" i="23"/>
  <c r="BF154" i="23" s="1"/>
  <c r="BB154" i="23" s="1"/>
  <c r="BG164" i="26"/>
  <c r="BF164" i="26"/>
  <c r="BB164" i="26" s="1"/>
  <c r="BG163" i="26"/>
  <c r="BF163" i="26"/>
  <c r="BB163" i="26" s="1"/>
  <c r="BG162" i="26"/>
  <c r="BF162" i="26"/>
  <c r="BB162" i="26" s="1"/>
  <c r="BG161" i="26"/>
  <c r="BF161" i="26"/>
  <c r="BB161" i="26" s="1"/>
  <c r="BG160" i="26"/>
  <c r="BF160" i="26"/>
  <c r="BB160" i="26" s="1"/>
  <c r="BG159" i="26"/>
  <c r="BF159" i="26"/>
  <c r="BB159" i="26" s="1"/>
  <c r="BG158" i="26"/>
  <c r="BF158" i="26"/>
  <c r="BB158" i="26" s="1"/>
  <c r="BG157" i="26"/>
  <c r="BF157" i="26"/>
  <c r="BB157" i="26" s="1"/>
  <c r="BG156" i="26"/>
  <c r="BF156" i="26"/>
  <c r="BD156" i="26" s="1"/>
  <c r="AY155" i="26"/>
  <c r="AX155" i="26"/>
  <c r="AW155" i="26"/>
  <c r="AV155" i="26"/>
  <c r="AU155" i="26"/>
  <c r="BG155" i="26" s="1"/>
  <c r="AR155" i="26"/>
  <c r="AQ155" i="26"/>
  <c r="AP155" i="26"/>
  <c r="AO155" i="26"/>
  <c r="AN155" i="26"/>
  <c r="BF155" i="26" s="1"/>
  <c r="BB155" i="26" s="1"/>
  <c r="AY154" i="26"/>
  <c r="AX154" i="26"/>
  <c r="AW154" i="26"/>
  <c r="AV154" i="26"/>
  <c r="AU154" i="26"/>
  <c r="BG154" i="26" s="1"/>
  <c r="AR154" i="26"/>
  <c r="AQ154" i="26"/>
  <c r="AP154" i="26"/>
  <c r="AO154" i="26"/>
  <c r="AN154" i="26"/>
  <c r="BF154" i="26" s="1"/>
  <c r="BB154" i="26" s="1"/>
  <c r="BG164" i="41"/>
  <c r="BF164" i="41"/>
  <c r="BB164" i="41" s="1"/>
  <c r="BG163" i="41"/>
  <c r="BF163" i="41"/>
  <c r="BB163" i="41" s="1"/>
  <c r="BG162" i="41"/>
  <c r="BF162" i="41"/>
  <c r="BB162" i="41" s="1"/>
  <c r="BG161" i="41"/>
  <c r="BF161" i="41"/>
  <c r="BB161" i="41" s="1"/>
  <c r="BG160" i="41"/>
  <c r="BF160" i="41"/>
  <c r="BB160" i="41" s="1"/>
  <c r="BG159" i="41"/>
  <c r="BF159" i="41"/>
  <c r="BB159" i="41" s="1"/>
  <c r="BG158" i="41"/>
  <c r="BF158" i="41"/>
  <c r="BB158" i="41" s="1"/>
  <c r="BG157" i="41"/>
  <c r="BF157" i="41"/>
  <c r="BB157" i="41" s="1"/>
  <c r="BG156" i="41"/>
  <c r="BF156" i="41"/>
  <c r="BB156" i="41" s="1"/>
  <c r="AY155" i="41"/>
  <c r="AX155" i="41"/>
  <c r="AW155" i="41"/>
  <c r="AV155" i="41"/>
  <c r="AU155" i="41"/>
  <c r="BG155" i="41" s="1"/>
  <c r="AR155" i="41"/>
  <c r="AQ155" i="41"/>
  <c r="AP155" i="41"/>
  <c r="AO155" i="41"/>
  <c r="AN155" i="41"/>
  <c r="BF155" i="41" s="1"/>
  <c r="BB155" i="41" s="1"/>
  <c r="AY154" i="41"/>
  <c r="AX154" i="41"/>
  <c r="AW154" i="41"/>
  <c r="AV154" i="41"/>
  <c r="AU154" i="41"/>
  <c r="BG154" i="41" s="1"/>
  <c r="AR154" i="41"/>
  <c r="AQ154" i="41"/>
  <c r="AP154" i="41"/>
  <c r="AO154" i="41"/>
  <c r="AN154" i="41"/>
  <c r="BF154" i="41" s="1"/>
  <c r="BB154" i="41" s="1"/>
  <c r="BG164" i="35"/>
  <c r="BF164" i="35"/>
  <c r="BB164" i="35" s="1"/>
  <c r="BG163" i="35"/>
  <c r="BF163" i="35"/>
  <c r="BB163" i="35" s="1"/>
  <c r="BG162" i="35"/>
  <c r="BF162" i="35"/>
  <c r="BB162" i="35" s="1"/>
  <c r="BG161" i="35"/>
  <c r="BF161" i="35"/>
  <c r="BB161" i="35" s="1"/>
  <c r="BG160" i="35"/>
  <c r="BF160" i="35"/>
  <c r="BB160" i="35" s="1"/>
  <c r="BG159" i="35"/>
  <c r="BF159" i="35"/>
  <c r="BB159" i="35" s="1"/>
  <c r="BG158" i="35"/>
  <c r="BF158" i="35"/>
  <c r="BB158" i="35" s="1"/>
  <c r="BG157" i="35"/>
  <c r="BF157" i="35"/>
  <c r="BB157" i="35" s="1"/>
  <c r="BG156" i="35"/>
  <c r="BF156" i="35"/>
  <c r="AY155" i="35"/>
  <c r="AX155" i="35"/>
  <c r="AW155" i="35"/>
  <c r="BG155" i="35" s="1"/>
  <c r="AV155" i="35"/>
  <c r="AU155" i="35"/>
  <c r="AR155" i="35"/>
  <c r="AQ155" i="35"/>
  <c r="AP155" i="35"/>
  <c r="BF155" i="35" s="1"/>
  <c r="BB155" i="35" s="1"/>
  <c r="AO155" i="35"/>
  <c r="AN155" i="35"/>
  <c r="AY154" i="35"/>
  <c r="AX154" i="35"/>
  <c r="AW154" i="35"/>
  <c r="BG154" i="35" s="1"/>
  <c r="AV154" i="35"/>
  <c r="AU154" i="35"/>
  <c r="AR154" i="35"/>
  <c r="AQ154" i="35"/>
  <c r="AP154" i="35"/>
  <c r="BF154" i="35" s="1"/>
  <c r="BB154" i="35" s="1"/>
  <c r="AO154" i="35"/>
  <c r="AN154" i="35"/>
  <c r="BG164" i="38"/>
  <c r="BF164" i="38"/>
  <c r="BB164" i="38" s="1"/>
  <c r="BG163" i="38"/>
  <c r="BF163" i="38"/>
  <c r="BB163" i="38" s="1"/>
  <c r="BG162" i="38"/>
  <c r="BF162" i="38"/>
  <c r="BB162" i="38" s="1"/>
  <c r="BG161" i="38"/>
  <c r="BF161" i="38"/>
  <c r="BB161" i="38" s="1"/>
  <c r="BG160" i="38"/>
  <c r="BF160" i="38"/>
  <c r="BB160" i="38" s="1"/>
  <c r="BG159" i="38"/>
  <c r="BF159" i="38"/>
  <c r="BB159" i="38" s="1"/>
  <c r="BG158" i="38"/>
  <c r="BF158" i="38"/>
  <c r="BB158" i="38" s="1"/>
  <c r="BG157" i="38"/>
  <c r="BF157" i="38"/>
  <c r="BB157" i="38" s="1"/>
  <c r="AV187" i="38" s="1"/>
  <c r="BG156" i="38"/>
  <c r="BF156" i="38"/>
  <c r="BD156" i="38" s="1"/>
  <c r="AY155" i="38"/>
  <c r="AX155" i="38"/>
  <c r="AW155" i="38"/>
  <c r="BG155" i="38" s="1"/>
  <c r="AV155" i="38"/>
  <c r="AU155" i="38"/>
  <c r="AR155" i="38"/>
  <c r="AQ155" i="38"/>
  <c r="AP155" i="38"/>
  <c r="BF155" i="38" s="1"/>
  <c r="BB155" i="38" s="1"/>
  <c r="AO155" i="38"/>
  <c r="AN155" i="38"/>
  <c r="AY154" i="38"/>
  <c r="AX154" i="38"/>
  <c r="AW154" i="38"/>
  <c r="BG154" i="38" s="1"/>
  <c r="AV154" i="38"/>
  <c r="AU154" i="38"/>
  <c r="AR154" i="38"/>
  <c r="AQ154" i="38"/>
  <c r="AP154" i="38"/>
  <c r="BF154" i="38" s="1"/>
  <c r="BB154" i="38" s="1"/>
  <c r="AO154" i="38"/>
  <c r="AN154" i="38"/>
  <c r="BG164" i="47"/>
  <c r="BF164" i="47"/>
  <c r="BB164" i="47" s="1"/>
  <c r="BG163" i="47"/>
  <c r="BF163" i="47"/>
  <c r="BB163" i="47" s="1"/>
  <c r="BG162" i="47"/>
  <c r="BF162" i="47"/>
  <c r="BB162" i="47" s="1"/>
  <c r="BG161" i="47"/>
  <c r="BF161" i="47"/>
  <c r="BB161" i="47" s="1"/>
  <c r="BG160" i="47"/>
  <c r="BF160" i="47"/>
  <c r="BB160" i="47" s="1"/>
  <c r="BG159" i="47"/>
  <c r="BF159" i="47"/>
  <c r="BB159" i="47" s="1"/>
  <c r="BG158" i="47"/>
  <c r="BF158" i="47"/>
  <c r="BB158" i="47" s="1"/>
  <c r="BG157" i="47"/>
  <c r="BF157" i="47"/>
  <c r="BB157" i="47" s="1"/>
  <c r="BG156" i="47"/>
  <c r="BF156" i="47"/>
  <c r="BD156" i="47" s="1"/>
  <c r="AY155" i="47"/>
  <c r="AX155" i="47"/>
  <c r="AW155" i="47"/>
  <c r="AV155" i="47"/>
  <c r="BG155" i="47" s="1"/>
  <c r="AU155" i="47"/>
  <c r="AR155" i="47"/>
  <c r="AQ155" i="47"/>
  <c r="AP155" i="47"/>
  <c r="BF155" i="47"/>
  <c r="BB155" i="47" s="1"/>
  <c r="AN155" i="47"/>
  <c r="AY154" i="47"/>
  <c r="AX154" i="47"/>
  <c r="AW154" i="47"/>
  <c r="AV154" i="47"/>
  <c r="BG154" i="47" s="1"/>
  <c r="AU154" i="47"/>
  <c r="AR154" i="47"/>
  <c r="AQ154" i="47"/>
  <c r="AP154" i="47"/>
  <c r="AO154" i="47"/>
  <c r="BF154" i="47" s="1"/>
  <c r="BB154" i="47" s="1"/>
  <c r="AN154" i="47"/>
  <c r="BG164" i="50"/>
  <c r="BF164" i="50"/>
  <c r="BB164" i="50" s="1"/>
  <c r="BG163" i="50"/>
  <c r="BF163" i="50"/>
  <c r="BB163" i="50" s="1"/>
  <c r="BG162" i="50"/>
  <c r="BF162" i="50"/>
  <c r="BB162" i="50" s="1"/>
  <c r="BG161" i="50"/>
  <c r="BF161" i="50"/>
  <c r="BB161" i="50" s="1"/>
  <c r="BG160" i="50"/>
  <c r="BF160" i="50"/>
  <c r="BB160" i="50" s="1"/>
  <c r="BG159" i="50"/>
  <c r="BF159" i="50"/>
  <c r="BB159" i="50" s="1"/>
  <c r="BG158" i="50"/>
  <c r="BF158" i="50"/>
  <c r="BB158" i="50" s="1"/>
  <c r="BG157" i="50"/>
  <c r="BF157" i="50"/>
  <c r="BB157" i="50" s="1"/>
  <c r="BG156" i="50"/>
  <c r="BF156" i="50"/>
  <c r="BB156" i="50" s="1"/>
  <c r="AY155" i="50"/>
  <c r="AX155" i="50"/>
  <c r="AW155" i="50"/>
  <c r="AV155" i="50"/>
  <c r="BG155" i="50" s="1"/>
  <c r="AU155" i="50"/>
  <c r="AR155" i="50"/>
  <c r="AQ155" i="50"/>
  <c r="AP155" i="50"/>
  <c r="AO155" i="50"/>
  <c r="BF155" i="50" s="1"/>
  <c r="BB155" i="50" s="1"/>
  <c r="AN155" i="50"/>
  <c r="AY154" i="50"/>
  <c r="AX154" i="50"/>
  <c r="AW154" i="50"/>
  <c r="AV154" i="50"/>
  <c r="BG154" i="50" s="1"/>
  <c r="AU154" i="50"/>
  <c r="AR154" i="50"/>
  <c r="AQ154" i="50"/>
  <c r="AP154" i="50"/>
  <c r="AO154" i="50"/>
  <c r="AN154" i="50"/>
  <c r="BG164" i="53"/>
  <c r="BF164" i="53"/>
  <c r="BB164" i="53" s="1"/>
  <c r="BG163" i="53"/>
  <c r="BF163" i="53"/>
  <c r="BB163" i="53" s="1"/>
  <c r="BG162" i="53"/>
  <c r="BF162" i="53"/>
  <c r="BB162" i="53" s="1"/>
  <c r="BG161" i="53"/>
  <c r="BF161" i="53"/>
  <c r="BB161" i="53" s="1"/>
  <c r="BG160" i="53"/>
  <c r="BF160" i="53"/>
  <c r="BB160" i="53" s="1"/>
  <c r="BG159" i="53"/>
  <c r="BF159" i="53"/>
  <c r="BB159" i="53" s="1"/>
  <c r="BG158" i="53"/>
  <c r="BF158" i="53"/>
  <c r="BB158" i="53" s="1"/>
  <c r="BG157" i="53"/>
  <c r="BF157" i="53"/>
  <c r="BB157" i="53" s="1"/>
  <c r="BG156" i="53"/>
  <c r="BF156" i="53"/>
  <c r="AY155" i="53"/>
  <c r="AX155" i="53"/>
  <c r="AW155" i="53"/>
  <c r="AV155" i="53"/>
  <c r="BG155" i="53" s="1"/>
  <c r="AU155" i="53"/>
  <c r="AR155" i="53"/>
  <c r="AQ155" i="53"/>
  <c r="AP155" i="53"/>
  <c r="AO155" i="53"/>
  <c r="BF155" i="53" s="1"/>
  <c r="BB155" i="53" s="1"/>
  <c r="AN155" i="53"/>
  <c r="AY154" i="53"/>
  <c r="AX154" i="53"/>
  <c r="AW154" i="53"/>
  <c r="AV154" i="53"/>
  <c r="BG154" i="53" s="1"/>
  <c r="AU154" i="53"/>
  <c r="AR154" i="53"/>
  <c r="AQ154" i="53"/>
  <c r="AP154" i="53"/>
  <c r="AO154" i="53"/>
  <c r="BF154" i="53" s="1"/>
  <c r="BB154" i="53" s="1"/>
  <c r="AN154" i="53"/>
  <c r="BG164" i="76"/>
  <c r="BF164" i="76"/>
  <c r="BB164" i="76" s="1"/>
  <c r="BG163" i="76"/>
  <c r="BF163" i="76"/>
  <c r="BB163" i="76" s="1"/>
  <c r="BG162" i="76"/>
  <c r="BF162" i="76"/>
  <c r="BB162" i="76" s="1"/>
  <c r="BG161" i="76"/>
  <c r="BF161" i="76"/>
  <c r="BB161" i="76" s="1"/>
  <c r="BG160" i="76"/>
  <c r="BF160" i="76"/>
  <c r="BB160" i="76" s="1"/>
  <c r="BG159" i="76"/>
  <c r="BF159" i="76"/>
  <c r="BB159" i="76" s="1"/>
  <c r="BG158" i="76"/>
  <c r="BF158" i="76"/>
  <c r="BB158" i="76" s="1"/>
  <c r="BG157" i="76"/>
  <c r="BF157" i="76"/>
  <c r="BB157" i="76" s="1"/>
  <c r="BG156" i="76"/>
  <c r="BF156" i="76"/>
  <c r="BD156" i="76" s="1"/>
  <c r="AY155" i="76"/>
  <c r="AX155" i="76"/>
  <c r="AW155" i="76"/>
  <c r="AV155" i="76"/>
  <c r="BG155" i="76" s="1"/>
  <c r="AU155" i="76"/>
  <c r="AR155" i="76"/>
  <c r="AQ155" i="76"/>
  <c r="AP155" i="76"/>
  <c r="AO155" i="76"/>
  <c r="BF155" i="76" s="1"/>
  <c r="BB155" i="76" s="1"/>
  <c r="AN155" i="76"/>
  <c r="AY154" i="76"/>
  <c r="AX154" i="76"/>
  <c r="AW154" i="76"/>
  <c r="AV154" i="76"/>
  <c r="BG154" i="76" s="1"/>
  <c r="AU154" i="76"/>
  <c r="AR154" i="76"/>
  <c r="AQ154" i="76"/>
  <c r="AP154" i="76"/>
  <c r="AO154" i="76"/>
  <c r="BF154" i="76" s="1"/>
  <c r="BB154" i="76" s="1"/>
  <c r="AN154" i="76"/>
  <c r="BG164" i="61"/>
  <c r="BF164" i="61"/>
  <c r="BB164" i="61" s="1"/>
  <c r="BG163" i="61"/>
  <c r="BF163" i="61"/>
  <c r="BB163" i="61" s="1"/>
  <c r="BG162" i="61"/>
  <c r="BF162" i="61"/>
  <c r="BB162" i="61" s="1"/>
  <c r="BG161" i="61"/>
  <c r="BF161" i="61"/>
  <c r="BB161" i="61" s="1"/>
  <c r="BG160" i="61"/>
  <c r="BF160" i="61"/>
  <c r="BB160" i="61" s="1"/>
  <c r="BG159" i="61"/>
  <c r="BF159" i="61"/>
  <c r="BB159" i="61" s="1"/>
  <c r="BG158" i="61"/>
  <c r="BF158" i="61"/>
  <c r="BB158" i="61" s="1"/>
  <c r="BG157" i="61"/>
  <c r="BF157" i="61"/>
  <c r="BB157" i="61" s="1"/>
  <c r="BG156" i="61"/>
  <c r="BF156" i="61"/>
  <c r="BD156" i="61" s="1"/>
  <c r="AY155" i="61"/>
  <c r="AX155" i="61"/>
  <c r="AW155" i="61"/>
  <c r="AV155" i="61"/>
  <c r="AU155" i="61"/>
  <c r="BG155" i="61" s="1"/>
  <c r="AR155" i="61"/>
  <c r="AQ155" i="61"/>
  <c r="AP155" i="61"/>
  <c r="AO155" i="61"/>
  <c r="AN155" i="61"/>
  <c r="BF155" i="61" s="1"/>
  <c r="BB155" i="61" s="1"/>
  <c r="AY154" i="61"/>
  <c r="AX154" i="61"/>
  <c r="AW154" i="61"/>
  <c r="AV154" i="61"/>
  <c r="AU154" i="61"/>
  <c r="BG154" i="61" s="1"/>
  <c r="AR154" i="61"/>
  <c r="AQ154" i="61"/>
  <c r="AP154" i="61"/>
  <c r="AO154" i="61"/>
  <c r="AN154" i="61"/>
  <c r="BF154" i="61" s="1"/>
  <c r="BB154" i="61" s="1"/>
  <c r="BG164" i="64"/>
  <c r="BF164" i="64"/>
  <c r="BB164" i="64" s="1"/>
  <c r="BG163" i="64"/>
  <c r="BF163" i="64"/>
  <c r="BB163" i="64" s="1"/>
  <c r="BG162" i="64"/>
  <c r="BF162" i="64"/>
  <c r="BB162" i="64" s="1"/>
  <c r="BG161" i="64"/>
  <c r="BF161" i="64"/>
  <c r="BB161" i="64" s="1"/>
  <c r="BG160" i="64"/>
  <c r="BF160" i="64"/>
  <c r="BB160" i="64" s="1"/>
  <c r="BG159" i="64"/>
  <c r="BF159" i="64"/>
  <c r="BB159" i="64" s="1"/>
  <c r="BG158" i="64"/>
  <c r="BF158" i="64"/>
  <c r="BB158" i="64" s="1"/>
  <c r="BG157" i="64"/>
  <c r="BF157" i="64"/>
  <c r="BB157" i="64" s="1"/>
  <c r="BG156" i="64"/>
  <c r="BF156" i="64"/>
  <c r="BB156" i="64" s="1"/>
  <c r="AY155" i="64"/>
  <c r="BG155" i="64" s="1"/>
  <c r="AX155" i="64"/>
  <c r="AW155" i="64"/>
  <c r="AV155" i="64"/>
  <c r="AU155" i="64"/>
  <c r="AR155" i="64"/>
  <c r="BF155" i="64" s="1"/>
  <c r="BB155" i="64" s="1"/>
  <c r="AQ155" i="64"/>
  <c r="AP155" i="64"/>
  <c r="AO155" i="64"/>
  <c r="AN155" i="64"/>
  <c r="AY154" i="64"/>
  <c r="BG154" i="64" s="1"/>
  <c r="AX154" i="64"/>
  <c r="AW154" i="64"/>
  <c r="AV154" i="64"/>
  <c r="AU154" i="64"/>
  <c r="AR154" i="64"/>
  <c r="BF154" i="64" s="1"/>
  <c r="BB154" i="64" s="1"/>
  <c r="AQ154" i="64"/>
  <c r="AP154" i="64"/>
  <c r="AO154" i="64"/>
  <c r="AN154" i="64"/>
  <c r="BG164" i="1"/>
  <c r="BF164" i="1"/>
  <c r="BB164" i="1" s="1"/>
  <c r="BG163" i="1"/>
  <c r="BF163" i="1"/>
  <c r="BB163" i="1" s="1"/>
  <c r="BG162" i="1"/>
  <c r="BF162" i="1"/>
  <c r="BB162" i="1" s="1"/>
  <c r="BG161" i="1"/>
  <c r="BF161" i="1"/>
  <c r="BB161" i="1" s="1"/>
  <c r="BG160" i="1"/>
  <c r="BF160" i="1"/>
  <c r="BB160" i="1" s="1"/>
  <c r="BG159" i="1"/>
  <c r="BF159" i="1"/>
  <c r="BB159" i="1" s="1"/>
  <c r="BG158" i="1"/>
  <c r="BF158" i="1"/>
  <c r="BB158" i="1" s="1"/>
  <c r="BG157" i="1"/>
  <c r="BF157" i="1"/>
  <c r="BB157" i="1" s="1"/>
  <c r="BG156" i="1"/>
  <c r="BF156" i="1"/>
  <c r="BD156" i="1" s="1"/>
  <c r="AY155" i="1"/>
  <c r="AX155" i="1"/>
  <c r="AW155" i="1"/>
  <c r="AV155" i="1"/>
  <c r="AU155" i="1"/>
  <c r="BG155" i="1" s="1"/>
  <c r="AR155" i="1"/>
  <c r="AQ155" i="1"/>
  <c r="AP155" i="1"/>
  <c r="AO155" i="1"/>
  <c r="AN155" i="1"/>
  <c r="BF155" i="1" s="1"/>
  <c r="BB155" i="1" s="1"/>
  <c r="AY154" i="1"/>
  <c r="AX154" i="1"/>
  <c r="AW154" i="1"/>
  <c r="AV154" i="1"/>
  <c r="AU154" i="1"/>
  <c r="BG154" i="1" s="1"/>
  <c r="AR154" i="1"/>
  <c r="AQ154" i="1"/>
  <c r="AP154" i="1"/>
  <c r="AO154" i="1"/>
  <c r="AN154" i="1"/>
  <c r="BF154" i="1" s="1"/>
  <c r="BB154" i="1" s="1"/>
  <c r="G271" i="1"/>
  <c r="H271" i="1" s="1"/>
  <c r="I271" i="1" s="1"/>
  <c r="J271" i="1" s="1"/>
  <c r="K271" i="1" s="1"/>
  <c r="L271" i="1" s="1"/>
  <c r="M271" i="1" s="1"/>
  <c r="N271" i="1" s="1"/>
  <c r="O271" i="1" s="1"/>
  <c r="P271" i="1" s="1"/>
  <c r="Q271" i="1" s="1"/>
  <c r="AA166" i="20"/>
  <c r="AB166" i="20" s="1"/>
  <c r="AC166" i="20" s="1"/>
  <c r="H166" i="1"/>
  <c r="I166" i="1" s="1"/>
  <c r="J166" i="1" s="1"/>
  <c r="K166" i="1" s="1"/>
  <c r="L166" i="1" s="1"/>
  <c r="M166" i="1" s="1"/>
  <c r="N166" i="1" s="1"/>
  <c r="O166" i="1" s="1"/>
  <c r="P166" i="1" s="1"/>
  <c r="Q166" i="1" s="1"/>
  <c r="Z215" i="20"/>
  <c r="AF167" i="20"/>
  <c r="AX154" i="20"/>
  <c r="AY154" i="20"/>
  <c r="AX155" i="20"/>
  <c r="AY155" i="20"/>
  <c r="AV154" i="20"/>
  <c r="AW154" i="20"/>
  <c r="AV155" i="20"/>
  <c r="AW155" i="20"/>
  <c r="AU155" i="20"/>
  <c r="BG155" i="20" s="1"/>
  <c r="AU154" i="20"/>
  <c r="BG154" i="20" s="1"/>
  <c r="AM181" i="20"/>
  <c r="AM182" i="20"/>
  <c r="AM183" i="20"/>
  <c r="AM184" i="20"/>
  <c r="AM185" i="20"/>
  <c r="AM186" i="20"/>
  <c r="AM187" i="20"/>
  <c r="AM188" i="20"/>
  <c r="AM189" i="20"/>
  <c r="AM190" i="20"/>
  <c r="AM191" i="20"/>
  <c r="AM192" i="20"/>
  <c r="AM193" i="20"/>
  <c r="AM194" i="20"/>
  <c r="AM195" i="20"/>
  <c r="AM196" i="20"/>
  <c r="AM197" i="20"/>
  <c r="AM198" i="20"/>
  <c r="AM199" i="20"/>
  <c r="AM200" i="20"/>
  <c r="AM201" i="20"/>
  <c r="AM202" i="20"/>
  <c r="AM203" i="20"/>
  <c r="AM204" i="20"/>
  <c r="AM205" i="20"/>
  <c r="AM206" i="20"/>
  <c r="AM207" i="20"/>
  <c r="AM208" i="20"/>
  <c r="AM209" i="20"/>
  <c r="AM210" i="20"/>
  <c r="AM211" i="20"/>
  <c r="AM212" i="20"/>
  <c r="AM213" i="20"/>
  <c r="AM167" i="20"/>
  <c r="AC167" i="20"/>
  <c r="BF156" i="20"/>
  <c r="BD156" i="20" s="1"/>
  <c r="BG166" i="20" s="1"/>
  <c r="BE166" i="20"/>
  <c r="BY159" i="20"/>
  <c r="BY158" i="20"/>
  <c r="AT123" i="20"/>
  <c r="AU123" i="20"/>
  <c r="AV123" i="20"/>
  <c r="AW123" i="20"/>
  <c r="AX123" i="20"/>
  <c r="AY123" i="20"/>
  <c r="AZ123" i="20"/>
  <c r="BA123" i="20"/>
  <c r="AR122" i="20"/>
  <c r="AQ122" i="20"/>
  <c r="AN154" i="20"/>
  <c r="BF154" i="20" s="1"/>
  <c r="BB154" i="20" s="1"/>
  <c r="AO154" i="20"/>
  <c r="AP154" i="20"/>
  <c r="AQ154" i="20"/>
  <c r="AN155" i="20"/>
  <c r="BF155" i="20" s="1"/>
  <c r="BB155" i="20" s="1"/>
  <c r="AO155" i="20"/>
  <c r="AP155" i="20"/>
  <c r="AQ155" i="20"/>
  <c r="T115" i="32"/>
  <c r="W59" i="32" s="1"/>
  <c r="S115" i="32"/>
  <c r="U57" i="32" s="1"/>
  <c r="R115" i="32"/>
  <c r="S57" i="32" s="1"/>
  <c r="T115" i="56"/>
  <c r="W59" i="56" s="1"/>
  <c r="S115" i="56"/>
  <c r="U57" i="56" s="1"/>
  <c r="R115" i="56"/>
  <c r="S57" i="56" s="1"/>
  <c r="T115" i="23"/>
  <c r="W59" i="23" s="1"/>
  <c r="S115" i="23"/>
  <c r="U57" i="23" s="1"/>
  <c r="R115" i="23"/>
  <c r="S57" i="23" s="1"/>
  <c r="T115" i="26"/>
  <c r="W59" i="26" s="1"/>
  <c r="S115" i="26"/>
  <c r="U57" i="26" s="1"/>
  <c r="R115" i="26"/>
  <c r="S57" i="26" s="1"/>
  <c r="T115" i="41"/>
  <c r="W59" i="41" s="1"/>
  <c r="S115" i="41"/>
  <c r="U57" i="41" s="1"/>
  <c r="R115" i="41"/>
  <c r="S57" i="41" s="1"/>
  <c r="T115" i="35"/>
  <c r="W59" i="35" s="1"/>
  <c r="S115" i="35"/>
  <c r="U57" i="35" s="1"/>
  <c r="R115" i="35"/>
  <c r="S57" i="35" s="1"/>
  <c r="T115" i="38"/>
  <c r="W59" i="38" s="1"/>
  <c r="S115" i="38"/>
  <c r="U57" i="38" s="1"/>
  <c r="R115" i="38"/>
  <c r="S57" i="38" s="1"/>
  <c r="T115" i="47"/>
  <c r="W59" i="47" s="1"/>
  <c r="S115" i="47"/>
  <c r="U57" i="47" s="1"/>
  <c r="R115" i="47"/>
  <c r="S57" i="47" s="1"/>
  <c r="T115" i="50"/>
  <c r="W59" i="50" s="1"/>
  <c r="S115" i="50"/>
  <c r="R115" i="50"/>
  <c r="T115" i="53"/>
  <c r="W59" i="53" s="1"/>
  <c r="S115" i="53"/>
  <c r="R115" i="53"/>
  <c r="T115" i="76"/>
  <c r="W59" i="76" s="1"/>
  <c r="S115" i="76"/>
  <c r="U57" i="76" s="1"/>
  <c r="R115" i="76"/>
  <c r="S57" i="76" s="1"/>
  <c r="T115" i="61"/>
  <c r="W59" i="61" s="1"/>
  <c r="S115" i="61"/>
  <c r="U57" i="61" s="1"/>
  <c r="R115" i="61"/>
  <c r="S57" i="61" s="1"/>
  <c r="T115" i="64"/>
  <c r="W59" i="64" s="1"/>
  <c r="S115" i="64"/>
  <c r="U57" i="64" s="1"/>
  <c r="R115" i="64"/>
  <c r="S57" i="64" s="1"/>
  <c r="T115" i="29"/>
  <c r="W59" i="29" s="1"/>
  <c r="S115" i="29"/>
  <c r="U57" i="29" s="1"/>
  <c r="R115" i="29"/>
  <c r="S57" i="29" s="1"/>
  <c r="T115" i="20"/>
  <c r="W59" i="20" s="1"/>
  <c r="S115" i="20"/>
  <c r="U57" i="20" s="1"/>
  <c r="R115" i="20"/>
  <c r="S57" i="20" s="1"/>
  <c r="T115" i="17"/>
  <c r="W59" i="17" s="1"/>
  <c r="S115" i="17"/>
  <c r="U57" i="17" s="1"/>
  <c r="R115" i="17"/>
  <c r="S57" i="17" s="1"/>
  <c r="T115" i="14"/>
  <c r="W59" i="14" s="1"/>
  <c r="S115" i="14"/>
  <c r="U57" i="14" s="1"/>
  <c r="R115" i="14"/>
  <c r="S57" i="14" s="1"/>
  <c r="T115" i="11"/>
  <c r="W59" i="11" s="1"/>
  <c r="S115" i="11"/>
  <c r="U57" i="11" s="1"/>
  <c r="R115" i="11"/>
  <c r="S57" i="11" s="1"/>
  <c r="T116" i="5"/>
  <c r="W59" i="5" s="1"/>
  <c r="S116" i="5"/>
  <c r="U57" i="5" s="1"/>
  <c r="R116" i="5"/>
  <c r="S57" i="5" s="1"/>
  <c r="T115" i="44"/>
  <c r="W59" i="44" s="1"/>
  <c r="S115" i="44"/>
  <c r="R115" i="44"/>
  <c r="T115" i="1"/>
  <c r="W59" i="1" s="1"/>
  <c r="S115" i="1"/>
  <c r="U57" i="1" s="1"/>
  <c r="R115" i="1"/>
  <c r="S57" i="1" s="1"/>
  <c r="S115" i="8"/>
  <c r="U57" i="8" s="1"/>
  <c r="R115" i="8"/>
  <c r="S57" i="8" s="1"/>
  <c r="F115" i="8"/>
  <c r="AR155" i="20"/>
  <c r="AR154" i="20"/>
  <c r="BY162" i="53"/>
  <c r="J66" i="64" l="1"/>
  <c r="J166" i="64"/>
  <c r="AB171" i="64"/>
  <c r="BF154" i="50"/>
  <c r="BB154" i="50" s="1"/>
  <c r="AK216" i="50" s="1"/>
  <c r="AC216" i="50"/>
  <c r="AA214" i="26"/>
  <c r="AA171" i="44"/>
  <c r="AB170" i="64"/>
  <c r="AD170" i="64"/>
  <c r="AC170" i="64"/>
  <c r="AA171" i="64"/>
  <c r="AC171" i="64"/>
  <c r="AA172" i="64"/>
  <c r="AD171" i="64"/>
  <c r="AB172" i="64"/>
  <c r="AA169" i="64"/>
  <c r="AC172" i="64"/>
  <c r="AB169" i="64"/>
  <c r="AD172" i="64"/>
  <c r="AA170" i="64"/>
  <c r="AV184" i="38"/>
  <c r="Z216" i="32"/>
  <c r="AA170" i="41"/>
  <c r="AF175" i="41"/>
  <c r="AB172" i="44"/>
  <c r="Z216" i="47"/>
  <c r="C65" i="47" s="1"/>
  <c r="Z216" i="29"/>
  <c r="S123" i="29" s="1"/>
  <c r="AA171" i="41"/>
  <c r="AC176" i="41"/>
  <c r="AE178" i="41"/>
  <c r="AB180" i="41"/>
  <c r="AG182" i="41"/>
  <c r="AA173" i="44"/>
  <c r="AV185" i="38"/>
  <c r="Z216" i="17"/>
  <c r="AB171" i="41"/>
  <c r="AD176" i="41"/>
  <c r="AF178" i="41"/>
  <c r="AC180" i="41"/>
  <c r="AH182" i="41"/>
  <c r="AE175" i="41"/>
  <c r="AA177" i="41"/>
  <c r="AA179" i="8"/>
  <c r="Z216" i="64"/>
  <c r="Z216" i="41"/>
  <c r="Z216" i="11"/>
  <c r="AA168" i="41"/>
  <c r="AB177" i="41"/>
  <c r="Z217" i="5"/>
  <c r="AB174" i="41"/>
  <c r="AA179" i="41"/>
  <c r="AC181" i="41"/>
  <c r="AB179" i="41"/>
  <c r="AD181" i="41"/>
  <c r="AB170" i="44"/>
  <c r="AB168" i="41"/>
  <c r="AA173" i="41"/>
  <c r="AG175" i="41"/>
  <c r="AE176" i="41"/>
  <c r="AC177" i="41"/>
  <c r="AG178" i="41"/>
  <c r="AC179" i="41"/>
  <c r="AD180" i="41"/>
  <c r="AE181" i="41"/>
  <c r="AA182" i="41"/>
  <c r="AI182" i="41"/>
  <c r="AB173" i="41"/>
  <c r="AF176" i="41"/>
  <c r="AD177" i="41"/>
  <c r="AD179" i="41"/>
  <c r="AF181" i="41"/>
  <c r="AB182" i="41"/>
  <c r="AJ182" i="41"/>
  <c r="AB166" i="38"/>
  <c r="AA177" i="38"/>
  <c r="AA171" i="38"/>
  <c r="AA168" i="38"/>
  <c r="AA174" i="38"/>
  <c r="AA170" i="38"/>
  <c r="AA173" i="38"/>
  <c r="AA179" i="38"/>
  <c r="AA169" i="38"/>
  <c r="AA172" i="38"/>
  <c r="AA175" i="38"/>
  <c r="AA178" i="38"/>
  <c r="AA176" i="38"/>
  <c r="AA180" i="38"/>
  <c r="AK182" i="41"/>
  <c r="AB170" i="41"/>
  <c r="AA175" i="41"/>
  <c r="AG176" i="41"/>
  <c r="AE177" i="41"/>
  <c r="AA178" i="41"/>
  <c r="AG181" i="41"/>
  <c r="AC182" i="41"/>
  <c r="AB166" i="35"/>
  <c r="AA169" i="35"/>
  <c r="AA172" i="35"/>
  <c r="AA168" i="35"/>
  <c r="AA170" i="35"/>
  <c r="AA173" i="35"/>
  <c r="AA171" i="35"/>
  <c r="AA172" i="41"/>
  <c r="AB175" i="41"/>
  <c r="AF177" i="41"/>
  <c r="AB178" i="41"/>
  <c r="AH181" i="41"/>
  <c r="AD182" i="41"/>
  <c r="AA169" i="41"/>
  <c r="AB172" i="41"/>
  <c r="AC175" i="41"/>
  <c r="AA176" i="41"/>
  <c r="AG177" i="41"/>
  <c r="AC178" i="41"/>
  <c r="AA181" i="41"/>
  <c r="AI181" i="41"/>
  <c r="AE182" i="41"/>
  <c r="AA183" i="41"/>
  <c r="AB169" i="41"/>
  <c r="AA174" i="41"/>
  <c r="AD175" i="41"/>
  <c r="AB176" i="41"/>
  <c r="AD178" i="41"/>
  <c r="AA180" i="41"/>
  <c r="AB181" i="41"/>
  <c r="AJ181" i="41"/>
  <c r="AF182" i="41"/>
  <c r="AB183" i="41"/>
  <c r="H81" i="38"/>
  <c r="H78" i="38"/>
  <c r="H80" i="38"/>
  <c r="H79" i="38"/>
  <c r="H79" i="41"/>
  <c r="H82" i="41"/>
  <c r="H81" i="41"/>
  <c r="H84" i="41"/>
  <c r="H78" i="41"/>
  <c r="H83" i="41"/>
  <c r="H80" i="41"/>
  <c r="AA168" i="44"/>
  <c r="AA169" i="44"/>
  <c r="AB171" i="44"/>
  <c r="AB173" i="44"/>
  <c r="AB169" i="44"/>
  <c r="AC171" i="44"/>
  <c r="AC169" i="44"/>
  <c r="AD171" i="44"/>
  <c r="AA174" i="44"/>
  <c r="AB174" i="44"/>
  <c r="AA170" i="44"/>
  <c r="AA172" i="44"/>
  <c r="AC174" i="44"/>
  <c r="H78" i="5"/>
  <c r="I66" i="1"/>
  <c r="J66" i="1" s="1"/>
  <c r="H69" i="1"/>
  <c r="H70" i="1"/>
  <c r="H71" i="1"/>
  <c r="AK216" i="61"/>
  <c r="Q272" i="61" s="1"/>
  <c r="S62" i="61" s="1"/>
  <c r="AA171" i="17"/>
  <c r="BD164" i="26"/>
  <c r="BD161" i="17"/>
  <c r="AC166" i="14"/>
  <c r="AC168" i="14" s="1"/>
  <c r="AB168" i="14"/>
  <c r="AF214" i="61"/>
  <c r="AF215" i="61" s="1"/>
  <c r="AF216" i="61" s="1"/>
  <c r="L272" i="61" s="1"/>
  <c r="L56" i="61" s="1"/>
  <c r="W115" i="38"/>
  <c r="BD163" i="53"/>
  <c r="BD162" i="61"/>
  <c r="BD158" i="61"/>
  <c r="W115" i="20"/>
  <c r="BY160" i="20"/>
  <c r="BD158" i="38"/>
  <c r="BD163" i="35"/>
  <c r="BD158" i="23"/>
  <c r="BD159" i="14"/>
  <c r="BD162" i="47"/>
  <c r="BD162" i="26"/>
  <c r="BB156" i="47"/>
  <c r="BD161" i="41"/>
  <c r="BD158" i="26"/>
  <c r="BD159" i="53"/>
  <c r="BD157" i="32"/>
  <c r="BD161" i="32"/>
  <c r="BD158" i="29"/>
  <c r="AC214" i="56"/>
  <c r="AC215" i="56" s="1"/>
  <c r="AR123" i="20"/>
  <c r="BD163" i="64"/>
  <c r="BD160" i="61"/>
  <c r="BD161" i="35"/>
  <c r="BD157" i="11"/>
  <c r="AA172" i="17"/>
  <c r="AA186" i="17"/>
  <c r="W115" i="44"/>
  <c r="BD157" i="50"/>
  <c r="AA188" i="17"/>
  <c r="AA173" i="17"/>
  <c r="AA191" i="17"/>
  <c r="BD164" i="1"/>
  <c r="AA174" i="17"/>
  <c r="AN207" i="1"/>
  <c r="AO203" i="1"/>
  <c r="BB156" i="20"/>
  <c r="BD160" i="26"/>
  <c r="BD156" i="32"/>
  <c r="AA175" i="17"/>
  <c r="AN204" i="1"/>
  <c r="AO199" i="1"/>
  <c r="AA176" i="17"/>
  <c r="AN188" i="1"/>
  <c r="AA177" i="17"/>
  <c r="AA169" i="17"/>
  <c r="BD158" i="64"/>
  <c r="BD160" i="53"/>
  <c r="BD156" i="50"/>
  <c r="BD160" i="50"/>
  <c r="BD160" i="47"/>
  <c r="BD156" i="41"/>
  <c r="AO195" i="1"/>
  <c r="AN200" i="53"/>
  <c r="BP157" i="20"/>
  <c r="BV158" i="20" s="1"/>
  <c r="BG167" i="20" s="1"/>
  <c r="BB156" i="26"/>
  <c r="BD157" i="26" s="1"/>
  <c r="BD161" i="56"/>
  <c r="BB156" i="29"/>
  <c r="BD157" i="29" s="1"/>
  <c r="AC214" i="23"/>
  <c r="AC215" i="23" s="1"/>
  <c r="AC216" i="23" s="1"/>
  <c r="AN200" i="1"/>
  <c r="AO191" i="1"/>
  <c r="BD164" i="47"/>
  <c r="AN202" i="61"/>
  <c r="BD156" i="64"/>
  <c r="BD161" i="38"/>
  <c r="BB156" i="23"/>
  <c r="BD157" i="23" s="1"/>
  <c r="AN196" i="1"/>
  <c r="AN197" i="50"/>
  <c r="BD162" i="1"/>
  <c r="BD158" i="76"/>
  <c r="AN192" i="1"/>
  <c r="AO211" i="1"/>
  <c r="AO197" i="17"/>
  <c r="AS123" i="20"/>
  <c r="BD164" i="50"/>
  <c r="BD163" i="56"/>
  <c r="BD164" i="8"/>
  <c r="AB214" i="26"/>
  <c r="AB215" i="26" s="1"/>
  <c r="AJ214" i="26"/>
  <c r="AJ215" i="26" s="1"/>
  <c r="D64" i="26" s="1"/>
  <c r="AN212" i="1"/>
  <c r="AN203" i="76"/>
  <c r="AO202" i="32"/>
  <c r="AO189" i="8"/>
  <c r="BB156" i="61"/>
  <c r="BD157" i="61" s="1"/>
  <c r="BD163" i="61"/>
  <c r="F273" i="5"/>
  <c r="F56" i="5" s="1"/>
  <c r="AN208" i="1"/>
  <c r="AN194" i="47"/>
  <c r="BD161" i="76"/>
  <c r="BL166" i="76" s="1"/>
  <c r="BD157" i="5"/>
  <c r="BB157" i="5"/>
  <c r="BD158" i="5" s="1"/>
  <c r="BD160" i="64"/>
  <c r="BB156" i="38"/>
  <c r="BD163" i="76"/>
  <c r="BD158" i="35"/>
  <c r="BD164" i="35"/>
  <c r="AA172" i="1"/>
  <c r="AA171" i="1"/>
  <c r="BB156" i="76"/>
  <c r="BD157" i="76" s="1"/>
  <c r="BD163" i="38"/>
  <c r="BD159" i="35"/>
  <c r="BD164" i="41"/>
  <c r="BD161" i="53"/>
  <c r="BD159" i="47"/>
  <c r="Z216" i="61"/>
  <c r="AC214" i="61"/>
  <c r="AC215" i="61" s="1"/>
  <c r="AC216" i="61" s="1"/>
  <c r="I272" i="61" s="1"/>
  <c r="I56" i="61" s="1"/>
  <c r="BD162" i="64"/>
  <c r="BD158" i="53"/>
  <c r="BD162" i="50"/>
  <c r="BD157" i="41"/>
  <c r="AD214" i="61"/>
  <c r="AD215" i="61" s="1"/>
  <c r="AD216" i="61" s="1"/>
  <c r="J272" i="61" s="1"/>
  <c r="J56" i="61" s="1"/>
  <c r="BD164" i="23"/>
  <c r="BD158" i="56"/>
  <c r="BD164" i="56"/>
  <c r="AE214" i="61"/>
  <c r="AE215" i="61" s="1"/>
  <c r="AE216" i="61" s="1"/>
  <c r="K272" i="61" s="1"/>
  <c r="K56" i="61" s="1"/>
  <c r="BD163" i="26"/>
  <c r="BD161" i="23"/>
  <c r="BD156" i="11"/>
  <c r="BD159" i="56"/>
  <c r="BD159" i="5"/>
  <c r="BD162" i="5"/>
  <c r="AG214" i="61"/>
  <c r="AG215" i="61" s="1"/>
  <c r="AG216" i="61" s="1"/>
  <c r="M272" i="61" s="1"/>
  <c r="M56" i="61" s="1"/>
  <c r="BD161" i="29"/>
  <c r="BD162" i="14"/>
  <c r="BD159" i="44"/>
  <c r="BD162" i="44"/>
  <c r="AH214" i="61"/>
  <c r="AH215" i="61" s="1"/>
  <c r="AH216" i="61" s="1"/>
  <c r="N272" i="61" s="1"/>
  <c r="N56" i="61" s="1"/>
  <c r="BD161" i="26"/>
  <c r="AA214" i="61"/>
  <c r="AA215" i="61" s="1"/>
  <c r="AA216" i="61" s="1"/>
  <c r="G272" i="61" s="1"/>
  <c r="G56" i="61" s="1"/>
  <c r="AI214" i="61"/>
  <c r="AI215" i="61" s="1"/>
  <c r="AI216" i="61" s="1"/>
  <c r="O272" i="61" s="1"/>
  <c r="O56" i="61" s="1"/>
  <c r="AB214" i="61"/>
  <c r="AB215" i="61" s="1"/>
  <c r="AB216" i="61" s="1"/>
  <c r="H272" i="61" s="1"/>
  <c r="H56" i="61" s="1"/>
  <c r="AJ214" i="61"/>
  <c r="AJ215" i="61" s="1"/>
  <c r="AB214" i="23"/>
  <c r="AB215" i="23" s="1"/>
  <c r="AB216" i="23" s="1"/>
  <c r="AJ214" i="23"/>
  <c r="AJ215" i="23" s="1"/>
  <c r="AJ216" i="23" s="1"/>
  <c r="AA183" i="32"/>
  <c r="AB166" i="32"/>
  <c r="AC166" i="32" s="1"/>
  <c r="AA215" i="26"/>
  <c r="AI214" i="26"/>
  <c r="AI215" i="26" s="1"/>
  <c r="AD214" i="56"/>
  <c r="AD215" i="56" s="1"/>
  <c r="AD214" i="23"/>
  <c r="AD215" i="23" s="1"/>
  <c r="AD216" i="23" s="1"/>
  <c r="AC214" i="26"/>
  <c r="AC215" i="26" s="1"/>
  <c r="AE214" i="23"/>
  <c r="AE215" i="23" s="1"/>
  <c r="AE216" i="23" s="1"/>
  <c r="AD214" i="26"/>
  <c r="AD215" i="26" s="1"/>
  <c r="AF214" i="23"/>
  <c r="AF215" i="23" s="1"/>
  <c r="AF216" i="23" s="1"/>
  <c r="AG214" i="56"/>
  <c r="AG215" i="56" s="1"/>
  <c r="AE214" i="26"/>
  <c r="AE215" i="26" s="1"/>
  <c r="AG214" i="23"/>
  <c r="AG215" i="23" s="1"/>
  <c r="AG216" i="23" s="1"/>
  <c r="AH214" i="56"/>
  <c r="AH215" i="56" s="1"/>
  <c r="AB169" i="11"/>
  <c r="AF214" i="26"/>
  <c r="AF215" i="26" s="1"/>
  <c r="AH214" i="23"/>
  <c r="AH215" i="23" s="1"/>
  <c r="AH216" i="23" s="1"/>
  <c r="AA214" i="56"/>
  <c r="AA215" i="56" s="1"/>
  <c r="AI214" i="56"/>
  <c r="AI215" i="56" s="1"/>
  <c r="AO189" i="41"/>
  <c r="W115" i="41"/>
  <c r="AN189" i="41"/>
  <c r="AO197" i="41"/>
  <c r="AN197" i="41"/>
  <c r="AN205" i="41"/>
  <c r="AO205" i="41"/>
  <c r="AN213" i="41"/>
  <c r="AO213" i="41"/>
  <c r="AG214" i="26"/>
  <c r="AG215" i="26" s="1"/>
  <c r="AB176" i="14"/>
  <c r="AO195" i="44"/>
  <c r="AN195" i="44"/>
  <c r="AO203" i="44"/>
  <c r="AN203" i="44"/>
  <c r="AO200" i="35"/>
  <c r="AN200" i="35"/>
  <c r="AO208" i="35"/>
  <c r="AN208" i="35"/>
  <c r="AO190" i="47"/>
  <c r="AN190" i="47"/>
  <c r="W115" i="47"/>
  <c r="AO198" i="47"/>
  <c r="AN198" i="47"/>
  <c r="AO206" i="47"/>
  <c r="AN206" i="47"/>
  <c r="AO203" i="38"/>
  <c r="AN203" i="38"/>
  <c r="AO211" i="38"/>
  <c r="AN211" i="38"/>
  <c r="AN192" i="35"/>
  <c r="AO193" i="50"/>
  <c r="AN193" i="50"/>
  <c r="AO201" i="50"/>
  <c r="AN201" i="50"/>
  <c r="AO209" i="50"/>
  <c r="AN209" i="50"/>
  <c r="AN190" i="29"/>
  <c r="AO190" i="29"/>
  <c r="W115" i="29"/>
  <c r="AN198" i="29"/>
  <c r="AO198" i="29"/>
  <c r="AN206" i="29"/>
  <c r="AO206" i="29"/>
  <c r="AN195" i="20"/>
  <c r="AO195" i="20"/>
  <c r="AN203" i="20"/>
  <c r="AO203" i="20"/>
  <c r="AN211" i="20"/>
  <c r="AO211" i="20"/>
  <c r="AA171" i="14"/>
  <c r="AO188" i="53"/>
  <c r="W115" i="53"/>
  <c r="AN188" i="53"/>
  <c r="AO196" i="53"/>
  <c r="AN196" i="53"/>
  <c r="AO204" i="53"/>
  <c r="AN204" i="53"/>
  <c r="AO212" i="53"/>
  <c r="AN212" i="53"/>
  <c r="AN193" i="32"/>
  <c r="AO193" i="32"/>
  <c r="AN201" i="32"/>
  <c r="AO201" i="32"/>
  <c r="AN209" i="32"/>
  <c r="AO209" i="32"/>
  <c r="AO191" i="76"/>
  <c r="AN191" i="76"/>
  <c r="W115" i="76"/>
  <c r="AO199" i="76"/>
  <c r="AN199" i="76"/>
  <c r="AO207" i="76"/>
  <c r="AN207" i="76"/>
  <c r="AN188" i="56"/>
  <c r="AO188" i="56"/>
  <c r="W115" i="56"/>
  <c r="AN196" i="56"/>
  <c r="AO196" i="56"/>
  <c r="AN204" i="56"/>
  <c r="AO204" i="56"/>
  <c r="AN212" i="56"/>
  <c r="AO212" i="56"/>
  <c r="AN194" i="11"/>
  <c r="AO194" i="11"/>
  <c r="W115" i="11"/>
  <c r="AN202" i="11"/>
  <c r="AO202" i="11"/>
  <c r="AN210" i="11"/>
  <c r="AO210" i="11"/>
  <c r="AN205" i="64"/>
  <c r="AN189" i="1"/>
  <c r="AO189" i="1"/>
  <c r="W115" i="1"/>
  <c r="AN197" i="1"/>
  <c r="AO197" i="1"/>
  <c r="AN205" i="1"/>
  <c r="AO205" i="1"/>
  <c r="AN213" i="1"/>
  <c r="AO213" i="1"/>
  <c r="AO194" i="61"/>
  <c r="AN194" i="61"/>
  <c r="W115" i="61"/>
  <c r="AO210" i="61"/>
  <c r="AN210" i="61"/>
  <c r="AN191" i="23"/>
  <c r="AO191" i="23"/>
  <c r="W115" i="23"/>
  <c r="AN199" i="23"/>
  <c r="AO199" i="23"/>
  <c r="AN207" i="23"/>
  <c r="AO207" i="23"/>
  <c r="AN189" i="14"/>
  <c r="AO189" i="14"/>
  <c r="W115" i="14"/>
  <c r="AN197" i="14"/>
  <c r="AO197" i="14"/>
  <c r="AN205" i="14"/>
  <c r="AO205" i="14"/>
  <c r="AN213" i="14"/>
  <c r="AO213" i="14"/>
  <c r="AO189" i="64"/>
  <c r="W115" i="64"/>
  <c r="AN189" i="64"/>
  <c r="AO197" i="64"/>
  <c r="AN197" i="64"/>
  <c r="AO213" i="64"/>
  <c r="AN213" i="64"/>
  <c r="AN194" i="26"/>
  <c r="AO194" i="26"/>
  <c r="W115" i="26"/>
  <c r="AN202" i="26"/>
  <c r="AO202" i="26"/>
  <c r="AN210" i="26"/>
  <c r="AO210" i="26"/>
  <c r="W115" i="32"/>
  <c r="AN192" i="17"/>
  <c r="AO192" i="17"/>
  <c r="AN200" i="17"/>
  <c r="AO200" i="17"/>
  <c r="AN208" i="17"/>
  <c r="AO208" i="17"/>
  <c r="AN211" i="44"/>
  <c r="AN195" i="38"/>
  <c r="AO206" i="1"/>
  <c r="AO198" i="1"/>
  <c r="AO190" i="1"/>
  <c r="AO188" i="44"/>
  <c r="AN188" i="44"/>
  <c r="AO196" i="44"/>
  <c r="AN196" i="44"/>
  <c r="AO204" i="44"/>
  <c r="AN204" i="44"/>
  <c r="AO212" i="44"/>
  <c r="AN212" i="44"/>
  <c r="AO190" i="64"/>
  <c r="AN190" i="64"/>
  <c r="AO198" i="64"/>
  <c r="AN198" i="64"/>
  <c r="AO206" i="64"/>
  <c r="AN206" i="64"/>
  <c r="AO195" i="61"/>
  <c r="AN195" i="61"/>
  <c r="AO203" i="61"/>
  <c r="AN203" i="61"/>
  <c r="AO211" i="61"/>
  <c r="AN211" i="61"/>
  <c r="AO192" i="76"/>
  <c r="AN192" i="76"/>
  <c r="AO200" i="76"/>
  <c r="AN200" i="76"/>
  <c r="AO208" i="76"/>
  <c r="AN208" i="76"/>
  <c r="AO189" i="53"/>
  <c r="AN189" i="53"/>
  <c r="AO197" i="53"/>
  <c r="AN197" i="53"/>
  <c r="AO205" i="53"/>
  <c r="AN205" i="53"/>
  <c r="AO213" i="53"/>
  <c r="AN213" i="53"/>
  <c r="AO194" i="50"/>
  <c r="AN194" i="50"/>
  <c r="AO202" i="50"/>
  <c r="AN202" i="50"/>
  <c r="AO210" i="50"/>
  <c r="AN210" i="50"/>
  <c r="AO191" i="47"/>
  <c r="AN191" i="47"/>
  <c r="AO199" i="47"/>
  <c r="AN199" i="47"/>
  <c r="AO207" i="47"/>
  <c r="AN207" i="47"/>
  <c r="AO188" i="38"/>
  <c r="AN188" i="38"/>
  <c r="AO196" i="38"/>
  <c r="AN196" i="38"/>
  <c r="AO204" i="38"/>
  <c r="AN204" i="38"/>
  <c r="AO212" i="38"/>
  <c r="AN212" i="38"/>
  <c r="AO193" i="35"/>
  <c r="AN193" i="35"/>
  <c r="AO201" i="35"/>
  <c r="AN201" i="35"/>
  <c r="AO209" i="35"/>
  <c r="AN209" i="35"/>
  <c r="AO190" i="41"/>
  <c r="AN190" i="41"/>
  <c r="AO198" i="41"/>
  <c r="AN198" i="41"/>
  <c r="AN206" i="41"/>
  <c r="AO206" i="41"/>
  <c r="AN195" i="26"/>
  <c r="AO195" i="26"/>
  <c r="AN203" i="26"/>
  <c r="AO203" i="26"/>
  <c r="AN192" i="23"/>
  <c r="AO192" i="23"/>
  <c r="AN200" i="23"/>
  <c r="AO200" i="23"/>
  <c r="AN189" i="56"/>
  <c r="AO189" i="56"/>
  <c r="AN197" i="56"/>
  <c r="AO197" i="56"/>
  <c r="AN213" i="56"/>
  <c r="AO213" i="56"/>
  <c r="AN194" i="32"/>
  <c r="AO194" i="32"/>
  <c r="AN210" i="32"/>
  <c r="AO210" i="32"/>
  <c r="AN191" i="29"/>
  <c r="AO191" i="29"/>
  <c r="AN199" i="29"/>
  <c r="AO199" i="29"/>
  <c r="AN207" i="29"/>
  <c r="AO207" i="29"/>
  <c r="AN188" i="20"/>
  <c r="AO188" i="20"/>
  <c r="AN196" i="20"/>
  <c r="AO196" i="20"/>
  <c r="AN204" i="20"/>
  <c r="AO204" i="20"/>
  <c r="AN212" i="20"/>
  <c r="AO212" i="20"/>
  <c r="AN193" i="17"/>
  <c r="AO193" i="17"/>
  <c r="AN201" i="17"/>
  <c r="AO201" i="17"/>
  <c r="AN209" i="17"/>
  <c r="AO209" i="17"/>
  <c r="AN190" i="14"/>
  <c r="AO190" i="14"/>
  <c r="AN198" i="14"/>
  <c r="AO198" i="14"/>
  <c r="AN206" i="14"/>
  <c r="AO206" i="14"/>
  <c r="AN203" i="11"/>
  <c r="AO203" i="11"/>
  <c r="AN211" i="11"/>
  <c r="AO211" i="11"/>
  <c r="AO190" i="8"/>
  <c r="AN190" i="8"/>
  <c r="W115" i="8"/>
  <c r="AO198" i="8"/>
  <c r="AN198" i="8"/>
  <c r="AO206" i="8"/>
  <c r="AN206" i="8"/>
  <c r="AN209" i="64"/>
  <c r="AN206" i="61"/>
  <c r="AN199" i="38"/>
  <c r="AN196" i="35"/>
  <c r="AN193" i="41"/>
  <c r="AO189" i="44"/>
  <c r="AN189" i="44"/>
  <c r="AO197" i="44"/>
  <c r="AN197" i="44"/>
  <c r="AO205" i="44"/>
  <c r="AN205" i="44"/>
  <c r="AO213" i="44"/>
  <c r="AN213" i="44"/>
  <c r="AO191" i="64"/>
  <c r="AN191" i="64"/>
  <c r="AO199" i="64"/>
  <c r="AN199" i="64"/>
  <c r="AO207" i="64"/>
  <c r="AN207" i="64"/>
  <c r="AO188" i="61"/>
  <c r="AN188" i="61"/>
  <c r="AO196" i="61"/>
  <c r="AN196" i="61"/>
  <c r="AO204" i="61"/>
  <c r="AN204" i="61"/>
  <c r="AO212" i="61"/>
  <c r="AN212" i="61"/>
  <c r="AO193" i="76"/>
  <c r="AN193" i="76"/>
  <c r="AO201" i="76"/>
  <c r="AN201" i="76"/>
  <c r="AO209" i="76"/>
  <c r="AN209" i="76"/>
  <c r="AO190" i="53"/>
  <c r="AN190" i="53"/>
  <c r="AO198" i="53"/>
  <c r="AN198" i="53"/>
  <c r="AO206" i="53"/>
  <c r="AN206" i="53"/>
  <c r="W115" i="50"/>
  <c r="AO195" i="50"/>
  <c r="AN195" i="50"/>
  <c r="AO203" i="50"/>
  <c r="AN203" i="50"/>
  <c r="AO211" i="50"/>
  <c r="AN211" i="50"/>
  <c r="AO192" i="47"/>
  <c r="AN192" i="47"/>
  <c r="AO200" i="47"/>
  <c r="AN200" i="47"/>
  <c r="AO208" i="47"/>
  <c r="AN208" i="47"/>
  <c r="AO189" i="38"/>
  <c r="AN189" i="38"/>
  <c r="AO197" i="38"/>
  <c r="AN197" i="38"/>
  <c r="AO205" i="38"/>
  <c r="AN205" i="38"/>
  <c r="AO213" i="38"/>
  <c r="AN213" i="38"/>
  <c r="AO194" i="35"/>
  <c r="AN194" i="35"/>
  <c r="AO202" i="35"/>
  <c r="AN202" i="35"/>
  <c r="AO210" i="35"/>
  <c r="AN210" i="35"/>
  <c r="AO191" i="41"/>
  <c r="AN191" i="41"/>
  <c r="AO199" i="41"/>
  <c r="AN199" i="41"/>
  <c r="AO207" i="41"/>
  <c r="AN207" i="41"/>
  <c r="AO188" i="26"/>
  <c r="AN188" i="26"/>
  <c r="AO196" i="26"/>
  <c r="AN196" i="26"/>
  <c r="AO204" i="26"/>
  <c r="AN204" i="26"/>
  <c r="AO212" i="26"/>
  <c r="AN212" i="26"/>
  <c r="AO193" i="23"/>
  <c r="AN193" i="23"/>
  <c r="AO201" i="23"/>
  <c r="AN201" i="23"/>
  <c r="AO209" i="23"/>
  <c r="AN209" i="23"/>
  <c r="AO190" i="56"/>
  <c r="AN190" i="56"/>
  <c r="AO198" i="56"/>
  <c r="AN198" i="56"/>
  <c r="AO206" i="56"/>
  <c r="AN206" i="56"/>
  <c r="AO195" i="32"/>
  <c r="AN195" i="32"/>
  <c r="AO203" i="32"/>
  <c r="AN203" i="32"/>
  <c r="AO211" i="32"/>
  <c r="AN211" i="32"/>
  <c r="AO192" i="29"/>
  <c r="AN192" i="29"/>
  <c r="AO200" i="29"/>
  <c r="AN200" i="29"/>
  <c r="AO208" i="29"/>
  <c r="AN208" i="29"/>
  <c r="AO189" i="20"/>
  <c r="AN189" i="20"/>
  <c r="AO197" i="20"/>
  <c r="AN197" i="20"/>
  <c r="AO205" i="20"/>
  <c r="AN205" i="20"/>
  <c r="AO213" i="20"/>
  <c r="AN213" i="20"/>
  <c r="AO194" i="17"/>
  <c r="AN194" i="17"/>
  <c r="AO202" i="17"/>
  <c r="AN202" i="17"/>
  <c r="AO210" i="17"/>
  <c r="AN210" i="17"/>
  <c r="AO191" i="14"/>
  <c r="AN191" i="14"/>
  <c r="AO199" i="14"/>
  <c r="AN199" i="14"/>
  <c r="AO207" i="14"/>
  <c r="AN207" i="14"/>
  <c r="AO188" i="11"/>
  <c r="AN188" i="11"/>
  <c r="AO196" i="11"/>
  <c r="AN196" i="11"/>
  <c r="AO204" i="11"/>
  <c r="AN204" i="11"/>
  <c r="AO212" i="11"/>
  <c r="AN212" i="11"/>
  <c r="AO194" i="5"/>
  <c r="AN194" i="5"/>
  <c r="AO202" i="5"/>
  <c r="AN202" i="5"/>
  <c r="AO210" i="5"/>
  <c r="AN210" i="5"/>
  <c r="AN211" i="76"/>
  <c r="AN208" i="53"/>
  <c r="AN205" i="50"/>
  <c r="AN202" i="47"/>
  <c r="AO208" i="23"/>
  <c r="AO193" i="5"/>
  <c r="AO190" i="44"/>
  <c r="AN190" i="44"/>
  <c r="AO198" i="44"/>
  <c r="AN198" i="44"/>
  <c r="AO206" i="44"/>
  <c r="AN206" i="44"/>
  <c r="AO192" i="64"/>
  <c r="AN192" i="64"/>
  <c r="AO200" i="64"/>
  <c r="AN200" i="64"/>
  <c r="AO208" i="64"/>
  <c r="AN208" i="64"/>
  <c r="AO189" i="61"/>
  <c r="AN189" i="61"/>
  <c r="AO197" i="61"/>
  <c r="AN197" i="61"/>
  <c r="AO205" i="61"/>
  <c r="AN205" i="61"/>
  <c r="AO213" i="61"/>
  <c r="AN213" i="61"/>
  <c r="AO194" i="76"/>
  <c r="AN194" i="76"/>
  <c r="AO202" i="76"/>
  <c r="AN202" i="76"/>
  <c r="AO210" i="76"/>
  <c r="AN210" i="76"/>
  <c r="AO191" i="53"/>
  <c r="AN191" i="53"/>
  <c r="AO199" i="53"/>
  <c r="AN199" i="53"/>
  <c r="AO207" i="53"/>
  <c r="AN207" i="53"/>
  <c r="AO188" i="50"/>
  <c r="AN188" i="50"/>
  <c r="AO196" i="50"/>
  <c r="AN196" i="50"/>
  <c r="AO204" i="50"/>
  <c r="AN204" i="50"/>
  <c r="AO212" i="50"/>
  <c r="AN212" i="50"/>
  <c r="AO193" i="47"/>
  <c r="AN193" i="47"/>
  <c r="AO201" i="47"/>
  <c r="AN201" i="47"/>
  <c r="AO209" i="47"/>
  <c r="AN209" i="47"/>
  <c r="AO190" i="38"/>
  <c r="AN190" i="38"/>
  <c r="AO198" i="38"/>
  <c r="AN198" i="38"/>
  <c r="AO206" i="38"/>
  <c r="AN206" i="38"/>
  <c r="W115" i="35"/>
  <c r="AO195" i="35"/>
  <c r="AN195" i="35"/>
  <c r="AO203" i="35"/>
  <c r="AN203" i="35"/>
  <c r="AO211" i="35"/>
  <c r="AN211" i="35"/>
  <c r="AO192" i="41"/>
  <c r="AN192" i="41"/>
  <c r="AO200" i="41"/>
  <c r="AN200" i="41"/>
  <c r="AO208" i="41"/>
  <c r="AN208" i="41"/>
  <c r="AO189" i="26"/>
  <c r="AN189" i="26"/>
  <c r="AO197" i="26"/>
  <c r="AN197" i="26"/>
  <c r="AO205" i="26"/>
  <c r="AN205" i="26"/>
  <c r="AO213" i="26"/>
  <c r="AN213" i="26"/>
  <c r="AO194" i="23"/>
  <c r="AN194" i="23"/>
  <c r="AO202" i="23"/>
  <c r="AN202" i="23"/>
  <c r="AO210" i="23"/>
  <c r="AN210" i="23"/>
  <c r="AO191" i="56"/>
  <c r="AN191" i="56"/>
  <c r="AO199" i="56"/>
  <c r="AN199" i="56"/>
  <c r="AO207" i="56"/>
  <c r="AN207" i="56"/>
  <c r="AO188" i="32"/>
  <c r="AN188" i="32"/>
  <c r="AO196" i="32"/>
  <c r="AN196" i="32"/>
  <c r="AO204" i="32"/>
  <c r="AN204" i="32"/>
  <c r="AO212" i="32"/>
  <c r="AN212" i="32"/>
  <c r="AO193" i="29"/>
  <c r="AN193" i="29"/>
  <c r="AO201" i="29"/>
  <c r="AN201" i="29"/>
  <c r="AO209" i="29"/>
  <c r="AN209" i="29"/>
  <c r="AO190" i="20"/>
  <c r="AN190" i="20"/>
  <c r="AO198" i="20"/>
  <c r="AN198" i="20"/>
  <c r="AO206" i="20"/>
  <c r="AN206" i="20"/>
  <c r="AO195" i="17"/>
  <c r="AN195" i="17"/>
  <c r="AO203" i="17"/>
  <c r="AN203" i="17"/>
  <c r="AO211" i="17"/>
  <c r="AN211" i="17"/>
  <c r="AO192" i="14"/>
  <c r="AN192" i="14"/>
  <c r="AO200" i="14"/>
  <c r="AN200" i="14"/>
  <c r="AO208" i="14"/>
  <c r="AN208" i="14"/>
  <c r="AO189" i="11"/>
  <c r="AN189" i="11"/>
  <c r="AO197" i="11"/>
  <c r="AN197" i="11"/>
  <c r="AN191" i="44"/>
  <c r="AN207" i="38"/>
  <c r="AN204" i="35"/>
  <c r="AN201" i="41"/>
  <c r="AO203" i="29"/>
  <c r="AN209" i="41"/>
  <c r="AO209" i="41"/>
  <c r="AN190" i="26"/>
  <c r="AO190" i="26"/>
  <c r="AN198" i="26"/>
  <c r="AO198" i="26"/>
  <c r="AN206" i="26"/>
  <c r="AO206" i="26"/>
  <c r="AN195" i="23"/>
  <c r="AO195" i="23"/>
  <c r="AN203" i="23"/>
  <c r="AO203" i="23"/>
  <c r="AN211" i="23"/>
  <c r="AO211" i="23"/>
  <c r="AN192" i="56"/>
  <c r="AO192" i="56"/>
  <c r="AN200" i="56"/>
  <c r="AO200" i="56"/>
  <c r="AN208" i="56"/>
  <c r="AO208" i="56"/>
  <c r="AN189" i="32"/>
  <c r="AO189" i="32"/>
  <c r="AN197" i="32"/>
  <c r="AO197" i="32"/>
  <c r="AN205" i="32"/>
  <c r="AO205" i="32"/>
  <c r="AN213" i="32"/>
  <c r="AO213" i="32"/>
  <c r="AN194" i="29"/>
  <c r="AO194" i="29"/>
  <c r="AN202" i="29"/>
  <c r="AO202" i="29"/>
  <c r="AN210" i="29"/>
  <c r="AO210" i="29"/>
  <c r="AN191" i="20"/>
  <c r="AO191" i="20"/>
  <c r="AN199" i="20"/>
  <c r="AO199" i="20"/>
  <c r="AN207" i="20"/>
  <c r="AO207" i="20"/>
  <c r="AN196" i="17"/>
  <c r="AO196" i="17"/>
  <c r="AN204" i="17"/>
  <c r="AO204" i="17"/>
  <c r="AN212" i="17"/>
  <c r="AO212" i="17"/>
  <c r="AN193" i="14"/>
  <c r="AO193" i="14"/>
  <c r="AN201" i="14"/>
  <c r="AO201" i="14"/>
  <c r="AN209" i="14"/>
  <c r="AO209" i="14"/>
  <c r="AN190" i="11"/>
  <c r="AO190" i="11"/>
  <c r="AN198" i="11"/>
  <c r="AO198" i="11"/>
  <c r="AN206" i="11"/>
  <c r="AO206" i="11"/>
  <c r="W116" i="5"/>
  <c r="AN213" i="50"/>
  <c r="AN210" i="47"/>
  <c r="AO210" i="41"/>
  <c r="AO194" i="14"/>
  <c r="AO210" i="1"/>
  <c r="AO202" i="1"/>
  <c r="AO194" i="1"/>
  <c r="AO192" i="44"/>
  <c r="AN192" i="44"/>
  <c r="AO200" i="44"/>
  <c r="AN200" i="44"/>
  <c r="AO208" i="44"/>
  <c r="AN208" i="44"/>
  <c r="AO194" i="64"/>
  <c r="AN194" i="64"/>
  <c r="AO202" i="64"/>
  <c r="AN202" i="64"/>
  <c r="AO210" i="64"/>
  <c r="AN210" i="64"/>
  <c r="AO191" i="61"/>
  <c r="AN191" i="61"/>
  <c r="AO199" i="61"/>
  <c r="AN199" i="61"/>
  <c r="AO207" i="61"/>
  <c r="AN207" i="61"/>
  <c r="AO188" i="76"/>
  <c r="AN188" i="76"/>
  <c r="AO196" i="76"/>
  <c r="AN196" i="76"/>
  <c r="AO204" i="76"/>
  <c r="AN204" i="76"/>
  <c r="AO212" i="76"/>
  <c r="AN212" i="76"/>
  <c r="AO193" i="53"/>
  <c r="AN193" i="53"/>
  <c r="AO201" i="53"/>
  <c r="AN201" i="53"/>
  <c r="AO209" i="53"/>
  <c r="AN209" i="53"/>
  <c r="AO190" i="50"/>
  <c r="AN190" i="50"/>
  <c r="AO198" i="50"/>
  <c r="AN198" i="50"/>
  <c r="AO206" i="50"/>
  <c r="AN206" i="50"/>
  <c r="AO195" i="47"/>
  <c r="AN195" i="47"/>
  <c r="AO203" i="47"/>
  <c r="AN203" i="47"/>
  <c r="AO211" i="47"/>
  <c r="AN211" i="47"/>
  <c r="AO192" i="38"/>
  <c r="AN192" i="38"/>
  <c r="AO200" i="38"/>
  <c r="AN200" i="38"/>
  <c r="AO208" i="38"/>
  <c r="AN208" i="38"/>
  <c r="AO189" i="35"/>
  <c r="AN189" i="35"/>
  <c r="AO197" i="35"/>
  <c r="AN197" i="35"/>
  <c r="AO205" i="35"/>
  <c r="AN205" i="35"/>
  <c r="AO213" i="35"/>
  <c r="AN213" i="35"/>
  <c r="AO194" i="41"/>
  <c r="AN194" i="41"/>
  <c r="AO202" i="41"/>
  <c r="AN202" i="41"/>
  <c r="AN191" i="26"/>
  <c r="AO191" i="26"/>
  <c r="AN199" i="26"/>
  <c r="AO199" i="26"/>
  <c r="AN207" i="26"/>
  <c r="AO207" i="26"/>
  <c r="AN188" i="23"/>
  <c r="AO188" i="23"/>
  <c r="AN196" i="23"/>
  <c r="AO196" i="23"/>
  <c r="AN204" i="23"/>
  <c r="AO204" i="23"/>
  <c r="AN212" i="23"/>
  <c r="AO212" i="23"/>
  <c r="AN193" i="56"/>
  <c r="AO193" i="56"/>
  <c r="AN201" i="56"/>
  <c r="AO201" i="56"/>
  <c r="AN209" i="56"/>
  <c r="AO209" i="56"/>
  <c r="AN190" i="32"/>
  <c r="AO190" i="32"/>
  <c r="AN198" i="32"/>
  <c r="AO198" i="32"/>
  <c r="AN206" i="32"/>
  <c r="AO206" i="32"/>
  <c r="AN195" i="29"/>
  <c r="AO195" i="29"/>
  <c r="AN211" i="29"/>
  <c r="AO211" i="29"/>
  <c r="AN192" i="20"/>
  <c r="AO192" i="20"/>
  <c r="AN208" i="20"/>
  <c r="AO208" i="20"/>
  <c r="AN205" i="17"/>
  <c r="AO205" i="17"/>
  <c r="AN213" i="17"/>
  <c r="AO213" i="17"/>
  <c r="AN202" i="14"/>
  <c r="AO202" i="14"/>
  <c r="AN210" i="14"/>
  <c r="AO210" i="14"/>
  <c r="AN191" i="11"/>
  <c r="AO191" i="11"/>
  <c r="AN199" i="11"/>
  <c r="AO199" i="11"/>
  <c r="AN207" i="11"/>
  <c r="AO207" i="11"/>
  <c r="AN189" i="5"/>
  <c r="AO189" i="5"/>
  <c r="AN199" i="44"/>
  <c r="AN193" i="64"/>
  <c r="AN190" i="61"/>
  <c r="AN212" i="35"/>
  <c r="AO205" i="56"/>
  <c r="AO209" i="1"/>
  <c r="AO201" i="1"/>
  <c r="AO193" i="1"/>
  <c r="AO193" i="44"/>
  <c r="AN193" i="44"/>
  <c r="AO201" i="44"/>
  <c r="AN201" i="44"/>
  <c r="AO209" i="44"/>
  <c r="AN209" i="44"/>
  <c r="AO195" i="64"/>
  <c r="AN195" i="64"/>
  <c r="AO203" i="64"/>
  <c r="AN203" i="64"/>
  <c r="AO211" i="64"/>
  <c r="AN211" i="64"/>
  <c r="AO192" i="61"/>
  <c r="AN192" i="61"/>
  <c r="AO200" i="61"/>
  <c r="AN200" i="61"/>
  <c r="AO208" i="61"/>
  <c r="AN208" i="61"/>
  <c r="AO189" i="76"/>
  <c r="AN189" i="76"/>
  <c r="AO197" i="76"/>
  <c r="AN197" i="76"/>
  <c r="AO205" i="76"/>
  <c r="AN205" i="76"/>
  <c r="AO213" i="76"/>
  <c r="AN213" i="76"/>
  <c r="AO194" i="53"/>
  <c r="AN194" i="53"/>
  <c r="AO202" i="53"/>
  <c r="AN202" i="53"/>
  <c r="AO210" i="53"/>
  <c r="AN210" i="53"/>
  <c r="AO191" i="50"/>
  <c r="AN191" i="50"/>
  <c r="AO199" i="50"/>
  <c r="AN199" i="50"/>
  <c r="AO207" i="50"/>
  <c r="AN207" i="50"/>
  <c r="AO188" i="47"/>
  <c r="AN188" i="47"/>
  <c r="AO196" i="47"/>
  <c r="AN196" i="47"/>
  <c r="AO204" i="47"/>
  <c r="AN204" i="47"/>
  <c r="AO212" i="47"/>
  <c r="AN212" i="47"/>
  <c r="AO193" i="38"/>
  <c r="AN193" i="38"/>
  <c r="AO201" i="38"/>
  <c r="AN201" i="38"/>
  <c r="AO209" i="38"/>
  <c r="AN209" i="38"/>
  <c r="AO190" i="35"/>
  <c r="AN190" i="35"/>
  <c r="AO198" i="35"/>
  <c r="AN198" i="35"/>
  <c r="AO206" i="35"/>
  <c r="AN206" i="35"/>
  <c r="AO195" i="41"/>
  <c r="AN195" i="41"/>
  <c r="AO203" i="41"/>
  <c r="AN203" i="41"/>
  <c r="AO211" i="41"/>
  <c r="AN211" i="41"/>
  <c r="AO192" i="26"/>
  <c r="AN192" i="26"/>
  <c r="AO200" i="26"/>
  <c r="AN200" i="26"/>
  <c r="AO208" i="26"/>
  <c r="AN208" i="26"/>
  <c r="AO189" i="23"/>
  <c r="AN189" i="23"/>
  <c r="AO197" i="23"/>
  <c r="AN197" i="23"/>
  <c r="AO205" i="23"/>
  <c r="AN205" i="23"/>
  <c r="AO213" i="23"/>
  <c r="AN213" i="23"/>
  <c r="AO194" i="56"/>
  <c r="AN194" i="56"/>
  <c r="AO202" i="56"/>
  <c r="AN202" i="56"/>
  <c r="AO210" i="56"/>
  <c r="AN210" i="56"/>
  <c r="AO191" i="32"/>
  <c r="AN191" i="32"/>
  <c r="AO199" i="32"/>
  <c r="AN199" i="32"/>
  <c r="AO207" i="32"/>
  <c r="AN207" i="32"/>
  <c r="AO188" i="29"/>
  <c r="AN188" i="29"/>
  <c r="AO196" i="29"/>
  <c r="AN196" i="29"/>
  <c r="AO204" i="29"/>
  <c r="AN204" i="29"/>
  <c r="AO212" i="29"/>
  <c r="AN212" i="29"/>
  <c r="AO193" i="20"/>
  <c r="AN193" i="20"/>
  <c r="AO201" i="20"/>
  <c r="AN201" i="20"/>
  <c r="AO209" i="20"/>
  <c r="AN209" i="20"/>
  <c r="AO198" i="17"/>
  <c r="AN198" i="17"/>
  <c r="AO206" i="17"/>
  <c r="AN206" i="17"/>
  <c r="AO195" i="14"/>
  <c r="AN195" i="14"/>
  <c r="AO203" i="14"/>
  <c r="AN203" i="14"/>
  <c r="AO211" i="14"/>
  <c r="AN211" i="14"/>
  <c r="AO192" i="11"/>
  <c r="AN192" i="11"/>
  <c r="AO200" i="11"/>
  <c r="AN200" i="11"/>
  <c r="AN195" i="76"/>
  <c r="AN192" i="53"/>
  <c r="AN189" i="50"/>
  <c r="AO200" i="20"/>
  <c r="AO194" i="44"/>
  <c r="AN194" i="44"/>
  <c r="AO202" i="44"/>
  <c r="AN202" i="44"/>
  <c r="AO210" i="44"/>
  <c r="AN210" i="44"/>
  <c r="AO188" i="64"/>
  <c r="AN188" i="64"/>
  <c r="AO196" i="64"/>
  <c r="AN196" i="64"/>
  <c r="AO204" i="64"/>
  <c r="AN204" i="64"/>
  <c r="AO212" i="64"/>
  <c r="AN212" i="64"/>
  <c r="AO193" i="61"/>
  <c r="AN193" i="61"/>
  <c r="AO201" i="61"/>
  <c r="AN201" i="61"/>
  <c r="AO209" i="61"/>
  <c r="AN209" i="61"/>
  <c r="AO190" i="76"/>
  <c r="AN190" i="76"/>
  <c r="AO198" i="76"/>
  <c r="AN198" i="76"/>
  <c r="AO206" i="76"/>
  <c r="AN206" i="76"/>
  <c r="AO195" i="53"/>
  <c r="AN195" i="53"/>
  <c r="AO203" i="53"/>
  <c r="AN203" i="53"/>
  <c r="AO211" i="53"/>
  <c r="AN211" i="53"/>
  <c r="AO192" i="50"/>
  <c r="AN192" i="50"/>
  <c r="AO200" i="50"/>
  <c r="AN200" i="50"/>
  <c r="AO208" i="50"/>
  <c r="AN208" i="50"/>
  <c r="AO189" i="47"/>
  <c r="AN189" i="47"/>
  <c r="AO197" i="47"/>
  <c r="AN197" i="47"/>
  <c r="AO205" i="47"/>
  <c r="AN205" i="47"/>
  <c r="AO213" i="47"/>
  <c r="AN213" i="47"/>
  <c r="AO194" i="38"/>
  <c r="AN194" i="38"/>
  <c r="AO202" i="38"/>
  <c r="AN202" i="38"/>
  <c r="AO210" i="38"/>
  <c r="AN210" i="38"/>
  <c r="AO191" i="35"/>
  <c r="AN191" i="35"/>
  <c r="AO199" i="35"/>
  <c r="AN199" i="35"/>
  <c r="AO207" i="35"/>
  <c r="AN207" i="35"/>
  <c r="AO188" i="41"/>
  <c r="AN188" i="41"/>
  <c r="AO196" i="41"/>
  <c r="AN196" i="41"/>
  <c r="AO204" i="41"/>
  <c r="AN204" i="41"/>
  <c r="AO212" i="41"/>
  <c r="AN212" i="41"/>
  <c r="AO193" i="26"/>
  <c r="AN193" i="26"/>
  <c r="AO201" i="26"/>
  <c r="AN201" i="26"/>
  <c r="AO209" i="26"/>
  <c r="AN209" i="26"/>
  <c r="AO190" i="23"/>
  <c r="AN190" i="23"/>
  <c r="AO198" i="23"/>
  <c r="AN198" i="23"/>
  <c r="AO206" i="23"/>
  <c r="AN206" i="23"/>
  <c r="AO195" i="56"/>
  <c r="AN195" i="56"/>
  <c r="AO203" i="56"/>
  <c r="AN203" i="56"/>
  <c r="AO211" i="56"/>
  <c r="AN211" i="56"/>
  <c r="AO192" i="32"/>
  <c r="AN192" i="32"/>
  <c r="AO200" i="32"/>
  <c r="AN200" i="32"/>
  <c r="AO208" i="32"/>
  <c r="AN208" i="32"/>
  <c r="AO189" i="29"/>
  <c r="AN189" i="29"/>
  <c r="AO197" i="29"/>
  <c r="AN197" i="29"/>
  <c r="AO205" i="29"/>
  <c r="AN205" i="29"/>
  <c r="AO213" i="29"/>
  <c r="AN213" i="29"/>
  <c r="AO194" i="20"/>
  <c r="AN194" i="20"/>
  <c r="AO202" i="20"/>
  <c r="AN202" i="20"/>
  <c r="AO210" i="20"/>
  <c r="AN210" i="20"/>
  <c r="AO191" i="17"/>
  <c r="AN191" i="17"/>
  <c r="AO199" i="17"/>
  <c r="AN199" i="17"/>
  <c r="AO207" i="17"/>
  <c r="AN207" i="17"/>
  <c r="AO188" i="14"/>
  <c r="AN188" i="14"/>
  <c r="AO196" i="14"/>
  <c r="AN196" i="14"/>
  <c r="AO204" i="14"/>
  <c r="AN204" i="14"/>
  <c r="AO212" i="14"/>
  <c r="AN212" i="14"/>
  <c r="AO193" i="11"/>
  <c r="AN193" i="11"/>
  <c r="AO201" i="11"/>
  <c r="AN201" i="11"/>
  <c r="AO209" i="11"/>
  <c r="AN209" i="11"/>
  <c r="AO191" i="5"/>
  <c r="AN191" i="5"/>
  <c r="AO199" i="5"/>
  <c r="AN199" i="5"/>
  <c r="AO207" i="5"/>
  <c r="AN207" i="5"/>
  <c r="AN207" i="44"/>
  <c r="AN201" i="64"/>
  <c r="AN198" i="61"/>
  <c r="AN191" i="38"/>
  <c r="AN188" i="35"/>
  <c r="AO211" i="26"/>
  <c r="AO195" i="11"/>
  <c r="AO205" i="11"/>
  <c r="AN205" i="11"/>
  <c r="AO213" i="11"/>
  <c r="AN213" i="11"/>
  <c r="AO195" i="5"/>
  <c r="AN195" i="5"/>
  <c r="AO203" i="5"/>
  <c r="AN203" i="5"/>
  <c r="AO211" i="5"/>
  <c r="AN211" i="5"/>
  <c r="AO191" i="8"/>
  <c r="AN191" i="8"/>
  <c r="AO199" i="8"/>
  <c r="AN199" i="8"/>
  <c r="AO207" i="8"/>
  <c r="AN207" i="8"/>
  <c r="AO197" i="5"/>
  <c r="AO193" i="8"/>
  <c r="AN196" i="5"/>
  <c r="AO196" i="5"/>
  <c r="AN204" i="5"/>
  <c r="AO204" i="5"/>
  <c r="AN212" i="5"/>
  <c r="AO212" i="5"/>
  <c r="AN192" i="8"/>
  <c r="AO192" i="8"/>
  <c r="AN200" i="8"/>
  <c r="AO200" i="8"/>
  <c r="AN208" i="8"/>
  <c r="AO208" i="8"/>
  <c r="AO201" i="5"/>
  <c r="AO197" i="8"/>
  <c r="AO205" i="5"/>
  <c r="AO201" i="8"/>
  <c r="AO208" i="11"/>
  <c r="AN208" i="11"/>
  <c r="AO190" i="5"/>
  <c r="AN190" i="5"/>
  <c r="AO198" i="5"/>
  <c r="AN198" i="5"/>
  <c r="AO206" i="5"/>
  <c r="AN206" i="5"/>
  <c r="AO214" i="5"/>
  <c r="AN214" i="5"/>
  <c r="AO194" i="8"/>
  <c r="AN194" i="8"/>
  <c r="AO202" i="8"/>
  <c r="AN202" i="8"/>
  <c r="AO210" i="8"/>
  <c r="AN210" i="8"/>
  <c r="AO209" i="5"/>
  <c r="AO205" i="8"/>
  <c r="AO195" i="8"/>
  <c r="AN195" i="8"/>
  <c r="AO203" i="8"/>
  <c r="AN203" i="8"/>
  <c r="AO211" i="8"/>
  <c r="AN211" i="8"/>
  <c r="AO213" i="5"/>
  <c r="AO209" i="8"/>
  <c r="AN192" i="5"/>
  <c r="AO192" i="5"/>
  <c r="AN200" i="5"/>
  <c r="AO200" i="5"/>
  <c r="AN208" i="5"/>
  <c r="AO208" i="5"/>
  <c r="AN188" i="8"/>
  <c r="AO188" i="8"/>
  <c r="AN196" i="8"/>
  <c r="AO196" i="8"/>
  <c r="AN204" i="8"/>
  <c r="AO204" i="8"/>
  <c r="AN212" i="8"/>
  <c r="AO212" i="8"/>
  <c r="AO213" i="8"/>
  <c r="AC183" i="47"/>
  <c r="AC182" i="47"/>
  <c r="AC181" i="47"/>
  <c r="AC179" i="47"/>
  <c r="AC178" i="47"/>
  <c r="AC173" i="47"/>
  <c r="AD166" i="47"/>
  <c r="AA187" i="1"/>
  <c r="AA186" i="1"/>
  <c r="AA185" i="1"/>
  <c r="AA184" i="1"/>
  <c r="AA183" i="1"/>
  <c r="AA182" i="1"/>
  <c r="AA181" i="1"/>
  <c r="AA180" i="1"/>
  <c r="AA179" i="1"/>
  <c r="AA178" i="1"/>
  <c r="AA177" i="1"/>
  <c r="AA176" i="1"/>
  <c r="AA175" i="1"/>
  <c r="AA174" i="1"/>
  <c r="AA173" i="1"/>
  <c r="AB166" i="1"/>
  <c r="AA170" i="1"/>
  <c r="AA181" i="76"/>
  <c r="AA178" i="53"/>
  <c r="AA177" i="53"/>
  <c r="AA176" i="53"/>
  <c r="AA175" i="53"/>
  <c r="AA174" i="53"/>
  <c r="AA173" i="53"/>
  <c r="AA172" i="53"/>
  <c r="AA171" i="53"/>
  <c r="AA170" i="53"/>
  <c r="AB166" i="53"/>
  <c r="AB166" i="76"/>
  <c r="BF168" i="76" s="1"/>
  <c r="BF169" i="76" s="1"/>
  <c r="BF170" i="76" s="1"/>
  <c r="BF171" i="76" s="1"/>
  <c r="BF172" i="76" s="1"/>
  <c r="BF173" i="76" s="1"/>
  <c r="BF174" i="76" s="1"/>
  <c r="BF175" i="76" s="1"/>
  <c r="BF176" i="76" s="1"/>
  <c r="AA183" i="47"/>
  <c r="AA182" i="47"/>
  <c r="AA181" i="47"/>
  <c r="AA179" i="47"/>
  <c r="AA178" i="47"/>
  <c r="AB183" i="47"/>
  <c r="AB182" i="47"/>
  <c r="AB181" i="47"/>
  <c r="AB179" i="47"/>
  <c r="AB178" i="47"/>
  <c r="AB214" i="56"/>
  <c r="AB215" i="56" s="1"/>
  <c r="AJ214" i="56"/>
  <c r="AJ215" i="56" s="1"/>
  <c r="AA214" i="23"/>
  <c r="AA215" i="23" s="1"/>
  <c r="AA216" i="23" s="1"/>
  <c r="AI214" i="23"/>
  <c r="AI215" i="23" s="1"/>
  <c r="AI216" i="23" s="1"/>
  <c r="AA168" i="47"/>
  <c r="AA169" i="47"/>
  <c r="AA171" i="47"/>
  <c r="AA173" i="47"/>
  <c r="AB168" i="47"/>
  <c r="AB169" i="47"/>
  <c r="AB173" i="47"/>
  <c r="AH214" i="26"/>
  <c r="AH215" i="26" s="1"/>
  <c r="AE214" i="56"/>
  <c r="AE215" i="56" s="1"/>
  <c r="AB171" i="29"/>
  <c r="AB170" i="29"/>
  <c r="AB169" i="29"/>
  <c r="AB168" i="29"/>
  <c r="AF214" i="56"/>
  <c r="AF215" i="56" s="1"/>
  <c r="AF216" i="56" s="1"/>
  <c r="AC166" i="29"/>
  <c r="AB171" i="14"/>
  <c r="AA174" i="14"/>
  <c r="AA168" i="29"/>
  <c r="AA169" i="29"/>
  <c r="AA170" i="29"/>
  <c r="AA171" i="29"/>
  <c r="AA181" i="17"/>
  <c r="AA189" i="17"/>
  <c r="AA169" i="14"/>
  <c r="AB174" i="14"/>
  <c r="AA177" i="14"/>
  <c r="AA172" i="32"/>
  <c r="AA173" i="32"/>
  <c r="AA174" i="32"/>
  <c r="AA175" i="32"/>
  <c r="AA176" i="32"/>
  <c r="AA177" i="32"/>
  <c r="AA178" i="32"/>
  <c r="AA179" i="32"/>
  <c r="AA180" i="32"/>
  <c r="AA181" i="32"/>
  <c r="AA182" i="32"/>
  <c r="AA184" i="17"/>
  <c r="AB169" i="14"/>
  <c r="AA172" i="14"/>
  <c r="AB177" i="14"/>
  <c r="AA179" i="17"/>
  <c r="AA187" i="17"/>
  <c r="AB172" i="14"/>
  <c r="AA175" i="14"/>
  <c r="AA182" i="17"/>
  <c r="AA190" i="17"/>
  <c r="AA170" i="14"/>
  <c r="AB175" i="14"/>
  <c r="AB166" i="17"/>
  <c r="AA185" i="17"/>
  <c r="AB170" i="14"/>
  <c r="AA173" i="14"/>
  <c r="AA180" i="17"/>
  <c r="AA168" i="14"/>
  <c r="AB173" i="14"/>
  <c r="AA176" i="14"/>
  <c r="AA176" i="11"/>
  <c r="AA175" i="11"/>
  <c r="AA174" i="11"/>
  <c r="AA173" i="11"/>
  <c r="AA172" i="11"/>
  <c r="AB176" i="11"/>
  <c r="AB175" i="11"/>
  <c r="AB174" i="11"/>
  <c r="AB173" i="11"/>
  <c r="AB172" i="11"/>
  <c r="AB180" i="8"/>
  <c r="AB175" i="8"/>
  <c r="AB174" i="8"/>
  <c r="AB173" i="8"/>
  <c r="AB172" i="8"/>
  <c r="AB171" i="8"/>
  <c r="AB170" i="8"/>
  <c r="AB169" i="8"/>
  <c r="AC166" i="8"/>
  <c r="AC179" i="8" s="1"/>
  <c r="AC166" i="11"/>
  <c r="AA180" i="8"/>
  <c r="AA169" i="11"/>
  <c r="AA169" i="8"/>
  <c r="AA170" i="8"/>
  <c r="AA171" i="8"/>
  <c r="AA172" i="8"/>
  <c r="AA173" i="8"/>
  <c r="AA174" i="8"/>
  <c r="AA175" i="8"/>
  <c r="AA177" i="8"/>
  <c r="AA178" i="8"/>
  <c r="AB167" i="5"/>
  <c r="AA169" i="5"/>
  <c r="AA170" i="5"/>
  <c r="AA171" i="5"/>
  <c r="AA172" i="5"/>
  <c r="AA173" i="5"/>
  <c r="AA174" i="5"/>
  <c r="AA175" i="5"/>
  <c r="AA176" i="5"/>
  <c r="BD158" i="1"/>
  <c r="BD159" i="1"/>
  <c r="BD160" i="8"/>
  <c r="BD161" i="8"/>
  <c r="BD158" i="41"/>
  <c r="BD158" i="32"/>
  <c r="BD164" i="64"/>
  <c r="BD156" i="35"/>
  <c r="BB156" i="35"/>
  <c r="BD157" i="35" s="1"/>
  <c r="BD160" i="5"/>
  <c r="BD161" i="50"/>
  <c r="BD162" i="38"/>
  <c r="BD162" i="41"/>
  <c r="BD159" i="26"/>
  <c r="BD159" i="32"/>
  <c r="BD162" i="32"/>
  <c r="BD158" i="8"/>
  <c r="BD159" i="8"/>
  <c r="BD160" i="44"/>
  <c r="BD161" i="64"/>
  <c r="BD163" i="50"/>
  <c r="BD161" i="11"/>
  <c r="BD162" i="11"/>
  <c r="BD163" i="5"/>
  <c r="BD158" i="50"/>
  <c r="BD159" i="38"/>
  <c r="BD162" i="23"/>
  <c r="BD162" i="17"/>
  <c r="BD163" i="44"/>
  <c r="BD162" i="76"/>
  <c r="BD164" i="53"/>
  <c r="BD159" i="41"/>
  <c r="BD159" i="23"/>
  <c r="BD161" i="61"/>
  <c r="BD163" i="47"/>
  <c r="BD162" i="35"/>
  <c r="BD162" i="56"/>
  <c r="BD160" i="29"/>
  <c r="BD163" i="29"/>
  <c r="BD159" i="17"/>
  <c r="BD163" i="17"/>
  <c r="BD161" i="14"/>
  <c r="BD164" i="14"/>
  <c r="BD159" i="11"/>
  <c r="BD160" i="11"/>
  <c r="BD161" i="5"/>
  <c r="BD164" i="5"/>
  <c r="BD164" i="38"/>
  <c r="BD162" i="29"/>
  <c r="BD156" i="56"/>
  <c r="BB156" i="56"/>
  <c r="BD157" i="56" s="1"/>
  <c r="BD158" i="17"/>
  <c r="BD158" i="11"/>
  <c r="BD163" i="1"/>
  <c r="BD159" i="64"/>
  <c r="BD162" i="53"/>
  <c r="BD158" i="47"/>
  <c r="BD160" i="38"/>
  <c r="BD163" i="41"/>
  <c r="BD160" i="23"/>
  <c r="BD163" i="23"/>
  <c r="BD163" i="32"/>
  <c r="BD164" i="32"/>
  <c r="BD158" i="14"/>
  <c r="BD162" i="8"/>
  <c r="BD163" i="8"/>
  <c r="BD161" i="44"/>
  <c r="BD164" i="44"/>
  <c r="BD164" i="76"/>
  <c r="BD163" i="14"/>
  <c r="BD160" i="1"/>
  <c r="BD159" i="76"/>
  <c r="BD159" i="29"/>
  <c r="BD160" i="14"/>
  <c r="BD156" i="53"/>
  <c r="BB156" i="53"/>
  <c r="BD157" i="53" s="1"/>
  <c r="BD161" i="1"/>
  <c r="BD157" i="64"/>
  <c r="BD164" i="61"/>
  <c r="BD160" i="76"/>
  <c r="BD159" i="50"/>
  <c r="BB156" i="1"/>
  <c r="BD157" i="1" s="1"/>
  <c r="BD159" i="61"/>
  <c r="BD161" i="47"/>
  <c r="BD160" i="35"/>
  <c r="BD160" i="41"/>
  <c r="BD160" i="56"/>
  <c r="BD160" i="32"/>
  <c r="BD164" i="29"/>
  <c r="BD156" i="17"/>
  <c r="BB156" i="17"/>
  <c r="BD157" i="17" s="1"/>
  <c r="BD160" i="17"/>
  <c r="BD164" i="17"/>
  <c r="BD163" i="11"/>
  <c r="BD164" i="11"/>
  <c r="BD165" i="5"/>
  <c r="BD156" i="8"/>
  <c r="BB156" i="8"/>
  <c r="BD157" i="8" s="1"/>
  <c r="BD158" i="44"/>
  <c r="BB156" i="14"/>
  <c r="Z216" i="14" s="1"/>
  <c r="F272" i="14" s="1"/>
  <c r="F56" i="14" s="1"/>
  <c r="BB156" i="44"/>
  <c r="AC178" i="20"/>
  <c r="AD166" i="20"/>
  <c r="AE166" i="20" s="1"/>
  <c r="AF166" i="20" s="1"/>
  <c r="R271" i="76"/>
  <c r="G265" i="76"/>
  <c r="G264" i="76"/>
  <c r="G263" i="76"/>
  <c r="G262" i="76"/>
  <c r="G261" i="76"/>
  <c r="G260" i="76"/>
  <c r="G259" i="76"/>
  <c r="G258" i="76"/>
  <c r="G257" i="76"/>
  <c r="G256" i="76"/>
  <c r="G255" i="76"/>
  <c r="G254" i="76"/>
  <c r="G253" i="76"/>
  <c r="G252" i="76"/>
  <c r="G251" i="76"/>
  <c r="G250" i="76"/>
  <c r="G249" i="76"/>
  <c r="G248" i="76"/>
  <c r="G247" i="76"/>
  <c r="G246" i="76"/>
  <c r="G245" i="76"/>
  <c r="G244" i="76"/>
  <c r="G243" i="76"/>
  <c r="G242" i="76"/>
  <c r="G241" i="76"/>
  <c r="G240" i="76"/>
  <c r="G239" i="76"/>
  <c r="G238" i="76"/>
  <c r="G237" i="76"/>
  <c r="G236" i="76"/>
  <c r="G235" i="76"/>
  <c r="G234" i="76"/>
  <c r="G233" i="76"/>
  <c r="G232" i="76"/>
  <c r="G231" i="76"/>
  <c r="G230" i="76"/>
  <c r="G229" i="76"/>
  <c r="G228" i="76"/>
  <c r="G227" i="76"/>
  <c r="G226" i="76"/>
  <c r="G225" i="76"/>
  <c r="G224" i="76"/>
  <c r="G223" i="76"/>
  <c r="G222" i="76"/>
  <c r="G221" i="76"/>
  <c r="G220" i="76"/>
  <c r="G209" i="76"/>
  <c r="G208" i="76"/>
  <c r="G207" i="76"/>
  <c r="G206" i="76"/>
  <c r="G205" i="76"/>
  <c r="G204" i="76"/>
  <c r="G203" i="76"/>
  <c r="G202" i="76"/>
  <c r="G201" i="76"/>
  <c r="G200" i="76"/>
  <c r="G199" i="76"/>
  <c r="G198" i="76"/>
  <c r="G197" i="76"/>
  <c r="G196" i="76"/>
  <c r="G195" i="76"/>
  <c r="G194" i="76"/>
  <c r="G193" i="76"/>
  <c r="G192" i="76"/>
  <c r="G191" i="76"/>
  <c r="G190" i="76"/>
  <c r="G189" i="76"/>
  <c r="G188" i="76"/>
  <c r="G187" i="76"/>
  <c r="G186" i="76"/>
  <c r="G185" i="76"/>
  <c r="G184" i="76"/>
  <c r="G183" i="76"/>
  <c r="G182" i="76"/>
  <c r="G181" i="76"/>
  <c r="G180" i="76"/>
  <c r="G179" i="76"/>
  <c r="G178" i="76"/>
  <c r="G177" i="76"/>
  <c r="BE176" i="76"/>
  <c r="G176" i="76"/>
  <c r="BE175" i="76"/>
  <c r="G175" i="76"/>
  <c r="BE174" i="76"/>
  <c r="G174" i="76"/>
  <c r="BE173" i="76"/>
  <c r="G173" i="76"/>
  <c r="BE172" i="76"/>
  <c r="G172" i="76"/>
  <c r="BE171" i="76"/>
  <c r="G171" i="76"/>
  <c r="BE170" i="76"/>
  <c r="G170" i="76"/>
  <c r="BE169" i="76"/>
  <c r="G169" i="76"/>
  <c r="CF168" i="76"/>
  <c r="CE168" i="76"/>
  <c r="CJ170" i="76" s="1"/>
  <c r="CF176" i="76" s="1"/>
  <c r="BE168" i="76"/>
  <c r="G168" i="76"/>
  <c r="BE167" i="76"/>
  <c r="G167" i="76"/>
  <c r="BE166" i="76"/>
  <c r="BY162" i="76"/>
  <c r="BV161" i="76"/>
  <c r="BN160" i="76"/>
  <c r="W181" i="76" s="1"/>
  <c r="X181" i="76" s="1"/>
  <c r="BY159" i="76"/>
  <c r="BY158" i="76"/>
  <c r="BV156" i="76"/>
  <c r="BG166" i="76"/>
  <c r="AE126" i="76"/>
  <c r="AD126" i="76"/>
  <c r="AC126" i="76"/>
  <c r="AB126" i="76"/>
  <c r="R124" i="76"/>
  <c r="S116" i="76"/>
  <c r="F115" i="76"/>
  <c r="D115" i="76"/>
  <c r="S64" i="76" s="1"/>
  <c r="U58" i="76" s="1"/>
  <c r="C115" i="76"/>
  <c r="V114" i="76"/>
  <c r="V113" i="76"/>
  <c r="V112" i="76"/>
  <c r="V111" i="76"/>
  <c r="V110" i="76"/>
  <c r="V109" i="76"/>
  <c r="V108" i="76"/>
  <c r="V107" i="76"/>
  <c r="V106" i="76"/>
  <c r="V105" i="76"/>
  <c r="V104" i="76"/>
  <c r="V103" i="76"/>
  <c r="V102" i="76"/>
  <c r="V101" i="76"/>
  <c r="V100" i="76"/>
  <c r="V99" i="76"/>
  <c r="V98" i="76"/>
  <c r="V97" i="76"/>
  <c r="V96" i="76"/>
  <c r="V95" i="76"/>
  <c r="V94" i="76"/>
  <c r="V93" i="76"/>
  <c r="V92" i="76"/>
  <c r="V91" i="76"/>
  <c r="V90" i="76"/>
  <c r="V89" i="76"/>
  <c r="G88" i="76"/>
  <c r="G87" i="76"/>
  <c r="G86" i="76"/>
  <c r="G85" i="76"/>
  <c r="G84" i="76"/>
  <c r="G83" i="76"/>
  <c r="G82" i="76"/>
  <c r="G81" i="76"/>
  <c r="G80" i="76"/>
  <c r="G79" i="76"/>
  <c r="G78" i="76"/>
  <c r="G77" i="76"/>
  <c r="G76" i="76"/>
  <c r="G75" i="76"/>
  <c r="G74" i="76"/>
  <c r="G73" i="76"/>
  <c r="G72" i="76"/>
  <c r="G71" i="76"/>
  <c r="H70" i="76"/>
  <c r="G70" i="76"/>
  <c r="G69" i="76"/>
  <c r="H201" i="76"/>
  <c r="D8" i="76"/>
  <c r="D6" i="76"/>
  <c r="D115" i="53"/>
  <c r="S64" i="53" s="1"/>
  <c r="C115" i="53"/>
  <c r="S63" i="53" s="1"/>
  <c r="G81" i="53"/>
  <c r="G82" i="53"/>
  <c r="G83" i="53"/>
  <c r="G84" i="53"/>
  <c r="G85" i="53"/>
  <c r="G86" i="53"/>
  <c r="G87" i="53"/>
  <c r="G88" i="53"/>
  <c r="G80" i="53"/>
  <c r="G79" i="53"/>
  <c r="G78" i="53"/>
  <c r="V114" i="47"/>
  <c r="V113" i="47"/>
  <c r="V112" i="47"/>
  <c r="V111" i="47"/>
  <c r="V110" i="47"/>
  <c r="V109" i="47"/>
  <c r="V108" i="47"/>
  <c r="V107" i="47"/>
  <c r="V106" i="47"/>
  <c r="V105" i="47"/>
  <c r="V104" i="47"/>
  <c r="V103" i="47"/>
  <c r="V102" i="47"/>
  <c r="V101" i="47"/>
  <c r="V100" i="47"/>
  <c r="V99" i="47"/>
  <c r="V98" i="47"/>
  <c r="V97" i="47"/>
  <c r="V96" i="47"/>
  <c r="V95" i="47"/>
  <c r="V94" i="47"/>
  <c r="V93" i="47"/>
  <c r="V92" i="47"/>
  <c r="V91" i="47"/>
  <c r="V90" i="47"/>
  <c r="V89" i="47"/>
  <c r="U89" i="47"/>
  <c r="U88" i="47"/>
  <c r="U87" i="47"/>
  <c r="U86" i="47"/>
  <c r="U85" i="47"/>
  <c r="U84" i="47"/>
  <c r="U83" i="47"/>
  <c r="U82" i="47"/>
  <c r="U81" i="47"/>
  <c r="U80" i="47"/>
  <c r="U79" i="47"/>
  <c r="U78" i="47"/>
  <c r="U77" i="47"/>
  <c r="U76" i="47"/>
  <c r="U75" i="47"/>
  <c r="U74" i="47"/>
  <c r="U73" i="47"/>
  <c r="U72" i="47"/>
  <c r="U71" i="47"/>
  <c r="U70" i="47"/>
  <c r="V114" i="35"/>
  <c r="V113" i="35"/>
  <c r="V112" i="35"/>
  <c r="V111" i="35"/>
  <c r="V110" i="35"/>
  <c r="V109" i="35"/>
  <c r="V108" i="35"/>
  <c r="V107" i="35"/>
  <c r="V106" i="35"/>
  <c r="V105" i="35"/>
  <c r="V104" i="35"/>
  <c r="V103" i="35"/>
  <c r="V102" i="35"/>
  <c r="V101" i="35"/>
  <c r="V100" i="35"/>
  <c r="V99" i="35"/>
  <c r="V98" i="35"/>
  <c r="V97" i="35"/>
  <c r="V96" i="35"/>
  <c r="V95" i="35"/>
  <c r="V94" i="35"/>
  <c r="V93" i="35"/>
  <c r="V92" i="35"/>
  <c r="V91" i="35"/>
  <c r="V90" i="35"/>
  <c r="V89" i="35"/>
  <c r="U89" i="35"/>
  <c r="U88" i="35"/>
  <c r="U87" i="35"/>
  <c r="U86" i="35"/>
  <c r="U85" i="35"/>
  <c r="U84" i="35"/>
  <c r="U83" i="35"/>
  <c r="U82" i="35"/>
  <c r="U81" i="35"/>
  <c r="U80" i="35"/>
  <c r="U79" i="35"/>
  <c r="U78" i="35"/>
  <c r="V114" i="41"/>
  <c r="V113" i="41"/>
  <c r="V112" i="41"/>
  <c r="V111" i="41"/>
  <c r="V110" i="41"/>
  <c r="V109" i="41"/>
  <c r="V108" i="41"/>
  <c r="V107" i="41"/>
  <c r="V106" i="41"/>
  <c r="V105" i="41"/>
  <c r="V104" i="41"/>
  <c r="V103" i="41"/>
  <c r="V102" i="41"/>
  <c r="V101" i="41"/>
  <c r="V100" i="41"/>
  <c r="V99" i="41"/>
  <c r="V98" i="41"/>
  <c r="V97" i="41"/>
  <c r="V96" i="41"/>
  <c r="V95" i="41"/>
  <c r="V94" i="41"/>
  <c r="V93" i="41"/>
  <c r="V92" i="41"/>
  <c r="V91" i="41"/>
  <c r="V90" i="41"/>
  <c r="V89" i="41"/>
  <c r="U89" i="41"/>
  <c r="U88" i="41"/>
  <c r="U87" i="41"/>
  <c r="U86" i="41"/>
  <c r="U85" i="41"/>
  <c r="U84" i="41"/>
  <c r="U83" i="41"/>
  <c r="U82" i="41"/>
  <c r="U81" i="41"/>
  <c r="U80" i="41"/>
  <c r="U79" i="41"/>
  <c r="U78" i="41"/>
  <c r="U77" i="41"/>
  <c r="U76" i="41"/>
  <c r="U75" i="41"/>
  <c r="U74" i="41"/>
  <c r="U73" i="41"/>
  <c r="U72" i="41"/>
  <c r="U71" i="41"/>
  <c r="U70" i="41"/>
  <c r="U69" i="41"/>
  <c r="U115" i="41" s="1"/>
  <c r="V114" i="26"/>
  <c r="V113" i="26"/>
  <c r="V112" i="26"/>
  <c r="V111" i="26"/>
  <c r="V110" i="26"/>
  <c r="V109" i="26"/>
  <c r="V108" i="26"/>
  <c r="V107" i="26"/>
  <c r="V106" i="26"/>
  <c r="V105" i="26"/>
  <c r="V104" i="26"/>
  <c r="V103" i="26"/>
  <c r="V102" i="26"/>
  <c r="V101" i="26"/>
  <c r="V100" i="26"/>
  <c r="V99" i="26"/>
  <c r="V98" i="26"/>
  <c r="V97" i="26"/>
  <c r="V96" i="26"/>
  <c r="V95" i="26"/>
  <c r="V94" i="26"/>
  <c r="V93" i="26"/>
  <c r="V92" i="26"/>
  <c r="V91" i="26"/>
  <c r="V90" i="26"/>
  <c r="V89" i="26"/>
  <c r="U89" i="26"/>
  <c r="U88" i="26"/>
  <c r="U87" i="26"/>
  <c r="U86" i="26"/>
  <c r="U85" i="26"/>
  <c r="U84" i="26"/>
  <c r="U83" i="26"/>
  <c r="U82" i="26"/>
  <c r="U81" i="26"/>
  <c r="U80" i="26"/>
  <c r="U79" i="26"/>
  <c r="U78" i="26"/>
  <c r="U77" i="26"/>
  <c r="U76" i="26"/>
  <c r="U75" i="26"/>
  <c r="U74" i="26"/>
  <c r="U73" i="26"/>
  <c r="U72" i="26"/>
  <c r="U71" i="26"/>
  <c r="U70" i="26"/>
  <c r="U69" i="26"/>
  <c r="U115" i="26" s="1"/>
  <c r="S60" i="26" s="1"/>
  <c r="V114" i="23"/>
  <c r="V113" i="23"/>
  <c r="V112" i="23"/>
  <c r="V111" i="23"/>
  <c r="V110" i="23"/>
  <c r="V109" i="23"/>
  <c r="V108" i="23"/>
  <c r="V107" i="23"/>
  <c r="V106" i="23"/>
  <c r="V105" i="23"/>
  <c r="V104" i="23"/>
  <c r="V103" i="23"/>
  <c r="V102" i="23"/>
  <c r="V101" i="23"/>
  <c r="V100" i="23"/>
  <c r="V99" i="23"/>
  <c r="V98" i="23"/>
  <c r="V97" i="23"/>
  <c r="V96" i="23"/>
  <c r="V95" i="23"/>
  <c r="V94" i="23"/>
  <c r="V93" i="23"/>
  <c r="V92" i="23"/>
  <c r="V91" i="23"/>
  <c r="V90" i="23"/>
  <c r="V89" i="23"/>
  <c r="U89" i="23"/>
  <c r="U88" i="23"/>
  <c r="U87" i="23"/>
  <c r="U86" i="23"/>
  <c r="U85" i="23"/>
  <c r="U84" i="23"/>
  <c r="U83" i="23"/>
  <c r="U82" i="23"/>
  <c r="U81" i="23"/>
  <c r="U80" i="23"/>
  <c r="U79" i="23"/>
  <c r="U78" i="23"/>
  <c r="U77" i="23"/>
  <c r="U76" i="23"/>
  <c r="U75" i="23"/>
  <c r="U74" i="23"/>
  <c r="U73" i="23"/>
  <c r="U72" i="23"/>
  <c r="U71" i="23"/>
  <c r="U70" i="23"/>
  <c r="U69" i="23"/>
  <c r="U115" i="23" s="1"/>
  <c r="S60" i="23" s="1"/>
  <c r="V114" i="56"/>
  <c r="V113" i="56"/>
  <c r="V112" i="56"/>
  <c r="V111" i="56"/>
  <c r="V110" i="56"/>
  <c r="V109" i="56"/>
  <c r="V108" i="56"/>
  <c r="V107" i="56"/>
  <c r="V106" i="56"/>
  <c r="V105" i="56"/>
  <c r="V104" i="56"/>
  <c r="V103" i="56"/>
  <c r="V102" i="56"/>
  <c r="V101" i="56"/>
  <c r="V100" i="56"/>
  <c r="V99" i="56"/>
  <c r="V98" i="56"/>
  <c r="V97" i="56"/>
  <c r="V96" i="56"/>
  <c r="V95" i="56"/>
  <c r="V94" i="56"/>
  <c r="V93" i="56"/>
  <c r="V92" i="56"/>
  <c r="V91" i="56"/>
  <c r="V90" i="56"/>
  <c r="V89" i="56"/>
  <c r="U89" i="56"/>
  <c r="U88" i="56"/>
  <c r="U87" i="56"/>
  <c r="U86" i="56"/>
  <c r="U85" i="56"/>
  <c r="U84" i="56"/>
  <c r="U83" i="56"/>
  <c r="U82" i="56"/>
  <c r="U81" i="56"/>
  <c r="U80" i="56"/>
  <c r="U79" i="56"/>
  <c r="U78" i="56"/>
  <c r="U77" i="56"/>
  <c r="U76" i="56"/>
  <c r="U75" i="56"/>
  <c r="U74" i="56"/>
  <c r="U73" i="56"/>
  <c r="U72" i="56"/>
  <c r="U71" i="56"/>
  <c r="U70" i="56"/>
  <c r="U69" i="56"/>
  <c r="U115" i="56" s="1"/>
  <c r="S60" i="56" s="1"/>
  <c r="V114" i="32"/>
  <c r="V113" i="32"/>
  <c r="V112" i="32"/>
  <c r="V111" i="32"/>
  <c r="V110" i="32"/>
  <c r="V109" i="32"/>
  <c r="V108" i="32"/>
  <c r="V107" i="32"/>
  <c r="V106" i="32"/>
  <c r="V105" i="32"/>
  <c r="V104" i="32"/>
  <c r="V103" i="32"/>
  <c r="V102" i="32"/>
  <c r="V101" i="32"/>
  <c r="V100" i="32"/>
  <c r="V99" i="32"/>
  <c r="V98" i="32"/>
  <c r="V97" i="32"/>
  <c r="V96" i="32"/>
  <c r="V95" i="32"/>
  <c r="V94" i="32"/>
  <c r="V93" i="32"/>
  <c r="V92" i="32"/>
  <c r="V91" i="32"/>
  <c r="V90" i="32"/>
  <c r="V89" i="32"/>
  <c r="V114" i="29"/>
  <c r="V113" i="29"/>
  <c r="V112" i="29"/>
  <c r="V111" i="29"/>
  <c r="V110" i="29"/>
  <c r="V109" i="29"/>
  <c r="V108" i="29"/>
  <c r="V107" i="29"/>
  <c r="V106" i="29"/>
  <c r="V105" i="29"/>
  <c r="V104" i="29"/>
  <c r="V103" i="29"/>
  <c r="V102" i="29"/>
  <c r="V101" i="29"/>
  <c r="V100" i="29"/>
  <c r="V99" i="29"/>
  <c r="V98" i="29"/>
  <c r="V97" i="29"/>
  <c r="V96" i="29"/>
  <c r="V95" i="29"/>
  <c r="V94" i="29"/>
  <c r="V93" i="29"/>
  <c r="V92" i="29"/>
  <c r="V91" i="29"/>
  <c r="V90" i="29"/>
  <c r="V89" i="29"/>
  <c r="U89" i="29"/>
  <c r="U88" i="29"/>
  <c r="U87" i="29"/>
  <c r="U86" i="29"/>
  <c r="U85" i="29"/>
  <c r="U84" i="29"/>
  <c r="U83" i="29"/>
  <c r="U82" i="29"/>
  <c r="U81" i="29"/>
  <c r="U80" i="29"/>
  <c r="U79" i="29"/>
  <c r="U78" i="29"/>
  <c r="U77" i="29"/>
  <c r="U76" i="29"/>
  <c r="U75" i="29"/>
  <c r="U74" i="29"/>
  <c r="U73" i="29"/>
  <c r="U72" i="29"/>
  <c r="U71" i="29"/>
  <c r="U70" i="29"/>
  <c r="U69" i="29"/>
  <c r="V114" i="20"/>
  <c r="V113" i="20"/>
  <c r="V112" i="20"/>
  <c r="V111" i="20"/>
  <c r="V110" i="20"/>
  <c r="V109" i="20"/>
  <c r="V108" i="20"/>
  <c r="V107" i="20"/>
  <c r="V106" i="20"/>
  <c r="V105" i="20"/>
  <c r="V104" i="20"/>
  <c r="V103" i="20"/>
  <c r="V102" i="20"/>
  <c r="V101" i="20"/>
  <c r="V100" i="20"/>
  <c r="V99" i="20"/>
  <c r="V98" i="20"/>
  <c r="V97" i="20"/>
  <c r="V96" i="20"/>
  <c r="V95" i="20"/>
  <c r="V94" i="20"/>
  <c r="V93" i="20"/>
  <c r="V92" i="20"/>
  <c r="V91" i="20"/>
  <c r="V90" i="20"/>
  <c r="V89" i="20"/>
  <c r="V114" i="17"/>
  <c r="V113" i="17"/>
  <c r="V112" i="17"/>
  <c r="V111" i="17"/>
  <c r="V110" i="17"/>
  <c r="V109" i="17"/>
  <c r="V108" i="17"/>
  <c r="V107" i="17"/>
  <c r="V106" i="17"/>
  <c r="V105" i="17"/>
  <c r="V104" i="17"/>
  <c r="V103" i="17"/>
  <c r="V102" i="17"/>
  <c r="V101" i="17"/>
  <c r="V100" i="17"/>
  <c r="V99" i="17"/>
  <c r="V98" i="17"/>
  <c r="V97" i="17"/>
  <c r="V96" i="17"/>
  <c r="V95" i="17"/>
  <c r="V94" i="17"/>
  <c r="V93" i="17"/>
  <c r="V92" i="17"/>
  <c r="V91" i="17"/>
  <c r="V90" i="17"/>
  <c r="V89" i="17"/>
  <c r="V114" i="14"/>
  <c r="V113" i="14"/>
  <c r="V112" i="14"/>
  <c r="V111" i="14"/>
  <c r="V110" i="14"/>
  <c r="V109" i="14"/>
  <c r="V108" i="14"/>
  <c r="V107" i="14"/>
  <c r="V106" i="14"/>
  <c r="V105" i="14"/>
  <c r="V104" i="14"/>
  <c r="V103" i="14"/>
  <c r="V102" i="14"/>
  <c r="V101" i="14"/>
  <c r="V100" i="14"/>
  <c r="V99" i="14"/>
  <c r="V98" i="14"/>
  <c r="V97" i="14"/>
  <c r="V96" i="14"/>
  <c r="V95" i="14"/>
  <c r="V94" i="14"/>
  <c r="V93" i="14"/>
  <c r="V92" i="14"/>
  <c r="V91" i="14"/>
  <c r="V90" i="14"/>
  <c r="V89" i="14"/>
  <c r="V114" i="11"/>
  <c r="V113" i="11"/>
  <c r="V112" i="11"/>
  <c r="V111" i="11"/>
  <c r="V110" i="11"/>
  <c r="V109" i="11"/>
  <c r="V108" i="11"/>
  <c r="V107" i="11"/>
  <c r="V106" i="11"/>
  <c r="V105" i="11"/>
  <c r="V104" i="11"/>
  <c r="V103" i="11"/>
  <c r="V102" i="11"/>
  <c r="V101" i="11"/>
  <c r="V100" i="11"/>
  <c r="V99" i="11"/>
  <c r="V98" i="11"/>
  <c r="V97" i="11"/>
  <c r="V96" i="11"/>
  <c r="V95" i="11"/>
  <c r="V94" i="11"/>
  <c r="V93" i="11"/>
  <c r="V92" i="11"/>
  <c r="V91" i="11"/>
  <c r="V90" i="11"/>
  <c r="V89" i="11"/>
  <c r="V114" i="5"/>
  <c r="V113" i="5"/>
  <c r="V112" i="5"/>
  <c r="V111" i="5"/>
  <c r="V110" i="5"/>
  <c r="V109" i="5"/>
  <c r="V108" i="5"/>
  <c r="V107" i="5"/>
  <c r="V106" i="5"/>
  <c r="V105" i="5"/>
  <c r="V104" i="5"/>
  <c r="V103" i="5"/>
  <c r="V102" i="5"/>
  <c r="V101" i="5"/>
  <c r="V100" i="5"/>
  <c r="V99" i="5"/>
  <c r="V98" i="5"/>
  <c r="V97" i="5"/>
  <c r="V96" i="5"/>
  <c r="V95" i="5"/>
  <c r="V94" i="5"/>
  <c r="V93" i="5"/>
  <c r="V92" i="5"/>
  <c r="V91" i="5"/>
  <c r="V90" i="5"/>
  <c r="V114" i="8"/>
  <c r="V113" i="8"/>
  <c r="V112" i="8"/>
  <c r="V111" i="8"/>
  <c r="V110" i="8"/>
  <c r="V109" i="8"/>
  <c r="V108" i="8"/>
  <c r="V107" i="8"/>
  <c r="V106" i="8"/>
  <c r="V105" i="8"/>
  <c r="V104" i="8"/>
  <c r="V103" i="8"/>
  <c r="V102" i="8"/>
  <c r="V101" i="8"/>
  <c r="V100" i="8"/>
  <c r="V99" i="8"/>
  <c r="V98" i="8"/>
  <c r="V97" i="8"/>
  <c r="V96" i="8"/>
  <c r="V95" i="8"/>
  <c r="V94" i="8"/>
  <c r="V93" i="8"/>
  <c r="V92" i="8"/>
  <c r="V91" i="8"/>
  <c r="V90" i="8"/>
  <c r="V89" i="8"/>
  <c r="V114" i="44"/>
  <c r="V113" i="44"/>
  <c r="V112" i="44"/>
  <c r="V111" i="44"/>
  <c r="V110" i="44"/>
  <c r="V109" i="44"/>
  <c r="V108" i="44"/>
  <c r="V107" i="44"/>
  <c r="V106" i="44"/>
  <c r="V105" i="44"/>
  <c r="V104" i="44"/>
  <c r="V103" i="44"/>
  <c r="V102" i="44"/>
  <c r="V101" i="44"/>
  <c r="V100" i="44"/>
  <c r="V99" i="44"/>
  <c r="V98" i="44"/>
  <c r="V97" i="44"/>
  <c r="V96" i="44"/>
  <c r="V95" i="44"/>
  <c r="V94" i="44"/>
  <c r="V93" i="44"/>
  <c r="V92" i="44"/>
  <c r="V91" i="44"/>
  <c r="V90" i="44"/>
  <c r="V89" i="44"/>
  <c r="U89" i="44"/>
  <c r="U88" i="44"/>
  <c r="U87" i="44"/>
  <c r="U86" i="44"/>
  <c r="U85" i="44"/>
  <c r="U84" i="44"/>
  <c r="U83" i="44"/>
  <c r="U82" i="44"/>
  <c r="U81" i="44"/>
  <c r="U80" i="44"/>
  <c r="U79" i="44"/>
  <c r="U78" i="44"/>
  <c r="U77" i="44"/>
  <c r="U76" i="44"/>
  <c r="U75" i="44"/>
  <c r="U74" i="44"/>
  <c r="U73" i="44"/>
  <c r="U72" i="44"/>
  <c r="U71" i="44"/>
  <c r="U70" i="44"/>
  <c r="U69" i="44"/>
  <c r="U115" i="44" s="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114" i="38"/>
  <c r="V113" i="38"/>
  <c r="V112" i="38"/>
  <c r="V111" i="38"/>
  <c r="V110" i="38"/>
  <c r="V109" i="38"/>
  <c r="V108" i="38"/>
  <c r="V107" i="38"/>
  <c r="V106" i="38"/>
  <c r="V105" i="38"/>
  <c r="V104" i="38"/>
  <c r="V103" i="38"/>
  <c r="V102" i="38"/>
  <c r="V101" i="38"/>
  <c r="V100" i="38"/>
  <c r="V99" i="38"/>
  <c r="V98" i="38"/>
  <c r="V97" i="38"/>
  <c r="V96" i="38"/>
  <c r="V95" i="38"/>
  <c r="V94" i="38"/>
  <c r="V93" i="38"/>
  <c r="V92" i="38"/>
  <c r="V91" i="38"/>
  <c r="V90" i="38"/>
  <c r="V89" i="38"/>
  <c r="V114" i="50"/>
  <c r="V113" i="50"/>
  <c r="V112" i="50"/>
  <c r="V111" i="50"/>
  <c r="V110" i="50"/>
  <c r="V109" i="50"/>
  <c r="V108" i="50"/>
  <c r="V107" i="50"/>
  <c r="V106" i="50"/>
  <c r="V105" i="50"/>
  <c r="V104" i="50"/>
  <c r="V103" i="50"/>
  <c r="V102" i="50"/>
  <c r="V101" i="50"/>
  <c r="V100" i="50"/>
  <c r="V99" i="50"/>
  <c r="V98" i="50"/>
  <c r="V97" i="50"/>
  <c r="V96" i="50"/>
  <c r="V95" i="50"/>
  <c r="V94" i="50"/>
  <c r="V93" i="50"/>
  <c r="V92" i="50"/>
  <c r="V91" i="50"/>
  <c r="V90" i="50"/>
  <c r="V89" i="50"/>
  <c r="V114" i="53"/>
  <c r="V113" i="53"/>
  <c r="V112" i="53"/>
  <c r="V111" i="53"/>
  <c r="V110" i="53"/>
  <c r="V109" i="53"/>
  <c r="V108" i="53"/>
  <c r="V107" i="53"/>
  <c r="V106" i="53"/>
  <c r="V105" i="53"/>
  <c r="V104" i="53"/>
  <c r="V103" i="53"/>
  <c r="V102" i="53"/>
  <c r="V101" i="53"/>
  <c r="V100" i="53"/>
  <c r="V99" i="53"/>
  <c r="V98" i="53"/>
  <c r="V97" i="53"/>
  <c r="V96" i="53"/>
  <c r="V95" i="53"/>
  <c r="V94" i="53"/>
  <c r="V93" i="53"/>
  <c r="V92" i="53"/>
  <c r="V91" i="53"/>
  <c r="V90" i="53"/>
  <c r="V89" i="53"/>
  <c r="V114" i="61"/>
  <c r="V113" i="61"/>
  <c r="V112" i="61"/>
  <c r="V111" i="61"/>
  <c r="V110" i="61"/>
  <c r="V109" i="61"/>
  <c r="V108" i="61"/>
  <c r="V107" i="61"/>
  <c r="V106" i="61"/>
  <c r="V105" i="61"/>
  <c r="V104" i="61"/>
  <c r="V103" i="61"/>
  <c r="V102" i="61"/>
  <c r="V101" i="61"/>
  <c r="V100" i="61"/>
  <c r="V99" i="61"/>
  <c r="V98" i="61"/>
  <c r="V97" i="61"/>
  <c r="V96" i="61"/>
  <c r="V95" i="61"/>
  <c r="V94" i="61"/>
  <c r="V93" i="61"/>
  <c r="V92" i="61"/>
  <c r="V91" i="61"/>
  <c r="V90" i="61"/>
  <c r="V89" i="61"/>
  <c r="V114" i="64"/>
  <c r="V113" i="64"/>
  <c r="V112" i="64"/>
  <c r="V111" i="64"/>
  <c r="V110" i="64"/>
  <c r="V109" i="64"/>
  <c r="V108" i="64"/>
  <c r="V107" i="64"/>
  <c r="V106" i="64"/>
  <c r="V105" i="64"/>
  <c r="V104" i="64"/>
  <c r="V103" i="64"/>
  <c r="V102" i="64"/>
  <c r="V101" i="64"/>
  <c r="V100" i="64"/>
  <c r="V99" i="64"/>
  <c r="V98" i="64"/>
  <c r="V97" i="64"/>
  <c r="V96" i="64"/>
  <c r="V95" i="64"/>
  <c r="V94" i="64"/>
  <c r="V93" i="64"/>
  <c r="V92" i="64"/>
  <c r="V91" i="64"/>
  <c r="V90" i="64"/>
  <c r="V89" i="64"/>
  <c r="S116" i="64"/>
  <c r="F115" i="64"/>
  <c r="D115" i="64"/>
  <c r="S64" i="64" s="1"/>
  <c r="U58" i="64" s="1"/>
  <c r="C115" i="64"/>
  <c r="S63" i="64" s="1"/>
  <c r="S116" i="61"/>
  <c r="F115" i="61"/>
  <c r="D115" i="61"/>
  <c r="S64" i="61" s="1"/>
  <c r="U58" i="61" s="1"/>
  <c r="C115" i="61"/>
  <c r="S63" i="61" s="1"/>
  <c r="S116" i="53"/>
  <c r="F115" i="53"/>
  <c r="S116" i="50"/>
  <c r="F115" i="50"/>
  <c r="D115" i="50"/>
  <c r="S64" i="50" s="1"/>
  <c r="C115" i="50"/>
  <c r="S63" i="50" s="1"/>
  <c r="S116" i="47"/>
  <c r="F115" i="47"/>
  <c r="D115" i="47"/>
  <c r="S64" i="47" s="1"/>
  <c r="U58" i="47" s="1"/>
  <c r="C115" i="47"/>
  <c r="S63" i="47" s="1"/>
  <c r="S116" i="38"/>
  <c r="F115" i="38"/>
  <c r="D115" i="38"/>
  <c r="C115" i="38"/>
  <c r="S116" i="35"/>
  <c r="F115" i="35"/>
  <c r="D115" i="35"/>
  <c r="S63" i="35"/>
  <c r="S116" i="41"/>
  <c r="F115" i="41"/>
  <c r="D115" i="41"/>
  <c r="S64" i="41" s="1"/>
  <c r="U58" i="41" s="1"/>
  <c r="C115" i="41"/>
  <c r="S63" i="41" s="1"/>
  <c r="S116" i="26"/>
  <c r="F115" i="26"/>
  <c r="D115" i="26"/>
  <c r="S64" i="26" s="1"/>
  <c r="U58" i="26" s="1"/>
  <c r="C115" i="26"/>
  <c r="S63" i="26" s="1"/>
  <c r="S116" i="23"/>
  <c r="F115" i="23"/>
  <c r="D115" i="23"/>
  <c r="S64" i="23" s="1"/>
  <c r="U58" i="23" s="1"/>
  <c r="C115" i="23"/>
  <c r="S63" i="23" s="1"/>
  <c r="S116" i="56"/>
  <c r="F115" i="56"/>
  <c r="D115" i="56"/>
  <c r="S64" i="56" s="1"/>
  <c r="U58" i="56" s="1"/>
  <c r="C115" i="56"/>
  <c r="S63" i="56" s="1"/>
  <c r="S116" i="32"/>
  <c r="F115" i="32"/>
  <c r="C115" i="32"/>
  <c r="S63" i="32" s="1"/>
  <c r="S116" i="29"/>
  <c r="F115" i="29"/>
  <c r="D115" i="29"/>
  <c r="S64" i="29" s="1"/>
  <c r="U58" i="29" s="1"/>
  <c r="C115" i="29"/>
  <c r="S63" i="29" s="1"/>
  <c r="S116" i="20"/>
  <c r="F115" i="20"/>
  <c r="D115" i="20"/>
  <c r="S64" i="20" s="1"/>
  <c r="U58" i="20" s="1"/>
  <c r="C115" i="20"/>
  <c r="S63" i="20" s="1"/>
  <c r="S116" i="17"/>
  <c r="F115" i="17"/>
  <c r="D115" i="17"/>
  <c r="S64" i="17" s="1"/>
  <c r="U58" i="17" s="1"/>
  <c r="S63" i="17"/>
  <c r="S116" i="14"/>
  <c r="F115" i="14"/>
  <c r="X116" i="14" s="1"/>
  <c r="D115" i="14"/>
  <c r="S64" i="14" s="1"/>
  <c r="U58" i="14" s="1"/>
  <c r="C115" i="14"/>
  <c r="S63" i="14" s="1"/>
  <c r="S116" i="11"/>
  <c r="F115" i="11"/>
  <c r="D115" i="11"/>
  <c r="S64" i="11" s="1"/>
  <c r="U58" i="11" s="1"/>
  <c r="C115" i="11"/>
  <c r="S63" i="11" s="1"/>
  <c r="S117" i="5"/>
  <c r="F116" i="5"/>
  <c r="D116" i="5"/>
  <c r="S64" i="5" s="1"/>
  <c r="U58" i="5" s="1"/>
  <c r="C116" i="5"/>
  <c r="S63" i="5" s="1"/>
  <c r="S116" i="44"/>
  <c r="F115" i="44"/>
  <c r="D115" i="44"/>
  <c r="S64" i="44" s="1"/>
  <c r="C115" i="44"/>
  <c r="S63" i="44" s="1"/>
  <c r="F115" i="1"/>
  <c r="U89" i="64"/>
  <c r="U88" i="64"/>
  <c r="U87" i="64"/>
  <c r="U86" i="64"/>
  <c r="U85" i="64"/>
  <c r="U84" i="64"/>
  <c r="U83" i="64"/>
  <c r="U82" i="64"/>
  <c r="U81" i="64"/>
  <c r="U80" i="64"/>
  <c r="U79" i="64"/>
  <c r="U78" i="64"/>
  <c r="U77" i="64"/>
  <c r="U76" i="64"/>
  <c r="U75" i="64"/>
  <c r="U74" i="64"/>
  <c r="U73" i="64"/>
  <c r="U72" i="64"/>
  <c r="U71" i="64"/>
  <c r="U115" i="64"/>
  <c r="S60" i="64" s="1"/>
  <c r="U89" i="61"/>
  <c r="U88" i="61"/>
  <c r="U87" i="61"/>
  <c r="U86" i="61"/>
  <c r="U85" i="61"/>
  <c r="U84" i="61"/>
  <c r="U83" i="61"/>
  <c r="U82" i="61"/>
  <c r="U81" i="61"/>
  <c r="U80" i="61"/>
  <c r="U79" i="61"/>
  <c r="U78" i="61"/>
  <c r="U77" i="61"/>
  <c r="U76" i="61"/>
  <c r="U75" i="61"/>
  <c r="U74" i="61"/>
  <c r="U73" i="61"/>
  <c r="U72" i="61"/>
  <c r="U71" i="61"/>
  <c r="U70" i="61"/>
  <c r="U115" i="61"/>
  <c r="S60" i="61" s="1"/>
  <c r="U89" i="50"/>
  <c r="U88" i="50"/>
  <c r="U87" i="50"/>
  <c r="U86" i="50"/>
  <c r="U85" i="50"/>
  <c r="U84" i="50"/>
  <c r="U83" i="50"/>
  <c r="U82" i="50"/>
  <c r="U81" i="50"/>
  <c r="U80" i="50"/>
  <c r="U79" i="50"/>
  <c r="U78" i="50"/>
  <c r="U77" i="50"/>
  <c r="U76" i="50"/>
  <c r="U75" i="50"/>
  <c r="U74" i="50"/>
  <c r="U73" i="50"/>
  <c r="U72" i="50"/>
  <c r="U71" i="50"/>
  <c r="U70" i="50"/>
  <c r="U69" i="50"/>
  <c r="U115" i="50" s="1"/>
  <c r="U89" i="38"/>
  <c r="D8" i="44"/>
  <c r="D6" i="44"/>
  <c r="D8" i="64"/>
  <c r="D6" i="64"/>
  <c r="D8" i="61"/>
  <c r="D6" i="61"/>
  <c r="D8" i="53"/>
  <c r="D6" i="53"/>
  <c r="D8" i="47"/>
  <c r="D6" i="47"/>
  <c r="D8" i="38"/>
  <c r="D6" i="38"/>
  <c r="D8" i="35"/>
  <c r="D6" i="35"/>
  <c r="D8" i="41"/>
  <c r="D6" i="41"/>
  <c r="D8" i="26"/>
  <c r="D6" i="26"/>
  <c r="D8" i="23"/>
  <c r="D6" i="23"/>
  <c r="D8" i="56"/>
  <c r="D6" i="56"/>
  <c r="D8" i="32"/>
  <c r="D6" i="32"/>
  <c r="D8" i="29"/>
  <c r="D6" i="29"/>
  <c r="D8" i="20"/>
  <c r="D6" i="20"/>
  <c r="D8" i="17"/>
  <c r="D6" i="17"/>
  <c r="D8" i="14"/>
  <c r="D6" i="14"/>
  <c r="D8" i="11"/>
  <c r="D6" i="11"/>
  <c r="D8" i="5"/>
  <c r="D6" i="5"/>
  <c r="D8" i="8"/>
  <c r="D6" i="8"/>
  <c r="T115" i="8"/>
  <c r="W59" i="8" s="1"/>
  <c r="S116" i="8"/>
  <c r="D8" i="1"/>
  <c r="D6" i="1"/>
  <c r="F146" i="60"/>
  <c r="U87" i="76" s="1"/>
  <c r="F139" i="60"/>
  <c r="U72" i="20" s="1"/>
  <c r="F134" i="60"/>
  <c r="U88" i="14" s="1"/>
  <c r="F133" i="60"/>
  <c r="U87" i="11" s="1"/>
  <c r="F132" i="60"/>
  <c r="U85" i="32" s="1"/>
  <c r="F130" i="60"/>
  <c r="U89" i="17" s="1"/>
  <c r="F129" i="60"/>
  <c r="U87" i="5" s="1"/>
  <c r="F127" i="60"/>
  <c r="U85" i="8" s="1"/>
  <c r="F125" i="60"/>
  <c r="U70" i="1" s="1"/>
  <c r="K66" i="64" l="1"/>
  <c r="K166" i="64"/>
  <c r="AF216" i="50"/>
  <c r="AE216" i="50"/>
  <c r="AG216" i="50"/>
  <c r="AB216" i="50"/>
  <c r="AA216" i="50"/>
  <c r="AH216" i="50"/>
  <c r="AJ216" i="50"/>
  <c r="AI216" i="50"/>
  <c r="AD216" i="50"/>
  <c r="AA214" i="35"/>
  <c r="AA215" i="35" s="1"/>
  <c r="AA216" i="35" s="1"/>
  <c r="AJ216" i="56"/>
  <c r="Z216" i="56"/>
  <c r="AA214" i="41"/>
  <c r="AA215" i="41" s="1"/>
  <c r="AA216" i="41" s="1"/>
  <c r="AA214" i="64"/>
  <c r="AA215" i="64" s="1"/>
  <c r="AA216" i="64" s="1"/>
  <c r="G272" i="64" s="1"/>
  <c r="AB214" i="64"/>
  <c r="AB215" i="64" s="1"/>
  <c r="AB216" i="64" s="1"/>
  <c r="H272" i="64" s="1"/>
  <c r="AA214" i="38"/>
  <c r="AA215" i="38" s="1"/>
  <c r="AA216" i="38" s="1"/>
  <c r="BD157" i="38"/>
  <c r="BH166" i="38" s="1"/>
  <c r="AV186" i="38"/>
  <c r="BB187" i="38"/>
  <c r="AA214" i="44"/>
  <c r="AA215" i="44" s="1"/>
  <c r="AH216" i="56"/>
  <c r="AD216" i="56"/>
  <c r="BD157" i="47"/>
  <c r="Z216" i="8"/>
  <c r="AC216" i="56"/>
  <c r="Z216" i="23"/>
  <c r="Z216" i="35"/>
  <c r="AI216" i="56"/>
  <c r="AG216" i="56"/>
  <c r="AB214" i="41"/>
  <c r="AB215" i="41" s="1"/>
  <c r="AB216" i="41" s="1"/>
  <c r="AK216" i="23"/>
  <c r="Z216" i="38"/>
  <c r="C65" i="38" s="1"/>
  <c r="AV188" i="38"/>
  <c r="S63" i="38"/>
  <c r="D62" i="38"/>
  <c r="AE216" i="56"/>
  <c r="AB216" i="56"/>
  <c r="AA216" i="56"/>
  <c r="AK216" i="56"/>
  <c r="Z216" i="1"/>
  <c r="AC166" i="35"/>
  <c r="AB169" i="35"/>
  <c r="AB172" i="35"/>
  <c r="AB170" i="35"/>
  <c r="AB173" i="35"/>
  <c r="AB171" i="35"/>
  <c r="AB168" i="35"/>
  <c r="AC166" i="38"/>
  <c r="AB176" i="38"/>
  <c r="AB180" i="38"/>
  <c r="AB177" i="38"/>
  <c r="AB171" i="38"/>
  <c r="AB168" i="38"/>
  <c r="AB170" i="38"/>
  <c r="AB173" i="38"/>
  <c r="AB179" i="38"/>
  <c r="AB169" i="38"/>
  <c r="AB172" i="38"/>
  <c r="AB175" i="38"/>
  <c r="AB178" i="38"/>
  <c r="I79" i="41"/>
  <c r="I81" i="41"/>
  <c r="I82" i="41"/>
  <c r="I84" i="41"/>
  <c r="I78" i="41"/>
  <c r="I83" i="41"/>
  <c r="I80" i="41"/>
  <c r="I80" i="38"/>
  <c r="I79" i="38"/>
  <c r="I81" i="38"/>
  <c r="I78" i="38"/>
  <c r="V89" i="5"/>
  <c r="V122" i="17"/>
  <c r="V121" i="17"/>
  <c r="V120" i="17"/>
  <c r="I78" i="5"/>
  <c r="U115" i="47"/>
  <c r="S60" i="47" s="1"/>
  <c r="S63" i="76"/>
  <c r="V115" i="76"/>
  <c r="S59" i="76" s="1"/>
  <c r="U80" i="5"/>
  <c r="U88" i="11"/>
  <c r="U82" i="5"/>
  <c r="U88" i="32"/>
  <c r="U83" i="53"/>
  <c r="U69" i="76"/>
  <c r="U88" i="5"/>
  <c r="U83" i="14"/>
  <c r="U89" i="14"/>
  <c r="U74" i="1"/>
  <c r="U70" i="8"/>
  <c r="U80" i="11"/>
  <c r="U82" i="11"/>
  <c r="U85" i="1"/>
  <c r="U79" i="53"/>
  <c r="U86" i="8"/>
  <c r="U90" i="5"/>
  <c r="U70" i="32"/>
  <c r="U69" i="1"/>
  <c r="U74" i="17"/>
  <c r="U72" i="32"/>
  <c r="U71" i="53"/>
  <c r="U78" i="8"/>
  <c r="U84" i="1"/>
  <c r="U82" i="1"/>
  <c r="U73" i="14"/>
  <c r="U76" i="17"/>
  <c r="U78" i="32"/>
  <c r="U89" i="76"/>
  <c r="U81" i="53"/>
  <c r="U89" i="53"/>
  <c r="U77" i="1"/>
  <c r="U71" i="5"/>
  <c r="U72" i="11"/>
  <c r="U75" i="14"/>
  <c r="U82" i="17"/>
  <c r="U80" i="32"/>
  <c r="U73" i="53"/>
  <c r="U76" i="1"/>
  <c r="U73" i="5"/>
  <c r="U74" i="11"/>
  <c r="U81" i="14"/>
  <c r="U84" i="17"/>
  <c r="U86" i="32"/>
  <c r="AB173" i="32"/>
  <c r="AC181" i="32"/>
  <c r="V69" i="1"/>
  <c r="AB176" i="32"/>
  <c r="AC182" i="32"/>
  <c r="AB180" i="32"/>
  <c r="AB181" i="32"/>
  <c r="AB177" i="32"/>
  <c r="AC178" i="32"/>
  <c r="I69" i="1"/>
  <c r="AB174" i="32"/>
  <c r="AB182" i="32"/>
  <c r="AC179" i="32"/>
  <c r="AB175" i="32"/>
  <c r="AB183" i="32"/>
  <c r="AD166" i="32"/>
  <c r="AD180" i="32" s="1"/>
  <c r="AC180" i="32"/>
  <c r="AB178" i="32"/>
  <c r="AC183" i="32"/>
  <c r="AB179" i="32"/>
  <c r="AC172" i="14"/>
  <c r="AC177" i="14"/>
  <c r="AC173" i="14"/>
  <c r="R125" i="76"/>
  <c r="AC174" i="14"/>
  <c r="AC175" i="14"/>
  <c r="AC176" i="14"/>
  <c r="AC170" i="14"/>
  <c r="AD166" i="14"/>
  <c r="AC169" i="14"/>
  <c r="AC171" i="14"/>
  <c r="U84" i="20"/>
  <c r="U83" i="1"/>
  <c r="U75" i="1"/>
  <c r="U72" i="53"/>
  <c r="U80" i="53"/>
  <c r="U71" i="8"/>
  <c r="U79" i="8"/>
  <c r="U87" i="8"/>
  <c r="U72" i="5"/>
  <c r="U81" i="5"/>
  <c r="U73" i="11"/>
  <c r="U81" i="11"/>
  <c r="U89" i="11"/>
  <c r="U74" i="14"/>
  <c r="U82" i="14"/>
  <c r="U75" i="17"/>
  <c r="U83" i="17"/>
  <c r="U77" i="20"/>
  <c r="U85" i="20"/>
  <c r="U71" i="32"/>
  <c r="U79" i="32"/>
  <c r="U87" i="32"/>
  <c r="U82" i="53"/>
  <c r="U72" i="76"/>
  <c r="U76" i="76"/>
  <c r="U80" i="76"/>
  <c r="U84" i="76"/>
  <c r="U88" i="76"/>
  <c r="U86" i="20"/>
  <c r="U89" i="1"/>
  <c r="U81" i="1"/>
  <c r="U73" i="1"/>
  <c r="U74" i="53"/>
  <c r="U73" i="8"/>
  <c r="U81" i="8"/>
  <c r="U89" i="8"/>
  <c r="U74" i="5"/>
  <c r="U83" i="5"/>
  <c r="U75" i="11"/>
  <c r="U83" i="11"/>
  <c r="U76" i="14"/>
  <c r="U84" i="14"/>
  <c r="U69" i="17"/>
  <c r="U77" i="17"/>
  <c r="U85" i="17"/>
  <c r="U70" i="20"/>
  <c r="U79" i="20"/>
  <c r="U87" i="20"/>
  <c r="U81" i="32"/>
  <c r="U89" i="32"/>
  <c r="U88" i="53"/>
  <c r="U73" i="76"/>
  <c r="U77" i="76"/>
  <c r="U81" i="76"/>
  <c r="U85" i="76"/>
  <c r="U72" i="8"/>
  <c r="U88" i="8"/>
  <c r="U78" i="20"/>
  <c r="U88" i="1"/>
  <c r="U80" i="1"/>
  <c r="U72" i="1"/>
  <c r="U75" i="53"/>
  <c r="U74" i="8"/>
  <c r="U82" i="8"/>
  <c r="U75" i="5"/>
  <c r="U84" i="5"/>
  <c r="U76" i="11"/>
  <c r="U84" i="11"/>
  <c r="U69" i="14"/>
  <c r="U77" i="14"/>
  <c r="U85" i="14"/>
  <c r="U70" i="17"/>
  <c r="U78" i="17"/>
  <c r="U86" i="17"/>
  <c r="U71" i="20"/>
  <c r="U80" i="20"/>
  <c r="U88" i="20"/>
  <c r="U74" i="32"/>
  <c r="U82" i="32"/>
  <c r="U87" i="53"/>
  <c r="U76" i="20"/>
  <c r="U69" i="20"/>
  <c r="U87" i="1"/>
  <c r="U79" i="1"/>
  <c r="U71" i="1"/>
  <c r="U76" i="53"/>
  <c r="U75" i="8"/>
  <c r="U83" i="8"/>
  <c r="U76" i="5"/>
  <c r="U85" i="5"/>
  <c r="U69" i="11"/>
  <c r="U77" i="11"/>
  <c r="U85" i="11"/>
  <c r="U70" i="14"/>
  <c r="U78" i="14"/>
  <c r="U86" i="14"/>
  <c r="U71" i="17"/>
  <c r="U79" i="17"/>
  <c r="U87" i="17"/>
  <c r="U73" i="20"/>
  <c r="U81" i="20"/>
  <c r="U89" i="20"/>
  <c r="U75" i="32"/>
  <c r="U83" i="32"/>
  <c r="U86" i="53"/>
  <c r="U69" i="53"/>
  <c r="U70" i="76"/>
  <c r="U74" i="76"/>
  <c r="U78" i="76"/>
  <c r="U82" i="76"/>
  <c r="U86" i="76"/>
  <c r="U86" i="1"/>
  <c r="U78" i="1"/>
  <c r="U77" i="53"/>
  <c r="U76" i="8"/>
  <c r="U84" i="8"/>
  <c r="U69" i="5"/>
  <c r="U77" i="5"/>
  <c r="U86" i="5"/>
  <c r="U78" i="11"/>
  <c r="U86" i="11"/>
  <c r="U71" i="14"/>
  <c r="U79" i="14"/>
  <c r="U87" i="14"/>
  <c r="U72" i="17"/>
  <c r="U80" i="17"/>
  <c r="U88" i="17"/>
  <c r="U74" i="20"/>
  <c r="U82" i="20"/>
  <c r="U76" i="32"/>
  <c r="U84" i="32"/>
  <c r="U85" i="53"/>
  <c r="U70" i="53"/>
  <c r="U78" i="53"/>
  <c r="U69" i="8"/>
  <c r="U77" i="8"/>
  <c r="U70" i="5"/>
  <c r="U79" i="5"/>
  <c r="U71" i="11"/>
  <c r="U79" i="11"/>
  <c r="U72" i="14"/>
  <c r="U80" i="14"/>
  <c r="U73" i="17"/>
  <c r="U81" i="17"/>
  <c r="U75" i="20"/>
  <c r="U83" i="20"/>
  <c r="U69" i="32"/>
  <c r="U77" i="32"/>
  <c r="U84" i="53"/>
  <c r="U71" i="76"/>
  <c r="U75" i="76"/>
  <c r="U79" i="76"/>
  <c r="U83" i="76"/>
  <c r="AB214" i="29"/>
  <c r="AB215" i="29" s="1"/>
  <c r="AA214" i="29"/>
  <c r="AA215" i="29" s="1"/>
  <c r="G95" i="72"/>
  <c r="G157" i="59"/>
  <c r="G100" i="72"/>
  <c r="G162" i="59"/>
  <c r="BD157" i="14"/>
  <c r="U115" i="29"/>
  <c r="S60" i="29" s="1"/>
  <c r="V83" i="5"/>
  <c r="V85" i="20"/>
  <c r="V83" i="38"/>
  <c r="V87" i="61"/>
  <c r="C65" i="5"/>
  <c r="V71" i="64"/>
  <c r="C65" i="14"/>
  <c r="AN214" i="1"/>
  <c r="AN214" i="35"/>
  <c r="AN214" i="32"/>
  <c r="AN214" i="53"/>
  <c r="AO214" i="53"/>
  <c r="AN214" i="50"/>
  <c r="AO214" i="76"/>
  <c r="AO214" i="26"/>
  <c r="AN214" i="8"/>
  <c r="AO214" i="14"/>
  <c r="AO214" i="32"/>
  <c r="AO214" i="56"/>
  <c r="AO214" i="35"/>
  <c r="AO214" i="61"/>
  <c r="AO214" i="64"/>
  <c r="AN214" i="76"/>
  <c r="AO214" i="38"/>
  <c r="V69" i="20"/>
  <c r="AN214" i="61"/>
  <c r="AO214" i="23"/>
  <c r="AO214" i="41"/>
  <c r="AO214" i="29"/>
  <c r="AO214" i="11"/>
  <c r="AN214" i="44"/>
  <c r="AO214" i="20"/>
  <c r="AN214" i="20"/>
  <c r="AN214" i="56"/>
  <c r="AN214" i="26"/>
  <c r="AO214" i="50"/>
  <c r="AO214" i="44"/>
  <c r="AN214" i="64"/>
  <c r="AN215" i="5"/>
  <c r="AN214" i="14"/>
  <c r="AN214" i="23"/>
  <c r="AN214" i="41"/>
  <c r="AN214" i="38"/>
  <c r="AN214" i="47"/>
  <c r="AO214" i="1"/>
  <c r="AN214" i="11"/>
  <c r="AN214" i="29"/>
  <c r="AO214" i="8"/>
  <c r="AO215" i="5"/>
  <c r="AO214" i="47"/>
  <c r="AM183" i="53"/>
  <c r="AL183" i="53"/>
  <c r="V88" i="8"/>
  <c r="V88" i="53"/>
  <c r="V86" i="44"/>
  <c r="V72" i="61"/>
  <c r="V87" i="44"/>
  <c r="V77" i="8"/>
  <c r="V74" i="20"/>
  <c r="V78" i="20"/>
  <c r="V82" i="20"/>
  <c r="V86" i="20"/>
  <c r="AM177" i="53"/>
  <c r="AL177" i="53"/>
  <c r="AM182" i="53"/>
  <c r="AL182" i="53"/>
  <c r="AL171" i="76"/>
  <c r="AM171" i="76"/>
  <c r="AM175" i="76"/>
  <c r="AL175" i="76"/>
  <c r="AM179" i="76"/>
  <c r="AL179" i="76"/>
  <c r="AM183" i="76"/>
  <c r="AL183" i="76"/>
  <c r="AL187" i="76"/>
  <c r="AM187" i="76"/>
  <c r="F272" i="17"/>
  <c r="F56" i="17" s="1"/>
  <c r="C65" i="17"/>
  <c r="F272" i="61"/>
  <c r="F56" i="61" s="1"/>
  <c r="C65" i="61"/>
  <c r="V115" i="1"/>
  <c r="V116" i="5"/>
  <c r="S59" i="5" s="1"/>
  <c r="V115" i="20"/>
  <c r="S59" i="20" s="1"/>
  <c r="V80" i="61"/>
  <c r="V75" i="44"/>
  <c r="V70" i="20"/>
  <c r="AM178" i="53"/>
  <c r="AL178" i="53"/>
  <c r="AL181" i="53"/>
  <c r="AM181" i="53"/>
  <c r="AM168" i="76"/>
  <c r="AL168" i="76"/>
  <c r="D64" i="50"/>
  <c r="D64" i="23"/>
  <c r="V88" i="61"/>
  <c r="V85" i="8"/>
  <c r="V75" i="20"/>
  <c r="V79" i="20"/>
  <c r="V83" i="20"/>
  <c r="V87" i="20"/>
  <c r="AM179" i="53"/>
  <c r="AL179" i="53"/>
  <c r="AM180" i="53"/>
  <c r="AL180" i="53"/>
  <c r="AM172" i="76"/>
  <c r="AL172" i="76"/>
  <c r="AM176" i="76"/>
  <c r="AL176" i="76"/>
  <c r="AM180" i="76"/>
  <c r="AL180" i="76"/>
  <c r="AM184" i="76"/>
  <c r="AL184" i="76"/>
  <c r="BD157" i="44"/>
  <c r="F272" i="11"/>
  <c r="F56" i="11" s="1"/>
  <c r="C65" i="11"/>
  <c r="CJ171" i="76"/>
  <c r="CF175" i="76" s="1"/>
  <c r="V86" i="38"/>
  <c r="V74" i="61"/>
  <c r="V76" i="38"/>
  <c r="V83" i="44"/>
  <c r="V73" i="8"/>
  <c r="V87" i="5"/>
  <c r="V71" i="20"/>
  <c r="AM187" i="53"/>
  <c r="AL187" i="53"/>
  <c r="AM169" i="76"/>
  <c r="AL169" i="76"/>
  <c r="D64" i="56"/>
  <c r="V85" i="1"/>
  <c r="V80" i="11"/>
  <c r="V76" i="47"/>
  <c r="V86" i="64"/>
  <c r="V79" i="64"/>
  <c r="V84" i="38"/>
  <c r="V71" i="44"/>
  <c r="V72" i="20"/>
  <c r="V76" i="20"/>
  <c r="V80" i="20"/>
  <c r="V84" i="20"/>
  <c r="V88" i="20"/>
  <c r="AM186" i="53"/>
  <c r="AL186" i="53"/>
  <c r="AM173" i="76"/>
  <c r="AL173" i="76"/>
  <c r="AM177" i="76"/>
  <c r="AL177" i="76"/>
  <c r="AM181" i="76"/>
  <c r="AL181" i="76"/>
  <c r="AM185" i="76"/>
  <c r="AL185" i="76"/>
  <c r="W186" i="76"/>
  <c r="X186" i="76" s="1"/>
  <c r="AA215" i="5"/>
  <c r="AA216" i="5" s="1"/>
  <c r="AA214" i="14"/>
  <c r="AA215" i="14" s="1"/>
  <c r="F272" i="29"/>
  <c r="F56" i="29" s="1"/>
  <c r="C65" i="29"/>
  <c r="V87" i="64"/>
  <c r="V73" i="53"/>
  <c r="V81" i="8"/>
  <c r="AL185" i="53"/>
  <c r="AM185" i="53"/>
  <c r="V82" i="50"/>
  <c r="V81" i="53"/>
  <c r="V79" i="44"/>
  <c r="V69" i="8"/>
  <c r="V73" i="20"/>
  <c r="V77" i="20"/>
  <c r="V81" i="20"/>
  <c r="AM184" i="53"/>
  <c r="AL184" i="53"/>
  <c r="V85" i="76"/>
  <c r="AM170" i="76"/>
  <c r="AL170" i="76"/>
  <c r="AM174" i="76"/>
  <c r="AL174" i="76"/>
  <c r="AM178" i="76"/>
  <c r="AL178" i="76"/>
  <c r="AM182" i="76"/>
  <c r="AL182" i="76"/>
  <c r="AM186" i="76"/>
  <c r="AL186" i="76"/>
  <c r="AB214" i="14"/>
  <c r="AB215" i="14" s="1"/>
  <c r="AJ216" i="61"/>
  <c r="P272" i="61" s="1"/>
  <c r="P56" i="61" s="1"/>
  <c r="Q56" i="61" s="1"/>
  <c r="D64" i="61"/>
  <c r="AD177" i="14"/>
  <c r="AD176" i="14"/>
  <c r="AD175" i="14"/>
  <c r="AD174" i="14"/>
  <c r="AD173" i="14"/>
  <c r="AD172" i="14"/>
  <c r="AD171" i="14"/>
  <c r="AE166" i="14"/>
  <c r="AD166" i="8"/>
  <c r="AD179" i="8" s="1"/>
  <c r="AC180" i="8"/>
  <c r="AC175" i="8"/>
  <c r="AC174" i="8"/>
  <c r="AC173" i="8"/>
  <c r="AC172" i="8"/>
  <c r="AC171" i="8"/>
  <c r="AC170" i="8"/>
  <c r="AC169" i="8"/>
  <c r="AD182" i="47"/>
  <c r="AD178" i="47"/>
  <c r="AD183" i="47"/>
  <c r="AD179" i="47"/>
  <c r="AE166" i="47"/>
  <c r="AD181" i="47"/>
  <c r="AC166" i="76"/>
  <c r="AC171" i="29"/>
  <c r="AC170" i="29"/>
  <c r="AC169" i="29"/>
  <c r="AC168" i="29"/>
  <c r="AD166" i="29"/>
  <c r="AB178" i="53"/>
  <c r="AB177" i="53"/>
  <c r="AB176" i="53"/>
  <c r="AB175" i="53"/>
  <c r="AB174" i="53"/>
  <c r="AB173" i="53"/>
  <c r="AB172" i="53"/>
  <c r="AC166" i="53"/>
  <c r="AD166" i="11"/>
  <c r="AC176" i="11"/>
  <c r="AC175" i="11"/>
  <c r="AC174" i="11"/>
  <c r="AC173" i="11"/>
  <c r="AB185" i="17"/>
  <c r="AC166" i="17"/>
  <c r="AB190" i="17"/>
  <c r="AB182" i="17"/>
  <c r="AB187" i="17"/>
  <c r="AB179" i="17"/>
  <c r="AB184" i="17"/>
  <c r="AB189" i="17"/>
  <c r="AB181" i="17"/>
  <c r="AB186" i="17"/>
  <c r="AB178" i="17"/>
  <c r="AB177" i="17"/>
  <c r="AB188" i="17"/>
  <c r="AC167" i="5"/>
  <c r="AB176" i="5"/>
  <c r="AB175" i="5"/>
  <c r="AB174" i="5"/>
  <c r="AB173" i="5"/>
  <c r="AB172" i="5"/>
  <c r="AB171" i="5"/>
  <c r="AB170" i="5"/>
  <c r="AB169" i="5"/>
  <c r="AB187" i="1"/>
  <c r="AB186" i="1"/>
  <c r="AB185" i="1"/>
  <c r="AB184" i="1"/>
  <c r="AB183" i="1"/>
  <c r="AB182" i="1"/>
  <c r="AB181" i="1"/>
  <c r="AB179" i="1"/>
  <c r="AB178" i="1"/>
  <c r="AB177" i="1"/>
  <c r="AB176" i="1"/>
  <c r="AB175" i="1"/>
  <c r="AC166" i="1"/>
  <c r="V87" i="32"/>
  <c r="V83" i="32"/>
  <c r="V79" i="32"/>
  <c r="V75" i="32"/>
  <c r="V71" i="32"/>
  <c r="V86" i="32"/>
  <c r="V82" i="32"/>
  <c r="V78" i="32"/>
  <c r="V74" i="32"/>
  <c r="V70" i="32"/>
  <c r="V85" i="32"/>
  <c r="V81" i="32"/>
  <c r="V77" i="32"/>
  <c r="V69" i="32"/>
  <c r="V88" i="32"/>
  <c r="V84" i="32"/>
  <c r="V80" i="32"/>
  <c r="V76" i="32"/>
  <c r="V72" i="32"/>
  <c r="V78" i="1"/>
  <c r="BP158" i="76"/>
  <c r="BV163" i="76" s="1"/>
  <c r="BN158" i="76" s="1"/>
  <c r="BY157" i="76"/>
  <c r="BY156" i="76" s="1"/>
  <c r="V115" i="17"/>
  <c r="S59" i="17" s="1"/>
  <c r="V115" i="23"/>
  <c r="S59" i="23" s="1"/>
  <c r="V72" i="64"/>
  <c r="V80" i="64"/>
  <c r="V88" i="64"/>
  <c r="V73" i="61"/>
  <c r="V81" i="61"/>
  <c r="V74" i="53"/>
  <c r="V82" i="53"/>
  <c r="V76" i="50"/>
  <c r="V84" i="50"/>
  <c r="V69" i="38"/>
  <c r="V77" i="38"/>
  <c r="V85" i="38"/>
  <c r="V70" i="1"/>
  <c r="V79" i="1"/>
  <c r="V74" i="5"/>
  <c r="V80" i="47"/>
  <c r="V115" i="50"/>
  <c r="S59" i="50" s="1"/>
  <c r="V73" i="64"/>
  <c r="V81" i="64"/>
  <c r="V82" i="61"/>
  <c r="V75" i="53"/>
  <c r="V83" i="53"/>
  <c r="V69" i="50"/>
  <c r="V77" i="50"/>
  <c r="V85" i="50"/>
  <c r="V70" i="38"/>
  <c r="V78" i="38"/>
  <c r="V71" i="1"/>
  <c r="V81" i="1"/>
  <c r="V72" i="44"/>
  <c r="V76" i="44"/>
  <c r="V80" i="44"/>
  <c r="V84" i="44"/>
  <c r="V88" i="44"/>
  <c r="V70" i="8"/>
  <c r="V74" i="8"/>
  <c r="V78" i="8"/>
  <c r="V82" i="8"/>
  <c r="V86" i="8"/>
  <c r="V84" i="11"/>
  <c r="V87" i="41"/>
  <c r="V83" i="41"/>
  <c r="V79" i="41"/>
  <c r="V75" i="41"/>
  <c r="V71" i="41"/>
  <c r="V86" i="41"/>
  <c r="V82" i="41"/>
  <c r="V78" i="41"/>
  <c r="V74" i="41"/>
  <c r="V70" i="41"/>
  <c r="V85" i="41"/>
  <c r="V81" i="41"/>
  <c r="V77" i="41"/>
  <c r="V73" i="41"/>
  <c r="V69" i="41"/>
  <c r="V88" i="41"/>
  <c r="V84" i="41"/>
  <c r="V80" i="41"/>
  <c r="V76" i="41"/>
  <c r="V72" i="41"/>
  <c r="V76" i="11"/>
  <c r="V85" i="56"/>
  <c r="V81" i="56"/>
  <c r="V77" i="56"/>
  <c r="V73" i="56"/>
  <c r="V69" i="56"/>
  <c r="V88" i="56"/>
  <c r="V84" i="56"/>
  <c r="V80" i="56"/>
  <c r="V76" i="56"/>
  <c r="V72" i="56"/>
  <c r="V87" i="56"/>
  <c r="V83" i="56"/>
  <c r="V79" i="56"/>
  <c r="V75" i="56"/>
  <c r="V71" i="56"/>
  <c r="V86" i="56"/>
  <c r="V82" i="56"/>
  <c r="V78" i="56"/>
  <c r="V74" i="56"/>
  <c r="V70" i="56"/>
  <c r="V115" i="14"/>
  <c r="S59" i="14" s="1"/>
  <c r="V115" i="11"/>
  <c r="S59" i="11" s="1"/>
  <c r="V115" i="53"/>
  <c r="S59" i="53" s="1"/>
  <c r="V74" i="64"/>
  <c r="V82" i="64"/>
  <c r="V75" i="61"/>
  <c r="V83" i="61"/>
  <c r="V115" i="61"/>
  <c r="S59" i="61" s="1"/>
  <c r="V76" i="53"/>
  <c r="V84" i="53"/>
  <c r="V70" i="50"/>
  <c r="V78" i="50"/>
  <c r="V86" i="50"/>
  <c r="V71" i="38"/>
  <c r="V79" i="38"/>
  <c r="V87" i="38"/>
  <c r="V72" i="1"/>
  <c r="V83" i="1"/>
  <c r="V72" i="11"/>
  <c r="V88" i="47"/>
  <c r="V86" i="14"/>
  <c r="V82" i="14"/>
  <c r="V78" i="14"/>
  <c r="V74" i="14"/>
  <c r="V70" i="14"/>
  <c r="V85" i="14"/>
  <c r="V81" i="14"/>
  <c r="V77" i="14"/>
  <c r="V73" i="14"/>
  <c r="V69" i="14"/>
  <c r="V88" i="14"/>
  <c r="V84" i="14"/>
  <c r="V80" i="14"/>
  <c r="V76" i="14"/>
  <c r="V72" i="14"/>
  <c r="V87" i="14"/>
  <c r="V83" i="14"/>
  <c r="V79" i="14"/>
  <c r="V75" i="14"/>
  <c r="V71" i="14"/>
  <c r="V83" i="50"/>
  <c r="V88" i="17"/>
  <c r="V84" i="17"/>
  <c r="V80" i="17"/>
  <c r="V76" i="17"/>
  <c r="V72" i="17"/>
  <c r="V87" i="17"/>
  <c r="V83" i="17"/>
  <c r="V79" i="17"/>
  <c r="V75" i="17"/>
  <c r="V71" i="17"/>
  <c r="V86" i="17"/>
  <c r="V82" i="17"/>
  <c r="V78" i="17"/>
  <c r="V74" i="17"/>
  <c r="V70" i="17"/>
  <c r="V85" i="17"/>
  <c r="V81" i="17"/>
  <c r="V77" i="17"/>
  <c r="V73" i="17"/>
  <c r="V69" i="17"/>
  <c r="V85" i="35"/>
  <c r="V81" i="35"/>
  <c r="V77" i="35"/>
  <c r="V73" i="35"/>
  <c r="V69" i="35"/>
  <c r="V88" i="35"/>
  <c r="V84" i="35"/>
  <c r="V80" i="35"/>
  <c r="V76" i="35"/>
  <c r="V72" i="35"/>
  <c r="V87" i="35"/>
  <c r="V83" i="35"/>
  <c r="V79" i="35"/>
  <c r="V75" i="35"/>
  <c r="V71" i="35"/>
  <c r="V86" i="35"/>
  <c r="V82" i="35"/>
  <c r="V78" i="35"/>
  <c r="V74" i="35"/>
  <c r="V70" i="35"/>
  <c r="V115" i="56"/>
  <c r="S59" i="56" s="1"/>
  <c r="V86" i="5"/>
  <c r="V82" i="5"/>
  <c r="V77" i="5"/>
  <c r="V73" i="5"/>
  <c r="V69" i="5"/>
  <c r="V85" i="5"/>
  <c r="V81" i="5"/>
  <c r="V76" i="5"/>
  <c r="V72" i="5"/>
  <c r="V88" i="5"/>
  <c r="V84" i="5"/>
  <c r="V80" i="5"/>
  <c r="V75" i="5"/>
  <c r="V71" i="5"/>
  <c r="V87" i="23"/>
  <c r="V83" i="23"/>
  <c r="V79" i="23"/>
  <c r="V75" i="23"/>
  <c r="V71" i="23"/>
  <c r="V86" i="23"/>
  <c r="V82" i="23"/>
  <c r="V78" i="23"/>
  <c r="V74" i="23"/>
  <c r="V70" i="23"/>
  <c r="V85" i="23"/>
  <c r="V81" i="23"/>
  <c r="V77" i="23"/>
  <c r="V73" i="23"/>
  <c r="V69" i="23"/>
  <c r="V88" i="23"/>
  <c r="V84" i="23"/>
  <c r="V80" i="23"/>
  <c r="V76" i="23"/>
  <c r="V72" i="23"/>
  <c r="V115" i="29"/>
  <c r="S59" i="29" s="1"/>
  <c r="V115" i="47"/>
  <c r="S59" i="47" s="1"/>
  <c r="V75" i="64"/>
  <c r="V83" i="64"/>
  <c r="V115" i="64"/>
  <c r="S59" i="64" s="1"/>
  <c r="V76" i="61"/>
  <c r="V84" i="61"/>
  <c r="V69" i="53"/>
  <c r="V77" i="53"/>
  <c r="V85" i="53"/>
  <c r="V71" i="50"/>
  <c r="V79" i="50"/>
  <c r="V87" i="50"/>
  <c r="V72" i="38"/>
  <c r="V80" i="38"/>
  <c r="V88" i="38"/>
  <c r="V73" i="1"/>
  <c r="V84" i="1"/>
  <c r="V69" i="44"/>
  <c r="V73" i="44"/>
  <c r="V77" i="44"/>
  <c r="V81" i="44"/>
  <c r="V85" i="44"/>
  <c r="V71" i="8"/>
  <c r="V75" i="8"/>
  <c r="V79" i="8"/>
  <c r="V83" i="8"/>
  <c r="V87" i="8"/>
  <c r="V70" i="5"/>
  <c r="V76" i="64"/>
  <c r="V84" i="64"/>
  <c r="V69" i="61"/>
  <c r="V77" i="61"/>
  <c r="V85" i="61"/>
  <c r="V70" i="53"/>
  <c r="V78" i="53"/>
  <c r="V86" i="53"/>
  <c r="V72" i="50"/>
  <c r="V80" i="50"/>
  <c r="V88" i="50"/>
  <c r="V73" i="38"/>
  <c r="V81" i="38"/>
  <c r="V75" i="1"/>
  <c r="V115" i="26"/>
  <c r="S59" i="26" s="1"/>
  <c r="V75" i="50"/>
  <c r="V82" i="1"/>
  <c r="V74" i="1"/>
  <c r="V88" i="1"/>
  <c r="V80" i="1"/>
  <c r="V87" i="11"/>
  <c r="V83" i="11"/>
  <c r="V79" i="11"/>
  <c r="V75" i="11"/>
  <c r="V71" i="11"/>
  <c r="V86" i="11"/>
  <c r="V82" i="11"/>
  <c r="V78" i="11"/>
  <c r="V74" i="11"/>
  <c r="V70" i="11"/>
  <c r="V85" i="11"/>
  <c r="V81" i="11"/>
  <c r="V77" i="11"/>
  <c r="V73" i="11"/>
  <c r="V69" i="11"/>
  <c r="V85" i="29"/>
  <c r="V81" i="29"/>
  <c r="V77" i="29"/>
  <c r="V73" i="29"/>
  <c r="V69" i="29"/>
  <c r="V88" i="29"/>
  <c r="V84" i="29"/>
  <c r="V80" i="29"/>
  <c r="V76" i="29"/>
  <c r="V72" i="29"/>
  <c r="V87" i="29"/>
  <c r="V83" i="29"/>
  <c r="V79" i="29"/>
  <c r="V75" i="29"/>
  <c r="V71" i="29"/>
  <c r="V86" i="29"/>
  <c r="V82" i="29"/>
  <c r="V78" i="29"/>
  <c r="V74" i="29"/>
  <c r="V70" i="29"/>
  <c r="V85" i="26"/>
  <c r="V81" i="26"/>
  <c r="V77" i="26"/>
  <c r="V73" i="26"/>
  <c r="V69" i="26"/>
  <c r="V88" i="26"/>
  <c r="V84" i="26"/>
  <c r="V80" i="26"/>
  <c r="V76" i="26"/>
  <c r="V72" i="26"/>
  <c r="V87" i="26"/>
  <c r="V83" i="26"/>
  <c r="V79" i="26"/>
  <c r="V75" i="26"/>
  <c r="V71" i="26"/>
  <c r="V86" i="26"/>
  <c r="V82" i="26"/>
  <c r="V78" i="26"/>
  <c r="V74" i="26"/>
  <c r="V70" i="26"/>
  <c r="V87" i="47"/>
  <c r="V83" i="47"/>
  <c r="V79" i="47"/>
  <c r="V75" i="47"/>
  <c r="V71" i="47"/>
  <c r="V86" i="47"/>
  <c r="V82" i="47"/>
  <c r="V78" i="47"/>
  <c r="V74" i="47"/>
  <c r="V70" i="47"/>
  <c r="V85" i="47"/>
  <c r="V81" i="47"/>
  <c r="V77" i="47"/>
  <c r="V73" i="47"/>
  <c r="V69" i="47"/>
  <c r="V115" i="35"/>
  <c r="S59" i="35" s="1"/>
  <c r="V69" i="64"/>
  <c r="V77" i="64"/>
  <c r="V85" i="64"/>
  <c r="V70" i="61"/>
  <c r="V78" i="61"/>
  <c r="V86" i="61"/>
  <c r="V71" i="53"/>
  <c r="V79" i="53"/>
  <c r="V87" i="53"/>
  <c r="V73" i="50"/>
  <c r="V81" i="50"/>
  <c r="V74" i="38"/>
  <c r="V82" i="38"/>
  <c r="V76" i="1"/>
  <c r="V86" i="1"/>
  <c r="V70" i="44"/>
  <c r="V74" i="44"/>
  <c r="V78" i="44"/>
  <c r="V82" i="44"/>
  <c r="V115" i="44"/>
  <c r="S59" i="44" s="1"/>
  <c r="V72" i="8"/>
  <c r="V76" i="8"/>
  <c r="V80" i="8"/>
  <c r="V84" i="8"/>
  <c r="V79" i="5"/>
  <c r="V84" i="47"/>
  <c r="V115" i="41"/>
  <c r="S59" i="41" s="1"/>
  <c r="V70" i="64"/>
  <c r="V78" i="64"/>
  <c r="V71" i="61"/>
  <c r="V79" i="61"/>
  <c r="V72" i="53"/>
  <c r="V80" i="53"/>
  <c r="V74" i="50"/>
  <c r="V75" i="38"/>
  <c r="V115" i="38"/>
  <c r="S59" i="38" s="1"/>
  <c r="V77" i="1"/>
  <c r="V87" i="1"/>
  <c r="V88" i="11"/>
  <c r="V72" i="47"/>
  <c r="W182" i="76"/>
  <c r="X182" i="76" s="1"/>
  <c r="G267" i="76"/>
  <c r="W191" i="76"/>
  <c r="X191" i="76" s="1"/>
  <c r="V71" i="76"/>
  <c r="G115" i="76"/>
  <c r="G49" i="76" s="1"/>
  <c r="V75" i="76"/>
  <c r="AG166" i="20"/>
  <c r="AH166" i="20" s="1"/>
  <c r="AI166" i="20" s="1"/>
  <c r="AJ166" i="20" s="1"/>
  <c r="AK166" i="20" s="1"/>
  <c r="BO166" i="76"/>
  <c r="BH166" i="76"/>
  <c r="Z216" i="76" s="1"/>
  <c r="BY160" i="76"/>
  <c r="H84" i="76"/>
  <c r="V84" i="76"/>
  <c r="BK166" i="76"/>
  <c r="BM166" i="76"/>
  <c r="H265" i="76"/>
  <c r="H257" i="76"/>
  <c r="H249" i="76"/>
  <c r="H241" i="76"/>
  <c r="H233" i="76"/>
  <c r="H221" i="76"/>
  <c r="H262" i="76"/>
  <c r="H254" i="76"/>
  <c r="H246" i="76"/>
  <c r="H238" i="76"/>
  <c r="H230" i="76"/>
  <c r="H259" i="76"/>
  <c r="H251" i="76"/>
  <c r="H264" i="76"/>
  <c r="H256" i="76"/>
  <c r="H248" i="76"/>
  <c r="H240" i="76"/>
  <c r="H232" i="76"/>
  <c r="H220" i="76"/>
  <c r="H261" i="76"/>
  <c r="H253" i="76"/>
  <c r="H245" i="76"/>
  <c r="H237" i="76"/>
  <c r="H229" i="76"/>
  <c r="H225" i="76"/>
  <c r="H258" i="76"/>
  <c r="H250" i="76"/>
  <c r="H242" i="76"/>
  <c r="H234" i="76"/>
  <c r="H222" i="76"/>
  <c r="H263" i="76"/>
  <c r="H255" i="76"/>
  <c r="H247" i="76"/>
  <c r="H239" i="76"/>
  <c r="H231" i="76"/>
  <c r="H208" i="76"/>
  <c r="H206" i="76"/>
  <c r="H204" i="76"/>
  <c r="H205" i="76"/>
  <c r="H207" i="76"/>
  <c r="H260" i="76"/>
  <c r="H209" i="76"/>
  <c r="H243" i="76"/>
  <c r="H236" i="76"/>
  <c r="H227" i="76"/>
  <c r="H223" i="76"/>
  <c r="H202" i="76"/>
  <c r="H200" i="76"/>
  <c r="H198" i="76"/>
  <c r="H196" i="76"/>
  <c r="H194" i="76"/>
  <c r="H192" i="76"/>
  <c r="H190" i="76"/>
  <c r="H188" i="76"/>
  <c r="H186" i="76"/>
  <c r="H184" i="76"/>
  <c r="H182" i="76"/>
  <c r="H180" i="76"/>
  <c r="H178" i="76"/>
  <c r="H177" i="76"/>
  <c r="H252" i="76"/>
  <c r="H174" i="76"/>
  <c r="H176" i="76"/>
  <c r="H228" i="76"/>
  <c r="H193" i="76"/>
  <c r="H181" i="76"/>
  <c r="H171" i="76"/>
  <c r="H179" i="76"/>
  <c r="H189" i="76"/>
  <c r="H226" i="76"/>
  <c r="H185" i="76"/>
  <c r="H173" i="76"/>
  <c r="H170" i="76"/>
  <c r="H87" i="76"/>
  <c r="H79" i="76"/>
  <c r="H244" i="76"/>
  <c r="H191" i="76"/>
  <c r="H172" i="76"/>
  <c r="H167" i="76"/>
  <c r="H85" i="76"/>
  <c r="H77" i="76"/>
  <c r="H224" i="76"/>
  <c r="H175" i="76"/>
  <c r="H169" i="76"/>
  <c r="H88" i="76"/>
  <c r="H80" i="76"/>
  <c r="H75" i="76"/>
  <c r="H83" i="76"/>
  <c r="H168" i="76"/>
  <c r="H72" i="76"/>
  <c r="H76" i="76"/>
  <c r="V76" i="76"/>
  <c r="V88" i="76"/>
  <c r="V80" i="76"/>
  <c r="V72" i="76"/>
  <c r="V86" i="76"/>
  <c r="V78" i="76"/>
  <c r="V81" i="76"/>
  <c r="H69" i="76"/>
  <c r="V70" i="76"/>
  <c r="H73" i="76"/>
  <c r="V77" i="76"/>
  <c r="BI166" i="76"/>
  <c r="H199" i="76"/>
  <c r="V73" i="76"/>
  <c r="H86" i="76"/>
  <c r="V87" i="76"/>
  <c r="BN166" i="76"/>
  <c r="H71" i="76"/>
  <c r="H78" i="76"/>
  <c r="V79" i="76"/>
  <c r="H197" i="76"/>
  <c r="V69" i="76"/>
  <c r="H74" i="76"/>
  <c r="V74" i="76"/>
  <c r="H81" i="76"/>
  <c r="V82" i="76"/>
  <c r="BJ166" i="76"/>
  <c r="H235" i="76"/>
  <c r="H82" i="76"/>
  <c r="V83" i="76"/>
  <c r="H183" i="76"/>
  <c r="H187" i="76"/>
  <c r="H195" i="76"/>
  <c r="H203" i="76"/>
  <c r="G214" i="76"/>
  <c r="CI169" i="76"/>
  <c r="CE177" i="76" s="1"/>
  <c r="W171" i="76"/>
  <c r="X171" i="76" s="1"/>
  <c r="CI172" i="76"/>
  <c r="CE174" i="76" s="1"/>
  <c r="CI173" i="76"/>
  <c r="CE173" i="76" s="1"/>
  <c r="W175" i="76"/>
  <c r="X175" i="76" s="1"/>
  <c r="CJ177" i="76"/>
  <c r="CF169" i="76" s="1"/>
  <c r="W178" i="76"/>
  <c r="X178" i="76" s="1"/>
  <c r="W190" i="76"/>
  <c r="X190" i="76" s="1"/>
  <c r="BP157" i="76"/>
  <c r="BV158" i="76" s="1"/>
  <c r="BN157" i="76" s="1"/>
  <c r="W168" i="76"/>
  <c r="X168" i="76" s="1"/>
  <c r="CJ169" i="76"/>
  <c r="CF177" i="76" s="1"/>
  <c r="CJ172" i="76"/>
  <c r="CF174" i="76" s="1"/>
  <c r="CJ173" i="76"/>
  <c r="CF173" i="76" s="1"/>
  <c r="CI175" i="76"/>
  <c r="CE171" i="76" s="1"/>
  <c r="W185" i="76"/>
  <c r="X185" i="76" s="1"/>
  <c r="AA225" i="76"/>
  <c r="AA226" i="76" s="1"/>
  <c r="W169" i="76"/>
  <c r="X169" i="76" s="1"/>
  <c r="CJ175" i="76"/>
  <c r="CF171" i="76" s="1"/>
  <c r="CJ176" i="76"/>
  <c r="CF170" i="76" s="1"/>
  <c r="W177" i="76"/>
  <c r="X177" i="76" s="1"/>
  <c r="W189" i="76"/>
  <c r="X189" i="76" s="1"/>
  <c r="W167" i="76"/>
  <c r="X167" i="76" s="1"/>
  <c r="AB225" i="76"/>
  <c r="AB226" i="76" s="1"/>
  <c r="CI170" i="76"/>
  <c r="CE176" i="76" s="1"/>
  <c r="W172" i="76"/>
  <c r="X172" i="76" s="1"/>
  <c r="W174" i="76"/>
  <c r="X174" i="76" s="1"/>
  <c r="W179" i="76"/>
  <c r="X179" i="76" s="1"/>
  <c r="W184" i="76"/>
  <c r="X184" i="76" s="1"/>
  <c r="W188" i="76"/>
  <c r="X188" i="76" s="1"/>
  <c r="W173" i="76"/>
  <c r="X173" i="76" s="1"/>
  <c r="W209" i="76"/>
  <c r="X209" i="76" s="1"/>
  <c r="W207" i="76"/>
  <c r="X207" i="76" s="1"/>
  <c r="W205" i="76"/>
  <c r="X205" i="76" s="1"/>
  <c r="W203" i="76"/>
  <c r="X203" i="76" s="1"/>
  <c r="W208" i="76"/>
  <c r="X208" i="76" s="1"/>
  <c r="W206" i="76"/>
  <c r="X206" i="76" s="1"/>
  <c r="W204" i="76"/>
  <c r="X204" i="76" s="1"/>
  <c r="W211" i="76"/>
  <c r="X211" i="76" s="1"/>
  <c r="W202" i="76"/>
  <c r="X202" i="76" s="1"/>
  <c r="W200" i="76"/>
  <c r="X200" i="76" s="1"/>
  <c r="W198" i="76"/>
  <c r="X198" i="76" s="1"/>
  <c r="W196" i="76"/>
  <c r="X196" i="76" s="1"/>
  <c r="W194" i="76"/>
  <c r="X194" i="76" s="1"/>
  <c r="W176" i="76"/>
  <c r="X176" i="76" s="1"/>
  <c r="W201" i="76"/>
  <c r="X201" i="76" s="1"/>
  <c r="W199" i="76"/>
  <c r="X199" i="76" s="1"/>
  <c r="W197" i="76"/>
  <c r="X197" i="76" s="1"/>
  <c r="W195" i="76"/>
  <c r="X195" i="76" s="1"/>
  <c r="W193" i="76"/>
  <c r="X193" i="76" s="1"/>
  <c r="CI174" i="76"/>
  <c r="CE172" i="76" s="1"/>
  <c r="CI177" i="76"/>
  <c r="CE169" i="76" s="1"/>
  <c r="CI176" i="76"/>
  <c r="CE170" i="76" s="1"/>
  <c r="W170" i="76"/>
  <c r="X170" i="76" s="1"/>
  <c r="W183" i="76"/>
  <c r="X183" i="76" s="1"/>
  <c r="W187" i="76"/>
  <c r="X187" i="76" s="1"/>
  <c r="W192" i="76"/>
  <c r="X192" i="76" s="1"/>
  <c r="W210" i="76"/>
  <c r="X210" i="76" s="1"/>
  <c r="CI171" i="76"/>
  <c r="CE175" i="76" s="1"/>
  <c r="CJ174" i="76"/>
  <c r="CF172" i="76" s="1"/>
  <c r="W180" i="76"/>
  <c r="X180" i="76" s="1"/>
  <c r="G56" i="64" l="1"/>
  <c r="H170" i="59"/>
  <c r="H56" i="64"/>
  <c r="I170" i="59"/>
  <c r="L66" i="64"/>
  <c r="L166" i="64"/>
  <c r="AA179" i="76"/>
  <c r="AA172" i="76"/>
  <c r="AA178" i="76"/>
  <c r="AA173" i="76"/>
  <c r="AA177" i="76"/>
  <c r="AA174" i="76"/>
  <c r="AA176" i="76"/>
  <c r="AA175" i="76"/>
  <c r="AA168" i="76"/>
  <c r="AA169" i="76"/>
  <c r="AA170" i="76"/>
  <c r="AA171" i="76"/>
  <c r="AB214" i="35"/>
  <c r="AB215" i="35" s="1"/>
  <c r="AB216" i="35" s="1"/>
  <c r="AD166" i="38"/>
  <c r="AC172" i="38"/>
  <c r="AC175" i="38"/>
  <c r="AC178" i="38"/>
  <c r="AC176" i="38"/>
  <c r="AC180" i="38"/>
  <c r="AC177" i="38"/>
  <c r="AC168" i="38"/>
  <c r="AC171" i="38"/>
  <c r="AC170" i="38"/>
  <c r="AC173" i="38"/>
  <c r="AC179" i="38"/>
  <c r="AC169" i="38"/>
  <c r="AD166" i="35"/>
  <c r="AC171" i="35"/>
  <c r="AC168" i="35"/>
  <c r="AC169" i="35"/>
  <c r="AC172" i="35"/>
  <c r="AC170" i="35"/>
  <c r="AC173" i="35"/>
  <c r="J79" i="38"/>
  <c r="J80" i="38"/>
  <c r="J81" i="38"/>
  <c r="J78" i="38"/>
  <c r="J80" i="41"/>
  <c r="J82" i="41"/>
  <c r="J79" i="41"/>
  <c r="J81" i="41"/>
  <c r="J84" i="41"/>
  <c r="J78" i="41"/>
  <c r="J83" i="41"/>
  <c r="AA216" i="14"/>
  <c r="G272" i="14" s="1"/>
  <c r="G56" i="14" s="1"/>
  <c r="AB216" i="14"/>
  <c r="H272" i="14" s="1"/>
  <c r="H56" i="14" s="1"/>
  <c r="AA216" i="29"/>
  <c r="G272" i="29" s="1"/>
  <c r="G56" i="29" s="1"/>
  <c r="AB216" i="29"/>
  <c r="H272" i="29" s="1"/>
  <c r="H56" i="29" s="1"/>
  <c r="AA217" i="5"/>
  <c r="G273" i="5" s="1"/>
  <c r="G56" i="5" s="1"/>
  <c r="J78" i="5"/>
  <c r="K66" i="1"/>
  <c r="J69" i="1"/>
  <c r="AD181" i="32"/>
  <c r="AD183" i="32"/>
  <c r="S61" i="61"/>
  <c r="AD182" i="32"/>
  <c r="AE166" i="32"/>
  <c r="AE183" i="32" s="1"/>
  <c r="AD179" i="32"/>
  <c r="AC214" i="14"/>
  <c r="AC215" i="14" s="1"/>
  <c r="U115" i="8"/>
  <c r="S60" i="8" s="1"/>
  <c r="U116" i="5"/>
  <c r="S60" i="5" s="1"/>
  <c r="U115" i="1"/>
  <c r="S60" i="1" s="1"/>
  <c r="U115" i="14"/>
  <c r="S60" i="14" s="1"/>
  <c r="U115" i="76"/>
  <c r="S60" i="76" s="1"/>
  <c r="U115" i="20"/>
  <c r="S60" i="20" s="1"/>
  <c r="U115" i="53"/>
  <c r="U115" i="11"/>
  <c r="S60" i="11" s="1"/>
  <c r="U115" i="17"/>
  <c r="S60" i="17" s="1"/>
  <c r="G96" i="72"/>
  <c r="G158" i="59"/>
  <c r="G99" i="72"/>
  <c r="G161" i="59"/>
  <c r="G103" i="72"/>
  <c r="G165" i="59"/>
  <c r="AC214" i="29"/>
  <c r="AC215" i="29" s="1"/>
  <c r="G109" i="72"/>
  <c r="G107" i="72"/>
  <c r="G108" i="72"/>
  <c r="G169" i="59"/>
  <c r="AB178" i="76"/>
  <c r="AB174" i="76"/>
  <c r="AB168" i="76"/>
  <c r="AB175" i="76"/>
  <c r="AB169" i="76"/>
  <c r="AB176" i="76"/>
  <c r="AL214" i="76"/>
  <c r="AB170" i="76"/>
  <c r="AB177" i="76"/>
  <c r="AM214" i="76"/>
  <c r="F272" i="76"/>
  <c r="F56" i="76" s="1"/>
  <c r="C65" i="76"/>
  <c r="AB171" i="76"/>
  <c r="Z210" i="76"/>
  <c r="Y210" i="76" s="1"/>
  <c r="Z202" i="76"/>
  <c r="Y202" i="76" s="1"/>
  <c r="Z194" i="76"/>
  <c r="Y194" i="76" s="1"/>
  <c r="Z186" i="76"/>
  <c r="Y186" i="76" s="1"/>
  <c r="Z176" i="76"/>
  <c r="Y176" i="76" s="1"/>
  <c r="Z174" i="76"/>
  <c r="Y174" i="76" s="1"/>
  <c r="Z213" i="76"/>
  <c r="Y213" i="76" s="1"/>
  <c r="Z205" i="76"/>
  <c r="Y205" i="76" s="1"/>
  <c r="Z197" i="76"/>
  <c r="Y197" i="76" s="1"/>
  <c r="Z189" i="76"/>
  <c r="Y189" i="76" s="1"/>
  <c r="Z171" i="76"/>
  <c r="Y171" i="76" s="1"/>
  <c r="Z208" i="76"/>
  <c r="Y208" i="76" s="1"/>
  <c r="Z200" i="76"/>
  <c r="Y200" i="76" s="1"/>
  <c r="Z192" i="76"/>
  <c r="Y192" i="76" s="1"/>
  <c r="Z184" i="76"/>
  <c r="Y184" i="76" s="1"/>
  <c r="Z178" i="76"/>
  <c r="Y178" i="76" s="1"/>
  <c r="Z168" i="76"/>
  <c r="Y168" i="76" s="1"/>
  <c r="Z211" i="76"/>
  <c r="Y211" i="76" s="1"/>
  <c r="Z203" i="76"/>
  <c r="Y203" i="76" s="1"/>
  <c r="Z195" i="76"/>
  <c r="Y195" i="76" s="1"/>
  <c r="Z187" i="76"/>
  <c r="Y187" i="76" s="1"/>
  <c r="Z173" i="76"/>
  <c r="Y173" i="76" s="1"/>
  <c r="Z206" i="76"/>
  <c r="Y206" i="76" s="1"/>
  <c r="Z198" i="76"/>
  <c r="Y198" i="76" s="1"/>
  <c r="Z190" i="76"/>
  <c r="Y190" i="76" s="1"/>
  <c r="Z182" i="76"/>
  <c r="Y182" i="76" s="1"/>
  <c r="Z180" i="76"/>
  <c r="Y180" i="76" s="1"/>
  <c r="Z175" i="76"/>
  <c r="Y175" i="76" s="1"/>
  <c r="Z170" i="76"/>
  <c r="Y170" i="76" s="1"/>
  <c r="Z209" i="76"/>
  <c r="Y209" i="76" s="1"/>
  <c r="Z201" i="76"/>
  <c r="Y201" i="76" s="1"/>
  <c r="Z193" i="76"/>
  <c r="Y193" i="76" s="1"/>
  <c r="Z185" i="76"/>
  <c r="Y185" i="76" s="1"/>
  <c r="Z177" i="76"/>
  <c r="Y177" i="76" s="1"/>
  <c r="Z212" i="76"/>
  <c r="Y212" i="76" s="1"/>
  <c r="Z204" i="76"/>
  <c r="Y204" i="76" s="1"/>
  <c r="Z196" i="76"/>
  <c r="Y196" i="76" s="1"/>
  <c r="Z188" i="76"/>
  <c r="Y188" i="76" s="1"/>
  <c r="Z172" i="76"/>
  <c r="Y172" i="76" s="1"/>
  <c r="Z169" i="76"/>
  <c r="Y169" i="76" s="1"/>
  <c r="Z181" i="76"/>
  <c r="Y181" i="76" s="1"/>
  <c r="Z207" i="76"/>
  <c r="Y207" i="76" s="1"/>
  <c r="Z199" i="76"/>
  <c r="Y199" i="76" s="1"/>
  <c r="Z179" i="76"/>
  <c r="Y179" i="76" s="1"/>
  <c r="Z191" i="76"/>
  <c r="Y191" i="76" s="1"/>
  <c r="Z167" i="76"/>
  <c r="Y167" i="76" s="1"/>
  <c r="Z183" i="76"/>
  <c r="Y183" i="76" s="1"/>
  <c r="AB172" i="76"/>
  <c r="AB179" i="76"/>
  <c r="AB173" i="76"/>
  <c r="AB181" i="76"/>
  <c r="AC187" i="1"/>
  <c r="AC186" i="1"/>
  <c r="AC185" i="1"/>
  <c r="AC184" i="1"/>
  <c r="AC183" i="1"/>
  <c r="AC182" i="1"/>
  <c r="AD166" i="1"/>
  <c r="AD176" i="11"/>
  <c r="AD175" i="11"/>
  <c r="AD173" i="11"/>
  <c r="AE166" i="11"/>
  <c r="AD166" i="53"/>
  <c r="AC178" i="53"/>
  <c r="AC177" i="53"/>
  <c r="AC176" i="53"/>
  <c r="AC175" i="53"/>
  <c r="AD180" i="8"/>
  <c r="AD175" i="8"/>
  <c r="AD174" i="8"/>
  <c r="AD173" i="8"/>
  <c r="AD172" i="8"/>
  <c r="AD171" i="8"/>
  <c r="AD170" i="8"/>
  <c r="AD169" i="8"/>
  <c r="AE166" i="8"/>
  <c r="AE179" i="8" s="1"/>
  <c r="AE177" i="14"/>
  <c r="AE175" i="14"/>
  <c r="AE174" i="14"/>
  <c r="AF166" i="14"/>
  <c r="AE176" i="14"/>
  <c r="AE173" i="14"/>
  <c r="AC181" i="76"/>
  <c r="AC179" i="76"/>
  <c r="AC178" i="76"/>
  <c r="AC177" i="76"/>
  <c r="AC176" i="76"/>
  <c r="AC175" i="76"/>
  <c r="AD166" i="76"/>
  <c r="AC174" i="76"/>
  <c r="AC173" i="76"/>
  <c r="AC172" i="76"/>
  <c r="AC171" i="76"/>
  <c r="AC170" i="76"/>
  <c r="AC169" i="76"/>
  <c r="AC168" i="76"/>
  <c r="R126" i="76"/>
  <c r="AD171" i="29"/>
  <c r="AD170" i="29"/>
  <c r="AD169" i="29"/>
  <c r="AD168" i="29"/>
  <c r="AE166" i="29"/>
  <c r="AC176" i="5"/>
  <c r="AC175" i="5"/>
  <c r="AC174" i="5"/>
  <c r="AC173" i="5"/>
  <c r="AC172" i="5"/>
  <c r="AC171" i="5"/>
  <c r="AC170" i="5"/>
  <c r="AC169" i="5"/>
  <c r="AD167" i="5"/>
  <c r="AC190" i="17"/>
  <c r="AC189" i="17"/>
  <c r="AC188" i="17"/>
  <c r="AC187" i="17"/>
  <c r="AC186" i="17"/>
  <c r="AC185" i="17"/>
  <c r="AC184" i="17"/>
  <c r="AC179" i="17"/>
  <c r="AC178" i="17"/>
  <c r="AC177" i="17"/>
  <c r="AD166" i="17"/>
  <c r="AE183" i="47"/>
  <c r="AE182" i="47"/>
  <c r="AE181" i="47"/>
  <c r="AE179" i="47"/>
  <c r="AE178" i="47"/>
  <c r="AF166" i="47"/>
  <c r="BZ161" i="76"/>
  <c r="S123" i="76" s="1"/>
  <c r="H267" i="76"/>
  <c r="H115" i="76"/>
  <c r="H49" i="76" s="1"/>
  <c r="BV164" i="76"/>
  <c r="BG167" i="76"/>
  <c r="BV157" i="76"/>
  <c r="X214" i="76"/>
  <c r="H214" i="76"/>
  <c r="I262" i="76"/>
  <c r="I254" i="76"/>
  <c r="I246" i="76"/>
  <c r="I238" i="76"/>
  <c r="I230" i="76"/>
  <c r="I259" i="76"/>
  <c r="I251" i="76"/>
  <c r="I243" i="76"/>
  <c r="I235" i="76"/>
  <c r="I227" i="76"/>
  <c r="I223" i="76"/>
  <c r="I264" i="76"/>
  <c r="I256" i="76"/>
  <c r="I248" i="76"/>
  <c r="I261" i="76"/>
  <c r="I253" i="76"/>
  <c r="I245" i="76"/>
  <c r="I237" i="76"/>
  <c r="I229" i="76"/>
  <c r="I225" i="76"/>
  <c r="I258" i="76"/>
  <c r="I250" i="76"/>
  <c r="I242" i="76"/>
  <c r="I234" i="76"/>
  <c r="I222" i="76"/>
  <c r="I263" i="76"/>
  <c r="I255" i="76"/>
  <c r="I247" i="76"/>
  <c r="I239" i="76"/>
  <c r="I231" i="76"/>
  <c r="I208" i="76"/>
  <c r="I206" i="76"/>
  <c r="I204" i="76"/>
  <c r="I260" i="76"/>
  <c r="I252" i="76"/>
  <c r="I244" i="76"/>
  <c r="I236" i="76"/>
  <c r="I228" i="76"/>
  <c r="I226" i="76"/>
  <c r="I224" i="76"/>
  <c r="I207" i="76"/>
  <c r="I257" i="76"/>
  <c r="I209" i="76"/>
  <c r="I241" i="76"/>
  <c r="I232" i="76"/>
  <c r="I221" i="76"/>
  <c r="I202" i="76"/>
  <c r="I200" i="76"/>
  <c r="I198" i="76"/>
  <c r="I196" i="76"/>
  <c r="I194" i="76"/>
  <c r="I249" i="76"/>
  <c r="I240" i="76"/>
  <c r="I233" i="76"/>
  <c r="I220" i="76"/>
  <c r="I203" i="76"/>
  <c r="I201" i="76"/>
  <c r="I199" i="76"/>
  <c r="I197" i="76"/>
  <c r="I195" i="76"/>
  <c r="I193" i="76"/>
  <c r="I191" i="76"/>
  <c r="I189" i="76"/>
  <c r="I187" i="76"/>
  <c r="I185" i="76"/>
  <c r="I183" i="76"/>
  <c r="I181" i="76"/>
  <c r="I179" i="76"/>
  <c r="I205" i="76"/>
  <c r="I188" i="76"/>
  <c r="I184" i="76"/>
  <c r="I177" i="76"/>
  <c r="I176" i="76"/>
  <c r="I173" i="76"/>
  <c r="I170" i="76"/>
  <c r="I265" i="76"/>
  <c r="I174" i="76"/>
  <c r="I82" i="76"/>
  <c r="I74" i="76"/>
  <c r="I190" i="76"/>
  <c r="I178" i="76"/>
  <c r="I172" i="76"/>
  <c r="I167" i="76"/>
  <c r="I186" i="76"/>
  <c r="I182" i="76"/>
  <c r="I175" i="76"/>
  <c r="I169" i="76"/>
  <c r="I88" i="76"/>
  <c r="I80" i="76"/>
  <c r="I72" i="76"/>
  <c r="I180" i="76"/>
  <c r="I168" i="76"/>
  <c r="I83" i="76"/>
  <c r="I81" i="76"/>
  <c r="I79" i="76"/>
  <c r="I78" i="76"/>
  <c r="I71" i="76"/>
  <c r="I87" i="76"/>
  <c r="I86" i="76"/>
  <c r="I77" i="76"/>
  <c r="I73" i="76"/>
  <c r="I69" i="76"/>
  <c r="I85" i="76"/>
  <c r="I76" i="76"/>
  <c r="I84" i="76"/>
  <c r="I192" i="76"/>
  <c r="I171" i="76"/>
  <c r="I75" i="76"/>
  <c r="I70" i="76"/>
  <c r="M66" i="64" l="1"/>
  <c r="M166" i="64"/>
  <c r="AA214" i="76"/>
  <c r="AA215" i="76" s="1"/>
  <c r="AA216" i="76" s="1"/>
  <c r="G272" i="76" s="1"/>
  <c r="G56" i="76" s="1"/>
  <c r="AC214" i="35"/>
  <c r="AC215" i="35" s="1"/>
  <c r="AC216" i="35" s="1"/>
  <c r="AE166" i="38"/>
  <c r="AD175" i="38"/>
  <c r="AD176" i="38"/>
  <c r="AD180" i="38"/>
  <c r="AD179" i="38"/>
  <c r="AE166" i="35"/>
  <c r="AD173" i="35"/>
  <c r="K84" i="41"/>
  <c r="K78" i="41"/>
  <c r="K83" i="41"/>
  <c r="K80" i="41"/>
  <c r="K82" i="41"/>
  <c r="K79" i="41"/>
  <c r="K81" i="41"/>
  <c r="K79" i="38"/>
  <c r="K80" i="38"/>
  <c r="K81" i="38"/>
  <c r="K78" i="38"/>
  <c r="AC216" i="14"/>
  <c r="I272" i="14" s="1"/>
  <c r="I56" i="14" s="1"/>
  <c r="S58" i="76"/>
  <c r="AC216" i="29"/>
  <c r="I272" i="29" s="1"/>
  <c r="I56" i="29" s="1"/>
  <c r="K78" i="5"/>
  <c r="L66" i="1"/>
  <c r="K69" i="1"/>
  <c r="AF166" i="32"/>
  <c r="AF179" i="32" s="1"/>
  <c r="AE179" i="32"/>
  <c r="AE180" i="32"/>
  <c r="AE181" i="32"/>
  <c r="AE182" i="32"/>
  <c r="AD214" i="29"/>
  <c r="AD215" i="29" s="1"/>
  <c r="S120" i="76"/>
  <c r="AB214" i="76"/>
  <c r="AB215" i="76" s="1"/>
  <c r="AB216" i="76" s="1"/>
  <c r="H272" i="76" s="1"/>
  <c r="H56" i="76" s="1"/>
  <c r="AE171" i="29"/>
  <c r="AE170" i="29"/>
  <c r="AE169" i="29"/>
  <c r="AE168" i="29"/>
  <c r="AF166" i="29"/>
  <c r="AC214" i="76"/>
  <c r="AC215" i="76" s="1"/>
  <c r="AC216" i="76" s="1"/>
  <c r="I272" i="76" s="1"/>
  <c r="I56" i="76" s="1"/>
  <c r="AD187" i="1"/>
  <c r="AD186" i="1"/>
  <c r="AD185" i="1"/>
  <c r="AD184" i="1"/>
  <c r="AD183" i="1"/>
  <c r="AD182" i="1"/>
  <c r="AE166" i="1"/>
  <c r="AE176" i="11"/>
  <c r="AE175" i="11"/>
  <c r="AE173" i="11"/>
  <c r="AF166" i="11"/>
  <c r="AF177" i="14"/>
  <c r="AF176" i="14"/>
  <c r="AF175" i="14"/>
  <c r="AF174" i="14"/>
  <c r="AF173" i="14"/>
  <c r="AG166" i="14"/>
  <c r="AF183" i="47"/>
  <c r="AF182" i="47"/>
  <c r="AF181" i="47"/>
  <c r="AF179" i="47"/>
  <c r="AG166" i="47"/>
  <c r="AD190" i="17"/>
  <c r="AD187" i="17"/>
  <c r="AD179" i="17"/>
  <c r="AD184" i="17"/>
  <c r="AD189" i="17"/>
  <c r="AD177" i="17"/>
  <c r="AD186" i="17"/>
  <c r="AD178" i="17"/>
  <c r="AD188" i="17"/>
  <c r="AE166" i="17"/>
  <c r="AD185" i="17"/>
  <c r="AF166" i="8"/>
  <c r="AF179" i="8" s="1"/>
  <c r="AE180" i="8"/>
  <c r="AE169" i="8"/>
  <c r="AE172" i="8"/>
  <c r="AE173" i="8"/>
  <c r="AE174" i="8"/>
  <c r="AE175" i="8"/>
  <c r="AE167" i="5"/>
  <c r="AD173" i="5"/>
  <c r="AD174" i="5"/>
  <c r="AD175" i="5"/>
  <c r="AD176" i="5"/>
  <c r="AD175" i="76"/>
  <c r="AE166" i="76"/>
  <c r="AD176" i="76"/>
  <c r="AD181" i="76"/>
  <c r="AD177" i="76"/>
  <c r="AD179" i="76"/>
  <c r="AD173" i="76"/>
  <c r="AD169" i="76"/>
  <c r="AD174" i="76"/>
  <c r="AD170" i="76"/>
  <c r="AD178" i="76"/>
  <c r="AD171" i="76"/>
  <c r="AD172" i="76"/>
  <c r="AD168" i="76"/>
  <c r="R127" i="76"/>
  <c r="AE166" i="53"/>
  <c r="AD178" i="53"/>
  <c r="AD177" i="53"/>
  <c r="I115" i="76"/>
  <c r="I49" i="76" s="1"/>
  <c r="I267" i="76"/>
  <c r="J259" i="76"/>
  <c r="J251" i="76"/>
  <c r="J243" i="76"/>
  <c r="J235" i="76"/>
  <c r="J227" i="76"/>
  <c r="J223" i="76"/>
  <c r="J209" i="76"/>
  <c r="J207" i="76"/>
  <c r="J205" i="76"/>
  <c r="J203" i="76"/>
  <c r="J264" i="76"/>
  <c r="J256" i="76"/>
  <c r="J248" i="76"/>
  <c r="J240" i="76"/>
  <c r="J232" i="76"/>
  <c r="J220" i="76"/>
  <c r="J261" i="76"/>
  <c r="J253" i="76"/>
  <c r="J245" i="76"/>
  <c r="J258" i="76"/>
  <c r="J250" i="76"/>
  <c r="J242" i="76"/>
  <c r="J234" i="76"/>
  <c r="J222" i="76"/>
  <c r="J263" i="76"/>
  <c r="J255" i="76"/>
  <c r="J247" i="76"/>
  <c r="J239" i="76"/>
  <c r="J231" i="76"/>
  <c r="J208" i="76"/>
  <c r="J206" i="76"/>
  <c r="J204" i="76"/>
  <c r="J260" i="76"/>
  <c r="J252" i="76"/>
  <c r="J244" i="76"/>
  <c r="J236" i="76"/>
  <c r="J228" i="76"/>
  <c r="J226" i="76"/>
  <c r="J224" i="76"/>
  <c r="J265" i="76"/>
  <c r="J257" i="76"/>
  <c r="J249" i="76"/>
  <c r="J241" i="76"/>
  <c r="J233" i="76"/>
  <c r="J221" i="76"/>
  <c r="J230" i="76"/>
  <c r="J246" i="76"/>
  <c r="J202" i="76"/>
  <c r="J200" i="76"/>
  <c r="J198" i="76"/>
  <c r="J196" i="76"/>
  <c r="J194" i="76"/>
  <c r="J229" i="76"/>
  <c r="J225" i="76"/>
  <c r="J238" i="76"/>
  <c r="J176" i="76"/>
  <c r="J262" i="76"/>
  <c r="J201" i="76"/>
  <c r="J199" i="76"/>
  <c r="J197" i="76"/>
  <c r="J195" i="76"/>
  <c r="J193" i="76"/>
  <c r="J254" i="76"/>
  <c r="J188" i="76"/>
  <c r="J184" i="76"/>
  <c r="J179" i="76"/>
  <c r="J189" i="76"/>
  <c r="J177" i="76"/>
  <c r="J173" i="76"/>
  <c r="J170" i="76"/>
  <c r="J185" i="76"/>
  <c r="J174" i="76"/>
  <c r="J190" i="76"/>
  <c r="J178" i="76"/>
  <c r="J172" i="76"/>
  <c r="J167" i="76"/>
  <c r="J85" i="76"/>
  <c r="J77" i="76"/>
  <c r="J237" i="76"/>
  <c r="J191" i="76"/>
  <c r="J186" i="76"/>
  <c r="J182" i="76"/>
  <c r="J175" i="76"/>
  <c r="J169" i="76"/>
  <c r="J180" i="76"/>
  <c r="J168" i="76"/>
  <c r="J83" i="76"/>
  <c r="J75" i="76"/>
  <c r="J192" i="76"/>
  <c r="J187" i="76"/>
  <c r="J183" i="76"/>
  <c r="J171" i="76"/>
  <c r="J86" i="76"/>
  <c r="J78" i="76"/>
  <c r="J80" i="76"/>
  <c r="J79" i="76"/>
  <c r="J74" i="76"/>
  <c r="J71" i="76"/>
  <c r="J88" i="76"/>
  <c r="J87" i="76"/>
  <c r="J73" i="76"/>
  <c r="J69" i="76"/>
  <c r="J76" i="76"/>
  <c r="J181" i="76"/>
  <c r="J84" i="76"/>
  <c r="J72" i="76"/>
  <c r="J70" i="76"/>
  <c r="J82" i="76"/>
  <c r="J81" i="76"/>
  <c r="I214" i="76"/>
  <c r="N66" i="64" l="1"/>
  <c r="N166" i="64"/>
  <c r="S124" i="76"/>
  <c r="AF166" i="38"/>
  <c r="AE179" i="38"/>
  <c r="AE175" i="38"/>
  <c r="AE176" i="38"/>
  <c r="AE180" i="38"/>
  <c r="AF166" i="35"/>
  <c r="AE173" i="35"/>
  <c r="L80" i="38"/>
  <c r="L79" i="38"/>
  <c r="L81" i="38"/>
  <c r="L78" i="38"/>
  <c r="L83" i="41"/>
  <c r="L84" i="41"/>
  <c r="L78" i="41"/>
  <c r="L80" i="41"/>
  <c r="L82" i="41"/>
  <c r="L79" i="41"/>
  <c r="L81" i="41"/>
  <c r="AD216" i="29"/>
  <c r="J272" i="29" s="1"/>
  <c r="J56" i="29" s="1"/>
  <c r="L78" i="5"/>
  <c r="AF180" i="32"/>
  <c r="AF182" i="32"/>
  <c r="AF181" i="32"/>
  <c r="AF183" i="32"/>
  <c r="AG166" i="32"/>
  <c r="AH166" i="32" s="1"/>
  <c r="M66" i="1"/>
  <c r="L69" i="1"/>
  <c r="AE214" i="29"/>
  <c r="AE215" i="29" s="1"/>
  <c r="S125" i="76"/>
  <c r="BG168" i="76"/>
  <c r="AD214" i="76"/>
  <c r="AE174" i="5"/>
  <c r="AE173" i="5"/>
  <c r="AF167" i="5"/>
  <c r="AF171" i="29"/>
  <c r="AF170" i="29"/>
  <c r="AF169" i="29"/>
  <c r="AF168" i="29"/>
  <c r="AG166" i="29"/>
  <c r="AE187" i="1"/>
  <c r="AE186" i="1"/>
  <c r="AE185" i="1"/>
  <c r="AE184" i="1"/>
  <c r="AE183" i="1"/>
  <c r="AF166" i="1"/>
  <c r="AE181" i="76"/>
  <c r="AE179" i="76"/>
  <c r="AE178" i="76"/>
  <c r="AE177" i="76"/>
  <c r="AE176" i="76"/>
  <c r="AE175" i="76"/>
  <c r="AE174" i="76"/>
  <c r="AE173" i="76"/>
  <c r="AE172" i="76"/>
  <c r="AE171" i="76"/>
  <c r="AE170" i="76"/>
  <c r="AE169" i="76"/>
  <c r="AE168" i="76"/>
  <c r="AF166" i="76"/>
  <c r="R128" i="76"/>
  <c r="AE190" i="17"/>
  <c r="AE189" i="17"/>
  <c r="AE188" i="17"/>
  <c r="AE187" i="17"/>
  <c r="AE186" i="17"/>
  <c r="AE185" i="17"/>
  <c r="AE184" i="17"/>
  <c r="AE179" i="17"/>
  <c r="AE178" i="17"/>
  <c r="AE177" i="17"/>
  <c r="AF166" i="17"/>
  <c r="AH166" i="47"/>
  <c r="AF176" i="11"/>
  <c r="AF175" i="11"/>
  <c r="AF173" i="11"/>
  <c r="AG166" i="11"/>
  <c r="AF169" i="8"/>
  <c r="AG166" i="8"/>
  <c r="AG179" i="8" s="1"/>
  <c r="AF166" i="53"/>
  <c r="AE178" i="53"/>
  <c r="AG177" i="14"/>
  <c r="AG176" i="14"/>
  <c r="AG175" i="14"/>
  <c r="AG174" i="14"/>
  <c r="AG173" i="14"/>
  <c r="AH166" i="14"/>
  <c r="J267" i="76"/>
  <c r="BG169" i="76"/>
  <c r="J214" i="76"/>
  <c r="J115" i="76"/>
  <c r="J49" i="76" s="1"/>
  <c r="K264" i="76"/>
  <c r="K256" i="76"/>
  <c r="K248" i="76"/>
  <c r="K240" i="76"/>
  <c r="K232" i="76"/>
  <c r="K220" i="76"/>
  <c r="K261" i="76"/>
  <c r="K253" i="76"/>
  <c r="K245" i="76"/>
  <c r="K237" i="76"/>
  <c r="K229" i="76"/>
  <c r="K225" i="76"/>
  <c r="K258" i="76"/>
  <c r="K250" i="76"/>
  <c r="K263" i="76"/>
  <c r="K255" i="76"/>
  <c r="K247" i="76"/>
  <c r="K239" i="76"/>
  <c r="K231" i="76"/>
  <c r="K208" i="76"/>
  <c r="K206" i="76"/>
  <c r="K204" i="76"/>
  <c r="K260" i="76"/>
  <c r="K252" i="76"/>
  <c r="K244" i="76"/>
  <c r="K236" i="76"/>
  <c r="K228" i="76"/>
  <c r="K226" i="76"/>
  <c r="K224" i="76"/>
  <c r="K265" i="76"/>
  <c r="K257" i="76"/>
  <c r="K249" i="76"/>
  <c r="K241" i="76"/>
  <c r="K233" i="76"/>
  <c r="K221" i="76"/>
  <c r="K262" i="76"/>
  <c r="K254" i="76"/>
  <c r="K246" i="76"/>
  <c r="K238" i="76"/>
  <c r="K230" i="76"/>
  <c r="K209" i="76"/>
  <c r="K202" i="76"/>
  <c r="K200" i="76"/>
  <c r="K198" i="76"/>
  <c r="K196" i="76"/>
  <c r="K194" i="76"/>
  <c r="K243" i="76"/>
  <c r="K234" i="76"/>
  <c r="K227" i="76"/>
  <c r="K223" i="76"/>
  <c r="K176" i="76"/>
  <c r="K259" i="76"/>
  <c r="K201" i="76"/>
  <c r="K199" i="76"/>
  <c r="K197" i="76"/>
  <c r="K195" i="76"/>
  <c r="K193" i="76"/>
  <c r="K191" i="76"/>
  <c r="K189" i="76"/>
  <c r="K187" i="76"/>
  <c r="K185" i="76"/>
  <c r="K183" i="76"/>
  <c r="K181" i="76"/>
  <c r="K179" i="76"/>
  <c r="K173" i="76"/>
  <c r="K203" i="76"/>
  <c r="K251" i="76"/>
  <c r="K242" i="76"/>
  <c r="K235" i="76"/>
  <c r="K222" i="76"/>
  <c r="K205" i="76"/>
  <c r="K175" i="76"/>
  <c r="K177" i="76"/>
  <c r="K170" i="76"/>
  <c r="K174" i="76"/>
  <c r="K190" i="76"/>
  <c r="K178" i="76"/>
  <c r="K172" i="76"/>
  <c r="K167" i="76"/>
  <c r="K186" i="76"/>
  <c r="K182" i="76"/>
  <c r="K169" i="76"/>
  <c r="K88" i="76"/>
  <c r="K80" i="76"/>
  <c r="K72" i="76"/>
  <c r="K207" i="76"/>
  <c r="K180" i="76"/>
  <c r="K168" i="76"/>
  <c r="K192" i="76"/>
  <c r="K171" i="76"/>
  <c r="K86" i="76"/>
  <c r="K78" i="76"/>
  <c r="K81" i="76"/>
  <c r="K87" i="76"/>
  <c r="K73" i="76"/>
  <c r="K69" i="76"/>
  <c r="K188" i="76"/>
  <c r="K184" i="76"/>
  <c r="K77" i="76"/>
  <c r="K76" i="76"/>
  <c r="K85" i="76"/>
  <c r="K84" i="76"/>
  <c r="K70" i="76"/>
  <c r="K75" i="76"/>
  <c r="K79" i="76"/>
  <c r="K74" i="76"/>
  <c r="K83" i="76"/>
  <c r="K82" i="76"/>
  <c r="K71" i="76"/>
  <c r="O66" i="64" l="1"/>
  <c r="O166" i="64"/>
  <c r="AG166" i="38"/>
  <c r="AF179" i="38"/>
  <c r="AF175" i="38"/>
  <c r="AF176" i="38"/>
  <c r="AF180" i="38"/>
  <c r="AG166" i="35"/>
  <c r="AF173" i="35"/>
  <c r="M78" i="41"/>
  <c r="M81" i="41"/>
  <c r="M84" i="41"/>
  <c r="M83" i="41"/>
  <c r="M80" i="41"/>
  <c r="M82" i="41"/>
  <c r="M79" i="41"/>
  <c r="M79" i="38"/>
  <c r="M80" i="38"/>
  <c r="M78" i="38"/>
  <c r="M81" i="38"/>
  <c r="AE216" i="29"/>
  <c r="K272" i="29" s="1"/>
  <c r="K56" i="29" s="1"/>
  <c r="M78" i="5"/>
  <c r="AG181" i="32"/>
  <c r="AG180" i="32"/>
  <c r="AG183" i="32"/>
  <c r="AG182" i="32"/>
  <c r="N66" i="1"/>
  <c r="M69" i="1"/>
  <c r="AF214" i="29"/>
  <c r="AF215" i="29" s="1"/>
  <c r="AE214" i="76"/>
  <c r="AE215" i="76" s="1"/>
  <c r="AE216" i="76" s="1"/>
  <c r="K272" i="76" s="1"/>
  <c r="K56" i="76" s="1"/>
  <c r="AG176" i="11"/>
  <c r="AG175" i="11"/>
  <c r="AH166" i="11"/>
  <c r="AI166" i="32"/>
  <c r="AH183" i="32"/>
  <c r="AH182" i="32"/>
  <c r="AH181" i="32"/>
  <c r="AH180" i="32"/>
  <c r="AH177" i="14"/>
  <c r="AH176" i="14"/>
  <c r="AH175" i="14"/>
  <c r="AH174" i="14"/>
  <c r="AI166" i="14"/>
  <c r="AF178" i="53"/>
  <c r="AG166" i="53"/>
  <c r="AI166" i="47"/>
  <c r="AH166" i="29"/>
  <c r="AG170" i="29"/>
  <c r="AG171" i="29"/>
  <c r="AG168" i="29"/>
  <c r="AG169" i="29"/>
  <c r="AF174" i="5"/>
  <c r="AF173" i="5"/>
  <c r="AG167" i="5"/>
  <c r="AH166" i="8"/>
  <c r="AH179" i="8" s="1"/>
  <c r="AF190" i="17"/>
  <c r="AF189" i="17"/>
  <c r="AF188" i="17"/>
  <c r="AF187" i="17"/>
  <c r="AF186" i="17"/>
  <c r="AF185" i="17"/>
  <c r="AF184" i="17"/>
  <c r="AF179" i="17"/>
  <c r="AF178" i="17"/>
  <c r="AF177" i="17"/>
  <c r="AG166" i="17"/>
  <c r="AF187" i="1"/>
  <c r="AF186" i="1"/>
  <c r="AF185" i="1"/>
  <c r="AF184" i="1"/>
  <c r="AG166" i="1"/>
  <c r="AD215" i="76"/>
  <c r="AD216" i="76" s="1"/>
  <c r="J272" i="76" s="1"/>
  <c r="J56" i="76" s="1"/>
  <c r="BG170" i="76"/>
  <c r="AF181" i="76"/>
  <c r="AF179" i="76"/>
  <c r="AF178" i="76"/>
  <c r="AF177" i="76"/>
  <c r="AF176" i="76"/>
  <c r="AF175" i="76"/>
  <c r="AF174" i="76"/>
  <c r="AF173" i="76"/>
  <c r="AF172" i="76"/>
  <c r="AF171" i="76"/>
  <c r="AF170" i="76"/>
  <c r="AF169" i="76"/>
  <c r="AF168" i="76"/>
  <c r="AG166" i="76"/>
  <c r="R129" i="76"/>
  <c r="K214" i="76"/>
  <c r="S126" i="76"/>
  <c r="K267" i="76"/>
  <c r="L261" i="76"/>
  <c r="L253" i="76"/>
  <c r="L245" i="76"/>
  <c r="L237" i="76"/>
  <c r="L229" i="76"/>
  <c r="L225" i="76"/>
  <c r="L258" i="76"/>
  <c r="L250" i="76"/>
  <c r="L242" i="76"/>
  <c r="L234" i="76"/>
  <c r="L222" i="76"/>
  <c r="L263" i="76"/>
  <c r="L255" i="76"/>
  <c r="L247" i="76"/>
  <c r="L260" i="76"/>
  <c r="L252" i="76"/>
  <c r="L244" i="76"/>
  <c r="L236" i="76"/>
  <c r="L228" i="76"/>
  <c r="L226" i="76"/>
  <c r="L224" i="76"/>
  <c r="L265" i="76"/>
  <c r="L257" i="76"/>
  <c r="L249" i="76"/>
  <c r="L241" i="76"/>
  <c r="L233" i="76"/>
  <c r="L221" i="76"/>
  <c r="L262" i="76"/>
  <c r="L254" i="76"/>
  <c r="L246" i="76"/>
  <c r="L238" i="76"/>
  <c r="L230" i="76"/>
  <c r="L259" i="76"/>
  <c r="L251" i="76"/>
  <c r="L243" i="76"/>
  <c r="L235" i="76"/>
  <c r="L227" i="76"/>
  <c r="L223" i="76"/>
  <c r="L209" i="76"/>
  <c r="L207" i="76"/>
  <c r="L205" i="76"/>
  <c r="L203" i="76"/>
  <c r="L264" i="76"/>
  <c r="L239" i="76"/>
  <c r="L232" i="76"/>
  <c r="L256" i="76"/>
  <c r="L204" i="76"/>
  <c r="L201" i="76"/>
  <c r="L199" i="76"/>
  <c r="L197" i="76"/>
  <c r="L195" i="76"/>
  <c r="L193" i="76"/>
  <c r="L191" i="76"/>
  <c r="L189" i="76"/>
  <c r="L187" i="76"/>
  <c r="L185" i="76"/>
  <c r="L183" i="76"/>
  <c r="L181" i="76"/>
  <c r="L179" i="76"/>
  <c r="L206" i="76"/>
  <c r="L248" i="76"/>
  <c r="L240" i="76"/>
  <c r="L231" i="76"/>
  <c r="L220" i="76"/>
  <c r="L208" i="76"/>
  <c r="L174" i="76"/>
  <c r="L173" i="76"/>
  <c r="L190" i="76"/>
  <c r="L178" i="76"/>
  <c r="L176" i="76"/>
  <c r="L172" i="76"/>
  <c r="L167" i="76"/>
  <c r="L186" i="76"/>
  <c r="L182" i="76"/>
  <c r="L169" i="76"/>
  <c r="L180" i="76"/>
  <c r="L175" i="76"/>
  <c r="L168" i="76"/>
  <c r="L83" i="76"/>
  <c r="L75" i="76"/>
  <c r="L192" i="76"/>
  <c r="L171" i="76"/>
  <c r="L81" i="76"/>
  <c r="L73" i="76"/>
  <c r="L188" i="76"/>
  <c r="L184" i="76"/>
  <c r="L84" i="76"/>
  <c r="L76" i="76"/>
  <c r="L177" i="76"/>
  <c r="L170" i="76"/>
  <c r="L88" i="76"/>
  <c r="L78" i="76"/>
  <c r="L69" i="76"/>
  <c r="L196" i="76"/>
  <c r="L86" i="76"/>
  <c r="L77" i="76"/>
  <c r="L85" i="76"/>
  <c r="L198" i="76"/>
  <c r="L72" i="76"/>
  <c r="L70" i="76"/>
  <c r="L200" i="76"/>
  <c r="L82" i="76"/>
  <c r="L202" i="76"/>
  <c r="L87" i="76"/>
  <c r="L80" i="76"/>
  <c r="L79" i="76"/>
  <c r="L74" i="76"/>
  <c r="L71" i="76"/>
  <c r="L194" i="76"/>
  <c r="K115" i="76"/>
  <c r="K49" i="76" s="1"/>
  <c r="P66" i="64" l="1"/>
  <c r="P166" i="64"/>
  <c r="AH166" i="38"/>
  <c r="AG179" i="38"/>
  <c r="AG175" i="38"/>
  <c r="AG176" i="38"/>
  <c r="AG180" i="38"/>
  <c r="AH166" i="35"/>
  <c r="AG173" i="35"/>
  <c r="N81" i="38"/>
  <c r="N78" i="38"/>
  <c r="N80" i="38"/>
  <c r="N79" i="38"/>
  <c r="N81" i="41"/>
  <c r="N84" i="41"/>
  <c r="N78" i="41"/>
  <c r="N83" i="41"/>
  <c r="N80" i="41"/>
  <c r="N79" i="41"/>
  <c r="N82" i="41"/>
  <c r="AF216" i="29"/>
  <c r="L272" i="29" s="1"/>
  <c r="L56" i="29" s="1"/>
  <c r="N78" i="5"/>
  <c r="O66" i="1"/>
  <c r="P66" i="1" s="1"/>
  <c r="Q66" i="1" s="1"/>
  <c r="N69" i="1"/>
  <c r="BG171" i="76"/>
  <c r="S128" i="76"/>
  <c r="AG214" i="29"/>
  <c r="AG215" i="29" s="1"/>
  <c r="AI166" i="29"/>
  <c r="AJ166" i="14"/>
  <c r="AK166" i="14" s="1"/>
  <c r="AI175" i="14"/>
  <c r="AI177" i="14"/>
  <c r="AI176" i="14"/>
  <c r="AG181" i="76"/>
  <c r="AG179" i="76"/>
  <c r="AG178" i="76"/>
  <c r="AG177" i="76"/>
  <c r="AG176" i="76"/>
  <c r="AG175" i="76"/>
  <c r="AG174" i="76"/>
  <c r="AG173" i="76"/>
  <c r="AG172" i="76"/>
  <c r="AG171" i="76"/>
  <c r="AG170" i="76"/>
  <c r="AG169" i="76"/>
  <c r="AG168" i="76"/>
  <c r="AH166" i="76"/>
  <c r="R130" i="76"/>
  <c r="AF214" i="76"/>
  <c r="S127" i="76"/>
  <c r="AG190" i="17"/>
  <c r="AG189" i="17"/>
  <c r="AG188" i="17"/>
  <c r="AG187" i="17"/>
  <c r="AG186" i="17"/>
  <c r="AG185" i="17"/>
  <c r="AH166" i="17"/>
  <c r="AH166" i="53"/>
  <c r="AG174" i="5"/>
  <c r="AH167" i="5"/>
  <c r="AI166" i="8"/>
  <c r="AJ166" i="32"/>
  <c r="AK166" i="32" s="1"/>
  <c r="AJ166" i="47"/>
  <c r="AK166" i="47" s="1"/>
  <c r="AG187" i="1"/>
  <c r="AG186" i="1"/>
  <c r="AH166" i="1"/>
  <c r="AH176" i="11"/>
  <c r="AI166" i="11"/>
  <c r="L267" i="76"/>
  <c r="L214" i="76"/>
  <c r="L115" i="76"/>
  <c r="L49" i="76" s="1"/>
  <c r="M258" i="76"/>
  <c r="M250" i="76"/>
  <c r="M242" i="76"/>
  <c r="M234" i="76"/>
  <c r="M222" i="76"/>
  <c r="M263" i="76"/>
  <c r="M255" i="76"/>
  <c r="M247" i="76"/>
  <c r="M239" i="76"/>
  <c r="M231" i="76"/>
  <c r="M260" i="76"/>
  <c r="M252" i="76"/>
  <c r="M265" i="76"/>
  <c r="M257" i="76"/>
  <c r="M249" i="76"/>
  <c r="M241" i="76"/>
  <c r="M233" i="76"/>
  <c r="M221" i="76"/>
  <c r="M262" i="76"/>
  <c r="M254" i="76"/>
  <c r="M246" i="76"/>
  <c r="M238" i="76"/>
  <c r="M230" i="76"/>
  <c r="M259" i="76"/>
  <c r="M251" i="76"/>
  <c r="M243" i="76"/>
  <c r="M235" i="76"/>
  <c r="M227" i="76"/>
  <c r="M223" i="76"/>
  <c r="M209" i="76"/>
  <c r="M207" i="76"/>
  <c r="M205" i="76"/>
  <c r="M203" i="76"/>
  <c r="M264" i="76"/>
  <c r="M256" i="76"/>
  <c r="M248" i="76"/>
  <c r="M240" i="76"/>
  <c r="M232" i="76"/>
  <c r="M220" i="76"/>
  <c r="M253" i="76"/>
  <c r="M236" i="76"/>
  <c r="M229" i="76"/>
  <c r="M225" i="76"/>
  <c r="M204" i="76"/>
  <c r="M201" i="76"/>
  <c r="M199" i="76"/>
  <c r="M197" i="76"/>
  <c r="M195" i="76"/>
  <c r="M193" i="76"/>
  <c r="M245" i="76"/>
  <c r="M206" i="76"/>
  <c r="M208" i="76"/>
  <c r="M175" i="76"/>
  <c r="M244" i="76"/>
  <c r="M237" i="76"/>
  <c r="M228" i="76"/>
  <c r="M226" i="76"/>
  <c r="M224" i="76"/>
  <c r="M202" i="76"/>
  <c r="M200" i="76"/>
  <c r="M198" i="76"/>
  <c r="M196" i="76"/>
  <c r="M194" i="76"/>
  <c r="M192" i="76"/>
  <c r="M190" i="76"/>
  <c r="M188" i="76"/>
  <c r="M186" i="76"/>
  <c r="M184" i="76"/>
  <c r="M182" i="76"/>
  <c r="M180" i="76"/>
  <c r="M178" i="76"/>
  <c r="M177" i="76"/>
  <c r="M261" i="76"/>
  <c r="M189" i="76"/>
  <c r="M176" i="76"/>
  <c r="M172" i="76"/>
  <c r="M167" i="76"/>
  <c r="M185" i="76"/>
  <c r="M169" i="76"/>
  <c r="M168" i="76"/>
  <c r="M191" i="76"/>
  <c r="M171" i="76"/>
  <c r="M86" i="76"/>
  <c r="M78" i="76"/>
  <c r="M187" i="76"/>
  <c r="M183" i="76"/>
  <c r="M84" i="76"/>
  <c r="M76" i="76"/>
  <c r="M181" i="76"/>
  <c r="M170" i="76"/>
  <c r="M87" i="76"/>
  <c r="M79" i="76"/>
  <c r="M77" i="76"/>
  <c r="M73" i="76"/>
  <c r="M179" i="76"/>
  <c r="M85" i="76"/>
  <c r="M174" i="76"/>
  <c r="M72" i="76"/>
  <c r="M70" i="76"/>
  <c r="M173" i="76"/>
  <c r="M82" i="76"/>
  <c r="M75" i="76"/>
  <c r="M83" i="76"/>
  <c r="M74" i="76"/>
  <c r="M71" i="76"/>
  <c r="M88" i="76"/>
  <c r="M69" i="76"/>
  <c r="M81" i="76"/>
  <c r="M80" i="76"/>
  <c r="Q66" i="64" l="1"/>
  <c r="Q166" i="64"/>
  <c r="AI166" i="38"/>
  <c r="AH179" i="38"/>
  <c r="AH180" i="38"/>
  <c r="AI166" i="35"/>
  <c r="AH173" i="35"/>
  <c r="O82" i="41"/>
  <c r="O79" i="41"/>
  <c r="O84" i="41"/>
  <c r="O78" i="41"/>
  <c r="O83" i="41"/>
  <c r="O80" i="41"/>
  <c r="O81" i="41"/>
  <c r="O81" i="38"/>
  <c r="O78" i="38"/>
  <c r="O80" i="38"/>
  <c r="O79" i="38"/>
  <c r="AG216" i="29"/>
  <c r="M272" i="29" s="1"/>
  <c r="M56" i="29" s="1"/>
  <c r="O78" i="5"/>
  <c r="O69" i="1"/>
  <c r="AK169" i="14"/>
  <c r="AK170" i="14"/>
  <c r="AK171" i="14"/>
  <c r="AK172" i="14"/>
  <c r="AK173" i="14"/>
  <c r="AK168" i="14"/>
  <c r="AK174" i="14"/>
  <c r="AK175" i="14"/>
  <c r="AK176" i="14"/>
  <c r="AK177" i="14"/>
  <c r="AF215" i="76"/>
  <c r="AF216" i="76" s="1"/>
  <c r="L272" i="76" s="1"/>
  <c r="L56" i="76" s="1"/>
  <c r="BG172" i="76"/>
  <c r="AJ166" i="11"/>
  <c r="AK166" i="11" s="1"/>
  <c r="AI167" i="5"/>
  <c r="AH174" i="5"/>
  <c r="AH181" i="76"/>
  <c r="AH179" i="76"/>
  <c r="AH178" i="76"/>
  <c r="AH177" i="76"/>
  <c r="AH176" i="76"/>
  <c r="AH175" i="76"/>
  <c r="AH174" i="76"/>
  <c r="AH173" i="76"/>
  <c r="AH172" i="76"/>
  <c r="AH171" i="76"/>
  <c r="AH170" i="76"/>
  <c r="AH169" i="76"/>
  <c r="AH168" i="76"/>
  <c r="AI166" i="76"/>
  <c r="R131" i="76"/>
  <c r="AJ177" i="14"/>
  <c r="AJ176" i="14"/>
  <c r="AG214" i="76"/>
  <c r="AH186" i="1"/>
  <c r="AI166" i="1"/>
  <c r="AH187" i="1"/>
  <c r="AJ166" i="8"/>
  <c r="AK166" i="8" s="1"/>
  <c r="AI166" i="53"/>
  <c r="AH187" i="17"/>
  <c r="AI166" i="17"/>
  <c r="AH186" i="17"/>
  <c r="AH188" i="17"/>
  <c r="AH185" i="17"/>
  <c r="AJ166" i="29"/>
  <c r="AK166" i="29" s="1"/>
  <c r="M267" i="76"/>
  <c r="M214" i="76"/>
  <c r="N263" i="76"/>
  <c r="N255" i="76"/>
  <c r="N247" i="76"/>
  <c r="N239" i="76"/>
  <c r="N231" i="76"/>
  <c r="N208" i="76"/>
  <c r="N206" i="76"/>
  <c r="N204" i="76"/>
  <c r="N260" i="76"/>
  <c r="N252" i="76"/>
  <c r="N244" i="76"/>
  <c r="N236" i="76"/>
  <c r="N228" i="76"/>
  <c r="N226" i="76"/>
  <c r="N224" i="76"/>
  <c r="N265" i="76"/>
  <c r="N257" i="76"/>
  <c r="N249" i="76"/>
  <c r="N262" i="76"/>
  <c r="N254" i="76"/>
  <c r="N246" i="76"/>
  <c r="N238" i="76"/>
  <c r="N230" i="76"/>
  <c r="N259" i="76"/>
  <c r="N251" i="76"/>
  <c r="N243" i="76"/>
  <c r="N235" i="76"/>
  <c r="N227" i="76"/>
  <c r="N223" i="76"/>
  <c r="N209" i="76"/>
  <c r="N207" i="76"/>
  <c r="N205" i="76"/>
  <c r="N203" i="76"/>
  <c r="N264" i="76"/>
  <c r="N256" i="76"/>
  <c r="N248" i="76"/>
  <c r="N240" i="76"/>
  <c r="N232" i="76"/>
  <c r="N220" i="76"/>
  <c r="N261" i="76"/>
  <c r="N253" i="76"/>
  <c r="N245" i="76"/>
  <c r="N237" i="76"/>
  <c r="N229" i="76"/>
  <c r="N225" i="76"/>
  <c r="N250" i="76"/>
  <c r="N241" i="76"/>
  <c r="N234" i="76"/>
  <c r="N221" i="76"/>
  <c r="N201" i="76"/>
  <c r="N199" i="76"/>
  <c r="N197" i="76"/>
  <c r="N195" i="76"/>
  <c r="N193" i="76"/>
  <c r="N242" i="76"/>
  <c r="N233" i="76"/>
  <c r="N222" i="76"/>
  <c r="N202" i="76"/>
  <c r="N200" i="76"/>
  <c r="N198" i="76"/>
  <c r="N196" i="76"/>
  <c r="N194" i="76"/>
  <c r="N258" i="76"/>
  <c r="N190" i="76"/>
  <c r="N185" i="76"/>
  <c r="N178" i="76"/>
  <c r="N169" i="76"/>
  <c r="N186" i="76"/>
  <c r="N182" i="76"/>
  <c r="N168" i="76"/>
  <c r="N191" i="76"/>
  <c r="N180" i="76"/>
  <c r="N175" i="76"/>
  <c r="N171" i="76"/>
  <c r="N192" i="76"/>
  <c r="N81" i="76"/>
  <c r="N73" i="76"/>
  <c r="N187" i="76"/>
  <c r="N183" i="76"/>
  <c r="N188" i="76"/>
  <c r="N184" i="76"/>
  <c r="N181" i="76"/>
  <c r="N170" i="76"/>
  <c r="N87" i="76"/>
  <c r="N79" i="76"/>
  <c r="N179" i="76"/>
  <c r="N177" i="76"/>
  <c r="N174" i="76"/>
  <c r="N173" i="76"/>
  <c r="N82" i="76"/>
  <c r="N86" i="76"/>
  <c r="N85" i="76"/>
  <c r="N176" i="76"/>
  <c r="N76" i="76"/>
  <c r="N72" i="76"/>
  <c r="N70" i="76"/>
  <c r="N84" i="76"/>
  <c r="N189" i="76"/>
  <c r="N75" i="76"/>
  <c r="N172" i="76"/>
  <c r="N83" i="76"/>
  <c r="N74" i="76"/>
  <c r="N71" i="76"/>
  <c r="N80" i="76"/>
  <c r="N167" i="76"/>
  <c r="N78" i="76"/>
  <c r="N77" i="76"/>
  <c r="N88" i="76"/>
  <c r="N69" i="76"/>
  <c r="M115" i="76"/>
  <c r="M49" i="76" s="1"/>
  <c r="AJ166" i="38" l="1"/>
  <c r="AI179" i="38"/>
  <c r="AI180" i="38"/>
  <c r="AJ166" i="35"/>
  <c r="AI173" i="35"/>
  <c r="P80" i="38"/>
  <c r="P79" i="38"/>
  <c r="P81" i="38"/>
  <c r="P78" i="38"/>
  <c r="P79" i="41"/>
  <c r="P82" i="41"/>
  <c r="P81" i="41"/>
  <c r="P78" i="41"/>
  <c r="P84" i="41"/>
  <c r="P83" i="41"/>
  <c r="P80" i="41"/>
  <c r="Q78" i="5"/>
  <c r="P78" i="5"/>
  <c r="P69" i="1"/>
  <c r="AK214" i="14"/>
  <c r="AK215" i="14" s="1"/>
  <c r="AG215" i="76"/>
  <c r="AG216" i="76" s="1"/>
  <c r="M272" i="76" s="1"/>
  <c r="M56" i="76" s="1"/>
  <c r="BG173" i="76"/>
  <c r="AJ166" i="53"/>
  <c r="AK166" i="53" s="1"/>
  <c r="AI181" i="76"/>
  <c r="AI179" i="76"/>
  <c r="AI178" i="76"/>
  <c r="AI177" i="76"/>
  <c r="AI176" i="76"/>
  <c r="AI175" i="76"/>
  <c r="AI173" i="76"/>
  <c r="AI172" i="76"/>
  <c r="AI171" i="76"/>
  <c r="AI170" i="76"/>
  <c r="AI169" i="76"/>
  <c r="AI168" i="76"/>
  <c r="AI174" i="76"/>
  <c r="AJ166" i="76"/>
  <c r="AK166" i="76" s="1"/>
  <c r="R132" i="76"/>
  <c r="AI187" i="1"/>
  <c r="AI186" i="1"/>
  <c r="AJ166" i="1"/>
  <c r="AK166" i="1" s="1"/>
  <c r="AH214" i="76"/>
  <c r="AJ167" i="5"/>
  <c r="AK167" i="5" s="1"/>
  <c r="AJ166" i="17"/>
  <c r="AK166" i="17" s="1"/>
  <c r="S129" i="76"/>
  <c r="N267" i="76"/>
  <c r="O260" i="76"/>
  <c r="O252" i="76"/>
  <c r="O244" i="76"/>
  <c r="O236" i="76"/>
  <c r="O228" i="76"/>
  <c r="O226" i="76"/>
  <c r="O224" i="76"/>
  <c r="O265" i="76"/>
  <c r="O257" i="76"/>
  <c r="O249" i="76"/>
  <c r="O241" i="76"/>
  <c r="O233" i="76"/>
  <c r="O221" i="76"/>
  <c r="O262" i="76"/>
  <c r="O254" i="76"/>
  <c r="O246" i="76"/>
  <c r="O259" i="76"/>
  <c r="O251" i="76"/>
  <c r="O243" i="76"/>
  <c r="O235" i="76"/>
  <c r="O227" i="76"/>
  <c r="O223" i="76"/>
  <c r="O209" i="76"/>
  <c r="O207" i="76"/>
  <c r="O205" i="76"/>
  <c r="O203" i="76"/>
  <c r="O264" i="76"/>
  <c r="O256" i="76"/>
  <c r="O248" i="76"/>
  <c r="O240" i="76"/>
  <c r="O232" i="76"/>
  <c r="O220" i="76"/>
  <c r="O261" i="76"/>
  <c r="O253" i="76"/>
  <c r="O245" i="76"/>
  <c r="O237" i="76"/>
  <c r="O229" i="76"/>
  <c r="O225" i="76"/>
  <c r="O258" i="76"/>
  <c r="O250" i="76"/>
  <c r="O242" i="76"/>
  <c r="O234" i="76"/>
  <c r="O222" i="76"/>
  <c r="O239" i="76"/>
  <c r="O201" i="76"/>
  <c r="O199" i="76"/>
  <c r="O197" i="76"/>
  <c r="O195" i="76"/>
  <c r="O204" i="76"/>
  <c r="O206" i="76"/>
  <c r="O263" i="76"/>
  <c r="O238" i="76"/>
  <c r="O208" i="76"/>
  <c r="O231" i="76"/>
  <c r="O202" i="76"/>
  <c r="O200" i="76"/>
  <c r="O198" i="76"/>
  <c r="O196" i="76"/>
  <c r="O194" i="76"/>
  <c r="O192" i="76"/>
  <c r="O190" i="76"/>
  <c r="O188" i="76"/>
  <c r="O186" i="76"/>
  <c r="O184" i="76"/>
  <c r="O182" i="76"/>
  <c r="O180" i="76"/>
  <c r="O178" i="76"/>
  <c r="O177" i="76"/>
  <c r="O255" i="76"/>
  <c r="O247" i="76"/>
  <c r="O168" i="76"/>
  <c r="O191" i="76"/>
  <c r="O175" i="76"/>
  <c r="O171" i="76"/>
  <c r="O187" i="76"/>
  <c r="O183" i="76"/>
  <c r="O84" i="76"/>
  <c r="O76" i="76"/>
  <c r="O181" i="76"/>
  <c r="O170" i="76"/>
  <c r="O230" i="76"/>
  <c r="O179" i="76"/>
  <c r="O174" i="76"/>
  <c r="O173" i="76"/>
  <c r="O82" i="76"/>
  <c r="O74" i="76"/>
  <c r="O189" i="76"/>
  <c r="O176" i="76"/>
  <c r="O172" i="76"/>
  <c r="O167" i="76"/>
  <c r="O85" i="76"/>
  <c r="O77" i="76"/>
  <c r="O72" i="76"/>
  <c r="O70" i="76"/>
  <c r="O169" i="76"/>
  <c r="O75" i="76"/>
  <c r="O83" i="76"/>
  <c r="O71" i="76"/>
  <c r="O185" i="76"/>
  <c r="O80" i="76"/>
  <c r="O88" i="76"/>
  <c r="O81" i="76"/>
  <c r="O79" i="76"/>
  <c r="O69" i="76"/>
  <c r="O86" i="76"/>
  <c r="O73" i="76"/>
  <c r="O193" i="76"/>
  <c r="O87" i="76"/>
  <c r="O78" i="76"/>
  <c r="N115" i="76"/>
  <c r="N49" i="76" s="1"/>
  <c r="N214" i="76"/>
  <c r="AK166" i="38" l="1"/>
  <c r="AJ180" i="38"/>
  <c r="AK166" i="35"/>
  <c r="AJ173" i="35"/>
  <c r="Q79" i="41"/>
  <c r="Q81" i="41"/>
  <c r="Q82" i="41"/>
  <c r="Q84" i="41"/>
  <c r="Q78" i="41"/>
  <c r="Q83" i="41"/>
  <c r="Q80" i="41"/>
  <c r="Q80" i="38"/>
  <c r="Q79" i="38"/>
  <c r="Q81" i="38"/>
  <c r="Q78" i="38"/>
  <c r="AK216" i="14"/>
  <c r="Q272" i="14" s="1"/>
  <c r="S62" i="14" s="1"/>
  <c r="AK172" i="76"/>
  <c r="AK169" i="76"/>
  <c r="AK179" i="76"/>
  <c r="AK170" i="76"/>
  <c r="AK171" i="76"/>
  <c r="AK181" i="76"/>
  <c r="AK173" i="76"/>
  <c r="AK178" i="76"/>
  <c r="AK174" i="76"/>
  <c r="AK176" i="76"/>
  <c r="AK177" i="76"/>
  <c r="AK168" i="76"/>
  <c r="AK175" i="76"/>
  <c r="AJ181" i="76"/>
  <c r="AJ179" i="76"/>
  <c r="AJ178" i="76"/>
  <c r="AJ177" i="76"/>
  <c r="AJ176" i="76"/>
  <c r="AJ175" i="76"/>
  <c r="AJ174" i="76"/>
  <c r="AJ173" i="76"/>
  <c r="AJ172" i="76"/>
  <c r="AJ171" i="76"/>
  <c r="AJ170" i="76"/>
  <c r="AJ169" i="76"/>
  <c r="AJ168" i="76"/>
  <c r="R133" i="76"/>
  <c r="AH215" i="76"/>
  <c r="AH216" i="76" s="1"/>
  <c r="N272" i="76" s="1"/>
  <c r="N56" i="76" s="1"/>
  <c r="BG174" i="76"/>
  <c r="AI214" i="76"/>
  <c r="S130" i="76"/>
  <c r="O115" i="76"/>
  <c r="O49" i="76" s="1"/>
  <c r="O267" i="76"/>
  <c r="P265" i="76"/>
  <c r="P257" i="76"/>
  <c r="P249" i="76"/>
  <c r="P241" i="76"/>
  <c r="P233" i="76"/>
  <c r="P221" i="76"/>
  <c r="P262" i="76"/>
  <c r="P254" i="76"/>
  <c r="P246" i="76"/>
  <c r="P238" i="76"/>
  <c r="P230" i="76"/>
  <c r="P259" i="76"/>
  <c r="P251" i="76"/>
  <c r="P264" i="76"/>
  <c r="P256" i="76"/>
  <c r="P248" i="76"/>
  <c r="P240" i="76"/>
  <c r="P232" i="76"/>
  <c r="P220" i="76"/>
  <c r="P261" i="76"/>
  <c r="P253" i="76"/>
  <c r="P245" i="76"/>
  <c r="P237" i="76"/>
  <c r="P229" i="76"/>
  <c r="P225" i="76"/>
  <c r="P258" i="76"/>
  <c r="P250" i="76"/>
  <c r="P242" i="76"/>
  <c r="P234" i="76"/>
  <c r="P222" i="76"/>
  <c r="P263" i="76"/>
  <c r="P255" i="76"/>
  <c r="P247" i="76"/>
  <c r="P239" i="76"/>
  <c r="P231" i="76"/>
  <c r="P208" i="76"/>
  <c r="P206" i="76"/>
  <c r="P204" i="76"/>
  <c r="P260" i="76"/>
  <c r="P243" i="76"/>
  <c r="P236" i="76"/>
  <c r="P227" i="76"/>
  <c r="P223" i="76"/>
  <c r="P252" i="76"/>
  <c r="P202" i="76"/>
  <c r="P200" i="76"/>
  <c r="P198" i="76"/>
  <c r="P196" i="76"/>
  <c r="P194" i="76"/>
  <c r="P192" i="76"/>
  <c r="P190" i="76"/>
  <c r="P188" i="76"/>
  <c r="P186" i="76"/>
  <c r="P184" i="76"/>
  <c r="P182" i="76"/>
  <c r="P180" i="76"/>
  <c r="P178" i="76"/>
  <c r="P177" i="76"/>
  <c r="P203" i="76"/>
  <c r="P174" i="76"/>
  <c r="P244" i="76"/>
  <c r="P235" i="76"/>
  <c r="P228" i="76"/>
  <c r="P226" i="76"/>
  <c r="P224" i="76"/>
  <c r="P205" i="76"/>
  <c r="P207" i="76"/>
  <c r="P176" i="76"/>
  <c r="P191" i="76"/>
  <c r="P175" i="76"/>
  <c r="P171" i="76"/>
  <c r="P187" i="76"/>
  <c r="P183" i="76"/>
  <c r="P181" i="76"/>
  <c r="P170" i="76"/>
  <c r="P87" i="76"/>
  <c r="P79" i="76"/>
  <c r="P179" i="76"/>
  <c r="P173" i="76"/>
  <c r="P189" i="76"/>
  <c r="P172" i="76"/>
  <c r="P167" i="76"/>
  <c r="P85" i="76"/>
  <c r="P77" i="76"/>
  <c r="P201" i="76"/>
  <c r="P199" i="76"/>
  <c r="P197" i="76"/>
  <c r="P195" i="76"/>
  <c r="P193" i="76"/>
  <c r="P185" i="76"/>
  <c r="P169" i="76"/>
  <c r="P88" i="76"/>
  <c r="P80" i="76"/>
  <c r="P76" i="76"/>
  <c r="P84" i="76"/>
  <c r="P75" i="76"/>
  <c r="P71" i="76"/>
  <c r="P70" i="76"/>
  <c r="P83" i="76"/>
  <c r="P209" i="76"/>
  <c r="P82" i="76"/>
  <c r="P74" i="76"/>
  <c r="P81" i="76"/>
  <c r="P69" i="76"/>
  <c r="P78" i="76"/>
  <c r="P72" i="76"/>
  <c r="P168" i="76"/>
  <c r="P86" i="76"/>
  <c r="P73" i="76"/>
  <c r="O214" i="76"/>
  <c r="AK173" i="35" l="1"/>
  <c r="AK214" i="76"/>
  <c r="AK215" i="76" s="1"/>
  <c r="AK216" i="76" s="1"/>
  <c r="S131" i="76"/>
  <c r="AJ214" i="76"/>
  <c r="AI215" i="76"/>
  <c r="AI216" i="76" s="1"/>
  <c r="O272" i="76" s="1"/>
  <c r="O56" i="76" s="1"/>
  <c r="BG175" i="76"/>
  <c r="P115" i="76"/>
  <c r="P267" i="76"/>
  <c r="Q262" i="76"/>
  <c r="Q254" i="76"/>
  <c r="Q246" i="76"/>
  <c r="Q238" i="76"/>
  <c r="Q230" i="76"/>
  <c r="Q259" i="76"/>
  <c r="Q251" i="76"/>
  <c r="Q243" i="76"/>
  <c r="Q235" i="76"/>
  <c r="Q227" i="76"/>
  <c r="Q223" i="76"/>
  <c r="Q264" i="76"/>
  <c r="Q256" i="76"/>
  <c r="Q248" i="76"/>
  <c r="Q261" i="76"/>
  <c r="Q253" i="76"/>
  <c r="Q245" i="76"/>
  <c r="Q237" i="76"/>
  <c r="Q229" i="76"/>
  <c r="Q225" i="76"/>
  <c r="Q258" i="76"/>
  <c r="Q250" i="76"/>
  <c r="Q242" i="76"/>
  <c r="Q234" i="76"/>
  <c r="Q222" i="76"/>
  <c r="Q263" i="76"/>
  <c r="Q255" i="76"/>
  <c r="Q247" i="76"/>
  <c r="Q239" i="76"/>
  <c r="Q231" i="76"/>
  <c r="Q208" i="76"/>
  <c r="Q206" i="76"/>
  <c r="Q204" i="76"/>
  <c r="Q260" i="76"/>
  <c r="Q252" i="76"/>
  <c r="Q244" i="76"/>
  <c r="Q236" i="76"/>
  <c r="Q228" i="76"/>
  <c r="Q226" i="76"/>
  <c r="Q224" i="76"/>
  <c r="Q257" i="76"/>
  <c r="Q241" i="76"/>
  <c r="Q232" i="76"/>
  <c r="Q221" i="76"/>
  <c r="Q249" i="76"/>
  <c r="Q202" i="76"/>
  <c r="Q200" i="76"/>
  <c r="Q198" i="76"/>
  <c r="Q196" i="76"/>
  <c r="Q194" i="76"/>
  <c r="Q203" i="76"/>
  <c r="Q240" i="76"/>
  <c r="Q233" i="76"/>
  <c r="Q220" i="76"/>
  <c r="Q205" i="76"/>
  <c r="Q207" i="76"/>
  <c r="Q265" i="76"/>
  <c r="Q209" i="76"/>
  <c r="Q201" i="76"/>
  <c r="Q199" i="76"/>
  <c r="Q197" i="76"/>
  <c r="Q195" i="76"/>
  <c r="Q193" i="76"/>
  <c r="Q191" i="76"/>
  <c r="Q189" i="76"/>
  <c r="Q187" i="76"/>
  <c r="Q185" i="76"/>
  <c r="Q183" i="76"/>
  <c r="Q181" i="76"/>
  <c r="Q179" i="76"/>
  <c r="Q186" i="76"/>
  <c r="Q182" i="76"/>
  <c r="Q180" i="76"/>
  <c r="Q192" i="76"/>
  <c r="Q170" i="76"/>
  <c r="Q173" i="76"/>
  <c r="Q82" i="76"/>
  <c r="Q74" i="76"/>
  <c r="Q188" i="76"/>
  <c r="Q184" i="76"/>
  <c r="Q174" i="76"/>
  <c r="Q172" i="76"/>
  <c r="Q167" i="76"/>
  <c r="Q177" i="76"/>
  <c r="Q176" i="76"/>
  <c r="Q169" i="76"/>
  <c r="Q88" i="76"/>
  <c r="Q80" i="76"/>
  <c r="Q72" i="76"/>
  <c r="Q168" i="76"/>
  <c r="Q83" i="76"/>
  <c r="Q75" i="76"/>
  <c r="Q178" i="76"/>
  <c r="Q84" i="76"/>
  <c r="Q71" i="76"/>
  <c r="Q175" i="76"/>
  <c r="Q81" i="76"/>
  <c r="Q69" i="76"/>
  <c r="Q190" i="76"/>
  <c r="Q79" i="76"/>
  <c r="Q78" i="76"/>
  <c r="Q171" i="76"/>
  <c r="Q87" i="76"/>
  <c r="Q86" i="76"/>
  <c r="Q73" i="76"/>
  <c r="Q85" i="76"/>
  <c r="Q76" i="76"/>
  <c r="Q77" i="76"/>
  <c r="Q70" i="76"/>
  <c r="P214" i="76"/>
  <c r="P49" i="76" l="1"/>
  <c r="Q49" i="76" s="1"/>
  <c r="Q272" i="76"/>
  <c r="S62" i="76" s="1"/>
  <c r="AA126" i="76"/>
  <c r="Q267" i="76"/>
  <c r="S132" i="76"/>
  <c r="AJ215" i="76"/>
  <c r="BG176" i="76"/>
  <c r="Q214" i="76"/>
  <c r="Q115" i="76"/>
  <c r="AJ216" i="76" l="1"/>
  <c r="P272" i="76" s="1"/>
  <c r="P56" i="76" s="1"/>
  <c r="Q56" i="76" s="1"/>
  <c r="D64" i="76"/>
  <c r="S75" i="72"/>
  <c r="G56" i="72"/>
  <c r="D107" i="73"/>
  <c r="D53" i="73"/>
  <c r="G172" i="72" s="1"/>
  <c r="D42" i="60"/>
  <c r="D43" i="60"/>
  <c r="E43" i="60" s="1"/>
  <c r="F43" i="60" s="1"/>
  <c r="G43" i="60" s="1"/>
  <c r="H43" i="60" s="1"/>
  <c r="I43" i="60" s="1"/>
  <c r="J43" i="60" s="1"/>
  <c r="K43" i="60" s="1"/>
  <c r="L43" i="60" s="1"/>
  <c r="M43" i="60" s="1"/>
  <c r="N43" i="60" s="1"/>
  <c r="D44" i="60"/>
  <c r="E44" i="60" s="1"/>
  <c r="F44" i="60" s="1"/>
  <c r="G44" i="60" s="1"/>
  <c r="H44" i="60" s="1"/>
  <c r="I44" i="60" s="1"/>
  <c r="J44" i="60" s="1"/>
  <c r="K44" i="60" s="1"/>
  <c r="L44" i="60" s="1"/>
  <c r="M44" i="60" s="1"/>
  <c r="N44" i="60" s="1"/>
  <c r="D45" i="60"/>
  <c r="E45" i="60" s="1"/>
  <c r="F45" i="60" s="1"/>
  <c r="G45" i="60" s="1"/>
  <c r="H45" i="60" s="1"/>
  <c r="I45" i="60" s="1"/>
  <c r="J45" i="60" s="1"/>
  <c r="K45" i="60" s="1"/>
  <c r="L45" i="60" s="1"/>
  <c r="M45" i="60" s="1"/>
  <c r="N45" i="60" s="1"/>
  <c r="D46" i="60"/>
  <c r="E46" i="60" s="1"/>
  <c r="F46" i="60" s="1"/>
  <c r="G46" i="60" s="1"/>
  <c r="H46" i="60" s="1"/>
  <c r="I46" i="60" s="1"/>
  <c r="J46" i="60" s="1"/>
  <c r="K46" i="60" s="1"/>
  <c r="L46" i="60" s="1"/>
  <c r="M46" i="60" s="1"/>
  <c r="N46" i="60" s="1"/>
  <c r="D47" i="60"/>
  <c r="E47" i="60" s="1"/>
  <c r="F47" i="60" s="1"/>
  <c r="G47" i="60" s="1"/>
  <c r="H47" i="60" s="1"/>
  <c r="I47" i="60" s="1"/>
  <c r="J47" i="60" s="1"/>
  <c r="K47" i="60" s="1"/>
  <c r="L47" i="60" s="1"/>
  <c r="M47" i="60" s="1"/>
  <c r="N47" i="60" s="1"/>
  <c r="D48" i="60"/>
  <c r="E48" i="60" s="1"/>
  <c r="F48" i="60" s="1"/>
  <c r="G48" i="60" s="1"/>
  <c r="H48" i="60" s="1"/>
  <c r="I48" i="60" s="1"/>
  <c r="J48" i="60" s="1"/>
  <c r="K48" i="60" s="1"/>
  <c r="L48" i="60" s="1"/>
  <c r="M48" i="60" s="1"/>
  <c r="N48" i="60" s="1"/>
  <c r="D49" i="60"/>
  <c r="E49" i="60" s="1"/>
  <c r="F49" i="60" s="1"/>
  <c r="G49" i="60" s="1"/>
  <c r="H49" i="60" s="1"/>
  <c r="I49" i="60" s="1"/>
  <c r="J49" i="60" s="1"/>
  <c r="K49" i="60" s="1"/>
  <c r="L49" i="60" s="1"/>
  <c r="M49" i="60" s="1"/>
  <c r="N49" i="60" s="1"/>
  <c r="D50" i="60"/>
  <c r="E50" i="60" s="1"/>
  <c r="F50" i="60" s="1"/>
  <c r="G50" i="60" s="1"/>
  <c r="H50" i="60" s="1"/>
  <c r="I50" i="60" s="1"/>
  <c r="J50" i="60" s="1"/>
  <c r="K50" i="60" s="1"/>
  <c r="L50" i="60" s="1"/>
  <c r="M50" i="60" s="1"/>
  <c r="N50" i="60" s="1"/>
  <c r="D51" i="60"/>
  <c r="E51" i="60" s="1"/>
  <c r="F51" i="60" s="1"/>
  <c r="G51" i="60" s="1"/>
  <c r="H51" i="60" s="1"/>
  <c r="I51" i="60" s="1"/>
  <c r="J51" i="60" s="1"/>
  <c r="K51" i="60" s="1"/>
  <c r="L51" i="60" s="1"/>
  <c r="M51" i="60" s="1"/>
  <c r="N51" i="60" s="1"/>
  <c r="D52" i="60"/>
  <c r="E52" i="60" s="1"/>
  <c r="F52" i="60" s="1"/>
  <c r="G52" i="60" s="1"/>
  <c r="H52" i="60" s="1"/>
  <c r="I52" i="60" s="1"/>
  <c r="J52" i="60" s="1"/>
  <c r="K52" i="60" s="1"/>
  <c r="L52" i="60" s="1"/>
  <c r="M52" i="60" s="1"/>
  <c r="N52" i="60" s="1"/>
  <c r="D53" i="60"/>
  <c r="E53" i="60" s="1"/>
  <c r="F53" i="60" s="1"/>
  <c r="G53" i="60" s="1"/>
  <c r="H53" i="60" s="1"/>
  <c r="I53" i="60" s="1"/>
  <c r="J53" i="60" s="1"/>
  <c r="K53" i="60" s="1"/>
  <c r="L53" i="60" s="1"/>
  <c r="M53" i="60" s="1"/>
  <c r="N53" i="60" s="1"/>
  <c r="D54" i="60"/>
  <c r="D55" i="60"/>
  <c r="E55" i="60" s="1"/>
  <c r="F55" i="60" s="1"/>
  <c r="G55" i="60" s="1"/>
  <c r="H55" i="60" s="1"/>
  <c r="I55" i="60" s="1"/>
  <c r="J55" i="60" s="1"/>
  <c r="K55" i="60" s="1"/>
  <c r="L55" i="60" s="1"/>
  <c r="M55" i="60" s="1"/>
  <c r="N55" i="60" s="1"/>
  <c r="D56" i="60"/>
  <c r="E56" i="60" s="1"/>
  <c r="F56" i="60" s="1"/>
  <c r="G56" i="60" s="1"/>
  <c r="H56" i="60" s="1"/>
  <c r="I56" i="60" s="1"/>
  <c r="J56" i="60" s="1"/>
  <c r="K56" i="60" s="1"/>
  <c r="L56" i="60" s="1"/>
  <c r="M56" i="60" s="1"/>
  <c r="N56" i="60" s="1"/>
  <c r="D57" i="60"/>
  <c r="E57" i="60" s="1"/>
  <c r="F57" i="60" s="1"/>
  <c r="G57" i="60" s="1"/>
  <c r="H57" i="60" s="1"/>
  <c r="I57" i="60" s="1"/>
  <c r="J57" i="60" s="1"/>
  <c r="K57" i="60" s="1"/>
  <c r="L57" i="60" s="1"/>
  <c r="M57" i="60" s="1"/>
  <c r="N57" i="60" s="1"/>
  <c r="D58" i="60"/>
  <c r="E58" i="60" s="1"/>
  <c r="F58" i="60" s="1"/>
  <c r="G58" i="60" s="1"/>
  <c r="H58" i="60" s="1"/>
  <c r="I58" i="60" s="1"/>
  <c r="J58" i="60" s="1"/>
  <c r="K58" i="60" s="1"/>
  <c r="L58" i="60" s="1"/>
  <c r="M58" i="60" s="1"/>
  <c r="N58" i="60" s="1"/>
  <c r="D59" i="60"/>
  <c r="E59" i="60" s="1"/>
  <c r="F59" i="60" s="1"/>
  <c r="G59" i="60" s="1"/>
  <c r="H59" i="60" s="1"/>
  <c r="I59" i="60" s="1"/>
  <c r="J59" i="60" s="1"/>
  <c r="K59" i="60" s="1"/>
  <c r="L59" i="60" s="1"/>
  <c r="M59" i="60" s="1"/>
  <c r="N59" i="60" s="1"/>
  <c r="D60" i="60"/>
  <c r="E60" i="60" s="1"/>
  <c r="F60" i="60" s="1"/>
  <c r="G60" i="60" s="1"/>
  <c r="H60" i="60" s="1"/>
  <c r="I60" i="60" s="1"/>
  <c r="J60" i="60" s="1"/>
  <c r="K60" i="60" s="1"/>
  <c r="L60" i="60" s="1"/>
  <c r="M60" i="60" s="1"/>
  <c r="N60" i="60" s="1"/>
  <c r="D61" i="60"/>
  <c r="E61" i="60" s="1"/>
  <c r="F61" i="60" s="1"/>
  <c r="G61" i="60" s="1"/>
  <c r="H61" i="60" s="1"/>
  <c r="I61" i="60" s="1"/>
  <c r="J61" i="60" s="1"/>
  <c r="K61" i="60" s="1"/>
  <c r="L61" i="60" s="1"/>
  <c r="M61" i="60" s="1"/>
  <c r="N61" i="60" s="1"/>
  <c r="D62" i="60"/>
  <c r="E62" i="60" s="1"/>
  <c r="F62" i="60" s="1"/>
  <c r="G62" i="60" s="1"/>
  <c r="H62" i="60" s="1"/>
  <c r="I62" i="60" s="1"/>
  <c r="J62" i="60" s="1"/>
  <c r="K62" i="60" s="1"/>
  <c r="L62" i="60" s="1"/>
  <c r="M62" i="60" s="1"/>
  <c r="N62" i="60" s="1"/>
  <c r="D63" i="60"/>
  <c r="E63" i="60" s="1"/>
  <c r="F63" i="60" s="1"/>
  <c r="G63" i="60" s="1"/>
  <c r="H63" i="60" s="1"/>
  <c r="I63" i="60" s="1"/>
  <c r="J63" i="60" s="1"/>
  <c r="K63" i="60" s="1"/>
  <c r="L63" i="60" s="1"/>
  <c r="M63" i="60" s="1"/>
  <c r="N63" i="60" s="1"/>
  <c r="E41" i="60"/>
  <c r="F41" i="60" s="1"/>
  <c r="G41" i="60" s="1"/>
  <c r="H41" i="60" s="1"/>
  <c r="I41" i="60" s="1"/>
  <c r="J41" i="60" s="1"/>
  <c r="K41" i="60" s="1"/>
  <c r="L41" i="60" s="1"/>
  <c r="M41" i="60" s="1"/>
  <c r="N41" i="60" s="1"/>
  <c r="D70" i="60"/>
  <c r="E70" i="60" s="1"/>
  <c r="F70" i="60" s="1"/>
  <c r="G70" i="60" s="1"/>
  <c r="H70" i="60" s="1"/>
  <c r="I70" i="60" s="1"/>
  <c r="J70" i="60" s="1"/>
  <c r="K70" i="60" s="1"/>
  <c r="L70" i="60" s="1"/>
  <c r="M70" i="60" s="1"/>
  <c r="N70" i="60" s="1"/>
  <c r="D71" i="60"/>
  <c r="E71" i="60" s="1"/>
  <c r="F71" i="60" s="1"/>
  <c r="G71" i="60" s="1"/>
  <c r="H71" i="60" s="1"/>
  <c r="I71" i="60" s="1"/>
  <c r="J71" i="60" s="1"/>
  <c r="K71" i="60" s="1"/>
  <c r="L71" i="60" s="1"/>
  <c r="M71" i="60" s="1"/>
  <c r="N71" i="60" s="1"/>
  <c r="D72" i="60"/>
  <c r="E72" i="60" s="1"/>
  <c r="F72" i="60" s="1"/>
  <c r="G72" i="60" s="1"/>
  <c r="H72" i="60" s="1"/>
  <c r="I72" i="60" s="1"/>
  <c r="J72" i="60" s="1"/>
  <c r="K72" i="60" s="1"/>
  <c r="L72" i="60" s="1"/>
  <c r="M72" i="60" s="1"/>
  <c r="N72" i="60" s="1"/>
  <c r="D73" i="60"/>
  <c r="E73" i="60" s="1"/>
  <c r="F73" i="60" s="1"/>
  <c r="G73" i="60" s="1"/>
  <c r="H73" i="60" s="1"/>
  <c r="I73" i="60" s="1"/>
  <c r="J73" i="60" s="1"/>
  <c r="K73" i="60" s="1"/>
  <c r="L73" i="60" s="1"/>
  <c r="M73" i="60" s="1"/>
  <c r="N73" i="60" s="1"/>
  <c r="D74" i="60"/>
  <c r="E74" i="60" s="1"/>
  <c r="F74" i="60" s="1"/>
  <c r="G74" i="60" s="1"/>
  <c r="H74" i="60" s="1"/>
  <c r="I74" i="60" s="1"/>
  <c r="J74" i="60" s="1"/>
  <c r="K74" i="60" s="1"/>
  <c r="L74" i="60" s="1"/>
  <c r="M74" i="60" s="1"/>
  <c r="N74" i="60" s="1"/>
  <c r="D76" i="60"/>
  <c r="E76" i="60" s="1"/>
  <c r="F76" i="60" s="1"/>
  <c r="G76" i="60" s="1"/>
  <c r="H76" i="60" s="1"/>
  <c r="I76" i="60" s="1"/>
  <c r="J76" i="60" s="1"/>
  <c r="K76" i="60" s="1"/>
  <c r="L76" i="60" s="1"/>
  <c r="M76" i="60" s="1"/>
  <c r="N76" i="60" s="1"/>
  <c r="D77" i="60"/>
  <c r="E77" i="60" s="1"/>
  <c r="F77" i="60" s="1"/>
  <c r="G77" i="60" s="1"/>
  <c r="H77" i="60" s="1"/>
  <c r="I77" i="60" s="1"/>
  <c r="J77" i="60" s="1"/>
  <c r="K77" i="60" s="1"/>
  <c r="L77" i="60" s="1"/>
  <c r="M77" i="60" s="1"/>
  <c r="N77" i="60" s="1"/>
  <c r="D78" i="60"/>
  <c r="E78" i="60" s="1"/>
  <c r="F78" i="60" s="1"/>
  <c r="G78" i="60" s="1"/>
  <c r="H78" i="60" s="1"/>
  <c r="I78" i="60" s="1"/>
  <c r="J78" i="60" s="1"/>
  <c r="K78" i="60" s="1"/>
  <c r="L78" i="60" s="1"/>
  <c r="M78" i="60" s="1"/>
  <c r="N78" i="60" s="1"/>
  <c r="D79" i="60"/>
  <c r="E79" i="60" s="1"/>
  <c r="F79" i="60" s="1"/>
  <c r="G79" i="60" s="1"/>
  <c r="H79" i="60" s="1"/>
  <c r="I79" i="60" s="1"/>
  <c r="J79" i="60" s="1"/>
  <c r="K79" i="60" s="1"/>
  <c r="L79" i="60" s="1"/>
  <c r="M79" i="60" s="1"/>
  <c r="N79" i="60" s="1"/>
  <c r="D80" i="60"/>
  <c r="E80" i="60" s="1"/>
  <c r="F80" i="60" s="1"/>
  <c r="G80" i="60" s="1"/>
  <c r="H80" i="60" s="1"/>
  <c r="I80" i="60" s="1"/>
  <c r="J80" i="60" s="1"/>
  <c r="K80" i="60" s="1"/>
  <c r="L80" i="60" s="1"/>
  <c r="M80" i="60" s="1"/>
  <c r="N80" i="60" s="1"/>
  <c r="D81" i="60"/>
  <c r="E81" i="60" s="1"/>
  <c r="F81" i="60" s="1"/>
  <c r="G81" i="60" s="1"/>
  <c r="H81" i="60" s="1"/>
  <c r="I81" i="60" s="1"/>
  <c r="J81" i="60" s="1"/>
  <c r="K81" i="60" s="1"/>
  <c r="L81" i="60" s="1"/>
  <c r="M81" i="60" s="1"/>
  <c r="N81" i="60" s="1"/>
  <c r="D82" i="60"/>
  <c r="D83" i="60"/>
  <c r="E83" i="60" s="1"/>
  <c r="F83" i="60" s="1"/>
  <c r="G83" i="60" s="1"/>
  <c r="H83" i="60" s="1"/>
  <c r="I83" i="60" s="1"/>
  <c r="J83" i="60" s="1"/>
  <c r="K83" i="60" s="1"/>
  <c r="L83" i="60" s="1"/>
  <c r="M83" i="60" s="1"/>
  <c r="N83" i="60" s="1"/>
  <c r="D85" i="60"/>
  <c r="E85" i="60" s="1"/>
  <c r="F85" i="60" s="1"/>
  <c r="G85" i="60" s="1"/>
  <c r="H85" i="60" s="1"/>
  <c r="I85" i="60" s="1"/>
  <c r="J85" i="60" s="1"/>
  <c r="K85" i="60" s="1"/>
  <c r="L85" i="60" s="1"/>
  <c r="M85" i="60" s="1"/>
  <c r="N85" i="60" s="1"/>
  <c r="D86" i="60"/>
  <c r="E86" i="60" s="1"/>
  <c r="F86" i="60" s="1"/>
  <c r="G86" i="60" s="1"/>
  <c r="H86" i="60" s="1"/>
  <c r="I86" i="60" s="1"/>
  <c r="J86" i="60" s="1"/>
  <c r="K86" i="60" s="1"/>
  <c r="L86" i="60" s="1"/>
  <c r="M86" i="60" s="1"/>
  <c r="N86" i="60" s="1"/>
  <c r="D87" i="60"/>
  <c r="E87" i="60" s="1"/>
  <c r="F87" i="60" s="1"/>
  <c r="G87" i="60" s="1"/>
  <c r="H87" i="60" s="1"/>
  <c r="I87" i="60" s="1"/>
  <c r="J87" i="60" s="1"/>
  <c r="K87" i="60" s="1"/>
  <c r="L87" i="60" s="1"/>
  <c r="M87" i="60" s="1"/>
  <c r="N87" i="60" s="1"/>
  <c r="D89" i="60"/>
  <c r="E89" i="60" s="1"/>
  <c r="F89" i="60" s="1"/>
  <c r="G89" i="60" s="1"/>
  <c r="H89" i="60" s="1"/>
  <c r="I89" i="60" s="1"/>
  <c r="J89" i="60" s="1"/>
  <c r="K89" i="60" s="1"/>
  <c r="L89" i="60" s="1"/>
  <c r="M89" i="60" s="1"/>
  <c r="N89" i="60" s="1"/>
  <c r="D90" i="60"/>
  <c r="E90" i="60" s="1"/>
  <c r="F90" i="60" s="1"/>
  <c r="G90" i="60" s="1"/>
  <c r="H90" i="60" s="1"/>
  <c r="I90" i="60" s="1"/>
  <c r="J90" i="60" s="1"/>
  <c r="K90" i="60" s="1"/>
  <c r="L90" i="60" s="1"/>
  <c r="M90" i="60" s="1"/>
  <c r="N90" i="60" s="1"/>
  <c r="D91" i="60"/>
  <c r="E91" i="60" s="1"/>
  <c r="F91" i="60" s="1"/>
  <c r="G91" i="60" s="1"/>
  <c r="H91" i="60" s="1"/>
  <c r="I91" i="60" s="1"/>
  <c r="J91" i="60" s="1"/>
  <c r="K91" i="60" s="1"/>
  <c r="L91" i="60" s="1"/>
  <c r="M91" i="60" s="1"/>
  <c r="N91" i="60" s="1"/>
  <c r="E69" i="60"/>
  <c r="F69" i="60" s="1"/>
  <c r="G69" i="60" s="1"/>
  <c r="H69" i="60" s="1"/>
  <c r="I69" i="60" s="1"/>
  <c r="J69" i="60" s="1"/>
  <c r="K69" i="60" s="1"/>
  <c r="B89" i="74"/>
  <c r="C89" i="74"/>
  <c r="D89" i="74"/>
  <c r="B90" i="74"/>
  <c r="C90" i="74"/>
  <c r="D90" i="74"/>
  <c r="B91" i="74"/>
  <c r="C91" i="74"/>
  <c r="D91" i="74"/>
  <c r="B92" i="74"/>
  <c r="C92" i="74"/>
  <c r="D92" i="74"/>
  <c r="B93" i="74"/>
  <c r="C93" i="74"/>
  <c r="D93" i="74"/>
  <c r="B94" i="74"/>
  <c r="C94" i="74"/>
  <c r="D94" i="74"/>
  <c r="B96" i="74"/>
  <c r="C96" i="74"/>
  <c r="D96" i="74"/>
  <c r="B97" i="74"/>
  <c r="C97" i="74"/>
  <c r="D97" i="74"/>
  <c r="B98" i="74"/>
  <c r="C98" i="74"/>
  <c r="D98" i="74"/>
  <c r="B99" i="74"/>
  <c r="C99" i="74"/>
  <c r="D99" i="74"/>
  <c r="B100" i="74"/>
  <c r="C100" i="74"/>
  <c r="D100" i="74"/>
  <c r="B101" i="74"/>
  <c r="C101" i="74"/>
  <c r="D101" i="74"/>
  <c r="B102" i="74"/>
  <c r="C102" i="74"/>
  <c r="D102" i="74"/>
  <c r="B103" i="74"/>
  <c r="C103" i="74"/>
  <c r="D103" i="74"/>
  <c r="B105" i="74"/>
  <c r="C105" i="74"/>
  <c r="D105" i="74"/>
  <c r="B106" i="74"/>
  <c r="C106" i="74"/>
  <c r="D106" i="74"/>
  <c r="B107" i="74"/>
  <c r="C107" i="74"/>
  <c r="D107" i="74"/>
  <c r="B109" i="74"/>
  <c r="C109" i="74"/>
  <c r="D109" i="74"/>
  <c r="B110" i="74"/>
  <c r="C110" i="74"/>
  <c r="D110" i="74"/>
  <c r="B111" i="74"/>
  <c r="C111" i="74"/>
  <c r="D111" i="74"/>
  <c r="B89" i="73"/>
  <c r="E89" i="74" s="1"/>
  <c r="C89" i="73"/>
  <c r="F89" i="74" s="1"/>
  <c r="D89" i="73"/>
  <c r="G183" i="72" s="1"/>
  <c r="B90" i="73"/>
  <c r="E90" i="74" s="1"/>
  <c r="C90" i="73"/>
  <c r="F90" i="74" s="1"/>
  <c r="D90" i="73"/>
  <c r="G184" i="72" s="1"/>
  <c r="F33" i="44" s="1"/>
  <c r="B91" i="73"/>
  <c r="E91" i="74" s="1"/>
  <c r="C91" i="73"/>
  <c r="F91" i="74" s="1"/>
  <c r="D91" i="73"/>
  <c r="G185" i="72" s="1"/>
  <c r="F33" i="8" s="1"/>
  <c r="B92" i="73"/>
  <c r="E92" i="74" s="1"/>
  <c r="C92" i="73"/>
  <c r="F92" i="74" s="1"/>
  <c r="D92" i="73"/>
  <c r="G186" i="72" s="1"/>
  <c r="F33" i="56" s="1"/>
  <c r="B93" i="73"/>
  <c r="E93" i="74" s="1"/>
  <c r="C93" i="73"/>
  <c r="F93" i="74" s="1"/>
  <c r="D93" i="73"/>
  <c r="G187" i="72" s="1"/>
  <c r="F33" i="5" s="1"/>
  <c r="B94" i="73"/>
  <c r="E94" i="74" s="1"/>
  <c r="C94" i="73"/>
  <c r="F94" i="74" s="1"/>
  <c r="D94" i="73"/>
  <c r="G188" i="72" s="1"/>
  <c r="F33" i="17" s="1"/>
  <c r="B96" i="73"/>
  <c r="E96" i="74" s="1"/>
  <c r="C96" i="73"/>
  <c r="F96" i="74" s="1"/>
  <c r="D96" i="73"/>
  <c r="G190" i="72" s="1"/>
  <c r="F33" i="32" s="1"/>
  <c r="B97" i="73"/>
  <c r="E97" i="74" s="1"/>
  <c r="C97" i="73"/>
  <c r="F97" i="74" s="1"/>
  <c r="D97" i="73"/>
  <c r="G191" i="72" s="1"/>
  <c r="F33" i="11" s="1"/>
  <c r="B98" i="73"/>
  <c r="E98" i="74" s="1"/>
  <c r="C98" i="73"/>
  <c r="F98" i="74" s="1"/>
  <c r="D98" i="73"/>
  <c r="G192" i="72" s="1"/>
  <c r="F33" i="14" s="1"/>
  <c r="B99" i="73"/>
  <c r="E99" i="74" s="1"/>
  <c r="C99" i="73"/>
  <c r="F99" i="74" s="1"/>
  <c r="D99" i="73"/>
  <c r="G193" i="72" s="1"/>
  <c r="F33" i="47" s="1"/>
  <c r="B100" i="73"/>
  <c r="E100" i="74" s="1"/>
  <c r="C100" i="73"/>
  <c r="F100" i="74" s="1"/>
  <c r="D100" i="73"/>
  <c r="G194" i="72" s="1"/>
  <c r="F33" i="23" s="1"/>
  <c r="B101" i="73"/>
  <c r="E101" i="74" s="1"/>
  <c r="C101" i="73"/>
  <c r="F101" i="74" s="1"/>
  <c r="D101" i="73"/>
  <c r="G195" i="72" s="1"/>
  <c r="F33" i="29" s="1"/>
  <c r="B102" i="73"/>
  <c r="E102" i="74" s="1"/>
  <c r="C102" i="73"/>
  <c r="F102" i="74" s="1"/>
  <c r="D102" i="73"/>
  <c r="G196" i="72" s="1"/>
  <c r="B103" i="73"/>
  <c r="E103" i="74" s="1"/>
  <c r="C103" i="73"/>
  <c r="F103" i="74" s="1"/>
  <c r="D103" i="73"/>
  <c r="G197" i="72" s="1"/>
  <c r="F33" i="20" s="1"/>
  <c r="B105" i="73"/>
  <c r="E105" i="74" s="1"/>
  <c r="C105" i="73"/>
  <c r="F105" i="74" s="1"/>
  <c r="D105" i="73"/>
  <c r="G199" i="72" s="1"/>
  <c r="F33" i="61" s="1"/>
  <c r="B106" i="73"/>
  <c r="E106" i="74" s="1"/>
  <c r="C106" i="73"/>
  <c r="F106" i="74" s="1"/>
  <c r="D106" i="73"/>
  <c r="G200" i="72" s="1"/>
  <c r="F33" i="64" s="1"/>
  <c r="B107" i="73"/>
  <c r="E107" i="74" s="1"/>
  <c r="C107" i="73"/>
  <c r="F107" i="74" s="1"/>
  <c r="B109" i="73"/>
  <c r="E109" i="74" s="1"/>
  <c r="C109" i="73"/>
  <c r="F109" i="74" s="1"/>
  <c r="G203" i="72"/>
  <c r="B110" i="73"/>
  <c r="E110" i="74" s="1"/>
  <c r="C110" i="73"/>
  <c r="F110" i="74" s="1"/>
  <c r="D110" i="73"/>
  <c r="G204" i="72" s="1"/>
  <c r="B111" i="73"/>
  <c r="E111" i="74" s="1"/>
  <c r="C111" i="73"/>
  <c r="F111" i="74" s="1"/>
  <c r="D111" i="73"/>
  <c r="G205" i="72" s="1"/>
  <c r="F33" i="41" s="1"/>
  <c r="B51" i="74"/>
  <c r="B52" i="74"/>
  <c r="B37" i="73"/>
  <c r="D115" i="8"/>
  <c r="S64" i="8" s="1"/>
  <c r="U58" i="8" s="1"/>
  <c r="C115" i="8"/>
  <c r="V162" i="1"/>
  <c r="S64" i="1"/>
  <c r="U58" i="1" s="1"/>
  <c r="S63" i="1"/>
  <c r="H87" i="1"/>
  <c r="G88" i="1"/>
  <c r="H88" i="1"/>
  <c r="G82" i="1"/>
  <c r="H82" i="1"/>
  <c r="G83" i="1"/>
  <c r="H83" i="1"/>
  <c r="G84" i="1"/>
  <c r="H84" i="1"/>
  <c r="G85" i="1"/>
  <c r="H85" i="1"/>
  <c r="G86" i="1"/>
  <c r="H86" i="1"/>
  <c r="E42" i="60" l="1"/>
  <c r="F42" i="60" s="1"/>
  <c r="G42" i="60" s="1"/>
  <c r="H42" i="60" s="1"/>
  <c r="I42" i="60" s="1"/>
  <c r="J42" i="60" s="1"/>
  <c r="K42" i="60" s="1"/>
  <c r="L42" i="60" s="1"/>
  <c r="M42" i="60" s="1"/>
  <c r="N42" i="60" s="1"/>
  <c r="G94" i="74"/>
  <c r="G103" i="74"/>
  <c r="G101" i="74"/>
  <c r="G92" i="74"/>
  <c r="G107" i="74"/>
  <c r="G201" i="72"/>
  <c r="G98" i="74"/>
  <c r="G89" i="74"/>
  <c r="G100" i="74"/>
  <c r="G91" i="74"/>
  <c r="G111" i="74"/>
  <c r="G106" i="74"/>
  <c r="G97" i="74"/>
  <c r="F33" i="76"/>
  <c r="F33" i="53"/>
  <c r="F33" i="83"/>
  <c r="F33" i="1"/>
  <c r="G102" i="74"/>
  <c r="G93" i="74"/>
  <c r="G99" i="74"/>
  <c r="G90" i="74"/>
  <c r="G110" i="74"/>
  <c r="G105" i="74"/>
  <c r="G96" i="74"/>
  <c r="G109" i="74"/>
  <c r="F33" i="50"/>
  <c r="S63" i="8"/>
  <c r="D62" i="8"/>
  <c r="E54" i="60"/>
  <c r="I17" i="72" s="1"/>
  <c r="H167" i="72"/>
  <c r="E82" i="60"/>
  <c r="H196" i="72"/>
  <c r="H46" i="72"/>
  <c r="S61" i="76"/>
  <c r="S133" i="76"/>
  <c r="H17" i="72"/>
  <c r="AM184" i="1"/>
  <c r="AL184" i="1"/>
  <c r="AL183" i="1"/>
  <c r="AM183" i="1"/>
  <c r="AM186" i="1"/>
  <c r="AL186" i="1"/>
  <c r="AM181" i="1"/>
  <c r="AL181" i="1"/>
  <c r="AM187" i="1"/>
  <c r="AL187" i="1"/>
  <c r="AM185" i="1"/>
  <c r="AL185" i="1"/>
  <c r="AM182" i="1"/>
  <c r="AL182" i="1"/>
  <c r="L69" i="60"/>
  <c r="M69" i="60" s="1"/>
  <c r="N69" i="60" s="1"/>
  <c r="G206" i="72" l="1"/>
  <c r="F82" i="60"/>
  <c r="I196" i="72"/>
  <c r="I46" i="72"/>
  <c r="F54" i="60"/>
  <c r="I167" i="72"/>
  <c r="T157" i="1"/>
  <c r="J52" i="74"/>
  <c r="G54" i="60" l="1"/>
  <c r="J167" i="72"/>
  <c r="J17" i="72"/>
  <c r="G82" i="60"/>
  <c r="J196" i="72"/>
  <c r="J46" i="72"/>
  <c r="L3" i="75"/>
  <c r="L4" i="75"/>
  <c r="L5" i="75"/>
  <c r="L6" i="75"/>
  <c r="L7" i="75"/>
  <c r="L8" i="75"/>
  <c r="L9" i="75"/>
  <c r="L10" i="75"/>
  <c r="L11" i="75"/>
  <c r="L12" i="75"/>
  <c r="L13" i="75"/>
  <c r="L14" i="75"/>
  <c r="L15" i="75"/>
  <c r="L16" i="75"/>
  <c r="L17" i="75"/>
  <c r="L18" i="75"/>
  <c r="L19" i="75"/>
  <c r="L20" i="75"/>
  <c r="L21" i="75"/>
  <c r="L22" i="75"/>
  <c r="L23" i="75"/>
  <c r="L24" i="75"/>
  <c r="L25" i="75"/>
  <c r="L2" i="75"/>
  <c r="H82" i="60" l="1"/>
  <c r="K196" i="72"/>
  <c r="K46" i="72"/>
  <c r="H54" i="60"/>
  <c r="K167" i="72"/>
  <c r="K17" i="72"/>
  <c r="G78" i="8"/>
  <c r="G79" i="8"/>
  <c r="G80" i="8"/>
  <c r="G81" i="8"/>
  <c r="I54" i="60" l="1"/>
  <c r="L167" i="72"/>
  <c r="L17" i="72"/>
  <c r="I82" i="60"/>
  <c r="L196" i="72"/>
  <c r="L46" i="72"/>
  <c r="AM180" i="8"/>
  <c r="AL180" i="8"/>
  <c r="AM179" i="8"/>
  <c r="AL179" i="8"/>
  <c r="AM178" i="8"/>
  <c r="AL178" i="8"/>
  <c r="AM177" i="8"/>
  <c r="AL177" i="8"/>
  <c r="Q239" i="59"/>
  <c r="R239" i="59"/>
  <c r="J54" i="60" l="1"/>
  <c r="M167" i="72"/>
  <c r="M17" i="72"/>
  <c r="J82" i="60"/>
  <c r="M196" i="72"/>
  <c r="M46" i="72"/>
  <c r="P239" i="59"/>
  <c r="O239" i="59"/>
  <c r="N239" i="59"/>
  <c r="M239" i="59"/>
  <c r="L239" i="59"/>
  <c r="K239" i="59"/>
  <c r="J239" i="59"/>
  <c r="I239" i="59"/>
  <c r="H239" i="59"/>
  <c r="G239" i="59"/>
  <c r="S238" i="59"/>
  <c r="S237" i="59"/>
  <c r="S236" i="59"/>
  <c r="S235" i="59"/>
  <c r="S234" i="59"/>
  <c r="S233" i="59"/>
  <c r="S232" i="59"/>
  <c r="S231" i="59"/>
  <c r="S230" i="59"/>
  <c r="S229" i="59"/>
  <c r="S228" i="59"/>
  <c r="S227" i="59"/>
  <c r="S226" i="59"/>
  <c r="S225" i="59"/>
  <c r="S224" i="59"/>
  <c r="S223" i="59"/>
  <c r="S222" i="59"/>
  <c r="S221" i="59"/>
  <c r="S220" i="59"/>
  <c r="S219" i="59"/>
  <c r="S218" i="59"/>
  <c r="S217" i="59"/>
  <c r="S216" i="59"/>
  <c r="K82" i="60" l="1"/>
  <c r="N196" i="72"/>
  <c r="N46" i="72"/>
  <c r="K54" i="60"/>
  <c r="N167" i="72"/>
  <c r="N17" i="72"/>
  <c r="S239" i="59"/>
  <c r="D57" i="74"/>
  <c r="C57" i="74"/>
  <c r="B57" i="74"/>
  <c r="D56" i="74"/>
  <c r="C56" i="74"/>
  <c r="B56" i="74"/>
  <c r="D55" i="74"/>
  <c r="C55" i="74"/>
  <c r="B55" i="74"/>
  <c r="D54" i="74"/>
  <c r="C54" i="74"/>
  <c r="B54" i="74"/>
  <c r="D53" i="74"/>
  <c r="C53" i="74"/>
  <c r="B53" i="74"/>
  <c r="D52" i="74"/>
  <c r="C52" i="74"/>
  <c r="D51" i="74"/>
  <c r="C51" i="74"/>
  <c r="D50" i="74"/>
  <c r="C50" i="74"/>
  <c r="B50" i="74"/>
  <c r="D49" i="74"/>
  <c r="C49" i="74"/>
  <c r="B49" i="74"/>
  <c r="D48" i="74"/>
  <c r="C48" i="74"/>
  <c r="B48" i="74"/>
  <c r="D47" i="74"/>
  <c r="C47" i="74"/>
  <c r="B47" i="74"/>
  <c r="D46" i="74"/>
  <c r="C46" i="74"/>
  <c r="B46" i="74"/>
  <c r="D45" i="74"/>
  <c r="C45" i="74"/>
  <c r="B45" i="74"/>
  <c r="D44" i="74"/>
  <c r="C44" i="74"/>
  <c r="B44" i="74"/>
  <c r="D43" i="74"/>
  <c r="C43" i="74"/>
  <c r="B43" i="74"/>
  <c r="D42" i="74"/>
  <c r="C42" i="74"/>
  <c r="B42" i="74"/>
  <c r="D41" i="74"/>
  <c r="C41" i="74"/>
  <c r="B41" i="74"/>
  <c r="D40" i="74"/>
  <c r="C40" i="74"/>
  <c r="B40" i="74"/>
  <c r="D39" i="74"/>
  <c r="C39" i="74"/>
  <c r="B39" i="74"/>
  <c r="D38" i="74"/>
  <c r="C38" i="74"/>
  <c r="B38" i="74"/>
  <c r="D37" i="74"/>
  <c r="C37" i="74"/>
  <c r="B37" i="74"/>
  <c r="D36" i="74"/>
  <c r="C36" i="74"/>
  <c r="B36" i="74"/>
  <c r="D35" i="74"/>
  <c r="C35" i="74"/>
  <c r="B35" i="74"/>
  <c r="D57" i="73"/>
  <c r="C57" i="73"/>
  <c r="F57" i="74" s="1"/>
  <c r="B57" i="73"/>
  <c r="D56" i="73"/>
  <c r="C56" i="73"/>
  <c r="F56" i="74" s="1"/>
  <c r="B56" i="73"/>
  <c r="D55" i="73"/>
  <c r="G174" i="72" s="1"/>
  <c r="F32" i="50" s="1"/>
  <c r="F36" i="50" s="1"/>
  <c r="F37" i="50" s="1"/>
  <c r="C55" i="73"/>
  <c r="B55" i="73"/>
  <c r="D54" i="73"/>
  <c r="C54" i="73"/>
  <c r="F54" i="74" s="1"/>
  <c r="B54" i="73"/>
  <c r="C53" i="73"/>
  <c r="B53" i="73"/>
  <c r="D52" i="73"/>
  <c r="C52" i="73"/>
  <c r="F52" i="74" s="1"/>
  <c r="B52" i="73"/>
  <c r="D51" i="73"/>
  <c r="C51" i="73"/>
  <c r="F51" i="74" s="1"/>
  <c r="B51" i="73"/>
  <c r="D50" i="73"/>
  <c r="C50" i="73"/>
  <c r="F50" i="74" s="1"/>
  <c r="B50" i="73"/>
  <c r="D49" i="73"/>
  <c r="C49" i="73"/>
  <c r="B49" i="73"/>
  <c r="D48" i="73"/>
  <c r="C48" i="73"/>
  <c r="F48" i="74" s="1"/>
  <c r="B48" i="73"/>
  <c r="D47" i="73"/>
  <c r="C47" i="73"/>
  <c r="B47" i="73"/>
  <c r="D46" i="73"/>
  <c r="C46" i="73"/>
  <c r="F46" i="74" s="1"/>
  <c r="B46" i="73"/>
  <c r="D45" i="73"/>
  <c r="C45" i="73"/>
  <c r="F45" i="74" s="1"/>
  <c r="B45" i="73"/>
  <c r="D44" i="73"/>
  <c r="C44" i="73"/>
  <c r="B44" i="73"/>
  <c r="D43" i="73"/>
  <c r="C43" i="73"/>
  <c r="F43" i="74" s="1"/>
  <c r="B43" i="73"/>
  <c r="D42" i="73"/>
  <c r="C42" i="73"/>
  <c r="F42" i="74" s="1"/>
  <c r="B42" i="73"/>
  <c r="D41" i="73"/>
  <c r="C41" i="73"/>
  <c r="B41" i="73"/>
  <c r="D40" i="73"/>
  <c r="C40" i="73"/>
  <c r="F40" i="74" s="1"/>
  <c r="B40" i="73"/>
  <c r="D39" i="73"/>
  <c r="C39" i="73"/>
  <c r="B39" i="73"/>
  <c r="D38" i="73"/>
  <c r="C38" i="73"/>
  <c r="F38" i="74" s="1"/>
  <c r="B38" i="73"/>
  <c r="D37" i="73"/>
  <c r="C37" i="73"/>
  <c r="D36" i="73"/>
  <c r="C36" i="73"/>
  <c r="B36" i="73"/>
  <c r="D35" i="73"/>
  <c r="C35" i="73"/>
  <c r="B35" i="73"/>
  <c r="G175" i="72" l="1"/>
  <c r="G156" i="72"/>
  <c r="F32" i="8" s="1"/>
  <c r="F36" i="8" s="1"/>
  <c r="F37" i="8" s="1"/>
  <c r="G164" i="72"/>
  <c r="F32" i="47" s="1"/>
  <c r="F36" i="47" s="1"/>
  <c r="F37" i="47" s="1"/>
  <c r="G159" i="72"/>
  <c r="F32" i="17" s="1"/>
  <c r="F36" i="17" s="1"/>
  <c r="F37" i="17" s="1"/>
  <c r="G167" i="72"/>
  <c r="G170" i="72"/>
  <c r="F32" i="61" s="1"/>
  <c r="F36" i="61" s="1"/>
  <c r="F37" i="61" s="1"/>
  <c r="G154" i="72"/>
  <c r="G165" i="72"/>
  <c r="F32" i="23" s="1"/>
  <c r="F36" i="23" s="1"/>
  <c r="F37" i="23" s="1"/>
  <c r="G176" i="72"/>
  <c r="F32" i="41" s="1"/>
  <c r="F36" i="41" s="1"/>
  <c r="F37" i="41" s="1"/>
  <c r="G166" i="72"/>
  <c r="F32" i="29" s="1"/>
  <c r="F36" i="29" s="1"/>
  <c r="F37" i="29" s="1"/>
  <c r="G162" i="72"/>
  <c r="F32" i="11" s="1"/>
  <c r="F36" i="11" s="1"/>
  <c r="F37" i="11" s="1"/>
  <c r="G157" i="72"/>
  <c r="F32" i="56" s="1"/>
  <c r="F36" i="56" s="1"/>
  <c r="F37" i="56" s="1"/>
  <c r="G160" i="72"/>
  <c r="F32" i="38" s="1"/>
  <c r="F36" i="38" s="1"/>
  <c r="F37" i="38" s="1"/>
  <c r="G168" i="72"/>
  <c r="F32" i="20" s="1"/>
  <c r="F36" i="20" s="1"/>
  <c r="F37" i="20" s="1"/>
  <c r="G5" i="72"/>
  <c r="F39" i="44" s="1"/>
  <c r="F43" i="44" s="1"/>
  <c r="G155" i="72"/>
  <c r="F32" i="44" s="1"/>
  <c r="F36" i="44" s="1"/>
  <c r="F37" i="44" s="1"/>
  <c r="G158" i="72"/>
  <c r="F32" i="5" s="1"/>
  <c r="F36" i="5" s="1"/>
  <c r="F37" i="5" s="1"/>
  <c r="G161" i="72"/>
  <c r="F32" i="32" s="1"/>
  <c r="F36" i="32" s="1"/>
  <c r="F37" i="32" s="1"/>
  <c r="G169" i="72"/>
  <c r="F32" i="35" s="1"/>
  <c r="F36" i="35" s="1"/>
  <c r="F37" i="35" s="1"/>
  <c r="G163" i="72"/>
  <c r="F32" i="14" s="1"/>
  <c r="F36" i="14" s="1"/>
  <c r="F37" i="14" s="1"/>
  <c r="G21" i="72"/>
  <c r="F39" i="64" s="1"/>
  <c r="F43" i="64" s="1"/>
  <c r="F44" i="64" s="1"/>
  <c r="G171" i="72"/>
  <c r="F32" i="64" s="1"/>
  <c r="F36" i="64" s="1"/>
  <c r="F37" i="64" s="1"/>
  <c r="G173" i="72"/>
  <c r="L54" i="60"/>
  <c r="O167" i="72"/>
  <c r="O17" i="72"/>
  <c r="L82" i="60"/>
  <c r="O196" i="72"/>
  <c r="O46" i="72"/>
  <c r="B58" i="73"/>
  <c r="F41" i="74"/>
  <c r="F49" i="74"/>
  <c r="F39" i="74"/>
  <c r="F47" i="74"/>
  <c r="F55" i="74"/>
  <c r="B58" i="74"/>
  <c r="F36" i="74"/>
  <c r="C58" i="74"/>
  <c r="F44" i="74"/>
  <c r="F37" i="74"/>
  <c r="F53" i="74"/>
  <c r="D58" i="74"/>
  <c r="G17" i="72"/>
  <c r="G48" i="74"/>
  <c r="J48" i="74" s="1"/>
  <c r="G25" i="72"/>
  <c r="G56" i="74"/>
  <c r="J56" i="74" s="1"/>
  <c r="C58" i="73"/>
  <c r="G12" i="72"/>
  <c r="F39" i="11" s="1"/>
  <c r="F43" i="11" s="1"/>
  <c r="G43" i="74"/>
  <c r="J43" i="74" s="1"/>
  <c r="G20" i="72"/>
  <c r="F39" i="61" s="1"/>
  <c r="F43" i="61" s="1"/>
  <c r="G51" i="74"/>
  <c r="J51" i="74" s="1"/>
  <c r="G9" i="72"/>
  <c r="F39" i="17" s="1"/>
  <c r="F43" i="17" s="1"/>
  <c r="G40" i="74"/>
  <c r="J40" i="74" s="1"/>
  <c r="G18" i="72"/>
  <c r="F39" i="20" s="1"/>
  <c r="F43" i="20" s="1"/>
  <c r="G49" i="74"/>
  <c r="J49" i="74" s="1"/>
  <c r="D58" i="73"/>
  <c r="G13" i="72"/>
  <c r="F39" i="14" s="1"/>
  <c r="F43" i="14" s="1"/>
  <c r="G44" i="74"/>
  <c r="J44" i="74" s="1"/>
  <c r="G36" i="74"/>
  <c r="J36" i="74" s="1"/>
  <c r="G8" i="72"/>
  <c r="F39" i="5" s="1"/>
  <c r="F43" i="5" s="1"/>
  <c r="G39" i="74"/>
  <c r="J39" i="74" s="1"/>
  <c r="G16" i="72"/>
  <c r="F39" i="29" s="1"/>
  <c r="F43" i="29" s="1"/>
  <c r="G47" i="74"/>
  <c r="J47" i="74" s="1"/>
  <c r="G24" i="72"/>
  <c r="F39" i="50" s="1"/>
  <c r="F43" i="50" s="1"/>
  <c r="G55" i="74"/>
  <c r="J55" i="74" s="1"/>
  <c r="G11" i="72"/>
  <c r="F39" i="32" s="1"/>
  <c r="F43" i="32" s="1"/>
  <c r="G42" i="74"/>
  <c r="J42" i="74" s="1"/>
  <c r="G19" i="72"/>
  <c r="F39" i="35" s="1"/>
  <c r="F43" i="35" s="1"/>
  <c r="G50" i="74"/>
  <c r="J50" i="74" s="1"/>
  <c r="G7" i="72"/>
  <c r="F39" i="56" s="1"/>
  <c r="F43" i="56" s="1"/>
  <c r="G38" i="74"/>
  <c r="J38" i="74" s="1"/>
  <c r="G15" i="72"/>
  <c r="F39" i="23" s="1"/>
  <c r="F43" i="23" s="1"/>
  <c r="G46" i="74"/>
  <c r="J46" i="74" s="1"/>
  <c r="G23" i="72"/>
  <c r="F39" i="26" s="1"/>
  <c r="F43" i="26" s="1"/>
  <c r="G54" i="74"/>
  <c r="J54" i="74" s="1"/>
  <c r="G10" i="72"/>
  <c r="F39" i="38" s="1"/>
  <c r="F43" i="38" s="1"/>
  <c r="G41" i="74"/>
  <c r="J41" i="74" s="1"/>
  <c r="G26" i="72"/>
  <c r="F39" i="41" s="1"/>
  <c r="F43" i="41" s="1"/>
  <c r="G57" i="74"/>
  <c r="J57" i="74" s="1"/>
  <c r="G6" i="72"/>
  <c r="G37" i="74"/>
  <c r="J37" i="74" s="1"/>
  <c r="G14" i="72"/>
  <c r="F39" i="47" s="1"/>
  <c r="F43" i="47" s="1"/>
  <c r="G45" i="74"/>
  <c r="J45" i="74" s="1"/>
  <c r="G22" i="72"/>
  <c r="G53" i="74"/>
  <c r="J53" i="74" s="1"/>
  <c r="F44" i="44" l="1"/>
  <c r="F46" i="44"/>
  <c r="F39" i="83"/>
  <c r="F43" i="83" s="1"/>
  <c r="F39" i="1"/>
  <c r="F43" i="1" s="1"/>
  <c r="F32" i="83"/>
  <c r="F36" i="83" s="1"/>
  <c r="F37" i="83" s="1"/>
  <c r="F32" i="1"/>
  <c r="F36" i="1" s="1"/>
  <c r="F37" i="1" s="1"/>
  <c r="F46" i="64"/>
  <c r="F47" i="64" s="1"/>
  <c r="F32" i="53"/>
  <c r="F36" i="53" s="1"/>
  <c r="F37" i="53" s="1"/>
  <c r="F32" i="76"/>
  <c r="F36" i="76" s="1"/>
  <c r="F37" i="76" s="1"/>
  <c r="F44" i="23"/>
  <c r="F46" i="23"/>
  <c r="F46" i="56"/>
  <c r="F44" i="56"/>
  <c r="F46" i="11"/>
  <c r="F44" i="11"/>
  <c r="F46" i="41"/>
  <c r="F44" i="41"/>
  <c r="F46" i="29"/>
  <c r="F44" i="29"/>
  <c r="F46" i="35"/>
  <c r="F44" i="35"/>
  <c r="F46" i="20"/>
  <c r="F44" i="20"/>
  <c r="F44" i="5"/>
  <c r="F46" i="5"/>
  <c r="F39" i="8"/>
  <c r="F43" i="8" s="1"/>
  <c r="F44" i="47"/>
  <c r="F46" i="47"/>
  <c r="F44" i="32"/>
  <c r="F46" i="32"/>
  <c r="F44" i="17"/>
  <c r="F46" i="17"/>
  <c r="F39" i="76"/>
  <c r="F43" i="76" s="1"/>
  <c r="F39" i="53"/>
  <c r="F43" i="53" s="1"/>
  <c r="F44" i="38"/>
  <c r="F46" i="38"/>
  <c r="G27" i="72"/>
  <c r="F44" i="14"/>
  <c r="F46" i="14"/>
  <c r="F44" i="61"/>
  <c r="F46" i="61"/>
  <c r="F44" i="50"/>
  <c r="F46" i="50"/>
  <c r="F44" i="26"/>
  <c r="G177" i="72"/>
  <c r="F32" i="26"/>
  <c r="F36" i="26" s="1"/>
  <c r="F37" i="26" s="1"/>
  <c r="M82" i="60"/>
  <c r="P196" i="72"/>
  <c r="P46" i="72"/>
  <c r="M54" i="60"/>
  <c r="P167" i="72"/>
  <c r="P17" i="72"/>
  <c r="R10" i="71"/>
  <c r="R20" i="71"/>
  <c r="R21" i="71"/>
  <c r="R22" i="71"/>
  <c r="R23" i="71"/>
  <c r="R24" i="71"/>
  <c r="R14" i="71"/>
  <c r="R15" i="71"/>
  <c r="R16" i="71"/>
  <c r="R17" i="71"/>
  <c r="R18" i="71"/>
  <c r="R19" i="71"/>
  <c r="F50" i="64" l="1"/>
  <c r="F51" i="64" s="1"/>
  <c r="F44" i="1"/>
  <c r="F46" i="1"/>
  <c r="F44" i="83"/>
  <c r="F46" i="83"/>
  <c r="F47" i="44"/>
  <c r="F50" i="44"/>
  <c r="F51" i="44" s="1"/>
  <c r="F47" i="32"/>
  <c r="F50" i="32"/>
  <c r="F51" i="32" s="1"/>
  <c r="F47" i="41"/>
  <c r="F50" i="41"/>
  <c r="F51" i="41" s="1"/>
  <c r="F50" i="38"/>
  <c r="F51" i="38" s="1"/>
  <c r="F47" i="38"/>
  <c r="F50" i="47"/>
  <c r="F51" i="47" s="1"/>
  <c r="F47" i="47"/>
  <c r="F47" i="20"/>
  <c r="F50" i="20"/>
  <c r="F50" i="11"/>
  <c r="F51" i="11" s="1"/>
  <c r="F47" i="11"/>
  <c r="F44" i="8"/>
  <c r="F46" i="8"/>
  <c r="F47" i="61"/>
  <c r="F50" i="61"/>
  <c r="F44" i="76"/>
  <c r="F46" i="76"/>
  <c r="F50" i="35"/>
  <c r="F51" i="35" s="1"/>
  <c r="F47" i="35"/>
  <c r="F50" i="56"/>
  <c r="F47" i="56"/>
  <c r="F47" i="17"/>
  <c r="F50" i="17"/>
  <c r="F51" i="17" s="1"/>
  <c r="F47" i="5"/>
  <c r="F50" i="5"/>
  <c r="F51" i="5" s="1"/>
  <c r="F50" i="23"/>
  <c r="F51" i="23" s="1"/>
  <c r="F47" i="23"/>
  <c r="F44" i="53"/>
  <c r="F46" i="53"/>
  <c r="F50" i="14"/>
  <c r="F51" i="14" s="1"/>
  <c r="F47" i="14"/>
  <c r="F47" i="29"/>
  <c r="F50" i="29"/>
  <c r="F51" i="29" s="1"/>
  <c r="F50" i="50"/>
  <c r="F47" i="50"/>
  <c r="F46" i="26"/>
  <c r="N54" i="60"/>
  <c r="Q167" i="72"/>
  <c r="Q17" i="72"/>
  <c r="N82" i="60"/>
  <c r="Q196" i="72"/>
  <c r="Q46" i="72"/>
  <c r="F50" i="83" l="1"/>
  <c r="F47" i="83"/>
  <c r="F50" i="1"/>
  <c r="F51" i="1" s="1"/>
  <c r="F47" i="1"/>
  <c r="F50" i="53"/>
  <c r="F47" i="53"/>
  <c r="F47" i="8"/>
  <c r="F50" i="8"/>
  <c r="F51" i="8" s="1"/>
  <c r="F50" i="76"/>
  <c r="F47" i="76"/>
  <c r="F50" i="26"/>
  <c r="F47" i="26"/>
  <c r="R196" i="72"/>
  <c r="S196" i="72" s="1"/>
  <c r="R46" i="72"/>
  <c r="S46" i="72" s="1"/>
  <c r="R17" i="72"/>
  <c r="S17" i="72" s="1"/>
  <c r="R167" i="72"/>
  <c r="S167" i="72" s="1"/>
  <c r="R109" i="72"/>
  <c r="S109" i="72" s="1"/>
  <c r="R108" i="72"/>
  <c r="S108" i="72" s="1"/>
  <c r="R107" i="72"/>
  <c r="S107" i="72" s="1"/>
  <c r="R100" i="72"/>
  <c r="S100" i="72" s="1"/>
  <c r="AE4" i="71" l="1"/>
  <c r="AE9" i="71"/>
  <c r="AE13" i="71"/>
  <c r="AE16" i="71"/>
  <c r="AE17" i="71"/>
  <c r="AE18" i="71"/>
  <c r="AE20" i="71"/>
  <c r="AE21" i="71"/>
  <c r="AE22" i="71"/>
  <c r="AE23" i="71"/>
  <c r="AE24" i="71"/>
  <c r="AE25" i="71"/>
  <c r="AF16" i="71"/>
  <c r="AK4" i="71"/>
  <c r="AK5" i="71"/>
  <c r="AK6" i="71"/>
  <c r="AK7" i="71"/>
  <c r="AK8" i="71"/>
  <c r="AK9" i="71"/>
  <c r="AK10" i="71"/>
  <c r="AK11" i="71"/>
  <c r="AK12" i="71"/>
  <c r="AK13" i="71"/>
  <c r="AK14" i="71"/>
  <c r="AK15" i="71"/>
  <c r="AK16" i="71"/>
  <c r="AK17" i="71"/>
  <c r="AK18" i="71"/>
  <c r="AK19" i="71"/>
  <c r="AK20" i="71"/>
  <c r="AK21" i="71"/>
  <c r="AK22" i="71"/>
  <c r="AK23" i="71"/>
  <c r="AK24" i="71"/>
  <c r="AK25" i="71"/>
  <c r="AK3" i="71"/>
  <c r="AI4" i="71"/>
  <c r="AI5" i="71"/>
  <c r="AI6" i="71"/>
  <c r="AI7" i="71"/>
  <c r="AI8" i="71"/>
  <c r="AI9" i="71"/>
  <c r="AI10" i="71"/>
  <c r="AI11" i="71"/>
  <c r="AI12" i="71"/>
  <c r="AI13" i="71"/>
  <c r="AI14" i="71"/>
  <c r="AI15" i="71"/>
  <c r="AI16" i="71"/>
  <c r="AI17" i="71"/>
  <c r="AI18" i="71"/>
  <c r="AI19" i="71"/>
  <c r="AI20" i="71"/>
  <c r="AI21" i="71"/>
  <c r="AI22" i="71"/>
  <c r="AI23" i="71"/>
  <c r="AI24" i="71"/>
  <c r="AI25" i="71"/>
  <c r="AI3" i="71"/>
  <c r="R25" i="71"/>
  <c r="R13" i="71"/>
  <c r="R12" i="71"/>
  <c r="R11" i="71"/>
  <c r="R9" i="71"/>
  <c r="R8" i="71"/>
  <c r="R7" i="71"/>
  <c r="R6" i="71"/>
  <c r="R5" i="71"/>
  <c r="R4" i="71"/>
  <c r="R3" i="71"/>
  <c r="S9" i="71"/>
  <c r="Q4" i="71"/>
  <c r="S4" i="71"/>
  <c r="Q5" i="71"/>
  <c r="S5" i="71"/>
  <c r="Q6" i="71"/>
  <c r="S6" i="71"/>
  <c r="Q7" i="71"/>
  <c r="S7" i="71"/>
  <c r="Q8" i="71"/>
  <c r="S8" i="71"/>
  <c r="Q9" i="71"/>
  <c r="Q10" i="71"/>
  <c r="S10" i="71"/>
  <c r="Q11" i="71"/>
  <c r="S11" i="71"/>
  <c r="Q12" i="71"/>
  <c r="S12" i="71"/>
  <c r="Q13" i="71"/>
  <c r="S13" i="71"/>
  <c r="Q14" i="71"/>
  <c r="S14" i="71"/>
  <c r="Q15" i="71"/>
  <c r="S15" i="71"/>
  <c r="Q16" i="71"/>
  <c r="S16" i="71"/>
  <c r="Q17" i="71"/>
  <c r="S17" i="71"/>
  <c r="Q18" i="71"/>
  <c r="S18" i="71"/>
  <c r="Q19" i="71"/>
  <c r="S19" i="71"/>
  <c r="Q20" i="71"/>
  <c r="S20" i="71"/>
  <c r="Q21" i="71"/>
  <c r="S21" i="71"/>
  <c r="Q22" i="71"/>
  <c r="Q23" i="71"/>
  <c r="S23" i="71"/>
  <c r="Q24" i="71"/>
  <c r="S24" i="71"/>
  <c r="Q25" i="71"/>
  <c r="S25" i="71"/>
  <c r="Q3" i="71"/>
  <c r="S3" i="71"/>
  <c r="O40" i="71" l="1"/>
  <c r="P40" i="71" s="1"/>
  <c r="O27" i="71"/>
  <c r="O35" i="71" s="1"/>
  <c r="AL10" i="71"/>
  <c r="AG26" i="71"/>
  <c r="O41" i="71"/>
  <c r="P41" i="71" s="1"/>
  <c r="O28" i="71"/>
  <c r="O36" i="71" s="1"/>
  <c r="Q27" i="71"/>
  <c r="O39" i="71"/>
  <c r="P39" i="71" s="1"/>
  <c r="O26" i="71"/>
  <c r="AJ26" i="71"/>
  <c r="AL25" i="71"/>
  <c r="AL20" i="71"/>
  <c r="AL12" i="71"/>
  <c r="AL4" i="71"/>
  <c r="AL19" i="71"/>
  <c r="AL11" i="71"/>
  <c r="AL22" i="71"/>
  <c r="AL14" i="71"/>
  <c r="AL6" i="71"/>
  <c r="AL17" i="71"/>
  <c r="AL9" i="71"/>
  <c r="AL21" i="71"/>
  <c r="AL13" i="71"/>
  <c r="AL5" i="71"/>
  <c r="AL18" i="71"/>
  <c r="AL24" i="71"/>
  <c r="AL16" i="71"/>
  <c r="AL23" i="71"/>
  <c r="AL15" i="71"/>
  <c r="D30" i="71" l="1"/>
  <c r="O34" i="71"/>
  <c r="D29" i="71"/>
  <c r="O42" i="71"/>
  <c r="P42" i="71" s="1"/>
  <c r="P43" i="71" s="1"/>
  <c r="O31" i="71"/>
  <c r="D26" i="71"/>
  <c r="C56" i="70"/>
  <c r="G46" i="70"/>
  <c r="H46" i="70"/>
  <c r="I46" i="70"/>
  <c r="J46" i="70"/>
  <c r="K46" i="70"/>
  <c r="L46" i="70"/>
  <c r="M46" i="70"/>
  <c r="N46" i="70"/>
  <c r="O46" i="70"/>
  <c r="P46" i="70"/>
  <c r="Q46" i="70"/>
  <c r="R46" i="70"/>
  <c r="G83" i="47"/>
  <c r="G84" i="47"/>
  <c r="G85" i="47"/>
  <c r="G86" i="47"/>
  <c r="G87" i="47"/>
  <c r="C27" i="70"/>
  <c r="G17" i="70"/>
  <c r="H17" i="70"/>
  <c r="H75" i="70" s="1"/>
  <c r="H133" i="70" s="1"/>
  <c r="I17" i="70"/>
  <c r="I75" i="70" s="1"/>
  <c r="I133" i="70" s="1"/>
  <c r="J17" i="70"/>
  <c r="K17" i="70"/>
  <c r="L17" i="70"/>
  <c r="M17" i="70"/>
  <c r="N17" i="70"/>
  <c r="O17" i="70"/>
  <c r="P17" i="70"/>
  <c r="P75" i="70" s="1"/>
  <c r="P133" i="70" s="1"/>
  <c r="Q17" i="70"/>
  <c r="Q75" i="70" s="1"/>
  <c r="Q133" i="70" s="1"/>
  <c r="R17" i="70"/>
  <c r="O75" i="70" l="1"/>
  <c r="O133" i="70" s="1"/>
  <c r="AL26" i="71"/>
  <c r="T26" i="71"/>
  <c r="N75" i="70"/>
  <c r="N133" i="70" s="1"/>
  <c r="L16" i="71"/>
  <c r="L14" i="79"/>
  <c r="O29" i="71"/>
  <c r="O37" i="71" s="1"/>
  <c r="D31" i="71" s="1"/>
  <c r="P36" i="71"/>
  <c r="P34" i="71"/>
  <c r="P35" i="71"/>
  <c r="D28" i="71"/>
  <c r="D35" i="71" s="1"/>
  <c r="Q26" i="71"/>
  <c r="R75" i="70"/>
  <c r="R133" i="70" s="1"/>
  <c r="J75" i="70"/>
  <c r="J133" i="70" s="1"/>
  <c r="AM186" i="47"/>
  <c r="AL186" i="47"/>
  <c r="AM182" i="47"/>
  <c r="AL182" i="47"/>
  <c r="AM185" i="47"/>
  <c r="AL185" i="47"/>
  <c r="AM184" i="47"/>
  <c r="AL184" i="47"/>
  <c r="AL183" i="47"/>
  <c r="AM183" i="47"/>
  <c r="M75" i="70"/>
  <c r="M133" i="70" s="1"/>
  <c r="L75" i="70"/>
  <c r="L133" i="70" s="1"/>
  <c r="K75" i="70"/>
  <c r="K133" i="70" s="1"/>
  <c r="R26" i="71"/>
  <c r="S26" i="71"/>
  <c r="U30" i="71" l="1"/>
  <c r="U29" i="71"/>
  <c r="U31" i="71"/>
  <c r="U32" i="71"/>
  <c r="O30" i="71"/>
  <c r="P37" i="71"/>
  <c r="Q34" i="71" s="1"/>
  <c r="D37" i="71"/>
  <c r="D36" i="71"/>
  <c r="S27" i="71"/>
  <c r="R113" i="70"/>
  <c r="R112" i="70"/>
  <c r="R111" i="70"/>
  <c r="R110" i="70"/>
  <c r="R109" i="70"/>
  <c r="Q109" i="70"/>
  <c r="R108" i="70"/>
  <c r="Q108" i="70"/>
  <c r="R107" i="70"/>
  <c r="Q107" i="70"/>
  <c r="R106" i="70"/>
  <c r="R103" i="70"/>
  <c r="R102" i="70"/>
  <c r="R101" i="70"/>
  <c r="R100" i="70"/>
  <c r="Q100" i="70"/>
  <c r="R99" i="70"/>
  <c r="R98" i="70"/>
  <c r="R97" i="70"/>
  <c r="R96" i="70"/>
  <c r="R95" i="70"/>
  <c r="R94" i="70"/>
  <c r="R93" i="70"/>
  <c r="R92" i="70"/>
  <c r="Q36" i="71" l="1"/>
  <c r="Q37" i="71"/>
  <c r="D38" i="71"/>
  <c r="R114" i="70"/>
  <c r="Q38" i="71" l="1"/>
  <c r="R117" i="70"/>
  <c r="R146" i="70" s="1"/>
  <c r="G78" i="47"/>
  <c r="G79" i="47"/>
  <c r="G80" i="47"/>
  <c r="G81" i="47"/>
  <c r="G82" i="47"/>
  <c r="G21" i="59"/>
  <c r="G20" i="59"/>
  <c r="G19" i="59"/>
  <c r="G50" i="59"/>
  <c r="G49" i="59"/>
  <c r="G48" i="59"/>
  <c r="R169" i="59"/>
  <c r="G138" i="59" l="1"/>
  <c r="G203" i="59" s="1"/>
  <c r="G289" i="59"/>
  <c r="G260" i="59"/>
  <c r="G261" i="59"/>
  <c r="F20" i="64" s="1"/>
  <c r="F27" i="64"/>
  <c r="F13" i="64"/>
  <c r="G290" i="59"/>
  <c r="F23" i="64" s="1"/>
  <c r="F14" i="64"/>
  <c r="F26" i="64"/>
  <c r="G137" i="59"/>
  <c r="G202" i="59" s="1"/>
  <c r="G288" i="59"/>
  <c r="F23" i="35" s="1"/>
  <c r="F26" i="35"/>
  <c r="F14" i="35"/>
  <c r="F6" i="84"/>
  <c r="F27" i="84"/>
  <c r="F13" i="84"/>
  <c r="F14" i="84"/>
  <c r="F8" i="84"/>
  <c r="F9" i="84" s="1"/>
  <c r="F26" i="84"/>
  <c r="G140" i="59"/>
  <c r="G205" i="59" s="1"/>
  <c r="G291" i="59"/>
  <c r="G262" i="59"/>
  <c r="F27" i="35"/>
  <c r="G259" i="59"/>
  <c r="F20" i="35" s="1"/>
  <c r="F13" i="35"/>
  <c r="G139" i="59"/>
  <c r="G204" i="59" s="1"/>
  <c r="G110" i="59"/>
  <c r="G109" i="59"/>
  <c r="G107" i="59"/>
  <c r="G108" i="59"/>
  <c r="Y19" i="71"/>
  <c r="F8" i="61"/>
  <c r="F9" i="61" s="1"/>
  <c r="Y20" i="71"/>
  <c r="F8" i="64"/>
  <c r="F9" i="64" s="1"/>
  <c r="AC15" i="79"/>
  <c r="G319" i="59"/>
  <c r="F21" i="64" s="1"/>
  <c r="F6" i="64"/>
  <c r="F7" i="64" s="1"/>
  <c r="Y21" i="71"/>
  <c r="AB7" i="81"/>
  <c r="G320" i="59"/>
  <c r="F21" i="84" s="1"/>
  <c r="Y18" i="71"/>
  <c r="F8" i="35"/>
  <c r="F9" i="35" s="1"/>
  <c r="F6" i="35"/>
  <c r="F7" i="35" s="1"/>
  <c r="G317" i="59"/>
  <c r="F21" i="35" s="1"/>
  <c r="F6" i="61"/>
  <c r="F7" i="61" s="1"/>
  <c r="G318" i="59"/>
  <c r="L170" i="72"/>
  <c r="P170" i="72"/>
  <c r="H170" i="72"/>
  <c r="Q170" i="72"/>
  <c r="I170" i="72"/>
  <c r="R170" i="72"/>
  <c r="J170" i="72"/>
  <c r="K170" i="72"/>
  <c r="M170" i="72"/>
  <c r="N170" i="72"/>
  <c r="O170" i="72"/>
  <c r="H171" i="72"/>
  <c r="G32" i="64" s="1"/>
  <c r="P171" i="72"/>
  <c r="O32" i="64" s="1"/>
  <c r="M171" i="72"/>
  <c r="L32" i="64" s="1"/>
  <c r="R171" i="72"/>
  <c r="N171" i="72"/>
  <c r="M32" i="64" s="1"/>
  <c r="O171" i="72"/>
  <c r="N32" i="64" s="1"/>
  <c r="I171" i="72"/>
  <c r="H32" i="64" s="1"/>
  <c r="J171" i="72"/>
  <c r="I32" i="64" s="1"/>
  <c r="Q171" i="72"/>
  <c r="P32" i="64" s="1"/>
  <c r="K171" i="72"/>
  <c r="J32" i="64" s="1"/>
  <c r="L171" i="72"/>
  <c r="K32" i="64" s="1"/>
  <c r="L172" i="72"/>
  <c r="K32" i="84" s="1"/>
  <c r="J172" i="72"/>
  <c r="I32" i="84" s="1"/>
  <c r="P172" i="72"/>
  <c r="O32" i="84" s="1"/>
  <c r="K172" i="72"/>
  <c r="J32" i="84" s="1"/>
  <c r="M172" i="72"/>
  <c r="L32" i="84" s="1"/>
  <c r="N172" i="72"/>
  <c r="M32" i="84" s="1"/>
  <c r="O172" i="72"/>
  <c r="N32" i="84" s="1"/>
  <c r="I172" i="72"/>
  <c r="H32" i="84" s="1"/>
  <c r="H172" i="72"/>
  <c r="G32" i="84" s="1"/>
  <c r="Q172" i="72"/>
  <c r="P32" i="84" s="1"/>
  <c r="R172" i="72"/>
  <c r="G49" i="70"/>
  <c r="P199" i="72"/>
  <c r="I199" i="72"/>
  <c r="Q199" i="72"/>
  <c r="J199" i="72"/>
  <c r="R199" i="72"/>
  <c r="K199" i="72"/>
  <c r="M199" i="72"/>
  <c r="H199" i="72"/>
  <c r="N199" i="72"/>
  <c r="O199" i="72"/>
  <c r="L199" i="72"/>
  <c r="L201" i="72"/>
  <c r="K33" i="84" s="1"/>
  <c r="M201" i="72"/>
  <c r="L33" i="84" s="1"/>
  <c r="N201" i="72"/>
  <c r="M33" i="84" s="1"/>
  <c r="P201" i="72"/>
  <c r="O33" i="84" s="1"/>
  <c r="R201" i="72"/>
  <c r="J201" i="72"/>
  <c r="I33" i="84" s="1"/>
  <c r="O201" i="72"/>
  <c r="N33" i="84" s="1"/>
  <c r="Q201" i="72"/>
  <c r="P33" i="84" s="1"/>
  <c r="H201" i="72"/>
  <c r="G33" i="84" s="1"/>
  <c r="I201" i="72"/>
  <c r="H33" i="84" s="1"/>
  <c r="K201" i="72"/>
  <c r="J33" i="84" s="1"/>
  <c r="G48" i="70"/>
  <c r="J198" i="72"/>
  <c r="I33" i="35" s="1"/>
  <c r="R198" i="72"/>
  <c r="K198" i="72"/>
  <c r="J33" i="35" s="1"/>
  <c r="L198" i="72"/>
  <c r="K33" i="35" s="1"/>
  <c r="I198" i="72"/>
  <c r="H33" i="35" s="1"/>
  <c r="O198" i="72"/>
  <c r="N33" i="35" s="1"/>
  <c r="H198" i="72"/>
  <c r="G33" i="35" s="1"/>
  <c r="M198" i="72"/>
  <c r="L33" i="35" s="1"/>
  <c r="P198" i="72"/>
  <c r="O33" i="35" s="1"/>
  <c r="N198" i="72"/>
  <c r="M33" i="35" s="1"/>
  <c r="Q198" i="72"/>
  <c r="P33" i="35" s="1"/>
  <c r="N200" i="72"/>
  <c r="M33" i="64" s="1"/>
  <c r="O200" i="72"/>
  <c r="N33" i="64" s="1"/>
  <c r="P200" i="72"/>
  <c r="O33" i="64" s="1"/>
  <c r="L200" i="72"/>
  <c r="K33" i="64" s="1"/>
  <c r="Q200" i="72"/>
  <c r="P33" i="64" s="1"/>
  <c r="I200" i="72"/>
  <c r="H33" i="64" s="1"/>
  <c r="H200" i="72"/>
  <c r="G33" i="64" s="1"/>
  <c r="J200" i="72"/>
  <c r="I33" i="64" s="1"/>
  <c r="R200" i="72"/>
  <c r="K200" i="72"/>
  <c r="J33" i="64" s="1"/>
  <c r="M200" i="72"/>
  <c r="L33" i="64" s="1"/>
  <c r="H169" i="72"/>
  <c r="G32" i="35" s="1"/>
  <c r="P169" i="72"/>
  <c r="O32" i="35" s="1"/>
  <c r="J169" i="72"/>
  <c r="I32" i="35" s="1"/>
  <c r="O169" i="72"/>
  <c r="N32" i="35" s="1"/>
  <c r="K169" i="72"/>
  <c r="J32" i="35" s="1"/>
  <c r="L169" i="72"/>
  <c r="K32" i="35" s="1"/>
  <c r="N169" i="72"/>
  <c r="M32" i="35" s="1"/>
  <c r="M169" i="72"/>
  <c r="L32" i="35" s="1"/>
  <c r="R169" i="72"/>
  <c r="I169" i="72"/>
  <c r="H32" i="35" s="1"/>
  <c r="Q169" i="72"/>
  <c r="P32" i="35" s="1"/>
  <c r="AM181" i="47"/>
  <c r="AL181" i="47"/>
  <c r="AM179" i="47"/>
  <c r="AL179" i="47"/>
  <c r="AM177" i="47"/>
  <c r="AL177" i="47"/>
  <c r="AM180" i="47"/>
  <c r="AL180" i="47"/>
  <c r="AL178" i="47"/>
  <c r="AM178" i="47"/>
  <c r="AF21" i="71"/>
  <c r="G22" i="70"/>
  <c r="G50" i="70"/>
  <c r="AF18" i="71"/>
  <c r="G19" i="70"/>
  <c r="L18" i="71" s="1"/>
  <c r="G51" i="70"/>
  <c r="AF19" i="71"/>
  <c r="AE19" i="71" s="1"/>
  <c r="G20" i="70"/>
  <c r="AF20" i="71"/>
  <c r="G21" i="70"/>
  <c r="G78" i="59"/>
  <c r="I62" i="69"/>
  <c r="H62" i="69"/>
  <c r="M36" i="69"/>
  <c r="L36" i="69"/>
  <c r="K36" i="69"/>
  <c r="I58" i="69" s="1"/>
  <c r="J36" i="69"/>
  <c r="H58" i="69" s="1"/>
  <c r="I36" i="69"/>
  <c r="G58" i="69" s="1"/>
  <c r="M29" i="69"/>
  <c r="L29" i="69"/>
  <c r="K29" i="69"/>
  <c r="J29" i="69"/>
  <c r="I29" i="69"/>
  <c r="H29" i="69"/>
  <c r="G29" i="69"/>
  <c r="F29" i="69"/>
  <c r="E29" i="69"/>
  <c r="D29" i="69"/>
  <c r="M28" i="69"/>
  <c r="L28" i="69"/>
  <c r="K28" i="69"/>
  <c r="J28" i="69"/>
  <c r="I28" i="69"/>
  <c r="H28" i="69"/>
  <c r="G28" i="69"/>
  <c r="F28" i="69"/>
  <c r="E28" i="69"/>
  <c r="D28" i="69"/>
  <c r="M26" i="69"/>
  <c r="L26" i="69"/>
  <c r="K26" i="69"/>
  <c r="J26" i="69"/>
  <c r="I26" i="69"/>
  <c r="H26" i="69"/>
  <c r="G26" i="69"/>
  <c r="F26" i="69"/>
  <c r="E26" i="69"/>
  <c r="D26" i="69"/>
  <c r="M25" i="69"/>
  <c r="L25" i="69"/>
  <c r="K25" i="69"/>
  <c r="J25" i="69"/>
  <c r="I25" i="69"/>
  <c r="H25" i="69"/>
  <c r="G25" i="69"/>
  <c r="F25" i="69"/>
  <c r="E25" i="69"/>
  <c r="D25" i="69"/>
  <c r="B11" i="69"/>
  <c r="I9" i="69"/>
  <c r="D101" i="68"/>
  <c r="C101" i="68"/>
  <c r="D100" i="68"/>
  <c r="C100" i="68"/>
  <c r="D99" i="68"/>
  <c r="C99" i="68"/>
  <c r="D98" i="68"/>
  <c r="C98" i="68"/>
  <c r="D97" i="68"/>
  <c r="C97" i="68"/>
  <c r="K29" i="68"/>
  <c r="L29" i="68" s="1"/>
  <c r="M29" i="68" s="1"/>
  <c r="N29" i="68" s="1"/>
  <c r="O29" i="68" s="1"/>
  <c r="P29" i="68" s="1"/>
  <c r="Q29" i="68" s="1"/>
  <c r="R29" i="68" s="1"/>
  <c r="S29" i="68" s="1"/>
  <c r="I62" i="66"/>
  <c r="H62" i="66"/>
  <c r="M36" i="66"/>
  <c r="L36" i="66"/>
  <c r="K36" i="66"/>
  <c r="I58" i="66" s="1"/>
  <c r="J36" i="66"/>
  <c r="H58" i="66" s="1"/>
  <c r="I36" i="66"/>
  <c r="G58" i="66" s="1"/>
  <c r="M29" i="66"/>
  <c r="L29" i="66"/>
  <c r="K29" i="66"/>
  <c r="J29" i="66"/>
  <c r="I29" i="66"/>
  <c r="H29" i="66"/>
  <c r="G29" i="66"/>
  <c r="F29" i="66"/>
  <c r="E29" i="66"/>
  <c r="D29" i="66"/>
  <c r="M28" i="66"/>
  <c r="L28" i="66"/>
  <c r="K28" i="66"/>
  <c r="J28" i="66"/>
  <c r="I28" i="66"/>
  <c r="H28" i="66"/>
  <c r="G28" i="66"/>
  <c r="F28" i="66"/>
  <c r="E28" i="66"/>
  <c r="D28" i="66"/>
  <c r="M26" i="66"/>
  <c r="L26" i="66"/>
  <c r="K26" i="66"/>
  <c r="J26" i="66"/>
  <c r="I26" i="66"/>
  <c r="H26" i="66"/>
  <c r="G26" i="66"/>
  <c r="F26" i="66"/>
  <c r="E26" i="66"/>
  <c r="D26" i="66"/>
  <c r="M25" i="66"/>
  <c r="L25" i="66"/>
  <c r="K25" i="66"/>
  <c r="J25" i="66"/>
  <c r="I25" i="66"/>
  <c r="H25" i="66"/>
  <c r="G25" i="66"/>
  <c r="F25" i="66"/>
  <c r="E25" i="66"/>
  <c r="D25" i="66"/>
  <c r="B11" i="66"/>
  <c r="I9" i="66"/>
  <c r="D101" i="65"/>
  <c r="C101" i="65"/>
  <c r="D100" i="65"/>
  <c r="C100" i="65"/>
  <c r="D99" i="65"/>
  <c r="C99" i="65"/>
  <c r="D98" i="65"/>
  <c r="C98" i="65"/>
  <c r="D97" i="65"/>
  <c r="C97" i="65"/>
  <c r="L29" i="65"/>
  <c r="M29" i="65" s="1"/>
  <c r="N29" i="65" s="1"/>
  <c r="O29" i="65" s="1"/>
  <c r="P29" i="65" s="1"/>
  <c r="Q29" i="65" s="1"/>
  <c r="R29" i="65" s="1"/>
  <c r="S29" i="65" s="1"/>
  <c r="K29" i="65"/>
  <c r="R271" i="64"/>
  <c r="G265" i="64"/>
  <c r="G264" i="64"/>
  <c r="G263" i="64"/>
  <c r="G262" i="64"/>
  <c r="G261" i="64"/>
  <c r="G260" i="64"/>
  <c r="G259" i="64"/>
  <c r="G258" i="64"/>
  <c r="G257" i="64"/>
  <c r="G256" i="64"/>
  <c r="G255" i="64"/>
  <c r="G254" i="64"/>
  <c r="G253" i="64"/>
  <c r="G252" i="64"/>
  <c r="G251" i="64"/>
  <c r="G250" i="64"/>
  <c r="G249" i="64"/>
  <c r="G248" i="64"/>
  <c r="G247" i="64"/>
  <c r="G246" i="64"/>
  <c r="G245" i="64"/>
  <c r="G244" i="64"/>
  <c r="G243" i="64"/>
  <c r="G242" i="64"/>
  <c r="G241" i="64"/>
  <c r="G240" i="64"/>
  <c r="G239" i="64"/>
  <c r="G238" i="64"/>
  <c r="G237" i="64"/>
  <c r="G236" i="64"/>
  <c r="G235" i="64"/>
  <c r="G234" i="64"/>
  <c r="G233" i="64"/>
  <c r="G232" i="64"/>
  <c r="G231" i="64"/>
  <c r="G230" i="64"/>
  <c r="G229" i="64"/>
  <c r="G228" i="64"/>
  <c r="G227" i="64"/>
  <c r="G226" i="64"/>
  <c r="G225" i="64"/>
  <c r="G224" i="64"/>
  <c r="G223" i="64"/>
  <c r="G222" i="64"/>
  <c r="G221" i="64"/>
  <c r="G220" i="64"/>
  <c r="G209" i="64"/>
  <c r="G208" i="64"/>
  <c r="G207" i="64"/>
  <c r="G206" i="64"/>
  <c r="G205" i="64"/>
  <c r="G204" i="64"/>
  <c r="G203" i="64"/>
  <c r="G202" i="64"/>
  <c r="G201" i="64"/>
  <c r="G200" i="64"/>
  <c r="G199" i="64"/>
  <c r="G198" i="64"/>
  <c r="G197" i="64"/>
  <c r="G196" i="64"/>
  <c r="G195" i="64"/>
  <c r="G194" i="64"/>
  <c r="G193" i="64"/>
  <c r="G192" i="64"/>
  <c r="G191" i="64"/>
  <c r="G190" i="64"/>
  <c r="G189" i="64"/>
  <c r="G188" i="64"/>
  <c r="G187" i="64"/>
  <c r="G186" i="64"/>
  <c r="G185" i="64"/>
  <c r="G184" i="64"/>
  <c r="G183" i="64"/>
  <c r="G182" i="64"/>
  <c r="G181" i="64"/>
  <c r="G180" i="64"/>
  <c r="G179" i="64"/>
  <c r="G178" i="64"/>
  <c r="G177" i="64"/>
  <c r="BE176" i="64"/>
  <c r="G176" i="64"/>
  <c r="BE175" i="64"/>
  <c r="G175" i="64"/>
  <c r="BE174" i="64"/>
  <c r="G174" i="64"/>
  <c r="BE173" i="64"/>
  <c r="G173" i="64"/>
  <c r="BE172" i="64"/>
  <c r="G172" i="64"/>
  <c r="BE171" i="64"/>
  <c r="G171" i="64"/>
  <c r="BE170" i="64"/>
  <c r="G170" i="64"/>
  <c r="BE169" i="64"/>
  <c r="G169" i="64"/>
  <c r="CF168" i="64"/>
  <c r="CE168" i="64"/>
  <c r="CI171" i="64" s="1"/>
  <c r="CE175" i="64" s="1"/>
  <c r="BF168" i="64"/>
  <c r="BF169" i="64" s="1"/>
  <c r="BF170" i="64" s="1"/>
  <c r="BF171" i="64" s="1"/>
  <c r="BF172" i="64" s="1"/>
  <c r="BF173" i="64" s="1"/>
  <c r="BF174" i="64" s="1"/>
  <c r="BF175" i="64" s="1"/>
  <c r="BF176" i="64" s="1"/>
  <c r="BE168" i="64"/>
  <c r="G168" i="64"/>
  <c r="BE167" i="64"/>
  <c r="G167" i="64"/>
  <c r="BE166" i="64"/>
  <c r="BN166" i="64"/>
  <c r="BY162" i="64"/>
  <c r="BV161" i="64"/>
  <c r="BN160" i="64"/>
  <c r="W211" i="64" s="1"/>
  <c r="X211" i="64" s="1"/>
  <c r="BY158" i="64"/>
  <c r="BV156" i="64"/>
  <c r="R133" i="64"/>
  <c r="R132" i="64"/>
  <c r="R131" i="64"/>
  <c r="R130" i="64"/>
  <c r="R129" i="64"/>
  <c r="R128" i="64"/>
  <c r="R127" i="64"/>
  <c r="AE126" i="64"/>
  <c r="AD126" i="64"/>
  <c r="AC126" i="64"/>
  <c r="AB126" i="64"/>
  <c r="R126" i="64"/>
  <c r="R125" i="64"/>
  <c r="R124" i="64"/>
  <c r="G77" i="64"/>
  <c r="G76" i="64"/>
  <c r="G75" i="64"/>
  <c r="G74" i="64"/>
  <c r="G73" i="64"/>
  <c r="G72" i="64"/>
  <c r="G71" i="64"/>
  <c r="G70" i="64"/>
  <c r="G69" i="64"/>
  <c r="H188" i="64"/>
  <c r="I62" i="63"/>
  <c r="H62" i="63"/>
  <c r="M36" i="63"/>
  <c r="L36" i="63"/>
  <c r="K36" i="63"/>
  <c r="I58" i="63" s="1"/>
  <c r="J36" i="63"/>
  <c r="H58" i="63" s="1"/>
  <c r="I36" i="63"/>
  <c r="G58" i="63" s="1"/>
  <c r="M29" i="63"/>
  <c r="L29" i="63"/>
  <c r="K29" i="63"/>
  <c r="J29" i="63"/>
  <c r="I29" i="63"/>
  <c r="H29" i="63"/>
  <c r="G29" i="63"/>
  <c r="F29" i="63"/>
  <c r="E29" i="63"/>
  <c r="D29" i="63"/>
  <c r="M28" i="63"/>
  <c r="L28" i="63"/>
  <c r="K28" i="63"/>
  <c r="J28" i="63"/>
  <c r="I28" i="63"/>
  <c r="H28" i="63"/>
  <c r="G28" i="63"/>
  <c r="F28" i="63"/>
  <c r="E28" i="63"/>
  <c r="D28" i="63"/>
  <c r="M26" i="63"/>
  <c r="L26" i="63"/>
  <c r="K26" i="63"/>
  <c r="J26" i="63"/>
  <c r="I26" i="63"/>
  <c r="H26" i="63"/>
  <c r="G26" i="63"/>
  <c r="F26" i="63"/>
  <c r="E26" i="63"/>
  <c r="D26" i="63"/>
  <c r="M25" i="63"/>
  <c r="L25" i="63"/>
  <c r="K25" i="63"/>
  <c r="J25" i="63"/>
  <c r="I25" i="63"/>
  <c r="H25" i="63"/>
  <c r="G25" i="63"/>
  <c r="F25" i="63"/>
  <c r="E25" i="63"/>
  <c r="D25" i="63"/>
  <c r="B11" i="63"/>
  <c r="I9" i="63"/>
  <c r="D101" i="62"/>
  <c r="C101" i="62"/>
  <c r="D100" i="62"/>
  <c r="C100" i="62"/>
  <c r="D99" i="62"/>
  <c r="C99" i="62"/>
  <c r="D98" i="62"/>
  <c r="C98" i="62"/>
  <c r="D97" i="62"/>
  <c r="C97" i="62"/>
  <c r="K29" i="62"/>
  <c r="L29" i="62" s="1"/>
  <c r="M29" i="62" s="1"/>
  <c r="N29" i="62" s="1"/>
  <c r="O29" i="62" s="1"/>
  <c r="P29" i="62" s="1"/>
  <c r="Q29" i="62" s="1"/>
  <c r="R29" i="62" s="1"/>
  <c r="S29" i="62" s="1"/>
  <c r="R271" i="61"/>
  <c r="G265" i="61"/>
  <c r="G264" i="61"/>
  <c r="G263" i="61"/>
  <c r="G262" i="61"/>
  <c r="G261" i="61"/>
  <c r="G260" i="61"/>
  <c r="G259" i="61"/>
  <c r="G258" i="61"/>
  <c r="G257" i="61"/>
  <c r="G256" i="61"/>
  <c r="G255" i="61"/>
  <c r="G254" i="61"/>
  <c r="G253" i="61"/>
  <c r="G252" i="61"/>
  <c r="G251" i="61"/>
  <c r="G250" i="61"/>
  <c r="G249" i="61"/>
  <c r="G248" i="61"/>
  <c r="G247" i="61"/>
  <c r="G246" i="61"/>
  <c r="G245" i="61"/>
  <c r="G244" i="61"/>
  <c r="G243" i="61"/>
  <c r="G242" i="61"/>
  <c r="G241" i="61"/>
  <c r="G240" i="61"/>
  <c r="G239" i="61"/>
  <c r="G238" i="61"/>
  <c r="G237" i="61"/>
  <c r="G236" i="61"/>
  <c r="G235" i="61"/>
  <c r="G234" i="61"/>
  <c r="G233" i="61"/>
  <c r="G232" i="61"/>
  <c r="G231" i="61"/>
  <c r="G230" i="61"/>
  <c r="G229" i="61"/>
  <c r="G228" i="61"/>
  <c r="G227" i="61"/>
  <c r="G226" i="61"/>
  <c r="G225" i="61"/>
  <c r="G224" i="61"/>
  <c r="G223" i="61"/>
  <c r="G222" i="61"/>
  <c r="G221" i="61"/>
  <c r="G220" i="61"/>
  <c r="G209" i="61"/>
  <c r="G208" i="61"/>
  <c r="G207" i="61"/>
  <c r="G206" i="61"/>
  <c r="G205" i="61"/>
  <c r="G204" i="61"/>
  <c r="G203" i="61"/>
  <c r="G202" i="61"/>
  <c r="G201" i="61"/>
  <c r="G200" i="61"/>
  <c r="G199" i="61"/>
  <c r="G198" i="61"/>
  <c r="G197" i="61"/>
  <c r="G196" i="61"/>
  <c r="G195" i="61"/>
  <c r="G194" i="61"/>
  <c r="G193" i="61"/>
  <c r="G192" i="61"/>
  <c r="G191" i="61"/>
  <c r="G190" i="61"/>
  <c r="G189" i="61"/>
  <c r="G188" i="61"/>
  <c r="G187" i="61"/>
  <c r="G186" i="61"/>
  <c r="G185" i="61"/>
  <c r="G184" i="61"/>
  <c r="G183" i="61"/>
  <c r="G182" i="61"/>
  <c r="G181" i="61"/>
  <c r="G180" i="61"/>
  <c r="G179" i="61"/>
  <c r="G178" i="61"/>
  <c r="G177" i="61"/>
  <c r="BE176" i="61"/>
  <c r="G176" i="61"/>
  <c r="BE175" i="61"/>
  <c r="G175" i="61"/>
  <c r="BE174" i="61"/>
  <c r="G174" i="61"/>
  <c r="BE173" i="61"/>
  <c r="G173" i="61"/>
  <c r="BE172" i="61"/>
  <c r="G172" i="61"/>
  <c r="BE171" i="61"/>
  <c r="G171" i="61"/>
  <c r="BE170" i="61"/>
  <c r="G170" i="61"/>
  <c r="BE169" i="61"/>
  <c r="G169" i="61"/>
  <c r="CF168" i="61"/>
  <c r="CE168" i="61"/>
  <c r="CI169" i="61" s="1"/>
  <c r="CE177" i="61" s="1"/>
  <c r="BF168" i="61"/>
  <c r="BF169" i="61" s="1"/>
  <c r="BF170" i="61" s="1"/>
  <c r="BF171" i="61" s="1"/>
  <c r="BF172" i="61" s="1"/>
  <c r="BF173" i="61" s="1"/>
  <c r="BF174" i="61" s="1"/>
  <c r="BF175" i="61" s="1"/>
  <c r="BF176" i="61" s="1"/>
  <c r="BE168" i="61"/>
  <c r="G168" i="61"/>
  <c r="BE167" i="61"/>
  <c r="G167" i="61"/>
  <c r="BE166" i="61"/>
  <c r="BY162" i="61"/>
  <c r="BV161" i="61"/>
  <c r="BL166" i="61"/>
  <c r="BN160" i="61"/>
  <c r="W203" i="61" s="1"/>
  <c r="X203" i="61" s="1"/>
  <c r="BY159" i="61"/>
  <c r="BY158" i="61"/>
  <c r="BV156" i="61"/>
  <c r="BG166" i="61"/>
  <c r="R133" i="61"/>
  <c r="R132" i="61"/>
  <c r="R131" i="61"/>
  <c r="R130" i="61"/>
  <c r="R129" i="61"/>
  <c r="R128" i="61"/>
  <c r="R127" i="61"/>
  <c r="AE126" i="61"/>
  <c r="AD126" i="61"/>
  <c r="AC126" i="61"/>
  <c r="AB126" i="61"/>
  <c r="AA126" i="61"/>
  <c r="R126" i="61"/>
  <c r="R125" i="61"/>
  <c r="R124" i="61"/>
  <c r="G77" i="61"/>
  <c r="G76" i="61"/>
  <c r="G75" i="61"/>
  <c r="G74" i="61"/>
  <c r="G73" i="61"/>
  <c r="G72" i="61"/>
  <c r="G71" i="61"/>
  <c r="G70" i="61"/>
  <c r="G69" i="61"/>
  <c r="H206" i="61"/>
  <c r="R162" i="59"/>
  <c r="R271" i="53"/>
  <c r="R271" i="50"/>
  <c r="R271" i="47"/>
  <c r="R271" i="38"/>
  <c r="R271" i="35"/>
  <c r="R271" i="41"/>
  <c r="R271" i="26"/>
  <c r="R271" i="23"/>
  <c r="R271" i="56"/>
  <c r="R271" i="32"/>
  <c r="R271" i="29"/>
  <c r="R271" i="17"/>
  <c r="R271" i="14"/>
  <c r="R271" i="11"/>
  <c r="R272" i="5"/>
  <c r="R271" i="8"/>
  <c r="R271" i="44"/>
  <c r="G283" i="1"/>
  <c r="G284" i="1"/>
  <c r="G285" i="1"/>
  <c r="G286" i="1"/>
  <c r="G287" i="1"/>
  <c r="G288" i="1"/>
  <c r="G289" i="1"/>
  <c r="G75" i="59"/>
  <c r="H75" i="59"/>
  <c r="I75" i="59"/>
  <c r="J75" i="59"/>
  <c r="J138" i="72" s="1"/>
  <c r="K75" i="59"/>
  <c r="K138" i="72" s="1"/>
  <c r="L75" i="59"/>
  <c r="L138" i="72" s="1"/>
  <c r="M75" i="59"/>
  <c r="M138" i="72" s="1"/>
  <c r="N75" i="59"/>
  <c r="N138" i="72" s="1"/>
  <c r="O75" i="59"/>
  <c r="O138" i="72" s="1"/>
  <c r="P75" i="59"/>
  <c r="P138" i="72" s="1"/>
  <c r="Q75" i="59"/>
  <c r="R75" i="59"/>
  <c r="G77" i="59"/>
  <c r="G79" i="59"/>
  <c r="G80" i="59"/>
  <c r="M33" i="61" l="1"/>
  <c r="I33" i="61"/>
  <c r="L33" i="61"/>
  <c r="H33" i="61"/>
  <c r="N33" i="61"/>
  <c r="Q33" i="84"/>
  <c r="F23" i="84"/>
  <c r="F23" i="61"/>
  <c r="K33" i="61"/>
  <c r="P33" i="61"/>
  <c r="O33" i="61"/>
  <c r="G33" i="61"/>
  <c r="J33" i="61"/>
  <c r="J32" i="61"/>
  <c r="F21" i="61"/>
  <c r="H32" i="61"/>
  <c r="P32" i="61"/>
  <c r="N32" i="61"/>
  <c r="G32" i="61"/>
  <c r="M32" i="61"/>
  <c r="O32" i="61"/>
  <c r="L32" i="61"/>
  <c r="K32" i="61"/>
  <c r="F20" i="84"/>
  <c r="F20" i="61"/>
  <c r="I32" i="61"/>
  <c r="F16" i="84"/>
  <c r="Q32" i="84"/>
  <c r="G36" i="84"/>
  <c r="G37" i="84" s="1"/>
  <c r="F7" i="84"/>
  <c r="F28" i="35"/>
  <c r="F16" i="61"/>
  <c r="F17" i="61" s="1"/>
  <c r="F16" i="64"/>
  <c r="F17" i="64" s="1"/>
  <c r="F16" i="35"/>
  <c r="F17" i="35" s="1"/>
  <c r="F18" i="64"/>
  <c r="F28" i="64"/>
  <c r="G36" i="35"/>
  <c r="G37" i="35" s="1"/>
  <c r="G36" i="64"/>
  <c r="G37" i="64" s="1"/>
  <c r="L19" i="71"/>
  <c r="L20" i="71"/>
  <c r="L15" i="79"/>
  <c r="L21" i="71"/>
  <c r="L7" i="81"/>
  <c r="R138" i="72"/>
  <c r="Q138" i="72"/>
  <c r="I254" i="72"/>
  <c r="Q254" i="72"/>
  <c r="P254" i="72"/>
  <c r="J254" i="72"/>
  <c r="R254" i="72"/>
  <c r="K254" i="72"/>
  <c r="L254" i="72"/>
  <c r="I138" i="72"/>
  <c r="M254" i="72"/>
  <c r="N254" i="72"/>
  <c r="O254" i="72"/>
  <c r="S198" i="72"/>
  <c r="S172" i="72"/>
  <c r="S201" i="72"/>
  <c r="S170" i="72"/>
  <c r="S200" i="72"/>
  <c r="S171" i="72"/>
  <c r="S199" i="72"/>
  <c r="S169" i="72"/>
  <c r="AM176" i="61"/>
  <c r="AL176" i="61"/>
  <c r="AM169" i="61"/>
  <c r="AL169" i="61"/>
  <c r="AM170" i="61"/>
  <c r="AL170" i="61"/>
  <c r="W201" i="61"/>
  <c r="X201" i="61" s="1"/>
  <c r="AM171" i="64"/>
  <c r="AL171" i="64"/>
  <c r="AM171" i="61"/>
  <c r="AL171" i="61"/>
  <c r="AM172" i="64"/>
  <c r="AL172" i="64"/>
  <c r="AM169" i="64"/>
  <c r="AL169" i="64"/>
  <c r="AM172" i="61"/>
  <c r="AL172" i="61"/>
  <c r="AM173" i="64"/>
  <c r="AL173" i="64"/>
  <c r="AM170" i="64"/>
  <c r="AL170" i="64"/>
  <c r="AM173" i="61"/>
  <c r="AL173" i="61"/>
  <c r="AM174" i="64"/>
  <c r="AL174" i="64"/>
  <c r="AM174" i="61"/>
  <c r="AL174" i="61"/>
  <c r="AM175" i="64"/>
  <c r="AL175" i="64"/>
  <c r="AM168" i="61"/>
  <c r="AL168" i="61"/>
  <c r="AM175" i="61"/>
  <c r="AL175" i="61"/>
  <c r="AM168" i="64"/>
  <c r="AL168" i="64"/>
  <c r="AM176" i="64"/>
  <c r="AL176" i="64"/>
  <c r="H178" i="64"/>
  <c r="G115" i="64"/>
  <c r="G49" i="64" s="1"/>
  <c r="BJ166" i="64"/>
  <c r="W177" i="64"/>
  <c r="X177" i="64" s="1"/>
  <c r="W178" i="64"/>
  <c r="X178" i="64" s="1"/>
  <c r="W205" i="64"/>
  <c r="X205" i="64" s="1"/>
  <c r="W188" i="64"/>
  <c r="X188" i="64" s="1"/>
  <c r="H241" i="64"/>
  <c r="H175" i="64"/>
  <c r="G267" i="64"/>
  <c r="H50" i="59" s="1"/>
  <c r="H290" i="59" s="1"/>
  <c r="G115" i="61"/>
  <c r="G49" i="61" s="1"/>
  <c r="W184" i="61"/>
  <c r="X184" i="61" s="1"/>
  <c r="W174" i="64"/>
  <c r="X174" i="64" s="1"/>
  <c r="H186" i="64"/>
  <c r="H236" i="64"/>
  <c r="G267" i="61"/>
  <c r="H49" i="59" s="1"/>
  <c r="W186" i="64"/>
  <c r="X186" i="64" s="1"/>
  <c r="H169" i="64"/>
  <c r="W171" i="64"/>
  <c r="X171" i="64" s="1"/>
  <c r="W180" i="64"/>
  <c r="X180" i="64" s="1"/>
  <c r="W170" i="64"/>
  <c r="X170" i="64" s="1"/>
  <c r="H184" i="64"/>
  <c r="BL166" i="64"/>
  <c r="BN166" i="61"/>
  <c r="BJ166" i="61"/>
  <c r="G78" i="70"/>
  <c r="G141" i="70"/>
  <c r="G75" i="70"/>
  <c r="G138" i="70"/>
  <c r="G79" i="70"/>
  <c r="G142" i="70"/>
  <c r="G77" i="70"/>
  <c r="G140" i="70"/>
  <c r="G80" i="70"/>
  <c r="G143" i="70"/>
  <c r="BY160" i="64"/>
  <c r="BO166" i="64"/>
  <c r="BM166" i="64"/>
  <c r="CJ176" i="64"/>
  <c r="CF170" i="64" s="1"/>
  <c r="CJ177" i="64"/>
  <c r="CF169" i="64" s="1"/>
  <c r="CJ174" i="64"/>
  <c r="CF172" i="64" s="1"/>
  <c r="CI169" i="64"/>
  <c r="CE177" i="64" s="1"/>
  <c r="CI172" i="64"/>
  <c r="CE174" i="64" s="1"/>
  <c r="BP157" i="61"/>
  <c r="BV158" i="61" s="1"/>
  <c r="BN157" i="61" s="1"/>
  <c r="BM166" i="61"/>
  <c r="BH166" i="61"/>
  <c r="BI166" i="61"/>
  <c r="BK166" i="61"/>
  <c r="CI173" i="61"/>
  <c r="CE173" i="61" s="1"/>
  <c r="CJ172" i="61"/>
  <c r="CF174" i="61" s="1"/>
  <c r="CJ173" i="61"/>
  <c r="CF173" i="61" s="1"/>
  <c r="BY157" i="61"/>
  <c r="BY156" i="61" s="1"/>
  <c r="BP158" i="61"/>
  <c r="BV163" i="61" s="1"/>
  <c r="CI170" i="61"/>
  <c r="CE176" i="61" s="1"/>
  <c r="BZ161" i="61" s="1"/>
  <c r="CJ170" i="61"/>
  <c r="CF176" i="61" s="1"/>
  <c r="CI175" i="61"/>
  <c r="CE171" i="61" s="1"/>
  <c r="CI176" i="61"/>
  <c r="CE170" i="61" s="1"/>
  <c r="BG166" i="64"/>
  <c r="BH166" i="64"/>
  <c r="BY157" i="64"/>
  <c r="BY156" i="64" s="1"/>
  <c r="BP158" i="64"/>
  <c r="BV163" i="64" s="1"/>
  <c r="BK166" i="64"/>
  <c r="BI166" i="64"/>
  <c r="H69" i="64"/>
  <c r="H71" i="64"/>
  <c r="H73" i="64"/>
  <c r="H75" i="64"/>
  <c r="H77" i="64"/>
  <c r="BP157" i="64"/>
  <c r="CJ169" i="64"/>
  <c r="CF177" i="64" s="1"/>
  <c r="CJ172" i="64"/>
  <c r="CF174" i="64" s="1"/>
  <c r="CI175" i="64"/>
  <c r="CE171" i="64" s="1"/>
  <c r="W185" i="64"/>
  <c r="X185" i="64" s="1"/>
  <c r="H168" i="64"/>
  <c r="W169" i="64"/>
  <c r="X169" i="64" s="1"/>
  <c r="W179" i="64"/>
  <c r="X179" i="64" s="1"/>
  <c r="W187" i="64"/>
  <c r="X187" i="64" s="1"/>
  <c r="W168" i="64"/>
  <c r="X168" i="64" s="1"/>
  <c r="X214" i="64" s="1"/>
  <c r="H171" i="64"/>
  <c r="H177" i="64"/>
  <c r="H180" i="64"/>
  <c r="W182" i="64"/>
  <c r="X182" i="64" s="1"/>
  <c r="W191" i="64"/>
  <c r="X191" i="64" s="1"/>
  <c r="H264" i="64"/>
  <c r="H256" i="64"/>
  <c r="H248" i="64"/>
  <c r="H240" i="64"/>
  <c r="H232" i="64"/>
  <c r="H261" i="64"/>
  <c r="H253" i="64"/>
  <c r="H245" i="64"/>
  <c r="H237" i="64"/>
  <c r="H229" i="64"/>
  <c r="H258" i="64"/>
  <c r="H250" i="64"/>
  <c r="H242" i="64"/>
  <c r="H234" i="64"/>
  <c r="H263" i="64"/>
  <c r="H255" i="64"/>
  <c r="H247" i="64"/>
  <c r="H239" i="64"/>
  <c r="H231" i="64"/>
  <c r="H262" i="64"/>
  <c r="H254" i="64"/>
  <c r="H246" i="64"/>
  <c r="H238" i="64"/>
  <c r="H230" i="64"/>
  <c r="H252" i="64"/>
  <c r="H257" i="64"/>
  <c r="H235" i="64"/>
  <c r="H227" i="64"/>
  <c r="H223" i="64"/>
  <c r="H209" i="64"/>
  <c r="H207" i="64"/>
  <c r="H205" i="64"/>
  <c r="H203" i="64"/>
  <c r="H201" i="64"/>
  <c r="H199" i="64"/>
  <c r="H197" i="64"/>
  <c r="H195" i="64"/>
  <c r="H193" i="64"/>
  <c r="H260" i="64"/>
  <c r="H220" i="64"/>
  <c r="H265" i="64"/>
  <c r="H243" i="64"/>
  <c r="H233" i="64"/>
  <c r="H225" i="64"/>
  <c r="H244" i="64"/>
  <c r="H228" i="64"/>
  <c r="H226" i="64"/>
  <c r="H224" i="64"/>
  <c r="H259" i="64"/>
  <c r="H222" i="64"/>
  <c r="H200" i="64"/>
  <c r="H176" i="64"/>
  <c r="H249" i="64"/>
  <c r="H202" i="64"/>
  <c r="H191" i="64"/>
  <c r="H189" i="64"/>
  <c r="H187" i="64"/>
  <c r="H185" i="64"/>
  <c r="H183" i="64"/>
  <c r="H181" i="64"/>
  <c r="H179" i="64"/>
  <c r="H173" i="64"/>
  <c r="H204" i="64"/>
  <c r="H170" i="64"/>
  <c r="H251" i="64"/>
  <c r="H206" i="64"/>
  <c r="H196" i="64"/>
  <c r="H174" i="64"/>
  <c r="H70" i="64"/>
  <c r="H72" i="64"/>
  <c r="H74" i="64"/>
  <c r="H76" i="64"/>
  <c r="W208" i="64"/>
  <c r="X208" i="64" s="1"/>
  <c r="W206" i="64"/>
  <c r="X206" i="64" s="1"/>
  <c r="W204" i="64"/>
  <c r="X204" i="64" s="1"/>
  <c r="W202" i="64"/>
  <c r="X202" i="64" s="1"/>
  <c r="W200" i="64"/>
  <c r="X200" i="64" s="1"/>
  <c r="W198" i="64"/>
  <c r="X198" i="64" s="1"/>
  <c r="W196" i="64"/>
  <c r="X196" i="64" s="1"/>
  <c r="W194" i="64"/>
  <c r="X194" i="64" s="1"/>
  <c r="W192" i="64"/>
  <c r="X192" i="64" s="1"/>
  <c r="W210" i="64"/>
  <c r="X210" i="64" s="1"/>
  <c r="W197" i="64"/>
  <c r="X197" i="64" s="1"/>
  <c r="W199" i="64"/>
  <c r="X199" i="64" s="1"/>
  <c r="W175" i="64"/>
  <c r="X175" i="64" s="1"/>
  <c r="W201" i="64"/>
  <c r="X201" i="64" s="1"/>
  <c r="W172" i="64"/>
  <c r="X172" i="64" s="1"/>
  <c r="W167" i="64"/>
  <c r="X167" i="64" s="1"/>
  <c r="W203" i="64"/>
  <c r="X203" i="64" s="1"/>
  <c r="W190" i="64"/>
  <c r="X190" i="64" s="1"/>
  <c r="W209" i="64"/>
  <c r="X209" i="64" s="1"/>
  <c r="W193" i="64"/>
  <c r="X193" i="64" s="1"/>
  <c r="W176" i="64"/>
  <c r="X176" i="64" s="1"/>
  <c r="W181" i="64"/>
  <c r="X181" i="64" s="1"/>
  <c r="W189" i="64"/>
  <c r="X189" i="64" s="1"/>
  <c r="H192" i="64"/>
  <c r="H198" i="64"/>
  <c r="H221" i="64"/>
  <c r="G214" i="64"/>
  <c r="H21" i="59" s="1"/>
  <c r="AA225" i="64"/>
  <c r="AA226" i="64" s="1"/>
  <c r="H182" i="64"/>
  <c r="W184" i="64"/>
  <c r="X184" i="64" s="1"/>
  <c r="H190" i="64"/>
  <c r="H194" i="64"/>
  <c r="W195" i="64"/>
  <c r="X195" i="64" s="1"/>
  <c r="H167" i="64"/>
  <c r="CI177" i="64"/>
  <c r="CE169" i="64" s="1"/>
  <c r="CI176" i="64"/>
  <c r="CE170" i="64" s="1"/>
  <c r="CJ173" i="64"/>
  <c r="CF173" i="64" s="1"/>
  <c r="CI173" i="64"/>
  <c r="CE173" i="64" s="1"/>
  <c r="CJ170" i="64"/>
  <c r="CF176" i="64" s="1"/>
  <c r="CJ175" i="64"/>
  <c r="CF171" i="64" s="1"/>
  <c r="CI170" i="64"/>
  <c r="CE176" i="64" s="1"/>
  <c r="CI174" i="64"/>
  <c r="CE172" i="64" s="1"/>
  <c r="CJ171" i="64"/>
  <c r="CF175" i="64" s="1"/>
  <c r="H172" i="64"/>
  <c r="W173" i="64"/>
  <c r="X173" i="64" s="1"/>
  <c r="W183" i="64"/>
  <c r="X183" i="64" s="1"/>
  <c r="W207" i="64"/>
  <c r="X207" i="64" s="1"/>
  <c r="H208" i="64"/>
  <c r="AB225" i="64"/>
  <c r="AB226" i="64" s="1"/>
  <c r="BO166" i="61"/>
  <c r="BY160" i="61"/>
  <c r="H173" i="61"/>
  <c r="CJ175" i="61"/>
  <c r="CF171" i="61" s="1"/>
  <c r="W178" i="61"/>
  <c r="X178" i="61" s="1"/>
  <c r="W182" i="61"/>
  <c r="X182" i="61" s="1"/>
  <c r="W169" i="61"/>
  <c r="X169" i="61" s="1"/>
  <c r="W175" i="61"/>
  <c r="X175" i="61" s="1"/>
  <c r="H185" i="61"/>
  <c r="W190" i="61"/>
  <c r="X190" i="61" s="1"/>
  <c r="H265" i="61"/>
  <c r="H168" i="61"/>
  <c r="W168" i="61"/>
  <c r="X168" i="61" s="1"/>
  <c r="X214" i="61" s="1"/>
  <c r="H175" i="61"/>
  <c r="H183" i="61"/>
  <c r="W192" i="61"/>
  <c r="X192" i="61" s="1"/>
  <c r="H72" i="61"/>
  <c r="W177" i="61"/>
  <c r="X177" i="61" s="1"/>
  <c r="G214" i="61"/>
  <c r="H20" i="59" s="1"/>
  <c r="H176" i="61"/>
  <c r="CI177" i="61"/>
  <c r="CE169" i="61" s="1"/>
  <c r="H179" i="61"/>
  <c r="W180" i="61"/>
  <c r="X180" i="61" s="1"/>
  <c r="W188" i="61"/>
  <c r="X188" i="61" s="1"/>
  <c r="H264" i="61"/>
  <c r="H256" i="61"/>
  <c r="H248" i="61"/>
  <c r="H240" i="61"/>
  <c r="H232" i="61"/>
  <c r="H261" i="61"/>
  <c r="H253" i="61"/>
  <c r="H245" i="61"/>
  <c r="H258" i="61"/>
  <c r="H250" i="61"/>
  <c r="H263" i="61"/>
  <c r="H255" i="61"/>
  <c r="H247" i="61"/>
  <c r="H239" i="61"/>
  <c r="H231" i="61"/>
  <c r="H262" i="61"/>
  <c r="H254" i="61"/>
  <c r="H246" i="61"/>
  <c r="H238" i="61"/>
  <c r="H230" i="61"/>
  <c r="H243" i="61"/>
  <c r="H242" i="61"/>
  <c r="H241" i="61"/>
  <c r="H259" i="61"/>
  <c r="H249" i="61"/>
  <c r="H244" i="61"/>
  <c r="H227" i="61"/>
  <c r="H223" i="61"/>
  <c r="H209" i="61"/>
  <c r="H207" i="61"/>
  <c r="H205" i="61"/>
  <c r="H203" i="61"/>
  <c r="H201" i="61"/>
  <c r="H199" i="61"/>
  <c r="H197" i="61"/>
  <c r="H195" i="61"/>
  <c r="H252" i="61"/>
  <c r="H235" i="61"/>
  <c r="H234" i="61"/>
  <c r="H233" i="61"/>
  <c r="H220" i="61"/>
  <c r="H257" i="61"/>
  <c r="H236" i="61"/>
  <c r="H225" i="61"/>
  <c r="H229" i="61"/>
  <c r="H228" i="61"/>
  <c r="H226" i="61"/>
  <c r="H224" i="61"/>
  <c r="H251" i="61"/>
  <c r="H208" i="61"/>
  <c r="H172" i="61"/>
  <c r="H260" i="61"/>
  <c r="H237" i="61"/>
  <c r="H221" i="61"/>
  <c r="H194" i="61"/>
  <c r="H192" i="61"/>
  <c r="H190" i="61"/>
  <c r="H188" i="61"/>
  <c r="H186" i="61"/>
  <c r="H184" i="61"/>
  <c r="H182" i="61"/>
  <c r="H180" i="61"/>
  <c r="H178" i="61"/>
  <c r="H177" i="61"/>
  <c r="H196" i="61"/>
  <c r="H174" i="61"/>
  <c r="H198" i="61"/>
  <c r="H171" i="61"/>
  <c r="H222" i="61"/>
  <c r="H200" i="61"/>
  <c r="H202" i="61"/>
  <c r="H193" i="61"/>
  <c r="H191" i="61"/>
  <c r="H70" i="61"/>
  <c r="H74" i="61"/>
  <c r="H169" i="61"/>
  <c r="H69" i="61"/>
  <c r="H71" i="61"/>
  <c r="H73" i="61"/>
  <c r="H75" i="61"/>
  <c r="H77" i="61"/>
  <c r="H167" i="61"/>
  <c r="H181" i="61"/>
  <c r="H189" i="61"/>
  <c r="H204" i="61"/>
  <c r="W208" i="61"/>
  <c r="X208" i="61" s="1"/>
  <c r="W206" i="61"/>
  <c r="X206" i="61" s="1"/>
  <c r="W204" i="61"/>
  <c r="X204" i="61" s="1"/>
  <c r="W202" i="61"/>
  <c r="X202" i="61" s="1"/>
  <c r="W200" i="61"/>
  <c r="X200" i="61" s="1"/>
  <c r="W198" i="61"/>
  <c r="X198" i="61" s="1"/>
  <c r="W196" i="61"/>
  <c r="X196" i="61" s="1"/>
  <c r="W194" i="61"/>
  <c r="X194" i="61" s="1"/>
  <c r="W210" i="61"/>
  <c r="X210" i="61" s="1"/>
  <c r="W205" i="61"/>
  <c r="X205" i="61" s="1"/>
  <c r="W174" i="61"/>
  <c r="X174" i="61" s="1"/>
  <c r="W207" i="61"/>
  <c r="X207" i="61" s="1"/>
  <c r="W171" i="61"/>
  <c r="X171" i="61" s="1"/>
  <c r="W209" i="61"/>
  <c r="X209" i="61" s="1"/>
  <c r="W176" i="61"/>
  <c r="X176" i="61" s="1"/>
  <c r="W211" i="61"/>
  <c r="X211" i="61" s="1"/>
  <c r="W195" i="61"/>
  <c r="X195" i="61" s="1"/>
  <c r="W193" i="61"/>
  <c r="X193" i="61" s="1"/>
  <c r="W191" i="61"/>
  <c r="X191" i="61" s="1"/>
  <c r="W189" i="61"/>
  <c r="X189" i="61" s="1"/>
  <c r="W187" i="61"/>
  <c r="X187" i="61" s="1"/>
  <c r="W185" i="61"/>
  <c r="X185" i="61" s="1"/>
  <c r="W183" i="61"/>
  <c r="X183" i="61" s="1"/>
  <c r="W181" i="61"/>
  <c r="X181" i="61" s="1"/>
  <c r="W179" i="61"/>
  <c r="X179" i="61" s="1"/>
  <c r="W173" i="61"/>
  <c r="X173" i="61" s="1"/>
  <c r="W197" i="61"/>
  <c r="X197" i="61" s="1"/>
  <c r="W199" i="61"/>
  <c r="X199" i="61" s="1"/>
  <c r="AA225" i="61"/>
  <c r="AA226" i="61" s="1"/>
  <c r="CI172" i="61"/>
  <c r="CE174" i="61" s="1"/>
  <c r="CJ169" i="61"/>
  <c r="CF177" i="61" s="1"/>
  <c r="CJ174" i="61"/>
  <c r="CF172" i="61" s="1"/>
  <c r="CI174" i="61"/>
  <c r="CE172" i="61" s="1"/>
  <c r="CJ171" i="61"/>
  <c r="CF175" i="61" s="1"/>
  <c r="CJ177" i="61"/>
  <c r="CF169" i="61" s="1"/>
  <c r="CJ176" i="61"/>
  <c r="CF170" i="61" s="1"/>
  <c r="CI171" i="61"/>
  <c r="CE175" i="61" s="1"/>
  <c r="W170" i="61"/>
  <c r="X170" i="61" s="1"/>
  <c r="W186" i="61"/>
  <c r="X186" i="61" s="1"/>
  <c r="H76" i="61"/>
  <c r="W167" i="61"/>
  <c r="X167" i="61" s="1"/>
  <c r="AB225" i="61"/>
  <c r="AB226" i="61" s="1"/>
  <c r="H170" i="61"/>
  <c r="W172" i="61"/>
  <c r="X172" i="61" s="1"/>
  <c r="H187" i="61"/>
  <c r="BG176" i="61"/>
  <c r="BG167" i="61" l="1"/>
  <c r="H318" i="59"/>
  <c r="H260" i="59"/>
  <c r="H319" i="59"/>
  <c r="H261" i="59"/>
  <c r="H138" i="59"/>
  <c r="H203" i="59" s="1"/>
  <c r="H289" i="59"/>
  <c r="G36" i="61"/>
  <c r="G37" i="61" s="1"/>
  <c r="F28" i="84"/>
  <c r="F28" i="61"/>
  <c r="G13" i="61"/>
  <c r="G27" i="61"/>
  <c r="G6" i="84"/>
  <c r="G7" i="84" s="1"/>
  <c r="G27" i="84"/>
  <c r="G13" i="84"/>
  <c r="G8" i="84"/>
  <c r="G9" i="84" s="1"/>
  <c r="G22" i="84"/>
  <c r="F17" i="84"/>
  <c r="H140" i="59"/>
  <c r="H205" i="59" s="1"/>
  <c r="H291" i="59"/>
  <c r="H320" i="59"/>
  <c r="G21" i="84" s="1"/>
  <c r="H262" i="59"/>
  <c r="G13" i="64"/>
  <c r="G27" i="64"/>
  <c r="G20" i="64"/>
  <c r="G22" i="64"/>
  <c r="G23" i="64"/>
  <c r="H139" i="59"/>
  <c r="H204" i="59" s="1"/>
  <c r="BV158" i="64"/>
  <c r="BG168" i="64" s="1"/>
  <c r="BP156" i="64"/>
  <c r="H109" i="59"/>
  <c r="H108" i="59"/>
  <c r="H110" i="59"/>
  <c r="H50" i="70"/>
  <c r="G8" i="64"/>
  <c r="G9" i="64" s="1"/>
  <c r="G8" i="61"/>
  <c r="G9" i="61" s="1"/>
  <c r="H51" i="72"/>
  <c r="G40" i="84" s="1"/>
  <c r="G6" i="61"/>
  <c r="G7" i="61" s="1"/>
  <c r="G21" i="61"/>
  <c r="K20" i="71"/>
  <c r="K15" i="79"/>
  <c r="H22" i="72"/>
  <c r="G39" i="84" s="1"/>
  <c r="K16" i="71"/>
  <c r="K14" i="79"/>
  <c r="H21" i="72"/>
  <c r="G39" i="64" s="1"/>
  <c r="G6" i="64"/>
  <c r="G7" i="64" s="1"/>
  <c r="G21" i="64"/>
  <c r="K21" i="71"/>
  <c r="K7" i="81"/>
  <c r="K19" i="71"/>
  <c r="S254" i="72"/>
  <c r="BG170" i="61"/>
  <c r="BG168" i="61"/>
  <c r="BG175" i="61"/>
  <c r="H80" i="72"/>
  <c r="H78" i="72"/>
  <c r="H79" i="72"/>
  <c r="BV157" i="61"/>
  <c r="H20" i="72"/>
  <c r="H51" i="70"/>
  <c r="AL214" i="61"/>
  <c r="BV164" i="61"/>
  <c r="AM214" i="61"/>
  <c r="F272" i="64"/>
  <c r="C65" i="64"/>
  <c r="AL214" i="64"/>
  <c r="AM214" i="64"/>
  <c r="Z167" i="61"/>
  <c r="Y167" i="61" s="1"/>
  <c r="H50" i="72"/>
  <c r="G40" i="64" s="1"/>
  <c r="H21" i="70"/>
  <c r="BZ161" i="64"/>
  <c r="S123" i="64" s="1"/>
  <c r="H37" i="66" s="1"/>
  <c r="F59" i="66" s="1"/>
  <c r="H267" i="64"/>
  <c r="I50" i="59" s="1"/>
  <c r="I290" i="59" s="1"/>
  <c r="H22" i="70"/>
  <c r="H267" i="61"/>
  <c r="I49" i="59" s="1"/>
  <c r="H115" i="64"/>
  <c r="H49" i="64" s="1"/>
  <c r="H80" i="59"/>
  <c r="H115" i="61"/>
  <c r="H49" i="61" s="1"/>
  <c r="H79" i="59"/>
  <c r="H49" i="70"/>
  <c r="H49" i="72"/>
  <c r="G40" i="61" s="1"/>
  <c r="S200" i="59"/>
  <c r="S138" i="72"/>
  <c r="K18" i="71"/>
  <c r="H20" i="70"/>
  <c r="H78" i="59"/>
  <c r="S123" i="61"/>
  <c r="H37" i="63" s="1"/>
  <c r="F59" i="63" s="1"/>
  <c r="BN158" i="61"/>
  <c r="Z198" i="61" s="1"/>
  <c r="Y198" i="61" s="1"/>
  <c r="F27" i="68"/>
  <c r="C12" i="68" s="1"/>
  <c r="I38" i="69"/>
  <c r="G62" i="69" s="1"/>
  <c r="F27" i="65"/>
  <c r="C12" i="65" s="1"/>
  <c r="I38" i="66"/>
  <c r="G62" i="66" s="1"/>
  <c r="H214" i="64"/>
  <c r="I21" i="59" s="1"/>
  <c r="I261" i="64"/>
  <c r="I253" i="64"/>
  <c r="I245" i="64"/>
  <c r="I237" i="64"/>
  <c r="I229" i="64"/>
  <c r="I258" i="64"/>
  <c r="I250" i="64"/>
  <c r="I242" i="64"/>
  <c r="I234" i="64"/>
  <c r="I263" i="64"/>
  <c r="I255" i="64"/>
  <c r="I247" i="64"/>
  <c r="I239" i="64"/>
  <c r="I231" i="64"/>
  <c r="I260" i="64"/>
  <c r="I252" i="64"/>
  <c r="I244" i="64"/>
  <c r="I236" i="64"/>
  <c r="I259" i="64"/>
  <c r="I251" i="64"/>
  <c r="I243" i="64"/>
  <c r="I235" i="64"/>
  <c r="I264" i="64"/>
  <c r="I257" i="64"/>
  <c r="I232" i="64"/>
  <c r="I227" i="64"/>
  <c r="I223" i="64"/>
  <c r="I209" i="64"/>
  <c r="I207" i="64"/>
  <c r="I205" i="64"/>
  <c r="I203" i="64"/>
  <c r="I201" i="64"/>
  <c r="I199" i="64"/>
  <c r="I197" i="64"/>
  <c r="I195" i="64"/>
  <c r="I193" i="64"/>
  <c r="I262" i="64"/>
  <c r="I230" i="64"/>
  <c r="I220" i="64"/>
  <c r="I265" i="64"/>
  <c r="I240" i="64"/>
  <c r="I233" i="64"/>
  <c r="I225" i="64"/>
  <c r="I238" i="64"/>
  <c r="I222" i="64"/>
  <c r="I256" i="64"/>
  <c r="I249" i="64"/>
  <c r="I221" i="64"/>
  <c r="I246" i="64"/>
  <c r="I202" i="64"/>
  <c r="I191" i="64"/>
  <c r="I189" i="64"/>
  <c r="I187" i="64"/>
  <c r="I185" i="64"/>
  <c r="I183" i="64"/>
  <c r="I181" i="64"/>
  <c r="I179" i="64"/>
  <c r="I173" i="64"/>
  <c r="I204" i="64"/>
  <c r="I170" i="64"/>
  <c r="I206" i="64"/>
  <c r="I175" i="64"/>
  <c r="I248" i="64"/>
  <c r="I241" i="64"/>
  <c r="I208" i="64"/>
  <c r="I226" i="64"/>
  <c r="I198" i="64"/>
  <c r="I171" i="64"/>
  <c r="I254" i="64"/>
  <c r="I194" i="64"/>
  <c r="I190" i="64"/>
  <c r="I182" i="64"/>
  <c r="I228" i="64"/>
  <c r="I200" i="64"/>
  <c r="I196" i="64"/>
  <c r="I192" i="64"/>
  <c r="I76" i="64"/>
  <c r="I74" i="64"/>
  <c r="I72" i="64"/>
  <c r="I70" i="64"/>
  <c r="I188" i="64"/>
  <c r="I180" i="64"/>
  <c r="I177" i="64"/>
  <c r="I73" i="64"/>
  <c r="I69" i="64"/>
  <c r="I224" i="64"/>
  <c r="I168" i="64"/>
  <c r="I75" i="64"/>
  <c r="I186" i="64"/>
  <c r="I178" i="64"/>
  <c r="I176" i="64"/>
  <c r="I174" i="64"/>
  <c r="I169" i="64"/>
  <c r="I77" i="64"/>
  <c r="I71" i="64"/>
  <c r="I184" i="64"/>
  <c r="I172" i="64"/>
  <c r="I167" i="64"/>
  <c r="BN158" i="64"/>
  <c r="F27" i="62"/>
  <c r="C12" i="62" s="1"/>
  <c r="I38" i="63"/>
  <c r="G62" i="63" s="1"/>
  <c r="H214" i="61"/>
  <c r="I20" i="59" s="1"/>
  <c r="BG171" i="61"/>
  <c r="BG172" i="61"/>
  <c r="I261" i="61"/>
  <c r="I253" i="61"/>
  <c r="I245" i="61"/>
  <c r="I237" i="61"/>
  <c r="I229" i="61"/>
  <c r="I258" i="61"/>
  <c r="I250" i="61"/>
  <c r="I263" i="61"/>
  <c r="I255" i="61"/>
  <c r="I247" i="61"/>
  <c r="I260" i="61"/>
  <c r="I252" i="61"/>
  <c r="I244" i="61"/>
  <c r="I236" i="61"/>
  <c r="I259" i="61"/>
  <c r="I251" i="61"/>
  <c r="I243" i="61"/>
  <c r="I235" i="61"/>
  <c r="I256" i="61"/>
  <c r="I249" i="61"/>
  <c r="I231" i="61"/>
  <c r="I227" i="61"/>
  <c r="I223" i="61"/>
  <c r="I209" i="61"/>
  <c r="I207" i="61"/>
  <c r="I205" i="61"/>
  <c r="I203" i="61"/>
  <c r="I201" i="61"/>
  <c r="I199" i="61"/>
  <c r="I197" i="61"/>
  <c r="I195" i="61"/>
  <c r="I254" i="61"/>
  <c r="I234" i="61"/>
  <c r="I233" i="61"/>
  <c r="I232" i="61"/>
  <c r="I220" i="61"/>
  <c r="I264" i="61"/>
  <c r="I257" i="61"/>
  <c r="I225" i="61"/>
  <c r="I262" i="61"/>
  <c r="I222" i="61"/>
  <c r="I248" i="61"/>
  <c r="I239" i="61"/>
  <c r="I221" i="61"/>
  <c r="I242" i="61"/>
  <c r="I240" i="61"/>
  <c r="I228" i="61"/>
  <c r="I194" i="61"/>
  <c r="I192" i="61"/>
  <c r="I190" i="61"/>
  <c r="I188" i="61"/>
  <c r="I186" i="61"/>
  <c r="I184" i="61"/>
  <c r="I182" i="61"/>
  <c r="I180" i="61"/>
  <c r="I178" i="61"/>
  <c r="I177" i="61"/>
  <c r="I196" i="61"/>
  <c r="I174" i="61"/>
  <c r="I230" i="61"/>
  <c r="I226" i="61"/>
  <c r="I198" i="61"/>
  <c r="I171" i="61"/>
  <c r="I224" i="61"/>
  <c r="I200" i="61"/>
  <c r="I176" i="61"/>
  <c r="I246" i="61"/>
  <c r="I241" i="61"/>
  <c r="I202" i="61"/>
  <c r="I193" i="61"/>
  <c r="I191" i="61"/>
  <c r="I189" i="61"/>
  <c r="I187" i="61"/>
  <c r="I185" i="61"/>
  <c r="I183" i="61"/>
  <c r="I181" i="61"/>
  <c r="I265" i="61"/>
  <c r="I204" i="61"/>
  <c r="I167" i="61"/>
  <c r="I77" i="61"/>
  <c r="I75" i="61"/>
  <c r="I73" i="61"/>
  <c r="I71" i="61"/>
  <c r="I69" i="61"/>
  <c r="I206" i="61"/>
  <c r="I179" i="61"/>
  <c r="I175" i="61"/>
  <c r="I168" i="61"/>
  <c r="I238" i="61"/>
  <c r="I170" i="61"/>
  <c r="I208" i="61"/>
  <c r="I173" i="61"/>
  <c r="I172" i="61"/>
  <c r="I169" i="61"/>
  <c r="I76" i="61"/>
  <c r="I74" i="61"/>
  <c r="I72" i="61"/>
  <c r="I70" i="61"/>
  <c r="BG174" i="61"/>
  <c r="BG169" i="61"/>
  <c r="BG173" i="61"/>
  <c r="I318" i="59" l="1"/>
  <c r="I260" i="59"/>
  <c r="I319" i="59"/>
  <c r="I261" i="59"/>
  <c r="F56" i="64"/>
  <c r="G170" i="59"/>
  <c r="I138" i="59"/>
  <c r="I203" i="59" s="1"/>
  <c r="I289" i="59"/>
  <c r="G23" i="84"/>
  <c r="G23" i="61"/>
  <c r="H22" i="61"/>
  <c r="H14" i="61" s="1"/>
  <c r="G20" i="84"/>
  <c r="G20" i="61"/>
  <c r="H13" i="61"/>
  <c r="H27" i="61"/>
  <c r="G39" i="61"/>
  <c r="G43" i="61" s="1"/>
  <c r="G46" i="61" s="1"/>
  <c r="H6" i="84"/>
  <c r="H7" i="84" s="1"/>
  <c r="H27" i="84"/>
  <c r="H13" i="84"/>
  <c r="G26" i="84"/>
  <c r="G14" i="84"/>
  <c r="G16" i="84" s="1"/>
  <c r="G17" i="84" s="1"/>
  <c r="H22" i="84"/>
  <c r="H26" i="84" s="1"/>
  <c r="H8" i="84"/>
  <c r="H9" i="84" s="1"/>
  <c r="G43" i="84"/>
  <c r="I140" i="59"/>
  <c r="I205" i="59" s="1"/>
  <c r="I291" i="59"/>
  <c r="I320" i="59"/>
  <c r="H21" i="84" s="1"/>
  <c r="I262" i="59"/>
  <c r="H79" i="70"/>
  <c r="H27" i="64"/>
  <c r="H13" i="64"/>
  <c r="G26" i="64"/>
  <c r="G14" i="64"/>
  <c r="G16" i="64" s="1"/>
  <c r="G17" i="64" s="1"/>
  <c r="H23" i="64"/>
  <c r="H22" i="64"/>
  <c r="H26" i="64" s="1"/>
  <c r="BN157" i="64"/>
  <c r="AH170" i="64" s="1"/>
  <c r="BG167" i="64"/>
  <c r="BV164" i="64"/>
  <c r="AF172" i="64"/>
  <c r="AJ171" i="64"/>
  <c r="AD169" i="64"/>
  <c r="AD214" i="64" s="1"/>
  <c r="AH171" i="64"/>
  <c r="AH169" i="64"/>
  <c r="AE171" i="64"/>
  <c r="AF169" i="64"/>
  <c r="AI171" i="64"/>
  <c r="AF171" i="64"/>
  <c r="AH172" i="64"/>
  <c r="AG172" i="64"/>
  <c r="AK169" i="64"/>
  <c r="AJ169" i="64"/>
  <c r="AG169" i="64"/>
  <c r="AC169" i="64"/>
  <c r="AC214" i="64" s="1"/>
  <c r="AE170" i="64"/>
  <c r="AJ172" i="64"/>
  <c r="AK171" i="64"/>
  <c r="AE172" i="64"/>
  <c r="AJ170" i="64"/>
  <c r="AI172" i="64"/>
  <c r="AE169" i="64"/>
  <c r="AI169" i="64"/>
  <c r="AG171" i="64"/>
  <c r="I139" i="59"/>
  <c r="I204" i="59" s="1"/>
  <c r="I109" i="59"/>
  <c r="I110" i="59"/>
  <c r="I108" i="59"/>
  <c r="G43" i="64"/>
  <c r="G44" i="64" s="1"/>
  <c r="H8" i="64"/>
  <c r="H9" i="64" s="1"/>
  <c r="G16" i="61"/>
  <c r="G17" i="61" s="1"/>
  <c r="H8" i="61"/>
  <c r="H9" i="61" s="1"/>
  <c r="H6" i="64"/>
  <c r="H7" i="64" s="1"/>
  <c r="H6" i="61"/>
  <c r="H7" i="61" s="1"/>
  <c r="S120" i="64"/>
  <c r="F28" i="65" s="1"/>
  <c r="AJ15" i="65" s="1"/>
  <c r="AJ19" i="65" s="1"/>
  <c r="S58" i="64"/>
  <c r="S58" i="61"/>
  <c r="I80" i="72"/>
  <c r="I78" i="72"/>
  <c r="I79" i="72"/>
  <c r="H80" i="70"/>
  <c r="I20" i="72"/>
  <c r="Z195" i="61"/>
  <c r="Y195" i="61" s="1"/>
  <c r="Z189" i="61"/>
  <c r="Y189" i="61" s="1"/>
  <c r="Z202" i="61"/>
  <c r="Y202" i="61" s="1"/>
  <c r="Z206" i="61"/>
  <c r="Y206" i="61" s="1"/>
  <c r="Z171" i="61"/>
  <c r="Y171" i="61" s="1"/>
  <c r="Z174" i="61"/>
  <c r="Y174" i="61" s="1"/>
  <c r="Z178" i="61"/>
  <c r="Y178" i="61" s="1"/>
  <c r="Z205" i="61"/>
  <c r="Y205" i="61" s="1"/>
  <c r="Z209" i="61"/>
  <c r="Y209" i="61" s="1"/>
  <c r="Z185" i="61"/>
  <c r="Y185" i="61" s="1"/>
  <c r="Z212" i="61"/>
  <c r="Y212" i="61" s="1"/>
  <c r="Z168" i="61"/>
  <c r="Y168" i="61" s="1"/>
  <c r="Z175" i="61"/>
  <c r="Y175" i="61" s="1"/>
  <c r="Z182" i="61"/>
  <c r="Y182" i="61" s="1"/>
  <c r="Z213" i="61"/>
  <c r="Y213" i="61" s="1"/>
  <c r="Z199" i="61"/>
  <c r="Y199" i="61" s="1"/>
  <c r="Z210" i="61"/>
  <c r="Y210" i="61" s="1"/>
  <c r="Z172" i="61"/>
  <c r="Y172" i="61" s="1"/>
  <c r="Z179" i="61"/>
  <c r="Y179" i="61" s="1"/>
  <c r="Z186" i="61"/>
  <c r="Y186" i="61" s="1"/>
  <c r="Z192" i="61"/>
  <c r="Y192" i="61" s="1"/>
  <c r="Z203" i="61"/>
  <c r="Y203" i="61" s="1"/>
  <c r="Z169" i="61"/>
  <c r="Y169" i="61" s="1"/>
  <c r="Z176" i="61"/>
  <c r="Y176" i="61" s="1"/>
  <c r="Z183" i="61"/>
  <c r="Y183" i="61" s="1"/>
  <c r="Z190" i="61"/>
  <c r="Y190" i="61" s="1"/>
  <c r="Z196" i="61"/>
  <c r="Y196" i="61" s="1"/>
  <c r="Z207" i="61"/>
  <c r="Y207" i="61" s="1"/>
  <c r="Z211" i="64"/>
  <c r="Y211" i="64" s="1"/>
  <c r="Z195" i="64"/>
  <c r="Y195" i="64" s="1"/>
  <c r="Z187" i="64"/>
  <c r="Y187" i="64" s="1"/>
  <c r="Z179" i="64"/>
  <c r="Y179" i="64" s="1"/>
  <c r="Z167" i="64"/>
  <c r="Y167" i="64" s="1"/>
  <c r="Z212" i="64"/>
  <c r="Y212" i="64" s="1"/>
  <c r="Z204" i="64"/>
  <c r="Y204" i="64" s="1"/>
  <c r="Z196" i="64"/>
  <c r="Y196" i="64" s="1"/>
  <c r="Z184" i="64"/>
  <c r="Y184" i="64" s="1"/>
  <c r="Z180" i="64"/>
  <c r="Y180" i="64" s="1"/>
  <c r="Z172" i="64"/>
  <c r="Y172" i="64" s="1"/>
  <c r="Z213" i="64"/>
  <c r="Y213" i="64" s="1"/>
  <c r="Z201" i="64"/>
  <c r="Y201" i="64" s="1"/>
  <c r="Z197" i="64"/>
  <c r="Y197" i="64" s="1"/>
  <c r="Z189" i="64"/>
  <c r="Y189" i="64" s="1"/>
  <c r="Z181" i="64"/>
  <c r="Y181" i="64" s="1"/>
  <c r="Z173" i="64"/>
  <c r="Y173" i="64" s="1"/>
  <c r="Z169" i="64"/>
  <c r="Y169" i="64" s="1"/>
  <c r="Z210" i="64"/>
  <c r="Y210" i="64" s="1"/>
  <c r="Z202" i="64"/>
  <c r="Y202" i="64" s="1"/>
  <c r="Z194" i="64"/>
  <c r="Y194" i="64" s="1"/>
  <c r="Z182" i="64"/>
  <c r="Y182" i="64" s="1"/>
  <c r="Z178" i="64"/>
  <c r="Y178" i="64" s="1"/>
  <c r="Z170" i="64"/>
  <c r="Y170" i="64" s="1"/>
  <c r="Z173" i="61"/>
  <c r="Y173" i="61" s="1"/>
  <c r="Z180" i="61"/>
  <c r="Y180" i="61" s="1"/>
  <c r="Z187" i="61"/>
  <c r="Y187" i="61" s="1"/>
  <c r="Z193" i="61"/>
  <c r="Y193" i="61" s="1"/>
  <c r="Z200" i="61"/>
  <c r="Y200" i="61" s="1"/>
  <c r="Z211" i="61"/>
  <c r="Y211" i="61" s="1"/>
  <c r="Z177" i="61"/>
  <c r="Y177" i="61" s="1"/>
  <c r="Z184" i="61"/>
  <c r="Y184" i="61" s="1"/>
  <c r="Z191" i="61"/>
  <c r="Y191" i="61" s="1"/>
  <c r="Z197" i="61"/>
  <c r="Y197" i="61" s="1"/>
  <c r="Z204" i="61"/>
  <c r="Y204" i="61" s="1"/>
  <c r="Z194" i="61"/>
  <c r="Y194" i="61" s="1"/>
  <c r="F28" i="68"/>
  <c r="S120" i="61"/>
  <c r="F28" i="62" s="1"/>
  <c r="Z181" i="61"/>
  <c r="Y181" i="61" s="1"/>
  <c r="Z188" i="61"/>
  <c r="Y188" i="61" s="1"/>
  <c r="Z170" i="61"/>
  <c r="Y170" i="61" s="1"/>
  <c r="Z201" i="61"/>
  <c r="Y201" i="61" s="1"/>
  <c r="Z208" i="61"/>
  <c r="Y208" i="61" s="1"/>
  <c r="I115" i="64"/>
  <c r="I49" i="64" s="1"/>
  <c r="H37" i="69"/>
  <c r="F59" i="69" s="1"/>
  <c r="I115" i="61"/>
  <c r="I49" i="61" s="1"/>
  <c r="I267" i="61"/>
  <c r="J49" i="59" s="1"/>
  <c r="S125" i="61"/>
  <c r="J37" i="63" s="1"/>
  <c r="H59" i="63" s="1"/>
  <c r="S128" i="61"/>
  <c r="S124" i="61"/>
  <c r="I37" i="63" s="1"/>
  <c r="G59" i="63" s="1"/>
  <c r="I37" i="69"/>
  <c r="G59" i="69" s="1"/>
  <c r="S129" i="61"/>
  <c r="M108" i="72"/>
  <c r="I267" i="64"/>
  <c r="J50" i="59" s="1"/>
  <c r="J290" i="59" s="1"/>
  <c r="J37" i="69"/>
  <c r="H59" i="69" s="1"/>
  <c r="S130" i="61"/>
  <c r="M107" i="70"/>
  <c r="S125" i="64"/>
  <c r="J37" i="66" s="1"/>
  <c r="H59" i="66" s="1"/>
  <c r="I51" i="70"/>
  <c r="I51" i="72"/>
  <c r="H40" i="84" s="1"/>
  <c r="S126" i="61"/>
  <c r="K37" i="63" s="1"/>
  <c r="I59" i="63" s="1"/>
  <c r="S131" i="61"/>
  <c r="O108" i="72"/>
  <c r="S127" i="61"/>
  <c r="J108" i="70"/>
  <c r="I79" i="59"/>
  <c r="I21" i="70"/>
  <c r="I21" i="72"/>
  <c r="H39" i="64" s="1"/>
  <c r="I80" i="59"/>
  <c r="I22" i="70"/>
  <c r="I22" i="72"/>
  <c r="H39" i="84" s="1"/>
  <c r="S132" i="61"/>
  <c r="P108" i="72"/>
  <c r="S124" i="64"/>
  <c r="I37" i="66" s="1"/>
  <c r="G59" i="66" s="1"/>
  <c r="S133" i="61"/>
  <c r="Q109" i="72"/>
  <c r="K37" i="69"/>
  <c r="I59" i="69" s="1"/>
  <c r="H78" i="70"/>
  <c r="I50" i="70"/>
  <c r="I50" i="72"/>
  <c r="H40" i="64" s="1"/>
  <c r="I49" i="70"/>
  <c r="I49" i="72"/>
  <c r="L109" i="72"/>
  <c r="L108" i="72"/>
  <c r="L107" i="72"/>
  <c r="N108" i="72"/>
  <c r="N107" i="72"/>
  <c r="N109" i="72"/>
  <c r="M109" i="70"/>
  <c r="N169" i="59"/>
  <c r="I78" i="59"/>
  <c r="I20" i="70"/>
  <c r="N108" i="70"/>
  <c r="K109" i="70"/>
  <c r="K107" i="70"/>
  <c r="K108" i="70"/>
  <c r="L169" i="59"/>
  <c r="C19" i="68"/>
  <c r="C25" i="69"/>
  <c r="C31" i="69" s="1"/>
  <c r="J258" i="64"/>
  <c r="J250" i="64"/>
  <c r="J242" i="64"/>
  <c r="J234" i="64"/>
  <c r="J263" i="64"/>
  <c r="J255" i="64"/>
  <c r="J247" i="64"/>
  <c r="J239" i="64"/>
  <c r="J231" i="64"/>
  <c r="J260" i="64"/>
  <c r="J252" i="64"/>
  <c r="J244" i="64"/>
  <c r="J236" i="64"/>
  <c r="J265" i="64"/>
  <c r="J257" i="64"/>
  <c r="J249" i="64"/>
  <c r="J241" i="64"/>
  <c r="J233" i="64"/>
  <c r="J264" i="64"/>
  <c r="J256" i="64"/>
  <c r="J248" i="64"/>
  <c r="J240" i="64"/>
  <c r="J232" i="64"/>
  <c r="J262" i="64"/>
  <c r="J235" i="64"/>
  <c r="J230" i="64"/>
  <c r="J220" i="64"/>
  <c r="J245" i="64"/>
  <c r="J225" i="64"/>
  <c r="J243" i="64"/>
  <c r="J238" i="64"/>
  <c r="J222" i="64"/>
  <c r="J253" i="64"/>
  <c r="J208" i="64"/>
  <c r="J206" i="64"/>
  <c r="J204" i="64"/>
  <c r="J202" i="64"/>
  <c r="J200" i="64"/>
  <c r="J198" i="64"/>
  <c r="J196" i="64"/>
  <c r="J194" i="64"/>
  <c r="J192" i="64"/>
  <c r="J259" i="64"/>
  <c r="J254" i="64"/>
  <c r="J229" i="64"/>
  <c r="J227" i="64"/>
  <c r="J207" i="64"/>
  <c r="J209" i="64"/>
  <c r="J193" i="64"/>
  <c r="J175" i="64"/>
  <c r="J261" i="64"/>
  <c r="J251" i="64"/>
  <c r="J195" i="64"/>
  <c r="J172" i="64"/>
  <c r="J167" i="64"/>
  <c r="J228" i="64"/>
  <c r="J223" i="64"/>
  <c r="J197" i="64"/>
  <c r="J190" i="64"/>
  <c r="J224" i="64"/>
  <c r="J203" i="64"/>
  <c r="J176" i="64"/>
  <c r="J201" i="64"/>
  <c r="J187" i="64"/>
  <c r="J179" i="64"/>
  <c r="J76" i="64"/>
  <c r="J74" i="64"/>
  <c r="J72" i="64"/>
  <c r="J70" i="64"/>
  <c r="J246" i="64"/>
  <c r="J221" i="64"/>
  <c r="J205" i="64"/>
  <c r="J199" i="64"/>
  <c r="J188" i="64"/>
  <c r="J180" i="64"/>
  <c r="J177" i="64"/>
  <c r="J185" i="64"/>
  <c r="J171" i="64"/>
  <c r="J168" i="64"/>
  <c r="J237" i="64"/>
  <c r="J186" i="64"/>
  <c r="J178" i="64"/>
  <c r="J174" i="64"/>
  <c r="J169" i="64"/>
  <c r="J184" i="64"/>
  <c r="J183" i="64"/>
  <c r="J173" i="64"/>
  <c r="J170" i="64"/>
  <c r="J77" i="64"/>
  <c r="J75" i="64"/>
  <c r="J73" i="64"/>
  <c r="J71" i="64"/>
  <c r="J69" i="64"/>
  <c r="J226" i="64"/>
  <c r="J191" i="64"/>
  <c r="J189" i="64"/>
  <c r="J181" i="64"/>
  <c r="J182" i="64"/>
  <c r="I214" i="64"/>
  <c r="J21" i="59" s="1"/>
  <c r="C25" i="66"/>
  <c r="C31" i="66" s="1"/>
  <c r="C19" i="65"/>
  <c r="I214" i="61"/>
  <c r="J20" i="59" s="1"/>
  <c r="J258" i="61"/>
  <c r="J250" i="61"/>
  <c r="J242" i="61"/>
  <c r="J234" i="61"/>
  <c r="J263" i="61"/>
  <c r="J255" i="61"/>
  <c r="J247" i="61"/>
  <c r="J260" i="61"/>
  <c r="J252" i="61"/>
  <c r="J244" i="61"/>
  <c r="J265" i="61"/>
  <c r="J257" i="61"/>
  <c r="J249" i="61"/>
  <c r="J241" i="61"/>
  <c r="J233" i="61"/>
  <c r="J264" i="61"/>
  <c r="J256" i="61"/>
  <c r="J248" i="61"/>
  <c r="J240" i="61"/>
  <c r="J232" i="61"/>
  <c r="J259" i="61"/>
  <c r="J254" i="61"/>
  <c r="J220" i="61"/>
  <c r="J235" i="61"/>
  <c r="J225" i="61"/>
  <c r="J262" i="61"/>
  <c r="J236" i="61"/>
  <c r="J222" i="61"/>
  <c r="J245" i="61"/>
  <c r="J237" i="61"/>
  <c r="J208" i="61"/>
  <c r="J206" i="61"/>
  <c r="J204" i="61"/>
  <c r="J202" i="61"/>
  <c r="J200" i="61"/>
  <c r="J198" i="61"/>
  <c r="J196" i="61"/>
  <c r="J194" i="61"/>
  <c r="J251" i="61"/>
  <c r="J246" i="61"/>
  <c r="J230" i="61"/>
  <c r="J221" i="61"/>
  <c r="J199" i="61"/>
  <c r="J174" i="61"/>
  <c r="J226" i="61"/>
  <c r="J201" i="61"/>
  <c r="J171" i="61"/>
  <c r="J253" i="61"/>
  <c r="J224" i="61"/>
  <c r="J203" i="61"/>
  <c r="J176" i="61"/>
  <c r="J239" i="61"/>
  <c r="J205" i="61"/>
  <c r="J193" i="61"/>
  <c r="J191" i="61"/>
  <c r="J189" i="61"/>
  <c r="J187" i="61"/>
  <c r="J185" i="61"/>
  <c r="J183" i="61"/>
  <c r="J181" i="61"/>
  <c r="J179" i="61"/>
  <c r="J173" i="61"/>
  <c r="J243" i="61"/>
  <c r="J227" i="61"/>
  <c r="J207" i="61"/>
  <c r="J238" i="61"/>
  <c r="J229" i="61"/>
  <c r="J209" i="61"/>
  <c r="J190" i="61"/>
  <c r="J182" i="61"/>
  <c r="J167" i="61"/>
  <c r="J77" i="61"/>
  <c r="J75" i="61"/>
  <c r="J73" i="61"/>
  <c r="J71" i="61"/>
  <c r="J69" i="61"/>
  <c r="J188" i="61"/>
  <c r="J180" i="61"/>
  <c r="J231" i="61"/>
  <c r="J178" i="61"/>
  <c r="J170" i="61"/>
  <c r="J223" i="61"/>
  <c r="J184" i="61"/>
  <c r="J177" i="61"/>
  <c r="J175" i="61"/>
  <c r="J168" i="61"/>
  <c r="J261" i="61"/>
  <c r="J195" i="61"/>
  <c r="J186" i="61"/>
  <c r="J172" i="61"/>
  <c r="J169" i="61"/>
  <c r="J76" i="61"/>
  <c r="J74" i="61"/>
  <c r="J72" i="61"/>
  <c r="J70" i="61"/>
  <c r="J192" i="61"/>
  <c r="J228" i="61"/>
  <c r="J197" i="61"/>
  <c r="C25" i="63"/>
  <c r="C31" i="63" s="1"/>
  <c r="C19" i="62"/>
  <c r="J318" i="59" l="1"/>
  <c r="J260" i="59"/>
  <c r="J319" i="59"/>
  <c r="J261" i="59"/>
  <c r="J138" i="59"/>
  <c r="J203" i="59" s="1"/>
  <c r="J289" i="59"/>
  <c r="H26" i="61"/>
  <c r="H40" i="61"/>
  <c r="I22" i="61"/>
  <c r="I26" i="61" s="1"/>
  <c r="H14" i="84"/>
  <c r="H16" i="84" s="1"/>
  <c r="H17" i="84" s="1"/>
  <c r="G28" i="84"/>
  <c r="H23" i="84"/>
  <c r="H23" i="61"/>
  <c r="H20" i="84"/>
  <c r="H20" i="61"/>
  <c r="H39" i="61"/>
  <c r="H21" i="61"/>
  <c r="I27" i="61"/>
  <c r="I13" i="61"/>
  <c r="I22" i="84"/>
  <c r="I26" i="84" s="1"/>
  <c r="I8" i="84"/>
  <c r="I9" i="84" s="1"/>
  <c r="I6" i="84"/>
  <c r="I7" i="84" s="1"/>
  <c r="I27" i="84"/>
  <c r="I13" i="84"/>
  <c r="G44" i="84"/>
  <c r="G46" i="84"/>
  <c r="J140" i="59"/>
  <c r="J205" i="59" s="1"/>
  <c r="J291" i="59"/>
  <c r="J320" i="59"/>
  <c r="I21" i="84" s="1"/>
  <c r="J262" i="59"/>
  <c r="Z174" i="64"/>
  <c r="Y174" i="64" s="1"/>
  <c r="Z206" i="64"/>
  <c r="Y206" i="64" s="1"/>
  <c r="Z193" i="64"/>
  <c r="Y193" i="64" s="1"/>
  <c r="Z176" i="64"/>
  <c r="Y176" i="64" s="1"/>
  <c r="Z208" i="64"/>
  <c r="Y208" i="64" s="1"/>
  <c r="Z191" i="64"/>
  <c r="Y191" i="64" s="1"/>
  <c r="Z199" i="64"/>
  <c r="Y199" i="64" s="1"/>
  <c r="AG170" i="64"/>
  <c r="AG214" i="64" s="1"/>
  <c r="Z186" i="64"/>
  <c r="Y186" i="64" s="1"/>
  <c r="Z205" i="64"/>
  <c r="Y205" i="64" s="1"/>
  <c r="Z188" i="64"/>
  <c r="Y188" i="64" s="1"/>
  <c r="Z171" i="64"/>
  <c r="Y171" i="64" s="1"/>
  <c r="Z203" i="64"/>
  <c r="Y203" i="64" s="1"/>
  <c r="AI170" i="64"/>
  <c r="AI214" i="64" s="1"/>
  <c r="AI215" i="64" s="1"/>
  <c r="AI216" i="64" s="1"/>
  <c r="AF170" i="64"/>
  <c r="Z190" i="64"/>
  <c r="Y190" i="64" s="1"/>
  <c r="Z177" i="64"/>
  <c r="Y177" i="64" s="1"/>
  <c r="Z209" i="64"/>
  <c r="Y209" i="64" s="1"/>
  <c r="Z192" i="64"/>
  <c r="Y192" i="64" s="1"/>
  <c r="Z175" i="64"/>
  <c r="Y175" i="64" s="1"/>
  <c r="Z207" i="64"/>
  <c r="Y207" i="64" s="1"/>
  <c r="AK172" i="64"/>
  <c r="AK214" i="64" s="1"/>
  <c r="AK215" i="64" s="1"/>
  <c r="AK216" i="64" s="1"/>
  <c r="AK170" i="64"/>
  <c r="Z198" i="64"/>
  <c r="Y198" i="64" s="1"/>
  <c r="Z185" i="64"/>
  <c r="Y185" i="64" s="1"/>
  <c r="Z168" i="64"/>
  <c r="Y168" i="64" s="1"/>
  <c r="Z200" i="64"/>
  <c r="Y200" i="64" s="1"/>
  <c r="Z183" i="64"/>
  <c r="Y183" i="64" s="1"/>
  <c r="H14" i="64"/>
  <c r="H18" i="64" s="1"/>
  <c r="G18" i="64"/>
  <c r="I27" i="64"/>
  <c r="I13" i="64"/>
  <c r="I23" i="64"/>
  <c r="I22" i="64"/>
  <c r="I26" i="64" s="1"/>
  <c r="AJ214" i="64"/>
  <c r="AJ215" i="64" s="1"/>
  <c r="AH214" i="64"/>
  <c r="AE214" i="64"/>
  <c r="AD215" i="64"/>
  <c r="AD216" i="64" s="1"/>
  <c r="BG170" i="64"/>
  <c r="AC215" i="64"/>
  <c r="AC216" i="64" s="1"/>
  <c r="BG169" i="64"/>
  <c r="AF214" i="64"/>
  <c r="V15" i="65"/>
  <c r="V19" i="65" s="1"/>
  <c r="G15" i="65"/>
  <c r="G19" i="65" s="1"/>
  <c r="AH15" i="65"/>
  <c r="AH19" i="65" s="1"/>
  <c r="D15" i="65"/>
  <c r="D19" i="65" s="1"/>
  <c r="Y15" i="65"/>
  <c r="Y19" i="65" s="1"/>
  <c r="W15" i="65"/>
  <c r="W19" i="65" s="1"/>
  <c r="Z15" i="65"/>
  <c r="Z19" i="65" s="1"/>
  <c r="S15" i="65"/>
  <c r="S19" i="65" s="1"/>
  <c r="E15" i="65"/>
  <c r="E19" i="65" s="1"/>
  <c r="M15" i="65"/>
  <c r="M19" i="65" s="1"/>
  <c r="AA15" i="65"/>
  <c r="AA19" i="65" s="1"/>
  <c r="AE15" i="65"/>
  <c r="AE19" i="65" s="1"/>
  <c r="AN15" i="65"/>
  <c r="AN19" i="65" s="1"/>
  <c r="J15" i="65"/>
  <c r="J19" i="65" s="1"/>
  <c r="AP15" i="65"/>
  <c r="AP19" i="65" s="1"/>
  <c r="AO15" i="65"/>
  <c r="AO19" i="65" s="1"/>
  <c r="L15" i="65"/>
  <c r="L19" i="65" s="1"/>
  <c r="H27" i="65"/>
  <c r="U15" i="65"/>
  <c r="U19" i="65" s="1"/>
  <c r="AK15" i="65"/>
  <c r="AK19" i="65" s="1"/>
  <c r="N15" i="65"/>
  <c r="N19" i="65" s="1"/>
  <c r="AC15" i="65"/>
  <c r="AC19" i="65" s="1"/>
  <c r="AI15" i="65"/>
  <c r="AI19" i="65" s="1"/>
  <c r="AM15" i="65"/>
  <c r="AM19" i="65" s="1"/>
  <c r="K15" i="65"/>
  <c r="K19" i="65" s="1"/>
  <c r="O15" i="65"/>
  <c r="O19" i="65" s="1"/>
  <c r="F15" i="65"/>
  <c r="F19" i="65" s="1"/>
  <c r="AG15" i="65"/>
  <c r="AG19" i="65" s="1"/>
  <c r="AD15" i="65"/>
  <c r="AD19" i="65" s="1"/>
  <c r="R15" i="65"/>
  <c r="R19" i="65" s="1"/>
  <c r="X15" i="65"/>
  <c r="X19" i="65" s="1"/>
  <c r="AQ15" i="65"/>
  <c r="AQ19" i="65" s="1"/>
  <c r="AL15" i="65"/>
  <c r="AL19" i="65" s="1"/>
  <c r="AF15" i="65"/>
  <c r="AF19" i="65" s="1"/>
  <c r="I15" i="65"/>
  <c r="I19" i="65" s="1"/>
  <c r="Q15" i="65"/>
  <c r="Q19" i="65" s="1"/>
  <c r="H15" i="65"/>
  <c r="H19" i="65" s="1"/>
  <c r="P15" i="65"/>
  <c r="P19" i="65" s="1"/>
  <c r="T15" i="65"/>
  <c r="T19" i="65" s="1"/>
  <c r="AB15" i="65"/>
  <c r="AB19" i="65" s="1"/>
  <c r="J139" i="59"/>
  <c r="J204" i="59" s="1"/>
  <c r="J109" i="59"/>
  <c r="J110" i="59"/>
  <c r="J108" i="59"/>
  <c r="G46" i="64"/>
  <c r="G50" i="64" s="1"/>
  <c r="G51" i="64" s="1"/>
  <c r="G44" i="61"/>
  <c r="I8" i="61"/>
  <c r="I9" i="61" s="1"/>
  <c r="H16" i="61"/>
  <c r="H17" i="61" s="1"/>
  <c r="I8" i="64"/>
  <c r="I9" i="64" s="1"/>
  <c r="G28" i="61"/>
  <c r="G28" i="64"/>
  <c r="G50" i="61"/>
  <c r="G47" i="61"/>
  <c r="I6" i="61"/>
  <c r="I7" i="61" s="1"/>
  <c r="I6" i="64"/>
  <c r="I7" i="64" s="1"/>
  <c r="J78" i="72"/>
  <c r="J80" i="72"/>
  <c r="J79" i="72"/>
  <c r="J20" i="72"/>
  <c r="M259" i="72"/>
  <c r="L34" i="84" s="1"/>
  <c r="L36" i="84" s="1"/>
  <c r="L37" i="84" s="1"/>
  <c r="N259" i="72"/>
  <c r="M34" i="84" s="1"/>
  <c r="M36" i="84" s="1"/>
  <c r="M37" i="84" s="1"/>
  <c r="O259" i="72"/>
  <c r="N34" i="84" s="1"/>
  <c r="N36" i="84" s="1"/>
  <c r="N37" i="84" s="1"/>
  <c r="J259" i="72"/>
  <c r="I34" i="84" s="1"/>
  <c r="I36" i="84" s="1"/>
  <c r="I37" i="84" s="1"/>
  <c r="K259" i="72"/>
  <c r="J34" i="84" s="1"/>
  <c r="J36" i="84" s="1"/>
  <c r="J37" i="84" s="1"/>
  <c r="L259" i="72"/>
  <c r="K34" i="84" s="1"/>
  <c r="K36" i="84" s="1"/>
  <c r="K37" i="84" s="1"/>
  <c r="R259" i="72"/>
  <c r="P259" i="72"/>
  <c r="O34" i="84" s="1"/>
  <c r="O36" i="84" s="1"/>
  <c r="O37" i="84" s="1"/>
  <c r="Q259" i="72"/>
  <c r="P34" i="84" s="1"/>
  <c r="P36" i="84" s="1"/>
  <c r="P37" i="84" s="1"/>
  <c r="I143" i="72"/>
  <c r="H41" i="84" s="1"/>
  <c r="I259" i="72"/>
  <c r="H34" i="84" s="1"/>
  <c r="O258" i="72"/>
  <c r="N34" i="64" s="1"/>
  <c r="N36" i="64" s="1"/>
  <c r="N37" i="64" s="1"/>
  <c r="P258" i="72"/>
  <c r="O34" i="64" s="1"/>
  <c r="O36" i="64" s="1"/>
  <c r="O37" i="64" s="1"/>
  <c r="I258" i="72"/>
  <c r="H34" i="64" s="1"/>
  <c r="H36" i="64" s="1"/>
  <c r="H37" i="64" s="1"/>
  <c r="Q258" i="72"/>
  <c r="P34" i="64" s="1"/>
  <c r="P36" i="64" s="1"/>
  <c r="P37" i="64" s="1"/>
  <c r="J258" i="72"/>
  <c r="I34" i="64" s="1"/>
  <c r="I36" i="64" s="1"/>
  <c r="I37" i="64" s="1"/>
  <c r="K258" i="72"/>
  <c r="J34" i="64" s="1"/>
  <c r="J36" i="64" s="1"/>
  <c r="J37" i="64" s="1"/>
  <c r="N258" i="72"/>
  <c r="M34" i="64" s="1"/>
  <c r="M36" i="64" s="1"/>
  <c r="M37" i="64" s="1"/>
  <c r="I142" i="72"/>
  <c r="H41" i="64" s="1"/>
  <c r="H43" i="64" s="1"/>
  <c r="M258" i="72"/>
  <c r="L34" i="64" s="1"/>
  <c r="L36" i="64" s="1"/>
  <c r="L37" i="64" s="1"/>
  <c r="L258" i="72"/>
  <c r="K34" i="64" s="1"/>
  <c r="K36" i="64" s="1"/>
  <c r="K37" i="64" s="1"/>
  <c r="R258" i="72"/>
  <c r="I257" i="72"/>
  <c r="Q257" i="72"/>
  <c r="J257" i="72"/>
  <c r="R257" i="72"/>
  <c r="K257" i="72"/>
  <c r="I141" i="72"/>
  <c r="P257" i="72"/>
  <c r="M257" i="72"/>
  <c r="L257" i="72"/>
  <c r="K34" i="61" s="1"/>
  <c r="K36" i="61" s="1"/>
  <c r="K37" i="61" s="1"/>
  <c r="N257" i="72"/>
  <c r="O257" i="72"/>
  <c r="N34" i="61" s="1"/>
  <c r="N36" i="61" s="1"/>
  <c r="N37" i="61" s="1"/>
  <c r="I80" i="70"/>
  <c r="AC15" i="68"/>
  <c r="AC19" i="68" s="1"/>
  <c r="D15" i="68"/>
  <c r="Y15" i="68"/>
  <c r="Y19" i="68" s="1"/>
  <c r="H15" i="68"/>
  <c r="N15" i="68"/>
  <c r="N19" i="68" s="1"/>
  <c r="P15" i="68"/>
  <c r="AK15" i="68"/>
  <c r="AK19" i="68" s="1"/>
  <c r="U15" i="68"/>
  <c r="U19" i="68" s="1"/>
  <c r="AQ15" i="68"/>
  <c r="AQ19" i="68" s="1"/>
  <c r="Q15" i="68"/>
  <c r="Q19" i="68" s="1"/>
  <c r="AM15" i="68"/>
  <c r="AM19" i="68" s="1"/>
  <c r="AH15" i="68"/>
  <c r="AH19" i="68" s="1"/>
  <c r="AO15" i="68"/>
  <c r="AO19" i="68" s="1"/>
  <c r="X15" i="68"/>
  <c r="M15" i="68"/>
  <c r="M19" i="68" s="1"/>
  <c r="AI15" i="68"/>
  <c r="AI19" i="68" s="1"/>
  <c r="I15" i="68"/>
  <c r="I19" i="68" s="1"/>
  <c r="W15" i="68"/>
  <c r="W19" i="68" s="1"/>
  <c r="AF15" i="68"/>
  <c r="AN15" i="68"/>
  <c r="AD15" i="68"/>
  <c r="AD19" i="68" s="1"/>
  <c r="E15" i="68"/>
  <c r="E19" i="68" s="1"/>
  <c r="AA15" i="68"/>
  <c r="AA19" i="68" s="1"/>
  <c r="AP15" i="68"/>
  <c r="AP19" i="68" s="1"/>
  <c r="G15" i="68"/>
  <c r="G19" i="68" s="1"/>
  <c r="R15" i="68"/>
  <c r="R19" i="68" s="1"/>
  <c r="AG15" i="68"/>
  <c r="AG19" i="68" s="1"/>
  <c r="AJ15" i="68"/>
  <c r="S15" i="68"/>
  <c r="S19" i="68" s="1"/>
  <c r="Z15" i="68"/>
  <c r="Z19" i="68" s="1"/>
  <c r="AL15" i="68"/>
  <c r="AL19" i="68" s="1"/>
  <c r="H27" i="68"/>
  <c r="T15" i="68"/>
  <c r="O15" i="68"/>
  <c r="O19" i="68" s="1"/>
  <c r="AB15" i="68"/>
  <c r="K15" i="68"/>
  <c r="K19" i="68" s="1"/>
  <c r="J15" i="68"/>
  <c r="J19" i="68" s="1"/>
  <c r="V15" i="68"/>
  <c r="V19" i="68" s="1"/>
  <c r="AE15" i="68"/>
  <c r="AE19" i="68" s="1"/>
  <c r="F15" i="68"/>
  <c r="F19" i="68" s="1"/>
  <c r="L15" i="68"/>
  <c r="V15" i="62"/>
  <c r="V19" i="62" s="1"/>
  <c r="AJ15" i="62"/>
  <c r="Q15" i="62"/>
  <c r="Q19" i="62" s="1"/>
  <c r="J15" i="62"/>
  <c r="J19" i="62" s="1"/>
  <c r="X15" i="62"/>
  <c r="AM15" i="62"/>
  <c r="AM19" i="62" s="1"/>
  <c r="AB15" i="62"/>
  <c r="I15" i="62"/>
  <c r="I19" i="62" s="1"/>
  <c r="R15" i="62"/>
  <c r="R19" i="62" s="1"/>
  <c r="L15" i="62"/>
  <c r="AN15" i="62"/>
  <c r="Z15" i="62"/>
  <c r="Z19" i="62" s="1"/>
  <c r="N15" i="62"/>
  <c r="N19" i="62" s="1"/>
  <c r="AA15" i="62"/>
  <c r="AA19" i="62" s="1"/>
  <c r="AK15" i="62"/>
  <c r="AK19" i="62" s="1"/>
  <c r="AG15" i="62"/>
  <c r="AG19" i="62" s="1"/>
  <c r="Y15" i="62"/>
  <c r="Y19" i="62" s="1"/>
  <c r="AE15" i="62"/>
  <c r="AE19" i="62" s="1"/>
  <c r="F15" i="62"/>
  <c r="F19" i="62" s="1"/>
  <c r="T15" i="62"/>
  <c r="H27" i="62"/>
  <c r="H15" i="62"/>
  <c r="AP15" i="62"/>
  <c r="AP19" i="62" s="1"/>
  <c r="AF15" i="62"/>
  <c r="W15" i="62"/>
  <c r="W19" i="62" s="1"/>
  <c r="AI15" i="62"/>
  <c r="AI19" i="62" s="1"/>
  <c r="O15" i="62"/>
  <c r="O19" i="62" s="1"/>
  <c r="AC15" i="62"/>
  <c r="AC19" i="62" s="1"/>
  <c r="D15" i="62"/>
  <c r="P15" i="62"/>
  <c r="S15" i="62"/>
  <c r="S19" i="62" s="1"/>
  <c r="AL15" i="62"/>
  <c r="AL19" i="62" s="1"/>
  <c r="E15" i="62"/>
  <c r="E19" i="62" s="1"/>
  <c r="G15" i="62"/>
  <c r="G19" i="62" s="1"/>
  <c r="U15" i="62"/>
  <c r="U19" i="62" s="1"/>
  <c r="AO15" i="62"/>
  <c r="AO19" i="62" s="1"/>
  <c r="AH15" i="62"/>
  <c r="AH19" i="62" s="1"/>
  <c r="AQ15" i="62"/>
  <c r="AQ19" i="62" s="1"/>
  <c r="K15" i="62"/>
  <c r="K19" i="62" s="1"/>
  <c r="M15" i="62"/>
  <c r="M19" i="62" s="1"/>
  <c r="AD15" i="62"/>
  <c r="AD19" i="62" s="1"/>
  <c r="O109" i="70"/>
  <c r="Q169" i="59"/>
  <c r="P169" i="59"/>
  <c r="M108" i="70"/>
  <c r="P109" i="72"/>
  <c r="S171" i="59"/>
  <c r="T171" i="59" s="1"/>
  <c r="N107" i="70"/>
  <c r="N109" i="70"/>
  <c r="Q107" i="72"/>
  <c r="O109" i="72"/>
  <c r="L107" i="70"/>
  <c r="O169" i="59"/>
  <c r="O107" i="70"/>
  <c r="O107" i="72"/>
  <c r="J107" i="70"/>
  <c r="L108" i="70"/>
  <c r="J109" i="70"/>
  <c r="J51" i="70"/>
  <c r="J51" i="72"/>
  <c r="I40" i="84" s="1"/>
  <c r="I78" i="70"/>
  <c r="J115" i="61"/>
  <c r="J49" i="61" s="1"/>
  <c r="J115" i="64"/>
  <c r="J49" i="64" s="1"/>
  <c r="K107" i="72"/>
  <c r="J21" i="72"/>
  <c r="I39" i="64" s="1"/>
  <c r="J79" i="59"/>
  <c r="J142" i="72" s="1"/>
  <c r="I41" i="64" s="1"/>
  <c r="J21" i="70"/>
  <c r="M169" i="59"/>
  <c r="K108" i="72"/>
  <c r="H169" i="59"/>
  <c r="J267" i="61"/>
  <c r="K49" i="59" s="1"/>
  <c r="J267" i="64"/>
  <c r="K50" i="59" s="1"/>
  <c r="K290" i="59" s="1"/>
  <c r="K169" i="59"/>
  <c r="P107" i="70"/>
  <c r="O108" i="70"/>
  <c r="M107" i="72"/>
  <c r="K109" i="72"/>
  <c r="P107" i="72"/>
  <c r="P109" i="70"/>
  <c r="M109" i="72"/>
  <c r="Q108" i="72"/>
  <c r="I79" i="70"/>
  <c r="J80" i="59"/>
  <c r="J143" i="72" s="1"/>
  <c r="I41" i="84" s="1"/>
  <c r="J22" i="72"/>
  <c r="I39" i="84" s="1"/>
  <c r="J22" i="70"/>
  <c r="L109" i="70"/>
  <c r="P108" i="70"/>
  <c r="J50" i="70"/>
  <c r="J50" i="72"/>
  <c r="I40" i="64" s="1"/>
  <c r="J49" i="70"/>
  <c r="J49" i="72"/>
  <c r="H107" i="72"/>
  <c r="H108" i="72"/>
  <c r="H109" i="72"/>
  <c r="J107" i="72"/>
  <c r="J109" i="72"/>
  <c r="J108" i="72"/>
  <c r="I107" i="72"/>
  <c r="I109" i="72"/>
  <c r="I108" i="72"/>
  <c r="H108" i="70"/>
  <c r="H137" i="70" s="1"/>
  <c r="H109" i="70"/>
  <c r="H138" i="70" s="1"/>
  <c r="H107" i="70"/>
  <c r="H136" i="70" s="1"/>
  <c r="I169" i="59"/>
  <c r="G108" i="70"/>
  <c r="S108" i="70" s="1"/>
  <c r="G109" i="70"/>
  <c r="S109" i="70" s="1"/>
  <c r="G107" i="70"/>
  <c r="S107" i="70" s="1"/>
  <c r="I108" i="70"/>
  <c r="I109" i="70"/>
  <c r="I107" i="70"/>
  <c r="J169" i="59"/>
  <c r="J20" i="70"/>
  <c r="J78" i="59"/>
  <c r="J141" i="72" s="1"/>
  <c r="C21" i="68"/>
  <c r="C25" i="68"/>
  <c r="C25" i="65"/>
  <c r="C21" i="65"/>
  <c r="J214" i="64"/>
  <c r="K21" i="59" s="1"/>
  <c r="K263" i="64"/>
  <c r="K255" i="64"/>
  <c r="K247" i="64"/>
  <c r="K239" i="64"/>
  <c r="K231" i="64"/>
  <c r="K260" i="64"/>
  <c r="K252" i="64"/>
  <c r="K244" i="64"/>
  <c r="K236" i="64"/>
  <c r="K265" i="64"/>
  <c r="K257" i="64"/>
  <c r="K249" i="64"/>
  <c r="K241" i="64"/>
  <c r="K233" i="64"/>
  <c r="K262" i="64"/>
  <c r="K254" i="64"/>
  <c r="K246" i="64"/>
  <c r="K238" i="64"/>
  <c r="K230" i="64"/>
  <c r="K261" i="64"/>
  <c r="K253" i="64"/>
  <c r="K245" i="64"/>
  <c r="K237" i="64"/>
  <c r="K229" i="64"/>
  <c r="K225" i="64"/>
  <c r="K250" i="64"/>
  <c r="K243" i="64"/>
  <c r="K240" i="64"/>
  <c r="K222" i="64"/>
  <c r="K208" i="64"/>
  <c r="K206" i="64"/>
  <c r="K204" i="64"/>
  <c r="K202" i="64"/>
  <c r="K200" i="64"/>
  <c r="K198" i="64"/>
  <c r="K196" i="64"/>
  <c r="K194" i="64"/>
  <c r="K192" i="64"/>
  <c r="K258" i="64"/>
  <c r="K251" i="64"/>
  <c r="K248" i="64"/>
  <c r="K228" i="64"/>
  <c r="K226" i="64"/>
  <c r="K224" i="64"/>
  <c r="K227" i="64"/>
  <c r="K223" i="64"/>
  <c r="K209" i="64"/>
  <c r="K207" i="64"/>
  <c r="K205" i="64"/>
  <c r="K203" i="64"/>
  <c r="K201" i="64"/>
  <c r="K199" i="64"/>
  <c r="K197" i="64"/>
  <c r="K195" i="64"/>
  <c r="K193" i="64"/>
  <c r="K175" i="64"/>
  <c r="K242" i="64"/>
  <c r="K235" i="64"/>
  <c r="K232" i="64"/>
  <c r="K220" i="64"/>
  <c r="K172" i="64"/>
  <c r="K190" i="64"/>
  <c r="K188" i="64"/>
  <c r="K186" i="64"/>
  <c r="K184" i="64"/>
  <c r="K182" i="64"/>
  <c r="K180" i="64"/>
  <c r="K178" i="64"/>
  <c r="K177" i="64"/>
  <c r="K169" i="64"/>
  <c r="K264" i="64"/>
  <c r="K221" i="64"/>
  <c r="K191" i="64"/>
  <c r="K189" i="64"/>
  <c r="K187" i="64"/>
  <c r="K185" i="64"/>
  <c r="K183" i="64"/>
  <c r="K181" i="64"/>
  <c r="K179" i="64"/>
  <c r="K173" i="64"/>
  <c r="K259" i="64"/>
  <c r="K234" i="64"/>
  <c r="K256" i="64"/>
  <c r="K171" i="64"/>
  <c r="K168" i="64"/>
  <c r="K174" i="64"/>
  <c r="K176" i="64"/>
  <c r="K170" i="64"/>
  <c r="K77" i="64"/>
  <c r="K75" i="64"/>
  <c r="K73" i="64"/>
  <c r="K71" i="64"/>
  <c r="K69" i="64"/>
  <c r="K167" i="64"/>
  <c r="K74" i="64"/>
  <c r="K70" i="64"/>
  <c r="K76" i="64"/>
  <c r="K72" i="64"/>
  <c r="K263" i="61"/>
  <c r="K255" i="61"/>
  <c r="K247" i="61"/>
  <c r="K239" i="61"/>
  <c r="K231" i="61"/>
  <c r="K260" i="61"/>
  <c r="K252" i="61"/>
  <c r="K265" i="61"/>
  <c r="K257" i="61"/>
  <c r="K249" i="61"/>
  <c r="K262" i="61"/>
  <c r="K254" i="61"/>
  <c r="K246" i="61"/>
  <c r="K238" i="61"/>
  <c r="K230" i="61"/>
  <c r="K261" i="61"/>
  <c r="K253" i="61"/>
  <c r="K245" i="61"/>
  <c r="K237" i="61"/>
  <c r="K229" i="61"/>
  <c r="K244" i="61"/>
  <c r="K235" i="61"/>
  <c r="K234" i="61"/>
  <c r="K233" i="61"/>
  <c r="K232" i="61"/>
  <c r="K225" i="61"/>
  <c r="K264" i="61"/>
  <c r="K236" i="61"/>
  <c r="K222" i="61"/>
  <c r="K208" i="61"/>
  <c r="K206" i="61"/>
  <c r="K204" i="61"/>
  <c r="K202" i="61"/>
  <c r="K200" i="61"/>
  <c r="K198" i="61"/>
  <c r="K196" i="61"/>
  <c r="K194" i="61"/>
  <c r="K250" i="61"/>
  <c r="K228" i="61"/>
  <c r="K226" i="61"/>
  <c r="K224" i="61"/>
  <c r="K243" i="61"/>
  <c r="K242" i="61"/>
  <c r="K241" i="61"/>
  <c r="K240" i="61"/>
  <c r="K227" i="61"/>
  <c r="K223" i="61"/>
  <c r="K209" i="61"/>
  <c r="K207" i="61"/>
  <c r="K205" i="61"/>
  <c r="K203" i="61"/>
  <c r="K201" i="61"/>
  <c r="K199" i="61"/>
  <c r="K197" i="61"/>
  <c r="K195" i="61"/>
  <c r="K171" i="61"/>
  <c r="K176" i="61"/>
  <c r="K193" i="61"/>
  <c r="K191" i="61"/>
  <c r="K189" i="61"/>
  <c r="K187" i="61"/>
  <c r="K185" i="61"/>
  <c r="K183" i="61"/>
  <c r="K181" i="61"/>
  <c r="K179" i="61"/>
  <c r="K173" i="61"/>
  <c r="K259" i="61"/>
  <c r="K256" i="61"/>
  <c r="K170" i="61"/>
  <c r="K220" i="61"/>
  <c r="K258" i="61"/>
  <c r="K178" i="61"/>
  <c r="K180" i="61"/>
  <c r="K184" i="61"/>
  <c r="K177" i="61"/>
  <c r="K175" i="61"/>
  <c r="K168" i="61"/>
  <c r="K248" i="61"/>
  <c r="K182" i="61"/>
  <c r="K251" i="61"/>
  <c r="K77" i="61"/>
  <c r="K221" i="61"/>
  <c r="K186" i="61"/>
  <c r="K172" i="61"/>
  <c r="K169" i="61"/>
  <c r="K76" i="61"/>
  <c r="K74" i="61"/>
  <c r="K72" i="61"/>
  <c r="K70" i="61"/>
  <c r="K69" i="61"/>
  <c r="K174" i="61"/>
  <c r="K167" i="61"/>
  <c r="K75" i="61"/>
  <c r="K73" i="61"/>
  <c r="K71" i="61"/>
  <c r="K192" i="61"/>
  <c r="K188" i="61"/>
  <c r="K190" i="61"/>
  <c r="J214" i="61"/>
  <c r="K20" i="59" s="1"/>
  <c r="C25" i="62"/>
  <c r="C21" i="62"/>
  <c r="K318" i="59" l="1"/>
  <c r="K260" i="59"/>
  <c r="K319" i="59"/>
  <c r="K261" i="59"/>
  <c r="K138" i="59"/>
  <c r="K203" i="59" s="1"/>
  <c r="K289" i="59"/>
  <c r="I14" i="61"/>
  <c r="I16" i="61" s="1"/>
  <c r="I17" i="61" s="1"/>
  <c r="J34" i="61"/>
  <c r="J36" i="61" s="1"/>
  <c r="J37" i="61" s="1"/>
  <c r="H43" i="84"/>
  <c r="H44" i="84" s="1"/>
  <c r="I14" i="84"/>
  <c r="I16" i="84" s="1"/>
  <c r="I17" i="84" s="1"/>
  <c r="Q34" i="84"/>
  <c r="Q36" i="84" s="1"/>
  <c r="H36" i="84"/>
  <c r="I34" i="61"/>
  <c r="I36" i="61" s="1"/>
  <c r="I37" i="61" s="1"/>
  <c r="I23" i="84"/>
  <c r="I23" i="61"/>
  <c r="I43" i="84"/>
  <c r="I44" i="84" s="1"/>
  <c r="H34" i="61"/>
  <c r="H36" i="61" s="1"/>
  <c r="H37" i="61" s="1"/>
  <c r="I40" i="61"/>
  <c r="J22" i="61"/>
  <c r="J26" i="61" s="1"/>
  <c r="H28" i="61"/>
  <c r="H28" i="84"/>
  <c r="M34" i="61"/>
  <c r="M36" i="61" s="1"/>
  <c r="M37" i="61" s="1"/>
  <c r="O34" i="61"/>
  <c r="O36" i="61" s="1"/>
  <c r="O37" i="61" s="1"/>
  <c r="I21" i="61"/>
  <c r="I20" i="84"/>
  <c r="I20" i="61"/>
  <c r="P34" i="61"/>
  <c r="P36" i="61" s="1"/>
  <c r="P37" i="61" s="1"/>
  <c r="I39" i="61"/>
  <c r="L34" i="61"/>
  <c r="L36" i="61" s="1"/>
  <c r="L37" i="61" s="1"/>
  <c r="J27" i="61"/>
  <c r="J13" i="61"/>
  <c r="I41" i="61"/>
  <c r="H41" i="61"/>
  <c r="H43" i="61" s="1"/>
  <c r="H46" i="61" s="1"/>
  <c r="S169" i="59"/>
  <c r="T169" i="59" s="1"/>
  <c r="G47" i="84"/>
  <c r="G50" i="84"/>
  <c r="G51" i="84" s="1"/>
  <c r="J6" i="84"/>
  <c r="J7" i="84" s="1"/>
  <c r="J27" i="84"/>
  <c r="J13" i="84"/>
  <c r="J22" i="84"/>
  <c r="J8" i="84"/>
  <c r="J9" i="84" s="1"/>
  <c r="K140" i="59"/>
  <c r="K205" i="59" s="1"/>
  <c r="K291" i="59"/>
  <c r="K320" i="59"/>
  <c r="J21" i="84" s="1"/>
  <c r="K262" i="59"/>
  <c r="H16" i="64"/>
  <c r="H17" i="64" s="1"/>
  <c r="J27" i="64"/>
  <c r="J13" i="64"/>
  <c r="J22" i="64"/>
  <c r="J26" i="64" s="1"/>
  <c r="J23" i="64"/>
  <c r="I14" i="64"/>
  <c r="I18" i="64" s="1"/>
  <c r="BG175" i="64"/>
  <c r="BG176" i="64"/>
  <c r="J272" i="64"/>
  <c r="S127" i="64"/>
  <c r="AE215" i="64"/>
  <c r="AE216" i="64" s="1"/>
  <c r="BG171" i="64"/>
  <c r="AH215" i="64"/>
  <c r="AH216" i="64" s="1"/>
  <c r="BG174" i="64"/>
  <c r="AF215" i="64"/>
  <c r="AF216" i="64" s="1"/>
  <c r="BG172" i="64"/>
  <c r="AG215" i="64"/>
  <c r="AG216" i="64" s="1"/>
  <c r="BG173" i="64"/>
  <c r="O272" i="64"/>
  <c r="S132" i="64"/>
  <c r="Q272" i="64"/>
  <c r="AA126" i="64"/>
  <c r="I272" i="64"/>
  <c r="S126" i="64"/>
  <c r="K37" i="66" s="1"/>
  <c r="I59" i="66" s="1"/>
  <c r="D64" i="64"/>
  <c r="AJ216" i="64"/>
  <c r="D21" i="65"/>
  <c r="D23" i="65" s="1"/>
  <c r="D25" i="65" s="1"/>
  <c r="L27" i="66"/>
  <c r="L31" i="66" s="1"/>
  <c r="L32" i="66" s="1"/>
  <c r="H27" i="66"/>
  <c r="H31" i="66" s="1"/>
  <c r="H32" i="66" s="1"/>
  <c r="D27" i="66"/>
  <c r="D31" i="66" s="1"/>
  <c r="D32" i="66" s="1"/>
  <c r="M27" i="66"/>
  <c r="M31" i="66" s="1"/>
  <c r="M32" i="66" s="1"/>
  <c r="I27" i="66"/>
  <c r="I31" i="66" s="1"/>
  <c r="I32" i="66" s="1"/>
  <c r="F27" i="66"/>
  <c r="F31" i="66" s="1"/>
  <c r="F32" i="66" s="1"/>
  <c r="J27" i="66"/>
  <c r="J31" i="66" s="1"/>
  <c r="J32" i="66" s="1"/>
  <c r="K27" i="66"/>
  <c r="K31" i="66" s="1"/>
  <c r="K32" i="66" s="1"/>
  <c r="E27" i="66"/>
  <c r="E31" i="66" s="1"/>
  <c r="E32" i="66" s="1"/>
  <c r="G27" i="66"/>
  <c r="G31" i="66" s="1"/>
  <c r="G32" i="66" s="1"/>
  <c r="K139" i="59"/>
  <c r="K204" i="59" s="1"/>
  <c r="K109" i="59"/>
  <c r="K108" i="59"/>
  <c r="K110" i="59"/>
  <c r="I136" i="70"/>
  <c r="I137" i="70"/>
  <c r="I138" i="70"/>
  <c r="G47" i="64"/>
  <c r="J8" i="64"/>
  <c r="J9" i="64" s="1"/>
  <c r="J8" i="61"/>
  <c r="J9" i="61" s="1"/>
  <c r="I43" i="64"/>
  <c r="I46" i="64" s="1"/>
  <c r="J6" i="64"/>
  <c r="J7" i="64" s="1"/>
  <c r="J6" i="61"/>
  <c r="J7" i="61" s="1"/>
  <c r="H44" i="64"/>
  <c r="H46" i="64"/>
  <c r="K78" i="72"/>
  <c r="K79" i="72"/>
  <c r="K80" i="72"/>
  <c r="K20" i="72"/>
  <c r="S258" i="72"/>
  <c r="S259" i="72"/>
  <c r="S257" i="72"/>
  <c r="J78" i="70"/>
  <c r="J136" i="70" s="1"/>
  <c r="AF19" i="62"/>
  <c r="K27" i="63"/>
  <c r="K31" i="63" s="1"/>
  <c r="K32" i="63" s="1"/>
  <c r="I27" i="69"/>
  <c r="I31" i="69" s="1"/>
  <c r="I32" i="69" s="1"/>
  <c r="X19" i="68"/>
  <c r="G27" i="69"/>
  <c r="G31" i="69" s="1"/>
  <c r="G32" i="69" s="1"/>
  <c r="P19" i="68"/>
  <c r="AJ19" i="62"/>
  <c r="L27" i="63"/>
  <c r="L31" i="63" s="1"/>
  <c r="L32" i="63" s="1"/>
  <c r="J27" i="63"/>
  <c r="J31" i="63" s="1"/>
  <c r="J32" i="63" s="1"/>
  <c r="AB19" i="62"/>
  <c r="G27" i="63"/>
  <c r="G31" i="63" s="1"/>
  <c r="G32" i="63" s="1"/>
  <c r="P19" i="62"/>
  <c r="E27" i="63"/>
  <c r="E31" i="63" s="1"/>
  <c r="E32" i="63" s="1"/>
  <c r="H19" i="62"/>
  <c r="AJ19" i="68"/>
  <c r="L27" i="69"/>
  <c r="L31" i="69" s="1"/>
  <c r="L32" i="69" s="1"/>
  <c r="M27" i="69"/>
  <c r="M31" i="69" s="1"/>
  <c r="M32" i="69" s="1"/>
  <c r="AN19" i="68"/>
  <c r="E27" i="69"/>
  <c r="E31" i="69" s="1"/>
  <c r="E32" i="69" s="1"/>
  <c r="H19" i="68"/>
  <c r="L19" i="62"/>
  <c r="F27" i="63"/>
  <c r="F31" i="63" s="1"/>
  <c r="F32" i="63" s="1"/>
  <c r="D27" i="63"/>
  <c r="D31" i="63" s="1"/>
  <c r="D19" i="62"/>
  <c r="D21" i="62" s="1"/>
  <c r="X19" i="62"/>
  <c r="I27" i="63"/>
  <c r="I31" i="63" s="1"/>
  <c r="I32" i="63" s="1"/>
  <c r="AB19" i="68"/>
  <c r="J27" i="69"/>
  <c r="J31" i="69" s="1"/>
  <c r="J32" i="69" s="1"/>
  <c r="K27" i="69"/>
  <c r="K31" i="69" s="1"/>
  <c r="K32" i="69" s="1"/>
  <c r="AF19" i="68"/>
  <c r="H27" i="63"/>
  <c r="H31" i="63" s="1"/>
  <c r="H32" i="63" s="1"/>
  <c r="T19" i="62"/>
  <c r="D19" i="68"/>
  <c r="D21" i="68" s="1"/>
  <c r="E21" i="68" s="1"/>
  <c r="D27" i="69"/>
  <c r="D31" i="69" s="1"/>
  <c r="M27" i="63"/>
  <c r="M31" i="63" s="1"/>
  <c r="M32" i="63" s="1"/>
  <c r="AN19" i="62"/>
  <c r="L19" i="68"/>
  <c r="F27" i="69"/>
  <c r="F31" i="69" s="1"/>
  <c r="F32" i="69" s="1"/>
  <c r="T19" i="68"/>
  <c r="H27" i="69"/>
  <c r="H31" i="69" s="1"/>
  <c r="H32" i="69" s="1"/>
  <c r="K115" i="61"/>
  <c r="K49" i="61" s="1"/>
  <c r="K21" i="70"/>
  <c r="K21" i="72"/>
  <c r="J39" i="64" s="1"/>
  <c r="K79" i="59"/>
  <c r="K142" i="72" s="1"/>
  <c r="J41" i="64" s="1"/>
  <c r="K22" i="70"/>
  <c r="K22" i="72"/>
  <c r="J39" i="84" s="1"/>
  <c r="K80" i="59"/>
  <c r="K143" i="72" s="1"/>
  <c r="J41" i="84" s="1"/>
  <c r="J80" i="70"/>
  <c r="J138" i="70" s="1"/>
  <c r="K50" i="70"/>
  <c r="K50" i="72"/>
  <c r="J40" i="64" s="1"/>
  <c r="K115" i="64"/>
  <c r="K49" i="64" s="1"/>
  <c r="K267" i="61"/>
  <c r="L49" i="59" s="1"/>
  <c r="K267" i="64"/>
  <c r="L50" i="59" s="1"/>
  <c r="L290" i="59" s="1"/>
  <c r="J79" i="70"/>
  <c r="J137" i="70" s="1"/>
  <c r="K51" i="70"/>
  <c r="K51" i="72"/>
  <c r="J40" i="84" s="1"/>
  <c r="K49" i="70"/>
  <c r="K49" i="72"/>
  <c r="K20" i="70"/>
  <c r="K78" i="59"/>
  <c r="K141" i="72" s="1"/>
  <c r="L260" i="64"/>
  <c r="L252" i="64"/>
  <c r="L244" i="64"/>
  <c r="L236" i="64"/>
  <c r="L265" i="64"/>
  <c r="L257" i="64"/>
  <c r="L249" i="64"/>
  <c r="L241" i="64"/>
  <c r="L233" i="64"/>
  <c r="L262" i="64"/>
  <c r="L254" i="64"/>
  <c r="L246" i="64"/>
  <c r="L238" i="64"/>
  <c r="L230" i="64"/>
  <c r="L259" i="64"/>
  <c r="L251" i="64"/>
  <c r="L243" i="64"/>
  <c r="L235" i="64"/>
  <c r="L258" i="64"/>
  <c r="L250" i="64"/>
  <c r="L242" i="64"/>
  <c r="L234" i="64"/>
  <c r="L247" i="64"/>
  <c r="L245" i="64"/>
  <c r="L240" i="64"/>
  <c r="L222" i="64"/>
  <c r="L208" i="64"/>
  <c r="L206" i="64"/>
  <c r="L204" i="64"/>
  <c r="L202" i="64"/>
  <c r="L200" i="64"/>
  <c r="L198" i="64"/>
  <c r="L196" i="64"/>
  <c r="L194" i="64"/>
  <c r="L255" i="64"/>
  <c r="L253" i="64"/>
  <c r="L248" i="64"/>
  <c r="L228" i="64"/>
  <c r="L226" i="64"/>
  <c r="L224" i="64"/>
  <c r="L221" i="64"/>
  <c r="L264" i="64"/>
  <c r="L239" i="64"/>
  <c r="L237" i="64"/>
  <c r="L232" i="64"/>
  <c r="L220" i="64"/>
  <c r="L209" i="64"/>
  <c r="L193" i="64"/>
  <c r="L261" i="64"/>
  <c r="L195" i="64"/>
  <c r="L190" i="64"/>
  <c r="L188" i="64"/>
  <c r="L186" i="64"/>
  <c r="L184" i="64"/>
  <c r="L182" i="64"/>
  <c r="L180" i="64"/>
  <c r="L178" i="64"/>
  <c r="L177" i="64"/>
  <c r="L225" i="64"/>
  <c r="L223" i="64"/>
  <c r="L197" i="64"/>
  <c r="L174" i="64"/>
  <c r="L168" i="64"/>
  <c r="L231" i="64"/>
  <c r="L199" i="64"/>
  <c r="L192" i="64"/>
  <c r="L256" i="64"/>
  <c r="L205" i="64"/>
  <c r="L170" i="64"/>
  <c r="L203" i="64"/>
  <c r="L171" i="64"/>
  <c r="L167" i="64"/>
  <c r="L263" i="64"/>
  <c r="L207" i="64"/>
  <c r="L185" i="64"/>
  <c r="L176" i="64"/>
  <c r="L169" i="64"/>
  <c r="L77" i="64"/>
  <c r="L75" i="64"/>
  <c r="L73" i="64"/>
  <c r="L71" i="64"/>
  <c r="L69" i="64"/>
  <c r="L191" i="64"/>
  <c r="L189" i="64"/>
  <c r="L181" i="64"/>
  <c r="L227" i="64"/>
  <c r="L183" i="64"/>
  <c r="L173" i="64"/>
  <c r="L175" i="64"/>
  <c r="L172" i="64"/>
  <c r="L76" i="64"/>
  <c r="L74" i="64"/>
  <c r="L72" i="64"/>
  <c r="L70" i="64"/>
  <c r="L229" i="64"/>
  <c r="L201" i="64"/>
  <c r="L187" i="64"/>
  <c r="L179" i="64"/>
  <c r="K214" i="64"/>
  <c r="L21" i="59" s="1"/>
  <c r="E21" i="65"/>
  <c r="L260" i="61"/>
  <c r="L252" i="61"/>
  <c r="L244" i="61"/>
  <c r="L236" i="61"/>
  <c r="L228" i="61"/>
  <c r="L265" i="61"/>
  <c r="L257" i="61"/>
  <c r="L249" i="61"/>
  <c r="L262" i="61"/>
  <c r="L254" i="61"/>
  <c r="L246" i="61"/>
  <c r="L259" i="61"/>
  <c r="L251" i="61"/>
  <c r="L243" i="61"/>
  <c r="L235" i="61"/>
  <c r="L258" i="61"/>
  <c r="L250" i="61"/>
  <c r="L242" i="61"/>
  <c r="L234" i="61"/>
  <c r="L264" i="61"/>
  <c r="L222" i="61"/>
  <c r="L208" i="61"/>
  <c r="L206" i="61"/>
  <c r="L204" i="61"/>
  <c r="L202" i="61"/>
  <c r="L200" i="61"/>
  <c r="L198" i="61"/>
  <c r="L196" i="61"/>
  <c r="L194" i="61"/>
  <c r="L247" i="61"/>
  <c r="L245" i="61"/>
  <c r="L237" i="61"/>
  <c r="L226" i="61"/>
  <c r="L224" i="61"/>
  <c r="L238" i="61"/>
  <c r="L221" i="61"/>
  <c r="L263" i="61"/>
  <c r="L261" i="61"/>
  <c r="L256" i="61"/>
  <c r="L231" i="61"/>
  <c r="L220" i="61"/>
  <c r="L201" i="61"/>
  <c r="L176" i="61"/>
  <c r="L253" i="61"/>
  <c r="L230" i="61"/>
  <c r="L203" i="61"/>
  <c r="L193" i="61"/>
  <c r="L191" i="61"/>
  <c r="L189" i="61"/>
  <c r="L187" i="61"/>
  <c r="L185" i="61"/>
  <c r="L183" i="61"/>
  <c r="L181" i="61"/>
  <c r="L179" i="61"/>
  <c r="L173" i="61"/>
  <c r="L239" i="61"/>
  <c r="L232" i="61"/>
  <c r="L205" i="61"/>
  <c r="L170" i="61"/>
  <c r="L241" i="61"/>
  <c r="L227" i="61"/>
  <c r="L207" i="61"/>
  <c r="L175" i="61"/>
  <c r="L229" i="61"/>
  <c r="L209" i="61"/>
  <c r="L255" i="61"/>
  <c r="L195" i="61"/>
  <c r="L192" i="61"/>
  <c r="L190" i="61"/>
  <c r="L184" i="61"/>
  <c r="L177" i="61"/>
  <c r="L168" i="61"/>
  <c r="L248" i="61"/>
  <c r="L71" i="61"/>
  <c r="L186" i="61"/>
  <c r="L172" i="61"/>
  <c r="L169" i="61"/>
  <c r="L76" i="61"/>
  <c r="L74" i="61"/>
  <c r="L72" i="61"/>
  <c r="L70" i="61"/>
  <c r="L77" i="61"/>
  <c r="L75" i="61"/>
  <c r="L225" i="61"/>
  <c r="L174" i="61"/>
  <c r="L182" i="61"/>
  <c r="L73" i="61"/>
  <c r="L69" i="61"/>
  <c r="L178" i="61"/>
  <c r="L240" i="61"/>
  <c r="L197" i="61"/>
  <c r="L188" i="61"/>
  <c r="L233" i="61"/>
  <c r="L223" i="61"/>
  <c r="L199" i="61"/>
  <c r="L167" i="61"/>
  <c r="L180" i="61"/>
  <c r="L171" i="61"/>
  <c r="K214" i="61"/>
  <c r="L20" i="59" s="1"/>
  <c r="L318" i="59" l="1"/>
  <c r="L260" i="59"/>
  <c r="S62" i="64"/>
  <c r="R170" i="59"/>
  <c r="J56" i="64"/>
  <c r="K170" i="59"/>
  <c r="L319" i="59"/>
  <c r="L261" i="59"/>
  <c r="I56" i="64"/>
  <c r="J170" i="59"/>
  <c r="O56" i="64"/>
  <c r="P170" i="59"/>
  <c r="L138" i="59"/>
  <c r="L203" i="59" s="1"/>
  <c r="L289" i="59"/>
  <c r="H44" i="61"/>
  <c r="I43" i="61"/>
  <c r="I44" i="61" s="1"/>
  <c r="J14" i="61"/>
  <c r="I28" i="61"/>
  <c r="I28" i="84"/>
  <c r="J26" i="84"/>
  <c r="I46" i="84"/>
  <c r="I47" i="84" s="1"/>
  <c r="J40" i="61"/>
  <c r="K22" i="61"/>
  <c r="J23" i="84"/>
  <c r="J23" i="61"/>
  <c r="J43" i="84"/>
  <c r="J44" i="84" s="1"/>
  <c r="H37" i="84"/>
  <c r="H46" i="84"/>
  <c r="J39" i="61"/>
  <c r="J41" i="61"/>
  <c r="J21" i="61"/>
  <c r="K27" i="61"/>
  <c r="K13" i="61"/>
  <c r="J20" i="84"/>
  <c r="J20" i="61"/>
  <c r="K22" i="84"/>
  <c r="K14" i="84" s="1"/>
  <c r="K8" i="84"/>
  <c r="K9" i="84" s="1"/>
  <c r="J14" i="84"/>
  <c r="J16" i="84" s="1"/>
  <c r="J17" i="84" s="1"/>
  <c r="K6" i="84"/>
  <c r="K7" i="84" s="1"/>
  <c r="K27" i="84"/>
  <c r="K13" i="84"/>
  <c r="L140" i="59"/>
  <c r="L205" i="59" s="1"/>
  <c r="L291" i="59"/>
  <c r="L320" i="59"/>
  <c r="K21" i="84" s="1"/>
  <c r="L262" i="59"/>
  <c r="K27" i="64"/>
  <c r="K13" i="64"/>
  <c r="K22" i="64"/>
  <c r="K26" i="64" s="1"/>
  <c r="K23" i="64"/>
  <c r="J14" i="64"/>
  <c r="J18" i="64" s="1"/>
  <c r="L272" i="64"/>
  <c r="S129" i="64"/>
  <c r="N272" i="64"/>
  <c r="S131" i="64"/>
  <c r="K272" i="64"/>
  <c r="S128" i="64"/>
  <c r="P272" i="64"/>
  <c r="Q170" i="59" s="1"/>
  <c r="S170" i="59" s="1"/>
  <c r="T170" i="59" s="1"/>
  <c r="S133" i="64"/>
  <c r="M272" i="64"/>
  <c r="S130" i="64"/>
  <c r="B43" i="66"/>
  <c r="I40" i="66" s="1"/>
  <c r="G64" i="66" s="1"/>
  <c r="I16" i="64"/>
  <c r="I17" i="64" s="1"/>
  <c r="I39" i="66"/>
  <c r="G63" i="66" s="1"/>
  <c r="L139" i="59"/>
  <c r="L204" i="59" s="1"/>
  <c r="L110" i="59"/>
  <c r="L109" i="59"/>
  <c r="L108" i="59"/>
  <c r="I46" i="61"/>
  <c r="I47" i="61" s="1"/>
  <c r="J16" i="61"/>
  <c r="J17" i="61" s="1"/>
  <c r="I44" i="64"/>
  <c r="K8" i="64"/>
  <c r="K9" i="64" s="1"/>
  <c r="K8" i="61"/>
  <c r="K9" i="61" s="1"/>
  <c r="J43" i="64"/>
  <c r="J44" i="64" s="1"/>
  <c r="K6" i="61"/>
  <c r="K7" i="61" s="1"/>
  <c r="K6" i="64"/>
  <c r="K7" i="64" s="1"/>
  <c r="H50" i="64"/>
  <c r="H51" i="64" s="1"/>
  <c r="H47" i="64"/>
  <c r="H50" i="61"/>
  <c r="H47" i="61"/>
  <c r="I47" i="64"/>
  <c r="I50" i="64"/>
  <c r="I51" i="64" s="1"/>
  <c r="L80" i="72"/>
  <c r="L79" i="72"/>
  <c r="L78" i="72"/>
  <c r="L20" i="72"/>
  <c r="D23" i="62"/>
  <c r="D25" i="62" s="1"/>
  <c r="E21" i="62"/>
  <c r="E23" i="62" s="1"/>
  <c r="E25" i="62" s="1"/>
  <c r="I39" i="63"/>
  <c r="G63" i="63" s="1"/>
  <c r="D32" i="63"/>
  <c r="B43" i="63"/>
  <c r="I40" i="63" s="1"/>
  <c r="G64" i="63" s="1"/>
  <c r="D23" i="68"/>
  <c r="D25" i="68" s="1"/>
  <c r="D32" i="69"/>
  <c r="I39" i="69"/>
  <c r="G63" i="69" s="1"/>
  <c r="B43" i="69"/>
  <c r="I40" i="69" s="1"/>
  <c r="G64" i="69" s="1"/>
  <c r="L79" i="59"/>
  <c r="L142" i="72" s="1"/>
  <c r="K41" i="64" s="1"/>
  <c r="L21" i="70"/>
  <c r="L21" i="72"/>
  <c r="K39" i="64" s="1"/>
  <c r="K79" i="70"/>
  <c r="K137" i="70" s="1"/>
  <c r="L22" i="72"/>
  <c r="K39" i="84" s="1"/>
  <c r="L80" i="59"/>
  <c r="L143" i="72" s="1"/>
  <c r="K41" i="84" s="1"/>
  <c r="L22" i="70"/>
  <c r="L51" i="70"/>
  <c r="L51" i="72"/>
  <c r="K40" i="84" s="1"/>
  <c r="L115" i="64"/>
  <c r="L49" i="64" s="1"/>
  <c r="K78" i="70"/>
  <c r="K136" i="70" s="1"/>
  <c r="L50" i="72"/>
  <c r="K40" i="64" s="1"/>
  <c r="L50" i="70"/>
  <c r="L267" i="64"/>
  <c r="M50" i="59" s="1"/>
  <c r="M290" i="59" s="1"/>
  <c r="L115" i="61"/>
  <c r="L49" i="61" s="1"/>
  <c r="L267" i="61"/>
  <c r="M49" i="59" s="1"/>
  <c r="K80" i="70"/>
  <c r="K138" i="70" s="1"/>
  <c r="L49" i="70"/>
  <c r="L49" i="72"/>
  <c r="L20" i="70"/>
  <c r="L78" i="59"/>
  <c r="L141" i="72" s="1"/>
  <c r="F21" i="68"/>
  <c r="E23" i="68"/>
  <c r="E25" i="68" s="1"/>
  <c r="M265" i="64"/>
  <c r="M257" i="64"/>
  <c r="M249" i="64"/>
  <c r="M241" i="64"/>
  <c r="M233" i="64"/>
  <c r="M262" i="64"/>
  <c r="M254" i="64"/>
  <c r="M246" i="64"/>
  <c r="M238" i="64"/>
  <c r="M230" i="64"/>
  <c r="M259" i="64"/>
  <c r="M251" i="64"/>
  <c r="M243" i="64"/>
  <c r="M235" i="64"/>
  <c r="M264" i="64"/>
  <c r="M256" i="64"/>
  <c r="M248" i="64"/>
  <c r="M240" i="64"/>
  <c r="M232" i="64"/>
  <c r="M263" i="64"/>
  <c r="M255" i="64"/>
  <c r="M247" i="64"/>
  <c r="M239" i="64"/>
  <c r="M231" i="64"/>
  <c r="M250" i="64"/>
  <c r="M208" i="64"/>
  <c r="M206" i="64"/>
  <c r="M204" i="64"/>
  <c r="M202" i="64"/>
  <c r="M200" i="64"/>
  <c r="M198" i="64"/>
  <c r="M196" i="64"/>
  <c r="M194" i="64"/>
  <c r="M192" i="64"/>
  <c r="M260" i="64"/>
  <c r="M253" i="64"/>
  <c r="M228" i="64"/>
  <c r="M226" i="64"/>
  <c r="M224" i="64"/>
  <c r="M258" i="64"/>
  <c r="M221" i="64"/>
  <c r="M261" i="64"/>
  <c r="M236" i="64"/>
  <c r="M229" i="64"/>
  <c r="M242" i="64"/>
  <c r="M225" i="64"/>
  <c r="M252" i="64"/>
  <c r="M220" i="64"/>
  <c r="M195" i="64"/>
  <c r="M190" i="64"/>
  <c r="M188" i="64"/>
  <c r="M186" i="64"/>
  <c r="M184" i="64"/>
  <c r="M182" i="64"/>
  <c r="M180" i="64"/>
  <c r="M178" i="64"/>
  <c r="M177" i="64"/>
  <c r="M223" i="64"/>
  <c r="M197" i="64"/>
  <c r="M174" i="64"/>
  <c r="M245" i="64"/>
  <c r="M199" i="64"/>
  <c r="M171" i="64"/>
  <c r="M234" i="64"/>
  <c r="M201" i="64"/>
  <c r="M227" i="64"/>
  <c r="M207" i="64"/>
  <c r="M175" i="64"/>
  <c r="M205" i="64"/>
  <c r="M185" i="64"/>
  <c r="M168" i="64"/>
  <c r="M172" i="64"/>
  <c r="M244" i="64"/>
  <c r="M209" i="64"/>
  <c r="M176" i="64"/>
  <c r="M169" i="64"/>
  <c r="M77" i="64"/>
  <c r="M75" i="64"/>
  <c r="M73" i="64"/>
  <c r="M71" i="64"/>
  <c r="M69" i="64"/>
  <c r="M237" i="64"/>
  <c r="M193" i="64"/>
  <c r="M183" i="64"/>
  <c r="M173" i="64"/>
  <c r="M170" i="64"/>
  <c r="M76" i="64"/>
  <c r="M70" i="64"/>
  <c r="M191" i="64"/>
  <c r="M189" i="64"/>
  <c r="M181" i="64"/>
  <c r="M167" i="64"/>
  <c r="M74" i="64"/>
  <c r="M72" i="64"/>
  <c r="M187" i="64"/>
  <c r="M179" i="64"/>
  <c r="M222" i="64"/>
  <c r="M203" i="64"/>
  <c r="E23" i="65"/>
  <c r="E25" i="65" s="1"/>
  <c r="F21" i="65"/>
  <c r="L214" i="64"/>
  <c r="M21" i="59" s="1"/>
  <c r="M265" i="61"/>
  <c r="M257" i="61"/>
  <c r="M249" i="61"/>
  <c r="M241" i="61"/>
  <c r="M233" i="61"/>
  <c r="M262" i="61"/>
  <c r="M254" i="61"/>
  <c r="M246" i="61"/>
  <c r="M259" i="61"/>
  <c r="M251" i="61"/>
  <c r="M264" i="61"/>
  <c r="M256" i="61"/>
  <c r="M248" i="61"/>
  <c r="M240" i="61"/>
  <c r="M232" i="61"/>
  <c r="M263" i="61"/>
  <c r="M255" i="61"/>
  <c r="M247" i="61"/>
  <c r="M239" i="61"/>
  <c r="M231" i="61"/>
  <c r="M236" i="61"/>
  <c r="M208" i="61"/>
  <c r="M206" i="61"/>
  <c r="M204" i="61"/>
  <c r="M202" i="61"/>
  <c r="M200" i="61"/>
  <c r="M198" i="61"/>
  <c r="M196" i="61"/>
  <c r="M194" i="61"/>
  <c r="M252" i="61"/>
  <c r="M245" i="61"/>
  <c r="M237" i="61"/>
  <c r="M226" i="61"/>
  <c r="M224" i="61"/>
  <c r="M250" i="61"/>
  <c r="M238" i="61"/>
  <c r="M228" i="61"/>
  <c r="M221" i="61"/>
  <c r="M260" i="61"/>
  <c r="M253" i="61"/>
  <c r="M229" i="61"/>
  <c r="M225" i="61"/>
  <c r="M244" i="61"/>
  <c r="M230" i="61"/>
  <c r="M203" i="61"/>
  <c r="M193" i="61"/>
  <c r="M191" i="61"/>
  <c r="M189" i="61"/>
  <c r="M187" i="61"/>
  <c r="M185" i="61"/>
  <c r="M183" i="61"/>
  <c r="M181" i="61"/>
  <c r="M179" i="61"/>
  <c r="M173" i="61"/>
  <c r="M205" i="61"/>
  <c r="M234" i="61"/>
  <c r="M227" i="61"/>
  <c r="M207" i="61"/>
  <c r="M175" i="61"/>
  <c r="M243" i="61"/>
  <c r="M222" i="61"/>
  <c r="M209" i="61"/>
  <c r="M172" i="61"/>
  <c r="M220" i="61"/>
  <c r="M195" i="61"/>
  <c r="M192" i="61"/>
  <c r="M190" i="61"/>
  <c r="M188" i="61"/>
  <c r="M186" i="61"/>
  <c r="M184" i="61"/>
  <c r="M182" i="61"/>
  <c r="M258" i="61"/>
  <c r="M223" i="61"/>
  <c r="M197" i="61"/>
  <c r="M242" i="61"/>
  <c r="M201" i="61"/>
  <c r="M178" i="61"/>
  <c r="M169" i="61"/>
  <c r="M76" i="61"/>
  <c r="M74" i="61"/>
  <c r="M72" i="61"/>
  <c r="M70" i="61"/>
  <c r="M177" i="61"/>
  <c r="M168" i="61"/>
  <c r="M176" i="61"/>
  <c r="M174" i="61"/>
  <c r="M261" i="61"/>
  <c r="M235" i="61"/>
  <c r="M180" i="61"/>
  <c r="M171" i="61"/>
  <c r="M199" i="61"/>
  <c r="M170" i="61"/>
  <c r="M167" i="61"/>
  <c r="M77" i="61"/>
  <c r="M75" i="61"/>
  <c r="M73" i="61"/>
  <c r="M71" i="61"/>
  <c r="M69" i="61"/>
  <c r="L214" i="61"/>
  <c r="M20" i="59" s="1"/>
  <c r="M318" i="59" l="1"/>
  <c r="M260" i="59"/>
  <c r="M319" i="59"/>
  <c r="M261" i="59"/>
  <c r="N56" i="64"/>
  <c r="O170" i="59"/>
  <c r="M56" i="64"/>
  <c r="N170" i="59"/>
  <c r="K56" i="64"/>
  <c r="L170" i="59"/>
  <c r="L56" i="64"/>
  <c r="M170" i="59"/>
  <c r="M138" i="59"/>
  <c r="M203" i="59" s="1"/>
  <c r="M289" i="59"/>
  <c r="J43" i="61"/>
  <c r="J46" i="61" s="1"/>
  <c r="J47" i="61" s="1"/>
  <c r="I50" i="84"/>
  <c r="I51" i="84" s="1"/>
  <c r="J46" i="84"/>
  <c r="J50" i="84" s="1"/>
  <c r="J51" i="84" s="1"/>
  <c r="J28" i="61"/>
  <c r="K26" i="61"/>
  <c r="K43" i="84"/>
  <c r="K44" i="84" s="1"/>
  <c r="K40" i="61"/>
  <c r="K16" i="84"/>
  <c r="K17" i="84" s="1"/>
  <c r="K23" i="84"/>
  <c r="K23" i="61"/>
  <c r="H50" i="84"/>
  <c r="H51" i="84" s="1"/>
  <c r="H47" i="84"/>
  <c r="K14" i="61"/>
  <c r="K16" i="61" s="1"/>
  <c r="K17" i="61" s="1"/>
  <c r="L22" i="61"/>
  <c r="L26" i="61" s="1"/>
  <c r="J28" i="84"/>
  <c r="K41" i="61"/>
  <c r="K20" i="84"/>
  <c r="K20" i="61"/>
  <c r="L27" i="61"/>
  <c r="L13" i="61"/>
  <c r="K21" i="61"/>
  <c r="K39" i="61"/>
  <c r="L22" i="84"/>
  <c r="L26" i="84" s="1"/>
  <c r="L8" i="84"/>
  <c r="L9" i="84" s="1"/>
  <c r="L6" i="84"/>
  <c r="L7" i="84" s="1"/>
  <c r="L27" i="84"/>
  <c r="L13" i="84"/>
  <c r="K26" i="84"/>
  <c r="M140" i="59"/>
  <c r="M205" i="59" s="1"/>
  <c r="M291" i="59"/>
  <c r="M320" i="59"/>
  <c r="L21" i="84" s="1"/>
  <c r="M262" i="59"/>
  <c r="L27" i="64"/>
  <c r="L13" i="64"/>
  <c r="L23" i="64"/>
  <c r="L22" i="64"/>
  <c r="L26" i="64" s="1"/>
  <c r="K14" i="64"/>
  <c r="K16" i="64" s="1"/>
  <c r="K17" i="64" s="1"/>
  <c r="J16" i="64"/>
  <c r="J17" i="64" s="1"/>
  <c r="P56" i="64"/>
  <c r="Q56" i="64" s="1"/>
  <c r="S61" i="64"/>
  <c r="J44" i="61"/>
  <c r="M139" i="59"/>
  <c r="M204" i="59" s="1"/>
  <c r="M108" i="59"/>
  <c r="M110" i="59"/>
  <c r="M109" i="59"/>
  <c r="I50" i="61"/>
  <c r="L8" i="61"/>
  <c r="L9" i="61" s="1"/>
  <c r="J46" i="64"/>
  <c r="J50" i="64" s="1"/>
  <c r="J51" i="64" s="1"/>
  <c r="L8" i="64"/>
  <c r="L9" i="64" s="1"/>
  <c r="K43" i="64"/>
  <c r="K46" i="64" s="1"/>
  <c r="L6" i="64"/>
  <c r="L7" i="64" s="1"/>
  <c r="L6" i="61"/>
  <c r="L7" i="61" s="1"/>
  <c r="J50" i="61"/>
  <c r="F21" i="62"/>
  <c r="G21" i="62" s="1"/>
  <c r="M80" i="72"/>
  <c r="M79" i="72"/>
  <c r="M78" i="72"/>
  <c r="M20" i="72"/>
  <c r="L79" i="70"/>
  <c r="L137" i="70" s="1"/>
  <c r="M267" i="64"/>
  <c r="N50" i="59" s="1"/>
  <c r="N290" i="59" s="1"/>
  <c r="L80" i="70"/>
  <c r="L138" i="70" s="1"/>
  <c r="M50" i="72"/>
  <c r="L40" i="64" s="1"/>
  <c r="M50" i="70"/>
  <c r="M21" i="70"/>
  <c r="M21" i="72"/>
  <c r="L39" i="64" s="1"/>
  <c r="M79" i="59"/>
  <c r="M142" i="72" s="1"/>
  <c r="L41" i="64" s="1"/>
  <c r="M22" i="72"/>
  <c r="L39" i="84" s="1"/>
  <c r="M80" i="59"/>
  <c r="M143" i="72" s="1"/>
  <c r="L41" i="84" s="1"/>
  <c r="M22" i="70"/>
  <c r="M51" i="70"/>
  <c r="M51" i="72"/>
  <c r="L40" i="84" s="1"/>
  <c r="M267" i="61"/>
  <c r="N49" i="59" s="1"/>
  <c r="M115" i="61"/>
  <c r="M49" i="61" s="1"/>
  <c r="M115" i="64"/>
  <c r="M49" i="64" s="1"/>
  <c r="L78" i="70"/>
  <c r="L136" i="70" s="1"/>
  <c r="M49" i="70"/>
  <c r="M49" i="72"/>
  <c r="M20" i="70"/>
  <c r="M78" i="59"/>
  <c r="M141" i="72" s="1"/>
  <c r="M214" i="61"/>
  <c r="N20" i="59" s="1"/>
  <c r="G21" i="68"/>
  <c r="F23" i="68"/>
  <c r="F25" i="68" s="1"/>
  <c r="N262" i="64"/>
  <c r="N254" i="64"/>
  <c r="N246" i="64"/>
  <c r="N238" i="64"/>
  <c r="N230" i="64"/>
  <c r="N259" i="64"/>
  <c r="N251" i="64"/>
  <c r="N243" i="64"/>
  <c r="N235" i="64"/>
  <c r="N264" i="64"/>
  <c r="N256" i="64"/>
  <c r="N248" i="64"/>
  <c r="N240" i="64"/>
  <c r="N232" i="64"/>
  <c r="N261" i="64"/>
  <c r="N253" i="64"/>
  <c r="N245" i="64"/>
  <c r="N237" i="64"/>
  <c r="N229" i="64"/>
  <c r="N260" i="64"/>
  <c r="N252" i="64"/>
  <c r="N244" i="64"/>
  <c r="N236" i="64"/>
  <c r="N228" i="64"/>
  <c r="N226" i="64"/>
  <c r="N224" i="64"/>
  <c r="N265" i="64"/>
  <c r="N258" i="64"/>
  <c r="N255" i="64"/>
  <c r="N233" i="64"/>
  <c r="N221" i="64"/>
  <c r="N263" i="64"/>
  <c r="N241" i="64"/>
  <c r="N234" i="64"/>
  <c r="N231" i="64"/>
  <c r="N227" i="64"/>
  <c r="N223" i="64"/>
  <c r="N209" i="64"/>
  <c r="N207" i="64"/>
  <c r="N205" i="64"/>
  <c r="N203" i="64"/>
  <c r="N201" i="64"/>
  <c r="N199" i="64"/>
  <c r="N197" i="64"/>
  <c r="N195" i="64"/>
  <c r="N193" i="64"/>
  <c r="N222" i="64"/>
  <c r="N249" i="64"/>
  <c r="N242" i="64"/>
  <c r="N204" i="64"/>
  <c r="N174" i="64"/>
  <c r="N239" i="64"/>
  <c r="N225" i="64"/>
  <c r="N206" i="64"/>
  <c r="N171" i="64"/>
  <c r="N208" i="64"/>
  <c r="N192" i="64"/>
  <c r="N176" i="64"/>
  <c r="N194" i="64"/>
  <c r="N191" i="64"/>
  <c r="N200" i="64"/>
  <c r="N172" i="64"/>
  <c r="N202" i="64"/>
  <c r="N196" i="64"/>
  <c r="N188" i="64"/>
  <c r="N180" i="64"/>
  <c r="N177" i="64"/>
  <c r="N169" i="64"/>
  <c r="N77" i="64"/>
  <c r="N75" i="64"/>
  <c r="N73" i="64"/>
  <c r="N71" i="64"/>
  <c r="N69" i="64"/>
  <c r="N187" i="64"/>
  <c r="N198" i="64"/>
  <c r="N183" i="64"/>
  <c r="N173" i="64"/>
  <c r="N170" i="64"/>
  <c r="N186" i="64"/>
  <c r="N178" i="64"/>
  <c r="N179" i="64"/>
  <c r="N257" i="64"/>
  <c r="N247" i="64"/>
  <c r="N189" i="64"/>
  <c r="N181" i="64"/>
  <c r="N175" i="64"/>
  <c r="N167" i="64"/>
  <c r="N220" i="64"/>
  <c r="N184" i="64"/>
  <c r="N76" i="64"/>
  <c r="N74" i="64"/>
  <c r="N72" i="64"/>
  <c r="N70" i="64"/>
  <c r="N250" i="64"/>
  <c r="N182" i="64"/>
  <c r="N190" i="64"/>
  <c r="N185" i="64"/>
  <c r="N168" i="64"/>
  <c r="G21" i="65"/>
  <c r="F23" i="65"/>
  <c r="F25" i="65" s="1"/>
  <c r="M214" i="64"/>
  <c r="N21" i="59" s="1"/>
  <c r="N262" i="61"/>
  <c r="N254" i="61"/>
  <c r="N246" i="61"/>
  <c r="N238" i="61"/>
  <c r="N230" i="61"/>
  <c r="N259" i="61"/>
  <c r="N251" i="61"/>
  <c r="N264" i="61"/>
  <c r="N256" i="61"/>
  <c r="N248" i="61"/>
  <c r="N261" i="61"/>
  <c r="N253" i="61"/>
  <c r="N245" i="61"/>
  <c r="N237" i="61"/>
  <c r="N229" i="61"/>
  <c r="N260" i="61"/>
  <c r="N252" i="61"/>
  <c r="N244" i="61"/>
  <c r="N236" i="61"/>
  <c r="N228" i="61"/>
  <c r="N226" i="61"/>
  <c r="N224" i="61"/>
  <c r="N257" i="61"/>
  <c r="N250" i="61"/>
  <c r="N247" i="61"/>
  <c r="N221" i="61"/>
  <c r="N265" i="61"/>
  <c r="N258" i="61"/>
  <c r="N255" i="61"/>
  <c r="N239" i="61"/>
  <c r="N227" i="61"/>
  <c r="N223" i="61"/>
  <c r="N209" i="61"/>
  <c r="N207" i="61"/>
  <c r="N205" i="61"/>
  <c r="N203" i="61"/>
  <c r="N201" i="61"/>
  <c r="N199" i="61"/>
  <c r="N197" i="61"/>
  <c r="N195" i="61"/>
  <c r="N235" i="61"/>
  <c r="N234" i="61"/>
  <c r="N233" i="61"/>
  <c r="N232" i="61"/>
  <c r="N222" i="61"/>
  <c r="N196" i="61"/>
  <c r="N170" i="61"/>
  <c r="N198" i="61"/>
  <c r="N175" i="61"/>
  <c r="N243" i="61"/>
  <c r="N241" i="61"/>
  <c r="N200" i="61"/>
  <c r="N172" i="61"/>
  <c r="N263" i="61"/>
  <c r="N220" i="61"/>
  <c r="N202" i="61"/>
  <c r="N192" i="61"/>
  <c r="N190" i="61"/>
  <c r="N188" i="61"/>
  <c r="N186" i="61"/>
  <c r="N184" i="61"/>
  <c r="N182" i="61"/>
  <c r="N180" i="61"/>
  <c r="N178" i="61"/>
  <c r="N177" i="61"/>
  <c r="N169" i="61"/>
  <c r="N249" i="61"/>
  <c r="N204" i="61"/>
  <c r="N231" i="61"/>
  <c r="N225" i="61"/>
  <c r="N206" i="61"/>
  <c r="N76" i="61"/>
  <c r="N74" i="61"/>
  <c r="N72" i="61"/>
  <c r="N70" i="61"/>
  <c r="N191" i="61"/>
  <c r="N242" i="61"/>
  <c r="N189" i="61"/>
  <c r="N181" i="61"/>
  <c r="N179" i="61"/>
  <c r="N176" i="61"/>
  <c r="N174" i="61"/>
  <c r="N240" i="61"/>
  <c r="N208" i="61"/>
  <c r="N183" i="61"/>
  <c r="N173" i="61"/>
  <c r="N171" i="61"/>
  <c r="N168" i="61"/>
  <c r="N194" i="61"/>
  <c r="N193" i="61"/>
  <c r="N167" i="61"/>
  <c r="N77" i="61"/>
  <c r="N75" i="61"/>
  <c r="N73" i="61"/>
  <c r="N71" i="61"/>
  <c r="N69" i="61"/>
  <c r="N185" i="61"/>
  <c r="N187" i="61"/>
  <c r="N318" i="59" l="1"/>
  <c r="N260" i="59"/>
  <c r="N319" i="59"/>
  <c r="N261" i="59"/>
  <c r="N138" i="59"/>
  <c r="N203" i="59" s="1"/>
  <c r="N289" i="59"/>
  <c r="K46" i="84"/>
  <c r="K47" i="84" s="1"/>
  <c r="J47" i="84"/>
  <c r="K28" i="61"/>
  <c r="L14" i="61"/>
  <c r="L16" i="61" s="1"/>
  <c r="L17" i="61" s="1"/>
  <c r="K28" i="84"/>
  <c r="K43" i="61"/>
  <c r="K44" i="61" s="1"/>
  <c r="L21" i="61"/>
  <c r="L40" i="61"/>
  <c r="L43" i="84"/>
  <c r="L44" i="84" s="1"/>
  <c r="M22" i="61"/>
  <c r="L23" i="84"/>
  <c r="L23" i="61"/>
  <c r="M13" i="61"/>
  <c r="M27" i="61"/>
  <c r="L20" i="84"/>
  <c r="L20" i="61"/>
  <c r="L39" i="61"/>
  <c r="L41" i="61"/>
  <c r="M6" i="84"/>
  <c r="M7" i="84" s="1"/>
  <c r="M27" i="84"/>
  <c r="M13" i="84"/>
  <c r="M8" i="84"/>
  <c r="M9" i="84" s="1"/>
  <c r="M22" i="84"/>
  <c r="M26" i="84" s="1"/>
  <c r="L14" i="84"/>
  <c r="L16" i="84" s="1"/>
  <c r="L17" i="84" s="1"/>
  <c r="N140" i="59"/>
  <c r="N205" i="59" s="1"/>
  <c r="N291" i="59"/>
  <c r="N320" i="59"/>
  <c r="M21" i="84" s="1"/>
  <c r="N262" i="59"/>
  <c r="F23" i="62"/>
  <c r="F25" i="62" s="1"/>
  <c r="L14" i="64"/>
  <c r="L16" i="64" s="1"/>
  <c r="L17" i="64" s="1"/>
  <c r="K18" i="64"/>
  <c r="M27" i="64"/>
  <c r="M13" i="64"/>
  <c r="M23" i="64"/>
  <c r="M22" i="64"/>
  <c r="M14" i="64" s="1"/>
  <c r="N139" i="59"/>
  <c r="N204" i="59" s="1"/>
  <c r="N110" i="59"/>
  <c r="N109" i="59"/>
  <c r="N108" i="59"/>
  <c r="J47" i="64"/>
  <c r="K44" i="64"/>
  <c r="L43" i="64"/>
  <c r="L44" i="64" s="1"/>
  <c r="M8" i="61"/>
  <c r="M9" i="61" s="1"/>
  <c r="N50" i="70"/>
  <c r="M8" i="64"/>
  <c r="M9" i="64" s="1"/>
  <c r="M6" i="61"/>
  <c r="M7" i="61" s="1"/>
  <c r="M6" i="64"/>
  <c r="M7" i="64" s="1"/>
  <c r="K47" i="64"/>
  <c r="K50" i="64"/>
  <c r="K51" i="64" s="1"/>
  <c r="N79" i="72"/>
  <c r="N80" i="72"/>
  <c r="N78" i="72"/>
  <c r="N20" i="72"/>
  <c r="M80" i="70"/>
  <c r="M138" i="70" s="1"/>
  <c r="N50" i="72"/>
  <c r="M40" i="64" s="1"/>
  <c r="M79" i="70"/>
  <c r="M137" i="70" s="1"/>
  <c r="N21" i="72"/>
  <c r="M39" i="64" s="1"/>
  <c r="N79" i="59"/>
  <c r="N142" i="72" s="1"/>
  <c r="M41" i="64" s="1"/>
  <c r="N21" i="70"/>
  <c r="N22" i="72"/>
  <c r="M39" i="84" s="1"/>
  <c r="N80" i="59"/>
  <c r="N143" i="72" s="1"/>
  <c r="M41" i="84" s="1"/>
  <c r="N22" i="70"/>
  <c r="N51" i="70"/>
  <c r="N51" i="72"/>
  <c r="M40" i="84" s="1"/>
  <c r="N267" i="64"/>
  <c r="O50" i="59" s="1"/>
  <c r="O290" i="59" s="1"/>
  <c r="N115" i="64"/>
  <c r="N49" i="64" s="1"/>
  <c r="N115" i="61"/>
  <c r="N49" i="61" s="1"/>
  <c r="N267" i="61"/>
  <c r="O49" i="59" s="1"/>
  <c r="M78" i="70"/>
  <c r="M136" i="70" s="1"/>
  <c r="N49" i="70"/>
  <c r="N49" i="72"/>
  <c r="N20" i="70"/>
  <c r="N78" i="59"/>
  <c r="N141" i="72" s="1"/>
  <c r="G23" i="68"/>
  <c r="G25" i="68" s="1"/>
  <c r="H21" i="68"/>
  <c r="O259" i="64"/>
  <c r="O251" i="64"/>
  <c r="O243" i="64"/>
  <c r="O235" i="64"/>
  <c r="O264" i="64"/>
  <c r="O256" i="64"/>
  <c r="O248" i="64"/>
  <c r="O240" i="64"/>
  <c r="O232" i="64"/>
  <c r="O261" i="64"/>
  <c r="O253" i="64"/>
  <c r="O245" i="64"/>
  <c r="O237" i="64"/>
  <c r="O229" i="64"/>
  <c r="O258" i="64"/>
  <c r="O250" i="64"/>
  <c r="O242" i="64"/>
  <c r="O234" i="64"/>
  <c r="O265" i="64"/>
  <c r="O257" i="64"/>
  <c r="O249" i="64"/>
  <c r="O241" i="64"/>
  <c r="O233" i="64"/>
  <c r="O260" i="64"/>
  <c r="O255" i="64"/>
  <c r="O228" i="64"/>
  <c r="O221" i="64"/>
  <c r="O238" i="64"/>
  <c r="O263" i="64"/>
  <c r="O236" i="64"/>
  <c r="O231" i="64"/>
  <c r="O227" i="64"/>
  <c r="O223" i="64"/>
  <c r="O209" i="64"/>
  <c r="O207" i="64"/>
  <c r="O205" i="64"/>
  <c r="O203" i="64"/>
  <c r="O201" i="64"/>
  <c r="O199" i="64"/>
  <c r="O197" i="64"/>
  <c r="O195" i="64"/>
  <c r="O193" i="64"/>
  <c r="O246" i="64"/>
  <c r="O220" i="64"/>
  <c r="O252" i="64"/>
  <c r="O247" i="64"/>
  <c r="O208" i="64"/>
  <c r="O206" i="64"/>
  <c r="O204" i="64"/>
  <c r="O202" i="64"/>
  <c r="O200" i="64"/>
  <c r="O198" i="64"/>
  <c r="O196" i="64"/>
  <c r="O194" i="64"/>
  <c r="O192" i="64"/>
  <c r="O239" i="64"/>
  <c r="O225" i="64"/>
  <c r="O176" i="64"/>
  <c r="O191" i="64"/>
  <c r="O189" i="64"/>
  <c r="O187" i="64"/>
  <c r="O185" i="64"/>
  <c r="O183" i="64"/>
  <c r="O181" i="64"/>
  <c r="O179" i="64"/>
  <c r="O173" i="64"/>
  <c r="O254" i="64"/>
  <c r="O222" i="64"/>
  <c r="O190" i="64"/>
  <c r="O188" i="64"/>
  <c r="O186" i="64"/>
  <c r="O184" i="64"/>
  <c r="O182" i="64"/>
  <c r="O180" i="64"/>
  <c r="O178" i="64"/>
  <c r="O177" i="64"/>
  <c r="O244" i="64"/>
  <c r="O170" i="64"/>
  <c r="O230" i="64"/>
  <c r="O226" i="64"/>
  <c r="O174" i="64"/>
  <c r="O224" i="64"/>
  <c r="O175" i="64"/>
  <c r="O167" i="64"/>
  <c r="O262" i="64"/>
  <c r="O76" i="64"/>
  <c r="O74" i="64"/>
  <c r="O72" i="64"/>
  <c r="O70" i="64"/>
  <c r="O172" i="64"/>
  <c r="O168" i="64"/>
  <c r="O71" i="64"/>
  <c r="O171" i="64"/>
  <c r="O73" i="64"/>
  <c r="O75" i="64"/>
  <c r="O77" i="64"/>
  <c r="O69" i="64"/>
  <c r="O169" i="64"/>
  <c r="N214" i="64"/>
  <c r="O21" i="59" s="1"/>
  <c r="G23" i="65"/>
  <c r="G25" i="65" s="1"/>
  <c r="H21" i="65"/>
  <c r="O259" i="61"/>
  <c r="O251" i="61"/>
  <c r="O243" i="61"/>
  <c r="O235" i="61"/>
  <c r="O264" i="61"/>
  <c r="O256" i="61"/>
  <c r="O248" i="61"/>
  <c r="O261" i="61"/>
  <c r="O253" i="61"/>
  <c r="O245" i="61"/>
  <c r="O258" i="61"/>
  <c r="O250" i="61"/>
  <c r="O242" i="61"/>
  <c r="O234" i="61"/>
  <c r="O265" i="61"/>
  <c r="O257" i="61"/>
  <c r="O249" i="61"/>
  <c r="O241" i="61"/>
  <c r="O233" i="61"/>
  <c r="O252" i="61"/>
  <c r="O247" i="61"/>
  <c r="O237" i="61"/>
  <c r="O221" i="61"/>
  <c r="O262" i="61"/>
  <c r="O238" i="61"/>
  <c r="O228" i="61"/>
  <c r="O260" i="61"/>
  <c r="O255" i="61"/>
  <c r="O239" i="61"/>
  <c r="O229" i="61"/>
  <c r="O227" i="61"/>
  <c r="O223" i="61"/>
  <c r="O209" i="61"/>
  <c r="O207" i="61"/>
  <c r="O205" i="61"/>
  <c r="O203" i="61"/>
  <c r="O201" i="61"/>
  <c r="O199" i="61"/>
  <c r="O197" i="61"/>
  <c r="O195" i="61"/>
  <c r="O240" i="61"/>
  <c r="O230" i="61"/>
  <c r="O220" i="61"/>
  <c r="O244" i="61"/>
  <c r="O208" i="61"/>
  <c r="O206" i="61"/>
  <c r="O204" i="61"/>
  <c r="O202" i="61"/>
  <c r="O200" i="61"/>
  <c r="O198" i="61"/>
  <c r="O196" i="61"/>
  <c r="O194" i="61"/>
  <c r="O226" i="61"/>
  <c r="O175" i="61"/>
  <c r="O232" i="61"/>
  <c r="O224" i="61"/>
  <c r="O172" i="61"/>
  <c r="O263" i="61"/>
  <c r="O222" i="61"/>
  <c r="O192" i="61"/>
  <c r="O190" i="61"/>
  <c r="O188" i="61"/>
  <c r="O186" i="61"/>
  <c r="O184" i="61"/>
  <c r="O182" i="61"/>
  <c r="O180" i="61"/>
  <c r="O178" i="61"/>
  <c r="O177" i="61"/>
  <c r="O169" i="61"/>
  <c r="O246" i="61"/>
  <c r="O236" i="61"/>
  <c r="O174" i="61"/>
  <c r="O168" i="61"/>
  <c r="O231" i="61"/>
  <c r="O225" i="61"/>
  <c r="O189" i="61"/>
  <c r="O181" i="61"/>
  <c r="O179" i="61"/>
  <c r="O176" i="61"/>
  <c r="O76" i="61"/>
  <c r="O70" i="61"/>
  <c r="O183" i="61"/>
  <c r="O173" i="61"/>
  <c r="O171" i="61"/>
  <c r="O74" i="61"/>
  <c r="O72" i="61"/>
  <c r="O193" i="61"/>
  <c r="O167" i="61"/>
  <c r="O77" i="61"/>
  <c r="O75" i="61"/>
  <c r="O73" i="61"/>
  <c r="O71" i="61"/>
  <c r="O69" i="61"/>
  <c r="O185" i="61"/>
  <c r="O170" i="61"/>
  <c r="O187" i="61"/>
  <c r="O254" i="61"/>
  <c r="O191" i="61"/>
  <c r="N214" i="61"/>
  <c r="O20" i="59" s="1"/>
  <c r="G23" i="62"/>
  <c r="G25" i="62" s="1"/>
  <c r="H21" i="62"/>
  <c r="O318" i="59" l="1"/>
  <c r="O260" i="59"/>
  <c r="O319" i="59"/>
  <c r="O261" i="59"/>
  <c r="O138" i="59"/>
  <c r="O203" i="59" s="1"/>
  <c r="O289" i="59"/>
  <c r="K46" i="61"/>
  <c r="K47" i="61" s="1"/>
  <c r="K50" i="84"/>
  <c r="K51" i="84" s="1"/>
  <c r="L28" i="61"/>
  <c r="L28" i="84"/>
  <c r="L18" i="64"/>
  <c r="L46" i="84"/>
  <c r="L47" i="84" s="1"/>
  <c r="M26" i="61"/>
  <c r="L43" i="61"/>
  <c r="L44" i="61" s="1"/>
  <c r="M14" i="84"/>
  <c r="M16" i="84" s="1"/>
  <c r="M17" i="84" s="1"/>
  <c r="M43" i="84"/>
  <c r="M44" i="84" s="1"/>
  <c r="N22" i="61"/>
  <c r="N14" i="61" s="1"/>
  <c r="M23" i="84"/>
  <c r="M23" i="61"/>
  <c r="M14" i="61"/>
  <c r="M16" i="61" s="1"/>
  <c r="M17" i="61" s="1"/>
  <c r="M40" i="61"/>
  <c r="M39" i="61"/>
  <c r="M21" i="61"/>
  <c r="M41" i="61"/>
  <c r="M20" i="84"/>
  <c r="M20" i="61"/>
  <c r="N13" i="61"/>
  <c r="N27" i="61"/>
  <c r="N6" i="84"/>
  <c r="N7" i="84" s="1"/>
  <c r="N13" i="84"/>
  <c r="N27" i="84"/>
  <c r="N22" i="84"/>
  <c r="N8" i="84"/>
  <c r="N9" i="84" s="1"/>
  <c r="O140" i="59"/>
  <c r="O205" i="59" s="1"/>
  <c r="O291" i="59"/>
  <c r="O320" i="59"/>
  <c r="N21" i="84" s="1"/>
  <c r="O262" i="59"/>
  <c r="N27" i="64"/>
  <c r="N13" i="64"/>
  <c r="N22" i="64"/>
  <c r="N26" i="64" s="1"/>
  <c r="N23" i="64"/>
  <c r="M26" i="64"/>
  <c r="O139" i="59"/>
  <c r="O204" i="59" s="1"/>
  <c r="O108" i="59"/>
  <c r="O110" i="59"/>
  <c r="O109" i="59"/>
  <c r="K50" i="61"/>
  <c r="L46" i="64"/>
  <c r="L47" i="64" s="1"/>
  <c r="N8" i="61"/>
  <c r="N9" i="61" s="1"/>
  <c r="N8" i="64"/>
  <c r="N9" i="64" s="1"/>
  <c r="N79" i="70"/>
  <c r="N137" i="70" s="1"/>
  <c r="M43" i="64"/>
  <c r="M46" i="64" s="1"/>
  <c r="M16" i="64"/>
  <c r="M17" i="64" s="1"/>
  <c r="M18" i="64"/>
  <c r="N6" i="61"/>
  <c r="N7" i="61" s="1"/>
  <c r="N6" i="64"/>
  <c r="N7" i="64" s="1"/>
  <c r="O80" i="72"/>
  <c r="O78" i="72"/>
  <c r="O79" i="72"/>
  <c r="O49" i="72"/>
  <c r="O51" i="70"/>
  <c r="O51" i="72"/>
  <c r="N40" i="84" s="1"/>
  <c r="O214" i="61"/>
  <c r="P20" i="59" s="1"/>
  <c r="O80" i="59"/>
  <c r="O143" i="72" s="1"/>
  <c r="N41" i="84" s="1"/>
  <c r="O22" i="70"/>
  <c r="O22" i="72"/>
  <c r="N39" i="84" s="1"/>
  <c r="O50" i="72"/>
  <c r="N40" i="64" s="1"/>
  <c r="O50" i="70"/>
  <c r="O21" i="72"/>
  <c r="N39" i="64" s="1"/>
  <c r="O79" i="59"/>
  <c r="O142" i="72" s="1"/>
  <c r="N41" i="64" s="1"/>
  <c r="O21" i="70"/>
  <c r="O267" i="64"/>
  <c r="P50" i="59" s="1"/>
  <c r="P290" i="59" s="1"/>
  <c r="O115" i="61"/>
  <c r="O49" i="61" s="1"/>
  <c r="N80" i="70"/>
  <c r="N138" i="70" s="1"/>
  <c r="N78" i="70"/>
  <c r="N136" i="70" s="1"/>
  <c r="O115" i="64"/>
  <c r="O49" i="64" s="1"/>
  <c r="O267" i="61"/>
  <c r="P49" i="59" s="1"/>
  <c r="O20" i="70"/>
  <c r="O20" i="72"/>
  <c r="O78" i="59"/>
  <c r="O141" i="72" s="1"/>
  <c r="O49" i="70"/>
  <c r="I21" i="68"/>
  <c r="H23" i="68"/>
  <c r="H25" i="68" s="1"/>
  <c r="I21" i="65"/>
  <c r="H23" i="65"/>
  <c r="H25" i="65" s="1"/>
  <c r="P264" i="64"/>
  <c r="P256" i="64"/>
  <c r="P248" i="64"/>
  <c r="P240" i="64"/>
  <c r="P232" i="64"/>
  <c r="P261" i="64"/>
  <c r="P253" i="64"/>
  <c r="P245" i="64"/>
  <c r="P237" i="64"/>
  <c r="P229" i="64"/>
  <c r="P258" i="64"/>
  <c r="P250" i="64"/>
  <c r="P242" i="64"/>
  <c r="P234" i="64"/>
  <c r="P263" i="64"/>
  <c r="P255" i="64"/>
  <c r="P247" i="64"/>
  <c r="P239" i="64"/>
  <c r="P231" i="64"/>
  <c r="P262" i="64"/>
  <c r="P254" i="64"/>
  <c r="P246" i="64"/>
  <c r="P238" i="64"/>
  <c r="P230" i="64"/>
  <c r="P265" i="64"/>
  <c r="P243" i="64"/>
  <c r="P233" i="64"/>
  <c r="P236" i="64"/>
  <c r="P227" i="64"/>
  <c r="P223" i="64"/>
  <c r="P209" i="64"/>
  <c r="P207" i="64"/>
  <c r="P205" i="64"/>
  <c r="P203" i="64"/>
  <c r="P201" i="64"/>
  <c r="P199" i="64"/>
  <c r="P197" i="64"/>
  <c r="P195" i="64"/>
  <c r="P193" i="64"/>
  <c r="P251" i="64"/>
  <c r="P241" i="64"/>
  <c r="P220" i="64"/>
  <c r="P244" i="64"/>
  <c r="P225" i="64"/>
  <c r="P257" i="64"/>
  <c r="P235" i="64"/>
  <c r="P226" i="64"/>
  <c r="P224" i="64"/>
  <c r="P206" i="64"/>
  <c r="P176" i="64"/>
  <c r="P208" i="64"/>
  <c r="P192" i="64"/>
  <c r="P191" i="64"/>
  <c r="P189" i="64"/>
  <c r="P187" i="64"/>
  <c r="P185" i="64"/>
  <c r="P183" i="64"/>
  <c r="P181" i="64"/>
  <c r="P179" i="64"/>
  <c r="P173" i="64"/>
  <c r="P228" i="64"/>
  <c r="P221" i="64"/>
  <c r="P194" i="64"/>
  <c r="P170" i="64"/>
  <c r="P196" i="64"/>
  <c r="P259" i="64"/>
  <c r="P202" i="64"/>
  <c r="P174" i="64"/>
  <c r="P249" i="64"/>
  <c r="P204" i="64"/>
  <c r="P200" i="64"/>
  <c r="P198" i="64"/>
  <c r="P182" i="64"/>
  <c r="P186" i="64"/>
  <c r="P178" i="64"/>
  <c r="P175" i="64"/>
  <c r="P167" i="64"/>
  <c r="P168" i="64"/>
  <c r="P76" i="64"/>
  <c r="P74" i="64"/>
  <c r="P72" i="64"/>
  <c r="P70" i="64"/>
  <c r="P252" i="64"/>
  <c r="P184" i="64"/>
  <c r="P172" i="64"/>
  <c r="P260" i="64"/>
  <c r="P222" i="64"/>
  <c r="P190" i="64"/>
  <c r="P171" i="64"/>
  <c r="P169" i="64"/>
  <c r="P77" i="64"/>
  <c r="P75" i="64"/>
  <c r="P73" i="64"/>
  <c r="P71" i="64"/>
  <c r="P69" i="64"/>
  <c r="P188" i="64"/>
  <c r="P180" i="64"/>
  <c r="P177" i="64"/>
  <c r="O214" i="64"/>
  <c r="P21" i="59" s="1"/>
  <c r="I21" i="62"/>
  <c r="H23" i="62"/>
  <c r="H25" i="62" s="1"/>
  <c r="P264" i="61"/>
  <c r="P256" i="61"/>
  <c r="P248" i="61"/>
  <c r="P240" i="61"/>
  <c r="P232" i="61"/>
  <c r="P261" i="61"/>
  <c r="P253" i="61"/>
  <c r="P245" i="61"/>
  <c r="P258" i="61"/>
  <c r="P250" i="61"/>
  <c r="P263" i="61"/>
  <c r="P255" i="61"/>
  <c r="P247" i="61"/>
  <c r="P239" i="61"/>
  <c r="P231" i="61"/>
  <c r="P262" i="61"/>
  <c r="P254" i="61"/>
  <c r="P246" i="61"/>
  <c r="P238" i="61"/>
  <c r="P230" i="61"/>
  <c r="P257" i="61"/>
  <c r="P228" i="61"/>
  <c r="P260" i="61"/>
  <c r="P229" i="61"/>
  <c r="P227" i="61"/>
  <c r="P223" i="61"/>
  <c r="P209" i="61"/>
  <c r="P207" i="61"/>
  <c r="P205" i="61"/>
  <c r="P203" i="61"/>
  <c r="P201" i="61"/>
  <c r="P199" i="61"/>
  <c r="P197" i="61"/>
  <c r="P195" i="61"/>
  <c r="P265" i="61"/>
  <c r="P220" i="61"/>
  <c r="P243" i="61"/>
  <c r="P242" i="61"/>
  <c r="P241" i="61"/>
  <c r="P225" i="61"/>
  <c r="P259" i="61"/>
  <c r="P249" i="61"/>
  <c r="P236" i="61"/>
  <c r="P226" i="61"/>
  <c r="P224" i="61"/>
  <c r="P237" i="61"/>
  <c r="P198" i="61"/>
  <c r="P172" i="61"/>
  <c r="P234" i="61"/>
  <c r="P222" i="61"/>
  <c r="P200" i="61"/>
  <c r="P192" i="61"/>
  <c r="P190" i="61"/>
  <c r="P188" i="61"/>
  <c r="P186" i="61"/>
  <c r="P184" i="61"/>
  <c r="P182" i="61"/>
  <c r="P180" i="61"/>
  <c r="P178" i="61"/>
  <c r="P177" i="61"/>
  <c r="P202" i="61"/>
  <c r="P174" i="61"/>
  <c r="P168" i="61"/>
  <c r="P204" i="61"/>
  <c r="P171" i="61"/>
  <c r="P252" i="61"/>
  <c r="P206" i="61"/>
  <c r="P235" i="61"/>
  <c r="P233" i="61"/>
  <c r="P208" i="61"/>
  <c r="P193" i="61"/>
  <c r="P191" i="61"/>
  <c r="P175" i="61"/>
  <c r="P169" i="61"/>
  <c r="P251" i="61"/>
  <c r="P183" i="61"/>
  <c r="P173" i="61"/>
  <c r="P70" i="61"/>
  <c r="P179" i="61"/>
  <c r="P221" i="61"/>
  <c r="P167" i="61"/>
  <c r="P77" i="61"/>
  <c r="P75" i="61"/>
  <c r="P73" i="61"/>
  <c r="P71" i="61"/>
  <c r="P69" i="61"/>
  <c r="P72" i="61"/>
  <c r="P194" i="61"/>
  <c r="P185" i="61"/>
  <c r="P170" i="61"/>
  <c r="P76" i="61"/>
  <c r="P74" i="61"/>
  <c r="P189" i="61"/>
  <c r="P181" i="61"/>
  <c r="P176" i="61"/>
  <c r="P244" i="61"/>
  <c r="P196" i="61"/>
  <c r="P187" i="61"/>
  <c r="P318" i="59" l="1"/>
  <c r="P260" i="59"/>
  <c r="P319" i="59"/>
  <c r="P261" i="59"/>
  <c r="P138" i="59"/>
  <c r="P203" i="59" s="1"/>
  <c r="P289" i="59"/>
  <c r="M28" i="84"/>
  <c r="L50" i="84"/>
  <c r="L51" i="84" s="1"/>
  <c r="M46" i="84"/>
  <c r="M50" i="84" s="1"/>
  <c r="M51" i="84" s="1"/>
  <c r="M28" i="61"/>
  <c r="L46" i="61"/>
  <c r="L47" i="61" s="1"/>
  <c r="M43" i="61"/>
  <c r="M46" i="61" s="1"/>
  <c r="M50" i="61" s="1"/>
  <c r="N14" i="84"/>
  <c r="N16" i="84" s="1"/>
  <c r="N17" i="84" s="1"/>
  <c r="N40" i="61"/>
  <c r="N43" i="84"/>
  <c r="N46" i="84" s="1"/>
  <c r="O22" i="61"/>
  <c r="O14" i="61" s="1"/>
  <c r="N26" i="61"/>
  <c r="N23" i="84"/>
  <c r="N23" i="61"/>
  <c r="N21" i="61"/>
  <c r="N39" i="61"/>
  <c r="O27" i="61"/>
  <c r="O13" i="61"/>
  <c r="N20" i="84"/>
  <c r="N20" i="61"/>
  <c r="N41" i="61"/>
  <c r="N26" i="84"/>
  <c r="O8" i="84"/>
  <c r="O9" i="84" s="1"/>
  <c r="O22" i="84"/>
  <c r="O26" i="84" s="1"/>
  <c r="O6" i="84"/>
  <c r="O7" i="84" s="1"/>
  <c r="O27" i="84"/>
  <c r="O13" i="84"/>
  <c r="P140" i="59"/>
  <c r="P205" i="59" s="1"/>
  <c r="P291" i="59"/>
  <c r="P320" i="59"/>
  <c r="O21" i="84" s="1"/>
  <c r="P262" i="59"/>
  <c r="O27" i="64"/>
  <c r="O13" i="64"/>
  <c r="O22" i="64"/>
  <c r="O26" i="64" s="1"/>
  <c r="O23" i="64"/>
  <c r="N14" i="64"/>
  <c r="N18" i="64" s="1"/>
  <c r="P139" i="59"/>
  <c r="P204" i="59" s="1"/>
  <c r="P110" i="59"/>
  <c r="P109" i="59"/>
  <c r="P108" i="59"/>
  <c r="L50" i="64"/>
  <c r="L51" i="64" s="1"/>
  <c r="N16" i="61"/>
  <c r="N17" i="61" s="1"/>
  <c r="M44" i="64"/>
  <c r="N43" i="64"/>
  <c r="N46" i="64" s="1"/>
  <c r="O8" i="61"/>
  <c r="O9" i="61" s="1"/>
  <c r="O8" i="64"/>
  <c r="O9" i="64" s="1"/>
  <c r="O6" i="64"/>
  <c r="O7" i="64" s="1"/>
  <c r="O6" i="61"/>
  <c r="O7" i="61" s="1"/>
  <c r="M47" i="64"/>
  <c r="M50" i="64"/>
  <c r="M51" i="64" s="1"/>
  <c r="P79" i="72"/>
  <c r="P80" i="72"/>
  <c r="P78" i="72"/>
  <c r="O80" i="70"/>
  <c r="O138" i="70" s="1"/>
  <c r="P20" i="72"/>
  <c r="P20" i="70"/>
  <c r="P267" i="64"/>
  <c r="Q50" i="59" s="1"/>
  <c r="Q290" i="59" s="1"/>
  <c r="P115" i="64"/>
  <c r="P49" i="64" s="1"/>
  <c r="P51" i="70"/>
  <c r="P51" i="72"/>
  <c r="O40" i="84" s="1"/>
  <c r="P50" i="70"/>
  <c r="P50" i="72"/>
  <c r="O40" i="64" s="1"/>
  <c r="O79" i="70"/>
  <c r="O137" i="70" s="1"/>
  <c r="P115" i="61"/>
  <c r="P49" i="61" s="1"/>
  <c r="P21" i="70"/>
  <c r="P79" i="59"/>
  <c r="P142" i="72" s="1"/>
  <c r="O41" i="64" s="1"/>
  <c r="P21" i="72"/>
  <c r="O39" i="64" s="1"/>
  <c r="P22" i="70"/>
  <c r="P80" i="59"/>
  <c r="P143" i="72" s="1"/>
  <c r="O41" i="84" s="1"/>
  <c r="P22" i="72"/>
  <c r="O39" i="84" s="1"/>
  <c r="P267" i="61"/>
  <c r="Q49" i="59" s="1"/>
  <c r="P49" i="70"/>
  <c r="P49" i="72"/>
  <c r="O78" i="70"/>
  <c r="O136" i="70" s="1"/>
  <c r="P78" i="59"/>
  <c r="P141" i="72" s="1"/>
  <c r="J21" i="68"/>
  <c r="I23" i="68"/>
  <c r="I25" i="68" s="1"/>
  <c r="J21" i="65"/>
  <c r="I23" i="65"/>
  <c r="I25" i="65" s="1"/>
  <c r="Q261" i="64"/>
  <c r="Q253" i="64"/>
  <c r="Q245" i="64"/>
  <c r="Q237" i="64"/>
  <c r="Q229" i="64"/>
  <c r="Q258" i="64"/>
  <c r="Q250" i="64"/>
  <c r="Q242" i="64"/>
  <c r="Q234" i="64"/>
  <c r="Q263" i="64"/>
  <c r="Q255" i="64"/>
  <c r="Q247" i="64"/>
  <c r="Q239" i="64"/>
  <c r="Q231" i="64"/>
  <c r="Q260" i="64"/>
  <c r="Q252" i="64"/>
  <c r="Q244" i="64"/>
  <c r="Q236" i="64"/>
  <c r="Q228" i="64"/>
  <c r="Q259" i="64"/>
  <c r="Q251" i="64"/>
  <c r="Q243" i="64"/>
  <c r="Q235" i="64"/>
  <c r="Q238" i="64"/>
  <c r="Q227" i="64"/>
  <c r="Q223" i="64"/>
  <c r="Q209" i="64"/>
  <c r="Q207" i="64"/>
  <c r="Q205" i="64"/>
  <c r="Q203" i="64"/>
  <c r="Q201" i="64"/>
  <c r="Q199" i="64"/>
  <c r="Q197" i="64"/>
  <c r="Q195" i="64"/>
  <c r="Q193" i="64"/>
  <c r="Q248" i="64"/>
  <c r="Q241" i="64"/>
  <c r="Q220" i="64"/>
  <c r="Q246" i="64"/>
  <c r="Q225" i="64"/>
  <c r="Q256" i="64"/>
  <c r="Q249" i="64"/>
  <c r="Q222" i="64"/>
  <c r="Q262" i="64"/>
  <c r="Q230" i="64"/>
  <c r="Q221" i="64"/>
  <c r="Q265" i="64"/>
  <c r="Q232" i="64"/>
  <c r="Q208" i="64"/>
  <c r="Q192" i="64"/>
  <c r="Q191" i="64"/>
  <c r="Q189" i="64"/>
  <c r="Q187" i="64"/>
  <c r="Q185" i="64"/>
  <c r="Q183" i="64"/>
  <c r="Q181" i="64"/>
  <c r="Q179" i="64"/>
  <c r="Q173" i="64"/>
  <c r="Q194" i="64"/>
  <c r="Q170" i="64"/>
  <c r="Q264" i="64"/>
  <c r="Q254" i="64"/>
  <c r="Q196" i="64"/>
  <c r="Q175" i="64"/>
  <c r="Q257" i="64"/>
  <c r="Q226" i="64"/>
  <c r="Q198" i="64"/>
  <c r="Q240" i="64"/>
  <c r="Q233" i="64"/>
  <c r="Q204" i="64"/>
  <c r="Q171" i="64"/>
  <c r="Q206" i="64"/>
  <c r="Q186" i="64"/>
  <c r="Q178" i="64"/>
  <c r="Q176" i="64"/>
  <c r="Q174" i="64"/>
  <c r="Q167" i="64"/>
  <c r="Q190" i="64"/>
  <c r="Q224" i="64"/>
  <c r="Q76" i="64"/>
  <c r="Q74" i="64"/>
  <c r="Q72" i="64"/>
  <c r="Q70" i="64"/>
  <c r="Q184" i="64"/>
  <c r="Q172" i="64"/>
  <c r="Q169" i="64"/>
  <c r="Q77" i="64"/>
  <c r="Q73" i="64"/>
  <c r="Q71" i="64"/>
  <c r="Q182" i="64"/>
  <c r="Q168" i="64"/>
  <c r="Q75" i="64"/>
  <c r="Q69" i="64"/>
  <c r="Q188" i="64"/>
  <c r="Q180" i="64"/>
  <c r="Q177" i="64"/>
  <c r="Q202" i="64"/>
  <c r="Q200" i="64"/>
  <c r="P214" i="64"/>
  <c r="Q21" i="59" s="1"/>
  <c r="Q261" i="61"/>
  <c r="Q253" i="61"/>
  <c r="Q245" i="61"/>
  <c r="Q237" i="61"/>
  <c r="Q229" i="61"/>
  <c r="Q258" i="61"/>
  <c r="Q250" i="61"/>
  <c r="Q263" i="61"/>
  <c r="Q255" i="61"/>
  <c r="Q247" i="61"/>
  <c r="Q260" i="61"/>
  <c r="Q252" i="61"/>
  <c r="Q244" i="61"/>
  <c r="Q236" i="61"/>
  <c r="Q228" i="61"/>
  <c r="Q259" i="61"/>
  <c r="Q251" i="61"/>
  <c r="Q243" i="61"/>
  <c r="Q235" i="61"/>
  <c r="Q262" i="61"/>
  <c r="Q238" i="61"/>
  <c r="Q227" i="61"/>
  <c r="Q223" i="61"/>
  <c r="Q209" i="61"/>
  <c r="Q207" i="61"/>
  <c r="Q205" i="61"/>
  <c r="Q203" i="61"/>
  <c r="Q201" i="61"/>
  <c r="Q199" i="61"/>
  <c r="Q197" i="61"/>
  <c r="Q195" i="61"/>
  <c r="Q265" i="61"/>
  <c r="Q239" i="61"/>
  <c r="Q220" i="61"/>
  <c r="Q242" i="61"/>
  <c r="Q241" i="61"/>
  <c r="Q240" i="61"/>
  <c r="Q230" i="61"/>
  <c r="Q225" i="61"/>
  <c r="Q248" i="61"/>
  <c r="Q231" i="61"/>
  <c r="Q222" i="61"/>
  <c r="Q254" i="61"/>
  <c r="Q221" i="61"/>
  <c r="Q264" i="61"/>
  <c r="Q257" i="61"/>
  <c r="Q234" i="61"/>
  <c r="Q232" i="61"/>
  <c r="Q224" i="61"/>
  <c r="Q200" i="61"/>
  <c r="Q192" i="61"/>
  <c r="Q190" i="61"/>
  <c r="Q188" i="61"/>
  <c r="Q186" i="61"/>
  <c r="Q184" i="61"/>
  <c r="Q182" i="61"/>
  <c r="Q180" i="61"/>
  <c r="Q178" i="61"/>
  <c r="Q177" i="61"/>
  <c r="Q202" i="61"/>
  <c r="Q174" i="61"/>
  <c r="Q256" i="61"/>
  <c r="Q246" i="61"/>
  <c r="Q204" i="61"/>
  <c r="Q171" i="61"/>
  <c r="Q249" i="61"/>
  <c r="Q206" i="61"/>
  <c r="Q176" i="61"/>
  <c r="Q233" i="61"/>
  <c r="Q208" i="61"/>
  <c r="Q193" i="61"/>
  <c r="Q191" i="61"/>
  <c r="Q189" i="61"/>
  <c r="Q187" i="61"/>
  <c r="Q185" i="61"/>
  <c r="Q183" i="61"/>
  <c r="Q181" i="61"/>
  <c r="Q194" i="61"/>
  <c r="Q173" i="61"/>
  <c r="Q226" i="61"/>
  <c r="Q172" i="61"/>
  <c r="Q167" i="61"/>
  <c r="Q77" i="61"/>
  <c r="Q75" i="61"/>
  <c r="Q73" i="61"/>
  <c r="Q71" i="61"/>
  <c r="Q69" i="61"/>
  <c r="Q175" i="61"/>
  <c r="Q170" i="61"/>
  <c r="Q169" i="61"/>
  <c r="Q196" i="61"/>
  <c r="Q179" i="61"/>
  <c r="Q198" i="61"/>
  <c r="Q168" i="61"/>
  <c r="Q76" i="61"/>
  <c r="Q74" i="61"/>
  <c r="Q72" i="61"/>
  <c r="Q70" i="61"/>
  <c r="P214" i="61"/>
  <c r="Q20" i="59" s="1"/>
  <c r="J21" i="62"/>
  <c r="I23" i="62"/>
  <c r="I25" i="62" s="1"/>
  <c r="Q318" i="59" l="1"/>
  <c r="Q260" i="59"/>
  <c r="Q319" i="59"/>
  <c r="Q261" i="59"/>
  <c r="O40" i="61"/>
  <c r="Q138" i="59"/>
  <c r="Q203" i="59" s="1"/>
  <c r="Q289" i="59"/>
  <c r="M47" i="61"/>
  <c r="M44" i="61"/>
  <c r="M47" i="84"/>
  <c r="N28" i="61"/>
  <c r="N28" i="84"/>
  <c r="N43" i="61"/>
  <c r="N44" i="61" s="1"/>
  <c r="L50" i="61"/>
  <c r="N44" i="84"/>
  <c r="O26" i="61"/>
  <c r="P22" i="61"/>
  <c r="P26" i="61" s="1"/>
  <c r="O43" i="84"/>
  <c r="O46" i="84" s="1"/>
  <c r="O23" i="84"/>
  <c r="O23" i="61"/>
  <c r="O41" i="61"/>
  <c r="P27" i="61"/>
  <c r="Q27" i="61" s="1"/>
  <c r="P13" i="61"/>
  <c r="O20" i="84"/>
  <c r="O20" i="61"/>
  <c r="O39" i="61"/>
  <c r="O21" i="61"/>
  <c r="N50" i="84"/>
  <c r="N51" i="84" s="1"/>
  <c r="N47" i="84"/>
  <c r="P6" i="84"/>
  <c r="P27" i="84"/>
  <c r="Q27" i="84" s="1"/>
  <c r="P13" i="84"/>
  <c r="O14" i="84"/>
  <c r="O16" i="84" s="1"/>
  <c r="O17" i="84" s="1"/>
  <c r="P22" i="84"/>
  <c r="P14" i="84" s="1"/>
  <c r="Q14" i="84" s="1"/>
  <c r="P8" i="84"/>
  <c r="Q140" i="59"/>
  <c r="Q205" i="59" s="1"/>
  <c r="Q291" i="59"/>
  <c r="Q320" i="59"/>
  <c r="P21" i="84" s="1"/>
  <c r="Q21" i="84" s="1"/>
  <c r="Q262" i="59"/>
  <c r="N16" i="64"/>
  <c r="N17" i="64" s="1"/>
  <c r="O14" i="64"/>
  <c r="O16" i="64" s="1"/>
  <c r="O17" i="64" s="1"/>
  <c r="P27" i="64"/>
  <c r="Q27" i="64" s="1"/>
  <c r="P13" i="64"/>
  <c r="P22" i="64"/>
  <c r="P14" i="64" s="1"/>
  <c r="P23" i="64"/>
  <c r="Q23" i="64" s="1"/>
  <c r="Q139" i="59"/>
  <c r="Q204" i="59" s="1"/>
  <c r="Q108" i="59"/>
  <c r="Q110" i="59"/>
  <c r="Q109" i="59"/>
  <c r="O16" i="61"/>
  <c r="O17" i="61" s="1"/>
  <c r="N44" i="64"/>
  <c r="P78" i="70"/>
  <c r="P136" i="70" s="1"/>
  <c r="O43" i="64"/>
  <c r="O44" i="64" s="1"/>
  <c r="Q50" i="70"/>
  <c r="P8" i="64"/>
  <c r="P9" i="64" s="1"/>
  <c r="P8" i="61"/>
  <c r="P9" i="61" s="1"/>
  <c r="P6" i="61"/>
  <c r="P7" i="61" s="1"/>
  <c r="P6" i="64"/>
  <c r="P7" i="64" s="1"/>
  <c r="N47" i="64"/>
  <c r="N50" i="64"/>
  <c r="N51" i="64" s="1"/>
  <c r="Q80" i="72"/>
  <c r="Q79" i="72"/>
  <c r="Q49" i="64"/>
  <c r="Q78" i="72"/>
  <c r="Q49" i="61"/>
  <c r="Q20" i="72"/>
  <c r="P79" i="70"/>
  <c r="P137" i="70" s="1"/>
  <c r="Q50" i="72"/>
  <c r="P40" i="64" s="1"/>
  <c r="Q115" i="64"/>
  <c r="R79" i="72" s="1"/>
  <c r="Q115" i="61"/>
  <c r="R78" i="72" s="1"/>
  <c r="Q21" i="70"/>
  <c r="Q79" i="59"/>
  <c r="Q21" i="72"/>
  <c r="P39" i="64" s="1"/>
  <c r="Q80" i="59"/>
  <c r="Q22" i="70"/>
  <c r="Q22" i="72"/>
  <c r="P39" i="84" s="1"/>
  <c r="P80" i="70"/>
  <c r="P138" i="70" s="1"/>
  <c r="Q267" i="61"/>
  <c r="R49" i="59" s="1"/>
  <c r="R289" i="59" s="1"/>
  <c r="Q267" i="64"/>
  <c r="R50" i="59" s="1"/>
  <c r="R290" i="59" s="1"/>
  <c r="R80" i="72"/>
  <c r="S80" i="72" s="1"/>
  <c r="Q51" i="70"/>
  <c r="Q51" i="72"/>
  <c r="P40" i="84" s="1"/>
  <c r="Q40" i="84" s="1"/>
  <c r="Q49" i="70"/>
  <c r="Q49" i="72"/>
  <c r="Q20" i="70"/>
  <c r="Q78" i="59"/>
  <c r="K21" i="68"/>
  <c r="J23" i="68"/>
  <c r="J25" i="68" s="1"/>
  <c r="Q214" i="64"/>
  <c r="R21" i="59" s="1"/>
  <c r="K21" i="65"/>
  <c r="J23" i="65"/>
  <c r="J25" i="65" s="1"/>
  <c r="K21" i="62"/>
  <c r="J23" i="62"/>
  <c r="J25" i="62" s="1"/>
  <c r="Q214" i="61"/>
  <c r="R20" i="59" s="1"/>
  <c r="R318" i="59" l="1"/>
  <c r="R260" i="59"/>
  <c r="R319" i="59"/>
  <c r="R261" i="59"/>
  <c r="Q26" i="61"/>
  <c r="N46" i="61"/>
  <c r="N50" i="61" s="1"/>
  <c r="P14" i="61"/>
  <c r="P16" i="61" s="1"/>
  <c r="P17" i="61" s="1"/>
  <c r="O43" i="61"/>
  <c r="O44" i="61" s="1"/>
  <c r="O28" i="84"/>
  <c r="O44" i="84"/>
  <c r="Q22" i="61"/>
  <c r="P26" i="84"/>
  <c r="Q26" i="84" s="1"/>
  <c r="Q22" i="84"/>
  <c r="P40" i="61"/>
  <c r="P23" i="84"/>
  <c r="Q23" i="84" s="1"/>
  <c r="P23" i="61"/>
  <c r="Q23" i="61" s="1"/>
  <c r="Q39" i="84"/>
  <c r="O28" i="61"/>
  <c r="P39" i="61"/>
  <c r="P16" i="84"/>
  <c r="Q16" i="84" s="1"/>
  <c r="Q13" i="84"/>
  <c r="P21" i="61"/>
  <c r="Q21" i="61" s="1"/>
  <c r="P20" i="84"/>
  <c r="P20" i="61"/>
  <c r="P7" i="84"/>
  <c r="Q7" i="84" s="1"/>
  <c r="Q6" i="84"/>
  <c r="O47" i="84"/>
  <c r="O50" i="84"/>
  <c r="O51" i="84" s="1"/>
  <c r="Q8" i="84"/>
  <c r="P9" i="84"/>
  <c r="Q9" i="84" s="1"/>
  <c r="R140" i="59"/>
  <c r="R205" i="59" s="1"/>
  <c r="R291" i="59"/>
  <c r="S291" i="59" s="1"/>
  <c r="R320" i="59"/>
  <c r="S320" i="59" s="1"/>
  <c r="R262" i="59"/>
  <c r="S262" i="59" s="1"/>
  <c r="O18" i="64"/>
  <c r="R139" i="59"/>
  <c r="R204" i="59" s="1"/>
  <c r="S290" i="59"/>
  <c r="P26" i="64"/>
  <c r="Q26" i="64" s="1"/>
  <c r="Q22" i="64"/>
  <c r="Q15" i="64"/>
  <c r="R109" i="59"/>
  <c r="S78" i="72"/>
  <c r="R108" i="59"/>
  <c r="S289" i="59"/>
  <c r="R110" i="59"/>
  <c r="R49" i="72"/>
  <c r="S49" i="72" s="1"/>
  <c r="R138" i="59"/>
  <c r="R203" i="59" s="1"/>
  <c r="O46" i="64"/>
  <c r="O47" i="64" s="1"/>
  <c r="Q79" i="70"/>
  <c r="Q137" i="70" s="1"/>
  <c r="S318" i="59"/>
  <c r="S260" i="59"/>
  <c r="P18" i="64"/>
  <c r="Q143" i="72"/>
  <c r="P41" i="84" s="1"/>
  <c r="Q41" i="84" s="1"/>
  <c r="Q142" i="72"/>
  <c r="P41" i="64" s="1"/>
  <c r="P43" i="64" s="1"/>
  <c r="Q141" i="72"/>
  <c r="S79" i="72"/>
  <c r="Q80" i="70"/>
  <c r="Q138" i="70" s="1"/>
  <c r="Q78" i="70"/>
  <c r="Q136" i="70" s="1"/>
  <c r="R21" i="72"/>
  <c r="S21" i="72" s="1"/>
  <c r="R79" i="59"/>
  <c r="S21" i="59"/>
  <c r="R21" i="70"/>
  <c r="R22" i="72"/>
  <c r="S22" i="72" s="1"/>
  <c r="R80" i="59"/>
  <c r="S22" i="59"/>
  <c r="R22" i="70"/>
  <c r="R50" i="72"/>
  <c r="S50" i="72" s="1"/>
  <c r="S50" i="59"/>
  <c r="R50" i="70"/>
  <c r="S50" i="70" s="1"/>
  <c r="R51" i="72"/>
  <c r="S51" i="72" s="1"/>
  <c r="S51" i="59"/>
  <c r="R51" i="70"/>
  <c r="S51" i="70" s="1"/>
  <c r="R20" i="72"/>
  <c r="S20" i="72" s="1"/>
  <c r="S20" i="59"/>
  <c r="R20" i="70"/>
  <c r="R78" i="59"/>
  <c r="S49" i="59"/>
  <c r="R49" i="70"/>
  <c r="S49" i="70" s="1"/>
  <c r="K23" i="68"/>
  <c r="K25" i="68" s="1"/>
  <c r="L21" i="68"/>
  <c r="L21" i="65"/>
  <c r="K23" i="65"/>
  <c r="K25" i="65" s="1"/>
  <c r="L21" i="62"/>
  <c r="K23" i="62"/>
  <c r="K25" i="62" s="1"/>
  <c r="O46" i="61" l="1"/>
  <c r="O47" i="61" s="1"/>
  <c r="N47" i="61"/>
  <c r="Q43" i="84"/>
  <c r="Q44" i="84" s="1"/>
  <c r="P43" i="84"/>
  <c r="P17" i="84"/>
  <c r="P28" i="84"/>
  <c r="Q20" i="84"/>
  <c r="Q28" i="84" s="1"/>
  <c r="P28" i="61"/>
  <c r="Q20" i="61"/>
  <c r="Q28" i="61" s="1"/>
  <c r="P16" i="64"/>
  <c r="P17" i="64" s="1"/>
  <c r="O50" i="64"/>
  <c r="O51" i="64" s="1"/>
  <c r="P41" i="61"/>
  <c r="P43" i="61" s="1"/>
  <c r="P46" i="64"/>
  <c r="P44" i="64"/>
  <c r="S205" i="59"/>
  <c r="S203" i="59"/>
  <c r="S204" i="59"/>
  <c r="R143" i="72"/>
  <c r="S143" i="72" s="1"/>
  <c r="R142" i="72"/>
  <c r="S142" i="72" s="1"/>
  <c r="R141" i="72"/>
  <c r="S141" i="72" s="1"/>
  <c r="R80" i="70"/>
  <c r="R138" i="70" s="1"/>
  <c r="S138" i="70" s="1"/>
  <c r="S22" i="70"/>
  <c r="R79" i="70"/>
  <c r="R137" i="70" s="1"/>
  <c r="S21" i="70"/>
  <c r="R78" i="70"/>
  <c r="R136" i="70" s="1"/>
  <c r="S20" i="70"/>
  <c r="L23" i="68"/>
  <c r="L25" i="68" s="1"/>
  <c r="M21" i="68"/>
  <c r="M21" i="65"/>
  <c r="L23" i="65"/>
  <c r="L25" i="65" s="1"/>
  <c r="M21" i="62"/>
  <c r="L23" i="62"/>
  <c r="L25" i="62" s="1"/>
  <c r="O50" i="61" l="1"/>
  <c r="P44" i="84"/>
  <c r="P46" i="84"/>
  <c r="P50" i="64"/>
  <c r="P51" i="64" s="1"/>
  <c r="P47" i="64"/>
  <c r="P44" i="61"/>
  <c r="P46" i="61"/>
  <c r="M23" i="68"/>
  <c r="M25" i="68" s="1"/>
  <c r="N21" i="68"/>
  <c r="M23" i="65"/>
  <c r="M25" i="65" s="1"/>
  <c r="N21" i="65"/>
  <c r="M23" i="62"/>
  <c r="M25" i="62" s="1"/>
  <c r="N21" i="62"/>
  <c r="Q46" i="84" l="1"/>
  <c r="P50" i="84"/>
  <c r="P51" i="84" s="1"/>
  <c r="P47" i="84"/>
  <c r="P50" i="61"/>
  <c r="P47" i="61"/>
  <c r="O21" i="68"/>
  <c r="N23" i="68"/>
  <c r="N25" i="68" s="1"/>
  <c r="O21" i="65"/>
  <c r="N23" i="65"/>
  <c r="N25" i="65" s="1"/>
  <c r="O21" i="62"/>
  <c r="N23" i="62"/>
  <c r="N25" i="62" s="1"/>
  <c r="Q47" i="84" l="1"/>
  <c r="Q50" i="84"/>
  <c r="Q51" i="84" s="1"/>
  <c r="O23" i="68"/>
  <c r="O25" i="68" s="1"/>
  <c r="P21" i="68"/>
  <c r="O23" i="65"/>
  <c r="O25" i="65" s="1"/>
  <c r="P21" i="65"/>
  <c r="O23" i="62"/>
  <c r="O25" i="62" s="1"/>
  <c r="P21" i="62"/>
  <c r="Q21" i="68" l="1"/>
  <c r="P23" i="68"/>
  <c r="P25" i="68" s="1"/>
  <c r="P23" i="65"/>
  <c r="P25" i="65" s="1"/>
  <c r="Q21" i="65"/>
  <c r="Q21" i="62"/>
  <c r="P23" i="62"/>
  <c r="P25" i="62" s="1"/>
  <c r="R21" i="68" l="1"/>
  <c r="Q23" i="68"/>
  <c r="Q25" i="68" s="1"/>
  <c r="R21" i="65"/>
  <c r="Q23" i="65"/>
  <c r="Q25" i="65" s="1"/>
  <c r="R21" i="62"/>
  <c r="Q23" i="62"/>
  <c r="Q25" i="62" s="1"/>
  <c r="S21" i="68" l="1"/>
  <c r="R23" i="68"/>
  <c r="R25" i="68" s="1"/>
  <c r="S21" i="65"/>
  <c r="R23" i="65"/>
  <c r="R25" i="65" s="1"/>
  <c r="S21" i="62"/>
  <c r="R23" i="62"/>
  <c r="R25" i="62" s="1"/>
  <c r="S23" i="68" l="1"/>
  <c r="S25" i="68" s="1"/>
  <c r="T21" i="68"/>
  <c r="T21" i="65"/>
  <c r="S23" i="65"/>
  <c r="S25" i="65" s="1"/>
  <c r="T21" i="62"/>
  <c r="S23" i="62"/>
  <c r="S25" i="62" s="1"/>
  <c r="U21" i="68" l="1"/>
  <c r="T23" i="68"/>
  <c r="T25" i="68" s="1"/>
  <c r="U21" i="65"/>
  <c r="T23" i="65"/>
  <c r="T25" i="65" s="1"/>
  <c r="U21" i="62"/>
  <c r="T23" i="62"/>
  <c r="T25" i="62" s="1"/>
  <c r="V21" i="68" l="1"/>
  <c r="U23" i="68"/>
  <c r="U25" i="68" s="1"/>
  <c r="U23" i="65"/>
  <c r="U25" i="65" s="1"/>
  <c r="V21" i="65"/>
  <c r="U23" i="62"/>
  <c r="U25" i="62" s="1"/>
  <c r="V21" i="62"/>
  <c r="W21" i="68" l="1"/>
  <c r="V23" i="68"/>
  <c r="V25" i="68" s="1"/>
  <c r="W21" i="65"/>
  <c r="V23" i="65"/>
  <c r="V25" i="65" s="1"/>
  <c r="W21" i="62"/>
  <c r="V23" i="62"/>
  <c r="V25" i="62" s="1"/>
  <c r="W23" i="68" l="1"/>
  <c r="W25" i="68" s="1"/>
  <c r="X21" i="68"/>
  <c r="W23" i="65"/>
  <c r="W25" i="65" s="1"/>
  <c r="X21" i="65"/>
  <c r="W23" i="62"/>
  <c r="W25" i="62" s="1"/>
  <c r="X21" i="62"/>
  <c r="Y21" i="68" l="1"/>
  <c r="X23" i="68"/>
  <c r="X25" i="68" s="1"/>
  <c r="Y21" i="65"/>
  <c r="X23" i="65"/>
  <c r="X25" i="65" s="1"/>
  <c r="Y21" i="62"/>
  <c r="X23" i="62"/>
  <c r="X25" i="62" s="1"/>
  <c r="Z21" i="68" l="1"/>
  <c r="Y23" i="68"/>
  <c r="Y25" i="68" s="1"/>
  <c r="Z21" i="65"/>
  <c r="Y23" i="65"/>
  <c r="Y25" i="65" s="1"/>
  <c r="Z21" i="62"/>
  <c r="Y23" i="62"/>
  <c r="Y25" i="62" s="1"/>
  <c r="AA21" i="68" l="1"/>
  <c r="Z23" i="68"/>
  <c r="Z25" i="68" s="1"/>
  <c r="AA21" i="65"/>
  <c r="Z23" i="65"/>
  <c r="Z25" i="65" s="1"/>
  <c r="AA21" i="62"/>
  <c r="Z23" i="62"/>
  <c r="Z25" i="62" s="1"/>
  <c r="AA23" i="68" l="1"/>
  <c r="AA25" i="68" s="1"/>
  <c r="AB21" i="68"/>
  <c r="AB21" i="65"/>
  <c r="AA23" i="65"/>
  <c r="AA25" i="65" s="1"/>
  <c r="AB21" i="62"/>
  <c r="AA23" i="62"/>
  <c r="AA25" i="62" s="1"/>
  <c r="AB23" i="68" l="1"/>
  <c r="AB25" i="68" s="1"/>
  <c r="AC21" i="68"/>
  <c r="AC21" i="65"/>
  <c r="AB23" i="65"/>
  <c r="AB25" i="65" s="1"/>
  <c r="AC21" i="62"/>
  <c r="AB23" i="62"/>
  <c r="AB25" i="62" s="1"/>
  <c r="AC23" i="68" l="1"/>
  <c r="AC25" i="68" s="1"/>
  <c r="AD21" i="68"/>
  <c r="AC23" i="65"/>
  <c r="AC25" i="65" s="1"/>
  <c r="AD21" i="65"/>
  <c r="AC23" i="62"/>
  <c r="AC25" i="62" s="1"/>
  <c r="AD21" i="62"/>
  <c r="AE21" i="68" l="1"/>
  <c r="AD23" i="68"/>
  <c r="AD25" i="68" s="1"/>
  <c r="AE21" i="65"/>
  <c r="AD23" i="65"/>
  <c r="AD25" i="65" s="1"/>
  <c r="AE21" i="62"/>
  <c r="AD23" i="62"/>
  <c r="AD25" i="62" s="1"/>
  <c r="AE23" i="68" l="1"/>
  <c r="AE25" i="68" s="1"/>
  <c r="AF21" i="68"/>
  <c r="AE23" i="65"/>
  <c r="AE25" i="65" s="1"/>
  <c r="AF21" i="65"/>
  <c r="AE23" i="62"/>
  <c r="AE25" i="62" s="1"/>
  <c r="AF21" i="62"/>
  <c r="AG21" i="68" l="1"/>
  <c r="AF23" i="68"/>
  <c r="AF25" i="68" s="1"/>
  <c r="AG21" i="65"/>
  <c r="AF23" i="65"/>
  <c r="AF25" i="65" s="1"/>
  <c r="AG21" i="62"/>
  <c r="AF23" i="62"/>
  <c r="AF25" i="62" s="1"/>
  <c r="AH21" i="68" l="1"/>
  <c r="AG23" i="68"/>
  <c r="AG25" i="68" s="1"/>
  <c r="AH21" i="65"/>
  <c r="AG23" i="65"/>
  <c r="AG25" i="65" s="1"/>
  <c r="AH21" i="62"/>
  <c r="AG23" i="62"/>
  <c r="AG25" i="62" s="1"/>
  <c r="AI21" i="68" l="1"/>
  <c r="AH23" i="68"/>
  <c r="AH25" i="68" s="1"/>
  <c r="AI21" i="65"/>
  <c r="AH23" i="65"/>
  <c r="AH25" i="65" s="1"/>
  <c r="AI21" i="62"/>
  <c r="AH23" i="62"/>
  <c r="AH25" i="62" s="1"/>
  <c r="AI23" i="68" l="1"/>
  <c r="AI25" i="68" s="1"/>
  <c r="AJ21" i="68"/>
  <c r="AJ21" i="65"/>
  <c r="AI23" i="65"/>
  <c r="AI25" i="65" s="1"/>
  <c r="AJ21" i="62"/>
  <c r="AI23" i="62"/>
  <c r="AI25" i="62" s="1"/>
  <c r="AK21" i="68" l="1"/>
  <c r="AJ23" i="68"/>
  <c r="AJ25" i="68" s="1"/>
  <c r="AK21" i="65"/>
  <c r="AJ23" i="65"/>
  <c r="AJ25" i="65" s="1"/>
  <c r="AK21" i="62"/>
  <c r="AJ23" i="62"/>
  <c r="AJ25" i="62" s="1"/>
  <c r="AL21" i="68" l="1"/>
  <c r="AK23" i="68"/>
  <c r="AK25" i="68" s="1"/>
  <c r="AK23" i="65"/>
  <c r="AK25" i="65" s="1"/>
  <c r="AL21" i="65"/>
  <c r="AK23" i="62"/>
  <c r="AK25" i="62" s="1"/>
  <c r="AL21" i="62"/>
  <c r="AM21" i="68" l="1"/>
  <c r="AL23" i="68"/>
  <c r="AL25" i="68" s="1"/>
  <c r="AM21" i="65"/>
  <c r="AL23" i="65"/>
  <c r="AL25" i="65" s="1"/>
  <c r="AM21" i="62"/>
  <c r="AL23" i="62"/>
  <c r="AL25" i="62" s="1"/>
  <c r="AM23" i="68" l="1"/>
  <c r="AM25" i="68" s="1"/>
  <c r="AN21" i="68"/>
  <c r="AM23" i="65"/>
  <c r="AM25" i="65" s="1"/>
  <c r="AN21" i="65"/>
  <c r="AM23" i="62"/>
  <c r="AM25" i="62" s="1"/>
  <c r="AN21" i="62"/>
  <c r="AO21" i="68" l="1"/>
  <c r="AN23" i="68"/>
  <c r="AN25" i="68" s="1"/>
  <c r="AN23" i="65"/>
  <c r="AN25" i="65" s="1"/>
  <c r="AO21" i="65"/>
  <c r="AN23" i="62"/>
  <c r="AN25" i="62" s="1"/>
  <c r="AO21" i="62"/>
  <c r="AP21" i="68" l="1"/>
  <c r="AO23" i="68"/>
  <c r="AO25" i="68" s="1"/>
  <c r="AP21" i="65"/>
  <c r="AO23" i="65"/>
  <c r="AO25" i="65" s="1"/>
  <c r="AP21" i="62"/>
  <c r="AO23" i="62"/>
  <c r="AO25" i="62" s="1"/>
  <c r="AQ21" i="68" l="1"/>
  <c r="AQ23" i="68" s="1"/>
  <c r="AQ25" i="68" s="1"/>
  <c r="AP23" i="68"/>
  <c r="AP25" i="68" s="1"/>
  <c r="AQ21" i="65"/>
  <c r="AQ23" i="65" s="1"/>
  <c r="AQ25" i="65" s="1"/>
  <c r="AP23" i="65"/>
  <c r="AP25" i="65" s="1"/>
  <c r="AQ21" i="62"/>
  <c r="AQ23" i="62" s="1"/>
  <c r="AQ25" i="62" s="1"/>
  <c r="AP23" i="62"/>
  <c r="AP25" i="62" s="1"/>
  <c r="R267" i="20" l="1"/>
  <c r="G33" i="59"/>
  <c r="G273" i="59" l="1"/>
  <c r="F23" i="1" s="1"/>
  <c r="F28" i="1" s="1"/>
  <c r="F26" i="1"/>
  <c r="F14" i="1"/>
  <c r="F26" i="83"/>
  <c r="F28" i="83" s="1"/>
  <c r="F8" i="83"/>
  <c r="F9" i="83" s="1"/>
  <c r="F14" i="83"/>
  <c r="G62" i="59"/>
  <c r="G122" i="59"/>
  <c r="G187" i="59" s="1"/>
  <c r="F23" i="83"/>
  <c r="Y3" i="71"/>
  <c r="F8" i="1"/>
  <c r="F9" i="1" s="1"/>
  <c r="M183" i="72"/>
  <c r="O183" i="72"/>
  <c r="J183" i="72"/>
  <c r="R183" i="72"/>
  <c r="N183" i="72"/>
  <c r="P183" i="72"/>
  <c r="I183" i="72"/>
  <c r="Q183" i="72"/>
  <c r="K183" i="72"/>
  <c r="L183" i="72"/>
  <c r="H183" i="72"/>
  <c r="G33" i="70"/>
  <c r="G265" i="53"/>
  <c r="G264" i="53"/>
  <c r="G263" i="53"/>
  <c r="G262" i="53"/>
  <c r="G261" i="53"/>
  <c r="G260" i="53"/>
  <c r="G259" i="53"/>
  <c r="G258" i="53"/>
  <c r="G257" i="53"/>
  <c r="G256" i="53"/>
  <c r="G255" i="53"/>
  <c r="G254" i="53"/>
  <c r="G253" i="53"/>
  <c r="G252" i="53"/>
  <c r="G251" i="53"/>
  <c r="G250" i="53"/>
  <c r="G249" i="53"/>
  <c r="G248" i="53"/>
  <c r="G247" i="53"/>
  <c r="G246" i="53"/>
  <c r="G245" i="53"/>
  <c r="G244" i="53"/>
  <c r="G243" i="53"/>
  <c r="G242" i="53"/>
  <c r="G241" i="53"/>
  <c r="G240" i="53"/>
  <c r="G239" i="53"/>
  <c r="G238" i="53"/>
  <c r="G237" i="53"/>
  <c r="G236" i="53"/>
  <c r="G235" i="53"/>
  <c r="G234" i="53"/>
  <c r="G233" i="53"/>
  <c r="G232" i="53"/>
  <c r="G231" i="53"/>
  <c r="G230" i="53"/>
  <c r="G229" i="53"/>
  <c r="G228" i="53"/>
  <c r="G227" i="53"/>
  <c r="G226" i="53"/>
  <c r="G225" i="53"/>
  <c r="G224" i="53"/>
  <c r="G223" i="53"/>
  <c r="G222" i="53"/>
  <c r="G221" i="53"/>
  <c r="G220" i="53"/>
  <c r="G265" i="50"/>
  <c r="G264" i="50"/>
  <c r="G263" i="50"/>
  <c r="G262" i="50"/>
  <c r="G261" i="50"/>
  <c r="G260" i="50"/>
  <c r="G259" i="50"/>
  <c r="G258" i="50"/>
  <c r="G257" i="50"/>
  <c r="G256" i="50"/>
  <c r="G255" i="50"/>
  <c r="G254" i="50"/>
  <c r="G253" i="50"/>
  <c r="G252" i="50"/>
  <c r="G251" i="50"/>
  <c r="G250" i="50"/>
  <c r="G249" i="50"/>
  <c r="G248" i="50"/>
  <c r="G247" i="50"/>
  <c r="G246" i="50"/>
  <c r="G245" i="50"/>
  <c r="G244" i="50"/>
  <c r="G243" i="50"/>
  <c r="G242" i="50"/>
  <c r="G241" i="50"/>
  <c r="G240" i="50"/>
  <c r="G239" i="50"/>
  <c r="G238" i="50"/>
  <c r="G237" i="50"/>
  <c r="G236" i="50"/>
  <c r="G235" i="50"/>
  <c r="G234" i="50"/>
  <c r="G233" i="50"/>
  <c r="G232" i="50"/>
  <c r="G231" i="50"/>
  <c r="G230" i="50"/>
  <c r="G229" i="50"/>
  <c r="G228" i="50"/>
  <c r="G227" i="50"/>
  <c r="G226" i="50"/>
  <c r="G225" i="50"/>
  <c r="G224" i="50"/>
  <c r="G223" i="50"/>
  <c r="G222" i="50"/>
  <c r="G221" i="50"/>
  <c r="G220" i="50"/>
  <c r="G265" i="47"/>
  <c r="G264" i="47"/>
  <c r="G263" i="47"/>
  <c r="G262" i="47"/>
  <c r="G261" i="47"/>
  <c r="G260" i="47"/>
  <c r="G259" i="47"/>
  <c r="G258" i="47"/>
  <c r="G257" i="47"/>
  <c r="G256" i="47"/>
  <c r="G255" i="47"/>
  <c r="G254" i="47"/>
  <c r="G253" i="47"/>
  <c r="G252" i="47"/>
  <c r="G251" i="47"/>
  <c r="G250" i="47"/>
  <c r="G249" i="47"/>
  <c r="G248" i="47"/>
  <c r="G247" i="47"/>
  <c r="G246" i="47"/>
  <c r="G245" i="47"/>
  <c r="G244" i="47"/>
  <c r="G243" i="47"/>
  <c r="G242" i="47"/>
  <c r="G241" i="47"/>
  <c r="G240" i="47"/>
  <c r="G239" i="47"/>
  <c r="G238" i="47"/>
  <c r="G237" i="47"/>
  <c r="G236" i="47"/>
  <c r="G235" i="47"/>
  <c r="G234" i="47"/>
  <c r="G233" i="47"/>
  <c r="G232" i="47"/>
  <c r="G231" i="47"/>
  <c r="G230" i="47"/>
  <c r="G229" i="47"/>
  <c r="G228" i="47"/>
  <c r="G227" i="47"/>
  <c r="G226" i="47"/>
  <c r="G225" i="47"/>
  <c r="G224" i="47"/>
  <c r="G223" i="47"/>
  <c r="G222" i="47"/>
  <c r="G221" i="47"/>
  <c r="G220" i="47"/>
  <c r="G265" i="38"/>
  <c r="G264" i="38"/>
  <c r="G263" i="38"/>
  <c r="G262" i="38"/>
  <c r="G261" i="38"/>
  <c r="G260" i="38"/>
  <c r="G259" i="38"/>
  <c r="G258" i="38"/>
  <c r="G257" i="38"/>
  <c r="G256" i="38"/>
  <c r="G255" i="38"/>
  <c r="G254" i="38"/>
  <c r="G253" i="38"/>
  <c r="G252" i="38"/>
  <c r="G251" i="38"/>
  <c r="G250" i="38"/>
  <c r="G249" i="38"/>
  <c r="G248" i="38"/>
  <c r="G247" i="38"/>
  <c r="G246" i="38"/>
  <c r="G245" i="38"/>
  <c r="G244" i="38"/>
  <c r="G243" i="38"/>
  <c r="G242" i="38"/>
  <c r="G241" i="38"/>
  <c r="G240" i="38"/>
  <c r="G239" i="38"/>
  <c r="G238" i="38"/>
  <c r="G237" i="38"/>
  <c r="G236" i="38"/>
  <c r="G235" i="38"/>
  <c r="G234" i="38"/>
  <c r="G233" i="38"/>
  <c r="G232" i="38"/>
  <c r="G231" i="38"/>
  <c r="G230" i="38"/>
  <c r="G229" i="38"/>
  <c r="G228" i="38"/>
  <c r="G227" i="38"/>
  <c r="G226" i="38"/>
  <c r="G225" i="38"/>
  <c r="G224" i="38"/>
  <c r="G223" i="38"/>
  <c r="G222" i="38"/>
  <c r="G221" i="38"/>
  <c r="G220" i="38"/>
  <c r="G265" i="35"/>
  <c r="G264" i="35"/>
  <c r="G263" i="35"/>
  <c r="G262" i="35"/>
  <c r="G261" i="35"/>
  <c r="G260" i="35"/>
  <c r="G259" i="35"/>
  <c r="G258" i="35"/>
  <c r="G257" i="35"/>
  <c r="G256" i="35"/>
  <c r="G255" i="35"/>
  <c r="G254" i="35"/>
  <c r="G253" i="35"/>
  <c r="G252" i="35"/>
  <c r="G251" i="35"/>
  <c r="G250" i="35"/>
  <c r="G249" i="35"/>
  <c r="G248" i="35"/>
  <c r="G247" i="35"/>
  <c r="G246" i="35"/>
  <c r="G245" i="35"/>
  <c r="G244" i="35"/>
  <c r="G243" i="35"/>
  <c r="G242" i="35"/>
  <c r="G241" i="35"/>
  <c r="G240" i="35"/>
  <c r="G239" i="35"/>
  <c r="G238" i="35"/>
  <c r="G237" i="35"/>
  <c r="G236" i="35"/>
  <c r="G235" i="35"/>
  <c r="G234" i="35"/>
  <c r="G233" i="35"/>
  <c r="G232" i="35"/>
  <c r="G231" i="35"/>
  <c r="G230" i="35"/>
  <c r="G229" i="35"/>
  <c r="G228" i="35"/>
  <c r="G227" i="35"/>
  <c r="G226" i="35"/>
  <c r="G225" i="35"/>
  <c r="G224" i="35"/>
  <c r="G223" i="35"/>
  <c r="G222" i="35"/>
  <c r="G221" i="35"/>
  <c r="G220" i="35"/>
  <c r="G265" i="41"/>
  <c r="G264" i="41"/>
  <c r="G263" i="41"/>
  <c r="G262" i="41"/>
  <c r="G261" i="41"/>
  <c r="G260" i="41"/>
  <c r="G259" i="41"/>
  <c r="G258" i="41"/>
  <c r="G257" i="41"/>
  <c r="G256" i="41"/>
  <c r="G255" i="41"/>
  <c r="G254" i="41"/>
  <c r="G253" i="41"/>
  <c r="G252" i="41"/>
  <c r="G251" i="41"/>
  <c r="G250" i="41"/>
  <c r="G249" i="41"/>
  <c r="G248" i="41"/>
  <c r="G247" i="41"/>
  <c r="G246" i="41"/>
  <c r="G245" i="41"/>
  <c r="G244" i="41"/>
  <c r="G243" i="41"/>
  <c r="G242" i="41"/>
  <c r="G241" i="41"/>
  <c r="G240" i="41"/>
  <c r="G239" i="41"/>
  <c r="G238" i="41"/>
  <c r="G237" i="41"/>
  <c r="G236" i="41"/>
  <c r="G235" i="41"/>
  <c r="G234" i="41"/>
  <c r="G233" i="41"/>
  <c r="G232" i="41"/>
  <c r="G231" i="41"/>
  <c r="G230" i="41"/>
  <c r="G229" i="41"/>
  <c r="G228" i="41"/>
  <c r="G227" i="41"/>
  <c r="G226" i="41"/>
  <c r="G225" i="41"/>
  <c r="G224" i="41"/>
  <c r="G223" i="41"/>
  <c r="G222" i="41"/>
  <c r="G221" i="41"/>
  <c r="G220" i="41"/>
  <c r="G265" i="26"/>
  <c r="G264" i="26"/>
  <c r="G263" i="26"/>
  <c r="G262" i="26"/>
  <c r="G261" i="26"/>
  <c r="G260" i="26"/>
  <c r="G259" i="26"/>
  <c r="G258" i="26"/>
  <c r="G257" i="26"/>
  <c r="G256" i="26"/>
  <c r="G255" i="26"/>
  <c r="G254" i="26"/>
  <c r="G253" i="26"/>
  <c r="G252" i="26"/>
  <c r="G251" i="26"/>
  <c r="G250" i="26"/>
  <c r="G249" i="26"/>
  <c r="G248" i="26"/>
  <c r="G247" i="26"/>
  <c r="G246" i="26"/>
  <c r="G245" i="26"/>
  <c r="G244" i="26"/>
  <c r="G243" i="26"/>
  <c r="G242" i="26"/>
  <c r="G241" i="26"/>
  <c r="G240" i="26"/>
  <c r="G239" i="26"/>
  <c r="G238" i="26"/>
  <c r="G237" i="26"/>
  <c r="G236" i="26"/>
  <c r="G235" i="26"/>
  <c r="G234" i="26"/>
  <c r="G233" i="26"/>
  <c r="G232" i="26"/>
  <c r="G231" i="26"/>
  <c r="G230" i="26"/>
  <c r="G229" i="26"/>
  <c r="G228" i="26"/>
  <c r="G227" i="26"/>
  <c r="G226" i="26"/>
  <c r="G225" i="26"/>
  <c r="G224" i="26"/>
  <c r="G223" i="26"/>
  <c r="G222" i="26"/>
  <c r="G221" i="26"/>
  <c r="G220" i="26"/>
  <c r="G265" i="23"/>
  <c r="G264" i="23"/>
  <c r="G263" i="23"/>
  <c r="G262" i="23"/>
  <c r="G261" i="23"/>
  <c r="G260" i="23"/>
  <c r="G259" i="23"/>
  <c r="G258" i="23"/>
  <c r="G257" i="23"/>
  <c r="G256" i="23"/>
  <c r="G255" i="23"/>
  <c r="G254" i="23"/>
  <c r="G253" i="23"/>
  <c r="G252" i="23"/>
  <c r="G251" i="23"/>
  <c r="G250" i="23"/>
  <c r="G249" i="23"/>
  <c r="G248" i="23"/>
  <c r="G247" i="23"/>
  <c r="G246" i="23"/>
  <c r="G245" i="23"/>
  <c r="G244" i="23"/>
  <c r="G243" i="23"/>
  <c r="G242" i="23"/>
  <c r="G241" i="23"/>
  <c r="G240" i="23"/>
  <c r="G239" i="23"/>
  <c r="G238" i="23"/>
  <c r="G237" i="23"/>
  <c r="G236" i="23"/>
  <c r="G235" i="23"/>
  <c r="G234" i="23"/>
  <c r="G233" i="23"/>
  <c r="G232" i="23"/>
  <c r="G231" i="23"/>
  <c r="G230" i="23"/>
  <c r="G229" i="23"/>
  <c r="G228" i="23"/>
  <c r="G227" i="23"/>
  <c r="G226" i="23"/>
  <c r="G225" i="23"/>
  <c r="G224" i="23"/>
  <c r="G223" i="23"/>
  <c r="G222" i="23"/>
  <c r="G221" i="23"/>
  <c r="G220" i="23"/>
  <c r="G265" i="56"/>
  <c r="G264" i="56"/>
  <c r="G263" i="56"/>
  <c r="G262" i="56"/>
  <c r="G261" i="56"/>
  <c r="G260" i="56"/>
  <c r="G259" i="56"/>
  <c r="G258" i="56"/>
  <c r="G257" i="56"/>
  <c r="G256" i="56"/>
  <c r="G255" i="56"/>
  <c r="G254" i="56"/>
  <c r="G253" i="56"/>
  <c r="G252" i="56"/>
  <c r="G251" i="56"/>
  <c r="G250" i="56"/>
  <c r="G249" i="56"/>
  <c r="G248" i="56"/>
  <c r="G247" i="56"/>
  <c r="G246" i="56"/>
  <c r="G245" i="56"/>
  <c r="G244" i="56"/>
  <c r="G243" i="56"/>
  <c r="G242" i="56"/>
  <c r="G241" i="56"/>
  <c r="G240" i="56"/>
  <c r="G239" i="56"/>
  <c r="G238" i="56"/>
  <c r="G237" i="56"/>
  <c r="G236" i="56"/>
  <c r="G235" i="56"/>
  <c r="G234" i="56"/>
  <c r="G233" i="56"/>
  <c r="G232" i="56"/>
  <c r="G231" i="56"/>
  <c r="G230" i="56"/>
  <c r="G229" i="56"/>
  <c r="G228" i="56"/>
  <c r="G227" i="56"/>
  <c r="G226" i="56"/>
  <c r="G225" i="56"/>
  <c r="G224" i="56"/>
  <c r="G223" i="56"/>
  <c r="G222" i="56"/>
  <c r="G221" i="56"/>
  <c r="G220" i="56"/>
  <c r="G265" i="32"/>
  <c r="G264" i="32"/>
  <c r="G263" i="32"/>
  <c r="G262" i="32"/>
  <c r="G261" i="32"/>
  <c r="G260" i="32"/>
  <c r="G259" i="32"/>
  <c r="G258" i="32"/>
  <c r="G257" i="32"/>
  <c r="G256" i="32"/>
  <c r="G255" i="32"/>
  <c r="G254" i="32"/>
  <c r="G253" i="32"/>
  <c r="G252" i="32"/>
  <c r="G251" i="32"/>
  <c r="G250" i="32"/>
  <c r="G249" i="32"/>
  <c r="G248" i="32"/>
  <c r="G247" i="32"/>
  <c r="G246" i="32"/>
  <c r="G245" i="32"/>
  <c r="G244" i="32"/>
  <c r="G243" i="32"/>
  <c r="G242" i="32"/>
  <c r="G241" i="32"/>
  <c r="G240" i="32"/>
  <c r="G239" i="32"/>
  <c r="G238" i="32"/>
  <c r="G237" i="32"/>
  <c r="G236" i="32"/>
  <c r="G235" i="32"/>
  <c r="G234" i="32"/>
  <c r="G233" i="32"/>
  <c r="G232" i="32"/>
  <c r="G231" i="32"/>
  <c r="G230" i="32"/>
  <c r="G229" i="32"/>
  <c r="G228" i="32"/>
  <c r="G227" i="32"/>
  <c r="G226" i="32"/>
  <c r="G225" i="32"/>
  <c r="G224" i="32"/>
  <c r="G223" i="32"/>
  <c r="G222" i="32"/>
  <c r="G221" i="32"/>
  <c r="G220" i="32"/>
  <c r="G265" i="29"/>
  <c r="G264" i="29"/>
  <c r="G263" i="29"/>
  <c r="G262" i="29"/>
  <c r="G261" i="29"/>
  <c r="G260" i="29"/>
  <c r="G259" i="29"/>
  <c r="G258" i="29"/>
  <c r="G257" i="29"/>
  <c r="G256" i="29"/>
  <c r="G255" i="29"/>
  <c r="G254" i="29"/>
  <c r="G253" i="29"/>
  <c r="G252" i="29"/>
  <c r="G251" i="29"/>
  <c r="G250" i="29"/>
  <c r="G249" i="29"/>
  <c r="G248" i="29"/>
  <c r="G247" i="29"/>
  <c r="G246" i="29"/>
  <c r="G245" i="29"/>
  <c r="G244" i="29"/>
  <c r="G243" i="29"/>
  <c r="G242" i="29"/>
  <c r="G241" i="29"/>
  <c r="G240" i="29"/>
  <c r="G239" i="29"/>
  <c r="G238" i="29"/>
  <c r="G237" i="29"/>
  <c r="G236" i="29"/>
  <c r="G235" i="29"/>
  <c r="G234" i="29"/>
  <c r="G233" i="29"/>
  <c r="G232" i="29"/>
  <c r="G231" i="29"/>
  <c r="G230" i="29"/>
  <c r="G229" i="29"/>
  <c r="G228" i="29"/>
  <c r="G227" i="29"/>
  <c r="G226" i="29"/>
  <c r="G225" i="29"/>
  <c r="G224" i="29"/>
  <c r="G223" i="29"/>
  <c r="G222" i="29"/>
  <c r="G221" i="29"/>
  <c r="G220" i="29"/>
  <c r="Q265" i="20"/>
  <c r="P265" i="20"/>
  <c r="O265" i="20"/>
  <c r="N265" i="20"/>
  <c r="M265" i="20"/>
  <c r="L265" i="20"/>
  <c r="K265" i="20"/>
  <c r="J265" i="20"/>
  <c r="I265" i="20"/>
  <c r="H265" i="20"/>
  <c r="G265" i="20"/>
  <c r="Q264" i="20"/>
  <c r="P264" i="20"/>
  <c r="O264" i="20"/>
  <c r="N264" i="20"/>
  <c r="M264" i="20"/>
  <c r="L264" i="20"/>
  <c r="K264" i="20"/>
  <c r="J264" i="20"/>
  <c r="I264" i="20"/>
  <c r="H264" i="20"/>
  <c r="G264" i="20"/>
  <c r="Q263" i="20"/>
  <c r="P263" i="20"/>
  <c r="O263" i="20"/>
  <c r="N263" i="20"/>
  <c r="M263" i="20"/>
  <c r="L263" i="20"/>
  <c r="K263" i="20"/>
  <c r="J263" i="20"/>
  <c r="I263" i="20"/>
  <c r="H263" i="20"/>
  <c r="G263" i="20"/>
  <c r="Q262" i="20"/>
  <c r="P262" i="20"/>
  <c r="O262" i="20"/>
  <c r="N262" i="20"/>
  <c r="M262" i="20"/>
  <c r="L262" i="20"/>
  <c r="K262" i="20"/>
  <c r="J262" i="20"/>
  <c r="I262" i="20"/>
  <c r="H262" i="20"/>
  <c r="G262" i="20"/>
  <c r="Q261" i="20"/>
  <c r="P261" i="20"/>
  <c r="O261" i="20"/>
  <c r="N261" i="20"/>
  <c r="M261" i="20"/>
  <c r="L261" i="20"/>
  <c r="K261" i="20"/>
  <c r="J261" i="20"/>
  <c r="I261" i="20"/>
  <c r="H261" i="20"/>
  <c r="G261" i="20"/>
  <c r="Q260" i="20"/>
  <c r="P260" i="20"/>
  <c r="O260" i="20"/>
  <c r="N260" i="20"/>
  <c r="M260" i="20"/>
  <c r="L260" i="20"/>
  <c r="K260" i="20"/>
  <c r="J260" i="20"/>
  <c r="I260" i="20"/>
  <c r="H260" i="20"/>
  <c r="G260" i="20"/>
  <c r="Q259" i="20"/>
  <c r="P259" i="20"/>
  <c r="O259" i="20"/>
  <c r="N259" i="20"/>
  <c r="M259" i="20"/>
  <c r="L259" i="20"/>
  <c r="K259" i="20"/>
  <c r="J259" i="20"/>
  <c r="I259" i="20"/>
  <c r="H259" i="20"/>
  <c r="G259" i="20"/>
  <c r="Q258" i="20"/>
  <c r="P258" i="20"/>
  <c r="O258" i="20"/>
  <c r="N258" i="20"/>
  <c r="M258" i="20"/>
  <c r="L258" i="20"/>
  <c r="K258" i="20"/>
  <c r="J258" i="20"/>
  <c r="I258" i="20"/>
  <c r="H258" i="20"/>
  <c r="G258" i="20"/>
  <c r="Q257" i="20"/>
  <c r="P257" i="20"/>
  <c r="O257" i="20"/>
  <c r="N257" i="20"/>
  <c r="M257" i="20"/>
  <c r="L257" i="20"/>
  <c r="K257" i="20"/>
  <c r="J257" i="20"/>
  <c r="I257" i="20"/>
  <c r="H257" i="20"/>
  <c r="G257" i="20"/>
  <c r="Q256" i="20"/>
  <c r="P256" i="20"/>
  <c r="O256" i="20"/>
  <c r="N256" i="20"/>
  <c r="M256" i="20"/>
  <c r="L256" i="20"/>
  <c r="K256" i="20"/>
  <c r="J256" i="20"/>
  <c r="I256" i="20"/>
  <c r="H256" i="20"/>
  <c r="G256" i="20"/>
  <c r="Q255" i="20"/>
  <c r="P255" i="20"/>
  <c r="O255" i="20"/>
  <c r="N255" i="20"/>
  <c r="M255" i="20"/>
  <c r="L255" i="20"/>
  <c r="K255" i="20"/>
  <c r="J255" i="20"/>
  <c r="I255" i="20"/>
  <c r="H255" i="20"/>
  <c r="G255" i="20"/>
  <c r="Q254" i="20"/>
  <c r="P254" i="20"/>
  <c r="O254" i="20"/>
  <c r="N254" i="20"/>
  <c r="M254" i="20"/>
  <c r="L254" i="20"/>
  <c r="K254" i="20"/>
  <c r="J254" i="20"/>
  <c r="I254" i="20"/>
  <c r="H254" i="20"/>
  <c r="G254" i="20"/>
  <c r="Q253" i="20"/>
  <c r="P253" i="20"/>
  <c r="O253" i="20"/>
  <c r="N253" i="20"/>
  <c r="M253" i="20"/>
  <c r="L253" i="20"/>
  <c r="K253" i="20"/>
  <c r="J253" i="20"/>
  <c r="I253" i="20"/>
  <c r="H253" i="20"/>
  <c r="G253" i="20"/>
  <c r="Q252" i="20"/>
  <c r="P252" i="20"/>
  <c r="O252" i="20"/>
  <c r="N252" i="20"/>
  <c r="M252" i="20"/>
  <c r="L252" i="20"/>
  <c r="K252" i="20"/>
  <c r="J252" i="20"/>
  <c r="I252" i="20"/>
  <c r="H252" i="20"/>
  <c r="G252" i="20"/>
  <c r="Q251" i="20"/>
  <c r="P251" i="20"/>
  <c r="O251" i="20"/>
  <c r="N251" i="20"/>
  <c r="M251" i="20"/>
  <c r="L251" i="20"/>
  <c r="K251" i="20"/>
  <c r="J251" i="20"/>
  <c r="I251" i="20"/>
  <c r="H251" i="20"/>
  <c r="G251" i="20"/>
  <c r="Q250" i="20"/>
  <c r="P250" i="20"/>
  <c r="O250" i="20"/>
  <c r="N250" i="20"/>
  <c r="M250" i="20"/>
  <c r="L250" i="20"/>
  <c r="K250" i="20"/>
  <c r="J250" i="20"/>
  <c r="I250" i="20"/>
  <c r="H250" i="20"/>
  <c r="G250" i="20"/>
  <c r="Q249" i="20"/>
  <c r="P249" i="20"/>
  <c r="O249" i="20"/>
  <c r="N249" i="20"/>
  <c r="M249" i="20"/>
  <c r="L249" i="20"/>
  <c r="K249" i="20"/>
  <c r="J249" i="20"/>
  <c r="I249" i="20"/>
  <c r="H249" i="20"/>
  <c r="G249" i="20"/>
  <c r="Q248" i="20"/>
  <c r="P248" i="20"/>
  <c r="O248" i="20"/>
  <c r="N248" i="20"/>
  <c r="M248" i="20"/>
  <c r="L248" i="20"/>
  <c r="K248" i="20"/>
  <c r="J248" i="20"/>
  <c r="I248" i="20"/>
  <c r="H248" i="20"/>
  <c r="G248" i="20"/>
  <c r="Q247" i="20"/>
  <c r="P247" i="20"/>
  <c r="O247" i="20"/>
  <c r="N247" i="20"/>
  <c r="M247" i="20"/>
  <c r="L247" i="20"/>
  <c r="K247" i="20"/>
  <c r="J247" i="20"/>
  <c r="I247" i="20"/>
  <c r="H247" i="20"/>
  <c r="G247" i="20"/>
  <c r="Q246" i="20"/>
  <c r="P246" i="20"/>
  <c r="O246" i="20"/>
  <c r="N246" i="20"/>
  <c r="M246" i="20"/>
  <c r="L246" i="20"/>
  <c r="K246" i="20"/>
  <c r="J246" i="20"/>
  <c r="I246" i="20"/>
  <c r="H246" i="20"/>
  <c r="G246" i="20"/>
  <c r="Q245" i="20"/>
  <c r="P245" i="20"/>
  <c r="O245" i="20"/>
  <c r="N245" i="20"/>
  <c r="M245" i="20"/>
  <c r="L245" i="20"/>
  <c r="K245" i="20"/>
  <c r="J245" i="20"/>
  <c r="I245" i="20"/>
  <c r="H245" i="20"/>
  <c r="G245" i="20"/>
  <c r="Q244" i="20"/>
  <c r="P244" i="20"/>
  <c r="O244" i="20"/>
  <c r="N244" i="20"/>
  <c r="M244" i="20"/>
  <c r="L244" i="20"/>
  <c r="K244" i="20"/>
  <c r="J244" i="20"/>
  <c r="I244" i="20"/>
  <c r="H244" i="20"/>
  <c r="G244" i="20"/>
  <c r="Q243" i="20"/>
  <c r="P243" i="20"/>
  <c r="O243" i="20"/>
  <c r="N243" i="20"/>
  <c r="M243" i="20"/>
  <c r="L243" i="20"/>
  <c r="K243" i="20"/>
  <c r="J243" i="20"/>
  <c r="I243" i="20"/>
  <c r="H243" i="20"/>
  <c r="G243" i="20"/>
  <c r="Q242" i="20"/>
  <c r="P242" i="20"/>
  <c r="O242" i="20"/>
  <c r="N242" i="20"/>
  <c r="M242" i="20"/>
  <c r="L242" i="20"/>
  <c r="K242" i="20"/>
  <c r="J242" i="20"/>
  <c r="I242" i="20"/>
  <c r="H242" i="20"/>
  <c r="G242" i="20"/>
  <c r="Q241" i="20"/>
  <c r="P241" i="20"/>
  <c r="O241" i="20"/>
  <c r="N241" i="20"/>
  <c r="M241" i="20"/>
  <c r="L241" i="20"/>
  <c r="K241" i="20"/>
  <c r="J241" i="20"/>
  <c r="I241" i="20"/>
  <c r="H241" i="20"/>
  <c r="G241" i="20"/>
  <c r="Q240" i="20"/>
  <c r="P240" i="20"/>
  <c r="O240" i="20"/>
  <c r="N240" i="20"/>
  <c r="M240" i="20"/>
  <c r="L240" i="20"/>
  <c r="K240" i="20"/>
  <c r="J240" i="20"/>
  <c r="I240" i="20"/>
  <c r="H240" i="20"/>
  <c r="G240" i="20"/>
  <c r="Q239" i="20"/>
  <c r="P239" i="20"/>
  <c r="O239" i="20"/>
  <c r="N239" i="20"/>
  <c r="M239" i="20"/>
  <c r="L239" i="20"/>
  <c r="K239" i="20"/>
  <c r="J239" i="20"/>
  <c r="I239" i="20"/>
  <c r="H239" i="20"/>
  <c r="G239" i="20"/>
  <c r="Q238" i="20"/>
  <c r="P238" i="20"/>
  <c r="O238" i="20"/>
  <c r="N238" i="20"/>
  <c r="M238" i="20"/>
  <c r="L238" i="20"/>
  <c r="K238" i="20"/>
  <c r="J238" i="20"/>
  <c r="I238" i="20"/>
  <c r="H238" i="20"/>
  <c r="G238" i="20"/>
  <c r="Q237" i="20"/>
  <c r="P237" i="20"/>
  <c r="O237" i="20"/>
  <c r="N237" i="20"/>
  <c r="M237" i="20"/>
  <c r="L237" i="20"/>
  <c r="K237" i="20"/>
  <c r="J237" i="20"/>
  <c r="I237" i="20"/>
  <c r="H237" i="20"/>
  <c r="G237" i="20"/>
  <c r="Q236" i="20"/>
  <c r="P236" i="20"/>
  <c r="O236" i="20"/>
  <c r="N236" i="20"/>
  <c r="M236" i="20"/>
  <c r="L236" i="20"/>
  <c r="K236" i="20"/>
  <c r="J236" i="20"/>
  <c r="I236" i="20"/>
  <c r="H236" i="20"/>
  <c r="G236" i="20"/>
  <c r="Q235" i="20"/>
  <c r="P235" i="20"/>
  <c r="O235" i="20"/>
  <c r="N235" i="20"/>
  <c r="M235" i="20"/>
  <c r="L235" i="20"/>
  <c r="K235" i="20"/>
  <c r="J235" i="20"/>
  <c r="I235" i="20"/>
  <c r="H235" i="20"/>
  <c r="G235" i="20"/>
  <c r="Q234" i="20"/>
  <c r="P234" i="20"/>
  <c r="O234" i="20"/>
  <c r="N234" i="20"/>
  <c r="M234" i="20"/>
  <c r="L234" i="20"/>
  <c r="K234" i="20"/>
  <c r="J234" i="20"/>
  <c r="I234" i="20"/>
  <c r="H234" i="20"/>
  <c r="G234" i="20"/>
  <c r="Q233" i="20"/>
  <c r="P233" i="20"/>
  <c r="O233" i="20"/>
  <c r="N233" i="20"/>
  <c r="M233" i="20"/>
  <c r="L233" i="20"/>
  <c r="K233" i="20"/>
  <c r="J233" i="20"/>
  <c r="I233" i="20"/>
  <c r="H233" i="20"/>
  <c r="G233" i="20"/>
  <c r="Q232" i="20"/>
  <c r="P232" i="20"/>
  <c r="O232" i="20"/>
  <c r="N232" i="20"/>
  <c r="M232" i="20"/>
  <c r="L232" i="20"/>
  <c r="K232" i="20"/>
  <c r="J232" i="20"/>
  <c r="I232" i="20"/>
  <c r="H232" i="20"/>
  <c r="G232" i="20"/>
  <c r="Q231" i="20"/>
  <c r="P231" i="20"/>
  <c r="O231" i="20"/>
  <c r="N231" i="20"/>
  <c r="M231" i="20"/>
  <c r="L231" i="20"/>
  <c r="K231" i="20"/>
  <c r="J231" i="20"/>
  <c r="I231" i="20"/>
  <c r="H231" i="20"/>
  <c r="G231" i="20"/>
  <c r="Q230" i="20"/>
  <c r="P230" i="20"/>
  <c r="O230" i="20"/>
  <c r="N230" i="20"/>
  <c r="M230" i="20"/>
  <c r="L230" i="20"/>
  <c r="K230" i="20"/>
  <c r="J230" i="20"/>
  <c r="I230" i="20"/>
  <c r="H230" i="20"/>
  <c r="G230" i="20"/>
  <c r="Q229" i="20"/>
  <c r="P229" i="20"/>
  <c r="O229" i="20"/>
  <c r="N229" i="20"/>
  <c r="M229" i="20"/>
  <c r="L229" i="20"/>
  <c r="K229" i="20"/>
  <c r="J229" i="20"/>
  <c r="I229" i="20"/>
  <c r="H229" i="20"/>
  <c r="G229" i="20"/>
  <c r="Q228" i="20"/>
  <c r="P228" i="20"/>
  <c r="O228" i="20"/>
  <c r="N228" i="20"/>
  <c r="M228" i="20"/>
  <c r="L228" i="20"/>
  <c r="K228" i="20"/>
  <c r="J228" i="20"/>
  <c r="I228" i="20"/>
  <c r="H228" i="20"/>
  <c r="G228" i="20"/>
  <c r="Q227" i="20"/>
  <c r="P227" i="20"/>
  <c r="O227" i="20"/>
  <c r="N227" i="20"/>
  <c r="M227" i="20"/>
  <c r="L227" i="20"/>
  <c r="K227" i="20"/>
  <c r="J227" i="20"/>
  <c r="I227" i="20"/>
  <c r="H227" i="20"/>
  <c r="G227" i="20"/>
  <c r="Q226" i="20"/>
  <c r="P226" i="20"/>
  <c r="O226" i="20"/>
  <c r="N226" i="20"/>
  <c r="M226" i="20"/>
  <c r="L226" i="20"/>
  <c r="K226" i="20"/>
  <c r="J226" i="20"/>
  <c r="I226" i="20"/>
  <c r="H226" i="20"/>
  <c r="G226" i="20"/>
  <c r="Q225" i="20"/>
  <c r="P225" i="20"/>
  <c r="O225" i="20"/>
  <c r="N225" i="20"/>
  <c r="M225" i="20"/>
  <c r="L225" i="20"/>
  <c r="K225" i="20"/>
  <c r="J225" i="20"/>
  <c r="I225" i="20"/>
  <c r="H225" i="20"/>
  <c r="G225" i="20"/>
  <c r="Q224" i="20"/>
  <c r="P224" i="20"/>
  <c r="O224" i="20"/>
  <c r="N224" i="20"/>
  <c r="M224" i="20"/>
  <c r="L224" i="20"/>
  <c r="K224" i="20"/>
  <c r="J224" i="20"/>
  <c r="I224" i="20"/>
  <c r="H224" i="20"/>
  <c r="G224" i="20"/>
  <c r="Q223" i="20"/>
  <c r="P223" i="20"/>
  <c r="O223" i="20"/>
  <c r="N223" i="20"/>
  <c r="M223" i="20"/>
  <c r="L223" i="20"/>
  <c r="K223" i="20"/>
  <c r="J223" i="20"/>
  <c r="I223" i="20"/>
  <c r="H223" i="20"/>
  <c r="G223" i="20"/>
  <c r="Q222" i="20"/>
  <c r="P222" i="20"/>
  <c r="O222" i="20"/>
  <c r="N222" i="20"/>
  <c r="M222" i="20"/>
  <c r="L222" i="20"/>
  <c r="K222" i="20"/>
  <c r="J222" i="20"/>
  <c r="I222" i="20"/>
  <c r="H222" i="20"/>
  <c r="G222" i="20"/>
  <c r="Q221" i="20"/>
  <c r="P221" i="20"/>
  <c r="O221" i="20"/>
  <c r="N221" i="20"/>
  <c r="M221" i="20"/>
  <c r="L221" i="20"/>
  <c r="K221" i="20"/>
  <c r="J221" i="20"/>
  <c r="I221" i="20"/>
  <c r="H221" i="20"/>
  <c r="G221" i="20"/>
  <c r="Q220" i="20"/>
  <c r="P220" i="20"/>
  <c r="O220" i="20"/>
  <c r="N220" i="20"/>
  <c r="M220" i="20"/>
  <c r="L220" i="20"/>
  <c r="K220" i="20"/>
  <c r="J220" i="20"/>
  <c r="I220" i="20"/>
  <c r="H220" i="20"/>
  <c r="G220" i="20"/>
  <c r="G265" i="17"/>
  <c r="G264" i="17"/>
  <c r="G263" i="17"/>
  <c r="G262" i="17"/>
  <c r="G261" i="17"/>
  <c r="G260" i="17"/>
  <c r="G259" i="17"/>
  <c r="G258" i="17"/>
  <c r="G257" i="17"/>
  <c r="G256" i="17"/>
  <c r="G255" i="17"/>
  <c r="G254" i="17"/>
  <c r="G253" i="17"/>
  <c r="G252" i="17"/>
  <c r="G251" i="17"/>
  <c r="G250" i="17"/>
  <c r="G249" i="17"/>
  <c r="G248" i="17"/>
  <c r="G247" i="17"/>
  <c r="G246" i="17"/>
  <c r="G245" i="17"/>
  <c r="G244" i="17"/>
  <c r="G243" i="17"/>
  <c r="G242" i="17"/>
  <c r="G241" i="17"/>
  <c r="G240" i="17"/>
  <c r="G239" i="17"/>
  <c r="G238" i="17"/>
  <c r="G237" i="17"/>
  <c r="G236" i="17"/>
  <c r="G235" i="17"/>
  <c r="G234" i="17"/>
  <c r="G233" i="17"/>
  <c r="G232" i="17"/>
  <c r="G231" i="17"/>
  <c r="G230" i="17"/>
  <c r="G229" i="17"/>
  <c r="G228" i="17"/>
  <c r="G227" i="17"/>
  <c r="G226" i="17"/>
  <c r="G225" i="17"/>
  <c r="G224" i="17"/>
  <c r="G223" i="17"/>
  <c r="G222" i="17"/>
  <c r="G221" i="17"/>
  <c r="G220" i="17"/>
  <c r="G265" i="14"/>
  <c r="G264" i="14"/>
  <c r="G263" i="14"/>
  <c r="G262" i="14"/>
  <c r="G261" i="14"/>
  <c r="G260" i="14"/>
  <c r="G259" i="14"/>
  <c r="G258" i="14"/>
  <c r="G257" i="14"/>
  <c r="G256" i="14"/>
  <c r="G255" i="14"/>
  <c r="G254" i="14"/>
  <c r="G253" i="14"/>
  <c r="G252" i="14"/>
  <c r="G251" i="14"/>
  <c r="G250" i="14"/>
  <c r="G249" i="14"/>
  <c r="G248" i="14"/>
  <c r="G247" i="14"/>
  <c r="G246" i="14"/>
  <c r="G245" i="14"/>
  <c r="G244" i="14"/>
  <c r="G243" i="14"/>
  <c r="G242" i="14"/>
  <c r="G241" i="14"/>
  <c r="G240" i="14"/>
  <c r="G239" i="14"/>
  <c r="G238" i="14"/>
  <c r="G237" i="14"/>
  <c r="G236" i="14"/>
  <c r="G235" i="14"/>
  <c r="G234" i="14"/>
  <c r="G233" i="14"/>
  <c r="G232" i="14"/>
  <c r="G231" i="14"/>
  <c r="G230" i="14"/>
  <c r="G229" i="14"/>
  <c r="G228" i="14"/>
  <c r="G227" i="14"/>
  <c r="G226" i="14"/>
  <c r="G225" i="14"/>
  <c r="G224" i="14"/>
  <c r="G223" i="14"/>
  <c r="G222" i="14"/>
  <c r="G221" i="14"/>
  <c r="G220" i="14"/>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65" i="8"/>
  <c r="G264" i="8"/>
  <c r="G263" i="8"/>
  <c r="G262" i="8"/>
  <c r="G261" i="8"/>
  <c r="G260" i="8"/>
  <c r="G259" i="8"/>
  <c r="G258" i="8"/>
  <c r="G257" i="8"/>
  <c r="G256" i="8"/>
  <c r="G255" i="8"/>
  <c r="G254" i="8"/>
  <c r="G253" i="8"/>
  <c r="G252" i="8"/>
  <c r="G251" i="8"/>
  <c r="G250" i="8"/>
  <c r="G249" i="8"/>
  <c r="G248" i="8"/>
  <c r="G247" i="8"/>
  <c r="G246" i="8"/>
  <c r="G245" i="8"/>
  <c r="G244" i="8"/>
  <c r="G243" i="8"/>
  <c r="G242" i="8"/>
  <c r="G241" i="8"/>
  <c r="G240" i="8"/>
  <c r="G239" i="8"/>
  <c r="G238" i="8"/>
  <c r="G237" i="8"/>
  <c r="G236" i="8"/>
  <c r="G235" i="8"/>
  <c r="G234" i="8"/>
  <c r="G233" i="8"/>
  <c r="G232" i="8"/>
  <c r="G231" i="8"/>
  <c r="G230" i="8"/>
  <c r="G229" i="8"/>
  <c r="G228" i="8"/>
  <c r="G227" i="8"/>
  <c r="G226" i="8"/>
  <c r="G225" i="8"/>
  <c r="G224" i="8"/>
  <c r="G223" i="8"/>
  <c r="G222" i="8"/>
  <c r="G221" i="8"/>
  <c r="G220" i="8"/>
  <c r="G265" i="44"/>
  <c r="G264" i="44"/>
  <c r="G263" i="44"/>
  <c r="G262" i="44"/>
  <c r="G261" i="44"/>
  <c r="G260" i="44"/>
  <c r="G259" i="44"/>
  <c r="G258" i="44"/>
  <c r="G257" i="44"/>
  <c r="G256" i="44"/>
  <c r="G255" i="44"/>
  <c r="G254" i="44"/>
  <c r="G253" i="44"/>
  <c r="G252" i="44"/>
  <c r="G251" i="44"/>
  <c r="G250" i="44"/>
  <c r="G249" i="44"/>
  <c r="G248" i="44"/>
  <c r="G247" i="44"/>
  <c r="G246" i="44"/>
  <c r="G245" i="44"/>
  <c r="G244" i="44"/>
  <c r="G243" i="44"/>
  <c r="G242" i="44"/>
  <c r="G241" i="44"/>
  <c r="G240" i="44"/>
  <c r="G239" i="44"/>
  <c r="G238" i="44"/>
  <c r="G237" i="44"/>
  <c r="G236" i="44"/>
  <c r="G235" i="44"/>
  <c r="G234" i="44"/>
  <c r="G233" i="44"/>
  <c r="G232" i="44"/>
  <c r="G231" i="44"/>
  <c r="G230" i="44"/>
  <c r="G229" i="44"/>
  <c r="G228" i="44"/>
  <c r="G227" i="44"/>
  <c r="G226" i="44"/>
  <c r="G225" i="44"/>
  <c r="G224" i="44"/>
  <c r="G223" i="44"/>
  <c r="G222" i="44"/>
  <c r="G221" i="44"/>
  <c r="G220" i="44"/>
  <c r="G55" i="59"/>
  <c r="G54" i="59"/>
  <c r="G53" i="59"/>
  <c r="G52" i="59"/>
  <c r="G47" i="59"/>
  <c r="G45" i="59"/>
  <c r="G44" i="59"/>
  <c r="G43" i="59"/>
  <c r="G42" i="59"/>
  <c r="G282" i="59" s="1"/>
  <c r="G41" i="59"/>
  <c r="G40" i="59"/>
  <c r="G39" i="59"/>
  <c r="G38" i="59"/>
  <c r="G37" i="59"/>
  <c r="G36" i="59"/>
  <c r="G35" i="59"/>
  <c r="G34" i="59"/>
  <c r="G221" i="1"/>
  <c r="H221" i="1"/>
  <c r="G222" i="1"/>
  <c r="H222" i="1"/>
  <c r="G223" i="1"/>
  <c r="H223" i="1"/>
  <c r="G224" i="1"/>
  <c r="H224" i="1"/>
  <c r="G225" i="1"/>
  <c r="H225" i="1"/>
  <c r="G226" i="1"/>
  <c r="H226" i="1"/>
  <c r="G227" i="1"/>
  <c r="H227" i="1"/>
  <c r="G228" i="1"/>
  <c r="H228" i="1"/>
  <c r="G229" i="1"/>
  <c r="H229" i="1"/>
  <c r="G230" i="1"/>
  <c r="H230" i="1"/>
  <c r="G231" i="1"/>
  <c r="H231" i="1"/>
  <c r="G232" i="1"/>
  <c r="H232" i="1"/>
  <c r="G233" i="1"/>
  <c r="H233" i="1"/>
  <c r="G234" i="1"/>
  <c r="H234" i="1"/>
  <c r="G235" i="1"/>
  <c r="H235" i="1"/>
  <c r="G236" i="1"/>
  <c r="H236" i="1"/>
  <c r="G237" i="1"/>
  <c r="H237" i="1"/>
  <c r="G238" i="1"/>
  <c r="H238" i="1"/>
  <c r="G239" i="1"/>
  <c r="H239" i="1"/>
  <c r="G240" i="1"/>
  <c r="H240" i="1"/>
  <c r="G241" i="1"/>
  <c r="H241" i="1"/>
  <c r="G242" i="1"/>
  <c r="H242" i="1"/>
  <c r="G243" i="1"/>
  <c r="H243" i="1"/>
  <c r="G244" i="1"/>
  <c r="H244" i="1"/>
  <c r="G245" i="1"/>
  <c r="H245" i="1"/>
  <c r="G246" i="1"/>
  <c r="H246" i="1"/>
  <c r="G247" i="1"/>
  <c r="H247" i="1"/>
  <c r="G248" i="1"/>
  <c r="H248" i="1"/>
  <c r="G249" i="1"/>
  <c r="H249" i="1"/>
  <c r="G250" i="1"/>
  <c r="H250" i="1"/>
  <c r="G251" i="1"/>
  <c r="H251" i="1"/>
  <c r="G252" i="1"/>
  <c r="H252" i="1"/>
  <c r="G253" i="1"/>
  <c r="H253" i="1"/>
  <c r="G254" i="1"/>
  <c r="H254" i="1"/>
  <c r="G255" i="1"/>
  <c r="H255" i="1"/>
  <c r="G256" i="1"/>
  <c r="H256" i="1"/>
  <c r="G257" i="1"/>
  <c r="H257" i="1"/>
  <c r="G258" i="1"/>
  <c r="H258" i="1"/>
  <c r="G259" i="1"/>
  <c r="H259" i="1"/>
  <c r="G260" i="1"/>
  <c r="H260" i="1"/>
  <c r="G261" i="1"/>
  <c r="H261" i="1"/>
  <c r="G262" i="1"/>
  <c r="H262" i="1"/>
  <c r="G263" i="1"/>
  <c r="H263" i="1"/>
  <c r="G264" i="1"/>
  <c r="H264" i="1"/>
  <c r="G265" i="1"/>
  <c r="H265" i="1"/>
  <c r="H220" i="1"/>
  <c r="G220" i="1"/>
  <c r="G7" i="59"/>
  <c r="G6" i="59"/>
  <c r="G5" i="59"/>
  <c r="G209" i="53"/>
  <c r="G208" i="53"/>
  <c r="G207" i="53"/>
  <c r="G206" i="53"/>
  <c r="G205" i="53"/>
  <c r="G204" i="53"/>
  <c r="G203" i="53"/>
  <c r="G202" i="53"/>
  <c r="G201" i="53"/>
  <c r="G200" i="53"/>
  <c r="G199" i="53"/>
  <c r="G198" i="53"/>
  <c r="G197" i="53"/>
  <c r="G196" i="53"/>
  <c r="G195" i="53"/>
  <c r="G194" i="53"/>
  <c r="G193" i="53"/>
  <c r="G192" i="53"/>
  <c r="G191" i="53"/>
  <c r="G190" i="53"/>
  <c r="G189" i="53"/>
  <c r="G188" i="53"/>
  <c r="G187" i="53"/>
  <c r="G186" i="53"/>
  <c r="G185" i="53"/>
  <c r="G184" i="53"/>
  <c r="G183" i="53"/>
  <c r="G182" i="53"/>
  <c r="G181" i="53"/>
  <c r="G180" i="53"/>
  <c r="G179" i="53"/>
  <c r="G178" i="53"/>
  <c r="G177" i="53"/>
  <c r="G176" i="53"/>
  <c r="G175" i="53"/>
  <c r="G174" i="53"/>
  <c r="G173" i="53"/>
  <c r="G172" i="53"/>
  <c r="G171" i="53"/>
  <c r="G170" i="53"/>
  <c r="G169" i="53"/>
  <c r="G168" i="53"/>
  <c r="G167" i="53"/>
  <c r="G209" i="50"/>
  <c r="G208" i="50"/>
  <c r="G207" i="50"/>
  <c r="G206" i="50"/>
  <c r="G205" i="50"/>
  <c r="G204" i="50"/>
  <c r="G203" i="50"/>
  <c r="G202" i="50"/>
  <c r="G201" i="50"/>
  <c r="G200" i="50"/>
  <c r="G199" i="50"/>
  <c r="G198" i="50"/>
  <c r="G197" i="50"/>
  <c r="G196" i="50"/>
  <c r="G195" i="50"/>
  <c r="G194" i="50"/>
  <c r="G193" i="50"/>
  <c r="G192" i="50"/>
  <c r="G191" i="50"/>
  <c r="G190" i="50"/>
  <c r="G189" i="50"/>
  <c r="G188" i="50"/>
  <c r="G187" i="50"/>
  <c r="G186" i="50"/>
  <c r="G185" i="50"/>
  <c r="G184" i="50"/>
  <c r="G183" i="50"/>
  <c r="G182" i="50"/>
  <c r="G181" i="50"/>
  <c r="G180" i="50"/>
  <c r="G179" i="50"/>
  <c r="G178" i="50"/>
  <c r="G177" i="50"/>
  <c r="G176" i="50"/>
  <c r="G175" i="50"/>
  <c r="G174" i="50"/>
  <c r="G173" i="50"/>
  <c r="G172" i="50"/>
  <c r="G171" i="50"/>
  <c r="G170" i="50"/>
  <c r="G169" i="50"/>
  <c r="G168" i="50"/>
  <c r="G167" i="50"/>
  <c r="G209" i="47"/>
  <c r="G208" i="47"/>
  <c r="G207" i="47"/>
  <c r="G206" i="47"/>
  <c r="G205" i="47"/>
  <c r="G204" i="47"/>
  <c r="G203" i="47"/>
  <c r="G202" i="47"/>
  <c r="G201" i="47"/>
  <c r="G200" i="47"/>
  <c r="G199" i="47"/>
  <c r="G198" i="47"/>
  <c r="G197" i="47"/>
  <c r="G196" i="47"/>
  <c r="G195" i="47"/>
  <c r="G194" i="47"/>
  <c r="G193" i="47"/>
  <c r="G192" i="47"/>
  <c r="G191" i="47"/>
  <c r="G190" i="47"/>
  <c r="G189" i="47"/>
  <c r="G188" i="47"/>
  <c r="G187" i="47"/>
  <c r="G186" i="47"/>
  <c r="G185" i="47"/>
  <c r="G184" i="47"/>
  <c r="G183" i="47"/>
  <c r="G182" i="47"/>
  <c r="G181" i="47"/>
  <c r="G180" i="47"/>
  <c r="G179" i="47"/>
  <c r="G178" i="47"/>
  <c r="G177" i="47"/>
  <c r="G176" i="47"/>
  <c r="G175" i="47"/>
  <c r="G174" i="47"/>
  <c r="G173" i="47"/>
  <c r="G172" i="47"/>
  <c r="G171" i="47"/>
  <c r="G170" i="47"/>
  <c r="G169" i="47"/>
  <c r="G168" i="47"/>
  <c r="G167" i="47"/>
  <c r="G209" i="38"/>
  <c r="G208" i="38"/>
  <c r="G207" i="38"/>
  <c r="G206" i="38"/>
  <c r="G205" i="38"/>
  <c r="G204" i="38"/>
  <c r="G203" i="38"/>
  <c r="G202" i="38"/>
  <c r="G201" i="38"/>
  <c r="G200" i="38"/>
  <c r="G199" i="38"/>
  <c r="G198" i="38"/>
  <c r="G197" i="38"/>
  <c r="G196" i="38"/>
  <c r="G195" i="38"/>
  <c r="G194" i="38"/>
  <c r="G193" i="38"/>
  <c r="G192" i="38"/>
  <c r="G191" i="38"/>
  <c r="G190" i="38"/>
  <c r="G189" i="38"/>
  <c r="G188" i="38"/>
  <c r="G187" i="38"/>
  <c r="G186" i="38"/>
  <c r="G185" i="38"/>
  <c r="G184" i="38"/>
  <c r="G183" i="38"/>
  <c r="G182" i="38"/>
  <c r="G181" i="38"/>
  <c r="G180" i="38"/>
  <c r="G179" i="38"/>
  <c r="G178" i="38"/>
  <c r="G177" i="38"/>
  <c r="G176" i="38"/>
  <c r="G175" i="38"/>
  <c r="G174" i="38"/>
  <c r="G173" i="38"/>
  <c r="G172" i="38"/>
  <c r="G171" i="38"/>
  <c r="G170" i="38"/>
  <c r="G169" i="38"/>
  <c r="G168" i="38"/>
  <c r="G167" i="38"/>
  <c r="G209" i="35"/>
  <c r="G208" i="35"/>
  <c r="G207" i="35"/>
  <c r="G206" i="35"/>
  <c r="G205" i="35"/>
  <c r="G204" i="35"/>
  <c r="G203" i="35"/>
  <c r="G202" i="35"/>
  <c r="G201" i="35"/>
  <c r="G200" i="35"/>
  <c r="G199" i="35"/>
  <c r="G198" i="35"/>
  <c r="G197" i="35"/>
  <c r="G196" i="35"/>
  <c r="G195" i="35"/>
  <c r="G194" i="35"/>
  <c r="G193" i="35"/>
  <c r="G192" i="35"/>
  <c r="G191" i="35"/>
  <c r="G190" i="35"/>
  <c r="G189" i="35"/>
  <c r="G188" i="35"/>
  <c r="G187" i="35"/>
  <c r="G186" i="35"/>
  <c r="G185" i="35"/>
  <c r="G184" i="35"/>
  <c r="G183" i="35"/>
  <c r="G182" i="35"/>
  <c r="G181" i="35"/>
  <c r="G180" i="35"/>
  <c r="G179" i="35"/>
  <c r="G178" i="35"/>
  <c r="G177" i="35"/>
  <c r="G176" i="35"/>
  <c r="G175" i="35"/>
  <c r="G174" i="35"/>
  <c r="G173" i="35"/>
  <c r="G172" i="35"/>
  <c r="G171" i="35"/>
  <c r="G170" i="35"/>
  <c r="G169" i="35"/>
  <c r="G168" i="35"/>
  <c r="G167" i="35"/>
  <c r="G214" i="35" s="1"/>
  <c r="G209" i="41"/>
  <c r="G208" i="41"/>
  <c r="G207" i="41"/>
  <c r="G206" i="41"/>
  <c r="G205" i="41"/>
  <c r="G204" i="41"/>
  <c r="G203" i="41"/>
  <c r="G202" i="41"/>
  <c r="G201" i="41"/>
  <c r="G200" i="41"/>
  <c r="G199" i="41"/>
  <c r="G198" i="41"/>
  <c r="G197" i="41"/>
  <c r="G196" i="41"/>
  <c r="G195" i="41"/>
  <c r="G194" i="41"/>
  <c r="G193" i="41"/>
  <c r="G192" i="41"/>
  <c r="G191" i="41"/>
  <c r="G190" i="41"/>
  <c r="G189" i="41"/>
  <c r="G188" i="41"/>
  <c r="G187" i="41"/>
  <c r="G186" i="41"/>
  <c r="G185" i="41"/>
  <c r="G184" i="41"/>
  <c r="G183" i="41"/>
  <c r="G182" i="41"/>
  <c r="G181" i="41"/>
  <c r="G180" i="41"/>
  <c r="G179" i="41"/>
  <c r="G178" i="41"/>
  <c r="G177" i="41"/>
  <c r="G176" i="41"/>
  <c r="G175" i="41"/>
  <c r="G174" i="41"/>
  <c r="G173" i="41"/>
  <c r="G172" i="41"/>
  <c r="G171" i="41"/>
  <c r="G170" i="41"/>
  <c r="G169" i="41"/>
  <c r="G168" i="41"/>
  <c r="G167" i="41"/>
  <c r="G209" i="26"/>
  <c r="G208" i="26"/>
  <c r="G207" i="26"/>
  <c r="G206" i="26"/>
  <c r="G205" i="26"/>
  <c r="G204" i="26"/>
  <c r="G203" i="26"/>
  <c r="G202" i="26"/>
  <c r="G201" i="26"/>
  <c r="G200" i="26"/>
  <c r="G199" i="26"/>
  <c r="G198" i="26"/>
  <c r="G197" i="26"/>
  <c r="G196" i="26"/>
  <c r="G195" i="26"/>
  <c r="G194" i="26"/>
  <c r="G193" i="26"/>
  <c r="G192" i="26"/>
  <c r="G191" i="26"/>
  <c r="G190" i="26"/>
  <c r="G189" i="26"/>
  <c r="G188" i="26"/>
  <c r="G187" i="26"/>
  <c r="G186" i="26"/>
  <c r="G185" i="26"/>
  <c r="G184" i="26"/>
  <c r="G183" i="26"/>
  <c r="G182" i="26"/>
  <c r="G181" i="26"/>
  <c r="G180" i="26"/>
  <c r="G179" i="26"/>
  <c r="G178" i="26"/>
  <c r="G177" i="26"/>
  <c r="G176" i="26"/>
  <c r="G175" i="26"/>
  <c r="G174" i="26"/>
  <c r="G173" i="26"/>
  <c r="G172" i="26"/>
  <c r="G171" i="26"/>
  <c r="G170" i="26"/>
  <c r="G169" i="26"/>
  <c r="G168" i="26"/>
  <c r="G167" i="26"/>
  <c r="G209" i="23"/>
  <c r="G208" i="23"/>
  <c r="G207" i="23"/>
  <c r="G206" i="23"/>
  <c r="G205" i="23"/>
  <c r="G204" i="23"/>
  <c r="G203" i="23"/>
  <c r="G202" i="23"/>
  <c r="G201" i="23"/>
  <c r="G200" i="23"/>
  <c r="G199" i="23"/>
  <c r="G198" i="23"/>
  <c r="G197" i="23"/>
  <c r="G196" i="23"/>
  <c r="G195" i="23"/>
  <c r="G194" i="23"/>
  <c r="G193" i="23"/>
  <c r="G192" i="23"/>
  <c r="G191" i="23"/>
  <c r="G190" i="23"/>
  <c r="G189" i="23"/>
  <c r="G188" i="23"/>
  <c r="G187" i="23"/>
  <c r="G186" i="23"/>
  <c r="G185" i="23"/>
  <c r="G184" i="23"/>
  <c r="G183" i="23"/>
  <c r="G182" i="23"/>
  <c r="G181" i="23"/>
  <c r="G180" i="23"/>
  <c r="G179" i="23"/>
  <c r="G178" i="23"/>
  <c r="G177" i="23"/>
  <c r="G176" i="23"/>
  <c r="G175" i="23"/>
  <c r="G174" i="23"/>
  <c r="G173" i="23"/>
  <c r="G172" i="23"/>
  <c r="G171" i="23"/>
  <c r="G170" i="23"/>
  <c r="G169" i="23"/>
  <c r="G168" i="23"/>
  <c r="G167" i="23"/>
  <c r="H209" i="56"/>
  <c r="G209" i="56"/>
  <c r="G208" i="56"/>
  <c r="G207" i="56"/>
  <c r="G206" i="56"/>
  <c r="G205" i="56"/>
  <c r="G204" i="56"/>
  <c r="G203" i="56"/>
  <c r="G202" i="56"/>
  <c r="H201" i="56"/>
  <c r="G201" i="56"/>
  <c r="G200" i="56"/>
  <c r="G199" i="56"/>
  <c r="G198" i="56"/>
  <c r="G197" i="56"/>
  <c r="G196" i="56"/>
  <c r="G195" i="56"/>
  <c r="G194" i="56"/>
  <c r="G193" i="56"/>
  <c r="G192" i="56"/>
  <c r="G191" i="56"/>
  <c r="G190" i="56"/>
  <c r="G189" i="56"/>
  <c r="G188" i="56"/>
  <c r="G187" i="56"/>
  <c r="G186" i="56"/>
  <c r="G185" i="56"/>
  <c r="G184" i="56"/>
  <c r="G183" i="56"/>
  <c r="G182" i="56"/>
  <c r="G181" i="56"/>
  <c r="G180" i="56"/>
  <c r="G179" i="56"/>
  <c r="G178" i="56"/>
  <c r="H177" i="56"/>
  <c r="G177" i="56"/>
  <c r="G176" i="56"/>
  <c r="G175" i="56"/>
  <c r="G174" i="56"/>
  <c r="G173" i="56"/>
  <c r="G172" i="56"/>
  <c r="G171" i="56"/>
  <c r="G170" i="56"/>
  <c r="H169" i="56"/>
  <c r="G169" i="56"/>
  <c r="G168" i="56"/>
  <c r="G167" i="56"/>
  <c r="G209" i="32"/>
  <c r="G208" i="32"/>
  <c r="G207" i="32"/>
  <c r="G206" i="32"/>
  <c r="G205" i="32"/>
  <c r="G204" i="32"/>
  <c r="G203" i="32"/>
  <c r="G202" i="32"/>
  <c r="G201" i="32"/>
  <c r="G200" i="32"/>
  <c r="G199" i="32"/>
  <c r="G198" i="32"/>
  <c r="G197" i="32"/>
  <c r="G196" i="32"/>
  <c r="G195" i="32"/>
  <c r="G194" i="32"/>
  <c r="G193" i="32"/>
  <c r="G192" i="32"/>
  <c r="G191" i="32"/>
  <c r="G190" i="32"/>
  <c r="G189" i="32"/>
  <c r="G188" i="32"/>
  <c r="G187" i="32"/>
  <c r="G186" i="32"/>
  <c r="G185" i="32"/>
  <c r="G184" i="32"/>
  <c r="G183" i="32"/>
  <c r="G182" i="32"/>
  <c r="G181" i="32"/>
  <c r="G180" i="32"/>
  <c r="G179" i="32"/>
  <c r="G178" i="32"/>
  <c r="G177" i="32"/>
  <c r="G176" i="32"/>
  <c r="G175" i="32"/>
  <c r="G174" i="32"/>
  <c r="G173" i="32"/>
  <c r="G172" i="32"/>
  <c r="G171" i="32"/>
  <c r="G170" i="32"/>
  <c r="G169" i="32"/>
  <c r="G168" i="32"/>
  <c r="G167" i="32"/>
  <c r="G209" i="29"/>
  <c r="G208" i="29"/>
  <c r="G207" i="29"/>
  <c r="G206" i="29"/>
  <c r="G205" i="29"/>
  <c r="G204" i="29"/>
  <c r="G203" i="29"/>
  <c r="G202" i="29"/>
  <c r="G201" i="29"/>
  <c r="G200" i="29"/>
  <c r="G199" i="29"/>
  <c r="G198" i="29"/>
  <c r="G197" i="29"/>
  <c r="G196" i="29"/>
  <c r="G195" i="29"/>
  <c r="G194" i="29"/>
  <c r="G193" i="29"/>
  <c r="G192" i="29"/>
  <c r="G191" i="29"/>
  <c r="G190" i="29"/>
  <c r="G189" i="29"/>
  <c r="G188" i="29"/>
  <c r="G187" i="29"/>
  <c r="G186" i="29"/>
  <c r="G185" i="29"/>
  <c r="G184" i="29"/>
  <c r="G183" i="29"/>
  <c r="G182" i="29"/>
  <c r="G181" i="29"/>
  <c r="G180" i="29"/>
  <c r="G179" i="29"/>
  <c r="G178" i="29"/>
  <c r="G177" i="29"/>
  <c r="G176" i="29"/>
  <c r="G175" i="29"/>
  <c r="G174" i="29"/>
  <c r="G173" i="29"/>
  <c r="G172" i="29"/>
  <c r="G171" i="29"/>
  <c r="G170" i="29"/>
  <c r="G169" i="29"/>
  <c r="G168" i="29"/>
  <c r="G167" i="29"/>
  <c r="Q209" i="20"/>
  <c r="P209" i="20"/>
  <c r="O209" i="20"/>
  <c r="N209" i="20"/>
  <c r="M209" i="20"/>
  <c r="L209" i="20"/>
  <c r="K209" i="20"/>
  <c r="J209" i="20"/>
  <c r="I209" i="20"/>
  <c r="H209" i="20"/>
  <c r="G209" i="20"/>
  <c r="Q208" i="20"/>
  <c r="P208" i="20"/>
  <c r="O208" i="20"/>
  <c r="N208" i="20"/>
  <c r="M208" i="20"/>
  <c r="L208" i="20"/>
  <c r="K208" i="20"/>
  <c r="J208" i="20"/>
  <c r="I208" i="20"/>
  <c r="H208" i="20"/>
  <c r="G208" i="20"/>
  <c r="Q207" i="20"/>
  <c r="P207" i="20"/>
  <c r="O207" i="20"/>
  <c r="N207" i="20"/>
  <c r="M207" i="20"/>
  <c r="L207" i="20"/>
  <c r="K207" i="20"/>
  <c r="J207" i="20"/>
  <c r="I207" i="20"/>
  <c r="H207" i="20"/>
  <c r="G207" i="20"/>
  <c r="Q206" i="20"/>
  <c r="P206" i="20"/>
  <c r="O206" i="20"/>
  <c r="N206" i="20"/>
  <c r="M206" i="20"/>
  <c r="L206" i="20"/>
  <c r="K206" i="20"/>
  <c r="J206" i="20"/>
  <c r="I206" i="20"/>
  <c r="H206" i="20"/>
  <c r="G206" i="20"/>
  <c r="Q205" i="20"/>
  <c r="P205" i="20"/>
  <c r="O205" i="20"/>
  <c r="N205" i="20"/>
  <c r="M205" i="20"/>
  <c r="L205" i="20"/>
  <c r="K205" i="20"/>
  <c r="J205" i="20"/>
  <c r="I205" i="20"/>
  <c r="H205" i="20"/>
  <c r="G205" i="20"/>
  <c r="Q204" i="20"/>
  <c r="P204" i="20"/>
  <c r="O204" i="20"/>
  <c r="N204" i="20"/>
  <c r="M204" i="20"/>
  <c r="L204" i="20"/>
  <c r="K204" i="20"/>
  <c r="J204" i="20"/>
  <c r="I204" i="20"/>
  <c r="H204" i="20"/>
  <c r="G204" i="20"/>
  <c r="Q203" i="20"/>
  <c r="P203" i="20"/>
  <c r="O203" i="20"/>
  <c r="N203" i="20"/>
  <c r="M203" i="20"/>
  <c r="L203" i="20"/>
  <c r="K203" i="20"/>
  <c r="J203" i="20"/>
  <c r="I203" i="20"/>
  <c r="H203" i="20"/>
  <c r="G203" i="20"/>
  <c r="Q202" i="20"/>
  <c r="P202" i="20"/>
  <c r="O202" i="20"/>
  <c r="N202" i="20"/>
  <c r="M202" i="20"/>
  <c r="L202" i="20"/>
  <c r="K202" i="20"/>
  <c r="J202" i="20"/>
  <c r="I202" i="20"/>
  <c r="H202" i="20"/>
  <c r="G202" i="20"/>
  <c r="Q201" i="20"/>
  <c r="P201" i="20"/>
  <c r="O201" i="20"/>
  <c r="N201" i="20"/>
  <c r="M201" i="20"/>
  <c r="L201" i="20"/>
  <c r="K201" i="20"/>
  <c r="J201" i="20"/>
  <c r="I201" i="20"/>
  <c r="H201" i="20"/>
  <c r="G201" i="20"/>
  <c r="Q200" i="20"/>
  <c r="P200" i="20"/>
  <c r="O200" i="20"/>
  <c r="N200" i="20"/>
  <c r="M200" i="20"/>
  <c r="L200" i="20"/>
  <c r="K200" i="20"/>
  <c r="J200" i="20"/>
  <c r="I200" i="20"/>
  <c r="H200" i="20"/>
  <c r="G200" i="20"/>
  <c r="Q199" i="20"/>
  <c r="P199" i="20"/>
  <c r="O199" i="20"/>
  <c r="N199" i="20"/>
  <c r="M199" i="20"/>
  <c r="L199" i="20"/>
  <c r="K199" i="20"/>
  <c r="J199" i="20"/>
  <c r="I199" i="20"/>
  <c r="H199" i="20"/>
  <c r="G199" i="20"/>
  <c r="Q198" i="20"/>
  <c r="P198" i="20"/>
  <c r="O198" i="20"/>
  <c r="N198" i="20"/>
  <c r="M198" i="20"/>
  <c r="L198" i="20"/>
  <c r="K198" i="20"/>
  <c r="J198" i="20"/>
  <c r="I198" i="20"/>
  <c r="H198" i="20"/>
  <c r="G198" i="20"/>
  <c r="Q197" i="20"/>
  <c r="P197" i="20"/>
  <c r="O197" i="20"/>
  <c r="N197" i="20"/>
  <c r="M197" i="20"/>
  <c r="L197" i="20"/>
  <c r="K197" i="20"/>
  <c r="J197" i="20"/>
  <c r="I197" i="20"/>
  <c r="H197" i="20"/>
  <c r="G197" i="20"/>
  <c r="Q196" i="20"/>
  <c r="P196" i="20"/>
  <c r="O196" i="20"/>
  <c r="N196" i="20"/>
  <c r="M196" i="20"/>
  <c r="L196" i="20"/>
  <c r="K196" i="20"/>
  <c r="J196" i="20"/>
  <c r="I196" i="20"/>
  <c r="H196" i="20"/>
  <c r="G196" i="20"/>
  <c r="Q195" i="20"/>
  <c r="P195" i="20"/>
  <c r="O195" i="20"/>
  <c r="N195" i="20"/>
  <c r="M195" i="20"/>
  <c r="L195" i="20"/>
  <c r="K195" i="20"/>
  <c r="J195" i="20"/>
  <c r="I195" i="20"/>
  <c r="H195" i="20"/>
  <c r="G195" i="20"/>
  <c r="Q194" i="20"/>
  <c r="P194" i="20"/>
  <c r="O194" i="20"/>
  <c r="N194" i="20"/>
  <c r="M194" i="20"/>
  <c r="L194" i="20"/>
  <c r="K194" i="20"/>
  <c r="J194" i="20"/>
  <c r="I194" i="20"/>
  <c r="H194" i="20"/>
  <c r="G194" i="20"/>
  <c r="Q193" i="20"/>
  <c r="P193" i="20"/>
  <c r="O193" i="20"/>
  <c r="N193" i="20"/>
  <c r="M193" i="20"/>
  <c r="L193" i="20"/>
  <c r="K193" i="20"/>
  <c r="J193" i="20"/>
  <c r="I193" i="20"/>
  <c r="H193" i="20"/>
  <c r="G193" i="20"/>
  <c r="Q192" i="20"/>
  <c r="P192" i="20"/>
  <c r="O192" i="20"/>
  <c r="N192" i="20"/>
  <c r="M192" i="20"/>
  <c r="L192" i="20"/>
  <c r="K192" i="20"/>
  <c r="J192" i="20"/>
  <c r="I192" i="20"/>
  <c r="H192" i="20"/>
  <c r="G192" i="20"/>
  <c r="Q191" i="20"/>
  <c r="P191" i="20"/>
  <c r="O191" i="20"/>
  <c r="N191" i="20"/>
  <c r="M191" i="20"/>
  <c r="L191" i="20"/>
  <c r="K191" i="20"/>
  <c r="J191" i="20"/>
  <c r="I191" i="20"/>
  <c r="H191" i="20"/>
  <c r="G191" i="20"/>
  <c r="Q190" i="20"/>
  <c r="P190" i="20"/>
  <c r="O190" i="20"/>
  <c r="N190" i="20"/>
  <c r="M190" i="20"/>
  <c r="L190" i="20"/>
  <c r="K190" i="20"/>
  <c r="J190" i="20"/>
  <c r="I190" i="20"/>
  <c r="H190" i="20"/>
  <c r="G190" i="20"/>
  <c r="Q189" i="20"/>
  <c r="P189" i="20"/>
  <c r="O189" i="20"/>
  <c r="N189" i="20"/>
  <c r="M189" i="20"/>
  <c r="L189" i="20"/>
  <c r="K189" i="20"/>
  <c r="J189" i="20"/>
  <c r="I189" i="20"/>
  <c r="H189" i="20"/>
  <c r="G189" i="20"/>
  <c r="Q188" i="20"/>
  <c r="P188" i="20"/>
  <c r="O188" i="20"/>
  <c r="N188" i="20"/>
  <c r="M188" i="20"/>
  <c r="L188" i="20"/>
  <c r="K188" i="20"/>
  <c r="J188" i="20"/>
  <c r="I188" i="20"/>
  <c r="H188" i="20"/>
  <c r="G188" i="20"/>
  <c r="Q187" i="20"/>
  <c r="P187" i="20"/>
  <c r="O187" i="20"/>
  <c r="N187" i="20"/>
  <c r="M187" i="20"/>
  <c r="L187" i="20"/>
  <c r="K187" i="20"/>
  <c r="J187" i="20"/>
  <c r="I187" i="20"/>
  <c r="H187" i="20"/>
  <c r="G187" i="20"/>
  <c r="Q186" i="20"/>
  <c r="P186" i="20"/>
  <c r="O186" i="20"/>
  <c r="N186" i="20"/>
  <c r="M186" i="20"/>
  <c r="L186" i="20"/>
  <c r="K186" i="20"/>
  <c r="J186" i="20"/>
  <c r="I186" i="20"/>
  <c r="H186" i="20"/>
  <c r="G186" i="20"/>
  <c r="Q185" i="20"/>
  <c r="P185" i="20"/>
  <c r="O185" i="20"/>
  <c r="N185" i="20"/>
  <c r="M185" i="20"/>
  <c r="L185" i="20"/>
  <c r="K185" i="20"/>
  <c r="J185" i="20"/>
  <c r="I185" i="20"/>
  <c r="H185" i="20"/>
  <c r="G185" i="20"/>
  <c r="Q184" i="20"/>
  <c r="P184" i="20"/>
  <c r="O184" i="20"/>
  <c r="N184" i="20"/>
  <c r="M184" i="20"/>
  <c r="L184" i="20"/>
  <c r="K184" i="20"/>
  <c r="J184" i="20"/>
  <c r="I184" i="20"/>
  <c r="H184" i="20"/>
  <c r="G184" i="20"/>
  <c r="Q183" i="20"/>
  <c r="P183" i="20"/>
  <c r="O183" i="20"/>
  <c r="N183" i="20"/>
  <c r="M183" i="20"/>
  <c r="L183" i="20"/>
  <c r="K183" i="20"/>
  <c r="J183" i="20"/>
  <c r="I183" i="20"/>
  <c r="H183" i="20"/>
  <c r="G183" i="20"/>
  <c r="Q182" i="20"/>
  <c r="P182" i="20"/>
  <c r="O182" i="20"/>
  <c r="N182" i="20"/>
  <c r="M182" i="20"/>
  <c r="L182" i="20"/>
  <c r="K182" i="20"/>
  <c r="J182" i="20"/>
  <c r="I182" i="20"/>
  <c r="H182" i="20"/>
  <c r="G182" i="20"/>
  <c r="Q181" i="20"/>
  <c r="P181" i="20"/>
  <c r="O181" i="20"/>
  <c r="N181" i="20"/>
  <c r="M181" i="20"/>
  <c r="L181" i="20"/>
  <c r="K181" i="20"/>
  <c r="J181" i="20"/>
  <c r="I181" i="20"/>
  <c r="H181" i="20"/>
  <c r="G181" i="20"/>
  <c r="Q180" i="20"/>
  <c r="P180" i="20"/>
  <c r="O180" i="20"/>
  <c r="N180" i="20"/>
  <c r="M180" i="20"/>
  <c r="L180" i="20"/>
  <c r="K180" i="20"/>
  <c r="J180" i="20"/>
  <c r="I180" i="20"/>
  <c r="H180" i="20"/>
  <c r="G180" i="20"/>
  <c r="Q179" i="20"/>
  <c r="P179" i="20"/>
  <c r="O179" i="20"/>
  <c r="N179" i="20"/>
  <c r="M179" i="20"/>
  <c r="L179" i="20"/>
  <c r="K179" i="20"/>
  <c r="J179" i="20"/>
  <c r="I179" i="20"/>
  <c r="H179" i="20"/>
  <c r="G179" i="20"/>
  <c r="Q178" i="20"/>
  <c r="P178" i="20"/>
  <c r="O178" i="20"/>
  <c r="N178" i="20"/>
  <c r="M178" i="20"/>
  <c r="L178" i="20"/>
  <c r="K178" i="20"/>
  <c r="J178" i="20"/>
  <c r="I178" i="20"/>
  <c r="H178" i="20"/>
  <c r="G178" i="20"/>
  <c r="Q177" i="20"/>
  <c r="P177" i="20"/>
  <c r="O177" i="20"/>
  <c r="N177" i="20"/>
  <c r="M177" i="20"/>
  <c r="L177" i="20"/>
  <c r="K177" i="20"/>
  <c r="J177" i="20"/>
  <c r="I177" i="20"/>
  <c r="H177" i="20"/>
  <c r="G177" i="20"/>
  <c r="Q176" i="20"/>
  <c r="P176" i="20"/>
  <c r="O176" i="20"/>
  <c r="N176" i="20"/>
  <c r="M176" i="20"/>
  <c r="L176" i="20"/>
  <c r="K176" i="20"/>
  <c r="J176" i="20"/>
  <c r="I176" i="20"/>
  <c r="H176" i="20"/>
  <c r="G176" i="20"/>
  <c r="Q175" i="20"/>
  <c r="P175" i="20"/>
  <c r="O175" i="20"/>
  <c r="N175" i="20"/>
  <c r="M175" i="20"/>
  <c r="L175" i="20"/>
  <c r="K175" i="20"/>
  <c r="J175" i="20"/>
  <c r="I175" i="20"/>
  <c r="H175" i="20"/>
  <c r="G175" i="20"/>
  <c r="Q174" i="20"/>
  <c r="P174" i="20"/>
  <c r="O174" i="20"/>
  <c r="N174" i="20"/>
  <c r="M174" i="20"/>
  <c r="L174" i="20"/>
  <c r="K174" i="20"/>
  <c r="J174" i="20"/>
  <c r="I174" i="20"/>
  <c r="H174" i="20"/>
  <c r="G174" i="20"/>
  <c r="Q173" i="20"/>
  <c r="P173" i="20"/>
  <c r="O173" i="20"/>
  <c r="N173" i="20"/>
  <c r="M173" i="20"/>
  <c r="L173" i="20"/>
  <c r="K173" i="20"/>
  <c r="J173" i="20"/>
  <c r="I173" i="20"/>
  <c r="H173" i="20"/>
  <c r="G173" i="20"/>
  <c r="Q172" i="20"/>
  <c r="P172" i="20"/>
  <c r="O172" i="20"/>
  <c r="N172" i="20"/>
  <c r="M172" i="20"/>
  <c r="L172" i="20"/>
  <c r="K172" i="20"/>
  <c r="J172" i="20"/>
  <c r="I172" i="20"/>
  <c r="H172" i="20"/>
  <c r="G172" i="20"/>
  <c r="Q171" i="20"/>
  <c r="P171" i="20"/>
  <c r="O171" i="20"/>
  <c r="N171" i="20"/>
  <c r="M171" i="20"/>
  <c r="L171" i="20"/>
  <c r="K171" i="20"/>
  <c r="J171" i="20"/>
  <c r="I171" i="20"/>
  <c r="H171" i="20"/>
  <c r="G171" i="20"/>
  <c r="Q170" i="20"/>
  <c r="P170" i="20"/>
  <c r="O170" i="20"/>
  <c r="N170" i="20"/>
  <c r="M170" i="20"/>
  <c r="L170" i="20"/>
  <c r="K170" i="20"/>
  <c r="J170" i="20"/>
  <c r="I170" i="20"/>
  <c r="H170" i="20"/>
  <c r="G170" i="20"/>
  <c r="Q169" i="20"/>
  <c r="P169" i="20"/>
  <c r="O169" i="20"/>
  <c r="N169" i="20"/>
  <c r="M169" i="20"/>
  <c r="L169" i="20"/>
  <c r="K169" i="20"/>
  <c r="J169" i="20"/>
  <c r="I169" i="20"/>
  <c r="H169" i="20"/>
  <c r="G169" i="20"/>
  <c r="Q168" i="20"/>
  <c r="P168" i="20"/>
  <c r="O168" i="20"/>
  <c r="N168" i="20"/>
  <c r="M168" i="20"/>
  <c r="L168" i="20"/>
  <c r="K168" i="20"/>
  <c r="J168" i="20"/>
  <c r="I168" i="20"/>
  <c r="H168" i="20"/>
  <c r="G168" i="20"/>
  <c r="Q167" i="20"/>
  <c r="P167" i="20"/>
  <c r="O167" i="20"/>
  <c r="N167" i="20"/>
  <c r="M167" i="20"/>
  <c r="L167" i="20"/>
  <c r="K167" i="20"/>
  <c r="J167" i="20"/>
  <c r="I167" i="20"/>
  <c r="H167" i="20"/>
  <c r="G167" i="20"/>
  <c r="G209" i="17"/>
  <c r="G208" i="17"/>
  <c r="G207" i="17"/>
  <c r="G206" i="17"/>
  <c r="G205" i="17"/>
  <c r="G204" i="17"/>
  <c r="G203" i="17"/>
  <c r="G202" i="17"/>
  <c r="G201" i="17"/>
  <c r="G200" i="17"/>
  <c r="G199" i="17"/>
  <c r="G198" i="17"/>
  <c r="G197" i="17"/>
  <c r="G196" i="17"/>
  <c r="G195" i="17"/>
  <c r="G194" i="17"/>
  <c r="G193" i="17"/>
  <c r="G192" i="17"/>
  <c r="G191" i="17"/>
  <c r="G190" i="17"/>
  <c r="G189" i="17"/>
  <c r="G188" i="17"/>
  <c r="G187" i="17"/>
  <c r="G186" i="17"/>
  <c r="G185" i="17"/>
  <c r="G184" i="17"/>
  <c r="G183" i="17"/>
  <c r="G182" i="17"/>
  <c r="G181" i="17"/>
  <c r="G180" i="17"/>
  <c r="G179" i="17"/>
  <c r="G178" i="17"/>
  <c r="G177" i="17"/>
  <c r="G176" i="17"/>
  <c r="G175" i="17"/>
  <c r="G174" i="17"/>
  <c r="G173" i="17"/>
  <c r="G172" i="17"/>
  <c r="G171" i="17"/>
  <c r="G170" i="17"/>
  <c r="G169" i="17"/>
  <c r="G168" i="17"/>
  <c r="G167" i="17"/>
  <c r="G209" i="14"/>
  <c r="G208" i="14"/>
  <c r="G207" i="14"/>
  <c r="G206" i="14"/>
  <c r="G205" i="14"/>
  <c r="G204" i="14"/>
  <c r="G203" i="14"/>
  <c r="G202" i="14"/>
  <c r="G201" i="14"/>
  <c r="G200" i="14"/>
  <c r="G199" i="14"/>
  <c r="G198"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G173" i="14"/>
  <c r="G172" i="14"/>
  <c r="G171" i="14"/>
  <c r="G170" i="14"/>
  <c r="G169" i="14"/>
  <c r="G168" i="14"/>
  <c r="G167" i="14"/>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H167" i="5"/>
  <c r="I167" i="5" s="1"/>
  <c r="J167" i="5" s="1"/>
  <c r="K167" i="5" s="1"/>
  <c r="L167" i="5" s="1"/>
  <c r="M167" i="5" s="1"/>
  <c r="N167" i="5" s="1"/>
  <c r="O167" i="5" s="1"/>
  <c r="P167" i="5" s="1"/>
  <c r="Q167" i="5" s="1"/>
  <c r="G209" i="8"/>
  <c r="G208" i="8"/>
  <c r="G207" i="8"/>
  <c r="G206" i="8"/>
  <c r="G205" i="8"/>
  <c r="G204" i="8"/>
  <c r="G203" i="8"/>
  <c r="G202" i="8"/>
  <c r="G201" i="8"/>
  <c r="G200" i="8"/>
  <c r="G199" i="8"/>
  <c r="G198" i="8"/>
  <c r="G197" i="8"/>
  <c r="G196" i="8"/>
  <c r="G195" i="8"/>
  <c r="G194" i="8"/>
  <c r="G193" i="8"/>
  <c r="G192" i="8"/>
  <c r="G191" i="8"/>
  <c r="G190" i="8"/>
  <c r="G189" i="8"/>
  <c r="G188" i="8"/>
  <c r="G187" i="8"/>
  <c r="G186" i="8"/>
  <c r="G185" i="8"/>
  <c r="G184" i="8"/>
  <c r="G183" i="8"/>
  <c r="G182" i="8"/>
  <c r="G181" i="8"/>
  <c r="G180" i="8"/>
  <c r="G179" i="8"/>
  <c r="G178" i="8"/>
  <c r="G177" i="8"/>
  <c r="G176" i="8"/>
  <c r="G175" i="8"/>
  <c r="G174" i="8"/>
  <c r="G173" i="8"/>
  <c r="G172" i="8"/>
  <c r="G171" i="8"/>
  <c r="G170" i="8"/>
  <c r="G169" i="8"/>
  <c r="G168" i="8"/>
  <c r="G167" i="8"/>
  <c r="G209" i="44"/>
  <c r="G208" i="44"/>
  <c r="G207" i="44"/>
  <c r="G206" i="44"/>
  <c r="G205" i="44"/>
  <c r="G204" i="44"/>
  <c r="G203" i="44"/>
  <c r="G202" i="44"/>
  <c r="G201" i="44"/>
  <c r="G200" i="44"/>
  <c r="G199" i="44"/>
  <c r="G198" i="44"/>
  <c r="G197" i="44"/>
  <c r="G196" i="44"/>
  <c r="G195" i="44"/>
  <c r="G194" i="44"/>
  <c r="G193" i="44"/>
  <c r="G192" i="44"/>
  <c r="G191" i="44"/>
  <c r="G190" i="44"/>
  <c r="G189" i="44"/>
  <c r="G188" i="44"/>
  <c r="G187" i="44"/>
  <c r="G186" i="44"/>
  <c r="G185" i="44"/>
  <c r="G184" i="44"/>
  <c r="G183" i="44"/>
  <c r="G182" i="44"/>
  <c r="G181" i="44"/>
  <c r="G180" i="44"/>
  <c r="G179" i="44"/>
  <c r="G178" i="44"/>
  <c r="G177" i="44"/>
  <c r="G176" i="44"/>
  <c r="G175" i="44"/>
  <c r="G174" i="44"/>
  <c r="G173" i="44"/>
  <c r="G172" i="44"/>
  <c r="G171" i="44"/>
  <c r="G170" i="44"/>
  <c r="G169" i="44"/>
  <c r="G168" i="44"/>
  <c r="G167" i="44"/>
  <c r="G194" i="1"/>
  <c r="H194" i="1"/>
  <c r="G195" i="1"/>
  <c r="H195" i="1"/>
  <c r="G196" i="1"/>
  <c r="H196" i="1"/>
  <c r="G197" i="1"/>
  <c r="H197" i="1"/>
  <c r="G198" i="1"/>
  <c r="H198" i="1"/>
  <c r="G199" i="1"/>
  <c r="H199" i="1"/>
  <c r="G200" i="1"/>
  <c r="H200" i="1"/>
  <c r="G201" i="1"/>
  <c r="H201" i="1"/>
  <c r="G202" i="1"/>
  <c r="H202" i="1"/>
  <c r="G203" i="1"/>
  <c r="H203" i="1"/>
  <c r="G204" i="1"/>
  <c r="H204" i="1"/>
  <c r="G205" i="1"/>
  <c r="H205" i="1"/>
  <c r="G206" i="1"/>
  <c r="H206" i="1"/>
  <c r="G207" i="1"/>
  <c r="H207" i="1"/>
  <c r="G208" i="1"/>
  <c r="H208" i="1"/>
  <c r="G209" i="1"/>
  <c r="H209" i="1"/>
  <c r="G182" i="1"/>
  <c r="H182" i="1"/>
  <c r="G183" i="1"/>
  <c r="H183" i="1"/>
  <c r="G184" i="1"/>
  <c r="H184" i="1"/>
  <c r="G185" i="1"/>
  <c r="H185" i="1"/>
  <c r="G186" i="1"/>
  <c r="H186" i="1"/>
  <c r="G187" i="1"/>
  <c r="H187" i="1"/>
  <c r="G188" i="1"/>
  <c r="H188" i="1"/>
  <c r="G189" i="1"/>
  <c r="H189" i="1"/>
  <c r="G190" i="1"/>
  <c r="H190" i="1"/>
  <c r="G191" i="1"/>
  <c r="H191" i="1"/>
  <c r="G192" i="1"/>
  <c r="H192" i="1"/>
  <c r="G193" i="1"/>
  <c r="H193" i="1"/>
  <c r="G168" i="1"/>
  <c r="H168" i="1"/>
  <c r="G169" i="1"/>
  <c r="H169" i="1"/>
  <c r="G170" i="1"/>
  <c r="H170" i="1"/>
  <c r="G171" i="1"/>
  <c r="H171" i="1"/>
  <c r="G172" i="1"/>
  <c r="H172" i="1"/>
  <c r="G173" i="1"/>
  <c r="H173" i="1"/>
  <c r="G174" i="1"/>
  <c r="H174" i="1"/>
  <c r="G175" i="1"/>
  <c r="H175" i="1"/>
  <c r="G176" i="1"/>
  <c r="H176" i="1"/>
  <c r="G177" i="1"/>
  <c r="H177" i="1"/>
  <c r="G178" i="1"/>
  <c r="H178" i="1"/>
  <c r="G179" i="1"/>
  <c r="H179" i="1"/>
  <c r="G180" i="1"/>
  <c r="H180" i="1"/>
  <c r="G181" i="1"/>
  <c r="H181" i="1"/>
  <c r="H167" i="1"/>
  <c r="G26" i="59"/>
  <c r="G25" i="59"/>
  <c r="G24" i="59"/>
  <c r="G23" i="59"/>
  <c r="G18" i="59"/>
  <c r="G16" i="59"/>
  <c r="G15" i="59"/>
  <c r="G14" i="59"/>
  <c r="G13" i="59"/>
  <c r="G253" i="59" s="1"/>
  <c r="G12" i="59"/>
  <c r="G11" i="59"/>
  <c r="G10" i="59"/>
  <c r="G9" i="59"/>
  <c r="G8" i="59"/>
  <c r="I62" i="58"/>
  <c r="H62" i="58"/>
  <c r="M36" i="58"/>
  <c r="L36" i="58"/>
  <c r="K36" i="58"/>
  <c r="I58" i="58" s="1"/>
  <c r="J36" i="58"/>
  <c r="H58" i="58" s="1"/>
  <c r="I36" i="58"/>
  <c r="G58" i="58" s="1"/>
  <c r="M29" i="58"/>
  <c r="L29" i="58"/>
  <c r="K29" i="58"/>
  <c r="J29" i="58"/>
  <c r="I29" i="58"/>
  <c r="H29" i="58"/>
  <c r="G29" i="58"/>
  <c r="F29" i="58"/>
  <c r="E29" i="58"/>
  <c r="D29" i="58"/>
  <c r="M28" i="58"/>
  <c r="L28" i="58"/>
  <c r="K28" i="58"/>
  <c r="J28" i="58"/>
  <c r="I28" i="58"/>
  <c r="H28" i="58"/>
  <c r="G28" i="58"/>
  <c r="F28" i="58"/>
  <c r="E28" i="58"/>
  <c r="D28" i="58"/>
  <c r="M26" i="58"/>
  <c r="L26" i="58"/>
  <c r="K26" i="58"/>
  <c r="J26" i="58"/>
  <c r="I26" i="58"/>
  <c r="H26" i="58"/>
  <c r="G26" i="58"/>
  <c r="F26" i="58"/>
  <c r="E26" i="58"/>
  <c r="D26" i="58"/>
  <c r="M25" i="58"/>
  <c r="L25" i="58"/>
  <c r="K25" i="58"/>
  <c r="J25" i="58"/>
  <c r="I25" i="58"/>
  <c r="H25" i="58"/>
  <c r="G25" i="58"/>
  <c r="F25" i="58"/>
  <c r="E25" i="58"/>
  <c r="D25" i="58"/>
  <c r="B11" i="58"/>
  <c r="I9" i="58"/>
  <c r="D101" i="57"/>
  <c r="C101" i="57"/>
  <c r="D100" i="57"/>
  <c r="C100" i="57"/>
  <c r="D99" i="57"/>
  <c r="C99" i="57"/>
  <c r="D98" i="57"/>
  <c r="C98" i="57"/>
  <c r="D97" i="57"/>
  <c r="C97" i="57"/>
  <c r="K29" i="57"/>
  <c r="L29" i="57" s="1"/>
  <c r="M29" i="57" s="1"/>
  <c r="N29" i="57" s="1"/>
  <c r="O29" i="57" s="1"/>
  <c r="P29" i="57" s="1"/>
  <c r="Q29" i="57" s="1"/>
  <c r="R29" i="57" s="1"/>
  <c r="S29" i="57" s="1"/>
  <c r="BE176" i="56"/>
  <c r="BE175" i="56"/>
  <c r="BE174" i="56"/>
  <c r="BE173" i="56"/>
  <c r="BE172" i="56"/>
  <c r="BE171" i="56"/>
  <c r="BE170" i="56"/>
  <c r="BE169" i="56"/>
  <c r="CF168" i="56"/>
  <c r="CE168" i="56"/>
  <c r="BF168" i="56"/>
  <c r="BF169" i="56" s="1"/>
  <c r="BF170" i="56" s="1"/>
  <c r="BF171" i="56" s="1"/>
  <c r="BF172" i="56" s="1"/>
  <c r="BF173" i="56" s="1"/>
  <c r="BF174" i="56" s="1"/>
  <c r="BF175" i="56" s="1"/>
  <c r="BF176" i="56" s="1"/>
  <c r="BE168" i="56"/>
  <c r="BE167" i="56"/>
  <c r="BE166" i="56"/>
  <c r="BY162" i="56"/>
  <c r="BV161" i="56"/>
  <c r="BN160" i="56"/>
  <c r="W187" i="56" s="1"/>
  <c r="X187" i="56" s="1"/>
  <c r="BK166" i="56"/>
  <c r="BY159" i="56"/>
  <c r="BY158" i="56"/>
  <c r="BV156" i="56"/>
  <c r="BG166" i="56"/>
  <c r="R133" i="56"/>
  <c r="R132" i="56"/>
  <c r="R131" i="56"/>
  <c r="R130" i="56"/>
  <c r="R129" i="56"/>
  <c r="R128" i="56"/>
  <c r="R127" i="56"/>
  <c r="AE126" i="56"/>
  <c r="AD126" i="56"/>
  <c r="AC126" i="56"/>
  <c r="AB126" i="56"/>
  <c r="R126" i="56"/>
  <c r="R125" i="56"/>
  <c r="R124" i="56"/>
  <c r="G84" i="56"/>
  <c r="H83" i="56"/>
  <c r="G83" i="56"/>
  <c r="G82" i="56"/>
  <c r="H81" i="56"/>
  <c r="G81" i="56"/>
  <c r="G80" i="56"/>
  <c r="H79" i="56"/>
  <c r="G79" i="56"/>
  <c r="G78" i="56"/>
  <c r="H77" i="56"/>
  <c r="G77" i="56"/>
  <c r="G76" i="56"/>
  <c r="H75" i="56"/>
  <c r="G75" i="56"/>
  <c r="G74" i="56"/>
  <c r="G73" i="56"/>
  <c r="G72" i="56"/>
  <c r="H71" i="56"/>
  <c r="G71" i="56"/>
  <c r="G70" i="56"/>
  <c r="H69" i="56"/>
  <c r="G69" i="56"/>
  <c r="H206" i="56"/>
  <c r="G258" i="59" l="1"/>
  <c r="F20" i="20" s="1"/>
  <c r="F27" i="20"/>
  <c r="F13" i="20"/>
  <c r="G136" i="59"/>
  <c r="G201" i="59" s="1"/>
  <c r="G287" i="59"/>
  <c r="F23" i="20" s="1"/>
  <c r="F14" i="20"/>
  <c r="F26" i="20"/>
  <c r="G265" i="59"/>
  <c r="F27" i="53"/>
  <c r="F13" i="76"/>
  <c r="F27" i="76"/>
  <c r="F13" i="53"/>
  <c r="G143" i="59"/>
  <c r="G208" i="59" s="1"/>
  <c r="G294" i="59"/>
  <c r="F14" i="53"/>
  <c r="F14" i="76"/>
  <c r="F26" i="53"/>
  <c r="F26" i="76"/>
  <c r="G255" i="59"/>
  <c r="F20" i="23" s="1"/>
  <c r="F13" i="23"/>
  <c r="F27" i="23"/>
  <c r="G133" i="59"/>
  <c r="G198" i="59" s="1"/>
  <c r="G284" i="59"/>
  <c r="F23" i="23" s="1"/>
  <c r="F14" i="23"/>
  <c r="F18" i="23" s="1"/>
  <c r="F26" i="23"/>
  <c r="G144" i="59"/>
  <c r="G209" i="59" s="1"/>
  <c r="G295" i="59"/>
  <c r="F23" i="41" s="1"/>
  <c r="F26" i="41"/>
  <c r="F14" i="41"/>
  <c r="G266" i="59"/>
  <c r="F20" i="41" s="1"/>
  <c r="F27" i="41"/>
  <c r="F13" i="41"/>
  <c r="G252" i="59"/>
  <c r="F20" i="11" s="1"/>
  <c r="F13" i="11"/>
  <c r="F27" i="11"/>
  <c r="G130" i="59"/>
  <c r="G195" i="59" s="1"/>
  <c r="G281" i="59"/>
  <c r="F23" i="11" s="1"/>
  <c r="F26" i="11"/>
  <c r="F14" i="11"/>
  <c r="G251" i="59"/>
  <c r="G280" i="59"/>
  <c r="F8" i="32"/>
  <c r="F9" i="32" s="1"/>
  <c r="G128" i="59"/>
  <c r="G193" i="59" s="1"/>
  <c r="G279" i="59"/>
  <c r="F23" i="38" s="1"/>
  <c r="F26" i="38"/>
  <c r="F14" i="38"/>
  <c r="G250" i="59"/>
  <c r="F20" i="38" s="1"/>
  <c r="F27" i="38"/>
  <c r="F6" i="50"/>
  <c r="F7" i="50" s="1"/>
  <c r="F13" i="50"/>
  <c r="F27" i="50"/>
  <c r="F14" i="50"/>
  <c r="F8" i="50"/>
  <c r="F9" i="50" s="1"/>
  <c r="F26" i="50"/>
  <c r="G293" i="59"/>
  <c r="G278" i="59"/>
  <c r="F23" i="17" s="1"/>
  <c r="F14" i="17"/>
  <c r="F26" i="17"/>
  <c r="G249" i="59"/>
  <c r="F20" i="17" s="1"/>
  <c r="F27" i="17"/>
  <c r="F13" i="17"/>
  <c r="G256" i="59"/>
  <c r="F20" i="29" s="1"/>
  <c r="F27" i="29"/>
  <c r="F13" i="29"/>
  <c r="G134" i="59"/>
  <c r="G199" i="59" s="1"/>
  <c r="G285" i="59"/>
  <c r="F23" i="29" s="1"/>
  <c r="F14" i="29"/>
  <c r="F18" i="29" s="1"/>
  <c r="F26" i="29"/>
  <c r="G248" i="59"/>
  <c r="F20" i="5" s="1"/>
  <c r="F27" i="5"/>
  <c r="F13" i="5"/>
  <c r="G126" i="59"/>
  <c r="G191" i="59" s="1"/>
  <c r="G277" i="59"/>
  <c r="F23" i="5" s="1"/>
  <c r="F26" i="5"/>
  <c r="F14" i="5"/>
  <c r="F18" i="5" s="1"/>
  <c r="G141" i="59"/>
  <c r="G206" i="59" s="1"/>
  <c r="G292" i="59"/>
  <c r="F23" i="26" s="1"/>
  <c r="F14" i="26"/>
  <c r="F26" i="26"/>
  <c r="G263" i="59"/>
  <c r="F20" i="26" s="1"/>
  <c r="F13" i="26"/>
  <c r="F27" i="26"/>
  <c r="G124" i="59"/>
  <c r="G189" i="59" s="1"/>
  <c r="G275" i="59"/>
  <c r="F23" i="8" s="1"/>
  <c r="F14" i="8"/>
  <c r="F18" i="8" s="1"/>
  <c r="F26" i="8"/>
  <c r="G246" i="59"/>
  <c r="F20" i="8" s="1"/>
  <c r="F27" i="8"/>
  <c r="F13" i="8"/>
  <c r="G123" i="59"/>
  <c r="G188" i="59" s="1"/>
  <c r="G274" i="59"/>
  <c r="F23" i="44" s="1"/>
  <c r="F26" i="44"/>
  <c r="F14" i="44"/>
  <c r="G245" i="59"/>
  <c r="F20" i="44" s="1"/>
  <c r="F27" i="44"/>
  <c r="F13" i="44"/>
  <c r="G125" i="59"/>
  <c r="G190" i="59" s="1"/>
  <c r="G276" i="59"/>
  <c r="F23" i="56" s="1"/>
  <c r="F26" i="56"/>
  <c r="F14" i="56"/>
  <c r="G247" i="59"/>
  <c r="F20" i="56" s="1"/>
  <c r="F13" i="56"/>
  <c r="F27" i="56"/>
  <c r="F29" i="83"/>
  <c r="F16" i="1"/>
  <c r="F16" i="83"/>
  <c r="G132" i="59"/>
  <c r="G197" i="59" s="1"/>
  <c r="G283" i="59"/>
  <c r="F26" i="47"/>
  <c r="G254" i="59"/>
  <c r="F20" i="47" s="1"/>
  <c r="F27" i="47"/>
  <c r="G27" i="59"/>
  <c r="G27" i="70" s="1"/>
  <c r="G142" i="59"/>
  <c r="G207" i="59" s="1"/>
  <c r="G264" i="59"/>
  <c r="F20" i="50" s="1"/>
  <c r="G214" i="17"/>
  <c r="F13" i="38"/>
  <c r="G131" i="59"/>
  <c r="G196" i="59" s="1"/>
  <c r="F23" i="14"/>
  <c r="F26" i="14"/>
  <c r="F14" i="14"/>
  <c r="F18" i="14" s="1"/>
  <c r="F13" i="14"/>
  <c r="F20" i="14"/>
  <c r="F27" i="14"/>
  <c r="G129" i="59"/>
  <c r="F26" i="32"/>
  <c r="F23" i="32"/>
  <c r="F14" i="32"/>
  <c r="F27" i="32"/>
  <c r="F20" i="32"/>
  <c r="F13" i="32"/>
  <c r="O33" i="1"/>
  <c r="O33" i="83"/>
  <c r="L33" i="1"/>
  <c r="L33" i="83"/>
  <c r="J33" i="1"/>
  <c r="J33" i="83"/>
  <c r="P33" i="1"/>
  <c r="P33" i="83"/>
  <c r="M33" i="1"/>
  <c r="M33" i="83"/>
  <c r="G33" i="1"/>
  <c r="G33" i="83"/>
  <c r="I33" i="1"/>
  <c r="I33" i="83"/>
  <c r="H33" i="1"/>
  <c r="H33" i="83"/>
  <c r="K33" i="1"/>
  <c r="K33" i="83"/>
  <c r="N33" i="1"/>
  <c r="N33" i="83"/>
  <c r="G99" i="59"/>
  <c r="G100" i="59"/>
  <c r="G93" i="59"/>
  <c r="G98" i="59"/>
  <c r="G101" i="59"/>
  <c r="G114" i="59"/>
  <c r="G94" i="59"/>
  <c r="G102" i="59"/>
  <c r="F23" i="47"/>
  <c r="G95" i="59"/>
  <c r="G103" i="59"/>
  <c r="G96" i="59"/>
  <c r="G104" i="59"/>
  <c r="G106" i="59"/>
  <c r="Y8" i="71"/>
  <c r="G127" i="59"/>
  <c r="G192" i="59" s="1"/>
  <c r="AC8" i="79"/>
  <c r="AB8" i="79" s="1"/>
  <c r="G97" i="59"/>
  <c r="G111" i="59"/>
  <c r="G112" i="59"/>
  <c r="G113" i="59"/>
  <c r="AC11" i="79"/>
  <c r="AB11" i="79" s="1"/>
  <c r="G311" i="59"/>
  <c r="F21" i="14" s="1"/>
  <c r="F6" i="14"/>
  <c r="F7" i="14" s="1"/>
  <c r="Y22" i="71"/>
  <c r="F8" i="26"/>
  <c r="F9" i="26" s="1"/>
  <c r="G316" i="59"/>
  <c r="F21" i="20" s="1"/>
  <c r="F6" i="20"/>
  <c r="F7" i="20" s="1"/>
  <c r="Y10" i="71"/>
  <c r="Y23" i="71"/>
  <c r="G321" i="59"/>
  <c r="F21" i="26" s="1"/>
  <c r="F6" i="26"/>
  <c r="F7" i="26" s="1"/>
  <c r="Y24" i="71"/>
  <c r="F8" i="53"/>
  <c r="F9" i="53" s="1"/>
  <c r="F8" i="76"/>
  <c r="F9" i="76" s="1"/>
  <c r="AB4" i="81"/>
  <c r="AA4" i="81" s="1"/>
  <c r="G309" i="59"/>
  <c r="F21" i="32" s="1"/>
  <c r="F6" i="32"/>
  <c r="F7" i="32" s="1"/>
  <c r="G322" i="59"/>
  <c r="F21" i="50" s="1"/>
  <c r="Y12" i="71"/>
  <c r="F8" i="14"/>
  <c r="F9" i="14" s="1"/>
  <c r="Y17" i="71"/>
  <c r="F8" i="20"/>
  <c r="F9" i="20" s="1"/>
  <c r="F6" i="53"/>
  <c r="F7" i="53" s="1"/>
  <c r="G323" i="59"/>
  <c r="F6" i="76"/>
  <c r="F7" i="76" s="1"/>
  <c r="Y14" i="71"/>
  <c r="F8" i="23"/>
  <c r="F9" i="23" s="1"/>
  <c r="AC13" i="79"/>
  <c r="AB13" i="79" s="1"/>
  <c r="G313" i="59"/>
  <c r="F21" i="23" s="1"/>
  <c r="F6" i="23"/>
  <c r="F7" i="23" s="1"/>
  <c r="Y4" i="71"/>
  <c r="F8" i="44"/>
  <c r="F9" i="44" s="1"/>
  <c r="AC4" i="79"/>
  <c r="F6" i="44"/>
  <c r="F7" i="44" s="1"/>
  <c r="Y13" i="71"/>
  <c r="F14" i="47"/>
  <c r="F8" i="47"/>
  <c r="F9" i="47" s="1"/>
  <c r="AB5" i="81"/>
  <c r="AC12" i="79"/>
  <c r="G312" i="59"/>
  <c r="F21" i="47" s="1"/>
  <c r="F6" i="47"/>
  <c r="F7" i="47" s="1"/>
  <c r="F13" i="47"/>
  <c r="Y6" i="71"/>
  <c r="F8" i="56"/>
  <c r="F9" i="56" s="1"/>
  <c r="AC6" i="79"/>
  <c r="AB6" i="79" s="1"/>
  <c r="G305" i="59"/>
  <c r="F21" i="56" s="1"/>
  <c r="F6" i="56"/>
  <c r="F7" i="56" s="1"/>
  <c r="Y15" i="71"/>
  <c r="F8" i="29"/>
  <c r="F9" i="29" s="1"/>
  <c r="AB6" i="81"/>
  <c r="AA6" i="81" s="1"/>
  <c r="F6" i="29"/>
  <c r="F7" i="29" s="1"/>
  <c r="G314" i="59"/>
  <c r="F21" i="29" s="1"/>
  <c r="Y5" i="71"/>
  <c r="F8" i="8"/>
  <c r="F9" i="8" s="1"/>
  <c r="AC5" i="79"/>
  <c r="AB5" i="79" s="1"/>
  <c r="AB3" i="81"/>
  <c r="G304" i="59"/>
  <c r="F21" i="8" s="1"/>
  <c r="F6" i="8"/>
  <c r="F7" i="8" s="1"/>
  <c r="F10" i="8" s="1"/>
  <c r="Y9" i="71"/>
  <c r="F8" i="38"/>
  <c r="F9" i="38" s="1"/>
  <c r="AC9" i="79"/>
  <c r="G308" i="59"/>
  <c r="F21" i="38" s="1"/>
  <c r="F6" i="38"/>
  <c r="F7" i="38" s="1"/>
  <c r="Y25" i="71"/>
  <c r="F8" i="41"/>
  <c r="F9" i="41" s="1"/>
  <c r="AC16" i="79"/>
  <c r="G324" i="59"/>
  <c r="F21" i="41" s="1"/>
  <c r="F6" i="41"/>
  <c r="F7" i="41" s="1"/>
  <c r="Y11" i="71"/>
  <c r="F8" i="11"/>
  <c r="F9" i="11" s="1"/>
  <c r="G29" i="59"/>
  <c r="AC10" i="79"/>
  <c r="AB10" i="79" s="1"/>
  <c r="F6" i="11"/>
  <c r="F7" i="11" s="1"/>
  <c r="G310" i="59"/>
  <c r="F21" i="11" s="1"/>
  <c r="G56" i="59"/>
  <c r="G56" i="70" s="1"/>
  <c r="Y7" i="71"/>
  <c r="F8" i="5"/>
  <c r="F9" i="5" s="1"/>
  <c r="AC7" i="79"/>
  <c r="G306" i="59"/>
  <c r="F21" i="5" s="1"/>
  <c r="F6" i="5"/>
  <c r="F7" i="5" s="1"/>
  <c r="F8" i="17"/>
  <c r="F9" i="17" s="1"/>
  <c r="F18" i="17"/>
  <c r="G307" i="59"/>
  <c r="F21" i="17" s="1"/>
  <c r="F6" i="17"/>
  <c r="F7" i="17" s="1"/>
  <c r="G303" i="59"/>
  <c r="F21" i="44" s="1"/>
  <c r="G63" i="59"/>
  <c r="N184" i="72"/>
  <c r="M33" i="44" s="1"/>
  <c r="O184" i="72"/>
  <c r="N33" i="44" s="1"/>
  <c r="P184" i="72"/>
  <c r="O33" i="44" s="1"/>
  <c r="K184" i="72"/>
  <c r="J33" i="44" s="1"/>
  <c r="M184" i="72"/>
  <c r="L33" i="44" s="1"/>
  <c r="Q184" i="72"/>
  <c r="P33" i="44" s="1"/>
  <c r="R184" i="72"/>
  <c r="H184" i="72"/>
  <c r="G33" i="44" s="1"/>
  <c r="I184" i="72"/>
  <c r="H33" i="44" s="1"/>
  <c r="J184" i="72"/>
  <c r="I33" i="44" s="1"/>
  <c r="L184" i="72"/>
  <c r="K33" i="44" s="1"/>
  <c r="G42" i="70"/>
  <c r="N192" i="72"/>
  <c r="M33" i="14" s="1"/>
  <c r="O192" i="72"/>
  <c r="N33" i="14" s="1"/>
  <c r="P192" i="72"/>
  <c r="O33" i="14" s="1"/>
  <c r="I192" i="72"/>
  <c r="H33" i="14" s="1"/>
  <c r="K192" i="72"/>
  <c r="J33" i="14" s="1"/>
  <c r="Q192" i="72"/>
  <c r="P33" i="14" s="1"/>
  <c r="R192" i="72"/>
  <c r="J192" i="72"/>
  <c r="I33" i="14" s="1"/>
  <c r="L192" i="72"/>
  <c r="K33" i="14" s="1"/>
  <c r="M192" i="72"/>
  <c r="L33" i="14" s="1"/>
  <c r="H192" i="72"/>
  <c r="G33" i="14" s="1"/>
  <c r="I205" i="72"/>
  <c r="H33" i="41" s="1"/>
  <c r="Q205" i="72"/>
  <c r="P33" i="41" s="1"/>
  <c r="K205" i="72"/>
  <c r="J33" i="41" s="1"/>
  <c r="N205" i="72"/>
  <c r="M33" i="41" s="1"/>
  <c r="J205" i="72"/>
  <c r="I33" i="41" s="1"/>
  <c r="R205" i="72"/>
  <c r="L205" i="72"/>
  <c r="K33" i="41" s="1"/>
  <c r="M205" i="72"/>
  <c r="L33" i="41" s="1"/>
  <c r="O205" i="72"/>
  <c r="N33" i="41" s="1"/>
  <c r="P205" i="72"/>
  <c r="O33" i="41" s="1"/>
  <c r="H205" i="72"/>
  <c r="G33" i="41" s="1"/>
  <c r="BP158" i="56"/>
  <c r="BV163" i="56" s="1"/>
  <c r="K159" i="72"/>
  <c r="J32" i="17" s="1"/>
  <c r="M159" i="72"/>
  <c r="L32" i="17" s="1"/>
  <c r="H159" i="72"/>
  <c r="G32" i="17" s="1"/>
  <c r="P159" i="72"/>
  <c r="O32" i="17" s="1"/>
  <c r="R159" i="72"/>
  <c r="I159" i="72"/>
  <c r="H32" i="17" s="1"/>
  <c r="L159" i="72"/>
  <c r="K32" i="17" s="1"/>
  <c r="J159" i="72"/>
  <c r="I32" i="17" s="1"/>
  <c r="N159" i="72"/>
  <c r="M32" i="17" s="1"/>
  <c r="O159" i="72"/>
  <c r="N32" i="17" s="1"/>
  <c r="Q159" i="72"/>
  <c r="P32" i="17" s="1"/>
  <c r="I168" i="72"/>
  <c r="H32" i="20" s="1"/>
  <c r="Q168" i="72"/>
  <c r="P32" i="20" s="1"/>
  <c r="L168" i="72"/>
  <c r="K32" i="20" s="1"/>
  <c r="K168" i="72"/>
  <c r="J32" i="20" s="1"/>
  <c r="P168" i="72"/>
  <c r="O32" i="20" s="1"/>
  <c r="M168" i="72"/>
  <c r="L32" i="20" s="1"/>
  <c r="N168" i="72"/>
  <c r="M32" i="20" s="1"/>
  <c r="R168" i="72"/>
  <c r="O168" i="72"/>
  <c r="N32" i="20" s="1"/>
  <c r="H168" i="72"/>
  <c r="G32" i="20" s="1"/>
  <c r="J168" i="72"/>
  <c r="I32" i="20" s="1"/>
  <c r="O156" i="72"/>
  <c r="N32" i="8" s="1"/>
  <c r="I156" i="72"/>
  <c r="H32" i="8" s="1"/>
  <c r="Q156" i="72"/>
  <c r="P32" i="8" s="1"/>
  <c r="L156" i="72"/>
  <c r="K32" i="8" s="1"/>
  <c r="R156" i="72"/>
  <c r="H156" i="72"/>
  <c r="G32" i="8" s="1"/>
  <c r="M156" i="72"/>
  <c r="L32" i="8" s="1"/>
  <c r="J156" i="72"/>
  <c r="I32" i="8" s="1"/>
  <c r="K156" i="72"/>
  <c r="J32" i="8" s="1"/>
  <c r="P156" i="72"/>
  <c r="O32" i="8" s="1"/>
  <c r="N156" i="72"/>
  <c r="M32" i="8" s="1"/>
  <c r="G35" i="70"/>
  <c r="L185" i="72"/>
  <c r="K33" i="8" s="1"/>
  <c r="M185" i="72"/>
  <c r="L33" i="8" s="1"/>
  <c r="N185" i="72"/>
  <c r="M33" i="8" s="1"/>
  <c r="O185" i="72"/>
  <c r="N33" i="8" s="1"/>
  <c r="Q185" i="72"/>
  <c r="P33" i="8" s="1"/>
  <c r="I185" i="72"/>
  <c r="H33" i="8" s="1"/>
  <c r="J185" i="72"/>
  <c r="I33" i="8" s="1"/>
  <c r="H185" i="72"/>
  <c r="G33" i="8" s="1"/>
  <c r="R185" i="72"/>
  <c r="K185" i="72"/>
  <c r="J33" i="8" s="1"/>
  <c r="P185" i="72"/>
  <c r="O33" i="8" s="1"/>
  <c r="G43" i="70"/>
  <c r="L193" i="72"/>
  <c r="K33" i="47" s="1"/>
  <c r="M193" i="72"/>
  <c r="L33" i="47" s="1"/>
  <c r="N193" i="72"/>
  <c r="M33" i="47" s="1"/>
  <c r="J193" i="72"/>
  <c r="I33" i="47" s="1"/>
  <c r="H193" i="72"/>
  <c r="G33" i="47" s="1"/>
  <c r="O193" i="72"/>
  <c r="N33" i="47" s="1"/>
  <c r="R193" i="72"/>
  <c r="I193" i="72"/>
  <c r="H33" i="47" s="1"/>
  <c r="K193" i="72"/>
  <c r="J33" i="47" s="1"/>
  <c r="P193" i="72"/>
  <c r="O33" i="47" s="1"/>
  <c r="Q193" i="72"/>
  <c r="P33" i="47" s="1"/>
  <c r="K161" i="72"/>
  <c r="J32" i="32" s="1"/>
  <c r="M161" i="72"/>
  <c r="L32" i="32" s="1"/>
  <c r="H161" i="72"/>
  <c r="G32" i="32" s="1"/>
  <c r="P161" i="72"/>
  <c r="O32" i="32" s="1"/>
  <c r="R161" i="72"/>
  <c r="I161" i="72"/>
  <c r="H32" i="32" s="1"/>
  <c r="N161" i="72"/>
  <c r="M32" i="32" s="1"/>
  <c r="J161" i="72"/>
  <c r="I32" i="32" s="1"/>
  <c r="L161" i="72"/>
  <c r="K32" i="32" s="1"/>
  <c r="Q161" i="72"/>
  <c r="P32" i="32" s="1"/>
  <c r="O161" i="72"/>
  <c r="N32" i="32" s="1"/>
  <c r="L174" i="72"/>
  <c r="K32" i="50" s="1"/>
  <c r="I174" i="72"/>
  <c r="H32" i="50" s="1"/>
  <c r="M174" i="72"/>
  <c r="L32" i="50" s="1"/>
  <c r="N174" i="72"/>
  <c r="M32" i="50" s="1"/>
  <c r="P174" i="72"/>
  <c r="O32" i="50" s="1"/>
  <c r="Q174" i="72"/>
  <c r="P32" i="50" s="1"/>
  <c r="O174" i="72"/>
  <c r="N32" i="50" s="1"/>
  <c r="H174" i="72"/>
  <c r="G32" i="50" s="1"/>
  <c r="K174" i="72"/>
  <c r="J32" i="50" s="1"/>
  <c r="R174" i="72"/>
  <c r="J174" i="72"/>
  <c r="I32" i="50" s="1"/>
  <c r="P187" i="72"/>
  <c r="O33" i="5" s="1"/>
  <c r="I187" i="72"/>
  <c r="H33" i="5" s="1"/>
  <c r="Q187" i="72"/>
  <c r="P33" i="5" s="1"/>
  <c r="J187" i="72"/>
  <c r="I33" i="5" s="1"/>
  <c r="R187" i="72"/>
  <c r="K187" i="72"/>
  <c r="J33" i="5" s="1"/>
  <c r="N187" i="72"/>
  <c r="M33" i="5" s="1"/>
  <c r="L187" i="72"/>
  <c r="K33" i="5" s="1"/>
  <c r="M187" i="72"/>
  <c r="L33" i="5" s="1"/>
  <c r="H187" i="72"/>
  <c r="G33" i="5" s="1"/>
  <c r="O187" i="72"/>
  <c r="N33" i="5" s="1"/>
  <c r="G45" i="70"/>
  <c r="P195" i="72"/>
  <c r="O33" i="29" s="1"/>
  <c r="I195" i="72"/>
  <c r="H33" i="29" s="1"/>
  <c r="Q195" i="72"/>
  <c r="P33" i="29" s="1"/>
  <c r="J195" i="72"/>
  <c r="I33" i="29" s="1"/>
  <c r="R195" i="72"/>
  <c r="O195" i="72"/>
  <c r="N33" i="29" s="1"/>
  <c r="H195" i="72"/>
  <c r="G33" i="29" s="1"/>
  <c r="L195" i="72"/>
  <c r="K33" i="29" s="1"/>
  <c r="K195" i="72"/>
  <c r="J33" i="29" s="1"/>
  <c r="M195" i="72"/>
  <c r="L33" i="29" s="1"/>
  <c r="N195" i="72"/>
  <c r="M33" i="29" s="1"/>
  <c r="K155" i="72"/>
  <c r="J32" i="44" s="1"/>
  <c r="M155" i="72"/>
  <c r="L32" i="44" s="1"/>
  <c r="H155" i="72"/>
  <c r="G32" i="44" s="1"/>
  <c r="P155" i="72"/>
  <c r="O32" i="44" s="1"/>
  <c r="R155" i="72"/>
  <c r="L155" i="72"/>
  <c r="K32" i="44" s="1"/>
  <c r="I155" i="72"/>
  <c r="H32" i="44" s="1"/>
  <c r="J155" i="72"/>
  <c r="I32" i="44" s="1"/>
  <c r="N155" i="72"/>
  <c r="M32" i="44" s="1"/>
  <c r="O155" i="72"/>
  <c r="N32" i="44" s="1"/>
  <c r="Q155" i="72"/>
  <c r="P32" i="44" s="1"/>
  <c r="H173" i="72"/>
  <c r="G32" i="26" s="1"/>
  <c r="P173" i="72"/>
  <c r="O32" i="26" s="1"/>
  <c r="I173" i="72"/>
  <c r="H32" i="26" s="1"/>
  <c r="Q173" i="72"/>
  <c r="P32" i="26" s="1"/>
  <c r="J173" i="72"/>
  <c r="I32" i="26" s="1"/>
  <c r="R173" i="72"/>
  <c r="L173" i="72"/>
  <c r="K32" i="26" s="1"/>
  <c r="K173" i="72"/>
  <c r="J32" i="26" s="1"/>
  <c r="M173" i="72"/>
  <c r="L32" i="26" s="1"/>
  <c r="N173" i="72"/>
  <c r="M32" i="26" s="1"/>
  <c r="O173" i="72"/>
  <c r="N32" i="26" s="1"/>
  <c r="G38" i="70"/>
  <c r="N188" i="72"/>
  <c r="M33" i="17" s="1"/>
  <c r="O188" i="72"/>
  <c r="N33" i="17" s="1"/>
  <c r="P188" i="72"/>
  <c r="O33" i="17" s="1"/>
  <c r="J188" i="72"/>
  <c r="I33" i="17" s="1"/>
  <c r="L188" i="72"/>
  <c r="K33" i="17" s="1"/>
  <c r="R188" i="72"/>
  <c r="Q188" i="72"/>
  <c r="P33" i="17" s="1"/>
  <c r="H188" i="72"/>
  <c r="G33" i="17" s="1"/>
  <c r="I188" i="72"/>
  <c r="H33" i="17" s="1"/>
  <c r="M188" i="72"/>
  <c r="L33" i="17" s="1"/>
  <c r="K188" i="72"/>
  <c r="J33" i="17" s="1"/>
  <c r="L197" i="72"/>
  <c r="K33" i="20" s="1"/>
  <c r="M197" i="72"/>
  <c r="L33" i="20" s="1"/>
  <c r="N197" i="72"/>
  <c r="M33" i="20" s="1"/>
  <c r="Q197" i="72"/>
  <c r="P33" i="20" s="1"/>
  <c r="K197" i="72"/>
  <c r="J33" i="20" s="1"/>
  <c r="O197" i="72"/>
  <c r="N33" i="20" s="1"/>
  <c r="P197" i="72"/>
  <c r="O33" i="20" s="1"/>
  <c r="R197" i="72"/>
  <c r="J197" i="72"/>
  <c r="I33" i="20" s="1"/>
  <c r="I197" i="72"/>
  <c r="H33" i="20" s="1"/>
  <c r="H197" i="72"/>
  <c r="G33" i="20" s="1"/>
  <c r="O158" i="72"/>
  <c r="N32" i="5" s="1"/>
  <c r="I158" i="72"/>
  <c r="H32" i="5" s="1"/>
  <c r="Q158" i="72"/>
  <c r="P32" i="5" s="1"/>
  <c r="L158" i="72"/>
  <c r="K32" i="5" s="1"/>
  <c r="R158" i="72"/>
  <c r="H158" i="72"/>
  <c r="G32" i="5" s="1"/>
  <c r="G36" i="5" s="1"/>
  <c r="G37" i="5" s="1"/>
  <c r="M158" i="72"/>
  <c r="L32" i="5" s="1"/>
  <c r="J158" i="72"/>
  <c r="I32" i="5" s="1"/>
  <c r="K158" i="72"/>
  <c r="J32" i="5" s="1"/>
  <c r="N158" i="72"/>
  <c r="M32" i="5" s="1"/>
  <c r="P158" i="72"/>
  <c r="O32" i="5" s="1"/>
  <c r="O160" i="72"/>
  <c r="N32" i="38" s="1"/>
  <c r="I160" i="72"/>
  <c r="H32" i="38" s="1"/>
  <c r="Q160" i="72"/>
  <c r="P32" i="38" s="1"/>
  <c r="L160" i="72"/>
  <c r="K32" i="38" s="1"/>
  <c r="R160" i="72"/>
  <c r="K160" i="72"/>
  <c r="J32" i="38" s="1"/>
  <c r="M160" i="72"/>
  <c r="L32" i="38" s="1"/>
  <c r="H160" i="72"/>
  <c r="G32" i="38" s="1"/>
  <c r="J160" i="72"/>
  <c r="I32" i="38" s="1"/>
  <c r="N160" i="72"/>
  <c r="M32" i="38" s="1"/>
  <c r="P160" i="72"/>
  <c r="O32" i="38" s="1"/>
  <c r="J186" i="72"/>
  <c r="I33" i="56" s="1"/>
  <c r="R186" i="72"/>
  <c r="K186" i="72"/>
  <c r="J33" i="56" s="1"/>
  <c r="L186" i="72"/>
  <c r="K33" i="56" s="1"/>
  <c r="P186" i="72"/>
  <c r="O33" i="56" s="1"/>
  <c r="M186" i="72"/>
  <c r="L33" i="56" s="1"/>
  <c r="H186" i="72"/>
  <c r="G33" i="56" s="1"/>
  <c r="O186" i="72"/>
  <c r="N33" i="56" s="1"/>
  <c r="Q186" i="72"/>
  <c r="P33" i="56" s="1"/>
  <c r="I186" i="72"/>
  <c r="H33" i="56" s="1"/>
  <c r="N186" i="72"/>
  <c r="M33" i="56" s="1"/>
  <c r="O162" i="72"/>
  <c r="N32" i="11" s="1"/>
  <c r="I162" i="72"/>
  <c r="H32" i="11" s="1"/>
  <c r="Q162" i="72"/>
  <c r="P32" i="11" s="1"/>
  <c r="L162" i="72"/>
  <c r="K32" i="11" s="1"/>
  <c r="R162" i="72"/>
  <c r="H162" i="72"/>
  <c r="G32" i="11" s="1"/>
  <c r="J162" i="72"/>
  <c r="I32" i="11" s="1"/>
  <c r="K162" i="72"/>
  <c r="J32" i="11" s="1"/>
  <c r="M162" i="72"/>
  <c r="L32" i="11" s="1"/>
  <c r="P162" i="72"/>
  <c r="O32" i="11" s="1"/>
  <c r="N162" i="72"/>
  <c r="M32" i="11" s="1"/>
  <c r="K163" i="72"/>
  <c r="J32" i="14" s="1"/>
  <c r="M163" i="72"/>
  <c r="L32" i="14" s="1"/>
  <c r="H163" i="72"/>
  <c r="G32" i="14" s="1"/>
  <c r="P163" i="72"/>
  <c r="O32" i="14" s="1"/>
  <c r="R163" i="72"/>
  <c r="N163" i="72"/>
  <c r="M32" i="14" s="1"/>
  <c r="I163" i="72"/>
  <c r="H32" i="14" s="1"/>
  <c r="L163" i="72"/>
  <c r="K32" i="14" s="1"/>
  <c r="J163" i="72"/>
  <c r="I32" i="14" s="1"/>
  <c r="O163" i="72"/>
  <c r="N32" i="14" s="1"/>
  <c r="Q163" i="72"/>
  <c r="P32" i="14" s="1"/>
  <c r="L176" i="72"/>
  <c r="K32" i="41" s="1"/>
  <c r="H176" i="72"/>
  <c r="G32" i="41" s="1"/>
  <c r="Q176" i="72"/>
  <c r="P32" i="41" s="1"/>
  <c r="M176" i="72"/>
  <c r="L32" i="41" s="1"/>
  <c r="I176" i="72"/>
  <c r="H32" i="41" s="1"/>
  <c r="N176" i="72"/>
  <c r="M32" i="41" s="1"/>
  <c r="P176" i="72"/>
  <c r="O32" i="41" s="1"/>
  <c r="O176" i="72"/>
  <c r="N32" i="41" s="1"/>
  <c r="R176" i="72"/>
  <c r="J176" i="72"/>
  <c r="I32" i="41" s="1"/>
  <c r="K176" i="72"/>
  <c r="J32" i="41" s="1"/>
  <c r="L189" i="72"/>
  <c r="K33" i="38" s="1"/>
  <c r="M189" i="72"/>
  <c r="L33" i="38" s="1"/>
  <c r="N189" i="72"/>
  <c r="M33" i="38" s="1"/>
  <c r="K189" i="72"/>
  <c r="J33" i="38" s="1"/>
  <c r="P189" i="72"/>
  <c r="O33" i="38" s="1"/>
  <c r="I189" i="72"/>
  <c r="H33" i="38" s="1"/>
  <c r="J189" i="72"/>
  <c r="I33" i="38" s="1"/>
  <c r="R189" i="72"/>
  <c r="O189" i="72"/>
  <c r="N33" i="38" s="1"/>
  <c r="H189" i="72"/>
  <c r="G33" i="38" s="1"/>
  <c r="Q189" i="72"/>
  <c r="P33" i="38" s="1"/>
  <c r="G52" i="70"/>
  <c r="J202" i="72"/>
  <c r="I33" i="26" s="1"/>
  <c r="R202" i="72"/>
  <c r="K202" i="72"/>
  <c r="J33" i="26" s="1"/>
  <c r="L202" i="72"/>
  <c r="K33" i="26" s="1"/>
  <c r="Q202" i="72"/>
  <c r="P33" i="26" s="1"/>
  <c r="H202" i="72"/>
  <c r="G33" i="26" s="1"/>
  <c r="N202" i="72"/>
  <c r="M33" i="26" s="1"/>
  <c r="I202" i="72"/>
  <c r="H33" i="26" s="1"/>
  <c r="M202" i="72"/>
  <c r="L33" i="26" s="1"/>
  <c r="P202" i="72"/>
  <c r="O33" i="26" s="1"/>
  <c r="O202" i="72"/>
  <c r="N33" i="26" s="1"/>
  <c r="J194" i="72"/>
  <c r="I33" i="23" s="1"/>
  <c r="R194" i="72"/>
  <c r="K194" i="72"/>
  <c r="J33" i="23" s="1"/>
  <c r="L194" i="72"/>
  <c r="K33" i="23" s="1"/>
  <c r="N194" i="72"/>
  <c r="M33" i="23" s="1"/>
  <c r="P194" i="72"/>
  <c r="O33" i="23" s="1"/>
  <c r="Q194" i="72"/>
  <c r="P33" i="23" s="1"/>
  <c r="H194" i="72"/>
  <c r="G33" i="23" s="1"/>
  <c r="I194" i="72"/>
  <c r="H33" i="23" s="1"/>
  <c r="M194" i="72"/>
  <c r="L33" i="23" s="1"/>
  <c r="O194" i="72"/>
  <c r="N33" i="23" s="1"/>
  <c r="O164" i="72"/>
  <c r="N32" i="47" s="1"/>
  <c r="I164" i="72"/>
  <c r="H32" i="47" s="1"/>
  <c r="Q164" i="72"/>
  <c r="P32" i="47" s="1"/>
  <c r="L164" i="72"/>
  <c r="K32" i="47" s="1"/>
  <c r="R164" i="72"/>
  <c r="K164" i="72"/>
  <c r="J32" i="47" s="1"/>
  <c r="M164" i="72"/>
  <c r="L32" i="47" s="1"/>
  <c r="H164" i="72"/>
  <c r="G32" i="47" s="1"/>
  <c r="J164" i="72"/>
  <c r="I32" i="47" s="1"/>
  <c r="P164" i="72"/>
  <c r="O32" i="47" s="1"/>
  <c r="N164" i="72"/>
  <c r="M32" i="47" s="1"/>
  <c r="J190" i="72"/>
  <c r="I33" i="32" s="1"/>
  <c r="R190" i="72"/>
  <c r="K190" i="72"/>
  <c r="J33" i="32" s="1"/>
  <c r="L190" i="72"/>
  <c r="K33" i="32" s="1"/>
  <c r="O190" i="72"/>
  <c r="N33" i="32" s="1"/>
  <c r="Q190" i="72"/>
  <c r="P33" i="32" s="1"/>
  <c r="I190" i="72"/>
  <c r="H33" i="32" s="1"/>
  <c r="H190" i="72"/>
  <c r="G33" i="32" s="1"/>
  <c r="P190" i="72"/>
  <c r="O33" i="32" s="1"/>
  <c r="N190" i="72"/>
  <c r="M33" i="32" s="1"/>
  <c r="M190" i="72"/>
  <c r="L33" i="32" s="1"/>
  <c r="P203" i="72"/>
  <c r="O33" i="50" s="1"/>
  <c r="I203" i="72"/>
  <c r="H33" i="50" s="1"/>
  <c r="Q203" i="72"/>
  <c r="P33" i="50" s="1"/>
  <c r="J203" i="72"/>
  <c r="I33" i="50" s="1"/>
  <c r="R203" i="72"/>
  <c r="L203" i="72"/>
  <c r="K33" i="50" s="1"/>
  <c r="O203" i="72"/>
  <c r="N33" i="50" s="1"/>
  <c r="N203" i="72"/>
  <c r="M33" i="50" s="1"/>
  <c r="H203" i="72"/>
  <c r="G33" i="50" s="1"/>
  <c r="K203" i="72"/>
  <c r="J33" i="50" s="1"/>
  <c r="M203" i="72"/>
  <c r="L33" i="50" s="1"/>
  <c r="O166" i="72"/>
  <c r="N32" i="29" s="1"/>
  <c r="I166" i="72"/>
  <c r="H32" i="29" s="1"/>
  <c r="Q166" i="72"/>
  <c r="P32" i="29" s="1"/>
  <c r="L166" i="72"/>
  <c r="K32" i="29" s="1"/>
  <c r="R166" i="72"/>
  <c r="H166" i="72"/>
  <c r="G32" i="29" s="1"/>
  <c r="J166" i="72"/>
  <c r="I32" i="29" s="1"/>
  <c r="K166" i="72"/>
  <c r="J32" i="29" s="1"/>
  <c r="M166" i="72"/>
  <c r="L32" i="29" s="1"/>
  <c r="N166" i="72"/>
  <c r="M32" i="29" s="1"/>
  <c r="P166" i="72"/>
  <c r="O32" i="29" s="1"/>
  <c r="K157" i="72"/>
  <c r="J32" i="56" s="1"/>
  <c r="M157" i="72"/>
  <c r="L32" i="56" s="1"/>
  <c r="H157" i="72"/>
  <c r="G32" i="56" s="1"/>
  <c r="P157" i="72"/>
  <c r="O32" i="56" s="1"/>
  <c r="R157" i="72"/>
  <c r="N157" i="72"/>
  <c r="M32" i="56" s="1"/>
  <c r="I157" i="72"/>
  <c r="H32" i="56" s="1"/>
  <c r="J157" i="72"/>
  <c r="I32" i="56" s="1"/>
  <c r="L157" i="72"/>
  <c r="K32" i="56" s="1"/>
  <c r="O157" i="72"/>
  <c r="N32" i="56" s="1"/>
  <c r="Q157" i="72"/>
  <c r="P32" i="56" s="1"/>
  <c r="H175" i="72"/>
  <c r="P175" i="72"/>
  <c r="I175" i="72"/>
  <c r="Q175" i="72"/>
  <c r="J175" i="72"/>
  <c r="R175" i="72"/>
  <c r="K175" i="72"/>
  <c r="L175" i="72"/>
  <c r="M175" i="72"/>
  <c r="O175" i="72"/>
  <c r="N175" i="72"/>
  <c r="K165" i="72"/>
  <c r="J32" i="23" s="1"/>
  <c r="M165" i="72"/>
  <c r="L32" i="23" s="1"/>
  <c r="H165" i="72"/>
  <c r="G32" i="23" s="1"/>
  <c r="P165" i="72"/>
  <c r="O32" i="23" s="1"/>
  <c r="R165" i="72"/>
  <c r="I165" i="72"/>
  <c r="H32" i="23" s="1"/>
  <c r="L165" i="72"/>
  <c r="K32" i="23" s="1"/>
  <c r="N165" i="72"/>
  <c r="M32" i="23" s="1"/>
  <c r="J165" i="72"/>
  <c r="I32" i="23" s="1"/>
  <c r="O165" i="72"/>
  <c r="N32" i="23" s="1"/>
  <c r="Q165" i="72"/>
  <c r="P32" i="23" s="1"/>
  <c r="P191" i="72"/>
  <c r="O33" i="11" s="1"/>
  <c r="I191" i="72"/>
  <c r="H33" i="11" s="1"/>
  <c r="Q191" i="72"/>
  <c r="P33" i="11" s="1"/>
  <c r="J191" i="72"/>
  <c r="I33" i="11" s="1"/>
  <c r="R191" i="72"/>
  <c r="M191" i="72"/>
  <c r="L33" i="11" s="1"/>
  <c r="K191" i="72"/>
  <c r="J33" i="11" s="1"/>
  <c r="L191" i="72"/>
  <c r="K33" i="11" s="1"/>
  <c r="N191" i="72"/>
  <c r="M33" i="11" s="1"/>
  <c r="O191" i="72"/>
  <c r="N33" i="11" s="1"/>
  <c r="H191" i="72"/>
  <c r="G33" i="11" s="1"/>
  <c r="K204" i="72"/>
  <c r="M204" i="72"/>
  <c r="H204" i="72"/>
  <c r="P204" i="72"/>
  <c r="I204" i="72"/>
  <c r="J204" i="72"/>
  <c r="O204" i="72"/>
  <c r="L204" i="72"/>
  <c r="N204" i="72"/>
  <c r="R204" i="72"/>
  <c r="Q204" i="72"/>
  <c r="S183" i="72"/>
  <c r="M154" i="72"/>
  <c r="J154" i="72"/>
  <c r="H154" i="72"/>
  <c r="N154" i="72"/>
  <c r="O154" i="72"/>
  <c r="P154" i="72"/>
  <c r="K154" i="72"/>
  <c r="I154" i="72"/>
  <c r="Q154" i="72"/>
  <c r="R154" i="72"/>
  <c r="L154" i="72"/>
  <c r="W195" i="56"/>
  <c r="X195" i="56" s="1"/>
  <c r="I267" i="20"/>
  <c r="J47" i="59" s="1"/>
  <c r="Q267" i="20"/>
  <c r="R47" i="59" s="1"/>
  <c r="AM171" i="56"/>
  <c r="AL171" i="56"/>
  <c r="AM177" i="56"/>
  <c r="AL177" i="56"/>
  <c r="AM172" i="56"/>
  <c r="AL172" i="56"/>
  <c r="AM178" i="56"/>
  <c r="AL178" i="56"/>
  <c r="AM183" i="56"/>
  <c r="AL183" i="56"/>
  <c r="W203" i="56"/>
  <c r="X203" i="56" s="1"/>
  <c r="AL173" i="56"/>
  <c r="AM173" i="56"/>
  <c r="AM182" i="56"/>
  <c r="AL182" i="56"/>
  <c r="AM174" i="56"/>
  <c r="AL174" i="56"/>
  <c r="BP157" i="56"/>
  <c r="BV158" i="56" s="1"/>
  <c r="BG167" i="56" s="1"/>
  <c r="AM168" i="1"/>
  <c r="AL168" i="1"/>
  <c r="AL179" i="56"/>
  <c r="AM179" i="56"/>
  <c r="AM169" i="56"/>
  <c r="AL169" i="56"/>
  <c r="AM175" i="56"/>
  <c r="AL175" i="56"/>
  <c r="H214" i="20"/>
  <c r="I18" i="59" s="1"/>
  <c r="P214" i="20"/>
  <c r="Q18" i="59" s="1"/>
  <c r="AM168" i="56"/>
  <c r="AL168" i="56"/>
  <c r="AM180" i="56"/>
  <c r="AL180" i="56"/>
  <c r="AL170" i="56"/>
  <c r="AM170" i="56"/>
  <c r="AM176" i="56"/>
  <c r="AL176" i="56"/>
  <c r="AM181" i="56"/>
  <c r="AL181" i="56"/>
  <c r="K214" i="20"/>
  <c r="L18" i="59" s="1"/>
  <c r="L267" i="20"/>
  <c r="M47" i="59" s="1"/>
  <c r="M267" i="20"/>
  <c r="N47" i="59" s="1"/>
  <c r="G214" i="41"/>
  <c r="H26" i="59" s="1"/>
  <c r="H324" i="59" s="1"/>
  <c r="H267" i="20"/>
  <c r="I47" i="59" s="1"/>
  <c r="P267" i="20"/>
  <c r="Q47" i="59" s="1"/>
  <c r="G267" i="38"/>
  <c r="H39" i="59" s="1"/>
  <c r="G214" i="14"/>
  <c r="H13" i="59" s="1"/>
  <c r="W211" i="56"/>
  <c r="X211" i="56" s="1"/>
  <c r="H174" i="56"/>
  <c r="H184" i="56"/>
  <c r="H258" i="56"/>
  <c r="H250" i="56"/>
  <c r="H242" i="56"/>
  <c r="H234" i="56"/>
  <c r="H263" i="56"/>
  <c r="H255" i="56"/>
  <c r="H247" i="56"/>
  <c r="H239" i="56"/>
  <c r="H260" i="56"/>
  <c r="H252" i="56"/>
  <c r="H244" i="56"/>
  <c r="H236" i="56"/>
  <c r="H265" i="56"/>
  <c r="H257" i="56"/>
  <c r="H249" i="56"/>
  <c r="H241" i="56"/>
  <c r="H233" i="56"/>
  <c r="H262" i="56"/>
  <c r="H254" i="56"/>
  <c r="H246" i="56"/>
  <c r="H238" i="56"/>
  <c r="H259" i="56"/>
  <c r="H251" i="56"/>
  <c r="H243" i="56"/>
  <c r="H235" i="56"/>
  <c r="H264" i="56"/>
  <c r="H256" i="56"/>
  <c r="H248" i="56"/>
  <c r="H240" i="56"/>
  <c r="H261" i="56"/>
  <c r="H228" i="56"/>
  <c r="H220" i="56"/>
  <c r="H225" i="56"/>
  <c r="H253" i="56"/>
  <c r="H230" i="56"/>
  <c r="H222" i="56"/>
  <c r="H227" i="56"/>
  <c r="H245" i="56"/>
  <c r="H224" i="56"/>
  <c r="H232" i="56"/>
  <c r="H229" i="56"/>
  <c r="H223" i="56"/>
  <c r="H237" i="56"/>
  <c r="H221" i="56"/>
  <c r="H231" i="56"/>
  <c r="H226" i="56"/>
  <c r="H203" i="56"/>
  <c r="H195" i="56"/>
  <c r="H187" i="56"/>
  <c r="H179" i="56"/>
  <c r="H171" i="56"/>
  <c r="H205" i="56"/>
  <c r="H197" i="56"/>
  <c r="H189" i="56"/>
  <c r="H181" i="56"/>
  <c r="H173" i="56"/>
  <c r="H202" i="56"/>
  <c r="H194" i="56"/>
  <c r="H186" i="56"/>
  <c r="H178" i="56"/>
  <c r="H170" i="56"/>
  <c r="H207" i="56"/>
  <c r="H199" i="56"/>
  <c r="H191" i="56"/>
  <c r="H183" i="56"/>
  <c r="H175" i="56"/>
  <c r="H167" i="56"/>
  <c r="H204" i="56"/>
  <c r="H196" i="56"/>
  <c r="H188" i="56"/>
  <c r="H180" i="56"/>
  <c r="H172" i="56"/>
  <c r="H73" i="56"/>
  <c r="G214" i="32"/>
  <c r="H11" i="59" s="1"/>
  <c r="H309" i="59" s="1"/>
  <c r="H176" i="56"/>
  <c r="H198" i="56"/>
  <c r="H208" i="56"/>
  <c r="G115" i="56"/>
  <c r="G49" i="56" s="1"/>
  <c r="G214" i="29"/>
  <c r="H16" i="59" s="1"/>
  <c r="H193" i="56"/>
  <c r="BL166" i="56"/>
  <c r="H168" i="56"/>
  <c r="H190" i="56"/>
  <c r="H200" i="56"/>
  <c r="W168" i="56"/>
  <c r="X168" i="56" s="1"/>
  <c r="X214" i="56" s="1"/>
  <c r="G214" i="44"/>
  <c r="H5" i="59" s="1"/>
  <c r="H245" i="59" s="1"/>
  <c r="G20" i="44" s="1"/>
  <c r="G214" i="11"/>
  <c r="H12" i="59" s="1"/>
  <c r="H310" i="59" s="1"/>
  <c r="H185" i="56"/>
  <c r="BJ166" i="56"/>
  <c r="H182" i="56"/>
  <c r="H192" i="56"/>
  <c r="G214" i="56"/>
  <c r="H7" i="59" s="1"/>
  <c r="H247" i="59" s="1"/>
  <c r="G20" i="56" s="1"/>
  <c r="G214" i="23"/>
  <c r="H15" i="59" s="1"/>
  <c r="H255" i="59" s="1"/>
  <c r="G20" i="23" s="1"/>
  <c r="H19" i="59"/>
  <c r="H317" i="59" s="1"/>
  <c r="G214" i="26"/>
  <c r="H23" i="59" s="1"/>
  <c r="H263" i="59" s="1"/>
  <c r="G20" i="26" s="1"/>
  <c r="G214" i="38"/>
  <c r="H10" i="59" s="1"/>
  <c r="H250" i="59" s="1"/>
  <c r="G214" i="50"/>
  <c r="H24" i="59" s="1"/>
  <c r="G267" i="1"/>
  <c r="G267" i="14"/>
  <c r="H42" i="59" s="1"/>
  <c r="G267" i="44"/>
  <c r="H34" i="59" s="1"/>
  <c r="G268" i="5"/>
  <c r="H37" i="59" s="1"/>
  <c r="G267" i="8"/>
  <c r="G267" i="11"/>
  <c r="H41" i="59" s="1"/>
  <c r="H281" i="59" s="1"/>
  <c r="G267" i="17"/>
  <c r="H38" i="59" s="1"/>
  <c r="H278" i="59" s="1"/>
  <c r="G267" i="29"/>
  <c r="G267" i="26"/>
  <c r="H52" i="59" s="1"/>
  <c r="G267" i="32"/>
  <c r="H40" i="59" s="1"/>
  <c r="G267" i="56"/>
  <c r="H36" i="59" s="1"/>
  <c r="G267" i="23"/>
  <c r="H44" i="59" s="1"/>
  <c r="G267" i="41"/>
  <c r="H55" i="59" s="1"/>
  <c r="H295" i="59" s="1"/>
  <c r="G267" i="35"/>
  <c r="H48" i="59" s="1"/>
  <c r="H288" i="59" s="1"/>
  <c r="G267" i="47"/>
  <c r="H43" i="59" s="1"/>
  <c r="G267" i="50"/>
  <c r="H53" i="59" s="1"/>
  <c r="G267" i="53"/>
  <c r="H54" i="59" s="1"/>
  <c r="H267" i="1"/>
  <c r="M214" i="20"/>
  <c r="N18" i="59" s="1"/>
  <c r="N258" i="59" s="1"/>
  <c r="M20" i="20" s="1"/>
  <c r="L214" i="20"/>
  <c r="M18" i="59" s="1"/>
  <c r="N214" i="20"/>
  <c r="O18" i="59" s="1"/>
  <c r="G214" i="20"/>
  <c r="H18" i="59" s="1"/>
  <c r="O214" i="20"/>
  <c r="P18" i="59" s="1"/>
  <c r="G267" i="20"/>
  <c r="H47" i="59" s="1"/>
  <c r="O267" i="20"/>
  <c r="P47" i="59" s="1"/>
  <c r="J267" i="20"/>
  <c r="K47" i="59" s="1"/>
  <c r="J214" i="20"/>
  <c r="K18" i="59" s="1"/>
  <c r="K258" i="59" s="1"/>
  <c r="J20" i="20" s="1"/>
  <c r="K267" i="20"/>
  <c r="L47" i="59" s="1"/>
  <c r="I214" i="20"/>
  <c r="J18" i="59" s="1"/>
  <c r="Q214" i="20"/>
  <c r="R18" i="59" s="1"/>
  <c r="BN166" i="56"/>
  <c r="AB225" i="56"/>
  <c r="AB226" i="56" s="1"/>
  <c r="G214" i="53"/>
  <c r="H25" i="59" s="1"/>
  <c r="G214" i="1"/>
  <c r="H4" i="59" s="1"/>
  <c r="H214" i="1"/>
  <c r="I4" i="59" s="1"/>
  <c r="G215" i="5"/>
  <c r="H8" i="59" s="1"/>
  <c r="H9" i="59"/>
  <c r="H307" i="59" s="1"/>
  <c r="G214" i="8"/>
  <c r="H6" i="59" s="1"/>
  <c r="H246" i="59" s="1"/>
  <c r="G20" i="8" s="1"/>
  <c r="AF7" i="71"/>
  <c r="AE7" i="71" s="1"/>
  <c r="G8" i="70"/>
  <c r="AF15" i="71"/>
  <c r="AE15" i="71" s="1"/>
  <c r="G16" i="70"/>
  <c r="G37" i="70"/>
  <c r="AF8" i="71"/>
  <c r="AE8" i="71" s="1"/>
  <c r="G9" i="70"/>
  <c r="AF17" i="71"/>
  <c r="G18" i="70"/>
  <c r="L17" i="71" s="1"/>
  <c r="G47" i="70"/>
  <c r="AF9" i="71"/>
  <c r="G10" i="70"/>
  <c r="G39" i="70"/>
  <c r="AF10" i="71"/>
  <c r="AE10" i="71" s="1"/>
  <c r="G11" i="70"/>
  <c r="AF22" i="71"/>
  <c r="G23" i="70"/>
  <c r="L22" i="71" s="1"/>
  <c r="G40" i="70"/>
  <c r="AF23" i="71"/>
  <c r="G24" i="70"/>
  <c r="L23" i="71" s="1"/>
  <c r="G53" i="70"/>
  <c r="AF12" i="71"/>
  <c r="AE12" i="71" s="1"/>
  <c r="G13" i="70"/>
  <c r="AF24" i="71"/>
  <c r="G25" i="70"/>
  <c r="L24" i="71" s="1"/>
  <c r="AF4" i="71"/>
  <c r="G5" i="70"/>
  <c r="G34" i="70"/>
  <c r="G54" i="70"/>
  <c r="G72" i="59"/>
  <c r="G72" i="70" s="1"/>
  <c r="AF13" i="71"/>
  <c r="G14" i="70"/>
  <c r="AF25" i="71"/>
  <c r="G26" i="70"/>
  <c r="AF5" i="71"/>
  <c r="AE5" i="71" s="1"/>
  <c r="G6" i="70"/>
  <c r="G55" i="70"/>
  <c r="AF14" i="71"/>
  <c r="AE14" i="71" s="1"/>
  <c r="G15" i="70"/>
  <c r="AF6" i="71"/>
  <c r="AE6" i="71" s="1"/>
  <c r="G7" i="70"/>
  <c r="G36" i="70"/>
  <c r="G44" i="70"/>
  <c r="AF3" i="71"/>
  <c r="AF11" i="71"/>
  <c r="G12" i="70"/>
  <c r="G41" i="70"/>
  <c r="G4" i="70"/>
  <c r="G67" i="59"/>
  <c r="G76" i="59"/>
  <c r="G68" i="59"/>
  <c r="G131" i="70" s="1"/>
  <c r="G69" i="59"/>
  <c r="G81" i="59"/>
  <c r="G70" i="59"/>
  <c r="G82" i="59"/>
  <c r="G71" i="59"/>
  <c r="G83" i="59"/>
  <c r="G84" i="59"/>
  <c r="G64" i="59"/>
  <c r="G73" i="59"/>
  <c r="G65" i="59"/>
  <c r="G66" i="59"/>
  <c r="G74" i="59"/>
  <c r="G214" i="47"/>
  <c r="H14" i="59" s="1"/>
  <c r="N267" i="20"/>
  <c r="O47" i="59" s="1"/>
  <c r="BY157" i="56"/>
  <c r="BY156" i="56" s="1"/>
  <c r="AA225" i="56"/>
  <c r="AA226" i="56" s="1"/>
  <c r="BH166" i="56"/>
  <c r="BI166" i="56"/>
  <c r="I83" i="56"/>
  <c r="I81" i="56"/>
  <c r="I79" i="56"/>
  <c r="I77" i="56"/>
  <c r="I75" i="56"/>
  <c r="I73" i="56"/>
  <c r="I71" i="56"/>
  <c r="I69" i="56"/>
  <c r="I84" i="56"/>
  <c r="I82" i="56"/>
  <c r="I80" i="56"/>
  <c r="I78" i="56"/>
  <c r="I76" i="56"/>
  <c r="I74" i="56"/>
  <c r="I72" i="56"/>
  <c r="I70" i="56"/>
  <c r="BN158" i="56"/>
  <c r="H70" i="56"/>
  <c r="H72" i="56"/>
  <c r="H74" i="56"/>
  <c r="H76" i="56"/>
  <c r="H78" i="56"/>
  <c r="H80" i="56"/>
  <c r="H82" i="56"/>
  <c r="H84" i="56"/>
  <c r="BO166" i="56"/>
  <c r="CJ177" i="56"/>
  <c r="CF169" i="56" s="1"/>
  <c r="CI177" i="56"/>
  <c r="CE169" i="56" s="1"/>
  <c r="CJ176" i="56"/>
  <c r="CF170" i="56" s="1"/>
  <c r="CJ175" i="56"/>
  <c r="CF171" i="56" s="1"/>
  <c r="CJ174" i="56"/>
  <c r="CF172" i="56" s="1"/>
  <c r="CJ173" i="56"/>
  <c r="CF173" i="56" s="1"/>
  <c r="CJ172" i="56"/>
  <c r="CF174" i="56" s="1"/>
  <c r="CJ171" i="56"/>
  <c r="CF175" i="56" s="1"/>
  <c r="CJ170" i="56"/>
  <c r="CF176" i="56" s="1"/>
  <c r="CJ169" i="56"/>
  <c r="CF177" i="56" s="1"/>
  <c r="BM166" i="56"/>
  <c r="CI170" i="56"/>
  <c r="CE176" i="56" s="1"/>
  <c r="CI171" i="56"/>
  <c r="CE175" i="56" s="1"/>
  <c r="CI172" i="56"/>
  <c r="CE174" i="56" s="1"/>
  <c r="CI173" i="56"/>
  <c r="CE173" i="56" s="1"/>
  <c r="W210" i="56"/>
  <c r="X210" i="56" s="1"/>
  <c r="W202" i="56"/>
  <c r="X202" i="56" s="1"/>
  <c r="W194" i="56"/>
  <c r="X194" i="56" s="1"/>
  <c r="W186" i="56"/>
  <c r="X186" i="56" s="1"/>
  <c r="W178" i="56"/>
  <c r="X178" i="56" s="1"/>
  <c r="W209" i="56"/>
  <c r="X209" i="56" s="1"/>
  <c r="W201" i="56"/>
  <c r="X201" i="56" s="1"/>
  <c r="W193" i="56"/>
  <c r="X193" i="56" s="1"/>
  <c r="W185" i="56"/>
  <c r="X185" i="56" s="1"/>
  <c r="W208" i="56"/>
  <c r="X208" i="56" s="1"/>
  <c r="W200" i="56"/>
  <c r="X200" i="56" s="1"/>
  <c r="W192" i="56"/>
  <c r="X192" i="56" s="1"/>
  <c r="W184" i="56"/>
  <c r="X184" i="56" s="1"/>
  <c r="W207" i="56"/>
  <c r="X207" i="56" s="1"/>
  <c r="W199" i="56"/>
  <c r="X199" i="56" s="1"/>
  <c r="W191" i="56"/>
  <c r="X191" i="56" s="1"/>
  <c r="W183" i="56"/>
  <c r="X183" i="56" s="1"/>
  <c r="W206" i="56"/>
  <c r="X206" i="56" s="1"/>
  <c r="W198" i="56"/>
  <c r="X198" i="56" s="1"/>
  <c r="W190" i="56"/>
  <c r="X190" i="56" s="1"/>
  <c r="W182" i="56"/>
  <c r="X182" i="56" s="1"/>
  <c r="W205" i="56"/>
  <c r="X205" i="56" s="1"/>
  <c r="W197" i="56"/>
  <c r="X197" i="56" s="1"/>
  <c r="W189" i="56"/>
  <c r="X189" i="56" s="1"/>
  <c r="W181" i="56"/>
  <c r="X181" i="56" s="1"/>
  <c r="W177" i="56"/>
  <c r="X177" i="56" s="1"/>
  <c r="W176" i="56"/>
  <c r="X176" i="56" s="1"/>
  <c r="W175" i="56"/>
  <c r="X175" i="56" s="1"/>
  <c r="W174" i="56"/>
  <c r="X174" i="56" s="1"/>
  <c r="W173" i="56"/>
  <c r="X173" i="56" s="1"/>
  <c r="W172" i="56"/>
  <c r="X172" i="56" s="1"/>
  <c r="W171" i="56"/>
  <c r="X171" i="56" s="1"/>
  <c r="W170" i="56"/>
  <c r="X170" i="56" s="1"/>
  <c r="W169" i="56"/>
  <c r="X169" i="56" s="1"/>
  <c r="W204" i="56"/>
  <c r="X204" i="56" s="1"/>
  <c r="W196" i="56"/>
  <c r="X196" i="56" s="1"/>
  <c r="W188" i="56"/>
  <c r="X188" i="56" s="1"/>
  <c r="W180" i="56"/>
  <c r="X180" i="56" s="1"/>
  <c r="W167" i="56"/>
  <c r="X167" i="56" s="1"/>
  <c r="CI174" i="56"/>
  <c r="CE172" i="56" s="1"/>
  <c r="CI175" i="56"/>
  <c r="CE171" i="56" s="1"/>
  <c r="CI176" i="56"/>
  <c r="CE170" i="56" s="1"/>
  <c r="W179" i="56"/>
  <c r="X179" i="56" s="1"/>
  <c r="CI169" i="56"/>
  <c r="CE177" i="56" s="1"/>
  <c r="BY160" i="56"/>
  <c r="BY162" i="32"/>
  <c r="BV161" i="32"/>
  <c r="BN160" i="32"/>
  <c r="BY158" i="32"/>
  <c r="BP158" i="32" s="1"/>
  <c r="BV163" i="32" s="1"/>
  <c r="BV156" i="32"/>
  <c r="BY162" i="20"/>
  <c r="BV161" i="20"/>
  <c r="BN157" i="20" s="1"/>
  <c r="BN160" i="20"/>
  <c r="W167" i="20" s="1"/>
  <c r="BP158" i="20"/>
  <c r="BV163" i="20" s="1"/>
  <c r="BY157" i="20"/>
  <c r="BV156" i="20"/>
  <c r="BY162" i="17"/>
  <c r="BV161" i="17"/>
  <c r="BN160" i="17"/>
  <c r="BY159" i="17"/>
  <c r="BY158" i="17"/>
  <c r="BV156" i="17"/>
  <c r="BY162" i="29"/>
  <c r="BV161" i="29"/>
  <c r="BN160" i="29"/>
  <c r="BY159" i="29"/>
  <c r="BY158" i="29"/>
  <c r="BV156" i="29"/>
  <c r="F28" i="38" l="1"/>
  <c r="R106" i="59"/>
  <c r="R316" i="59"/>
  <c r="H316" i="59"/>
  <c r="G27" i="20"/>
  <c r="G13" i="20"/>
  <c r="Q106" i="59"/>
  <c r="Q316" i="59"/>
  <c r="P27" i="20"/>
  <c r="P13" i="20"/>
  <c r="H258" i="59"/>
  <c r="G20" i="20" s="1"/>
  <c r="R258" i="59"/>
  <c r="J106" i="59"/>
  <c r="J316" i="59"/>
  <c r="I13" i="20"/>
  <c r="I27" i="20"/>
  <c r="O106" i="59"/>
  <c r="O316" i="59"/>
  <c r="N13" i="20"/>
  <c r="N27" i="20"/>
  <c r="L106" i="59"/>
  <c r="L316" i="59"/>
  <c r="K27" i="20"/>
  <c r="K13" i="20"/>
  <c r="I106" i="59"/>
  <c r="I316" i="59"/>
  <c r="H27" i="20"/>
  <c r="H13" i="20"/>
  <c r="Q258" i="59"/>
  <c r="P20" i="20" s="1"/>
  <c r="M106" i="59"/>
  <c r="M316" i="59"/>
  <c r="L27" i="20"/>
  <c r="L13" i="20"/>
  <c r="L258" i="59"/>
  <c r="K20" i="20" s="1"/>
  <c r="J258" i="59"/>
  <c r="I20" i="20" s="1"/>
  <c r="M258" i="59"/>
  <c r="L20" i="20" s="1"/>
  <c r="K106" i="59"/>
  <c r="K316" i="59"/>
  <c r="J27" i="20"/>
  <c r="J13" i="20"/>
  <c r="P106" i="59"/>
  <c r="P316" i="59"/>
  <c r="O27" i="20"/>
  <c r="O13" i="20"/>
  <c r="N106" i="59"/>
  <c r="N316" i="59"/>
  <c r="M27" i="20"/>
  <c r="M13" i="20"/>
  <c r="O258" i="59"/>
  <c r="N20" i="20" s="1"/>
  <c r="P258" i="59"/>
  <c r="O20" i="20" s="1"/>
  <c r="I258" i="59"/>
  <c r="H20" i="20" s="1"/>
  <c r="H323" i="59"/>
  <c r="G27" i="53"/>
  <c r="G13" i="76"/>
  <c r="G27" i="76"/>
  <c r="G13" i="53"/>
  <c r="H265" i="59"/>
  <c r="F20" i="76"/>
  <c r="F20" i="53"/>
  <c r="F23" i="53"/>
  <c r="F23" i="76"/>
  <c r="H103" i="59"/>
  <c r="H313" i="59"/>
  <c r="G13" i="23"/>
  <c r="G27" i="23"/>
  <c r="H266" i="59"/>
  <c r="H253" i="59"/>
  <c r="H311" i="59"/>
  <c r="H252" i="59"/>
  <c r="H251" i="59"/>
  <c r="G20" i="38"/>
  <c r="H308" i="59"/>
  <c r="G27" i="38"/>
  <c r="H264" i="59"/>
  <c r="G20" i="50" s="1"/>
  <c r="G6" i="50"/>
  <c r="G7" i="50" s="1"/>
  <c r="H322" i="59"/>
  <c r="G21" i="50" s="1"/>
  <c r="G13" i="50"/>
  <c r="G27" i="50"/>
  <c r="H249" i="59"/>
  <c r="H104" i="59"/>
  <c r="H314" i="59"/>
  <c r="G27" i="29"/>
  <c r="G13" i="29"/>
  <c r="H256" i="59"/>
  <c r="G20" i="29" s="1"/>
  <c r="H96" i="59"/>
  <c r="H306" i="59"/>
  <c r="G27" i="5"/>
  <c r="G13" i="5"/>
  <c r="H248" i="59"/>
  <c r="G20" i="5" s="1"/>
  <c r="H321" i="59"/>
  <c r="G27" i="26"/>
  <c r="G13" i="26"/>
  <c r="H94" i="59"/>
  <c r="H304" i="59"/>
  <c r="G27" i="8"/>
  <c r="G13" i="8"/>
  <c r="H93" i="59"/>
  <c r="H303" i="59"/>
  <c r="G27" i="44"/>
  <c r="G13" i="44"/>
  <c r="H5" i="72"/>
  <c r="H95" i="59"/>
  <c r="H305" i="59"/>
  <c r="G13" i="56"/>
  <c r="G27" i="56"/>
  <c r="O136" i="59"/>
  <c r="O201" i="59" s="1"/>
  <c r="O287" i="59"/>
  <c r="N23" i="20" s="1"/>
  <c r="N22" i="20"/>
  <c r="N26" i="20" s="1"/>
  <c r="H125" i="59"/>
  <c r="H190" i="59" s="1"/>
  <c r="H276" i="59"/>
  <c r="G23" i="56" s="1"/>
  <c r="G22" i="56"/>
  <c r="G14" i="56" s="1"/>
  <c r="H123" i="59"/>
  <c r="H188" i="59" s="1"/>
  <c r="H274" i="59"/>
  <c r="G23" i="44" s="1"/>
  <c r="G22" i="44"/>
  <c r="G14" i="44" s="1"/>
  <c r="H279" i="59"/>
  <c r="G22" i="38"/>
  <c r="G26" i="38" s="1"/>
  <c r="N136" i="59"/>
  <c r="N201" i="59" s="1"/>
  <c r="N287" i="59"/>
  <c r="M23" i="20" s="1"/>
  <c r="M22" i="20"/>
  <c r="M26" i="20" s="1"/>
  <c r="K136" i="59"/>
  <c r="K201" i="59" s="1"/>
  <c r="K287" i="59"/>
  <c r="J23" i="20" s="1"/>
  <c r="J22" i="20"/>
  <c r="J14" i="20" s="1"/>
  <c r="G23" i="32"/>
  <c r="H280" i="59"/>
  <c r="Q136" i="59"/>
  <c r="Q201" i="59" s="1"/>
  <c r="Q287" i="59"/>
  <c r="P23" i="20" s="1"/>
  <c r="P22" i="20"/>
  <c r="P26" i="20" s="1"/>
  <c r="M136" i="59"/>
  <c r="M201" i="59" s="1"/>
  <c r="M287" i="59"/>
  <c r="L23" i="20" s="1"/>
  <c r="L22" i="20"/>
  <c r="L26" i="20" s="1"/>
  <c r="R136" i="59"/>
  <c r="R201" i="59" s="1"/>
  <c r="R287" i="59"/>
  <c r="P136" i="59"/>
  <c r="P201" i="59" s="1"/>
  <c r="P287" i="59"/>
  <c r="O23" i="20" s="1"/>
  <c r="O22" i="20"/>
  <c r="O26" i="20" s="1"/>
  <c r="H143" i="59"/>
  <c r="H208" i="59" s="1"/>
  <c r="H294" i="59"/>
  <c r="G22" i="76"/>
  <c r="G22" i="53"/>
  <c r="G14" i="53" s="1"/>
  <c r="H141" i="59"/>
  <c r="H206" i="59" s="1"/>
  <c r="H292" i="59"/>
  <c r="G22" i="26"/>
  <c r="I136" i="59"/>
  <c r="I201" i="59" s="1"/>
  <c r="I287" i="59"/>
  <c r="H23" i="20" s="1"/>
  <c r="H22" i="20"/>
  <c r="H26" i="20" s="1"/>
  <c r="J136" i="59"/>
  <c r="J201" i="59" s="1"/>
  <c r="J287" i="59"/>
  <c r="I23" i="20" s="1"/>
  <c r="I22" i="20"/>
  <c r="I26" i="20" s="1"/>
  <c r="L136" i="59"/>
  <c r="L201" i="59" s="1"/>
  <c r="L287" i="59"/>
  <c r="K23" i="20" s="1"/>
  <c r="K22" i="20"/>
  <c r="K26" i="20" s="1"/>
  <c r="H136" i="59"/>
  <c r="H201" i="59" s="1"/>
  <c r="H287" i="59"/>
  <c r="G23" i="20" s="1"/>
  <c r="G22" i="20"/>
  <c r="G8" i="50"/>
  <c r="G9" i="50" s="1"/>
  <c r="H293" i="59"/>
  <c r="G22" i="50"/>
  <c r="H133" i="59"/>
  <c r="H198" i="59" s="1"/>
  <c r="H284" i="59"/>
  <c r="G23" i="23" s="1"/>
  <c r="G22" i="23"/>
  <c r="H126" i="59"/>
  <c r="H191" i="59" s="1"/>
  <c r="H277" i="59"/>
  <c r="G23" i="5" s="1"/>
  <c r="G22" i="5"/>
  <c r="F17" i="1"/>
  <c r="I302" i="59"/>
  <c r="H21" i="1" s="1"/>
  <c r="H27" i="1"/>
  <c r="H13" i="1"/>
  <c r="H6" i="83"/>
  <c r="H7" i="83" s="1"/>
  <c r="H13" i="83"/>
  <c r="H27" i="83"/>
  <c r="I244" i="59"/>
  <c r="H20" i="1" s="1"/>
  <c r="H302" i="59"/>
  <c r="G21" i="1" s="1"/>
  <c r="G13" i="1"/>
  <c r="G27" i="1"/>
  <c r="G6" i="83"/>
  <c r="G7" i="83" s="1"/>
  <c r="G27" i="83"/>
  <c r="G13" i="83"/>
  <c r="H244" i="59"/>
  <c r="G20" i="1" s="1"/>
  <c r="F17" i="83"/>
  <c r="H312" i="59"/>
  <c r="H254" i="59"/>
  <c r="H2" i="59"/>
  <c r="I2" i="59" s="1"/>
  <c r="G13" i="47"/>
  <c r="H283" i="59"/>
  <c r="G22" i="47"/>
  <c r="G26" i="47" s="1"/>
  <c r="H282" i="59"/>
  <c r="G23" i="14" s="1"/>
  <c r="H142" i="59"/>
  <c r="H207" i="59" s="1"/>
  <c r="H137" i="59"/>
  <c r="H202" i="59" s="1"/>
  <c r="G22" i="35"/>
  <c r="G14" i="35" s="1"/>
  <c r="G23" i="35"/>
  <c r="G27" i="35"/>
  <c r="H259" i="59"/>
  <c r="G20" i="35" s="1"/>
  <c r="G13" i="35"/>
  <c r="H127" i="59"/>
  <c r="H192" i="59" s="1"/>
  <c r="G23" i="17"/>
  <c r="G22" i="17"/>
  <c r="G14" i="17" s="1"/>
  <c r="H97" i="59"/>
  <c r="G20" i="17"/>
  <c r="G27" i="17"/>
  <c r="G13" i="17"/>
  <c r="H128" i="59"/>
  <c r="H193" i="59" s="1"/>
  <c r="G23" i="38"/>
  <c r="H98" i="59"/>
  <c r="G13" i="38"/>
  <c r="H130" i="59"/>
  <c r="H195" i="59" s="1"/>
  <c r="G22" i="11"/>
  <c r="G14" i="11" s="1"/>
  <c r="G23" i="11"/>
  <c r="H100" i="59"/>
  <c r="G13" i="11"/>
  <c r="G20" i="11"/>
  <c r="G27" i="11"/>
  <c r="H144" i="59"/>
  <c r="H209" i="59" s="1"/>
  <c r="G23" i="41"/>
  <c r="G22" i="41"/>
  <c r="H114" i="59"/>
  <c r="G20" i="41"/>
  <c r="G13" i="41"/>
  <c r="G27" i="41"/>
  <c r="H131" i="59"/>
  <c r="H196" i="59" s="1"/>
  <c r="G22" i="14"/>
  <c r="G14" i="14" s="1"/>
  <c r="G18" i="14" s="1"/>
  <c r="H101" i="59"/>
  <c r="G13" i="14"/>
  <c r="G27" i="14"/>
  <c r="G20" i="14"/>
  <c r="G36" i="47"/>
  <c r="G37" i="47" s="1"/>
  <c r="H129" i="59"/>
  <c r="H194" i="59" s="1"/>
  <c r="G22" i="32"/>
  <c r="G26" i="32" s="1"/>
  <c r="G145" i="59"/>
  <c r="G194" i="59"/>
  <c r="G132" i="70" s="1"/>
  <c r="H99" i="59"/>
  <c r="G13" i="32"/>
  <c r="G27" i="32"/>
  <c r="G20" i="32"/>
  <c r="F21" i="76"/>
  <c r="F21" i="53"/>
  <c r="F28" i="47"/>
  <c r="F16" i="53"/>
  <c r="F17" i="53" s="1"/>
  <c r="G36" i="23"/>
  <c r="G37" i="23" s="1"/>
  <c r="Q33" i="83"/>
  <c r="P32" i="1"/>
  <c r="P32" i="83"/>
  <c r="L32" i="1"/>
  <c r="L32" i="83"/>
  <c r="H32" i="1"/>
  <c r="H32" i="83"/>
  <c r="J32" i="1"/>
  <c r="J32" i="83"/>
  <c r="O32" i="1"/>
  <c r="O32" i="83"/>
  <c r="I32" i="1"/>
  <c r="I32" i="83"/>
  <c r="M32" i="1"/>
  <c r="M32" i="83"/>
  <c r="N32" i="1"/>
  <c r="N32" i="83"/>
  <c r="K32" i="1"/>
  <c r="K32" i="83"/>
  <c r="G32" i="1"/>
  <c r="G36" i="1" s="1"/>
  <c r="G37" i="1" s="1"/>
  <c r="G32" i="83"/>
  <c r="H102" i="59"/>
  <c r="G27" i="47"/>
  <c r="H132" i="59"/>
  <c r="H197" i="59" s="1"/>
  <c r="F28" i="50"/>
  <c r="H113" i="59"/>
  <c r="H112" i="59"/>
  <c r="H111" i="59"/>
  <c r="H106" i="59"/>
  <c r="F16" i="44"/>
  <c r="F17" i="44" s="1"/>
  <c r="G296" i="59"/>
  <c r="H107" i="59"/>
  <c r="I92" i="59"/>
  <c r="G23" i="47"/>
  <c r="F28" i="14"/>
  <c r="F16" i="76"/>
  <c r="F17" i="76" s="1"/>
  <c r="G115" i="59"/>
  <c r="H92" i="59"/>
  <c r="Y26" i="71"/>
  <c r="F28" i="32"/>
  <c r="F16" i="23"/>
  <c r="F17" i="23" s="1"/>
  <c r="F16" i="50"/>
  <c r="F17" i="50" s="1"/>
  <c r="F16" i="32"/>
  <c r="F17" i="32" s="1"/>
  <c r="F16" i="26"/>
  <c r="F17" i="26" s="1"/>
  <c r="F28" i="26"/>
  <c r="F16" i="14"/>
  <c r="F17" i="14" s="1"/>
  <c r="F16" i="20"/>
  <c r="F17" i="20" s="1"/>
  <c r="F28" i="20"/>
  <c r="F28" i="23"/>
  <c r="F28" i="56"/>
  <c r="F16" i="56"/>
  <c r="F17" i="56" s="1"/>
  <c r="F16" i="47"/>
  <c r="F17" i="47" s="1"/>
  <c r="F28" i="29"/>
  <c r="F16" i="29"/>
  <c r="F17" i="29" s="1"/>
  <c r="F28" i="41"/>
  <c r="F28" i="8"/>
  <c r="H29" i="59"/>
  <c r="F16" i="41"/>
  <c r="F17" i="41" s="1"/>
  <c r="F16" i="8"/>
  <c r="F17" i="8" s="1"/>
  <c r="AA3" i="81"/>
  <c r="AA8" i="81" s="1"/>
  <c r="W8" i="81"/>
  <c r="F18" i="38"/>
  <c r="F16" i="38"/>
  <c r="F17" i="38" s="1"/>
  <c r="G36" i="14"/>
  <c r="G37" i="14" s="1"/>
  <c r="F16" i="11"/>
  <c r="F17" i="11" s="1"/>
  <c r="F28" i="11"/>
  <c r="F16" i="5"/>
  <c r="F17" i="5" s="1"/>
  <c r="F28" i="5"/>
  <c r="AB7" i="79"/>
  <c r="AB17" i="79" s="1"/>
  <c r="X17" i="79"/>
  <c r="G36" i="11"/>
  <c r="G37" i="11" s="1"/>
  <c r="G36" i="26"/>
  <c r="G37" i="26" s="1"/>
  <c r="G36" i="44"/>
  <c r="G37" i="44" s="1"/>
  <c r="M33" i="53"/>
  <c r="M33" i="76"/>
  <c r="J33" i="76"/>
  <c r="J33" i="53"/>
  <c r="K8" i="20"/>
  <c r="K9" i="20" s="1"/>
  <c r="G8" i="56"/>
  <c r="G9" i="56" s="1"/>
  <c r="G8" i="44"/>
  <c r="G9" i="44" s="1"/>
  <c r="G8" i="38"/>
  <c r="G9" i="38" s="1"/>
  <c r="N33" i="53"/>
  <c r="N33" i="76"/>
  <c r="G36" i="56"/>
  <c r="G37" i="56" s="1"/>
  <c r="G36" i="29"/>
  <c r="G37" i="29" s="1"/>
  <c r="G36" i="38"/>
  <c r="G37" i="38" s="1"/>
  <c r="M8" i="20"/>
  <c r="M9" i="20" s="1"/>
  <c r="G33" i="53"/>
  <c r="G33" i="76"/>
  <c r="R47" i="72"/>
  <c r="S47" i="59"/>
  <c r="L33" i="76"/>
  <c r="L33" i="53"/>
  <c r="G8" i="23"/>
  <c r="G9" i="23" s="1"/>
  <c r="K33" i="76"/>
  <c r="K33" i="53"/>
  <c r="J8" i="20"/>
  <c r="J9" i="20" s="1"/>
  <c r="G8" i="14"/>
  <c r="G9" i="14" s="1"/>
  <c r="P8" i="20"/>
  <c r="P9" i="20" s="1"/>
  <c r="I33" i="76"/>
  <c r="I33" i="53"/>
  <c r="G36" i="20"/>
  <c r="G37" i="20" s="1"/>
  <c r="P33" i="76"/>
  <c r="P33" i="53"/>
  <c r="G8" i="35"/>
  <c r="G9" i="35" s="1"/>
  <c r="L8" i="20"/>
  <c r="L9" i="20" s="1"/>
  <c r="I8" i="20"/>
  <c r="I9" i="20" s="1"/>
  <c r="G8" i="5"/>
  <c r="G9" i="5" s="1"/>
  <c r="N8" i="20"/>
  <c r="N9" i="20" s="1"/>
  <c r="O8" i="20"/>
  <c r="O9" i="20" s="1"/>
  <c r="G8" i="53"/>
  <c r="G9" i="53" s="1"/>
  <c r="G8" i="76"/>
  <c r="G9" i="76" s="1"/>
  <c r="G8" i="26"/>
  <c r="G9" i="26" s="1"/>
  <c r="H8" i="20"/>
  <c r="H9" i="20" s="1"/>
  <c r="H33" i="76"/>
  <c r="H33" i="53"/>
  <c r="G36" i="50"/>
  <c r="G37" i="50" s="1"/>
  <c r="G36" i="32"/>
  <c r="G37" i="32" s="1"/>
  <c r="G36" i="8"/>
  <c r="G37" i="8" s="1"/>
  <c r="G8" i="41"/>
  <c r="G9" i="41" s="1"/>
  <c r="G8" i="20"/>
  <c r="G9" i="20" s="1"/>
  <c r="O33" i="53"/>
  <c r="O33" i="76"/>
  <c r="L3" i="71"/>
  <c r="L3" i="79"/>
  <c r="G21" i="38"/>
  <c r="G6" i="38"/>
  <c r="G7" i="38" s="1"/>
  <c r="G6" i="8"/>
  <c r="G7" i="8" s="1"/>
  <c r="G10" i="8" s="1"/>
  <c r="G21" i="8"/>
  <c r="L14" i="71"/>
  <c r="L13" i="79"/>
  <c r="L12" i="71"/>
  <c r="L11" i="79"/>
  <c r="L10" i="71"/>
  <c r="L4" i="81"/>
  <c r="L8" i="71"/>
  <c r="L8" i="79"/>
  <c r="H18" i="72"/>
  <c r="G39" i="20" s="1"/>
  <c r="G21" i="20"/>
  <c r="G6" i="20"/>
  <c r="G7" i="20" s="1"/>
  <c r="H23" i="72"/>
  <c r="G39" i="26" s="1"/>
  <c r="G6" i="26"/>
  <c r="G7" i="26" s="1"/>
  <c r="G21" i="26"/>
  <c r="G6" i="29"/>
  <c r="G7" i="29" s="1"/>
  <c r="G21" i="29"/>
  <c r="M32" i="53"/>
  <c r="M32" i="76"/>
  <c r="H32" i="76"/>
  <c r="H32" i="53"/>
  <c r="G6" i="5"/>
  <c r="G7" i="5" s="1"/>
  <c r="G21" i="5"/>
  <c r="L6" i="20"/>
  <c r="L7" i="20" s="1"/>
  <c r="L21" i="20"/>
  <c r="G6" i="23"/>
  <c r="G7" i="23" s="1"/>
  <c r="G21" i="23"/>
  <c r="G21" i="14"/>
  <c r="G6" i="14"/>
  <c r="G7" i="14" s="1"/>
  <c r="L32" i="53"/>
  <c r="L32" i="76"/>
  <c r="G32" i="76"/>
  <c r="G32" i="53"/>
  <c r="J18" i="72"/>
  <c r="I39" i="20" s="1"/>
  <c r="I21" i="20"/>
  <c r="I6" i="20"/>
  <c r="I7" i="20" s="1"/>
  <c r="K21" i="20"/>
  <c r="K6" i="20"/>
  <c r="K7" i="20" s="1"/>
  <c r="L5" i="71"/>
  <c r="L5" i="79"/>
  <c r="L3" i="81"/>
  <c r="L9" i="71"/>
  <c r="L9" i="79"/>
  <c r="L15" i="71"/>
  <c r="L6" i="81"/>
  <c r="J21" i="20"/>
  <c r="J6" i="20"/>
  <c r="J7" i="20" s="1"/>
  <c r="M6" i="20"/>
  <c r="M7" i="20" s="1"/>
  <c r="M21" i="20"/>
  <c r="G21" i="56"/>
  <c r="G6" i="56"/>
  <c r="G7" i="56" s="1"/>
  <c r="K32" i="53"/>
  <c r="K32" i="76"/>
  <c r="O6" i="20"/>
  <c r="O7" i="20" s="1"/>
  <c r="O21" i="20"/>
  <c r="L11" i="71"/>
  <c r="L10" i="79"/>
  <c r="O18" i="72"/>
  <c r="N39" i="20" s="1"/>
  <c r="N6" i="20"/>
  <c r="N7" i="20" s="1"/>
  <c r="N21" i="20"/>
  <c r="L4" i="71"/>
  <c r="L4" i="79"/>
  <c r="H25" i="72"/>
  <c r="G6" i="53"/>
  <c r="G7" i="53" s="1"/>
  <c r="G6" i="76"/>
  <c r="G7" i="76" s="1"/>
  <c r="P6" i="20"/>
  <c r="P7" i="20" s="1"/>
  <c r="P21" i="20"/>
  <c r="J32" i="76"/>
  <c r="J32" i="53"/>
  <c r="K13" i="71"/>
  <c r="K12" i="79"/>
  <c r="K5" i="81"/>
  <c r="G6" i="44"/>
  <c r="G7" i="44" s="1"/>
  <c r="L25" i="71"/>
  <c r="L16" i="79"/>
  <c r="L13" i="71"/>
  <c r="L12" i="79"/>
  <c r="L5" i="81"/>
  <c r="P32" i="76"/>
  <c r="P32" i="53"/>
  <c r="G21" i="35"/>
  <c r="G6" i="35"/>
  <c r="G7" i="35" s="1"/>
  <c r="N32" i="76"/>
  <c r="N32" i="53"/>
  <c r="O32" i="76"/>
  <c r="O32" i="53"/>
  <c r="L7" i="71"/>
  <c r="L7" i="79"/>
  <c r="H21" i="20"/>
  <c r="H6" i="20"/>
  <c r="H7" i="20" s="1"/>
  <c r="L6" i="71"/>
  <c r="L6" i="79"/>
  <c r="H24" i="72"/>
  <c r="G39" i="50" s="1"/>
  <c r="G6" i="41"/>
  <c r="G7" i="41" s="1"/>
  <c r="G21" i="41"/>
  <c r="I32" i="76"/>
  <c r="I32" i="53"/>
  <c r="AE3" i="71"/>
  <c r="AA26" i="71"/>
  <c r="G8" i="11"/>
  <c r="G9" i="11" s="1"/>
  <c r="G21" i="11"/>
  <c r="G6" i="11"/>
  <c r="G7" i="11" s="1"/>
  <c r="F28" i="17"/>
  <c r="G8" i="47"/>
  <c r="G9" i="47" s="1"/>
  <c r="G6" i="47"/>
  <c r="G7" i="47" s="1"/>
  <c r="G21" i="47"/>
  <c r="F28" i="44"/>
  <c r="G85" i="59"/>
  <c r="F16" i="17"/>
  <c r="F17" i="17" s="1"/>
  <c r="G6" i="17"/>
  <c r="G7" i="17" s="1"/>
  <c r="G11" i="17" s="1"/>
  <c r="G21" i="17"/>
  <c r="G8" i="17"/>
  <c r="G9" i="17" s="1"/>
  <c r="G36" i="17"/>
  <c r="G37" i="17" s="1"/>
  <c r="H6" i="1"/>
  <c r="H7" i="1" s="1"/>
  <c r="G6" i="1"/>
  <c r="G7" i="1" s="1"/>
  <c r="G8" i="32"/>
  <c r="G9" i="32" s="1"/>
  <c r="G6" i="32"/>
  <c r="G7" i="32" s="1"/>
  <c r="G21" i="32"/>
  <c r="G21" i="44"/>
  <c r="H16" i="72"/>
  <c r="G39" i="29" s="1"/>
  <c r="G20" i="47"/>
  <c r="G325" i="59"/>
  <c r="G267" i="59"/>
  <c r="Q272" i="56"/>
  <c r="AA126" i="56"/>
  <c r="H65" i="72"/>
  <c r="Q13" i="61"/>
  <c r="Q33" i="61"/>
  <c r="Q33" i="17"/>
  <c r="Q33" i="56"/>
  <c r="Q33" i="38"/>
  <c r="H37" i="72"/>
  <c r="G40" i="5" s="1"/>
  <c r="H13" i="72"/>
  <c r="G39" i="14" s="1"/>
  <c r="Q32" i="23"/>
  <c r="Q33" i="23"/>
  <c r="Q32" i="64"/>
  <c r="Q32" i="8"/>
  <c r="H15" i="72"/>
  <c r="G39" i="23" s="1"/>
  <c r="H7" i="72"/>
  <c r="G39" i="56" s="1"/>
  <c r="Q32" i="17"/>
  <c r="Q32" i="14"/>
  <c r="Q32" i="11"/>
  <c r="Q33" i="8"/>
  <c r="H8" i="72"/>
  <c r="G39" i="5" s="1"/>
  <c r="H14" i="72"/>
  <c r="G39" i="47" s="1"/>
  <c r="H11" i="72"/>
  <c r="G39" i="32" s="1"/>
  <c r="Q32" i="44"/>
  <c r="Q33" i="14"/>
  <c r="H26" i="72"/>
  <c r="G39" i="41" s="1"/>
  <c r="Q33" i="26"/>
  <c r="H6" i="72"/>
  <c r="Q33" i="64"/>
  <c r="Q33" i="44"/>
  <c r="Q13" i="64"/>
  <c r="H10" i="72"/>
  <c r="G39" i="38" s="1"/>
  <c r="Q33" i="11"/>
  <c r="H9" i="72"/>
  <c r="G39" i="17" s="1"/>
  <c r="H12" i="72"/>
  <c r="G39" i="11" s="1"/>
  <c r="Q32" i="26"/>
  <c r="Q32" i="38"/>
  <c r="G39" i="44"/>
  <c r="M206" i="72"/>
  <c r="S184" i="72"/>
  <c r="P206" i="72"/>
  <c r="N206" i="72"/>
  <c r="S194" i="72"/>
  <c r="K206" i="72"/>
  <c r="S176" i="72"/>
  <c r="R206" i="72"/>
  <c r="L206" i="72"/>
  <c r="O206" i="72"/>
  <c r="Q206" i="72"/>
  <c r="J206" i="72"/>
  <c r="I206" i="72"/>
  <c r="H206" i="72"/>
  <c r="S197" i="72"/>
  <c r="S192" i="72"/>
  <c r="S190" i="72"/>
  <c r="S193" i="72"/>
  <c r="S165" i="72"/>
  <c r="S175" i="72"/>
  <c r="S157" i="72"/>
  <c r="S195" i="72"/>
  <c r="S185" i="72"/>
  <c r="S166" i="72"/>
  <c r="S164" i="72"/>
  <c r="S186" i="72"/>
  <c r="S187" i="72"/>
  <c r="R177" i="72"/>
  <c r="S204" i="72"/>
  <c r="S191" i="72"/>
  <c r="S202" i="72"/>
  <c r="S189" i="72"/>
  <c r="S160" i="72"/>
  <c r="S155" i="72"/>
  <c r="S156" i="72"/>
  <c r="S203" i="72"/>
  <c r="S162" i="72"/>
  <c r="S173" i="72"/>
  <c r="S161" i="72"/>
  <c r="S205" i="72"/>
  <c r="S163" i="72"/>
  <c r="S158" i="72"/>
  <c r="S188" i="72"/>
  <c r="S174" i="72"/>
  <c r="S168" i="72"/>
  <c r="S159" i="72"/>
  <c r="Q177" i="72"/>
  <c r="J177" i="72"/>
  <c r="M177" i="72"/>
  <c r="K177" i="72"/>
  <c r="P177" i="72"/>
  <c r="O177" i="72"/>
  <c r="N177" i="72"/>
  <c r="L177" i="72"/>
  <c r="H177" i="72"/>
  <c r="Q33" i="1"/>
  <c r="H4" i="72"/>
  <c r="S154" i="72"/>
  <c r="I177" i="72"/>
  <c r="BV164" i="56"/>
  <c r="I4" i="72"/>
  <c r="BN157" i="56"/>
  <c r="Z178" i="56" s="1"/>
  <c r="Y178" i="56" s="1"/>
  <c r="BY157" i="17"/>
  <c r="BY156" i="17" s="1"/>
  <c r="AM214" i="56"/>
  <c r="BY157" i="32"/>
  <c r="BY156" i="32" s="1"/>
  <c r="BY156" i="20"/>
  <c r="Z167" i="20"/>
  <c r="BV157" i="56"/>
  <c r="L272" i="56"/>
  <c r="L56" i="56" s="1"/>
  <c r="M272" i="56"/>
  <c r="M56" i="56" s="1"/>
  <c r="J272" i="56"/>
  <c r="J56" i="56" s="1"/>
  <c r="O272" i="56"/>
  <c r="O56" i="56" s="1"/>
  <c r="I272" i="56"/>
  <c r="I56" i="56" s="1"/>
  <c r="G272" i="56"/>
  <c r="G56" i="56" s="1"/>
  <c r="K272" i="56"/>
  <c r="K56" i="56" s="1"/>
  <c r="H272" i="56"/>
  <c r="H56" i="56" s="1"/>
  <c r="N272" i="56"/>
  <c r="N56" i="56" s="1"/>
  <c r="P272" i="56"/>
  <c r="P56" i="56" s="1"/>
  <c r="BP158" i="29"/>
  <c r="BV163" i="29" s="1"/>
  <c r="BN158" i="29" s="1"/>
  <c r="BN158" i="20"/>
  <c r="Z171" i="20" s="1"/>
  <c r="BV164" i="20"/>
  <c r="AL214" i="56"/>
  <c r="H115" i="56"/>
  <c r="H49" i="56" s="1"/>
  <c r="H19" i="72"/>
  <c r="G39" i="35" s="1"/>
  <c r="H19" i="70"/>
  <c r="BP158" i="17"/>
  <c r="BV163" i="17" s="1"/>
  <c r="BN158" i="17" s="1"/>
  <c r="H267" i="56"/>
  <c r="I36" i="59" s="1"/>
  <c r="I263" i="56"/>
  <c r="I255" i="56"/>
  <c r="I247" i="56"/>
  <c r="I239" i="56"/>
  <c r="I260" i="56"/>
  <c r="I252" i="56"/>
  <c r="I244" i="56"/>
  <c r="I236" i="56"/>
  <c r="I265" i="56"/>
  <c r="I257" i="56"/>
  <c r="I249" i="56"/>
  <c r="I241" i="56"/>
  <c r="I233" i="56"/>
  <c r="I262" i="56"/>
  <c r="I254" i="56"/>
  <c r="I246" i="56"/>
  <c r="I238" i="56"/>
  <c r="I259" i="56"/>
  <c r="I251" i="56"/>
  <c r="I243" i="56"/>
  <c r="I235" i="56"/>
  <c r="I264" i="56"/>
  <c r="I256" i="56"/>
  <c r="I248" i="56"/>
  <c r="I240" i="56"/>
  <c r="I261" i="56"/>
  <c r="I253" i="56"/>
  <c r="I245" i="56"/>
  <c r="I237" i="56"/>
  <c r="I225" i="56"/>
  <c r="I250" i="56"/>
  <c r="I230" i="56"/>
  <c r="I222" i="56"/>
  <c r="I227" i="56"/>
  <c r="I242" i="56"/>
  <c r="I224" i="56"/>
  <c r="I232" i="56"/>
  <c r="I229" i="56"/>
  <c r="I221" i="56"/>
  <c r="I234" i="56"/>
  <c r="I226" i="56"/>
  <c r="I258" i="56"/>
  <c r="I220" i="56"/>
  <c r="I223" i="56"/>
  <c r="I231" i="56"/>
  <c r="I208" i="56"/>
  <c r="I200" i="56"/>
  <c r="I192" i="56"/>
  <c r="I184" i="56"/>
  <c r="I176" i="56"/>
  <c r="I168" i="56"/>
  <c r="I202" i="56"/>
  <c r="I194" i="56"/>
  <c r="I186" i="56"/>
  <c r="I178" i="56"/>
  <c r="I170" i="56"/>
  <c r="I207" i="56"/>
  <c r="I199" i="56"/>
  <c r="I191" i="56"/>
  <c r="I183" i="56"/>
  <c r="I175" i="56"/>
  <c r="I167" i="56"/>
  <c r="I204" i="56"/>
  <c r="I196" i="56"/>
  <c r="I188" i="56"/>
  <c r="I180" i="56"/>
  <c r="I172" i="56"/>
  <c r="I209" i="56"/>
  <c r="I201" i="56"/>
  <c r="I193" i="56"/>
  <c r="I185" i="56"/>
  <c r="I177" i="56"/>
  <c r="I169" i="56"/>
  <c r="I187" i="56"/>
  <c r="I197" i="56"/>
  <c r="I190" i="56"/>
  <c r="I195" i="56"/>
  <c r="I205" i="56"/>
  <c r="I198" i="56"/>
  <c r="I173" i="56"/>
  <c r="I203" i="56"/>
  <c r="I171" i="56"/>
  <c r="I179" i="56"/>
  <c r="I228" i="56"/>
  <c r="I181" i="56"/>
  <c r="I174" i="56"/>
  <c r="I206" i="56"/>
  <c r="I189" i="56"/>
  <c r="I182" i="56"/>
  <c r="H77" i="59"/>
  <c r="BY157" i="29"/>
  <c r="BY156" i="29" s="1"/>
  <c r="H214" i="56"/>
  <c r="I7" i="59" s="1"/>
  <c r="BY160" i="32"/>
  <c r="J260" i="56"/>
  <c r="J252" i="56"/>
  <c r="J244" i="56"/>
  <c r="J236" i="56"/>
  <c r="J265" i="56"/>
  <c r="J257" i="56"/>
  <c r="J249" i="56"/>
  <c r="J241" i="56"/>
  <c r="J233" i="56"/>
  <c r="J262" i="56"/>
  <c r="J254" i="56"/>
  <c r="J246" i="56"/>
  <c r="J238" i="56"/>
  <c r="J259" i="56"/>
  <c r="J251" i="56"/>
  <c r="J243" i="56"/>
  <c r="J235" i="56"/>
  <c r="J264" i="56"/>
  <c r="J256" i="56"/>
  <c r="J248" i="56"/>
  <c r="J240" i="56"/>
  <c r="J261" i="56"/>
  <c r="J253" i="56"/>
  <c r="J245" i="56"/>
  <c r="J237" i="56"/>
  <c r="J258" i="56"/>
  <c r="J250" i="56"/>
  <c r="J242" i="56"/>
  <c r="J234" i="56"/>
  <c r="J230" i="56"/>
  <c r="J222" i="56"/>
  <c r="J239" i="56"/>
  <c r="J227" i="56"/>
  <c r="J224" i="56"/>
  <c r="J263" i="56"/>
  <c r="J232" i="56"/>
  <c r="J229" i="56"/>
  <c r="J221" i="56"/>
  <c r="J226" i="56"/>
  <c r="J255" i="56"/>
  <c r="J231" i="56"/>
  <c r="J223" i="56"/>
  <c r="J225" i="56"/>
  <c r="J247" i="56"/>
  <c r="J228" i="56"/>
  <c r="J220" i="56"/>
  <c r="J205" i="56"/>
  <c r="J197" i="56"/>
  <c r="J189" i="56"/>
  <c r="J181" i="56"/>
  <c r="J173" i="56"/>
  <c r="J207" i="56"/>
  <c r="J199" i="56"/>
  <c r="J191" i="56"/>
  <c r="J183" i="56"/>
  <c r="J175" i="56"/>
  <c r="J167" i="56"/>
  <c r="J204" i="56"/>
  <c r="J196" i="56"/>
  <c r="J188" i="56"/>
  <c r="J180" i="56"/>
  <c r="J172" i="56"/>
  <c r="J209" i="56"/>
  <c r="J201" i="56"/>
  <c r="J193" i="56"/>
  <c r="J185" i="56"/>
  <c r="J177" i="56"/>
  <c r="J169" i="56"/>
  <c r="J206" i="56"/>
  <c r="J198" i="56"/>
  <c r="J190" i="56"/>
  <c r="J182" i="56"/>
  <c r="J174" i="56"/>
  <c r="J202" i="56"/>
  <c r="J170" i="56"/>
  <c r="J200" i="56"/>
  <c r="J195" i="56"/>
  <c r="J168" i="56"/>
  <c r="J178" i="56"/>
  <c r="J208" i="56"/>
  <c r="J203" i="56"/>
  <c r="J176" i="56"/>
  <c r="J171" i="56"/>
  <c r="J186" i="56"/>
  <c r="J194" i="56"/>
  <c r="J184" i="56"/>
  <c r="J187" i="56"/>
  <c r="J192" i="56"/>
  <c r="J179" i="56"/>
  <c r="I115" i="56"/>
  <c r="I49" i="56" s="1"/>
  <c r="H48" i="70"/>
  <c r="H48" i="72"/>
  <c r="G40" i="35" s="1"/>
  <c r="H43" i="70"/>
  <c r="H43" i="72"/>
  <c r="G40" i="47" s="1"/>
  <c r="H55" i="70"/>
  <c r="H55" i="72"/>
  <c r="G40" i="41" s="1"/>
  <c r="H38" i="70"/>
  <c r="H38" i="72"/>
  <c r="G40" i="17" s="1"/>
  <c r="H44" i="70"/>
  <c r="H44" i="72"/>
  <c r="G40" i="23" s="1"/>
  <c r="H42" i="70"/>
  <c r="H42" i="72"/>
  <c r="G40" i="14" s="1"/>
  <c r="H34" i="70"/>
  <c r="H34" i="72"/>
  <c r="G40" i="44" s="1"/>
  <c r="H41" i="70"/>
  <c r="H41" i="72"/>
  <c r="G40" i="11" s="1"/>
  <c r="H52" i="70"/>
  <c r="H52" i="72"/>
  <c r="G40" i="26" s="1"/>
  <c r="H36" i="70"/>
  <c r="H36" i="72"/>
  <c r="G40" i="56" s="1"/>
  <c r="H53" i="70"/>
  <c r="H53" i="72"/>
  <c r="G40" i="50" s="1"/>
  <c r="H39" i="70"/>
  <c r="H39" i="72"/>
  <c r="G40" i="38" s="1"/>
  <c r="H40" i="70"/>
  <c r="H40" i="72"/>
  <c r="G40" i="32" s="1"/>
  <c r="L47" i="70"/>
  <c r="L47" i="72"/>
  <c r="K40" i="20" s="1"/>
  <c r="H47" i="70"/>
  <c r="H47" i="72"/>
  <c r="G40" i="20" s="1"/>
  <c r="N47" i="70"/>
  <c r="N47" i="72"/>
  <c r="M40" i="20" s="1"/>
  <c r="M47" i="70"/>
  <c r="M47" i="72"/>
  <c r="L40" i="20" s="1"/>
  <c r="K47" i="70"/>
  <c r="K47" i="72"/>
  <c r="J40" i="20" s="1"/>
  <c r="J47" i="70"/>
  <c r="J47" i="72"/>
  <c r="I40" i="20" s="1"/>
  <c r="Q47" i="70"/>
  <c r="Q47" i="72"/>
  <c r="P40" i="20" s="1"/>
  <c r="P47" i="70"/>
  <c r="P47" i="72"/>
  <c r="O40" i="20" s="1"/>
  <c r="I47" i="70"/>
  <c r="I47" i="72"/>
  <c r="H40" i="20" s="1"/>
  <c r="O47" i="70"/>
  <c r="O47" i="72"/>
  <c r="N40" i="20" s="1"/>
  <c r="H54" i="70"/>
  <c r="H54" i="72"/>
  <c r="N18" i="70"/>
  <c r="N18" i="72"/>
  <c r="M39" i="20" s="1"/>
  <c r="M18" i="70"/>
  <c r="M18" i="72"/>
  <c r="L39" i="20" s="1"/>
  <c r="P18" i="70"/>
  <c r="P18" i="72"/>
  <c r="O39" i="20" s="1"/>
  <c r="R18" i="70"/>
  <c r="S18" i="70" s="1"/>
  <c r="R18" i="72"/>
  <c r="Q18" i="70"/>
  <c r="Q18" i="72"/>
  <c r="P39" i="20" s="1"/>
  <c r="K18" i="70"/>
  <c r="K18" i="72"/>
  <c r="J39" i="20" s="1"/>
  <c r="L18" i="70"/>
  <c r="L18" i="72"/>
  <c r="K39" i="20" s="1"/>
  <c r="I18" i="70"/>
  <c r="I18" i="72"/>
  <c r="H39" i="20" s="1"/>
  <c r="H27" i="59"/>
  <c r="H148" i="59" s="1"/>
  <c r="I4" i="70"/>
  <c r="H23" i="70"/>
  <c r="H4" i="70"/>
  <c r="H14" i="70"/>
  <c r="H9" i="70"/>
  <c r="H18" i="70"/>
  <c r="H24" i="70"/>
  <c r="H26" i="70"/>
  <c r="H15" i="70"/>
  <c r="H8" i="70"/>
  <c r="H25" i="70"/>
  <c r="H33" i="59"/>
  <c r="I33" i="59"/>
  <c r="G135" i="70"/>
  <c r="H35" i="59"/>
  <c r="H66" i="59"/>
  <c r="H37" i="70"/>
  <c r="R47" i="70"/>
  <c r="S47" i="70" s="1"/>
  <c r="H63" i="59"/>
  <c r="H5" i="70"/>
  <c r="H68" i="59"/>
  <c r="H10" i="70"/>
  <c r="J76" i="59"/>
  <c r="J139" i="72" s="1"/>
  <c r="I41" i="20" s="1"/>
  <c r="J18" i="70"/>
  <c r="H6" i="70"/>
  <c r="O76" i="59"/>
  <c r="O139" i="72" s="1"/>
  <c r="N41" i="20" s="1"/>
  <c r="O18" i="70"/>
  <c r="H69" i="59"/>
  <c r="H11" i="70"/>
  <c r="H65" i="59"/>
  <c r="H7" i="70"/>
  <c r="H71" i="59"/>
  <c r="H13" i="70"/>
  <c r="AE11" i="71"/>
  <c r="G84" i="70"/>
  <c r="K16" i="79" s="1"/>
  <c r="G147" i="70"/>
  <c r="S147" i="70" s="1"/>
  <c r="G70" i="70"/>
  <c r="G133" i="70"/>
  <c r="S133" i="70" s="1"/>
  <c r="G76" i="70"/>
  <c r="G139" i="70"/>
  <c r="G65" i="70"/>
  <c r="K6" i="79" s="1"/>
  <c r="G128" i="70"/>
  <c r="G74" i="70"/>
  <c r="G137" i="70"/>
  <c r="S137" i="70" s="1"/>
  <c r="G73" i="70"/>
  <c r="K13" i="79" s="1"/>
  <c r="G136" i="70"/>
  <c r="S136" i="70" s="1"/>
  <c r="G83" i="70"/>
  <c r="G146" i="70"/>
  <c r="S146" i="70" s="1"/>
  <c r="G81" i="70"/>
  <c r="G144" i="70"/>
  <c r="G68" i="70"/>
  <c r="K9" i="79" s="1"/>
  <c r="G66" i="70"/>
  <c r="K7" i="79" s="1"/>
  <c r="G129" i="70"/>
  <c r="G67" i="70"/>
  <c r="K8" i="79" s="1"/>
  <c r="G130" i="70"/>
  <c r="G64" i="70"/>
  <c r="G127" i="70"/>
  <c r="G71" i="70"/>
  <c r="K11" i="79" s="1"/>
  <c r="G134" i="70"/>
  <c r="G69" i="70"/>
  <c r="K4" i="81" s="1"/>
  <c r="G63" i="70"/>
  <c r="K4" i="79" s="1"/>
  <c r="G82" i="70"/>
  <c r="G145" i="70"/>
  <c r="S145" i="70" s="1"/>
  <c r="H70" i="59"/>
  <c r="H12" i="70"/>
  <c r="G62" i="70"/>
  <c r="H45" i="59"/>
  <c r="H16" i="70"/>
  <c r="H81" i="59"/>
  <c r="N76" i="59"/>
  <c r="N139" i="72" s="1"/>
  <c r="M41" i="20" s="1"/>
  <c r="H73" i="59"/>
  <c r="H83" i="59"/>
  <c r="H82" i="59"/>
  <c r="P76" i="59"/>
  <c r="P139" i="72" s="1"/>
  <c r="O41" i="20" s="1"/>
  <c r="H76" i="59"/>
  <c r="K76" i="59"/>
  <c r="K139" i="72" s="1"/>
  <c r="J41" i="20" s="1"/>
  <c r="R76" i="59"/>
  <c r="S18" i="59"/>
  <c r="L76" i="59"/>
  <c r="L139" i="72" s="1"/>
  <c r="K41" i="20" s="1"/>
  <c r="M76" i="59"/>
  <c r="M139" i="72" s="1"/>
  <c r="L41" i="20" s="1"/>
  <c r="I76" i="59"/>
  <c r="H84" i="59"/>
  <c r="Q76" i="59"/>
  <c r="H67" i="59"/>
  <c r="H72" i="59"/>
  <c r="J84" i="56"/>
  <c r="J80" i="56"/>
  <c r="J76" i="56"/>
  <c r="J72" i="56"/>
  <c r="J83" i="56"/>
  <c r="J81" i="56"/>
  <c r="J69" i="56"/>
  <c r="J82" i="56"/>
  <c r="J78" i="56"/>
  <c r="J74" i="56"/>
  <c r="J70" i="56"/>
  <c r="J79" i="56"/>
  <c r="J77" i="56"/>
  <c r="J71" i="56"/>
  <c r="J75" i="56"/>
  <c r="J73" i="56"/>
  <c r="BZ161" i="56"/>
  <c r="F27" i="57"/>
  <c r="C12" i="57" s="1"/>
  <c r="I38" i="58"/>
  <c r="G62" i="58" s="1"/>
  <c r="BP157" i="32"/>
  <c r="BV158" i="32" s="1"/>
  <c r="BP157" i="17"/>
  <c r="BV158" i="17" s="1"/>
  <c r="BY160" i="17"/>
  <c r="BP157" i="29"/>
  <c r="BV158" i="29" s="1"/>
  <c r="BY160" i="29"/>
  <c r="G21" i="83" l="1"/>
  <c r="Q27" i="20"/>
  <c r="Q20" i="20"/>
  <c r="G20" i="76"/>
  <c r="G20" i="53"/>
  <c r="N14" i="20"/>
  <c r="N16" i="20" s="1"/>
  <c r="N17" i="20" s="1"/>
  <c r="I305" i="59"/>
  <c r="H13" i="56"/>
  <c r="H27" i="56"/>
  <c r="I247" i="59"/>
  <c r="H20" i="56" s="1"/>
  <c r="Q23" i="20"/>
  <c r="I125" i="59"/>
  <c r="I190" i="59" s="1"/>
  <c r="I276" i="59"/>
  <c r="H23" i="56" s="1"/>
  <c r="H22" i="56"/>
  <c r="H26" i="56" s="1"/>
  <c r="G26" i="23"/>
  <c r="G14" i="50"/>
  <c r="G16" i="50" s="1"/>
  <c r="G17" i="50" s="1"/>
  <c r="G26" i="20"/>
  <c r="Q22" i="20"/>
  <c r="G14" i="26"/>
  <c r="H134" i="59"/>
  <c r="H199" i="59" s="1"/>
  <c r="H285" i="59"/>
  <c r="G23" i="29" s="1"/>
  <c r="G22" i="29"/>
  <c r="G14" i="29" s="1"/>
  <c r="G16" i="29" s="1"/>
  <c r="G17" i="29" s="1"/>
  <c r="H124" i="59"/>
  <c r="H189" i="59" s="1"/>
  <c r="H275" i="59"/>
  <c r="G23" i="8" s="1"/>
  <c r="G22" i="8"/>
  <c r="G14" i="8" s="1"/>
  <c r="G18" i="8" s="1"/>
  <c r="G23" i="50"/>
  <c r="G23" i="26"/>
  <c r="G26" i="53"/>
  <c r="O14" i="20"/>
  <c r="O16" i="20" s="1"/>
  <c r="O17" i="20" s="1"/>
  <c r="J26" i="20"/>
  <c r="M14" i="20"/>
  <c r="G26" i="44"/>
  <c r="G26" i="56"/>
  <c r="G14" i="5"/>
  <c r="G18" i="5" s="1"/>
  <c r="G26" i="76"/>
  <c r="G26" i="5"/>
  <c r="G14" i="23"/>
  <c r="G16" i="23" s="1"/>
  <c r="G17" i="23" s="1"/>
  <c r="G26" i="50"/>
  <c r="G14" i="20"/>
  <c r="G16" i="20" s="1"/>
  <c r="G17" i="20" s="1"/>
  <c r="K14" i="20"/>
  <c r="K16" i="20" s="1"/>
  <c r="K17" i="20" s="1"/>
  <c r="I14" i="20"/>
  <c r="I16" i="20" s="1"/>
  <c r="I17" i="20" s="1"/>
  <c r="H14" i="20"/>
  <c r="H16" i="20" s="1"/>
  <c r="H17" i="20" s="1"/>
  <c r="G26" i="26"/>
  <c r="G14" i="76"/>
  <c r="G16" i="76" s="1"/>
  <c r="G17" i="76" s="1"/>
  <c r="G23" i="53"/>
  <c r="G23" i="76"/>
  <c r="L14" i="20"/>
  <c r="L16" i="20" s="1"/>
  <c r="L17" i="20" s="1"/>
  <c r="P14" i="20"/>
  <c r="P16" i="20" s="1"/>
  <c r="P17" i="20" s="1"/>
  <c r="G14" i="47"/>
  <c r="G16" i="47" s="1"/>
  <c r="G17" i="47" s="1"/>
  <c r="H22" i="1"/>
  <c r="H22" i="83"/>
  <c r="H8" i="83"/>
  <c r="H9" i="83" s="1"/>
  <c r="I273" i="59"/>
  <c r="H23" i="1" s="1"/>
  <c r="G22" i="83"/>
  <c r="G22" i="1"/>
  <c r="G8" i="83"/>
  <c r="G9" i="83" s="1"/>
  <c r="H273" i="59"/>
  <c r="G23" i="1" s="1"/>
  <c r="H27" i="72"/>
  <c r="G39" i="8"/>
  <c r="H1" i="72"/>
  <c r="G28" i="38"/>
  <c r="G28" i="35"/>
  <c r="G26" i="35"/>
  <c r="G26" i="17"/>
  <c r="G14" i="38"/>
  <c r="G16" i="38" s="1"/>
  <c r="G17" i="38" s="1"/>
  <c r="G26" i="11"/>
  <c r="G26" i="41"/>
  <c r="G14" i="41"/>
  <c r="G16" i="41" s="1"/>
  <c r="G17" i="41" s="1"/>
  <c r="G26" i="14"/>
  <c r="G14" i="32"/>
  <c r="G16" i="32" s="1"/>
  <c r="G17" i="32" s="1"/>
  <c r="H20" i="83"/>
  <c r="G20" i="83"/>
  <c r="Q21" i="20"/>
  <c r="G28" i="47"/>
  <c r="G21" i="53"/>
  <c r="G21" i="76"/>
  <c r="G126" i="70"/>
  <c r="G210" i="59"/>
  <c r="G148" i="70" s="1"/>
  <c r="S148" i="70" s="1"/>
  <c r="H39" i="1"/>
  <c r="H39" i="83"/>
  <c r="G36" i="83"/>
  <c r="G37" i="83" s="1"/>
  <c r="Q32" i="83"/>
  <c r="G39" i="1"/>
  <c r="G39" i="83"/>
  <c r="H21" i="83"/>
  <c r="I95" i="59"/>
  <c r="S287" i="59"/>
  <c r="H122" i="59"/>
  <c r="I122" i="59"/>
  <c r="I187" i="59" s="1"/>
  <c r="H115" i="59"/>
  <c r="H62" i="59"/>
  <c r="H125" i="72" s="1"/>
  <c r="F28" i="53"/>
  <c r="F28" i="76"/>
  <c r="S58" i="56"/>
  <c r="W9" i="81"/>
  <c r="X18" i="79"/>
  <c r="H27" i="70"/>
  <c r="H30" i="59"/>
  <c r="G16" i="26"/>
  <c r="G17" i="26" s="1"/>
  <c r="G16" i="44"/>
  <c r="G17" i="44" s="1"/>
  <c r="G16" i="14"/>
  <c r="G17" i="14" s="1"/>
  <c r="G16" i="35"/>
  <c r="G17" i="35" s="1"/>
  <c r="M16" i="20"/>
  <c r="M17" i="20" s="1"/>
  <c r="N28" i="20"/>
  <c r="K28" i="20"/>
  <c r="G43" i="35"/>
  <c r="G46" i="35" s="1"/>
  <c r="L43" i="20"/>
  <c r="L44" i="20" s="1"/>
  <c r="H28" i="20"/>
  <c r="G43" i="5"/>
  <c r="G44" i="5" s="1"/>
  <c r="H56" i="59"/>
  <c r="H56" i="70" s="1"/>
  <c r="G43" i="20"/>
  <c r="G44" i="20" s="1"/>
  <c r="N43" i="20"/>
  <c r="N44" i="20" s="1"/>
  <c r="G43" i="23"/>
  <c r="G46" i="23" s="1"/>
  <c r="G43" i="50"/>
  <c r="G46" i="50" s="1"/>
  <c r="Q33" i="76"/>
  <c r="G43" i="14"/>
  <c r="G46" i="14" s="1"/>
  <c r="G43" i="41"/>
  <c r="G44" i="41" s="1"/>
  <c r="G16" i="56"/>
  <c r="G17" i="56" s="1"/>
  <c r="J16" i="20"/>
  <c r="J17" i="20" s="1"/>
  <c r="Q33" i="53"/>
  <c r="G8" i="29"/>
  <c r="G9" i="29" s="1"/>
  <c r="H8" i="56"/>
  <c r="H9" i="56" s="1"/>
  <c r="G43" i="38"/>
  <c r="G44" i="38" s="1"/>
  <c r="G43" i="26"/>
  <c r="G44" i="26" s="1"/>
  <c r="G43" i="56"/>
  <c r="G44" i="56" s="1"/>
  <c r="I43" i="20"/>
  <c r="I44" i="20" s="1"/>
  <c r="G8" i="8"/>
  <c r="G9" i="8" s="1"/>
  <c r="G40" i="53"/>
  <c r="G40" i="76"/>
  <c r="G43" i="44"/>
  <c r="G44" i="44" s="1"/>
  <c r="G16" i="53"/>
  <c r="G17" i="53" s="1"/>
  <c r="J43" i="20"/>
  <c r="J44" i="20" s="1"/>
  <c r="G28" i="14"/>
  <c r="P28" i="20"/>
  <c r="L28" i="20"/>
  <c r="M43" i="20"/>
  <c r="M44" i="20" s="1"/>
  <c r="K11" i="71"/>
  <c r="K10" i="79"/>
  <c r="O28" i="20"/>
  <c r="S258" i="59"/>
  <c r="G36" i="53"/>
  <c r="G37" i="53" s="1"/>
  <c r="Q32" i="53"/>
  <c r="G18" i="38"/>
  <c r="O43" i="20"/>
  <c r="O44" i="20" s="1"/>
  <c r="K3" i="71"/>
  <c r="K3" i="79"/>
  <c r="H6" i="56"/>
  <c r="H7" i="56" s="1"/>
  <c r="H21" i="56"/>
  <c r="M28" i="20"/>
  <c r="G36" i="76"/>
  <c r="G37" i="76" s="1"/>
  <c r="Q32" i="76"/>
  <c r="S316" i="59"/>
  <c r="K15" i="71"/>
  <c r="K6" i="81"/>
  <c r="G28" i="5"/>
  <c r="AE26" i="71"/>
  <c r="AA27" i="71" s="1"/>
  <c r="G28" i="11"/>
  <c r="G39" i="76"/>
  <c r="G39" i="53"/>
  <c r="I28" i="20"/>
  <c r="K43" i="20"/>
  <c r="K44" i="20" s="1"/>
  <c r="K5" i="79"/>
  <c r="K3" i="81"/>
  <c r="J28" i="20"/>
  <c r="G16" i="11"/>
  <c r="G17" i="11" s="1"/>
  <c r="G43" i="11"/>
  <c r="G43" i="47"/>
  <c r="G46" i="47" s="1"/>
  <c r="G28" i="44"/>
  <c r="G28" i="17"/>
  <c r="G16" i="17"/>
  <c r="G17" i="17" s="1"/>
  <c r="G43" i="17"/>
  <c r="H8" i="1"/>
  <c r="H9" i="1" s="1"/>
  <c r="G8" i="1"/>
  <c r="G9" i="1" s="1"/>
  <c r="G43" i="32"/>
  <c r="G46" i="32" s="1"/>
  <c r="Q139" i="72"/>
  <c r="P41" i="20" s="1"/>
  <c r="P43" i="20" s="1"/>
  <c r="R139" i="72"/>
  <c r="AK174" i="20"/>
  <c r="AK171" i="20"/>
  <c r="S62" i="56"/>
  <c r="R94" i="72"/>
  <c r="Q94" i="70"/>
  <c r="R156" i="59"/>
  <c r="AK176" i="20"/>
  <c r="AK178" i="20"/>
  <c r="AK179" i="20"/>
  <c r="AK170" i="20"/>
  <c r="AK169" i="20"/>
  <c r="AK172" i="20"/>
  <c r="AK175" i="20"/>
  <c r="AK173" i="20"/>
  <c r="AK177" i="20"/>
  <c r="AK180" i="20"/>
  <c r="AK168" i="20"/>
  <c r="Z182" i="56"/>
  <c r="Y182" i="56" s="1"/>
  <c r="Z171" i="56"/>
  <c r="Y171" i="56" s="1"/>
  <c r="Z179" i="56"/>
  <c r="Y179" i="56" s="1"/>
  <c r="Z185" i="56"/>
  <c r="Y185" i="56" s="1"/>
  <c r="Z181" i="56"/>
  <c r="Y181" i="56" s="1"/>
  <c r="Z196" i="56"/>
  <c r="Y196" i="56" s="1"/>
  <c r="Z211" i="56"/>
  <c r="Y211" i="56" s="1"/>
  <c r="Z168" i="56"/>
  <c r="Y168" i="56" s="1"/>
  <c r="I65" i="72"/>
  <c r="J65" i="72"/>
  <c r="Z175" i="56"/>
  <c r="Y175" i="56" s="1"/>
  <c r="Z192" i="56"/>
  <c r="Y192" i="56" s="1"/>
  <c r="Q32" i="56"/>
  <c r="Q32" i="61"/>
  <c r="H33" i="72"/>
  <c r="Q33" i="41"/>
  <c r="I36" i="70"/>
  <c r="Q33" i="29"/>
  <c r="Q32" i="35"/>
  <c r="Q33" i="32"/>
  <c r="Q33" i="47"/>
  <c r="Q32" i="50"/>
  <c r="Z187" i="56"/>
  <c r="Y187" i="56" s="1"/>
  <c r="Z190" i="56"/>
  <c r="Y190" i="56" s="1"/>
  <c r="Z193" i="56"/>
  <c r="Y193" i="56" s="1"/>
  <c r="Z200" i="56"/>
  <c r="Y200" i="56" s="1"/>
  <c r="Q32" i="41"/>
  <c r="Q32" i="20"/>
  <c r="Q32" i="32"/>
  <c r="Q33" i="35"/>
  <c r="Q32" i="29"/>
  <c r="Z183" i="56"/>
  <c r="Y183" i="56" s="1"/>
  <c r="Z194" i="56"/>
  <c r="Y194" i="56" s="1"/>
  <c r="Z201" i="56"/>
  <c r="Y201" i="56" s="1"/>
  <c r="Z204" i="56"/>
  <c r="Y204" i="56" s="1"/>
  <c r="Q32" i="47"/>
  <c r="I7" i="72"/>
  <c r="H39" i="56" s="1"/>
  <c r="Z199" i="56"/>
  <c r="Y199" i="56" s="1"/>
  <c r="Z198" i="56"/>
  <c r="Y198" i="56" s="1"/>
  <c r="Z210" i="56"/>
  <c r="Y210" i="56" s="1"/>
  <c r="Q33" i="20"/>
  <c r="Q32" i="5"/>
  <c r="Z203" i="56"/>
  <c r="Y203" i="56" s="1"/>
  <c r="Z202" i="56"/>
  <c r="Y202" i="56" s="1"/>
  <c r="Z167" i="56"/>
  <c r="Y167" i="56" s="1"/>
  <c r="S61" i="56"/>
  <c r="Q33" i="5"/>
  <c r="Q33" i="50"/>
  <c r="Z180" i="56"/>
  <c r="Y180" i="56" s="1"/>
  <c r="Z213" i="56"/>
  <c r="Y213" i="56" s="1"/>
  <c r="Z188" i="56"/>
  <c r="Y188" i="56" s="1"/>
  <c r="S206" i="72"/>
  <c r="H69" i="70"/>
  <c r="M255" i="72"/>
  <c r="L34" i="20" s="1"/>
  <c r="L36" i="20" s="1"/>
  <c r="L37" i="20" s="1"/>
  <c r="N255" i="72"/>
  <c r="M34" i="20" s="1"/>
  <c r="M36" i="20" s="1"/>
  <c r="M37" i="20" s="1"/>
  <c r="O255" i="72"/>
  <c r="N34" i="20" s="1"/>
  <c r="N36" i="20" s="1"/>
  <c r="N37" i="20" s="1"/>
  <c r="K255" i="72"/>
  <c r="J34" i="20" s="1"/>
  <c r="J36" i="20" s="1"/>
  <c r="J37" i="20" s="1"/>
  <c r="L255" i="72"/>
  <c r="K34" i="20" s="1"/>
  <c r="K36" i="20" s="1"/>
  <c r="K37" i="20" s="1"/>
  <c r="P255" i="72"/>
  <c r="O34" i="20" s="1"/>
  <c r="O36" i="20" s="1"/>
  <c r="O37" i="20" s="1"/>
  <c r="I139" i="72"/>
  <c r="H41" i="20" s="1"/>
  <c r="H43" i="20" s="1"/>
  <c r="I255" i="72"/>
  <c r="H34" i="20" s="1"/>
  <c r="H36" i="20" s="1"/>
  <c r="H37" i="20" s="1"/>
  <c r="J255" i="72"/>
  <c r="I34" i="20" s="1"/>
  <c r="I36" i="20" s="1"/>
  <c r="I37" i="20" s="1"/>
  <c r="R255" i="72"/>
  <c r="Q255" i="72"/>
  <c r="P34" i="20" s="1"/>
  <c r="P36" i="20" s="1"/>
  <c r="P37" i="20" s="1"/>
  <c r="S177" i="72"/>
  <c r="Q32" i="1"/>
  <c r="Z191" i="56"/>
  <c r="Y191" i="56" s="1"/>
  <c r="Z174" i="56"/>
  <c r="Y174" i="56" s="1"/>
  <c r="Z170" i="56"/>
  <c r="Y170" i="56" s="1"/>
  <c r="Z176" i="56"/>
  <c r="Y176" i="56" s="1"/>
  <c r="Z169" i="56"/>
  <c r="Y169" i="56" s="1"/>
  <c r="BV164" i="29"/>
  <c r="M76" i="70"/>
  <c r="Z206" i="56"/>
  <c r="Y206" i="56" s="1"/>
  <c r="Z186" i="56"/>
  <c r="Y186" i="56" s="1"/>
  <c r="Z173" i="56"/>
  <c r="Y173" i="56" s="1"/>
  <c r="Z207" i="56"/>
  <c r="Y207" i="56" s="1"/>
  <c r="Z209" i="56"/>
  <c r="Y209" i="56" s="1"/>
  <c r="Z208" i="56"/>
  <c r="Y208" i="56" s="1"/>
  <c r="Z189" i="56"/>
  <c r="Y189" i="56" s="1"/>
  <c r="Z172" i="56"/>
  <c r="Y172" i="56" s="1"/>
  <c r="Z212" i="56"/>
  <c r="Y212" i="56" s="1"/>
  <c r="Z195" i="56"/>
  <c r="Y195" i="56" s="1"/>
  <c r="Z177" i="56"/>
  <c r="Y177" i="56" s="1"/>
  <c r="Z205" i="56"/>
  <c r="Y205" i="56" s="1"/>
  <c r="Z197" i="56"/>
  <c r="Y197" i="56" s="1"/>
  <c r="Z184" i="56"/>
  <c r="Y184" i="56" s="1"/>
  <c r="H72" i="70"/>
  <c r="H65" i="70"/>
  <c r="I7" i="70"/>
  <c r="H84" i="70"/>
  <c r="H82" i="70"/>
  <c r="H76" i="70"/>
  <c r="I36" i="72"/>
  <c r="H40" i="56" s="1"/>
  <c r="H67" i="70"/>
  <c r="O76" i="70"/>
  <c r="I76" i="70"/>
  <c r="F272" i="56"/>
  <c r="F56" i="56" s="1"/>
  <c r="Q56" i="56" s="1"/>
  <c r="C65" i="56"/>
  <c r="I267" i="56"/>
  <c r="J36" i="59" s="1"/>
  <c r="S120" i="56"/>
  <c r="F28" i="57" s="1"/>
  <c r="L76" i="70"/>
  <c r="AF171" i="20"/>
  <c r="I65" i="59"/>
  <c r="H71" i="70"/>
  <c r="K76" i="70"/>
  <c r="P76" i="70"/>
  <c r="Z169" i="20"/>
  <c r="H73" i="70"/>
  <c r="J214" i="56"/>
  <c r="K7" i="59" s="1"/>
  <c r="J115" i="56"/>
  <c r="J49" i="56" s="1"/>
  <c r="Q76" i="70"/>
  <c r="S124" i="56"/>
  <c r="I37" i="58" s="1"/>
  <c r="G59" i="58" s="1"/>
  <c r="H156" i="59"/>
  <c r="J267" i="56"/>
  <c r="K36" i="59" s="1"/>
  <c r="I214" i="56"/>
  <c r="J7" i="59" s="1"/>
  <c r="H77" i="70"/>
  <c r="K265" i="56"/>
  <c r="K257" i="56"/>
  <c r="K249" i="56"/>
  <c r="K241" i="56"/>
  <c r="K233" i="56"/>
  <c r="K262" i="56"/>
  <c r="K254" i="56"/>
  <c r="K246" i="56"/>
  <c r="K238" i="56"/>
  <c r="K259" i="56"/>
  <c r="K251" i="56"/>
  <c r="K243" i="56"/>
  <c r="K235" i="56"/>
  <c r="K264" i="56"/>
  <c r="K256" i="56"/>
  <c r="K248" i="56"/>
  <c r="K240" i="56"/>
  <c r="K232" i="56"/>
  <c r="K261" i="56"/>
  <c r="K253" i="56"/>
  <c r="K245" i="56"/>
  <c r="K237" i="56"/>
  <c r="K258" i="56"/>
  <c r="K250" i="56"/>
  <c r="K242" i="56"/>
  <c r="K234" i="56"/>
  <c r="K263" i="56"/>
  <c r="K255" i="56"/>
  <c r="K247" i="56"/>
  <c r="K239" i="56"/>
  <c r="K236" i="56"/>
  <c r="K227" i="56"/>
  <c r="K224" i="56"/>
  <c r="K260" i="56"/>
  <c r="K229" i="56"/>
  <c r="K221" i="56"/>
  <c r="K226" i="56"/>
  <c r="K252" i="56"/>
  <c r="K231" i="56"/>
  <c r="K223" i="56"/>
  <c r="K228" i="56"/>
  <c r="K230" i="56"/>
  <c r="K225" i="56"/>
  <c r="K244" i="56"/>
  <c r="K222" i="56"/>
  <c r="K220" i="56"/>
  <c r="K202" i="56"/>
  <c r="K194" i="56"/>
  <c r="K186" i="56"/>
  <c r="K178" i="56"/>
  <c r="K170" i="56"/>
  <c r="K204" i="56"/>
  <c r="K196" i="56"/>
  <c r="K188" i="56"/>
  <c r="K180" i="56"/>
  <c r="K172" i="56"/>
  <c r="K209" i="56"/>
  <c r="K201" i="56"/>
  <c r="K193" i="56"/>
  <c r="K185" i="56"/>
  <c r="K177" i="56"/>
  <c r="K169" i="56"/>
  <c r="K206" i="56"/>
  <c r="K198" i="56"/>
  <c r="K190" i="56"/>
  <c r="K182" i="56"/>
  <c r="K174" i="56"/>
  <c r="K203" i="56"/>
  <c r="K195" i="56"/>
  <c r="K187" i="56"/>
  <c r="K179" i="56"/>
  <c r="K171" i="56"/>
  <c r="K207" i="56"/>
  <c r="K200" i="56"/>
  <c r="K197" i="56"/>
  <c r="K175" i="56"/>
  <c r="K168" i="56"/>
  <c r="K208" i="56"/>
  <c r="K205" i="56"/>
  <c r="K183" i="56"/>
  <c r="K176" i="56"/>
  <c r="K173" i="56"/>
  <c r="K191" i="56"/>
  <c r="K184" i="56"/>
  <c r="K181" i="56"/>
  <c r="K199" i="56"/>
  <c r="K192" i="56"/>
  <c r="K189" i="56"/>
  <c r="K167" i="56"/>
  <c r="H70" i="70"/>
  <c r="H81" i="70"/>
  <c r="H45" i="70"/>
  <c r="H74" i="70" s="1"/>
  <c r="H45" i="72"/>
  <c r="G40" i="29" s="1"/>
  <c r="G43" i="29" s="1"/>
  <c r="H68" i="70"/>
  <c r="H63" i="70"/>
  <c r="J76" i="70"/>
  <c r="R76" i="70"/>
  <c r="N76" i="70"/>
  <c r="H83" i="70"/>
  <c r="S47" i="72"/>
  <c r="H35" i="70"/>
  <c r="H64" i="70" s="1"/>
  <c r="H35" i="72"/>
  <c r="G40" i="8" s="1"/>
  <c r="I33" i="70"/>
  <c r="I62" i="70" s="1"/>
  <c r="I33" i="72"/>
  <c r="H33" i="70"/>
  <c r="H62" i="70" s="1"/>
  <c r="H66" i="70"/>
  <c r="I62" i="59"/>
  <c r="I125" i="72" s="1"/>
  <c r="S76" i="59"/>
  <c r="H64" i="59"/>
  <c r="K5" i="71"/>
  <c r="K4" i="71"/>
  <c r="K6" i="71"/>
  <c r="K8" i="71"/>
  <c r="K24" i="71"/>
  <c r="K17" i="71"/>
  <c r="K22" i="71"/>
  <c r="K10" i="71"/>
  <c r="K7" i="71"/>
  <c r="K14" i="71"/>
  <c r="K12" i="71"/>
  <c r="K23" i="71"/>
  <c r="K9" i="71"/>
  <c r="K25" i="71"/>
  <c r="H74" i="59"/>
  <c r="G85" i="70"/>
  <c r="C25" i="58"/>
  <c r="C31" i="58" s="1"/>
  <c r="C19" i="57"/>
  <c r="BG175" i="56"/>
  <c r="S123" i="56"/>
  <c r="H37" i="58" s="1"/>
  <c r="F59" i="58" s="1"/>
  <c r="BG168" i="56"/>
  <c r="K84" i="56"/>
  <c r="K82" i="56"/>
  <c r="K80" i="56"/>
  <c r="K78" i="56"/>
  <c r="K76" i="56"/>
  <c r="K74" i="56"/>
  <c r="K72" i="56"/>
  <c r="K70" i="56"/>
  <c r="K69" i="56"/>
  <c r="K83" i="56"/>
  <c r="K81" i="56"/>
  <c r="K79" i="56"/>
  <c r="K77" i="56"/>
  <c r="K75" i="56"/>
  <c r="K73" i="56"/>
  <c r="K71" i="56"/>
  <c r="BN157" i="32"/>
  <c r="BV164" i="32"/>
  <c r="BN158" i="32"/>
  <c r="BN157" i="17"/>
  <c r="BN157" i="29"/>
  <c r="G28" i="1" l="1"/>
  <c r="Q28" i="20"/>
  <c r="G16" i="5"/>
  <c r="G17" i="5" s="1"/>
  <c r="G28" i="29"/>
  <c r="G28" i="8"/>
  <c r="Q26" i="20"/>
  <c r="K305" i="59"/>
  <c r="J13" i="56"/>
  <c r="J27" i="56"/>
  <c r="K247" i="59"/>
  <c r="J20" i="56" s="1"/>
  <c r="J305" i="59"/>
  <c r="I13" i="56"/>
  <c r="I27" i="56"/>
  <c r="J247" i="59"/>
  <c r="I20" i="56" s="1"/>
  <c r="J125" i="59"/>
  <c r="J190" i="59" s="1"/>
  <c r="J276" i="59"/>
  <c r="I23" i="56" s="1"/>
  <c r="I22" i="56"/>
  <c r="I14" i="56" s="1"/>
  <c r="K125" i="59"/>
  <c r="K190" i="59" s="1"/>
  <c r="K276" i="59"/>
  <c r="J23" i="56" s="1"/>
  <c r="J22" i="56"/>
  <c r="J26" i="56" s="1"/>
  <c r="G26" i="8"/>
  <c r="G26" i="29"/>
  <c r="H14" i="56"/>
  <c r="H16" i="56" s="1"/>
  <c r="H17" i="56" s="1"/>
  <c r="H23" i="83"/>
  <c r="G23" i="83"/>
  <c r="H28" i="1"/>
  <c r="G26" i="1"/>
  <c r="G14" i="1"/>
  <c r="G16" i="1" s="1"/>
  <c r="G17" i="1" s="1"/>
  <c r="G26" i="83"/>
  <c r="G14" i="83"/>
  <c r="G16" i="83" s="1"/>
  <c r="G17" i="83" s="1"/>
  <c r="H26" i="83"/>
  <c r="H28" i="83" s="1"/>
  <c r="H14" i="83"/>
  <c r="H16" i="83" s="1"/>
  <c r="H17" i="83" s="1"/>
  <c r="H26" i="1"/>
  <c r="H14" i="1"/>
  <c r="H16" i="1" s="1"/>
  <c r="H17" i="1" s="1"/>
  <c r="G43" i="8"/>
  <c r="G44" i="8" s="1"/>
  <c r="H145" i="59"/>
  <c r="H147" i="59" s="1"/>
  <c r="H187" i="59"/>
  <c r="H210" i="59" s="1"/>
  <c r="G40" i="1"/>
  <c r="G43" i="1" s="1"/>
  <c r="G46" i="1" s="1"/>
  <c r="G40" i="83"/>
  <c r="G43" i="83" s="1"/>
  <c r="H40" i="1"/>
  <c r="H40" i="83"/>
  <c r="H296" i="59"/>
  <c r="K95" i="59"/>
  <c r="AC176" i="32"/>
  <c r="AC173" i="32"/>
  <c r="AC175" i="32"/>
  <c r="AC174" i="32"/>
  <c r="AC177" i="32"/>
  <c r="AG179" i="32"/>
  <c r="J95" i="59"/>
  <c r="AA183" i="17"/>
  <c r="AB180" i="17"/>
  <c r="AB176" i="17"/>
  <c r="AB175" i="17"/>
  <c r="AB174" i="17"/>
  <c r="AB169" i="17"/>
  <c r="AB173" i="17"/>
  <c r="AB172" i="17"/>
  <c r="AB171" i="17"/>
  <c r="AG184" i="17"/>
  <c r="AH190" i="17"/>
  <c r="AH189" i="17"/>
  <c r="AI185" i="17"/>
  <c r="AI187" i="17"/>
  <c r="AI186" i="17"/>
  <c r="S76" i="70"/>
  <c r="R134" i="70"/>
  <c r="S134" i="70" s="1"/>
  <c r="G46" i="38"/>
  <c r="G50" i="38" s="1"/>
  <c r="G51" i="38" s="1"/>
  <c r="G46" i="20"/>
  <c r="G47" i="20" s="1"/>
  <c r="G46" i="26"/>
  <c r="G47" i="26" s="1"/>
  <c r="G44" i="35"/>
  <c r="G46" i="5"/>
  <c r="G50" i="5" s="1"/>
  <c r="G51" i="5" s="1"/>
  <c r="G28" i="56"/>
  <c r="G44" i="50"/>
  <c r="G46" i="44"/>
  <c r="G47" i="44" s="1"/>
  <c r="G44" i="23"/>
  <c r="G46" i="56"/>
  <c r="G47" i="56" s="1"/>
  <c r="G16" i="8"/>
  <c r="G17" i="8" s="1"/>
  <c r="G46" i="29"/>
  <c r="G50" i="29" s="1"/>
  <c r="G51" i="29" s="1"/>
  <c r="G44" i="29"/>
  <c r="I8" i="56"/>
  <c r="I9" i="56" s="1"/>
  <c r="J8" i="56"/>
  <c r="J9" i="56" s="1"/>
  <c r="G44" i="14"/>
  <c r="G28" i="76"/>
  <c r="G28" i="26"/>
  <c r="G28" i="53"/>
  <c r="G28" i="41"/>
  <c r="G43" i="53"/>
  <c r="G43" i="76"/>
  <c r="G47" i="14"/>
  <c r="G50" i="14"/>
  <c r="G51" i="14" s="1"/>
  <c r="H28" i="56"/>
  <c r="G50" i="50"/>
  <c r="G47" i="50"/>
  <c r="G28" i="20"/>
  <c r="I21" i="56"/>
  <c r="I6" i="56"/>
  <c r="I7" i="56" s="1"/>
  <c r="G47" i="23"/>
  <c r="G50" i="23"/>
  <c r="G51" i="23" s="1"/>
  <c r="G28" i="50"/>
  <c r="J21" i="56"/>
  <c r="J6" i="56"/>
  <c r="J7" i="56" s="1"/>
  <c r="G28" i="23"/>
  <c r="G50" i="35"/>
  <c r="G51" i="35" s="1"/>
  <c r="G47" i="35"/>
  <c r="G46" i="11"/>
  <c r="G44" i="11"/>
  <c r="G44" i="47"/>
  <c r="G50" i="47"/>
  <c r="G51" i="47" s="1"/>
  <c r="G47" i="47"/>
  <c r="N46" i="20"/>
  <c r="N50" i="20" s="1"/>
  <c r="L46" i="20"/>
  <c r="I46" i="20"/>
  <c r="H44" i="20"/>
  <c r="H46" i="20"/>
  <c r="P44" i="20"/>
  <c r="P46" i="20"/>
  <c r="M46" i="20"/>
  <c r="J46" i="20"/>
  <c r="K46" i="20"/>
  <c r="O46" i="20"/>
  <c r="G46" i="17"/>
  <c r="G44" i="17"/>
  <c r="G44" i="32"/>
  <c r="H267" i="59"/>
  <c r="G50" i="32"/>
  <c r="G51" i="32" s="1"/>
  <c r="G47" i="32"/>
  <c r="G28" i="32"/>
  <c r="AK172" i="17"/>
  <c r="AK174" i="17"/>
  <c r="AK184" i="17"/>
  <c r="AK180" i="17"/>
  <c r="AK182" i="17"/>
  <c r="AK169" i="17"/>
  <c r="AK188" i="17"/>
  <c r="AK190" i="17"/>
  <c r="AK177" i="17"/>
  <c r="AK181" i="17"/>
  <c r="AK178" i="17"/>
  <c r="AK175" i="17"/>
  <c r="AK185" i="17"/>
  <c r="AK171" i="17"/>
  <c r="AK173" i="17"/>
  <c r="AK183" i="17"/>
  <c r="AK170" i="17"/>
  <c r="AK191" i="17"/>
  <c r="AK179" i="17"/>
  <c r="AK189" i="17"/>
  <c r="AK168" i="17"/>
  <c r="AK187" i="17"/>
  <c r="AK186" i="17"/>
  <c r="AK176" i="17"/>
  <c r="AK182" i="32"/>
  <c r="AK171" i="32"/>
  <c r="AK181" i="32"/>
  <c r="AK173" i="32"/>
  <c r="AK175" i="32"/>
  <c r="AK170" i="32"/>
  <c r="AK180" i="32"/>
  <c r="AK169" i="32"/>
  <c r="AK176" i="32"/>
  <c r="AK174" i="32"/>
  <c r="AK168" i="32"/>
  <c r="AK183" i="32"/>
  <c r="AK177" i="32"/>
  <c r="AK179" i="32"/>
  <c r="AK178" i="32"/>
  <c r="AK171" i="29"/>
  <c r="AK170" i="29"/>
  <c r="AK168" i="29"/>
  <c r="AK169" i="29"/>
  <c r="AK214" i="20"/>
  <c r="AK215" i="20" s="1"/>
  <c r="K65" i="72"/>
  <c r="K7" i="72"/>
  <c r="J39" i="56" s="1"/>
  <c r="J36" i="70"/>
  <c r="I65" i="70"/>
  <c r="K244" i="72"/>
  <c r="J34" i="56" s="1"/>
  <c r="J36" i="56" s="1"/>
  <c r="J37" i="56" s="1"/>
  <c r="I128" i="72"/>
  <c r="H41" i="56" s="1"/>
  <c r="H43" i="56" s="1"/>
  <c r="L244" i="72"/>
  <c r="K34" i="56" s="1"/>
  <c r="K36" i="56" s="1"/>
  <c r="K37" i="56" s="1"/>
  <c r="M244" i="72"/>
  <c r="L34" i="56" s="1"/>
  <c r="L36" i="56" s="1"/>
  <c r="L37" i="56" s="1"/>
  <c r="N244" i="72"/>
  <c r="M34" i="56" s="1"/>
  <c r="M36" i="56" s="1"/>
  <c r="M37" i="56" s="1"/>
  <c r="O244" i="72"/>
  <c r="N34" i="56" s="1"/>
  <c r="N36" i="56" s="1"/>
  <c r="N37" i="56" s="1"/>
  <c r="P244" i="72"/>
  <c r="O34" i="56" s="1"/>
  <c r="O36" i="56" s="1"/>
  <c r="O37" i="56" s="1"/>
  <c r="I244" i="72"/>
  <c r="H34" i="56" s="1"/>
  <c r="H36" i="56" s="1"/>
  <c r="H37" i="56" s="1"/>
  <c r="J244" i="72"/>
  <c r="I34" i="56" s="1"/>
  <c r="I36" i="56" s="1"/>
  <c r="I37" i="56" s="1"/>
  <c r="Q244" i="72"/>
  <c r="P34" i="56" s="1"/>
  <c r="P36" i="56" s="1"/>
  <c r="P37" i="56" s="1"/>
  <c r="R244" i="72"/>
  <c r="S255" i="72"/>
  <c r="K241" i="72"/>
  <c r="I241" i="72"/>
  <c r="L241" i="72"/>
  <c r="J241" i="72"/>
  <c r="M241" i="72"/>
  <c r="N241" i="72"/>
  <c r="O241" i="72"/>
  <c r="P241" i="72"/>
  <c r="R241" i="72"/>
  <c r="Q241" i="72"/>
  <c r="G94" i="72"/>
  <c r="S94" i="72" s="1"/>
  <c r="G156" i="59"/>
  <c r="K65" i="59"/>
  <c r="K7" i="70"/>
  <c r="G15" i="57"/>
  <c r="G19" i="57" s="1"/>
  <c r="U15" i="57"/>
  <c r="U19" i="57" s="1"/>
  <c r="AQ15" i="57"/>
  <c r="AQ19" i="57" s="1"/>
  <c r="R15" i="57"/>
  <c r="R19" i="57" s="1"/>
  <c r="AF15" i="57"/>
  <c r="V15" i="57"/>
  <c r="V19" i="57" s="1"/>
  <c r="S15" i="57"/>
  <c r="S19" i="57" s="1"/>
  <c r="AG15" i="57"/>
  <c r="AG19" i="57" s="1"/>
  <c r="AL15" i="57"/>
  <c r="AL19" i="57" s="1"/>
  <c r="M15" i="57"/>
  <c r="M19" i="57" s="1"/>
  <c r="AI15" i="57"/>
  <c r="AI19" i="57" s="1"/>
  <c r="J15" i="57"/>
  <c r="J19" i="57" s="1"/>
  <c r="X15" i="57"/>
  <c r="W15" i="57"/>
  <c r="W19" i="57" s="1"/>
  <c r="I15" i="57"/>
  <c r="I19" i="57" s="1"/>
  <c r="AC15" i="57"/>
  <c r="AC19" i="57" s="1"/>
  <c r="AN15" i="57"/>
  <c r="AD15" i="57"/>
  <c r="AD19" i="57" s="1"/>
  <c r="E15" i="57"/>
  <c r="E19" i="57" s="1"/>
  <c r="AA15" i="57"/>
  <c r="AA19" i="57" s="1"/>
  <c r="AO15" i="57"/>
  <c r="AO19" i="57" s="1"/>
  <c r="H27" i="57"/>
  <c r="AJ15" i="57"/>
  <c r="P15" i="57"/>
  <c r="H15" i="57"/>
  <c r="D15" i="57"/>
  <c r="AM15" i="57"/>
  <c r="AM19" i="57" s="1"/>
  <c r="N15" i="57"/>
  <c r="N19" i="57" s="1"/>
  <c r="AB15" i="57"/>
  <c r="K15" i="57"/>
  <c r="K19" i="57" s="1"/>
  <c r="Y15" i="57"/>
  <c r="Y19" i="57" s="1"/>
  <c r="AK15" i="57"/>
  <c r="AK19" i="57" s="1"/>
  <c r="AH15" i="57"/>
  <c r="AH19" i="57" s="1"/>
  <c r="Z15" i="57"/>
  <c r="Z19" i="57" s="1"/>
  <c r="AE15" i="57"/>
  <c r="AE19" i="57" s="1"/>
  <c r="F15" i="57"/>
  <c r="F19" i="57" s="1"/>
  <c r="T15" i="57"/>
  <c r="AP15" i="57"/>
  <c r="AP19" i="57" s="1"/>
  <c r="Q15" i="57"/>
  <c r="Q19" i="57" s="1"/>
  <c r="L15" i="57"/>
  <c r="O15" i="57"/>
  <c r="O19" i="57" s="1"/>
  <c r="H56" i="72"/>
  <c r="Z213" i="29"/>
  <c r="Z209" i="29"/>
  <c r="Z205" i="29"/>
  <c r="Z201" i="29"/>
  <c r="Z197" i="29"/>
  <c r="Z193" i="29"/>
  <c r="Z189" i="29"/>
  <c r="Z185" i="29"/>
  <c r="Z181" i="29"/>
  <c r="Z177" i="29"/>
  <c r="Z173" i="29"/>
  <c r="Z210" i="29"/>
  <c r="Z206" i="29"/>
  <c r="Z202" i="29"/>
  <c r="Z198" i="29"/>
  <c r="Z194" i="29"/>
  <c r="Z190" i="29"/>
  <c r="Z186" i="29"/>
  <c r="Z182" i="29"/>
  <c r="Z178" i="29"/>
  <c r="Z174" i="29"/>
  <c r="Z171" i="29"/>
  <c r="Z169" i="29"/>
  <c r="Z211" i="29"/>
  <c r="Z207" i="29"/>
  <c r="Z203" i="29"/>
  <c r="Z199" i="29"/>
  <c r="Z195" i="29"/>
  <c r="Z191" i="29"/>
  <c r="Z187" i="29"/>
  <c r="Z183" i="29"/>
  <c r="Z179" i="29"/>
  <c r="Z175" i="29"/>
  <c r="Z167" i="29"/>
  <c r="Z184" i="29"/>
  <c r="Z176" i="29"/>
  <c r="Z212" i="29"/>
  <c r="Z180" i="29"/>
  <c r="Z208" i="29"/>
  <c r="Z172" i="29"/>
  <c r="Z204" i="29"/>
  <c r="Z170" i="29"/>
  <c r="Z200" i="29"/>
  <c r="Z168" i="29"/>
  <c r="Z196" i="29"/>
  <c r="Z192" i="29"/>
  <c r="Z188" i="29"/>
  <c r="AH171" i="29"/>
  <c r="AH170" i="29"/>
  <c r="AH169" i="29"/>
  <c r="AH168" i="29"/>
  <c r="AI171" i="29"/>
  <c r="AI170" i="29"/>
  <c r="AI169" i="29"/>
  <c r="AI168" i="29"/>
  <c r="AJ168" i="29"/>
  <c r="AJ171" i="29"/>
  <c r="AJ170" i="29"/>
  <c r="AJ169" i="29"/>
  <c r="Z208" i="17"/>
  <c r="Z200" i="17"/>
  <c r="Z192" i="17"/>
  <c r="Z187" i="17"/>
  <c r="Z211" i="17"/>
  <c r="Z203" i="17"/>
  <c r="Z195" i="17"/>
  <c r="Z182" i="17"/>
  <c r="Z206" i="17"/>
  <c r="Z198" i="17"/>
  <c r="Z189" i="17"/>
  <c r="Z184" i="17"/>
  <c r="Z179" i="17"/>
  <c r="Z177" i="17"/>
  <c r="Z175" i="17"/>
  <c r="Z173" i="17"/>
  <c r="Z171" i="17"/>
  <c r="Z169" i="17"/>
  <c r="Z209" i="17"/>
  <c r="Z201" i="17"/>
  <c r="Z193" i="17"/>
  <c r="Z167" i="17"/>
  <c r="Z212" i="17"/>
  <c r="Z204" i="17"/>
  <c r="Z196" i="17"/>
  <c r="Z191" i="17"/>
  <c r="Z186" i="17"/>
  <c r="Z181" i="17"/>
  <c r="Z207" i="17"/>
  <c r="Z199" i="17"/>
  <c r="Z188" i="17"/>
  <c r="AA170" i="17"/>
  <c r="AA168" i="17"/>
  <c r="Z210" i="17"/>
  <c r="Z202" i="17"/>
  <c r="Z194" i="17"/>
  <c r="Z183" i="17"/>
  <c r="Z178" i="17"/>
  <c r="Z176" i="17"/>
  <c r="Z174" i="17"/>
  <c r="Z172" i="17"/>
  <c r="Z170" i="17"/>
  <c r="Z168" i="17"/>
  <c r="Z185" i="17"/>
  <c r="Z213" i="17"/>
  <c r="Z180" i="17"/>
  <c r="Z205" i="17"/>
  <c r="Z197" i="17"/>
  <c r="Z190" i="17"/>
  <c r="AB168" i="17"/>
  <c r="AB191" i="17"/>
  <c r="AB183" i="17"/>
  <c r="AB170" i="17"/>
  <c r="AC181" i="17"/>
  <c r="AC173" i="17"/>
  <c r="AC180" i="17"/>
  <c r="AC172" i="17"/>
  <c r="AC171" i="17"/>
  <c r="AC182" i="17"/>
  <c r="AC170" i="17"/>
  <c r="AC168" i="17"/>
  <c r="AC169" i="17"/>
  <c r="AC176" i="17"/>
  <c r="AC191" i="17"/>
  <c r="AC183" i="17"/>
  <c r="AC175" i="17"/>
  <c r="AC174" i="17"/>
  <c r="AD172" i="17"/>
  <c r="AD183" i="17"/>
  <c r="AD173" i="17"/>
  <c r="AD171" i="17"/>
  <c r="AD181" i="17"/>
  <c r="AD170" i="17"/>
  <c r="AD180" i="17"/>
  <c r="AD169" i="17"/>
  <c r="AD176" i="17"/>
  <c r="AD168" i="17"/>
  <c r="AD182" i="17"/>
  <c r="AD175" i="17"/>
  <c r="AD191" i="17"/>
  <c r="AD174" i="17"/>
  <c r="AE169" i="17"/>
  <c r="AE176" i="17"/>
  <c r="AE168" i="17"/>
  <c r="AE191" i="17"/>
  <c r="AE183" i="17"/>
  <c r="AE175" i="17"/>
  <c r="AE182" i="17"/>
  <c r="AE174" i="17"/>
  <c r="AE181" i="17"/>
  <c r="AE173" i="17"/>
  <c r="AE180" i="17"/>
  <c r="AE172" i="17"/>
  <c r="AE170" i="17"/>
  <c r="AE171" i="17"/>
  <c r="AF171" i="17"/>
  <c r="AF170" i="17"/>
  <c r="AF169" i="17"/>
  <c r="AF176" i="17"/>
  <c r="AF168" i="17"/>
  <c r="AF191" i="17"/>
  <c r="AF183" i="17"/>
  <c r="AF175" i="17"/>
  <c r="AF172" i="17"/>
  <c r="AF182" i="17"/>
  <c r="AF174" i="17"/>
  <c r="AF180" i="17"/>
  <c r="AF181" i="17"/>
  <c r="AF173" i="17"/>
  <c r="AG177" i="17"/>
  <c r="AG169" i="17"/>
  <c r="AG176" i="17"/>
  <c r="AG168" i="17"/>
  <c r="AG191" i="17"/>
  <c r="AG183" i="17"/>
  <c r="AG175" i="17"/>
  <c r="AG178" i="17"/>
  <c r="AG182" i="17"/>
  <c r="AG174" i="17"/>
  <c r="AG181" i="17"/>
  <c r="AG173" i="17"/>
  <c r="AG180" i="17"/>
  <c r="AG172" i="17"/>
  <c r="AG179" i="17"/>
  <c r="AG171" i="17"/>
  <c r="AG170" i="17"/>
  <c r="AH180" i="17"/>
  <c r="AH172" i="17"/>
  <c r="AH181" i="17"/>
  <c r="AH173" i="17"/>
  <c r="AH177" i="17"/>
  <c r="AH175" i="17"/>
  <c r="AH169" i="17"/>
  <c r="AH176" i="17"/>
  <c r="AH178" i="17"/>
  <c r="AH170" i="17"/>
  <c r="AH168" i="17"/>
  <c r="AH191" i="17"/>
  <c r="AH171" i="17"/>
  <c r="AH174" i="17"/>
  <c r="AH179" i="17"/>
  <c r="AH183" i="17"/>
  <c r="AH182" i="17"/>
  <c r="AH184" i="17"/>
  <c r="AI178" i="17"/>
  <c r="AI177" i="17"/>
  <c r="AI169" i="17"/>
  <c r="AI174" i="17"/>
  <c r="AI191" i="17"/>
  <c r="AI176" i="17"/>
  <c r="AI168" i="17"/>
  <c r="AI183" i="17"/>
  <c r="AI175" i="17"/>
  <c r="AI179" i="17"/>
  <c r="AI184" i="17"/>
  <c r="AI188" i="17"/>
  <c r="AI189" i="17"/>
  <c r="AI180" i="17"/>
  <c r="AI173" i="17"/>
  <c r="AI182" i="17"/>
  <c r="AI181" i="17"/>
  <c r="AI172" i="17"/>
  <c r="AI170" i="17"/>
  <c r="AI190" i="17"/>
  <c r="AI171" i="17"/>
  <c r="AJ188" i="17"/>
  <c r="AJ174" i="17"/>
  <c r="AJ179" i="17"/>
  <c r="AJ180" i="17"/>
  <c r="AJ173" i="17"/>
  <c r="AJ184" i="17"/>
  <c r="AJ189" i="17"/>
  <c r="AJ185" i="17"/>
  <c r="AJ172" i="17"/>
  <c r="AJ181" i="17"/>
  <c r="AJ190" i="17"/>
  <c r="AJ171" i="17"/>
  <c r="AJ183" i="17"/>
  <c r="AJ186" i="17"/>
  <c r="AJ182" i="17"/>
  <c r="AJ170" i="17"/>
  <c r="AJ187" i="17"/>
  <c r="AJ178" i="17"/>
  <c r="AJ177" i="17"/>
  <c r="AJ169" i="17"/>
  <c r="AJ191" i="17"/>
  <c r="AJ176" i="17"/>
  <c r="AJ168" i="17"/>
  <c r="AJ175" i="17"/>
  <c r="J36" i="72"/>
  <c r="I40" i="56" s="1"/>
  <c r="Z211" i="32"/>
  <c r="Z213" i="32"/>
  <c r="Z209" i="32"/>
  <c r="Z210" i="32"/>
  <c r="Z206" i="32"/>
  <c r="Z202" i="32"/>
  <c r="Z198" i="32"/>
  <c r="Z194" i="32"/>
  <c r="Z190" i="32"/>
  <c r="Z186" i="32"/>
  <c r="Z183" i="32"/>
  <c r="Z181" i="32"/>
  <c r="Z179" i="32"/>
  <c r="Z177" i="32"/>
  <c r="Z175" i="32"/>
  <c r="Z173" i="32"/>
  <c r="Z171" i="32"/>
  <c r="Z169" i="32"/>
  <c r="Z212" i="32"/>
  <c r="Z207" i="32"/>
  <c r="Z203" i="32"/>
  <c r="Z199" i="32"/>
  <c r="Z195" i="32"/>
  <c r="Z191" i="32"/>
  <c r="Z187" i="32"/>
  <c r="Z167" i="32"/>
  <c r="Z208" i="32"/>
  <c r="Z204" i="32"/>
  <c r="Z200" i="32"/>
  <c r="Z196" i="32"/>
  <c r="Z192" i="32"/>
  <c r="Z188" i="32"/>
  <c r="Z184" i="32"/>
  <c r="Z182" i="32"/>
  <c r="Z180" i="32"/>
  <c r="Z178" i="32"/>
  <c r="Z176" i="32"/>
  <c r="Z174" i="32"/>
  <c r="Z170" i="32"/>
  <c r="Z168" i="32"/>
  <c r="Z189" i="32"/>
  <c r="Z185" i="32"/>
  <c r="Z205" i="32"/>
  <c r="Z201" i="32"/>
  <c r="Z197" i="32"/>
  <c r="Z193" i="32"/>
  <c r="AC169" i="32"/>
  <c r="AB170" i="32"/>
  <c r="AA168" i="32"/>
  <c r="AC168" i="32"/>
  <c r="AB169" i="32"/>
  <c r="AA169" i="32"/>
  <c r="AB168" i="32"/>
  <c r="AA170" i="32"/>
  <c r="AA171" i="32"/>
  <c r="AC170" i="32"/>
  <c r="AB171" i="32"/>
  <c r="AC171" i="32"/>
  <c r="AD173" i="32"/>
  <c r="AD171" i="32"/>
  <c r="AD178" i="32"/>
  <c r="AD170" i="32"/>
  <c r="AD177" i="32"/>
  <c r="AD169" i="32"/>
  <c r="AD176" i="32"/>
  <c r="AD168" i="32"/>
  <c r="AD174" i="32"/>
  <c r="AD175" i="32"/>
  <c r="AE173" i="32"/>
  <c r="AE171" i="32"/>
  <c r="AE178" i="32"/>
  <c r="AE170" i="32"/>
  <c r="AE177" i="32"/>
  <c r="AE169" i="32"/>
  <c r="AE176" i="32"/>
  <c r="AE168" i="32"/>
  <c r="AE174" i="32"/>
  <c r="AE175" i="32"/>
  <c r="AF173" i="32"/>
  <c r="AF171" i="32"/>
  <c r="AF178" i="32"/>
  <c r="AF170" i="32"/>
  <c r="AF177" i="32"/>
  <c r="AF169" i="32"/>
  <c r="AF176" i="32"/>
  <c r="AF168" i="32"/>
  <c r="AF175" i="32"/>
  <c r="AF174" i="32"/>
  <c r="AG174" i="32"/>
  <c r="AG173" i="32"/>
  <c r="AG171" i="32"/>
  <c r="AG178" i="32"/>
  <c r="AG170" i="32"/>
  <c r="AG175" i="32"/>
  <c r="AG177" i="32"/>
  <c r="AG169" i="32"/>
  <c r="AG176" i="32"/>
  <c r="AG168" i="32"/>
  <c r="AH178" i="32"/>
  <c r="AH170" i="32"/>
  <c r="AH179" i="32"/>
  <c r="AH177" i="32"/>
  <c r="AH169" i="32"/>
  <c r="AH176" i="32"/>
  <c r="AH168" i="32"/>
  <c r="AH175" i="32"/>
  <c r="AH174" i="32"/>
  <c r="AH171" i="32"/>
  <c r="AH173" i="32"/>
  <c r="AI180" i="32"/>
  <c r="AI179" i="32"/>
  <c r="AI171" i="32"/>
  <c r="AI178" i="32"/>
  <c r="AI170" i="32"/>
  <c r="AI177" i="32"/>
  <c r="AI169" i="32"/>
  <c r="AI176" i="32"/>
  <c r="AI168" i="32"/>
  <c r="AI183" i="32"/>
  <c r="AI175" i="32"/>
  <c r="AI181" i="32"/>
  <c r="AI182" i="32"/>
  <c r="AI174" i="32"/>
  <c r="AI173" i="32"/>
  <c r="AJ181" i="32"/>
  <c r="AJ173" i="32"/>
  <c r="AJ174" i="32"/>
  <c r="AJ180" i="32"/>
  <c r="AJ179" i="32"/>
  <c r="AJ171" i="32"/>
  <c r="AJ178" i="32"/>
  <c r="AJ170" i="32"/>
  <c r="AJ177" i="32"/>
  <c r="AJ169" i="32"/>
  <c r="AJ182" i="32"/>
  <c r="AJ176" i="32"/>
  <c r="AJ168" i="32"/>
  <c r="AJ183" i="32"/>
  <c r="AJ175" i="32"/>
  <c r="K115" i="56"/>
  <c r="K49" i="56" s="1"/>
  <c r="H94" i="72"/>
  <c r="G94" i="70"/>
  <c r="S94" i="70" s="1"/>
  <c r="K267" i="56"/>
  <c r="L36" i="59" s="1"/>
  <c r="K36" i="72"/>
  <c r="J40" i="56" s="1"/>
  <c r="K36" i="70"/>
  <c r="J7" i="72"/>
  <c r="I39" i="56" s="1"/>
  <c r="J65" i="59"/>
  <c r="J128" i="72" s="1"/>
  <c r="I41" i="56" s="1"/>
  <c r="J7" i="70"/>
  <c r="L262" i="56"/>
  <c r="L254" i="56"/>
  <c r="L246" i="56"/>
  <c r="L238" i="56"/>
  <c r="L259" i="56"/>
  <c r="L251" i="56"/>
  <c r="L243" i="56"/>
  <c r="L235" i="56"/>
  <c r="L264" i="56"/>
  <c r="L256" i="56"/>
  <c r="L248" i="56"/>
  <c r="L240" i="56"/>
  <c r="L232" i="56"/>
  <c r="L261" i="56"/>
  <c r="L253" i="56"/>
  <c r="L245" i="56"/>
  <c r="L237" i="56"/>
  <c r="L258" i="56"/>
  <c r="L250" i="56"/>
  <c r="L242" i="56"/>
  <c r="L234" i="56"/>
  <c r="L263" i="56"/>
  <c r="L255" i="56"/>
  <c r="L247" i="56"/>
  <c r="L239" i="56"/>
  <c r="L260" i="56"/>
  <c r="L252" i="56"/>
  <c r="L244" i="56"/>
  <c r="L236" i="56"/>
  <c r="L224" i="56"/>
  <c r="L257" i="56"/>
  <c r="L229" i="56"/>
  <c r="L221" i="56"/>
  <c r="L226" i="56"/>
  <c r="L249" i="56"/>
  <c r="L231" i="56"/>
  <c r="L223" i="56"/>
  <c r="L228" i="56"/>
  <c r="L220" i="56"/>
  <c r="L241" i="56"/>
  <c r="L225" i="56"/>
  <c r="L233" i="56"/>
  <c r="L227" i="56"/>
  <c r="L222" i="56"/>
  <c r="L265" i="56"/>
  <c r="L230" i="56"/>
  <c r="L207" i="56"/>
  <c r="L199" i="56"/>
  <c r="L191" i="56"/>
  <c r="L183" i="56"/>
  <c r="L175" i="56"/>
  <c r="L167" i="56"/>
  <c r="L209" i="56"/>
  <c r="L201" i="56"/>
  <c r="L193" i="56"/>
  <c r="L185" i="56"/>
  <c r="L177" i="56"/>
  <c r="L169" i="56"/>
  <c r="L206" i="56"/>
  <c r="L198" i="56"/>
  <c r="L190" i="56"/>
  <c r="L182" i="56"/>
  <c r="L174" i="56"/>
  <c r="L203" i="56"/>
  <c r="L195" i="56"/>
  <c r="L187" i="56"/>
  <c r="L179" i="56"/>
  <c r="L171" i="56"/>
  <c r="L208" i="56"/>
  <c r="L200" i="56"/>
  <c r="L192" i="56"/>
  <c r="L184" i="56"/>
  <c r="L176" i="56"/>
  <c r="L168" i="56"/>
  <c r="L205" i="56"/>
  <c r="L180" i="56"/>
  <c r="L178" i="56"/>
  <c r="L173" i="56"/>
  <c r="L188" i="56"/>
  <c r="L186" i="56"/>
  <c r="L181" i="56"/>
  <c r="L202" i="56"/>
  <c r="L189" i="56"/>
  <c r="L204" i="56"/>
  <c r="L197" i="56"/>
  <c r="L172" i="56"/>
  <c r="L196" i="56"/>
  <c r="L170" i="56"/>
  <c r="L194" i="56"/>
  <c r="K214" i="56"/>
  <c r="L7" i="59" s="1"/>
  <c r="S125" i="56"/>
  <c r="J37" i="58" s="1"/>
  <c r="H59" i="58" s="1"/>
  <c r="S132" i="56"/>
  <c r="O94" i="70"/>
  <c r="S18" i="72"/>
  <c r="S201" i="59"/>
  <c r="S139" i="72"/>
  <c r="H85" i="59"/>
  <c r="H85" i="70" s="1"/>
  <c r="BG172" i="56"/>
  <c r="C25" i="57"/>
  <c r="C21" i="57"/>
  <c r="L72" i="56"/>
  <c r="L82" i="56"/>
  <c r="L84" i="56"/>
  <c r="L83" i="56"/>
  <c r="L81" i="56"/>
  <c r="L79" i="56"/>
  <c r="L77" i="56"/>
  <c r="L75" i="56"/>
  <c r="L73" i="56"/>
  <c r="L71" i="56"/>
  <c r="L69" i="56"/>
  <c r="L76" i="56"/>
  <c r="L70" i="56"/>
  <c r="L80" i="56"/>
  <c r="L78" i="56"/>
  <c r="L74" i="56"/>
  <c r="BG174" i="56"/>
  <c r="BG176" i="56"/>
  <c r="BG169" i="56"/>
  <c r="BG173" i="56"/>
  <c r="BG171" i="56"/>
  <c r="BG170" i="56"/>
  <c r="G29" i="83" l="1"/>
  <c r="L305" i="59"/>
  <c r="K13" i="56"/>
  <c r="K27" i="56"/>
  <c r="L247" i="59"/>
  <c r="K20" i="56" s="1"/>
  <c r="J14" i="56"/>
  <c r="J16" i="56" s="1"/>
  <c r="J17" i="56" s="1"/>
  <c r="I26" i="56"/>
  <c r="L125" i="59"/>
  <c r="L190" i="59" s="1"/>
  <c r="L276" i="59"/>
  <c r="K23" i="56" s="1"/>
  <c r="K22" i="56"/>
  <c r="K14" i="56" s="1"/>
  <c r="H29" i="83"/>
  <c r="G46" i="8"/>
  <c r="G50" i="8" s="1"/>
  <c r="G51" i="8" s="1"/>
  <c r="G28" i="83"/>
  <c r="H87" i="59"/>
  <c r="G44" i="1"/>
  <c r="G44" i="83"/>
  <c r="G46" i="83"/>
  <c r="P34" i="1"/>
  <c r="P36" i="1" s="1"/>
  <c r="P37" i="1" s="1"/>
  <c r="Q37" i="1" s="1"/>
  <c r="P34" i="83"/>
  <c r="P36" i="83" s="1"/>
  <c r="P37" i="83" s="1"/>
  <c r="O34" i="1"/>
  <c r="O36" i="1" s="1"/>
  <c r="O37" i="1" s="1"/>
  <c r="O34" i="83"/>
  <c r="O36" i="83" s="1"/>
  <c r="O37" i="83" s="1"/>
  <c r="J34" i="1"/>
  <c r="J36" i="1" s="1"/>
  <c r="J37" i="1" s="1"/>
  <c r="J34" i="83"/>
  <c r="J36" i="83" s="1"/>
  <c r="J37" i="83" s="1"/>
  <c r="N34" i="1"/>
  <c r="N36" i="1" s="1"/>
  <c r="N37" i="1" s="1"/>
  <c r="N34" i="83"/>
  <c r="N36" i="83" s="1"/>
  <c r="N37" i="83" s="1"/>
  <c r="M34" i="1"/>
  <c r="M36" i="1" s="1"/>
  <c r="M37" i="1" s="1"/>
  <c r="M34" i="83"/>
  <c r="M36" i="83" s="1"/>
  <c r="M37" i="83" s="1"/>
  <c r="L34" i="1"/>
  <c r="L36" i="1" s="1"/>
  <c r="L37" i="1" s="1"/>
  <c r="L34" i="83"/>
  <c r="L36" i="83" s="1"/>
  <c r="L37" i="83" s="1"/>
  <c r="I34" i="1"/>
  <c r="I36" i="1" s="1"/>
  <c r="I37" i="1" s="1"/>
  <c r="I34" i="83"/>
  <c r="I36" i="83" s="1"/>
  <c r="I37" i="83" s="1"/>
  <c r="K34" i="1"/>
  <c r="K36" i="1" s="1"/>
  <c r="K37" i="1" s="1"/>
  <c r="K34" i="83"/>
  <c r="K36" i="83" s="1"/>
  <c r="K37" i="83" s="1"/>
  <c r="H41" i="1"/>
  <c r="H43" i="1" s="1"/>
  <c r="H44" i="1" s="1"/>
  <c r="H41" i="83"/>
  <c r="H34" i="1"/>
  <c r="H36" i="1" s="1"/>
  <c r="H37" i="1" s="1"/>
  <c r="H34" i="83"/>
  <c r="L95" i="59"/>
  <c r="G50" i="26"/>
  <c r="G50" i="20"/>
  <c r="G47" i="5"/>
  <c r="G47" i="38"/>
  <c r="G50" i="44"/>
  <c r="G51" i="44" s="1"/>
  <c r="G50" i="56"/>
  <c r="J65" i="70"/>
  <c r="G47" i="29"/>
  <c r="K8" i="56"/>
  <c r="K9" i="56" s="1"/>
  <c r="I16" i="56"/>
  <c r="I17" i="56" s="1"/>
  <c r="I43" i="56"/>
  <c r="I44" i="56" s="1"/>
  <c r="I28" i="56"/>
  <c r="G44" i="76"/>
  <c r="G46" i="76"/>
  <c r="K6" i="56"/>
  <c r="K7" i="56" s="1"/>
  <c r="K21" i="56"/>
  <c r="J28" i="56"/>
  <c r="G46" i="53"/>
  <c r="G44" i="53"/>
  <c r="G47" i="11"/>
  <c r="G50" i="11"/>
  <c r="G51" i="11" s="1"/>
  <c r="N47" i="20"/>
  <c r="P50" i="20"/>
  <c r="P47" i="20"/>
  <c r="H50" i="20"/>
  <c r="H47" i="20"/>
  <c r="O47" i="20"/>
  <c r="O50" i="20"/>
  <c r="I47" i="20"/>
  <c r="I50" i="20"/>
  <c r="K47" i="20"/>
  <c r="K50" i="20"/>
  <c r="H46" i="56"/>
  <c r="H44" i="56"/>
  <c r="J50" i="20"/>
  <c r="J47" i="20"/>
  <c r="M50" i="20"/>
  <c r="M47" i="20"/>
  <c r="L47" i="20"/>
  <c r="L50" i="20"/>
  <c r="G47" i="17"/>
  <c r="G50" i="17"/>
  <c r="G51" i="17" s="1"/>
  <c r="G50" i="1"/>
  <c r="G51" i="1" s="1"/>
  <c r="G47" i="1"/>
  <c r="H325" i="59"/>
  <c r="AK214" i="29"/>
  <c r="AK215" i="29" s="1"/>
  <c r="AK214" i="17"/>
  <c r="AK215" i="17" s="1"/>
  <c r="L65" i="72"/>
  <c r="K128" i="72"/>
  <c r="J41" i="56" s="1"/>
  <c r="J43" i="56" s="1"/>
  <c r="S244" i="72"/>
  <c r="S241" i="72"/>
  <c r="AI214" i="29"/>
  <c r="AI215" i="29" s="1"/>
  <c r="K65" i="70"/>
  <c r="AJ214" i="29"/>
  <c r="AJ215" i="29" s="1"/>
  <c r="AJ216" i="29" s="1"/>
  <c r="AH214" i="29"/>
  <c r="AH215" i="29" s="1"/>
  <c r="AA214" i="32"/>
  <c r="AA215" i="32" s="1"/>
  <c r="AA216" i="32" s="1"/>
  <c r="AB214" i="17"/>
  <c r="AB215" i="17" s="1"/>
  <c r="L27" i="58"/>
  <c r="L31" i="58" s="1"/>
  <c r="L32" i="58" s="1"/>
  <c r="AJ19" i="57"/>
  <c r="AH214" i="17"/>
  <c r="AH215" i="17" s="1"/>
  <c r="AG214" i="17"/>
  <c r="AG215" i="17" s="1"/>
  <c r="AA214" i="17"/>
  <c r="AA215" i="17" s="1"/>
  <c r="H27" i="58"/>
  <c r="H31" i="58" s="1"/>
  <c r="H32" i="58" s="1"/>
  <c r="T19" i="57"/>
  <c r="AB19" i="57"/>
  <c r="J27" i="58"/>
  <c r="J31" i="58" s="1"/>
  <c r="J32" i="58" s="1"/>
  <c r="I27" i="58"/>
  <c r="I31" i="58" s="1"/>
  <c r="I32" i="58" s="1"/>
  <c r="X19" i="57"/>
  <c r="K27" i="58"/>
  <c r="K31" i="58" s="1"/>
  <c r="K32" i="58" s="1"/>
  <c r="AF19" i="57"/>
  <c r="F27" i="58"/>
  <c r="F31" i="58" s="1"/>
  <c r="F32" i="58" s="1"/>
  <c r="L19" i="57"/>
  <c r="AI214" i="17"/>
  <c r="AI215" i="17" s="1"/>
  <c r="G27" i="58"/>
  <c r="G31" i="58" s="1"/>
  <c r="G32" i="58" s="1"/>
  <c r="P19" i="57"/>
  <c r="AD214" i="17"/>
  <c r="AD215" i="17" s="1"/>
  <c r="AC214" i="17"/>
  <c r="AC215" i="17" s="1"/>
  <c r="D19" i="57"/>
  <c r="D21" i="57" s="1"/>
  <c r="D27" i="58"/>
  <c r="D31" i="58" s="1"/>
  <c r="AJ214" i="17"/>
  <c r="AJ215" i="17" s="1"/>
  <c r="AJ216" i="17" s="1"/>
  <c r="AF214" i="17"/>
  <c r="AF215" i="17" s="1"/>
  <c r="AE214" i="17"/>
  <c r="AE215" i="17" s="1"/>
  <c r="E27" i="58"/>
  <c r="E31" i="58" s="1"/>
  <c r="E32" i="58" s="1"/>
  <c r="H19" i="57"/>
  <c r="AN19" i="57"/>
  <c r="M27" i="58"/>
  <c r="M31" i="58" s="1"/>
  <c r="M32" i="58" s="1"/>
  <c r="P94" i="72"/>
  <c r="S130" i="56"/>
  <c r="N94" i="72"/>
  <c r="L267" i="56"/>
  <c r="M36" i="59" s="1"/>
  <c r="S131" i="56"/>
  <c r="O156" i="59"/>
  <c r="S129" i="56"/>
  <c r="M259" i="56"/>
  <c r="M251" i="56"/>
  <c r="M243" i="56"/>
  <c r="M235" i="56"/>
  <c r="M264" i="56"/>
  <c r="M256" i="56"/>
  <c r="M248" i="56"/>
  <c r="M240" i="56"/>
  <c r="M261" i="56"/>
  <c r="M253" i="56"/>
  <c r="M245" i="56"/>
  <c r="M237" i="56"/>
  <c r="M258" i="56"/>
  <c r="M250" i="56"/>
  <c r="M242" i="56"/>
  <c r="M234" i="56"/>
  <c r="M263" i="56"/>
  <c r="M255" i="56"/>
  <c r="M247" i="56"/>
  <c r="M239" i="56"/>
  <c r="M260" i="56"/>
  <c r="M252" i="56"/>
  <c r="M244" i="56"/>
  <c r="M236" i="56"/>
  <c r="M265" i="56"/>
  <c r="M257" i="56"/>
  <c r="M249" i="56"/>
  <c r="M241" i="56"/>
  <c r="M233" i="56"/>
  <c r="M229" i="56"/>
  <c r="M221" i="56"/>
  <c r="M246" i="56"/>
  <c r="M226" i="56"/>
  <c r="M232" i="56"/>
  <c r="M231" i="56"/>
  <c r="M223" i="56"/>
  <c r="M238" i="56"/>
  <c r="M228" i="56"/>
  <c r="M220" i="56"/>
  <c r="M225" i="56"/>
  <c r="M262" i="56"/>
  <c r="M230" i="56"/>
  <c r="M227" i="56"/>
  <c r="M224" i="56"/>
  <c r="M222" i="56"/>
  <c r="M254" i="56"/>
  <c r="M204" i="56"/>
  <c r="M196" i="56"/>
  <c r="M188" i="56"/>
  <c r="M180" i="56"/>
  <c r="M172" i="56"/>
  <c r="M206" i="56"/>
  <c r="M198" i="56"/>
  <c r="M190" i="56"/>
  <c r="M182" i="56"/>
  <c r="M174" i="56"/>
  <c r="M203" i="56"/>
  <c r="M195" i="56"/>
  <c r="M187" i="56"/>
  <c r="M179" i="56"/>
  <c r="M171" i="56"/>
  <c r="M208" i="56"/>
  <c r="M200" i="56"/>
  <c r="M192" i="56"/>
  <c r="M184" i="56"/>
  <c r="M176" i="56"/>
  <c r="M168" i="56"/>
  <c r="M205" i="56"/>
  <c r="M197" i="56"/>
  <c r="M189" i="56"/>
  <c r="M181" i="56"/>
  <c r="M173" i="56"/>
  <c r="M185" i="56"/>
  <c r="M178" i="56"/>
  <c r="M183" i="56"/>
  <c r="M193" i="56"/>
  <c r="M186" i="56"/>
  <c r="M191" i="56"/>
  <c r="M201" i="56"/>
  <c r="M194" i="56"/>
  <c r="M169" i="56"/>
  <c r="M209" i="56"/>
  <c r="M202" i="56"/>
  <c r="M177" i="56"/>
  <c r="M170" i="56"/>
  <c r="M167" i="56"/>
  <c r="M175" i="56"/>
  <c r="M199" i="56"/>
  <c r="M207" i="56"/>
  <c r="S126" i="56"/>
  <c r="K37" i="58" s="1"/>
  <c r="I59" i="58" s="1"/>
  <c r="L214" i="56"/>
  <c r="M7" i="59" s="1"/>
  <c r="S133" i="56"/>
  <c r="Q94" i="72"/>
  <c r="P156" i="59"/>
  <c r="L36" i="70"/>
  <c r="L36" i="72"/>
  <c r="K40" i="56" s="1"/>
  <c r="S127" i="56"/>
  <c r="K94" i="72"/>
  <c r="S128" i="56"/>
  <c r="L94" i="72"/>
  <c r="L115" i="56"/>
  <c r="L49" i="56" s="1"/>
  <c r="L7" i="70"/>
  <c r="L7" i="72"/>
  <c r="K39" i="56" s="1"/>
  <c r="L65" i="59"/>
  <c r="L128" i="72" s="1"/>
  <c r="K41" i="56" s="1"/>
  <c r="I94" i="72"/>
  <c r="H94" i="70"/>
  <c r="I156" i="59"/>
  <c r="M94" i="72"/>
  <c r="L94" i="70"/>
  <c r="M156" i="59"/>
  <c r="M82" i="56"/>
  <c r="M80" i="56"/>
  <c r="M78" i="56"/>
  <c r="M76" i="56"/>
  <c r="M74" i="56"/>
  <c r="M72" i="56"/>
  <c r="M70" i="56"/>
  <c r="M84" i="56"/>
  <c r="M83" i="56"/>
  <c r="M81" i="56"/>
  <c r="M79" i="56"/>
  <c r="M77" i="56"/>
  <c r="M75" i="56"/>
  <c r="M73" i="56"/>
  <c r="M71" i="56"/>
  <c r="M69" i="56"/>
  <c r="BY163" i="5"/>
  <c r="BV162" i="5"/>
  <c r="BN161" i="5"/>
  <c r="BY160" i="5"/>
  <c r="BV157" i="5"/>
  <c r="M305" i="59" l="1"/>
  <c r="L27" i="56"/>
  <c r="L13" i="56"/>
  <c r="M247" i="59"/>
  <c r="L20" i="56" s="1"/>
  <c r="M125" i="59"/>
  <c r="M190" i="59" s="1"/>
  <c r="M276" i="59"/>
  <c r="L23" i="56" s="1"/>
  <c r="L22" i="56"/>
  <c r="L14" i="56" s="1"/>
  <c r="K26" i="56"/>
  <c r="G47" i="8"/>
  <c r="G50" i="83"/>
  <c r="G47" i="83"/>
  <c r="H46" i="1"/>
  <c r="H47" i="1" s="1"/>
  <c r="Q34" i="83"/>
  <c r="Q36" i="83" s="1"/>
  <c r="H36" i="83"/>
  <c r="H37" i="83" s="1"/>
  <c r="H43" i="83"/>
  <c r="M95" i="59"/>
  <c r="BY158" i="5"/>
  <c r="BZ160" i="5" s="1"/>
  <c r="AE216" i="17"/>
  <c r="K272" i="17" s="1"/>
  <c r="K56" i="17" s="1"/>
  <c r="AH216" i="17"/>
  <c r="N272" i="17" s="1"/>
  <c r="N56" i="17" s="1"/>
  <c r="AK216" i="17"/>
  <c r="Q272" i="17" s="1"/>
  <c r="AI216" i="17"/>
  <c r="O272" i="17" s="1"/>
  <c r="O56" i="17" s="1"/>
  <c r="AD216" i="17"/>
  <c r="J272" i="17" s="1"/>
  <c r="J56" i="17" s="1"/>
  <c r="AB216" i="17"/>
  <c r="H272" i="17" s="1"/>
  <c r="H56" i="17" s="1"/>
  <c r="AF216" i="17"/>
  <c r="L272" i="17" s="1"/>
  <c r="L56" i="17" s="1"/>
  <c r="AC216" i="17"/>
  <c r="I272" i="17" s="1"/>
  <c r="I56" i="17" s="1"/>
  <c r="AA216" i="17"/>
  <c r="G272" i="17" s="1"/>
  <c r="G56" i="17" s="1"/>
  <c r="AG216" i="17"/>
  <c r="M272" i="17" s="1"/>
  <c r="M56" i="17" s="1"/>
  <c r="AH216" i="29"/>
  <c r="N272" i="29" s="1"/>
  <c r="N56" i="29" s="1"/>
  <c r="AK216" i="29"/>
  <c r="Q272" i="29" s="1"/>
  <c r="AI216" i="29"/>
  <c r="O272" i="29" s="1"/>
  <c r="O56" i="29" s="1"/>
  <c r="K43" i="56"/>
  <c r="K46" i="56" s="1"/>
  <c r="K28" i="56"/>
  <c r="K16" i="56"/>
  <c r="K17" i="56" s="1"/>
  <c r="I46" i="56"/>
  <c r="I47" i="56" s="1"/>
  <c r="L8" i="56"/>
  <c r="L9" i="56" s="1"/>
  <c r="G50" i="76"/>
  <c r="G47" i="76"/>
  <c r="G50" i="53"/>
  <c r="G47" i="53"/>
  <c r="L6" i="56"/>
  <c r="L7" i="56" s="1"/>
  <c r="L21" i="56"/>
  <c r="H47" i="56"/>
  <c r="H50" i="56"/>
  <c r="J44" i="56"/>
  <c r="J46" i="56"/>
  <c r="M65" i="72"/>
  <c r="Q34" i="61"/>
  <c r="Q36" i="61" s="1"/>
  <c r="Q34" i="56"/>
  <c r="Q36" i="56" s="1"/>
  <c r="Q34" i="1"/>
  <c r="Q36" i="1" s="1"/>
  <c r="D23" i="57"/>
  <c r="D25" i="57" s="1"/>
  <c r="E21" i="57"/>
  <c r="E23" i="57" s="1"/>
  <c r="E25" i="57" s="1"/>
  <c r="BP159" i="5"/>
  <c r="BV164" i="5" s="1"/>
  <c r="L65" i="70"/>
  <c r="P272" i="17"/>
  <c r="P56" i="17" s="1"/>
  <c r="Q56" i="17" s="1"/>
  <c r="D64" i="17"/>
  <c r="P272" i="29"/>
  <c r="P56" i="29" s="1"/>
  <c r="Q56" i="29" s="1"/>
  <c r="D64" i="29"/>
  <c r="I39" i="58"/>
  <c r="G63" i="58" s="1"/>
  <c r="D32" i="58"/>
  <c r="B43" i="58"/>
  <c r="I40" i="58" s="1"/>
  <c r="G64" i="58" s="1"/>
  <c r="BY161" i="5"/>
  <c r="BP158" i="5"/>
  <c r="BV159" i="5" s="1"/>
  <c r="BN158" i="5" s="1"/>
  <c r="L156" i="59"/>
  <c r="N94" i="70"/>
  <c r="O94" i="72"/>
  <c r="N156" i="59"/>
  <c r="M115" i="56"/>
  <c r="M49" i="56" s="1"/>
  <c r="M267" i="56"/>
  <c r="N36" i="59" s="1"/>
  <c r="K156" i="59"/>
  <c r="M94" i="70"/>
  <c r="Q156" i="59"/>
  <c r="S156" i="59" s="1"/>
  <c r="T156" i="59" s="1"/>
  <c r="P94" i="70"/>
  <c r="K94" i="70"/>
  <c r="M214" i="56"/>
  <c r="N7" i="59" s="1"/>
  <c r="M7" i="72"/>
  <c r="L39" i="56" s="1"/>
  <c r="M65" i="59"/>
  <c r="M128" i="72" s="1"/>
  <c r="L41" i="56" s="1"/>
  <c r="M7" i="70"/>
  <c r="J94" i="70"/>
  <c r="M36" i="70"/>
  <c r="M36" i="72"/>
  <c r="L40" i="56" s="1"/>
  <c r="N264" i="56"/>
  <c r="N256" i="56"/>
  <c r="N248" i="56"/>
  <c r="N240" i="56"/>
  <c r="N232" i="56"/>
  <c r="N261" i="56"/>
  <c r="N253" i="56"/>
  <c r="N245" i="56"/>
  <c r="N237" i="56"/>
  <c r="N258" i="56"/>
  <c r="N250" i="56"/>
  <c r="N242" i="56"/>
  <c r="N234" i="56"/>
  <c r="N263" i="56"/>
  <c r="N255" i="56"/>
  <c r="N247" i="56"/>
  <c r="N239" i="56"/>
  <c r="N260" i="56"/>
  <c r="N252" i="56"/>
  <c r="N244" i="56"/>
  <c r="N236" i="56"/>
  <c r="N265" i="56"/>
  <c r="N257" i="56"/>
  <c r="N249" i="56"/>
  <c r="N241" i="56"/>
  <c r="N233" i="56"/>
  <c r="N262" i="56"/>
  <c r="N254" i="56"/>
  <c r="N246" i="56"/>
  <c r="N238" i="56"/>
  <c r="N243" i="56"/>
  <c r="N226" i="56"/>
  <c r="N231" i="56"/>
  <c r="N223" i="56"/>
  <c r="N235" i="56"/>
  <c r="N228" i="56"/>
  <c r="N220" i="56"/>
  <c r="N225" i="56"/>
  <c r="N259" i="56"/>
  <c r="N230" i="56"/>
  <c r="N222" i="56"/>
  <c r="N227" i="56"/>
  <c r="N251" i="56"/>
  <c r="N221" i="56"/>
  <c r="N229" i="56"/>
  <c r="N224" i="56"/>
  <c r="N209" i="56"/>
  <c r="N201" i="56"/>
  <c r="N193" i="56"/>
  <c r="N185" i="56"/>
  <c r="N177" i="56"/>
  <c r="N169" i="56"/>
  <c r="N203" i="56"/>
  <c r="N195" i="56"/>
  <c r="N187" i="56"/>
  <c r="N179" i="56"/>
  <c r="N171" i="56"/>
  <c r="N208" i="56"/>
  <c r="N200" i="56"/>
  <c r="N192" i="56"/>
  <c r="N184" i="56"/>
  <c r="N176" i="56"/>
  <c r="N168" i="56"/>
  <c r="N205" i="56"/>
  <c r="N197" i="56"/>
  <c r="N189" i="56"/>
  <c r="N181" i="56"/>
  <c r="N173" i="56"/>
  <c r="N202" i="56"/>
  <c r="N194" i="56"/>
  <c r="N186" i="56"/>
  <c r="N178" i="56"/>
  <c r="N170" i="56"/>
  <c r="N190" i="56"/>
  <c r="N183" i="56"/>
  <c r="N180" i="56"/>
  <c r="N198" i="56"/>
  <c r="N191" i="56"/>
  <c r="N188" i="56"/>
  <c r="N206" i="56"/>
  <c r="N199" i="56"/>
  <c r="N196" i="56"/>
  <c r="N174" i="56"/>
  <c r="N167" i="56"/>
  <c r="N207" i="56"/>
  <c r="N204" i="56"/>
  <c r="N182" i="56"/>
  <c r="N175" i="56"/>
  <c r="N172" i="56"/>
  <c r="J94" i="72"/>
  <c r="I94" i="70"/>
  <c r="J156" i="59"/>
  <c r="N84" i="56"/>
  <c r="N71" i="56"/>
  <c r="N82" i="56"/>
  <c r="N80" i="56"/>
  <c r="N78" i="56"/>
  <c r="N72" i="56"/>
  <c r="N70" i="56"/>
  <c r="N83" i="56"/>
  <c r="N81" i="56"/>
  <c r="N79" i="56"/>
  <c r="N77" i="56"/>
  <c r="N75" i="56"/>
  <c r="N73" i="56"/>
  <c r="N69" i="56"/>
  <c r="N76" i="56"/>
  <c r="N74" i="56"/>
  <c r="BY157" i="5"/>
  <c r="L26" i="56" l="1"/>
  <c r="N305" i="59"/>
  <c r="M27" i="56"/>
  <c r="M13" i="56"/>
  <c r="N247" i="59"/>
  <c r="M20" i="56" s="1"/>
  <c r="N125" i="59"/>
  <c r="N190" i="59" s="1"/>
  <c r="N276" i="59"/>
  <c r="M23" i="56" s="1"/>
  <c r="M22" i="56"/>
  <c r="H50" i="1"/>
  <c r="H51" i="1" s="1"/>
  <c r="H46" i="83"/>
  <c r="H44" i="83"/>
  <c r="N95" i="59"/>
  <c r="S62" i="17"/>
  <c r="R96" i="72"/>
  <c r="S96" i="72" s="1"/>
  <c r="Q96" i="70"/>
  <c r="R158" i="59"/>
  <c r="BN159" i="5"/>
  <c r="AE176" i="5" s="1"/>
  <c r="R165" i="59"/>
  <c r="R103" i="72"/>
  <c r="S103" i="72" s="1"/>
  <c r="S62" i="29"/>
  <c r="Q103" i="70"/>
  <c r="K44" i="56"/>
  <c r="I50" i="56"/>
  <c r="L16" i="56"/>
  <c r="L17" i="56" s="1"/>
  <c r="L43" i="56"/>
  <c r="L46" i="56" s="1"/>
  <c r="M8" i="56"/>
  <c r="M9" i="56" s="1"/>
  <c r="L28" i="56"/>
  <c r="M6" i="56"/>
  <c r="M7" i="56" s="1"/>
  <c r="M21" i="56"/>
  <c r="J47" i="56"/>
  <c r="J50" i="56"/>
  <c r="K50" i="56"/>
  <c r="K47" i="56"/>
  <c r="N65" i="72"/>
  <c r="N36" i="70"/>
  <c r="S61" i="17"/>
  <c r="S61" i="29"/>
  <c r="F21" i="57"/>
  <c r="G21" i="57" s="1"/>
  <c r="BV165" i="5"/>
  <c r="N36" i="72"/>
  <c r="M40" i="56" s="1"/>
  <c r="Z168" i="5"/>
  <c r="M65" i="70"/>
  <c r="O261" i="56"/>
  <c r="O253" i="56"/>
  <c r="O245" i="56"/>
  <c r="O237" i="56"/>
  <c r="O258" i="56"/>
  <c r="O250" i="56"/>
  <c r="O242" i="56"/>
  <c r="O234" i="56"/>
  <c r="O263" i="56"/>
  <c r="O255" i="56"/>
  <c r="O247" i="56"/>
  <c r="O239" i="56"/>
  <c r="O260" i="56"/>
  <c r="O252" i="56"/>
  <c r="O244" i="56"/>
  <c r="O236" i="56"/>
  <c r="O265" i="56"/>
  <c r="O257" i="56"/>
  <c r="O249" i="56"/>
  <c r="O241" i="56"/>
  <c r="O233" i="56"/>
  <c r="O262" i="56"/>
  <c r="O254" i="56"/>
  <c r="O246" i="56"/>
  <c r="O238" i="56"/>
  <c r="O259" i="56"/>
  <c r="O251" i="56"/>
  <c r="O243" i="56"/>
  <c r="O235" i="56"/>
  <c r="O231" i="56"/>
  <c r="O223" i="56"/>
  <c r="O264" i="56"/>
  <c r="O232" i="56"/>
  <c r="O228" i="56"/>
  <c r="O220" i="56"/>
  <c r="O225" i="56"/>
  <c r="O256" i="56"/>
  <c r="O230" i="56"/>
  <c r="O222" i="56"/>
  <c r="O227" i="56"/>
  <c r="O248" i="56"/>
  <c r="O224" i="56"/>
  <c r="O221" i="56"/>
  <c r="O229" i="56"/>
  <c r="O226" i="56"/>
  <c r="O240" i="56"/>
  <c r="O206" i="56"/>
  <c r="O198" i="56"/>
  <c r="O190" i="56"/>
  <c r="O182" i="56"/>
  <c r="O174" i="56"/>
  <c r="O208" i="56"/>
  <c r="O200" i="56"/>
  <c r="O192" i="56"/>
  <c r="O184" i="56"/>
  <c r="O176" i="56"/>
  <c r="O168" i="56"/>
  <c r="O205" i="56"/>
  <c r="O197" i="56"/>
  <c r="O189" i="56"/>
  <c r="O181" i="56"/>
  <c r="O173" i="56"/>
  <c r="O202" i="56"/>
  <c r="O194" i="56"/>
  <c r="O186" i="56"/>
  <c r="O178" i="56"/>
  <c r="O170" i="56"/>
  <c r="O207" i="56"/>
  <c r="O199" i="56"/>
  <c r="O191" i="56"/>
  <c r="O183" i="56"/>
  <c r="O175" i="56"/>
  <c r="O167" i="56"/>
  <c r="O195" i="56"/>
  <c r="O193" i="56"/>
  <c r="O188" i="56"/>
  <c r="O203" i="56"/>
  <c r="O171" i="56"/>
  <c r="O201" i="56"/>
  <c r="O196" i="56"/>
  <c r="O169" i="56"/>
  <c r="O179" i="56"/>
  <c r="O187" i="56"/>
  <c r="O185" i="56"/>
  <c r="O172" i="56"/>
  <c r="O180" i="56"/>
  <c r="O209" i="56"/>
  <c r="O204" i="56"/>
  <c r="O177" i="56"/>
  <c r="N65" i="59"/>
  <c r="N128" i="72" s="1"/>
  <c r="M41" i="56" s="1"/>
  <c r="N7" i="72"/>
  <c r="M39" i="56" s="1"/>
  <c r="N7" i="70"/>
  <c r="N267" i="56"/>
  <c r="O36" i="59" s="1"/>
  <c r="N115" i="56"/>
  <c r="N49" i="56" s="1"/>
  <c r="N214" i="56"/>
  <c r="O7" i="59" s="1"/>
  <c r="O83" i="56"/>
  <c r="O81" i="56"/>
  <c r="O79" i="56"/>
  <c r="O77" i="56"/>
  <c r="O75" i="56"/>
  <c r="O73" i="56"/>
  <c r="O71" i="56"/>
  <c r="O69" i="56"/>
  <c r="O72" i="56"/>
  <c r="O70" i="56"/>
  <c r="O84" i="56"/>
  <c r="O82" i="56"/>
  <c r="O80" i="56"/>
  <c r="O78" i="56"/>
  <c r="O76" i="56"/>
  <c r="O74" i="56"/>
  <c r="O305" i="59" l="1"/>
  <c r="N13" i="56"/>
  <c r="N27" i="56"/>
  <c r="O247" i="59"/>
  <c r="N20" i="56" s="1"/>
  <c r="O125" i="59"/>
  <c r="O190" i="59" s="1"/>
  <c r="O276" i="59"/>
  <c r="N23" i="56" s="1"/>
  <c r="N22" i="56"/>
  <c r="N26" i="56" s="1"/>
  <c r="M14" i="56"/>
  <c r="M16" i="56" s="1"/>
  <c r="M17" i="56" s="1"/>
  <c r="M26" i="56"/>
  <c r="H47" i="83"/>
  <c r="H50" i="83"/>
  <c r="AE175" i="5"/>
  <c r="AD172" i="5"/>
  <c r="AD171" i="5"/>
  <c r="AD170" i="5"/>
  <c r="AD169" i="5"/>
  <c r="AI174" i="5"/>
  <c r="AB177" i="5"/>
  <c r="AB215" i="5" s="1"/>
  <c r="AB216" i="5" s="1"/>
  <c r="AB217" i="5" s="1"/>
  <c r="H273" i="5" s="1"/>
  <c r="H56" i="5" s="1"/>
  <c r="AG173" i="5"/>
  <c r="O95" i="59"/>
  <c r="AK175" i="5"/>
  <c r="Z186" i="5"/>
  <c r="Z181" i="5"/>
  <c r="Z203" i="5"/>
  <c r="Z198" i="5"/>
  <c r="Z171" i="5"/>
  <c r="Z199" i="5"/>
  <c r="AE169" i="5"/>
  <c r="AG172" i="5"/>
  <c r="AH176" i="5"/>
  <c r="AI171" i="5"/>
  <c r="AJ170" i="5"/>
  <c r="Z201" i="5"/>
  <c r="AG169" i="5"/>
  <c r="Z206" i="5"/>
  <c r="AI170" i="5"/>
  <c r="AK174" i="5"/>
  <c r="Z178" i="5"/>
  <c r="Z175" i="5"/>
  <c r="Z195" i="5"/>
  <c r="Z190" i="5"/>
  <c r="Z212" i="5"/>
  <c r="Z173" i="5"/>
  <c r="AE172" i="5"/>
  <c r="AG171" i="5"/>
  <c r="AH170" i="5"/>
  <c r="AI177" i="5"/>
  <c r="AJ177" i="5"/>
  <c r="Z210" i="5"/>
  <c r="Z184" i="5"/>
  <c r="Z180" i="5"/>
  <c r="AI173" i="5"/>
  <c r="Z207" i="5"/>
  <c r="AJ171" i="5"/>
  <c r="AK177" i="5"/>
  <c r="Z170" i="5"/>
  <c r="Z208" i="5"/>
  <c r="Z187" i="5"/>
  <c r="Z182" i="5"/>
  <c r="Z204" i="5"/>
  <c r="Z191" i="5"/>
  <c r="AF172" i="5"/>
  <c r="AG170" i="5"/>
  <c r="AH177" i="5"/>
  <c r="AI169" i="5"/>
  <c r="AJ169" i="5"/>
  <c r="AJ176" i="5"/>
  <c r="Z205" i="5"/>
  <c r="AF169" i="5"/>
  <c r="Z185" i="5"/>
  <c r="AJ173" i="5"/>
  <c r="AE170" i="5"/>
  <c r="AK169" i="5"/>
  <c r="Z200" i="5"/>
  <c r="Z179" i="5"/>
  <c r="Z174" i="5"/>
  <c r="Z196" i="5"/>
  <c r="Z183" i="5"/>
  <c r="AF171" i="5"/>
  <c r="AG175" i="5"/>
  <c r="AH171" i="5"/>
  <c r="AI176" i="5"/>
  <c r="AJ172" i="5"/>
  <c r="Z169" i="5"/>
  <c r="AD177" i="5"/>
  <c r="AD215" i="5" s="1"/>
  <c r="AD216" i="5" s="1"/>
  <c r="AD217" i="5" s="1"/>
  <c r="J273" i="5" s="1"/>
  <c r="J56" i="5" s="1"/>
  <c r="AJ175" i="5"/>
  <c r="AH175" i="5"/>
  <c r="AF170" i="5"/>
  <c r="AK172" i="5"/>
  <c r="AK171" i="5"/>
  <c r="Z213" i="5"/>
  <c r="Z192" i="5"/>
  <c r="Z177" i="5"/>
  <c r="Z209" i="5"/>
  <c r="Z188" i="5"/>
  <c r="AC177" i="5"/>
  <c r="AC215" i="5" s="1"/>
  <c r="AC216" i="5" s="1"/>
  <c r="AC217" i="5" s="1"/>
  <c r="I273" i="5" s="1"/>
  <c r="I56" i="5" s="1"/>
  <c r="AF177" i="5"/>
  <c r="AG177" i="5"/>
  <c r="AH169" i="5"/>
  <c r="AI175" i="5"/>
  <c r="AK170" i="5"/>
  <c r="AH172" i="5"/>
  <c r="AE177" i="5"/>
  <c r="AK173" i="5"/>
  <c r="Z202" i="5"/>
  <c r="Z197" i="5"/>
  <c r="Z172" i="5"/>
  <c r="Z214" i="5"/>
  <c r="Z193" i="5"/>
  <c r="Z176" i="5"/>
  <c r="AE171" i="5"/>
  <c r="AF176" i="5"/>
  <c r="AG176" i="5"/>
  <c r="AH173" i="5"/>
  <c r="AI172" i="5"/>
  <c r="AJ174" i="5"/>
  <c r="AK176" i="5"/>
  <c r="Z194" i="5"/>
  <c r="Z189" i="5"/>
  <c r="Z211" i="5"/>
  <c r="AF175" i="5"/>
  <c r="AF215" i="5" s="1"/>
  <c r="AF216" i="5" s="1"/>
  <c r="L44" i="56"/>
  <c r="M28" i="56"/>
  <c r="N8" i="56"/>
  <c r="N9" i="56" s="1"/>
  <c r="M43" i="56"/>
  <c r="M46" i="56" s="1"/>
  <c r="N6" i="56"/>
  <c r="N7" i="56" s="1"/>
  <c r="N21" i="56"/>
  <c r="L50" i="56"/>
  <c r="L47" i="56"/>
  <c r="N65" i="70"/>
  <c r="F23" i="57"/>
  <c r="F25" i="57" s="1"/>
  <c r="O65" i="72"/>
  <c r="AE215" i="5"/>
  <c r="AE216" i="5" s="1"/>
  <c r="P258" i="56"/>
  <c r="P250" i="56"/>
  <c r="P242" i="56"/>
  <c r="P234" i="56"/>
  <c r="P263" i="56"/>
  <c r="P255" i="56"/>
  <c r="P247" i="56"/>
  <c r="P239" i="56"/>
  <c r="P260" i="56"/>
  <c r="P252" i="56"/>
  <c r="P244" i="56"/>
  <c r="P236" i="56"/>
  <c r="P265" i="56"/>
  <c r="P257" i="56"/>
  <c r="P249" i="56"/>
  <c r="P241" i="56"/>
  <c r="P233" i="56"/>
  <c r="P262" i="56"/>
  <c r="P254" i="56"/>
  <c r="P246" i="56"/>
  <c r="P238" i="56"/>
  <c r="P259" i="56"/>
  <c r="P251" i="56"/>
  <c r="P243" i="56"/>
  <c r="P235" i="56"/>
  <c r="P264" i="56"/>
  <c r="P256" i="56"/>
  <c r="P248" i="56"/>
  <c r="P240" i="56"/>
  <c r="P232" i="56"/>
  <c r="P228" i="56"/>
  <c r="P220" i="56"/>
  <c r="P253" i="56"/>
  <c r="P225" i="56"/>
  <c r="P230" i="56"/>
  <c r="P222" i="56"/>
  <c r="P245" i="56"/>
  <c r="P227" i="56"/>
  <c r="P224" i="56"/>
  <c r="P237" i="56"/>
  <c r="P229" i="56"/>
  <c r="P221" i="56"/>
  <c r="P261" i="56"/>
  <c r="P231" i="56"/>
  <c r="P226" i="56"/>
  <c r="P223" i="56"/>
  <c r="P203" i="56"/>
  <c r="P195" i="56"/>
  <c r="P187" i="56"/>
  <c r="P179" i="56"/>
  <c r="P171" i="56"/>
  <c r="P205" i="56"/>
  <c r="P197" i="56"/>
  <c r="P189" i="56"/>
  <c r="P181" i="56"/>
  <c r="P173" i="56"/>
  <c r="P202" i="56"/>
  <c r="P194" i="56"/>
  <c r="P186" i="56"/>
  <c r="P178" i="56"/>
  <c r="P170" i="56"/>
  <c r="P207" i="56"/>
  <c r="P199" i="56"/>
  <c r="P191" i="56"/>
  <c r="P183" i="56"/>
  <c r="P175" i="56"/>
  <c r="P167" i="56"/>
  <c r="P204" i="56"/>
  <c r="P196" i="56"/>
  <c r="P188" i="56"/>
  <c r="P180" i="56"/>
  <c r="P172" i="56"/>
  <c r="P193" i="56"/>
  <c r="P208" i="56"/>
  <c r="P198" i="56"/>
  <c r="P176" i="56"/>
  <c r="P201" i="56"/>
  <c r="P169" i="56"/>
  <c r="P206" i="56"/>
  <c r="P184" i="56"/>
  <c r="P174" i="56"/>
  <c r="P209" i="56"/>
  <c r="P177" i="56"/>
  <c r="P185" i="56"/>
  <c r="P168" i="56"/>
  <c r="P192" i="56"/>
  <c r="P200" i="56"/>
  <c r="P182" i="56"/>
  <c r="P190" i="56"/>
  <c r="O267" i="56"/>
  <c r="P36" i="59" s="1"/>
  <c r="O7" i="70"/>
  <c r="O7" i="72"/>
  <c r="N39" i="56" s="1"/>
  <c r="O65" i="59"/>
  <c r="O128" i="72" s="1"/>
  <c r="N41" i="56" s="1"/>
  <c r="O214" i="56"/>
  <c r="P7" i="59" s="1"/>
  <c r="O36" i="70"/>
  <c r="O36" i="72"/>
  <c r="N40" i="56" s="1"/>
  <c r="O115" i="56"/>
  <c r="O49" i="56" s="1"/>
  <c r="P83" i="56"/>
  <c r="P81" i="56"/>
  <c r="P79" i="56"/>
  <c r="P69" i="56"/>
  <c r="P77" i="56"/>
  <c r="P73" i="56"/>
  <c r="P71" i="56"/>
  <c r="P82" i="56"/>
  <c r="P80" i="56"/>
  <c r="P78" i="56"/>
  <c r="P76" i="56"/>
  <c r="P74" i="56"/>
  <c r="P72" i="56"/>
  <c r="P70" i="56"/>
  <c r="P84" i="56"/>
  <c r="P75" i="56"/>
  <c r="H21" i="57"/>
  <c r="G23" i="57"/>
  <c r="G25" i="57" s="1"/>
  <c r="P305" i="59" l="1"/>
  <c r="O27" i="56"/>
  <c r="O13" i="56"/>
  <c r="P247" i="59"/>
  <c r="O20" i="56" s="1"/>
  <c r="N14" i="56"/>
  <c r="N16" i="56" s="1"/>
  <c r="N17" i="56" s="1"/>
  <c r="P125" i="59"/>
  <c r="P190" i="59" s="1"/>
  <c r="P276" i="59"/>
  <c r="O23" i="56" s="1"/>
  <c r="O22" i="56"/>
  <c r="O14" i="56" s="1"/>
  <c r="P95" i="59"/>
  <c r="AH215" i="5"/>
  <c r="AH216" i="5" s="1"/>
  <c r="AH217" i="5" s="1"/>
  <c r="N273" i="5" s="1"/>
  <c r="N56" i="5" s="1"/>
  <c r="AK215" i="5"/>
  <c r="AK216" i="5" s="1"/>
  <c r="AK217" i="5" s="1"/>
  <c r="Q273" i="5" s="1"/>
  <c r="AI215" i="5"/>
  <c r="AI216" i="5" s="1"/>
  <c r="AI217" i="5" s="1"/>
  <c r="O273" i="5" s="1"/>
  <c r="O56" i="5" s="1"/>
  <c r="AJ215" i="5"/>
  <c r="AJ216" i="5" s="1"/>
  <c r="AJ217" i="5" s="1"/>
  <c r="P273" i="5" s="1"/>
  <c r="P56" i="5" s="1"/>
  <c r="Q56" i="5" s="1"/>
  <c r="AG215" i="5"/>
  <c r="AG216" i="5" s="1"/>
  <c r="AG217" i="5" s="1"/>
  <c r="M273" i="5" s="1"/>
  <c r="M56" i="5" s="1"/>
  <c r="AF217" i="5"/>
  <c r="L273" i="5" s="1"/>
  <c r="L56" i="5" s="1"/>
  <c r="AE217" i="5"/>
  <c r="K273" i="5" s="1"/>
  <c r="K56" i="5" s="1"/>
  <c r="N28" i="56"/>
  <c r="N43" i="56"/>
  <c r="N44" i="56" s="1"/>
  <c r="O8" i="56"/>
  <c r="O9" i="56" s="1"/>
  <c r="O21" i="56"/>
  <c r="O6" i="56"/>
  <c r="O7" i="56" s="1"/>
  <c r="M44" i="56"/>
  <c r="M47" i="56"/>
  <c r="M50" i="56"/>
  <c r="P65" i="72"/>
  <c r="O65" i="70"/>
  <c r="Q263" i="56"/>
  <c r="Q255" i="56"/>
  <c r="Q247" i="56"/>
  <c r="Q239" i="56"/>
  <c r="Q231" i="56"/>
  <c r="Q260" i="56"/>
  <c r="Q252" i="56"/>
  <c r="Q244" i="56"/>
  <c r="Q236" i="56"/>
  <c r="Q265" i="56"/>
  <c r="Q257" i="56"/>
  <c r="Q249" i="56"/>
  <c r="Q241" i="56"/>
  <c r="Q233" i="56"/>
  <c r="Q262" i="56"/>
  <c r="Q254" i="56"/>
  <c r="Q246" i="56"/>
  <c r="Q238" i="56"/>
  <c r="Q259" i="56"/>
  <c r="Q251" i="56"/>
  <c r="Q243" i="56"/>
  <c r="Q235" i="56"/>
  <c r="Q264" i="56"/>
  <c r="Q256" i="56"/>
  <c r="Q248" i="56"/>
  <c r="Q240" i="56"/>
  <c r="Q232" i="56"/>
  <c r="Q261" i="56"/>
  <c r="Q253" i="56"/>
  <c r="Q245" i="56"/>
  <c r="Q237" i="56"/>
  <c r="Q250" i="56"/>
  <c r="Q225" i="56"/>
  <c r="Q230" i="56"/>
  <c r="Q222" i="56"/>
  <c r="Q242" i="56"/>
  <c r="Q227" i="56"/>
  <c r="Q224" i="56"/>
  <c r="Q234" i="56"/>
  <c r="Q229" i="56"/>
  <c r="Q221" i="56"/>
  <c r="Q226" i="56"/>
  <c r="Q228" i="56"/>
  <c r="Q220" i="56"/>
  <c r="Q223" i="56"/>
  <c r="Q258" i="56"/>
  <c r="Q208" i="56"/>
  <c r="Q200" i="56"/>
  <c r="Q192" i="56"/>
  <c r="Q184" i="56"/>
  <c r="Q176" i="56"/>
  <c r="Q168" i="56"/>
  <c r="Q202" i="56"/>
  <c r="Q194" i="56"/>
  <c r="Q186" i="56"/>
  <c r="Q178" i="56"/>
  <c r="Q170" i="56"/>
  <c r="Q207" i="56"/>
  <c r="Q199" i="56"/>
  <c r="Q191" i="56"/>
  <c r="Q183" i="56"/>
  <c r="Q175" i="56"/>
  <c r="Q167" i="56"/>
  <c r="Q204" i="56"/>
  <c r="Q196" i="56"/>
  <c r="Q188" i="56"/>
  <c r="Q180" i="56"/>
  <c r="Q172" i="56"/>
  <c r="Q209" i="56"/>
  <c r="Q201" i="56"/>
  <c r="Q193" i="56"/>
  <c r="Q185" i="56"/>
  <c r="Q177" i="56"/>
  <c r="Q169" i="56"/>
  <c r="Q205" i="56"/>
  <c r="Q198" i="56"/>
  <c r="Q173" i="56"/>
  <c r="Q203" i="56"/>
  <c r="Q171" i="56"/>
  <c r="Q206" i="56"/>
  <c r="Q181" i="56"/>
  <c r="Q174" i="56"/>
  <c r="Q179" i="56"/>
  <c r="Q189" i="56"/>
  <c r="Q182" i="56"/>
  <c r="Q197" i="56"/>
  <c r="Q190" i="56"/>
  <c r="Q195" i="56"/>
  <c r="Q187" i="56"/>
  <c r="P7" i="72"/>
  <c r="O39" i="56" s="1"/>
  <c r="P65" i="59"/>
  <c r="P128" i="72" s="1"/>
  <c r="O41" i="56" s="1"/>
  <c r="P7" i="70"/>
  <c r="P115" i="56"/>
  <c r="P49" i="56" s="1"/>
  <c r="P36" i="72"/>
  <c r="O40" i="56" s="1"/>
  <c r="P36" i="70"/>
  <c r="P267" i="56"/>
  <c r="Q36" i="59" s="1"/>
  <c r="P214" i="56"/>
  <c r="Q7" i="59" s="1"/>
  <c r="Q83" i="56"/>
  <c r="Q81" i="56"/>
  <c r="Q79" i="56"/>
  <c r="Q77" i="56"/>
  <c r="Q75" i="56"/>
  <c r="Q73" i="56"/>
  <c r="Q71" i="56"/>
  <c r="Q69" i="56"/>
  <c r="Q82" i="56"/>
  <c r="Q80" i="56"/>
  <c r="Q78" i="56"/>
  <c r="Q76" i="56"/>
  <c r="Q74" i="56"/>
  <c r="Q72" i="56"/>
  <c r="Q70" i="56"/>
  <c r="Q84" i="56"/>
  <c r="I21" i="57"/>
  <c r="H23" i="57"/>
  <c r="H25" i="57" s="1"/>
  <c r="Q305" i="59" l="1"/>
  <c r="P13" i="56"/>
  <c r="P27" i="56"/>
  <c r="Q27" i="56" s="1"/>
  <c r="Q247" i="59"/>
  <c r="P20" i="56" s="1"/>
  <c r="Q20" i="56" s="1"/>
  <c r="Q125" i="59"/>
  <c r="Q190" i="59" s="1"/>
  <c r="Q276" i="59"/>
  <c r="P23" i="56" s="1"/>
  <c r="Q23" i="56" s="1"/>
  <c r="P22" i="56"/>
  <c r="P26" i="56" s="1"/>
  <c r="O26" i="56"/>
  <c r="Q95" i="59"/>
  <c r="D64" i="5"/>
  <c r="R157" i="59"/>
  <c r="Q95" i="70"/>
  <c r="R95" i="72"/>
  <c r="S95" i="72" s="1"/>
  <c r="S62" i="5"/>
  <c r="N46" i="56"/>
  <c r="N50" i="56" s="1"/>
  <c r="O43" i="56"/>
  <c r="O44" i="56" s="1"/>
  <c r="O16" i="56"/>
  <c r="O17" i="56" s="1"/>
  <c r="P8" i="56"/>
  <c r="P9" i="56" s="1"/>
  <c r="O28" i="56"/>
  <c r="P6" i="56"/>
  <c r="P7" i="56" s="1"/>
  <c r="P21" i="56"/>
  <c r="Q21" i="56" s="1"/>
  <c r="Q65" i="72"/>
  <c r="Q49" i="56"/>
  <c r="S61" i="5"/>
  <c r="Q36" i="70"/>
  <c r="Q36" i="72"/>
  <c r="Q214" i="56"/>
  <c r="R7" i="59" s="1"/>
  <c r="P65" i="70"/>
  <c r="Q65" i="59"/>
  <c r="Q7" i="72"/>
  <c r="P39" i="56" s="1"/>
  <c r="Q7" i="70"/>
  <c r="Q115" i="56"/>
  <c r="R65" i="72" s="1"/>
  <c r="Q267" i="56"/>
  <c r="R36" i="59" s="1"/>
  <c r="J21" i="57"/>
  <c r="I23" i="57"/>
  <c r="I25" i="57" s="1"/>
  <c r="P14" i="56" l="1"/>
  <c r="P16" i="56" s="1"/>
  <c r="P17" i="56" s="1"/>
  <c r="Q26" i="56"/>
  <c r="Q22" i="56"/>
  <c r="Q28" i="56" s="1"/>
  <c r="R305" i="59"/>
  <c r="S305" i="59" s="1"/>
  <c r="R247" i="59"/>
  <c r="R125" i="59"/>
  <c r="R190" i="59" s="1"/>
  <c r="R276" i="59"/>
  <c r="S276" i="59" s="1"/>
  <c r="R95" i="59"/>
  <c r="N47" i="56"/>
  <c r="O46" i="56"/>
  <c r="O47" i="56" s="1"/>
  <c r="P28" i="56"/>
  <c r="P40" i="56"/>
  <c r="S247" i="59"/>
  <c r="Q128" i="72"/>
  <c r="S65" i="72"/>
  <c r="Q65" i="70"/>
  <c r="R7" i="70"/>
  <c r="S7" i="59"/>
  <c r="R7" i="72"/>
  <c r="S7" i="72" s="1"/>
  <c r="R65" i="59"/>
  <c r="R36" i="72"/>
  <c r="S36" i="72" s="1"/>
  <c r="R36" i="70"/>
  <c r="S36" i="70" s="1"/>
  <c r="S36" i="59"/>
  <c r="K21" i="57"/>
  <c r="J23" i="57"/>
  <c r="J25" i="57" s="1"/>
  <c r="O50" i="56" l="1"/>
  <c r="P41" i="56"/>
  <c r="P43" i="56" s="1"/>
  <c r="R128" i="72"/>
  <c r="S128" i="72" s="1"/>
  <c r="S190" i="59"/>
  <c r="S65" i="59"/>
  <c r="S7" i="70"/>
  <c r="R65" i="70"/>
  <c r="S65" i="70" s="1"/>
  <c r="L21" i="57"/>
  <c r="K23" i="57"/>
  <c r="K25" i="57" s="1"/>
  <c r="P46" i="56" l="1"/>
  <c r="P44" i="56"/>
  <c r="M21" i="57"/>
  <c r="L23" i="57"/>
  <c r="L25" i="57" s="1"/>
  <c r="P47" i="56" l="1"/>
  <c r="P50" i="56"/>
  <c r="M23" i="57"/>
  <c r="M25" i="57" s="1"/>
  <c r="N21" i="57"/>
  <c r="O21" i="57" l="1"/>
  <c r="N23" i="57"/>
  <c r="N25" i="57" s="1"/>
  <c r="P21" i="57" l="1"/>
  <c r="O23" i="57"/>
  <c r="O25" i="57" s="1"/>
  <c r="Q21" i="57" l="1"/>
  <c r="P23" i="57"/>
  <c r="P25" i="57" s="1"/>
  <c r="R21" i="57" l="1"/>
  <c r="Q23" i="57"/>
  <c r="Q25" i="57" s="1"/>
  <c r="S21" i="57" l="1"/>
  <c r="R23" i="57"/>
  <c r="R25" i="57" s="1"/>
  <c r="T21" i="57" l="1"/>
  <c r="S23" i="57"/>
  <c r="S25" i="57" s="1"/>
  <c r="U21" i="57" l="1"/>
  <c r="T23" i="57"/>
  <c r="T25" i="57" s="1"/>
  <c r="U23" i="57" l="1"/>
  <c r="U25" i="57" s="1"/>
  <c r="V21" i="57"/>
  <c r="W21" i="57" l="1"/>
  <c r="V23" i="57"/>
  <c r="V25" i="57" s="1"/>
  <c r="X21" i="57" l="1"/>
  <c r="W23" i="57"/>
  <c r="W25" i="57" s="1"/>
  <c r="Y21" i="57" l="1"/>
  <c r="X23" i="57"/>
  <c r="X25" i="57" s="1"/>
  <c r="Z21" i="57" l="1"/>
  <c r="Y23" i="57"/>
  <c r="Y25" i="57" s="1"/>
  <c r="AA21" i="57" l="1"/>
  <c r="Z23" i="57"/>
  <c r="Z25" i="57" s="1"/>
  <c r="AB21" i="57" l="1"/>
  <c r="AA23" i="57"/>
  <c r="AA25" i="57" s="1"/>
  <c r="AC21" i="57" l="1"/>
  <c r="AB23" i="57"/>
  <c r="AB25" i="57" s="1"/>
  <c r="AC23" i="57" l="1"/>
  <c r="AC25" i="57" s="1"/>
  <c r="AD21" i="57"/>
  <c r="AE21" i="57" l="1"/>
  <c r="AD23" i="57"/>
  <c r="AD25" i="57" s="1"/>
  <c r="AF21" i="57" l="1"/>
  <c r="AE23" i="57"/>
  <c r="AE25" i="57" s="1"/>
  <c r="AG21" i="57" l="1"/>
  <c r="AF23" i="57"/>
  <c r="AF25" i="57" s="1"/>
  <c r="AH21" i="57" l="1"/>
  <c r="AG23" i="57"/>
  <c r="AG25" i="57" s="1"/>
  <c r="AI21" i="57" l="1"/>
  <c r="AH23" i="57"/>
  <c r="AH25" i="57" s="1"/>
  <c r="AJ21" i="57" l="1"/>
  <c r="AI23" i="57"/>
  <c r="AI25" i="57" s="1"/>
  <c r="AK21" i="57" l="1"/>
  <c r="AJ23" i="57"/>
  <c r="AJ25" i="57" s="1"/>
  <c r="AK23" i="57" l="1"/>
  <c r="AK25" i="57" s="1"/>
  <c r="AL21" i="57"/>
  <c r="AM21" i="57" l="1"/>
  <c r="AL23" i="57"/>
  <c r="AL25" i="57" s="1"/>
  <c r="AN21" i="57" l="1"/>
  <c r="AM23" i="57"/>
  <c r="AM25" i="57" s="1"/>
  <c r="AO21" i="57" l="1"/>
  <c r="AN23" i="57"/>
  <c r="AN25" i="57" s="1"/>
  <c r="AP21" i="57" l="1"/>
  <c r="AO23" i="57"/>
  <c r="AO25" i="57" s="1"/>
  <c r="AQ21" i="57" l="1"/>
  <c r="AQ23" i="57" s="1"/>
  <c r="AQ25" i="57" s="1"/>
  <c r="AP23" i="57"/>
  <c r="AP25" i="57" s="1"/>
  <c r="G78" i="32" l="1"/>
  <c r="G79" i="32"/>
  <c r="G80" i="32"/>
  <c r="G81" i="32"/>
  <c r="G82" i="32"/>
  <c r="G83" i="32"/>
  <c r="G84" i="32"/>
  <c r="G81" i="20"/>
  <c r="AM180" i="20" s="1"/>
  <c r="H81" i="20"/>
  <c r="I81" i="20"/>
  <c r="J81" i="20"/>
  <c r="K81" i="20"/>
  <c r="L81" i="20"/>
  <c r="M81" i="20"/>
  <c r="N81" i="20"/>
  <c r="O81" i="20"/>
  <c r="P81" i="20"/>
  <c r="Q81" i="20"/>
  <c r="G80" i="20"/>
  <c r="H80" i="20"/>
  <c r="I80" i="20"/>
  <c r="J80" i="20"/>
  <c r="K80" i="20"/>
  <c r="L80" i="20"/>
  <c r="M80" i="20"/>
  <c r="N80" i="20"/>
  <c r="O80" i="20"/>
  <c r="P80" i="20"/>
  <c r="Q80" i="20"/>
  <c r="G78" i="20"/>
  <c r="AM177" i="20" s="1"/>
  <c r="H78" i="20"/>
  <c r="I78" i="20"/>
  <c r="J78" i="20"/>
  <c r="K78" i="20"/>
  <c r="L78" i="20"/>
  <c r="M78" i="20"/>
  <c r="N78" i="20"/>
  <c r="O78" i="20"/>
  <c r="P78" i="20"/>
  <c r="Q78" i="20"/>
  <c r="G79" i="20"/>
  <c r="AM178" i="20" s="1"/>
  <c r="H79" i="20"/>
  <c r="I79" i="20"/>
  <c r="J79" i="20"/>
  <c r="K79" i="20"/>
  <c r="L79" i="20"/>
  <c r="M79" i="20"/>
  <c r="N79" i="20"/>
  <c r="O79" i="20"/>
  <c r="P79" i="20"/>
  <c r="Q79" i="20"/>
  <c r="AM182" i="32" l="1"/>
  <c r="AL182" i="32"/>
  <c r="AL181" i="32"/>
  <c r="AM181" i="32"/>
  <c r="AM180" i="32"/>
  <c r="AL180" i="32"/>
  <c r="AL183" i="32"/>
  <c r="AM183" i="32"/>
  <c r="AL179" i="32"/>
  <c r="AM179" i="32"/>
  <c r="AM178" i="32"/>
  <c r="AL178" i="32"/>
  <c r="AL177" i="32"/>
  <c r="AM177" i="32"/>
  <c r="AM179" i="20"/>
  <c r="I62" i="55"/>
  <c r="H62" i="55"/>
  <c r="M36" i="55"/>
  <c r="L36" i="55"/>
  <c r="K36" i="55"/>
  <c r="I58" i="55" s="1"/>
  <c r="J36" i="55"/>
  <c r="H58" i="55" s="1"/>
  <c r="I36" i="55"/>
  <c r="G58" i="55" s="1"/>
  <c r="M29" i="55"/>
  <c r="L29" i="55"/>
  <c r="K29" i="55"/>
  <c r="J29" i="55"/>
  <c r="I29" i="55"/>
  <c r="H29" i="55"/>
  <c r="G29" i="55"/>
  <c r="F29" i="55"/>
  <c r="E29" i="55"/>
  <c r="D29" i="55"/>
  <c r="M28" i="55"/>
  <c r="L28" i="55"/>
  <c r="K28" i="55"/>
  <c r="J28" i="55"/>
  <c r="I28" i="55"/>
  <c r="H28" i="55"/>
  <c r="G28" i="55"/>
  <c r="F28" i="55"/>
  <c r="E28" i="55"/>
  <c r="D28" i="55"/>
  <c r="M26" i="55"/>
  <c r="L26" i="55"/>
  <c r="K26" i="55"/>
  <c r="J26" i="55"/>
  <c r="I26" i="55"/>
  <c r="H26" i="55"/>
  <c r="G26" i="55"/>
  <c r="F26" i="55"/>
  <c r="E26" i="55"/>
  <c r="D26" i="55"/>
  <c r="M25" i="55"/>
  <c r="L25" i="55"/>
  <c r="K25" i="55"/>
  <c r="J25" i="55"/>
  <c r="I25" i="55"/>
  <c r="H25" i="55"/>
  <c r="G25" i="55"/>
  <c r="F25" i="55"/>
  <c r="E25" i="55"/>
  <c r="D25" i="55"/>
  <c r="B11" i="55"/>
  <c r="I9" i="55"/>
  <c r="D101" i="54"/>
  <c r="C101" i="54"/>
  <c r="D100" i="54"/>
  <c r="C100" i="54"/>
  <c r="D99" i="54"/>
  <c r="C99" i="54"/>
  <c r="D98" i="54"/>
  <c r="C98" i="54"/>
  <c r="D97" i="54"/>
  <c r="C97" i="54"/>
  <c r="Q29" i="54"/>
  <c r="R29" i="54" s="1"/>
  <c r="S29" i="54" s="1"/>
  <c r="K29" i="54"/>
  <c r="L29" i="54" s="1"/>
  <c r="M29" i="54" s="1"/>
  <c r="N29" i="54" s="1"/>
  <c r="O29" i="54" s="1"/>
  <c r="P29" i="54" s="1"/>
  <c r="BE176" i="53"/>
  <c r="BE175" i="53"/>
  <c r="BE174" i="53"/>
  <c r="BE173" i="53"/>
  <c r="BE172" i="53"/>
  <c r="BE171" i="53"/>
  <c r="BE170" i="53"/>
  <c r="BE169" i="53"/>
  <c r="CF168" i="53"/>
  <c r="CE168" i="53"/>
  <c r="CI175" i="53" s="1"/>
  <c r="CE171" i="53" s="1"/>
  <c r="BF168" i="53"/>
  <c r="BF169" i="53" s="1"/>
  <c r="BF170" i="53" s="1"/>
  <c r="BF171" i="53" s="1"/>
  <c r="BF172" i="53" s="1"/>
  <c r="BF173" i="53" s="1"/>
  <c r="BF174" i="53" s="1"/>
  <c r="BF175" i="53" s="1"/>
  <c r="BF176" i="53" s="1"/>
  <c r="BE168" i="53"/>
  <c r="BE167" i="53"/>
  <c r="BE166" i="53"/>
  <c r="BN160" i="53"/>
  <c r="BY159" i="53"/>
  <c r="BY158" i="53"/>
  <c r="BV156" i="53"/>
  <c r="R133" i="53"/>
  <c r="R132" i="53"/>
  <c r="R131" i="53"/>
  <c r="R130" i="53"/>
  <c r="R129" i="53"/>
  <c r="R128" i="53"/>
  <c r="R127" i="53"/>
  <c r="AE126" i="53"/>
  <c r="AD126" i="53"/>
  <c r="AC126" i="53"/>
  <c r="AB126" i="53"/>
  <c r="R126" i="53"/>
  <c r="R125" i="53"/>
  <c r="R124" i="53"/>
  <c r="G77" i="53"/>
  <c r="G76" i="53"/>
  <c r="G75" i="53"/>
  <c r="G74" i="53"/>
  <c r="G73" i="53"/>
  <c r="G72" i="53"/>
  <c r="G71" i="53"/>
  <c r="G70" i="53"/>
  <c r="G69" i="53"/>
  <c r="I62" i="52"/>
  <c r="H62" i="52"/>
  <c r="M36" i="52"/>
  <c r="L36" i="52"/>
  <c r="K36" i="52"/>
  <c r="I58" i="52" s="1"/>
  <c r="J36" i="52"/>
  <c r="H58" i="52" s="1"/>
  <c r="I36" i="52"/>
  <c r="G58" i="52" s="1"/>
  <c r="M29" i="52"/>
  <c r="L29" i="52"/>
  <c r="K29" i="52"/>
  <c r="J29" i="52"/>
  <c r="I29" i="52"/>
  <c r="H29" i="52"/>
  <c r="G29" i="52"/>
  <c r="F29" i="52"/>
  <c r="E29" i="52"/>
  <c r="D29" i="52"/>
  <c r="M28" i="52"/>
  <c r="L28" i="52"/>
  <c r="K28" i="52"/>
  <c r="J28" i="52"/>
  <c r="I28" i="52"/>
  <c r="H28" i="52"/>
  <c r="G28" i="52"/>
  <c r="F28" i="52"/>
  <c r="E28" i="52"/>
  <c r="D28" i="52"/>
  <c r="M26" i="52"/>
  <c r="L26" i="52"/>
  <c r="K26" i="52"/>
  <c r="J26" i="52"/>
  <c r="I26" i="52"/>
  <c r="H26" i="52"/>
  <c r="G26" i="52"/>
  <c r="F26" i="52"/>
  <c r="E26" i="52"/>
  <c r="D26" i="52"/>
  <c r="M25" i="52"/>
  <c r="L25" i="52"/>
  <c r="K25" i="52"/>
  <c r="J25" i="52"/>
  <c r="I25" i="52"/>
  <c r="H25" i="52"/>
  <c r="G25" i="52"/>
  <c r="F25" i="52"/>
  <c r="E25" i="52"/>
  <c r="D25" i="52"/>
  <c r="B11" i="52"/>
  <c r="I9" i="52"/>
  <c r="D101" i="51"/>
  <c r="C101" i="51"/>
  <c r="D100" i="51"/>
  <c r="C100" i="51"/>
  <c r="D99" i="51"/>
  <c r="C99" i="51"/>
  <c r="D98" i="51"/>
  <c r="C98" i="51"/>
  <c r="D97" i="51"/>
  <c r="C97" i="51"/>
  <c r="Q29" i="51"/>
  <c r="R29" i="51" s="1"/>
  <c r="S29" i="51" s="1"/>
  <c r="K29" i="51"/>
  <c r="L29" i="51" s="1"/>
  <c r="M29" i="51" s="1"/>
  <c r="N29" i="51" s="1"/>
  <c r="O29" i="51" s="1"/>
  <c r="P29" i="51" s="1"/>
  <c r="BE176" i="50"/>
  <c r="BE175" i="50"/>
  <c r="BE174" i="50"/>
  <c r="BE173" i="50"/>
  <c r="BE172" i="50"/>
  <c r="BE171" i="50"/>
  <c r="BE170" i="50"/>
  <c r="BE169" i="50"/>
  <c r="CF168" i="50"/>
  <c r="CE168" i="50"/>
  <c r="CI173" i="50" s="1"/>
  <c r="CE173" i="50" s="1"/>
  <c r="BF168" i="50"/>
  <c r="BF169" i="50" s="1"/>
  <c r="BF170" i="50" s="1"/>
  <c r="BF171" i="50" s="1"/>
  <c r="BF172" i="50" s="1"/>
  <c r="BF173" i="50" s="1"/>
  <c r="BF174" i="50" s="1"/>
  <c r="BF175" i="50" s="1"/>
  <c r="BF176" i="50" s="1"/>
  <c r="BE168" i="50"/>
  <c r="BE167" i="50"/>
  <c r="BE166" i="50"/>
  <c r="BY162" i="50"/>
  <c r="BV161" i="50"/>
  <c r="BL166" i="50"/>
  <c r="BN160" i="50"/>
  <c r="W174" i="50" s="1"/>
  <c r="X174" i="50" s="1"/>
  <c r="BY159" i="50"/>
  <c r="BY158" i="50"/>
  <c r="BV156" i="50"/>
  <c r="R133" i="50"/>
  <c r="R132" i="50"/>
  <c r="R131" i="50"/>
  <c r="R130" i="50"/>
  <c r="R129" i="50"/>
  <c r="R128" i="50"/>
  <c r="R127" i="50"/>
  <c r="AE126" i="50"/>
  <c r="AD126" i="50"/>
  <c r="AC126" i="50"/>
  <c r="AB126" i="50"/>
  <c r="R126" i="50"/>
  <c r="R125" i="50"/>
  <c r="R124" i="50"/>
  <c r="G77" i="50"/>
  <c r="G76" i="50"/>
  <c r="G75" i="50"/>
  <c r="G74" i="50"/>
  <c r="G73" i="50"/>
  <c r="G72" i="50"/>
  <c r="H71" i="50"/>
  <c r="G71" i="50"/>
  <c r="G70" i="50"/>
  <c r="G69" i="50"/>
  <c r="H77" i="50"/>
  <c r="I62" i="49"/>
  <c r="H62" i="49"/>
  <c r="M36" i="49"/>
  <c r="L36" i="49"/>
  <c r="K36" i="49"/>
  <c r="I58" i="49" s="1"/>
  <c r="J36" i="49"/>
  <c r="H58" i="49" s="1"/>
  <c r="I36" i="49"/>
  <c r="G58" i="49" s="1"/>
  <c r="M29" i="49"/>
  <c r="L29" i="49"/>
  <c r="K29" i="49"/>
  <c r="J29" i="49"/>
  <c r="I29" i="49"/>
  <c r="H29" i="49"/>
  <c r="G29" i="49"/>
  <c r="F29" i="49"/>
  <c r="E29" i="49"/>
  <c r="D29" i="49"/>
  <c r="M28" i="49"/>
  <c r="L28" i="49"/>
  <c r="K28" i="49"/>
  <c r="J28" i="49"/>
  <c r="I28" i="49"/>
  <c r="H28" i="49"/>
  <c r="G28" i="49"/>
  <c r="F28" i="49"/>
  <c r="E28" i="49"/>
  <c r="D28" i="49"/>
  <c r="M26" i="49"/>
  <c r="L26" i="49"/>
  <c r="K26" i="49"/>
  <c r="J26" i="49"/>
  <c r="I26" i="49"/>
  <c r="H26" i="49"/>
  <c r="G26" i="49"/>
  <c r="F26" i="49"/>
  <c r="E26" i="49"/>
  <c r="D26" i="49"/>
  <c r="M25" i="49"/>
  <c r="L25" i="49"/>
  <c r="K25" i="49"/>
  <c r="J25" i="49"/>
  <c r="I25" i="49"/>
  <c r="H25" i="49"/>
  <c r="G25" i="49"/>
  <c r="F25" i="49"/>
  <c r="E25" i="49"/>
  <c r="D25" i="49"/>
  <c r="B11" i="49"/>
  <c r="I9" i="49"/>
  <c r="D101" i="48"/>
  <c r="C101" i="48"/>
  <c r="D100" i="48"/>
  <c r="C100" i="48"/>
  <c r="D99" i="48"/>
  <c r="C99" i="48"/>
  <c r="D98" i="48"/>
  <c r="C98" i="48"/>
  <c r="D97" i="48"/>
  <c r="C97" i="48"/>
  <c r="Q29" i="48"/>
  <c r="R29" i="48" s="1"/>
  <c r="S29" i="48" s="1"/>
  <c r="K29" i="48"/>
  <c r="L29" i="48" s="1"/>
  <c r="M29" i="48" s="1"/>
  <c r="N29" i="48" s="1"/>
  <c r="O29" i="48" s="1"/>
  <c r="P29" i="48" s="1"/>
  <c r="BE176" i="47"/>
  <c r="BE175" i="47"/>
  <c r="BE174" i="47"/>
  <c r="BE173" i="47"/>
  <c r="BE172" i="47"/>
  <c r="BE171" i="47"/>
  <c r="BE170" i="47"/>
  <c r="BE169" i="47"/>
  <c r="CF168" i="47"/>
  <c r="CE168" i="47"/>
  <c r="CJ175" i="47" s="1"/>
  <c r="CF171" i="47" s="1"/>
  <c r="BF168" i="47"/>
  <c r="BF169" i="47" s="1"/>
  <c r="BF170" i="47" s="1"/>
  <c r="BF171" i="47" s="1"/>
  <c r="BF172" i="47" s="1"/>
  <c r="BF173" i="47" s="1"/>
  <c r="BF174" i="47" s="1"/>
  <c r="BF175" i="47" s="1"/>
  <c r="BF176" i="47" s="1"/>
  <c r="BE168" i="47"/>
  <c r="BE167" i="47"/>
  <c r="BE166" i="47"/>
  <c r="BY162" i="47"/>
  <c r="BV161" i="47"/>
  <c r="BN157" i="47" s="1"/>
  <c r="BN160" i="47"/>
  <c r="BI166" i="47"/>
  <c r="BV156" i="47"/>
  <c r="BY156" i="47" s="1"/>
  <c r="BG166" i="47"/>
  <c r="R133" i="47"/>
  <c r="R132" i="47"/>
  <c r="R131" i="47"/>
  <c r="R130" i="47"/>
  <c r="R129" i="47"/>
  <c r="R128" i="47"/>
  <c r="R127" i="47"/>
  <c r="AE126" i="47"/>
  <c r="AD126" i="47"/>
  <c r="AC126" i="47"/>
  <c r="AB126" i="47"/>
  <c r="R126" i="47"/>
  <c r="R125" i="47"/>
  <c r="R124" i="47"/>
  <c r="G77" i="47"/>
  <c r="G76" i="47"/>
  <c r="G75" i="47"/>
  <c r="G74" i="47"/>
  <c r="G73" i="47"/>
  <c r="G72" i="47"/>
  <c r="G71" i="47"/>
  <c r="G70" i="47"/>
  <c r="G69" i="47"/>
  <c r="I62" i="46"/>
  <c r="H62" i="46"/>
  <c r="M36" i="46"/>
  <c r="L36" i="46"/>
  <c r="K36" i="46"/>
  <c r="I58" i="46" s="1"/>
  <c r="J36" i="46"/>
  <c r="H58" i="46" s="1"/>
  <c r="I36" i="46"/>
  <c r="G58" i="46" s="1"/>
  <c r="M29" i="46"/>
  <c r="L29" i="46"/>
  <c r="K29" i="46"/>
  <c r="J29" i="46"/>
  <c r="I29" i="46"/>
  <c r="H29" i="46"/>
  <c r="G29" i="46"/>
  <c r="F29" i="46"/>
  <c r="E29" i="46"/>
  <c r="D29" i="46"/>
  <c r="M28" i="46"/>
  <c r="L28" i="46"/>
  <c r="K28" i="46"/>
  <c r="J28" i="46"/>
  <c r="I28" i="46"/>
  <c r="H28" i="46"/>
  <c r="G28" i="46"/>
  <c r="F28" i="46"/>
  <c r="E28" i="46"/>
  <c r="D28" i="46"/>
  <c r="M26" i="46"/>
  <c r="L26" i="46"/>
  <c r="K26" i="46"/>
  <c r="J26" i="46"/>
  <c r="I26" i="46"/>
  <c r="H26" i="46"/>
  <c r="G26" i="46"/>
  <c r="F26" i="46"/>
  <c r="E26" i="46"/>
  <c r="D26" i="46"/>
  <c r="M25" i="46"/>
  <c r="L25" i="46"/>
  <c r="K25" i="46"/>
  <c r="J25" i="46"/>
  <c r="I25" i="46"/>
  <c r="H25" i="46"/>
  <c r="G25" i="46"/>
  <c r="F25" i="46"/>
  <c r="E25" i="46"/>
  <c r="D25" i="46"/>
  <c r="B11" i="46"/>
  <c r="I9" i="46"/>
  <c r="D101" i="45"/>
  <c r="C101" i="45"/>
  <c r="D100" i="45"/>
  <c r="C100" i="45"/>
  <c r="D99" i="45"/>
  <c r="C99" i="45"/>
  <c r="D98" i="45"/>
  <c r="C98" i="45"/>
  <c r="D97" i="45"/>
  <c r="C97" i="45"/>
  <c r="K29" i="45"/>
  <c r="L29" i="45" s="1"/>
  <c r="M29" i="45" s="1"/>
  <c r="N29" i="45" s="1"/>
  <c r="O29" i="45" s="1"/>
  <c r="P29" i="45" s="1"/>
  <c r="Q29" i="45" s="1"/>
  <c r="R29" i="45" s="1"/>
  <c r="S29" i="45" s="1"/>
  <c r="BE176" i="44"/>
  <c r="BE175" i="44"/>
  <c r="BE174" i="44"/>
  <c r="BE173" i="44"/>
  <c r="BE172" i="44"/>
  <c r="BE171" i="44"/>
  <c r="BE170" i="44"/>
  <c r="BE169" i="44"/>
  <c r="CF168" i="44"/>
  <c r="CE168" i="44"/>
  <c r="BF168" i="44"/>
  <c r="BF169" i="44" s="1"/>
  <c r="BF170" i="44" s="1"/>
  <c r="BF171" i="44" s="1"/>
  <c r="BF172" i="44" s="1"/>
  <c r="BF173" i="44" s="1"/>
  <c r="BF174" i="44" s="1"/>
  <c r="BF175" i="44" s="1"/>
  <c r="BF176" i="44" s="1"/>
  <c r="BE168" i="44"/>
  <c r="BE167" i="44"/>
  <c r="BE166" i="44"/>
  <c r="BY162" i="44"/>
  <c r="BV161" i="44"/>
  <c r="BN160" i="44"/>
  <c r="W173" i="44" s="1"/>
  <c r="X173" i="44" s="1"/>
  <c r="BY159" i="44"/>
  <c r="BY158" i="44"/>
  <c r="BH166" i="44"/>
  <c r="BV156" i="44"/>
  <c r="R133" i="44"/>
  <c r="R132" i="44"/>
  <c r="R131" i="44"/>
  <c r="R130" i="44"/>
  <c r="R129" i="44"/>
  <c r="R128" i="44"/>
  <c r="R127" i="44"/>
  <c r="AE126" i="44"/>
  <c r="AD126" i="44"/>
  <c r="AC126" i="44"/>
  <c r="AB126" i="44"/>
  <c r="R126" i="44"/>
  <c r="R125" i="44"/>
  <c r="R124" i="44"/>
  <c r="G77" i="44"/>
  <c r="G76" i="44"/>
  <c r="G75" i="44"/>
  <c r="G74" i="44"/>
  <c r="G73" i="44"/>
  <c r="H72" i="44"/>
  <c r="G72" i="44"/>
  <c r="G71" i="44"/>
  <c r="H70" i="44"/>
  <c r="G70" i="44"/>
  <c r="G69" i="44"/>
  <c r="I62" i="43"/>
  <c r="H62" i="43"/>
  <c r="M36" i="43"/>
  <c r="L36" i="43"/>
  <c r="K36" i="43"/>
  <c r="I58" i="43" s="1"/>
  <c r="J36" i="43"/>
  <c r="H58" i="43" s="1"/>
  <c r="I36" i="43"/>
  <c r="G58" i="43" s="1"/>
  <c r="M29" i="43"/>
  <c r="L29" i="43"/>
  <c r="K29" i="43"/>
  <c r="J29" i="43"/>
  <c r="I29" i="43"/>
  <c r="H29" i="43"/>
  <c r="G29" i="43"/>
  <c r="F29" i="43"/>
  <c r="E29" i="43"/>
  <c r="D29" i="43"/>
  <c r="M28" i="43"/>
  <c r="L28" i="43"/>
  <c r="K28" i="43"/>
  <c r="J28" i="43"/>
  <c r="I28" i="43"/>
  <c r="H28" i="43"/>
  <c r="G28" i="43"/>
  <c r="F28" i="43"/>
  <c r="E28" i="43"/>
  <c r="D28" i="43"/>
  <c r="M26" i="43"/>
  <c r="L26" i="43"/>
  <c r="K26" i="43"/>
  <c r="J26" i="43"/>
  <c r="I26" i="43"/>
  <c r="H26" i="43"/>
  <c r="G26" i="43"/>
  <c r="F26" i="43"/>
  <c r="E26" i="43"/>
  <c r="D26" i="43"/>
  <c r="M25" i="43"/>
  <c r="L25" i="43"/>
  <c r="K25" i="43"/>
  <c r="J25" i="43"/>
  <c r="I25" i="43"/>
  <c r="H25" i="43"/>
  <c r="G25" i="43"/>
  <c r="F25" i="43"/>
  <c r="E25" i="43"/>
  <c r="D25" i="43"/>
  <c r="B11" i="43"/>
  <c r="I9" i="43"/>
  <c r="D101" i="42"/>
  <c r="C101" i="42"/>
  <c r="D100" i="42"/>
  <c r="C100" i="42"/>
  <c r="D99" i="42"/>
  <c r="C99" i="42"/>
  <c r="D98" i="42"/>
  <c r="C98" i="42"/>
  <c r="D97" i="42"/>
  <c r="C97" i="42"/>
  <c r="S29" i="42"/>
  <c r="L29" i="42"/>
  <c r="M29" i="42" s="1"/>
  <c r="N29" i="42" s="1"/>
  <c r="O29" i="42" s="1"/>
  <c r="P29" i="42" s="1"/>
  <c r="Q29" i="42" s="1"/>
  <c r="R29" i="42" s="1"/>
  <c r="K29" i="42"/>
  <c r="BE176" i="41"/>
  <c r="BE175" i="41"/>
  <c r="BE174" i="41"/>
  <c r="BE173" i="41"/>
  <c r="BE172" i="41"/>
  <c r="BE171" i="41"/>
  <c r="BE170" i="41"/>
  <c r="BE169" i="41"/>
  <c r="CF168" i="41"/>
  <c r="CE168" i="41"/>
  <c r="CI172" i="41" s="1"/>
  <c r="CE174" i="41" s="1"/>
  <c r="BF168" i="41"/>
  <c r="BF169" i="41" s="1"/>
  <c r="BF170" i="41" s="1"/>
  <c r="BF171" i="41" s="1"/>
  <c r="BF172" i="41" s="1"/>
  <c r="BF173" i="41" s="1"/>
  <c r="BF174" i="41" s="1"/>
  <c r="BF175" i="41" s="1"/>
  <c r="BF176" i="41" s="1"/>
  <c r="BE168" i="41"/>
  <c r="BE167" i="41"/>
  <c r="BE166" i="41"/>
  <c r="BY162" i="41"/>
  <c r="BV161" i="41"/>
  <c r="BL166" i="41"/>
  <c r="BN160" i="41"/>
  <c r="W206" i="41" s="1"/>
  <c r="X206" i="41" s="1"/>
  <c r="BY159" i="41"/>
  <c r="BY158" i="41"/>
  <c r="BV156" i="41"/>
  <c r="BG166" i="41"/>
  <c r="R133" i="41"/>
  <c r="R132" i="41"/>
  <c r="R131" i="41"/>
  <c r="R130" i="41"/>
  <c r="R129" i="41"/>
  <c r="R128" i="41"/>
  <c r="R127" i="41"/>
  <c r="AE126" i="41"/>
  <c r="AD126" i="41"/>
  <c r="AC126" i="41"/>
  <c r="AB126" i="41"/>
  <c r="R126" i="41"/>
  <c r="R125" i="41"/>
  <c r="R124" i="41"/>
  <c r="G77" i="41"/>
  <c r="G76" i="41"/>
  <c r="H75" i="41"/>
  <c r="G75" i="41"/>
  <c r="G74" i="41"/>
  <c r="G73" i="41"/>
  <c r="G72" i="41"/>
  <c r="G71" i="41"/>
  <c r="G70" i="41"/>
  <c r="G69" i="41"/>
  <c r="H77" i="41"/>
  <c r="I62" i="40"/>
  <c r="H62" i="40"/>
  <c r="M36" i="40"/>
  <c r="L36" i="40"/>
  <c r="K36" i="40"/>
  <c r="I58" i="40" s="1"/>
  <c r="J36" i="40"/>
  <c r="H58" i="40" s="1"/>
  <c r="I36" i="40"/>
  <c r="G58" i="40" s="1"/>
  <c r="M29" i="40"/>
  <c r="L29" i="40"/>
  <c r="K29" i="40"/>
  <c r="J29" i="40"/>
  <c r="I29" i="40"/>
  <c r="H29" i="40"/>
  <c r="G29" i="40"/>
  <c r="F29" i="40"/>
  <c r="E29" i="40"/>
  <c r="D29" i="40"/>
  <c r="M28" i="40"/>
  <c r="L28" i="40"/>
  <c r="K28" i="40"/>
  <c r="J28" i="40"/>
  <c r="I28" i="40"/>
  <c r="H28" i="40"/>
  <c r="G28" i="40"/>
  <c r="F28" i="40"/>
  <c r="E28" i="40"/>
  <c r="D28" i="40"/>
  <c r="M26" i="40"/>
  <c r="L26" i="40"/>
  <c r="K26" i="40"/>
  <c r="J26" i="40"/>
  <c r="I26" i="40"/>
  <c r="H26" i="40"/>
  <c r="G26" i="40"/>
  <c r="F26" i="40"/>
  <c r="E26" i="40"/>
  <c r="D26" i="40"/>
  <c r="M25" i="40"/>
  <c r="L25" i="40"/>
  <c r="K25" i="40"/>
  <c r="J25" i="40"/>
  <c r="I25" i="40"/>
  <c r="H25" i="40"/>
  <c r="G25" i="40"/>
  <c r="F25" i="40"/>
  <c r="E25" i="40"/>
  <c r="D25" i="40"/>
  <c r="B11" i="40"/>
  <c r="I9" i="40"/>
  <c r="D101" i="39"/>
  <c r="C101" i="39"/>
  <c r="D100" i="39"/>
  <c r="C100" i="39"/>
  <c r="D99" i="39"/>
  <c r="C99" i="39"/>
  <c r="D98" i="39"/>
  <c r="C98" i="39"/>
  <c r="D97" i="39"/>
  <c r="C97" i="39"/>
  <c r="Q29" i="39"/>
  <c r="R29" i="39" s="1"/>
  <c r="S29" i="39" s="1"/>
  <c r="K29" i="39"/>
  <c r="L29" i="39" s="1"/>
  <c r="M29" i="39" s="1"/>
  <c r="N29" i="39" s="1"/>
  <c r="O29" i="39" s="1"/>
  <c r="P29" i="39" s="1"/>
  <c r="BE176" i="38"/>
  <c r="BE175" i="38"/>
  <c r="BE174" i="38"/>
  <c r="BE173" i="38"/>
  <c r="BE172" i="38"/>
  <c r="BE171" i="38"/>
  <c r="BE170" i="38"/>
  <c r="BE169" i="38"/>
  <c r="CF168" i="38"/>
  <c r="CE168" i="38"/>
  <c r="CI170" i="38" s="1"/>
  <c r="CE176" i="38" s="1"/>
  <c r="BF168" i="38"/>
  <c r="BF169" i="38" s="1"/>
  <c r="BF170" i="38" s="1"/>
  <c r="BF171" i="38" s="1"/>
  <c r="BF172" i="38" s="1"/>
  <c r="BF173" i="38" s="1"/>
  <c r="BF174" i="38" s="1"/>
  <c r="BF175" i="38" s="1"/>
  <c r="BF176" i="38" s="1"/>
  <c r="BE168" i="38"/>
  <c r="BE167" i="38"/>
  <c r="BO166" i="38"/>
  <c r="BY162" i="38"/>
  <c r="BV161" i="38"/>
  <c r="BN160" i="38"/>
  <c r="W170" i="38" s="1"/>
  <c r="X170" i="38" s="1"/>
  <c r="BY159" i="38"/>
  <c r="BY158" i="38"/>
  <c r="BV156" i="38"/>
  <c r="R133" i="38"/>
  <c r="R132" i="38"/>
  <c r="R131" i="38"/>
  <c r="R130" i="38"/>
  <c r="R129" i="38"/>
  <c r="R128" i="38"/>
  <c r="R127" i="38"/>
  <c r="AE126" i="38"/>
  <c r="AD126" i="38"/>
  <c r="AC126" i="38"/>
  <c r="AB126" i="38"/>
  <c r="R126" i="38"/>
  <c r="R125" i="38"/>
  <c r="R124" i="38"/>
  <c r="G77" i="38"/>
  <c r="G76" i="38"/>
  <c r="H75" i="38"/>
  <c r="G75" i="38"/>
  <c r="G74" i="38"/>
  <c r="G73" i="38"/>
  <c r="G72" i="38"/>
  <c r="G71" i="38"/>
  <c r="G70" i="38"/>
  <c r="G69" i="38"/>
  <c r="H77" i="38"/>
  <c r="I62" i="37"/>
  <c r="H62" i="37"/>
  <c r="M36" i="37"/>
  <c r="L36" i="37"/>
  <c r="K36" i="37"/>
  <c r="I58" i="37" s="1"/>
  <c r="J36" i="37"/>
  <c r="H58" i="37" s="1"/>
  <c r="I36" i="37"/>
  <c r="G58" i="37" s="1"/>
  <c r="M29" i="37"/>
  <c r="L29" i="37"/>
  <c r="K29" i="37"/>
  <c r="J29" i="37"/>
  <c r="I29" i="37"/>
  <c r="H29" i="37"/>
  <c r="G29" i="37"/>
  <c r="F29" i="37"/>
  <c r="E29" i="37"/>
  <c r="D29" i="37"/>
  <c r="M28" i="37"/>
  <c r="L28" i="37"/>
  <c r="K28" i="37"/>
  <c r="J28" i="37"/>
  <c r="I28" i="37"/>
  <c r="H28" i="37"/>
  <c r="G28" i="37"/>
  <c r="F28" i="37"/>
  <c r="E28" i="37"/>
  <c r="D28" i="37"/>
  <c r="M26" i="37"/>
  <c r="L26" i="37"/>
  <c r="K26" i="37"/>
  <c r="J26" i="37"/>
  <c r="I26" i="37"/>
  <c r="H26" i="37"/>
  <c r="G26" i="37"/>
  <c r="F26" i="37"/>
  <c r="E26" i="37"/>
  <c r="D26" i="37"/>
  <c r="M25" i="37"/>
  <c r="L25" i="37"/>
  <c r="K25" i="37"/>
  <c r="J25" i="37"/>
  <c r="I25" i="37"/>
  <c r="H25" i="37"/>
  <c r="G25" i="37"/>
  <c r="F25" i="37"/>
  <c r="E25" i="37"/>
  <c r="D25" i="37"/>
  <c r="B11" i="37"/>
  <c r="I9" i="37"/>
  <c r="D101" i="36"/>
  <c r="C101" i="36"/>
  <c r="D100" i="36"/>
  <c r="C100" i="36"/>
  <c r="D99" i="36"/>
  <c r="C99" i="36"/>
  <c r="D98" i="36"/>
  <c r="C98" i="36"/>
  <c r="D97" i="36"/>
  <c r="C97" i="36"/>
  <c r="Q29" i="36"/>
  <c r="R29" i="36" s="1"/>
  <c r="S29" i="36" s="1"/>
  <c r="K29" i="36"/>
  <c r="L29" i="36" s="1"/>
  <c r="M29" i="36" s="1"/>
  <c r="N29" i="36" s="1"/>
  <c r="O29" i="36" s="1"/>
  <c r="P29" i="36" s="1"/>
  <c r="BE176" i="35"/>
  <c r="BE175" i="35"/>
  <c r="BE174" i="35"/>
  <c r="BE173" i="35"/>
  <c r="BE172" i="35"/>
  <c r="BE171" i="35"/>
  <c r="BE170" i="35"/>
  <c r="BE169" i="35"/>
  <c r="CF168" i="35"/>
  <c r="CE168" i="35"/>
  <c r="CI170" i="35" s="1"/>
  <c r="CE176" i="35" s="1"/>
  <c r="BF168" i="35"/>
  <c r="BF169" i="35" s="1"/>
  <c r="BF170" i="35" s="1"/>
  <c r="BF171" i="35" s="1"/>
  <c r="BF172" i="35" s="1"/>
  <c r="BF173" i="35" s="1"/>
  <c r="BF174" i="35" s="1"/>
  <c r="BF175" i="35" s="1"/>
  <c r="BF176" i="35" s="1"/>
  <c r="BE168" i="35"/>
  <c r="BE167" i="35"/>
  <c r="BE166" i="35"/>
  <c r="BY162" i="35"/>
  <c r="BV161" i="35"/>
  <c r="BN160" i="35"/>
  <c r="W205" i="35" s="1"/>
  <c r="X205" i="35" s="1"/>
  <c r="BK166" i="35"/>
  <c r="BY159" i="35"/>
  <c r="BY158" i="35"/>
  <c r="BV156" i="35"/>
  <c r="BG166" i="35"/>
  <c r="R133" i="35"/>
  <c r="R132" i="35"/>
  <c r="R131" i="35"/>
  <c r="R130" i="35"/>
  <c r="R129" i="35"/>
  <c r="R128" i="35"/>
  <c r="R127" i="35"/>
  <c r="AE126" i="35"/>
  <c r="AD126" i="35"/>
  <c r="AC126" i="35"/>
  <c r="AB126" i="35"/>
  <c r="R126" i="35"/>
  <c r="R125" i="35"/>
  <c r="R124" i="35"/>
  <c r="G77" i="35"/>
  <c r="G76" i="35"/>
  <c r="G75" i="35"/>
  <c r="G74" i="35"/>
  <c r="G73" i="35"/>
  <c r="G72" i="35"/>
  <c r="G71" i="35"/>
  <c r="G70" i="35"/>
  <c r="G69" i="35"/>
  <c r="I62" i="34"/>
  <c r="H62" i="34"/>
  <c r="M36" i="34"/>
  <c r="L36" i="34"/>
  <c r="K36" i="34"/>
  <c r="I58" i="34" s="1"/>
  <c r="J36" i="34"/>
  <c r="H58" i="34" s="1"/>
  <c r="I36" i="34"/>
  <c r="G58" i="34" s="1"/>
  <c r="M29" i="34"/>
  <c r="L29" i="34"/>
  <c r="K29" i="34"/>
  <c r="J29" i="34"/>
  <c r="I29" i="34"/>
  <c r="H29" i="34"/>
  <c r="G29" i="34"/>
  <c r="F29" i="34"/>
  <c r="E29" i="34"/>
  <c r="D29" i="34"/>
  <c r="M28" i="34"/>
  <c r="L28" i="34"/>
  <c r="K28" i="34"/>
  <c r="J28" i="34"/>
  <c r="I28" i="34"/>
  <c r="H28" i="34"/>
  <c r="G28" i="34"/>
  <c r="F28" i="34"/>
  <c r="E28" i="34"/>
  <c r="D28" i="34"/>
  <c r="M26" i="34"/>
  <c r="L26" i="34"/>
  <c r="K26" i="34"/>
  <c r="J26" i="34"/>
  <c r="I26" i="34"/>
  <c r="H26" i="34"/>
  <c r="G26" i="34"/>
  <c r="F26" i="34"/>
  <c r="E26" i="34"/>
  <c r="D26" i="34"/>
  <c r="M25" i="34"/>
  <c r="L25" i="34"/>
  <c r="K25" i="34"/>
  <c r="J25" i="34"/>
  <c r="I25" i="34"/>
  <c r="H25" i="34"/>
  <c r="G25" i="34"/>
  <c r="F25" i="34"/>
  <c r="E25" i="34"/>
  <c r="D25" i="34"/>
  <c r="B11" i="34"/>
  <c r="I9" i="34"/>
  <c r="D101" i="33"/>
  <c r="C101" i="33"/>
  <c r="D100" i="33"/>
  <c r="C100" i="33"/>
  <c r="D99" i="33"/>
  <c r="C99" i="33"/>
  <c r="D98" i="33"/>
  <c r="C98" i="33"/>
  <c r="D97" i="33"/>
  <c r="C97" i="33"/>
  <c r="Q29" i="33"/>
  <c r="R29" i="33" s="1"/>
  <c r="S29" i="33" s="1"/>
  <c r="K29" i="33"/>
  <c r="L29" i="33" s="1"/>
  <c r="M29" i="33" s="1"/>
  <c r="N29" i="33" s="1"/>
  <c r="O29" i="33" s="1"/>
  <c r="P29" i="33" s="1"/>
  <c r="BE176" i="32"/>
  <c r="BE175" i="32"/>
  <c r="BE174" i="32"/>
  <c r="BE173" i="32"/>
  <c r="BE172" i="32"/>
  <c r="W172" i="32"/>
  <c r="X172" i="32" s="1"/>
  <c r="BE171" i="32"/>
  <c r="BE170" i="32"/>
  <c r="BE169" i="32"/>
  <c r="CF168" i="32"/>
  <c r="CE168" i="32"/>
  <c r="CI170" i="32" s="1"/>
  <c r="CE176" i="32" s="1"/>
  <c r="BF168" i="32"/>
  <c r="BF169" i="32" s="1"/>
  <c r="BF170" i="32" s="1"/>
  <c r="BF171" i="32" s="1"/>
  <c r="BF172" i="32" s="1"/>
  <c r="BF173" i="32" s="1"/>
  <c r="BF174" i="32" s="1"/>
  <c r="BF175" i="32" s="1"/>
  <c r="BF176" i="32" s="1"/>
  <c r="BE168" i="32"/>
  <c r="BE167" i="32"/>
  <c r="BE166" i="32"/>
  <c r="W205" i="32"/>
  <c r="X205" i="32" s="1"/>
  <c r="R133" i="32"/>
  <c r="R132" i="32"/>
  <c r="R131" i="32"/>
  <c r="R130" i="32"/>
  <c r="R129" i="32"/>
  <c r="R128" i="32"/>
  <c r="R127" i="32"/>
  <c r="AE126" i="32"/>
  <c r="AD126" i="32"/>
  <c r="AC126" i="32"/>
  <c r="AB126" i="32"/>
  <c r="R126" i="32"/>
  <c r="R125" i="32"/>
  <c r="R124" i="32"/>
  <c r="G77" i="32"/>
  <c r="G76" i="32"/>
  <c r="G75" i="32"/>
  <c r="G74" i="32"/>
  <c r="G73" i="32"/>
  <c r="G72" i="32"/>
  <c r="G71" i="32"/>
  <c r="G70" i="32"/>
  <c r="G69" i="32"/>
  <c r="I62" i="31"/>
  <c r="H62" i="31"/>
  <c r="M36" i="31"/>
  <c r="L36" i="31"/>
  <c r="K36" i="31"/>
  <c r="I58" i="31" s="1"/>
  <c r="J36" i="31"/>
  <c r="H58" i="31" s="1"/>
  <c r="I36" i="31"/>
  <c r="G58" i="31" s="1"/>
  <c r="M29" i="31"/>
  <c r="L29" i="31"/>
  <c r="K29" i="31"/>
  <c r="J29" i="31"/>
  <c r="I29" i="31"/>
  <c r="H29" i="31"/>
  <c r="G29" i="31"/>
  <c r="F29" i="31"/>
  <c r="E29" i="31"/>
  <c r="D29" i="31"/>
  <c r="M28" i="31"/>
  <c r="L28" i="31"/>
  <c r="K28" i="31"/>
  <c r="J28" i="31"/>
  <c r="I28" i="31"/>
  <c r="H28" i="31"/>
  <c r="G28" i="31"/>
  <c r="F28" i="31"/>
  <c r="E28" i="31"/>
  <c r="D28" i="31"/>
  <c r="M26" i="31"/>
  <c r="L26" i="31"/>
  <c r="K26" i="31"/>
  <c r="J26" i="31"/>
  <c r="I26" i="31"/>
  <c r="H26" i="31"/>
  <c r="G26" i="31"/>
  <c r="F26" i="31"/>
  <c r="E26" i="31"/>
  <c r="D26" i="31"/>
  <c r="M25" i="31"/>
  <c r="L25" i="31"/>
  <c r="K25" i="31"/>
  <c r="J25" i="31"/>
  <c r="I25" i="31"/>
  <c r="H25" i="31"/>
  <c r="G25" i="31"/>
  <c r="F25" i="31"/>
  <c r="E25" i="31"/>
  <c r="D25" i="31"/>
  <c r="B11" i="31"/>
  <c r="I9" i="31"/>
  <c r="D101" i="30"/>
  <c r="C101" i="30"/>
  <c r="D100" i="30"/>
  <c r="C100" i="30"/>
  <c r="D99" i="30"/>
  <c r="C99" i="30"/>
  <c r="D98" i="30"/>
  <c r="C98" i="30"/>
  <c r="D97" i="30"/>
  <c r="C97" i="30"/>
  <c r="M29" i="30"/>
  <c r="N29" i="30" s="1"/>
  <c r="O29" i="30" s="1"/>
  <c r="P29" i="30" s="1"/>
  <c r="Q29" i="30" s="1"/>
  <c r="R29" i="30" s="1"/>
  <c r="S29" i="30" s="1"/>
  <c r="L29" i="30"/>
  <c r="K29" i="30"/>
  <c r="AB225" i="29"/>
  <c r="AB226" i="29" s="1"/>
  <c r="BE176" i="29"/>
  <c r="BE175" i="29"/>
  <c r="BE174" i="29"/>
  <c r="BE173" i="29"/>
  <c r="BE172" i="29"/>
  <c r="BE171" i="29"/>
  <c r="BE170" i="29"/>
  <c r="BE169" i="29"/>
  <c r="CF168" i="29"/>
  <c r="CE168" i="29"/>
  <c r="CI170" i="29" s="1"/>
  <c r="CE176" i="29" s="1"/>
  <c r="BF168" i="29"/>
  <c r="BF169" i="29" s="1"/>
  <c r="BF170" i="29" s="1"/>
  <c r="BF171" i="29" s="1"/>
  <c r="BF172" i="29" s="1"/>
  <c r="BF173" i="29" s="1"/>
  <c r="BF174" i="29" s="1"/>
  <c r="BF175" i="29" s="1"/>
  <c r="BF176" i="29" s="1"/>
  <c r="BE168" i="29"/>
  <c r="BE167" i="29"/>
  <c r="BE166" i="29"/>
  <c r="BO166" i="29"/>
  <c r="W211" i="29"/>
  <c r="X211" i="29" s="1"/>
  <c r="R133" i="29"/>
  <c r="R132" i="29"/>
  <c r="R131" i="29"/>
  <c r="R130" i="29"/>
  <c r="R129" i="29"/>
  <c r="R128" i="29"/>
  <c r="R127" i="29"/>
  <c r="AE126" i="29"/>
  <c r="AD126" i="29"/>
  <c r="AC126" i="29"/>
  <c r="AB126" i="29"/>
  <c r="AA126" i="29"/>
  <c r="R126" i="29"/>
  <c r="R125" i="29"/>
  <c r="R124" i="29"/>
  <c r="G77" i="29"/>
  <c r="H76" i="29"/>
  <c r="G76" i="29"/>
  <c r="G75" i="29"/>
  <c r="G74" i="29"/>
  <c r="G73" i="29"/>
  <c r="G72" i="29"/>
  <c r="H71" i="29"/>
  <c r="G71" i="29"/>
  <c r="G70" i="29"/>
  <c r="G69" i="29"/>
  <c r="I71" i="29"/>
  <c r="I62" i="28"/>
  <c r="H62" i="28"/>
  <c r="M36" i="28"/>
  <c r="L36" i="28"/>
  <c r="K36" i="28"/>
  <c r="I58" i="28" s="1"/>
  <c r="J36" i="28"/>
  <c r="H58" i="28" s="1"/>
  <c r="I36" i="28"/>
  <c r="G58" i="28" s="1"/>
  <c r="M29" i="28"/>
  <c r="L29" i="28"/>
  <c r="K29" i="28"/>
  <c r="J29" i="28"/>
  <c r="I29" i="28"/>
  <c r="H29" i="28"/>
  <c r="G29" i="28"/>
  <c r="F29" i="28"/>
  <c r="E29" i="28"/>
  <c r="D29" i="28"/>
  <c r="M28" i="28"/>
  <c r="L28" i="28"/>
  <c r="K28" i="28"/>
  <c r="J28" i="28"/>
  <c r="I28" i="28"/>
  <c r="H28" i="28"/>
  <c r="G28" i="28"/>
  <c r="F28" i="28"/>
  <c r="E28" i="28"/>
  <c r="D28" i="28"/>
  <c r="M26" i="28"/>
  <c r="L26" i="28"/>
  <c r="K26" i="28"/>
  <c r="J26" i="28"/>
  <c r="I26" i="28"/>
  <c r="H26" i="28"/>
  <c r="G26" i="28"/>
  <c r="F26" i="28"/>
  <c r="E26" i="28"/>
  <c r="D26" i="28"/>
  <c r="M25" i="28"/>
  <c r="L25" i="28"/>
  <c r="K25" i="28"/>
  <c r="J25" i="28"/>
  <c r="I25" i="28"/>
  <c r="H25" i="28"/>
  <c r="G25" i="28"/>
  <c r="F25" i="28"/>
  <c r="E25" i="28"/>
  <c r="D25" i="28"/>
  <c r="B11" i="28"/>
  <c r="I9" i="28"/>
  <c r="D101" i="27"/>
  <c r="C101" i="27"/>
  <c r="D100" i="27"/>
  <c r="C100" i="27"/>
  <c r="D99" i="27"/>
  <c r="C99" i="27"/>
  <c r="D98" i="27"/>
  <c r="C98" i="27"/>
  <c r="D97" i="27"/>
  <c r="C97" i="27"/>
  <c r="S29" i="27"/>
  <c r="L29" i="27"/>
  <c r="M29" i="27" s="1"/>
  <c r="N29" i="27" s="1"/>
  <c r="O29" i="27" s="1"/>
  <c r="P29" i="27" s="1"/>
  <c r="Q29" i="27" s="1"/>
  <c r="R29" i="27" s="1"/>
  <c r="K29" i="27"/>
  <c r="BE176" i="26"/>
  <c r="BE175" i="26"/>
  <c r="BE174" i="26"/>
  <c r="BE173" i="26"/>
  <c r="BE172" i="26"/>
  <c r="BE171" i="26"/>
  <c r="BE170" i="26"/>
  <c r="BE169" i="26"/>
  <c r="CF168" i="26"/>
  <c r="CE168" i="26"/>
  <c r="CJ177" i="26" s="1"/>
  <c r="CF169" i="26" s="1"/>
  <c r="BF168" i="26"/>
  <c r="BF169" i="26" s="1"/>
  <c r="BF170" i="26" s="1"/>
  <c r="BF171" i="26" s="1"/>
  <c r="BF172" i="26" s="1"/>
  <c r="BF173" i="26" s="1"/>
  <c r="BF174" i="26" s="1"/>
  <c r="BF175" i="26" s="1"/>
  <c r="BF176" i="26" s="1"/>
  <c r="BE168" i="26"/>
  <c r="BE167" i="26"/>
  <c r="BE166" i="26"/>
  <c r="BN166" i="26"/>
  <c r="BY162" i="26"/>
  <c r="BV161" i="26"/>
  <c r="BN160" i="26"/>
  <c r="W173" i="26" s="1"/>
  <c r="X173" i="26" s="1"/>
  <c r="BY159" i="26"/>
  <c r="BY158" i="26"/>
  <c r="BV156" i="26"/>
  <c r="R133" i="26"/>
  <c r="R132" i="26"/>
  <c r="R131" i="26"/>
  <c r="R130" i="26"/>
  <c r="R129" i="26"/>
  <c r="R128" i="26"/>
  <c r="R127" i="26"/>
  <c r="AE126" i="26"/>
  <c r="AD126" i="26"/>
  <c r="AC126" i="26"/>
  <c r="AB126" i="26"/>
  <c r="R126" i="26"/>
  <c r="R125" i="26"/>
  <c r="R124" i="26"/>
  <c r="G77" i="26"/>
  <c r="G76" i="26"/>
  <c r="H75" i="26"/>
  <c r="G75" i="26"/>
  <c r="G74" i="26"/>
  <c r="G73" i="26"/>
  <c r="G72" i="26"/>
  <c r="H71" i="26"/>
  <c r="G71" i="26"/>
  <c r="G70" i="26"/>
  <c r="H69" i="26"/>
  <c r="G69" i="26"/>
  <c r="H77" i="26"/>
  <c r="I62" i="25"/>
  <c r="H62" i="25"/>
  <c r="M36" i="25"/>
  <c r="L36" i="25"/>
  <c r="K36" i="25"/>
  <c r="I58" i="25" s="1"/>
  <c r="J36" i="25"/>
  <c r="H58" i="25" s="1"/>
  <c r="I36" i="25"/>
  <c r="G58" i="25" s="1"/>
  <c r="M29" i="25"/>
  <c r="L29" i="25"/>
  <c r="K29" i="25"/>
  <c r="J29" i="25"/>
  <c r="I29" i="25"/>
  <c r="H29" i="25"/>
  <c r="G29" i="25"/>
  <c r="F29" i="25"/>
  <c r="E29" i="25"/>
  <c r="D29" i="25"/>
  <c r="M28" i="25"/>
  <c r="L28" i="25"/>
  <c r="K28" i="25"/>
  <c r="J28" i="25"/>
  <c r="I28" i="25"/>
  <c r="H28" i="25"/>
  <c r="G28" i="25"/>
  <c r="F28" i="25"/>
  <c r="E28" i="25"/>
  <c r="D28" i="25"/>
  <c r="M26" i="25"/>
  <c r="L26" i="25"/>
  <c r="K26" i="25"/>
  <c r="J26" i="25"/>
  <c r="I26" i="25"/>
  <c r="H26" i="25"/>
  <c r="G26" i="25"/>
  <c r="F26" i="25"/>
  <c r="E26" i="25"/>
  <c r="D26" i="25"/>
  <c r="M25" i="25"/>
  <c r="L25" i="25"/>
  <c r="K25" i="25"/>
  <c r="J25" i="25"/>
  <c r="I25" i="25"/>
  <c r="H25" i="25"/>
  <c r="G25" i="25"/>
  <c r="F25" i="25"/>
  <c r="E25" i="25"/>
  <c r="D25" i="25"/>
  <c r="B11" i="25"/>
  <c r="I9" i="25"/>
  <c r="D101" i="24"/>
  <c r="C101" i="24"/>
  <c r="D100" i="24"/>
  <c r="C100" i="24"/>
  <c r="D99" i="24"/>
  <c r="C99" i="24"/>
  <c r="D98" i="24"/>
  <c r="C98" i="24"/>
  <c r="D97" i="24"/>
  <c r="C97" i="24"/>
  <c r="K29" i="24"/>
  <c r="L29" i="24" s="1"/>
  <c r="M29" i="24" s="1"/>
  <c r="N29" i="24" s="1"/>
  <c r="O29" i="24" s="1"/>
  <c r="P29" i="24" s="1"/>
  <c r="Q29" i="24" s="1"/>
  <c r="R29" i="24" s="1"/>
  <c r="S29" i="24" s="1"/>
  <c r="BE176" i="23"/>
  <c r="BE175" i="23"/>
  <c r="BE174" i="23"/>
  <c r="BE173" i="23"/>
  <c r="BE172" i="23"/>
  <c r="BE171" i="23"/>
  <c r="BE170" i="23"/>
  <c r="BE169" i="23"/>
  <c r="CF168" i="23"/>
  <c r="CE168" i="23"/>
  <c r="CI171" i="23" s="1"/>
  <c r="CE175" i="23" s="1"/>
  <c r="BF168" i="23"/>
  <c r="BF169" i="23" s="1"/>
  <c r="BF170" i="23" s="1"/>
  <c r="BF171" i="23" s="1"/>
  <c r="BF172" i="23" s="1"/>
  <c r="BF173" i="23" s="1"/>
  <c r="BF174" i="23" s="1"/>
  <c r="BF175" i="23" s="1"/>
  <c r="BF176" i="23" s="1"/>
  <c r="BE168" i="23"/>
  <c r="BE167" i="23"/>
  <c r="BE166" i="23"/>
  <c r="BN166" i="23"/>
  <c r="BY162" i="23"/>
  <c r="BV161" i="23"/>
  <c r="BL166" i="23"/>
  <c r="BN160" i="23"/>
  <c r="W204" i="23" s="1"/>
  <c r="X204" i="23" s="1"/>
  <c r="BY159" i="23"/>
  <c r="BY158" i="23"/>
  <c r="BV156" i="23"/>
  <c r="BG166" i="23"/>
  <c r="R133" i="23"/>
  <c r="R132" i="23"/>
  <c r="R131" i="23"/>
  <c r="R130" i="23"/>
  <c r="R129" i="23"/>
  <c r="R128" i="23"/>
  <c r="R127" i="23"/>
  <c r="AE126" i="23"/>
  <c r="AD126" i="23"/>
  <c r="AC126" i="23"/>
  <c r="AB126" i="23"/>
  <c r="R126" i="23"/>
  <c r="R125" i="23"/>
  <c r="R124" i="23"/>
  <c r="G77" i="23"/>
  <c r="G76" i="23"/>
  <c r="G75" i="23"/>
  <c r="G74" i="23"/>
  <c r="G73" i="23"/>
  <c r="G72" i="23"/>
  <c r="G71" i="23"/>
  <c r="G70" i="23"/>
  <c r="G69" i="23"/>
  <c r="I62" i="22"/>
  <c r="H62" i="22"/>
  <c r="M36" i="22"/>
  <c r="L36" i="22"/>
  <c r="K36" i="22"/>
  <c r="I58" i="22" s="1"/>
  <c r="J36" i="22"/>
  <c r="H58" i="22" s="1"/>
  <c r="I36" i="22"/>
  <c r="G58" i="22" s="1"/>
  <c r="M29" i="22"/>
  <c r="L29" i="22"/>
  <c r="K29" i="22"/>
  <c r="J29" i="22"/>
  <c r="I29" i="22"/>
  <c r="H29" i="22"/>
  <c r="G29" i="22"/>
  <c r="F29" i="22"/>
  <c r="E29" i="22"/>
  <c r="D29" i="22"/>
  <c r="M28" i="22"/>
  <c r="L28" i="22"/>
  <c r="K28" i="22"/>
  <c r="J28" i="22"/>
  <c r="I28" i="22"/>
  <c r="H28" i="22"/>
  <c r="G28" i="22"/>
  <c r="F28" i="22"/>
  <c r="E28" i="22"/>
  <c r="D28" i="22"/>
  <c r="M26" i="22"/>
  <c r="L26" i="22"/>
  <c r="K26" i="22"/>
  <c r="J26" i="22"/>
  <c r="I26" i="22"/>
  <c r="H26" i="22"/>
  <c r="G26" i="22"/>
  <c r="F26" i="22"/>
  <c r="E26" i="22"/>
  <c r="D26" i="22"/>
  <c r="M25" i="22"/>
  <c r="L25" i="22"/>
  <c r="K25" i="22"/>
  <c r="J25" i="22"/>
  <c r="I25" i="22"/>
  <c r="H25" i="22"/>
  <c r="G25" i="22"/>
  <c r="F25" i="22"/>
  <c r="E25" i="22"/>
  <c r="D25" i="22"/>
  <c r="B11" i="22"/>
  <c r="I9" i="22"/>
  <c r="D101" i="21"/>
  <c r="C101" i="21"/>
  <c r="D100" i="21"/>
  <c r="C100" i="21"/>
  <c r="D99" i="21"/>
  <c r="C99" i="21"/>
  <c r="D98" i="21"/>
  <c r="C98" i="21"/>
  <c r="D97" i="21"/>
  <c r="C97" i="21"/>
  <c r="Q29" i="21"/>
  <c r="R29" i="21" s="1"/>
  <c r="S29" i="21" s="1"/>
  <c r="K29" i="21"/>
  <c r="L29" i="21" s="1"/>
  <c r="M29" i="21" s="1"/>
  <c r="N29" i="21" s="1"/>
  <c r="O29" i="21" s="1"/>
  <c r="P29" i="21" s="1"/>
  <c r="AL213" i="20"/>
  <c r="AJ213" i="20"/>
  <c r="AI213" i="20"/>
  <c r="AH213" i="20"/>
  <c r="AG213" i="20"/>
  <c r="AF213" i="20"/>
  <c r="AE213" i="20"/>
  <c r="AD213" i="20"/>
  <c r="AC213" i="20"/>
  <c r="AB213" i="20"/>
  <c r="AA213" i="20"/>
  <c r="AL212" i="20"/>
  <c r="AJ212" i="20"/>
  <c r="AI212" i="20"/>
  <c r="AH212" i="20"/>
  <c r="AG212" i="20"/>
  <c r="AF212" i="20"/>
  <c r="AE212" i="20"/>
  <c r="AD212" i="20"/>
  <c r="AC212" i="20"/>
  <c r="AB212" i="20"/>
  <c r="AA212" i="20"/>
  <c r="AL211" i="20"/>
  <c r="AJ211" i="20"/>
  <c r="AI211" i="20"/>
  <c r="AH211" i="20"/>
  <c r="AG211" i="20"/>
  <c r="AF211" i="20"/>
  <c r="AE211" i="20"/>
  <c r="AD211" i="20"/>
  <c r="AC211" i="20"/>
  <c r="AB211" i="20"/>
  <c r="AA211" i="20"/>
  <c r="AL210" i="20"/>
  <c r="AJ210" i="20"/>
  <c r="AI210" i="20"/>
  <c r="AH210" i="20"/>
  <c r="AG210" i="20"/>
  <c r="AF210" i="20"/>
  <c r="AE210" i="20"/>
  <c r="AD210" i="20"/>
  <c r="AC210" i="20"/>
  <c r="AB210" i="20"/>
  <c r="AA210" i="20"/>
  <c r="AL209" i="20"/>
  <c r="AJ209" i="20"/>
  <c r="AI209" i="20"/>
  <c r="AH209" i="20"/>
  <c r="AG209" i="20"/>
  <c r="AF209" i="20"/>
  <c r="AE209" i="20"/>
  <c r="AD209" i="20"/>
  <c r="AC209" i="20"/>
  <c r="AB209" i="20"/>
  <c r="AA209" i="20"/>
  <c r="AL208" i="20"/>
  <c r="AJ208" i="20"/>
  <c r="AI208" i="20"/>
  <c r="AH208" i="20"/>
  <c r="AG208" i="20"/>
  <c r="AF208" i="20"/>
  <c r="AE208" i="20"/>
  <c r="AD208" i="20"/>
  <c r="AC208" i="20"/>
  <c r="AB208" i="20"/>
  <c r="AA208" i="20"/>
  <c r="AL207" i="20"/>
  <c r="AJ207" i="20"/>
  <c r="AI207" i="20"/>
  <c r="AH207" i="20"/>
  <c r="AG207" i="20"/>
  <c r="AF207" i="20"/>
  <c r="AE207" i="20"/>
  <c r="AD207" i="20"/>
  <c r="AC207" i="20"/>
  <c r="AB207" i="20"/>
  <c r="AA207" i="20"/>
  <c r="AL206" i="20"/>
  <c r="AJ206" i="20"/>
  <c r="AI206" i="20"/>
  <c r="AH206" i="20"/>
  <c r="AG206" i="20"/>
  <c r="AF206" i="20"/>
  <c r="AE206" i="20"/>
  <c r="AD206" i="20"/>
  <c r="AC206" i="20"/>
  <c r="AB206" i="20"/>
  <c r="AA206" i="20"/>
  <c r="AL205" i="20"/>
  <c r="AJ205" i="20"/>
  <c r="AI205" i="20"/>
  <c r="AH205" i="20"/>
  <c r="AG205" i="20"/>
  <c r="AF205" i="20"/>
  <c r="AE205" i="20"/>
  <c r="AD205" i="20"/>
  <c r="AC205" i="20"/>
  <c r="AB205" i="20"/>
  <c r="AA205" i="20"/>
  <c r="AL204" i="20"/>
  <c r="AJ204" i="20"/>
  <c r="AI204" i="20"/>
  <c r="AH204" i="20"/>
  <c r="AG204" i="20"/>
  <c r="AF204" i="20"/>
  <c r="AE204" i="20"/>
  <c r="AD204" i="20"/>
  <c r="AC204" i="20"/>
  <c r="AB204" i="20"/>
  <c r="AA204" i="20"/>
  <c r="AL203" i="20"/>
  <c r="AJ203" i="20"/>
  <c r="AI203" i="20"/>
  <c r="AH203" i="20"/>
  <c r="AG203" i="20"/>
  <c r="AF203" i="20"/>
  <c r="AE203" i="20"/>
  <c r="AD203" i="20"/>
  <c r="AC203" i="20"/>
  <c r="AB203" i="20"/>
  <c r="AA203" i="20"/>
  <c r="AL202" i="20"/>
  <c r="AJ202" i="20"/>
  <c r="AI202" i="20"/>
  <c r="AH202" i="20"/>
  <c r="AG202" i="20"/>
  <c r="AF202" i="20"/>
  <c r="AE202" i="20"/>
  <c r="AD202" i="20"/>
  <c r="AC202" i="20"/>
  <c r="AB202" i="20"/>
  <c r="AA202" i="20"/>
  <c r="AL201" i="20"/>
  <c r="AJ201" i="20"/>
  <c r="AI201" i="20"/>
  <c r="AH201" i="20"/>
  <c r="AG201" i="20"/>
  <c r="AF201" i="20"/>
  <c r="AE201" i="20"/>
  <c r="AD201" i="20"/>
  <c r="AC201" i="20"/>
  <c r="AB201" i="20"/>
  <c r="AA201" i="20"/>
  <c r="AL200" i="20"/>
  <c r="AJ200" i="20"/>
  <c r="AI200" i="20"/>
  <c r="AH200" i="20"/>
  <c r="AG200" i="20"/>
  <c r="AF200" i="20"/>
  <c r="AE200" i="20"/>
  <c r="AD200" i="20"/>
  <c r="AC200" i="20"/>
  <c r="AB200" i="20"/>
  <c r="AA200" i="20"/>
  <c r="AL199" i="20"/>
  <c r="AJ199" i="20"/>
  <c r="AI199" i="20"/>
  <c r="AH199" i="20"/>
  <c r="AG199" i="20"/>
  <c r="AF199" i="20"/>
  <c r="AE199" i="20"/>
  <c r="AD199" i="20"/>
  <c r="AC199" i="20"/>
  <c r="AB199" i="20"/>
  <c r="AA199" i="20"/>
  <c r="AL198" i="20"/>
  <c r="AJ198" i="20"/>
  <c r="AI198" i="20"/>
  <c r="AH198" i="20"/>
  <c r="AG198" i="20"/>
  <c r="AF198" i="20"/>
  <c r="AE198" i="20"/>
  <c r="AD198" i="20"/>
  <c r="AC198" i="20"/>
  <c r="AB198" i="20"/>
  <c r="AA198" i="20"/>
  <c r="AL197" i="20"/>
  <c r="AJ197" i="20"/>
  <c r="AI197" i="20"/>
  <c r="AH197" i="20"/>
  <c r="AG197" i="20"/>
  <c r="AF197" i="20"/>
  <c r="AE197" i="20"/>
  <c r="AD197" i="20"/>
  <c r="AC197" i="20"/>
  <c r="AB197" i="20"/>
  <c r="AA197" i="20"/>
  <c r="AL196" i="20"/>
  <c r="AJ196" i="20"/>
  <c r="AI196" i="20"/>
  <c r="AH196" i="20"/>
  <c r="AG196" i="20"/>
  <c r="AF196" i="20"/>
  <c r="AE196" i="20"/>
  <c r="AD196" i="20"/>
  <c r="AC196" i="20"/>
  <c r="AB196" i="20"/>
  <c r="AA196" i="20"/>
  <c r="AL195" i="20"/>
  <c r="AJ195" i="20"/>
  <c r="AI195" i="20"/>
  <c r="AH195" i="20"/>
  <c r="AG195" i="20"/>
  <c r="AF195" i="20"/>
  <c r="AE195" i="20"/>
  <c r="AD195" i="20"/>
  <c r="AC195" i="20"/>
  <c r="AB195" i="20"/>
  <c r="AA195" i="20"/>
  <c r="AL194" i="20"/>
  <c r="AJ194" i="20"/>
  <c r="AI194" i="20"/>
  <c r="AH194" i="20"/>
  <c r="AG194" i="20"/>
  <c r="AF194" i="20"/>
  <c r="AE194" i="20"/>
  <c r="AD194" i="20"/>
  <c r="AC194" i="20"/>
  <c r="AB194" i="20"/>
  <c r="AA194" i="20"/>
  <c r="AL193" i="20"/>
  <c r="AJ193" i="20"/>
  <c r="AI193" i="20"/>
  <c r="AH193" i="20"/>
  <c r="AG193" i="20"/>
  <c r="AF193" i="20"/>
  <c r="AE193" i="20"/>
  <c r="AD193" i="20"/>
  <c r="AC193" i="20"/>
  <c r="AB193" i="20"/>
  <c r="AA193" i="20"/>
  <c r="AL192" i="20"/>
  <c r="AJ192" i="20"/>
  <c r="AI192" i="20"/>
  <c r="AH192" i="20"/>
  <c r="AG192" i="20"/>
  <c r="AF192" i="20"/>
  <c r="AE192" i="20"/>
  <c r="AD192" i="20"/>
  <c r="AC192" i="20"/>
  <c r="AB192" i="20"/>
  <c r="AA192" i="20"/>
  <c r="AL191" i="20"/>
  <c r="AJ191" i="20"/>
  <c r="AI191" i="20"/>
  <c r="AH191" i="20"/>
  <c r="AG191" i="20"/>
  <c r="AF191" i="20"/>
  <c r="AE191" i="20"/>
  <c r="AD191" i="20"/>
  <c r="AC191" i="20"/>
  <c r="AB191" i="20"/>
  <c r="AA191" i="20"/>
  <c r="AL190" i="20"/>
  <c r="AJ190" i="20"/>
  <c r="AI190" i="20"/>
  <c r="AH190" i="20"/>
  <c r="AG190" i="20"/>
  <c r="AF190" i="20"/>
  <c r="AE190" i="20"/>
  <c r="AD190" i="20"/>
  <c r="AC190" i="20"/>
  <c r="AB190" i="20"/>
  <c r="AA190" i="20"/>
  <c r="AL189" i="20"/>
  <c r="AJ189" i="20"/>
  <c r="AI189" i="20"/>
  <c r="AH189" i="20"/>
  <c r="AG189" i="20"/>
  <c r="AF189" i="20"/>
  <c r="AE189" i="20"/>
  <c r="AD189" i="20"/>
  <c r="AC189" i="20"/>
  <c r="AB189" i="20"/>
  <c r="AA189" i="20"/>
  <c r="AL188" i="20"/>
  <c r="AJ188" i="20"/>
  <c r="AI188" i="20"/>
  <c r="AH188" i="20"/>
  <c r="AG188" i="20"/>
  <c r="AF188" i="20"/>
  <c r="AE188" i="20"/>
  <c r="AD188" i="20"/>
  <c r="AC188" i="20"/>
  <c r="AB188" i="20"/>
  <c r="AA188" i="20"/>
  <c r="AL187" i="20"/>
  <c r="AJ187" i="20"/>
  <c r="AI187" i="20"/>
  <c r="AH187" i="20"/>
  <c r="AG187" i="20"/>
  <c r="AF187" i="20"/>
  <c r="AE187" i="20"/>
  <c r="AD187" i="20"/>
  <c r="AC187" i="20"/>
  <c r="AB187" i="20"/>
  <c r="AA187" i="20"/>
  <c r="AL186" i="20"/>
  <c r="AJ186" i="20"/>
  <c r="AI186" i="20"/>
  <c r="AH186" i="20"/>
  <c r="AG186" i="20"/>
  <c r="AF186" i="20"/>
  <c r="AE186" i="20"/>
  <c r="AD186" i="20"/>
  <c r="AC186" i="20"/>
  <c r="AB186" i="20"/>
  <c r="AA186" i="20"/>
  <c r="AL185" i="20"/>
  <c r="AJ185" i="20"/>
  <c r="AI185" i="20"/>
  <c r="AH185" i="20"/>
  <c r="AG185" i="20"/>
  <c r="AF185" i="20"/>
  <c r="AE185" i="20"/>
  <c r="AD185" i="20"/>
  <c r="AC185" i="20"/>
  <c r="AB185" i="20"/>
  <c r="AA185" i="20"/>
  <c r="AL184" i="20"/>
  <c r="AJ184" i="20"/>
  <c r="AI184" i="20"/>
  <c r="AH184" i="20"/>
  <c r="AG184" i="20"/>
  <c r="AF184" i="20"/>
  <c r="AE184" i="20"/>
  <c r="AD184" i="20"/>
  <c r="AC184" i="20"/>
  <c r="AB184" i="20"/>
  <c r="AA184" i="20"/>
  <c r="AL183" i="20"/>
  <c r="AJ183" i="20"/>
  <c r="AI183" i="20"/>
  <c r="AH183" i="20"/>
  <c r="AG183" i="20"/>
  <c r="AF183" i="20"/>
  <c r="AE183" i="20"/>
  <c r="AD183" i="20"/>
  <c r="AC183" i="20"/>
  <c r="AB183" i="20"/>
  <c r="AA183" i="20"/>
  <c r="AL182" i="20"/>
  <c r="AJ182" i="20"/>
  <c r="AI182" i="20"/>
  <c r="AH182" i="20"/>
  <c r="AG182" i="20"/>
  <c r="AF182" i="20"/>
  <c r="AE182" i="20"/>
  <c r="AD182" i="20"/>
  <c r="AC182" i="20"/>
  <c r="AB182" i="20"/>
  <c r="AA182" i="20"/>
  <c r="AL181" i="20"/>
  <c r="AJ181" i="20"/>
  <c r="AI181" i="20"/>
  <c r="AH181" i="20"/>
  <c r="AG181" i="20"/>
  <c r="AF181" i="20"/>
  <c r="AE181" i="20"/>
  <c r="AD181" i="20"/>
  <c r="AC181" i="20"/>
  <c r="AB181" i="20"/>
  <c r="AA181" i="20"/>
  <c r="AL180" i="20"/>
  <c r="AJ180" i="20"/>
  <c r="AI180" i="20"/>
  <c r="AH180" i="20"/>
  <c r="AG180" i="20"/>
  <c r="AF180" i="20"/>
  <c r="AE180" i="20"/>
  <c r="AD180" i="20"/>
  <c r="AC180" i="20"/>
  <c r="AB180" i="20"/>
  <c r="AA180" i="20"/>
  <c r="AL179" i="20"/>
  <c r="AJ179" i="20"/>
  <c r="AI179" i="20"/>
  <c r="AH179" i="20"/>
  <c r="AG179" i="20"/>
  <c r="AF179" i="20"/>
  <c r="AE179" i="20"/>
  <c r="AD179" i="20"/>
  <c r="AC179" i="20"/>
  <c r="AB179" i="20"/>
  <c r="AA179" i="20"/>
  <c r="AL178" i="20"/>
  <c r="AH178" i="20"/>
  <c r="AG178" i="20"/>
  <c r="AF178" i="20"/>
  <c r="AE178" i="20"/>
  <c r="AD178" i="20"/>
  <c r="AB178" i="20"/>
  <c r="AA178" i="20"/>
  <c r="AL177" i="20"/>
  <c r="AH177" i="20"/>
  <c r="AG177" i="20"/>
  <c r="AF177" i="20"/>
  <c r="AE177" i="20"/>
  <c r="AD177" i="20"/>
  <c r="AC177" i="20"/>
  <c r="AB177" i="20"/>
  <c r="AA177" i="20"/>
  <c r="W177" i="20"/>
  <c r="X177" i="20" s="1"/>
  <c r="BE176" i="20"/>
  <c r="AE176" i="20"/>
  <c r="AD176" i="20"/>
  <c r="AC176" i="20"/>
  <c r="AB176" i="20"/>
  <c r="AA176" i="20"/>
  <c r="W176" i="20"/>
  <c r="X176" i="20" s="1"/>
  <c r="BE175" i="20"/>
  <c r="AE175" i="20"/>
  <c r="AD175" i="20"/>
  <c r="AC175" i="20"/>
  <c r="AB175" i="20"/>
  <c r="AA175" i="20"/>
  <c r="W175" i="20"/>
  <c r="X175" i="20" s="1"/>
  <c r="BE174" i="20"/>
  <c r="AE174" i="20"/>
  <c r="AD174" i="20"/>
  <c r="AC174" i="20"/>
  <c r="AB174" i="20"/>
  <c r="AA174" i="20"/>
  <c r="BE173" i="20"/>
  <c r="AE173" i="20"/>
  <c r="AD173" i="20"/>
  <c r="AC173" i="20"/>
  <c r="AB173" i="20"/>
  <c r="AA173" i="20"/>
  <c r="BE172" i="20"/>
  <c r="AC172" i="20"/>
  <c r="AB172" i="20"/>
  <c r="AA172" i="20"/>
  <c r="BE171" i="20"/>
  <c r="AA171" i="20"/>
  <c r="W171" i="20"/>
  <c r="X171" i="20" s="1"/>
  <c r="BE170" i="20"/>
  <c r="AA170" i="20"/>
  <c r="BE169" i="20"/>
  <c r="AA169" i="20"/>
  <c r="CF168" i="20"/>
  <c r="CE168" i="20"/>
  <c r="CI173" i="20" s="1"/>
  <c r="CE173" i="20" s="1"/>
  <c r="BF168" i="20"/>
  <c r="BF169" i="20" s="1"/>
  <c r="BF170" i="20" s="1"/>
  <c r="BF171" i="20" s="1"/>
  <c r="BF172" i="20" s="1"/>
  <c r="BF173" i="20" s="1"/>
  <c r="BF174" i="20" s="1"/>
  <c r="BF175" i="20" s="1"/>
  <c r="BF176" i="20" s="1"/>
  <c r="BE168" i="20"/>
  <c r="AA168" i="20"/>
  <c r="BE167" i="20"/>
  <c r="AL167" i="20"/>
  <c r="AJ167" i="20"/>
  <c r="AI167" i="20"/>
  <c r="AH167" i="20"/>
  <c r="AG167" i="20"/>
  <c r="AE167" i="20"/>
  <c r="AD167" i="20"/>
  <c r="AB167" i="20"/>
  <c r="AA167" i="20"/>
  <c r="BG164" i="20"/>
  <c r="BF164" i="20"/>
  <c r="BB164" i="20" s="1"/>
  <c r="BG163" i="20"/>
  <c r="BF163" i="20"/>
  <c r="BB163" i="20" s="1"/>
  <c r="BG162" i="20"/>
  <c r="BF162" i="20"/>
  <c r="BB162" i="20" s="1"/>
  <c r="BG161" i="20"/>
  <c r="BF161" i="20"/>
  <c r="BB161" i="20" s="1"/>
  <c r="BG160" i="20"/>
  <c r="BF160" i="20"/>
  <c r="BB160" i="20" s="1"/>
  <c r="BG159" i="20"/>
  <c r="BF159" i="20"/>
  <c r="BB159" i="20" s="1"/>
  <c r="BG158" i="20"/>
  <c r="BF158" i="20"/>
  <c r="BB158" i="20" s="1"/>
  <c r="BG157" i="20"/>
  <c r="BF157" i="20"/>
  <c r="BB157" i="20" s="1"/>
  <c r="BG156" i="20"/>
  <c r="R133" i="20"/>
  <c r="R132" i="20"/>
  <c r="R131" i="20"/>
  <c r="R130" i="20"/>
  <c r="R129" i="20"/>
  <c r="R128" i="20"/>
  <c r="R127" i="20"/>
  <c r="AE126" i="20"/>
  <c r="AC126" i="20"/>
  <c r="AB126" i="20"/>
  <c r="R126" i="20"/>
  <c r="R125" i="20"/>
  <c r="R124" i="20"/>
  <c r="G77" i="20"/>
  <c r="G76" i="20"/>
  <c r="G75" i="20"/>
  <c r="G74" i="20"/>
  <c r="G73" i="20"/>
  <c r="G72" i="20"/>
  <c r="G71" i="20"/>
  <c r="G70" i="20"/>
  <c r="G69" i="20"/>
  <c r="AM168" i="20" s="1"/>
  <c r="H77" i="20"/>
  <c r="G81" i="1"/>
  <c r="G80" i="1"/>
  <c r="H79" i="1"/>
  <c r="G79" i="1"/>
  <c r="G78" i="1"/>
  <c r="H77" i="1"/>
  <c r="G77" i="1"/>
  <c r="G76" i="1"/>
  <c r="G75" i="1"/>
  <c r="H74" i="1"/>
  <c r="G74" i="1"/>
  <c r="G73" i="1"/>
  <c r="G72" i="1"/>
  <c r="G71" i="1"/>
  <c r="G70" i="1"/>
  <c r="BY162" i="1"/>
  <c r="BV161" i="1"/>
  <c r="BN160" i="1"/>
  <c r="BY158" i="1"/>
  <c r="BP158" i="1" s="1"/>
  <c r="BV163" i="1" s="1"/>
  <c r="BV156" i="1"/>
  <c r="I71" i="1"/>
  <c r="H75" i="5"/>
  <c r="G69" i="5"/>
  <c r="G77" i="5"/>
  <c r="G76" i="5"/>
  <c r="G75" i="5"/>
  <c r="G74" i="5"/>
  <c r="G73" i="5"/>
  <c r="G72" i="5"/>
  <c r="G71" i="5"/>
  <c r="G70" i="5"/>
  <c r="G77" i="8"/>
  <c r="H76" i="8"/>
  <c r="G76" i="8"/>
  <c r="G75" i="8"/>
  <c r="G74" i="8"/>
  <c r="G73" i="8"/>
  <c r="G72" i="8"/>
  <c r="G71" i="8"/>
  <c r="G70" i="8"/>
  <c r="H69" i="8"/>
  <c r="G69" i="8"/>
  <c r="BY162" i="8"/>
  <c r="BV161" i="8"/>
  <c r="BN160" i="8"/>
  <c r="BY159" i="8"/>
  <c r="BY158" i="8"/>
  <c r="BV156" i="8"/>
  <c r="H71" i="8"/>
  <c r="BY158" i="11"/>
  <c r="Z216" i="44" l="1"/>
  <c r="AA216" i="44"/>
  <c r="G272" i="44" s="1"/>
  <c r="G56" i="44" s="1"/>
  <c r="BP158" i="35"/>
  <c r="BV163" i="35" s="1"/>
  <c r="BN158" i="35" s="1"/>
  <c r="BY157" i="11"/>
  <c r="BP158" i="38"/>
  <c r="BV163" i="38" s="1"/>
  <c r="CI169" i="32"/>
  <c r="CE177" i="32" s="1"/>
  <c r="BZ161" i="32" s="1"/>
  <c r="W176" i="35"/>
  <c r="X176" i="35" s="1"/>
  <c r="W175" i="50"/>
  <c r="X175" i="50" s="1"/>
  <c r="W187" i="44"/>
  <c r="X187" i="44" s="1"/>
  <c r="W176" i="41"/>
  <c r="X176" i="41" s="1"/>
  <c r="W167" i="50"/>
  <c r="X167" i="50" s="1"/>
  <c r="CI170" i="41"/>
  <c r="CE176" i="41" s="1"/>
  <c r="AM170" i="23"/>
  <c r="AL170" i="23"/>
  <c r="AM171" i="35"/>
  <c r="AL171" i="35"/>
  <c r="AL172" i="50"/>
  <c r="AM172" i="50"/>
  <c r="AM175" i="53"/>
  <c r="AL175" i="53"/>
  <c r="AM173" i="8"/>
  <c r="AL173" i="8"/>
  <c r="AM173" i="5"/>
  <c r="AL173" i="5"/>
  <c r="AM171" i="23"/>
  <c r="AL171" i="23"/>
  <c r="CJ172" i="23"/>
  <c r="CF174" i="23" s="1"/>
  <c r="AM172" i="29"/>
  <c r="AL172" i="29"/>
  <c r="AL171" i="32"/>
  <c r="AM171" i="32"/>
  <c r="AM172" i="35"/>
  <c r="AL172" i="35"/>
  <c r="AM173" i="38"/>
  <c r="AL173" i="38"/>
  <c r="AM168" i="41"/>
  <c r="AL168" i="41"/>
  <c r="AL175" i="41"/>
  <c r="AM175" i="41"/>
  <c r="CI169" i="41"/>
  <c r="CE177" i="41" s="1"/>
  <c r="AM172" i="44"/>
  <c r="AL172" i="44"/>
  <c r="AL170" i="47"/>
  <c r="AM170" i="47"/>
  <c r="AM173" i="50"/>
  <c r="AL173" i="50"/>
  <c r="AM168" i="53"/>
  <c r="AL168" i="53"/>
  <c r="AM176" i="53"/>
  <c r="AL176" i="53"/>
  <c r="AM174" i="8"/>
  <c r="AL174" i="8"/>
  <c r="AM174" i="5"/>
  <c r="AL174" i="5"/>
  <c r="AM171" i="1"/>
  <c r="AL171" i="1"/>
  <c r="AM177" i="1"/>
  <c r="AL177" i="1"/>
  <c r="AM172" i="23"/>
  <c r="AL172" i="23"/>
  <c r="AL171" i="26"/>
  <c r="AM171" i="26"/>
  <c r="AM173" i="29"/>
  <c r="AL173" i="29"/>
  <c r="AL172" i="32"/>
  <c r="AM173" i="35"/>
  <c r="AL173" i="35"/>
  <c r="AM174" i="38"/>
  <c r="AL174" i="38"/>
  <c r="W177" i="38"/>
  <c r="X177" i="38" s="1"/>
  <c r="AM169" i="41"/>
  <c r="AL169" i="41"/>
  <c r="AM176" i="41"/>
  <c r="AL176" i="41"/>
  <c r="AM173" i="44"/>
  <c r="AL173" i="44"/>
  <c r="AM171" i="47"/>
  <c r="AL171" i="47"/>
  <c r="AM174" i="50"/>
  <c r="AL174" i="50"/>
  <c r="AM169" i="53"/>
  <c r="AL169" i="53"/>
  <c r="AL168" i="8"/>
  <c r="AM168" i="8"/>
  <c r="AM175" i="8"/>
  <c r="AL175" i="8"/>
  <c r="AL175" i="5"/>
  <c r="AM175" i="5"/>
  <c r="AM172" i="1"/>
  <c r="AL172" i="1"/>
  <c r="AM178" i="1"/>
  <c r="AL178" i="1"/>
  <c r="AL173" i="23"/>
  <c r="AM173" i="23"/>
  <c r="AM172" i="26"/>
  <c r="AL172" i="26"/>
  <c r="AL174" i="29"/>
  <c r="AM174" i="29"/>
  <c r="AL173" i="32"/>
  <c r="AM173" i="32"/>
  <c r="CI172" i="32"/>
  <c r="CE174" i="32" s="1"/>
  <c r="AM174" i="35"/>
  <c r="AL174" i="35"/>
  <c r="AM170" i="41"/>
  <c r="AL170" i="41"/>
  <c r="AL168" i="44"/>
  <c r="AM168" i="44"/>
  <c r="AM174" i="44"/>
  <c r="AL174" i="44"/>
  <c r="AL172" i="47"/>
  <c r="AM172" i="47"/>
  <c r="AM168" i="50"/>
  <c r="AL168" i="50"/>
  <c r="AM175" i="50"/>
  <c r="AL175" i="50"/>
  <c r="CI169" i="50"/>
  <c r="CE177" i="50" s="1"/>
  <c r="AM170" i="53"/>
  <c r="AL170" i="53"/>
  <c r="AM172" i="8"/>
  <c r="AL172" i="8"/>
  <c r="AM176" i="26"/>
  <c r="AL176" i="26"/>
  <c r="AM176" i="5"/>
  <c r="AL176" i="5"/>
  <c r="AM173" i="1"/>
  <c r="AL173" i="1"/>
  <c r="AM174" i="23"/>
  <c r="AL174" i="23"/>
  <c r="W175" i="23"/>
  <c r="X175" i="23" s="1"/>
  <c r="AM173" i="26"/>
  <c r="AL173" i="26"/>
  <c r="AM168" i="29"/>
  <c r="AL168" i="29"/>
  <c r="AM175" i="29"/>
  <c r="AL175" i="29"/>
  <c r="AM174" i="32"/>
  <c r="AL174" i="32"/>
  <c r="AM175" i="35"/>
  <c r="AL175" i="35"/>
  <c r="AM168" i="38"/>
  <c r="AL168" i="38"/>
  <c r="AL175" i="38"/>
  <c r="AM175" i="38"/>
  <c r="AL171" i="41"/>
  <c r="AM171" i="41"/>
  <c r="CI176" i="41"/>
  <c r="CE170" i="41" s="1"/>
  <c r="AM169" i="44"/>
  <c r="AL169" i="44"/>
  <c r="AL175" i="44"/>
  <c r="AM175" i="44"/>
  <c r="AM173" i="47"/>
  <c r="AL173" i="47"/>
  <c r="AM169" i="50"/>
  <c r="AL169" i="50"/>
  <c r="AM176" i="50"/>
  <c r="AL176" i="50"/>
  <c r="AM171" i="53"/>
  <c r="AL171" i="53"/>
  <c r="AL170" i="1"/>
  <c r="AM170" i="1"/>
  <c r="AM170" i="26"/>
  <c r="AL170" i="26"/>
  <c r="AM171" i="29"/>
  <c r="AL171" i="29"/>
  <c r="AM172" i="38"/>
  <c r="AL172" i="38"/>
  <c r="AM169" i="8"/>
  <c r="AL169" i="8"/>
  <c r="AL176" i="8"/>
  <c r="AM176" i="8"/>
  <c r="AM177" i="5"/>
  <c r="AL177" i="5"/>
  <c r="AM179" i="1"/>
  <c r="AL179" i="1"/>
  <c r="G115" i="20"/>
  <c r="G49" i="20" s="1"/>
  <c r="AM175" i="23"/>
  <c r="AL175" i="23"/>
  <c r="AM168" i="26"/>
  <c r="AL168" i="26"/>
  <c r="AM174" i="26"/>
  <c r="AL174" i="26"/>
  <c r="AM169" i="29"/>
  <c r="AL169" i="29"/>
  <c r="AL175" i="32"/>
  <c r="AM175" i="32"/>
  <c r="AM168" i="35"/>
  <c r="AL168" i="35"/>
  <c r="AM176" i="35"/>
  <c r="AL176" i="35"/>
  <c r="W177" i="35"/>
  <c r="X177" i="35" s="1"/>
  <c r="AM169" i="38"/>
  <c r="AL169" i="38"/>
  <c r="AM176" i="38"/>
  <c r="AL176" i="38"/>
  <c r="AM172" i="41"/>
  <c r="AL172" i="41"/>
  <c r="AL176" i="44"/>
  <c r="AM176" i="44"/>
  <c r="AL174" i="47"/>
  <c r="AM174" i="47"/>
  <c r="AM170" i="50"/>
  <c r="AL170" i="50"/>
  <c r="AM172" i="53"/>
  <c r="AL172" i="53"/>
  <c r="AM176" i="1"/>
  <c r="AL176" i="1"/>
  <c r="AM170" i="32"/>
  <c r="AL170" i="32"/>
  <c r="AM169" i="47"/>
  <c r="AL169" i="47"/>
  <c r="AM170" i="8"/>
  <c r="AL170" i="8"/>
  <c r="AM170" i="5"/>
  <c r="AL170" i="5"/>
  <c r="AM169" i="5"/>
  <c r="AL169" i="5"/>
  <c r="AM174" i="1"/>
  <c r="AL174" i="1"/>
  <c r="AM180" i="1"/>
  <c r="AL180" i="1"/>
  <c r="AM168" i="23"/>
  <c r="AL168" i="23"/>
  <c r="AM176" i="23"/>
  <c r="AL176" i="23"/>
  <c r="W176" i="23"/>
  <c r="X176" i="23" s="1"/>
  <c r="AM170" i="29"/>
  <c r="AL170" i="29"/>
  <c r="AM176" i="29"/>
  <c r="AL176" i="29"/>
  <c r="AM168" i="32"/>
  <c r="AL168" i="32"/>
  <c r="AM176" i="32"/>
  <c r="AL176" i="32"/>
  <c r="AM169" i="35"/>
  <c r="AL169" i="35"/>
  <c r="W172" i="35"/>
  <c r="X172" i="35" s="1"/>
  <c r="AM170" i="38"/>
  <c r="AL170" i="38"/>
  <c r="AM173" i="41"/>
  <c r="AL173" i="41"/>
  <c r="AL170" i="44"/>
  <c r="AM170" i="44"/>
  <c r="AM175" i="47"/>
  <c r="AL175" i="47"/>
  <c r="AM173" i="53"/>
  <c r="AL173" i="53"/>
  <c r="AM172" i="5"/>
  <c r="AL172" i="5"/>
  <c r="AM171" i="8"/>
  <c r="AL171" i="8"/>
  <c r="AM171" i="5"/>
  <c r="AL171" i="5"/>
  <c r="AM169" i="1"/>
  <c r="AL169" i="1"/>
  <c r="AL175" i="1"/>
  <c r="AM175" i="1"/>
  <c r="AM169" i="23"/>
  <c r="AL169" i="23"/>
  <c r="AM169" i="26"/>
  <c r="AL169" i="26"/>
  <c r="AM175" i="26"/>
  <c r="AL175" i="26"/>
  <c r="AL169" i="32"/>
  <c r="AM169" i="32"/>
  <c r="AM170" i="35"/>
  <c r="AL170" i="35"/>
  <c r="AL171" i="38"/>
  <c r="AM171" i="38"/>
  <c r="AM174" i="41"/>
  <c r="AL174" i="41"/>
  <c r="CI173" i="41"/>
  <c r="CE173" i="41" s="1"/>
  <c r="AM171" i="44"/>
  <c r="AL171" i="44"/>
  <c r="AL168" i="47"/>
  <c r="AM168" i="47"/>
  <c r="AL176" i="47"/>
  <c r="AM176" i="47"/>
  <c r="AM171" i="50"/>
  <c r="AL171" i="50"/>
  <c r="AM174" i="53"/>
  <c r="AL174" i="53"/>
  <c r="AL175" i="20"/>
  <c r="AM175" i="20"/>
  <c r="AL176" i="20"/>
  <c r="AM176" i="20"/>
  <c r="AL169" i="20"/>
  <c r="AM169" i="20"/>
  <c r="AL170" i="20"/>
  <c r="AM170" i="20"/>
  <c r="AL173" i="20"/>
  <c r="AM173" i="20"/>
  <c r="AL174" i="20"/>
  <c r="AM174" i="20"/>
  <c r="AL171" i="20"/>
  <c r="AM171" i="20"/>
  <c r="AL172" i="20"/>
  <c r="AM172" i="20"/>
  <c r="I72" i="53"/>
  <c r="I88" i="53"/>
  <c r="I83" i="53"/>
  <c r="I78" i="53"/>
  <c r="I86" i="53"/>
  <c r="I81" i="53"/>
  <c r="I80" i="53"/>
  <c r="I84" i="53"/>
  <c r="I87" i="53"/>
  <c r="I82" i="53"/>
  <c r="I79" i="53"/>
  <c r="I85" i="53"/>
  <c r="I261" i="53"/>
  <c r="I253" i="53"/>
  <c r="I245" i="53"/>
  <c r="I237" i="53"/>
  <c r="I229" i="53"/>
  <c r="I221" i="53"/>
  <c r="I258" i="53"/>
  <c r="I250" i="53"/>
  <c r="I242" i="53"/>
  <c r="I234" i="53"/>
  <c r="I226" i="53"/>
  <c r="I263" i="53"/>
  <c r="I255" i="53"/>
  <c r="I247" i="53"/>
  <c r="I239" i="53"/>
  <c r="I231" i="53"/>
  <c r="I223" i="53"/>
  <c r="I260" i="53"/>
  <c r="I252" i="53"/>
  <c r="I244" i="53"/>
  <c r="I236" i="53"/>
  <c r="I228" i="53"/>
  <c r="I220" i="53"/>
  <c r="I265" i="53"/>
  <c r="I257" i="53"/>
  <c r="I249" i="53"/>
  <c r="I241" i="53"/>
  <c r="I233" i="53"/>
  <c r="I225" i="53"/>
  <c r="I262" i="53"/>
  <c r="I254" i="53"/>
  <c r="I246" i="53"/>
  <c r="I238" i="53"/>
  <c r="I230" i="53"/>
  <c r="I222" i="53"/>
  <c r="I259" i="53"/>
  <c r="I251" i="53"/>
  <c r="I243" i="53"/>
  <c r="I235" i="53"/>
  <c r="I227" i="53"/>
  <c r="I248" i="53"/>
  <c r="I240" i="53"/>
  <c r="I264" i="53"/>
  <c r="I232" i="53"/>
  <c r="I224" i="53"/>
  <c r="I256" i="53"/>
  <c r="I205" i="53"/>
  <c r="I197" i="53"/>
  <c r="I189" i="53"/>
  <c r="I181" i="53"/>
  <c r="I173" i="53"/>
  <c r="I202" i="53"/>
  <c r="I194" i="53"/>
  <c r="I186" i="53"/>
  <c r="I178" i="53"/>
  <c r="I170" i="53"/>
  <c r="I207" i="53"/>
  <c r="I199" i="53"/>
  <c r="I191" i="53"/>
  <c r="I183" i="53"/>
  <c r="I175" i="53"/>
  <c r="I167" i="53"/>
  <c r="I204" i="53"/>
  <c r="I196" i="53"/>
  <c r="I188" i="53"/>
  <c r="I180" i="53"/>
  <c r="I172" i="53"/>
  <c r="I209" i="53"/>
  <c r="I201" i="53"/>
  <c r="I193" i="53"/>
  <c r="I185" i="53"/>
  <c r="I177" i="53"/>
  <c r="I169" i="53"/>
  <c r="I206" i="53"/>
  <c r="I198" i="53"/>
  <c r="I190" i="53"/>
  <c r="I182" i="53"/>
  <c r="I174" i="53"/>
  <c r="I203" i="53"/>
  <c r="I195" i="53"/>
  <c r="I187" i="53"/>
  <c r="I179" i="53"/>
  <c r="I171" i="53"/>
  <c r="I184" i="53"/>
  <c r="I208" i="53"/>
  <c r="I176" i="53"/>
  <c r="I200" i="53"/>
  <c r="I168" i="53"/>
  <c r="I192" i="53"/>
  <c r="I74" i="53"/>
  <c r="H76" i="35"/>
  <c r="H260" i="35"/>
  <c r="H252" i="35"/>
  <c r="H244" i="35"/>
  <c r="H236" i="35"/>
  <c r="H228" i="35"/>
  <c r="H220" i="35"/>
  <c r="H265" i="35"/>
  <c r="H257" i="35"/>
  <c r="H249" i="35"/>
  <c r="H241" i="35"/>
  <c r="H233" i="35"/>
  <c r="H225" i="35"/>
  <c r="H262" i="35"/>
  <c r="H254" i="35"/>
  <c r="H246" i="35"/>
  <c r="H238" i="35"/>
  <c r="H230" i="35"/>
  <c r="H222" i="35"/>
  <c r="H259" i="35"/>
  <c r="H251" i="35"/>
  <c r="H243" i="35"/>
  <c r="H235" i="35"/>
  <c r="H227" i="35"/>
  <c r="H264" i="35"/>
  <c r="H256" i="35"/>
  <c r="H248" i="35"/>
  <c r="H240" i="35"/>
  <c r="H232" i="35"/>
  <c r="H224" i="35"/>
  <c r="H261" i="35"/>
  <c r="H253" i="35"/>
  <c r="H245" i="35"/>
  <c r="H237" i="35"/>
  <c r="H229" i="35"/>
  <c r="H221" i="35"/>
  <c r="H258" i="35"/>
  <c r="H247" i="35"/>
  <c r="H231" i="35"/>
  <c r="H242" i="35"/>
  <c r="H226" i="35"/>
  <c r="H263" i="35"/>
  <c r="H234" i="35"/>
  <c r="H223" i="35"/>
  <c r="H255" i="35"/>
  <c r="H250" i="35"/>
  <c r="H239" i="35"/>
  <c r="H206" i="35"/>
  <c r="H198" i="35"/>
  <c r="H190" i="35"/>
  <c r="H203" i="35"/>
  <c r="H195" i="35"/>
  <c r="H208" i="35"/>
  <c r="H200" i="35"/>
  <c r="H192" i="35"/>
  <c r="H202" i="35"/>
  <c r="H194" i="35"/>
  <c r="H207" i="35"/>
  <c r="H199" i="35"/>
  <c r="H191" i="35"/>
  <c r="H204" i="35"/>
  <c r="H196" i="35"/>
  <c r="H188" i="35"/>
  <c r="H197" i="35"/>
  <c r="H187" i="35"/>
  <c r="H179" i="35"/>
  <c r="H171" i="35"/>
  <c r="H184" i="35"/>
  <c r="H176" i="35"/>
  <c r="H168" i="35"/>
  <c r="H201" i="35"/>
  <c r="H181" i="35"/>
  <c r="H173" i="35"/>
  <c r="H186" i="35"/>
  <c r="H178" i="35"/>
  <c r="H170" i="35"/>
  <c r="H205" i="35"/>
  <c r="H189" i="35"/>
  <c r="H183" i="35"/>
  <c r="H175" i="35"/>
  <c r="H167" i="35"/>
  <c r="H180" i="35"/>
  <c r="H172" i="35"/>
  <c r="H209" i="35"/>
  <c r="H193" i="35"/>
  <c r="H185" i="35"/>
  <c r="H177" i="35"/>
  <c r="H169" i="35"/>
  <c r="H174" i="35"/>
  <c r="H182" i="35"/>
  <c r="G115" i="41"/>
  <c r="G49" i="41" s="1"/>
  <c r="H77" i="47"/>
  <c r="H83" i="47"/>
  <c r="H86" i="47"/>
  <c r="H87" i="47"/>
  <c r="H85" i="47"/>
  <c r="H84" i="47"/>
  <c r="H80" i="47"/>
  <c r="H79" i="47"/>
  <c r="H82" i="47"/>
  <c r="H78" i="47"/>
  <c r="H81" i="47"/>
  <c r="H262" i="47"/>
  <c r="H254" i="47"/>
  <c r="H246" i="47"/>
  <c r="H238" i="47"/>
  <c r="H259" i="47"/>
  <c r="H251" i="47"/>
  <c r="H243" i="47"/>
  <c r="H235" i="47"/>
  <c r="H261" i="47"/>
  <c r="H253" i="47"/>
  <c r="H245" i="47"/>
  <c r="H237" i="47"/>
  <c r="H258" i="47"/>
  <c r="H250" i="47"/>
  <c r="H242" i="47"/>
  <c r="H263" i="47"/>
  <c r="H255" i="47"/>
  <c r="H247" i="47"/>
  <c r="H239" i="47"/>
  <c r="H241" i="47"/>
  <c r="H236" i="47"/>
  <c r="H227" i="47"/>
  <c r="H256" i="47"/>
  <c r="H232" i="47"/>
  <c r="H224" i="47"/>
  <c r="H249" i="47"/>
  <c r="H244" i="47"/>
  <c r="H229" i="47"/>
  <c r="H221" i="47"/>
  <c r="H264" i="47"/>
  <c r="H234" i="47"/>
  <c r="H226" i="47"/>
  <c r="H257" i="47"/>
  <c r="H252" i="47"/>
  <c r="H231" i="47"/>
  <c r="H223" i="47"/>
  <c r="H240" i="47"/>
  <c r="H228" i="47"/>
  <c r="H220" i="47"/>
  <c r="H265" i="47"/>
  <c r="H260" i="47"/>
  <c r="H233" i="47"/>
  <c r="H225" i="47"/>
  <c r="H230" i="47"/>
  <c r="H222" i="47"/>
  <c r="H248" i="47"/>
  <c r="H202" i="47"/>
  <c r="H194" i="47"/>
  <c r="H186" i="47"/>
  <c r="H178" i="47"/>
  <c r="H170" i="47"/>
  <c r="H207" i="47"/>
  <c r="H199" i="47"/>
  <c r="H191" i="47"/>
  <c r="H183" i="47"/>
  <c r="H175" i="47"/>
  <c r="H167" i="47"/>
  <c r="H204" i="47"/>
  <c r="H196" i="47"/>
  <c r="H188" i="47"/>
  <c r="H180" i="47"/>
  <c r="H172" i="47"/>
  <c r="H209" i="47"/>
  <c r="H201" i="47"/>
  <c r="H193" i="47"/>
  <c r="H185" i="47"/>
  <c r="H177" i="47"/>
  <c r="H169" i="47"/>
  <c r="H206" i="47"/>
  <c r="H198" i="47"/>
  <c r="H190" i="47"/>
  <c r="H182" i="47"/>
  <c r="H174" i="47"/>
  <c r="H203" i="47"/>
  <c r="H195" i="47"/>
  <c r="H187" i="47"/>
  <c r="H179" i="47"/>
  <c r="H171" i="47"/>
  <c r="H208" i="47"/>
  <c r="H200" i="47"/>
  <c r="H192" i="47"/>
  <c r="H184" i="47"/>
  <c r="H176" i="47"/>
  <c r="H168" i="47"/>
  <c r="H189" i="47"/>
  <c r="H181" i="47"/>
  <c r="H205" i="47"/>
  <c r="H173" i="47"/>
  <c r="H197" i="47"/>
  <c r="H71" i="5"/>
  <c r="CI169" i="23"/>
  <c r="CE177" i="23" s="1"/>
  <c r="CI172" i="23"/>
  <c r="CE174" i="23" s="1"/>
  <c r="W177" i="26"/>
  <c r="X177" i="26" s="1"/>
  <c r="H72" i="29"/>
  <c r="H264" i="29"/>
  <c r="H256" i="29"/>
  <c r="H248" i="29"/>
  <c r="H240" i="29"/>
  <c r="H232" i="29"/>
  <c r="H224" i="29"/>
  <c r="H261" i="29"/>
  <c r="H253" i="29"/>
  <c r="H245" i="29"/>
  <c r="H237" i="29"/>
  <c r="H229" i="29"/>
  <c r="H221" i="29"/>
  <c r="H258" i="29"/>
  <c r="H250" i="29"/>
  <c r="H242" i="29"/>
  <c r="H234" i="29"/>
  <c r="H226" i="29"/>
  <c r="H263" i="29"/>
  <c r="H255" i="29"/>
  <c r="H247" i="29"/>
  <c r="H239" i="29"/>
  <c r="H231" i="29"/>
  <c r="H223" i="29"/>
  <c r="H260" i="29"/>
  <c r="H252" i="29"/>
  <c r="H244" i="29"/>
  <c r="H236" i="29"/>
  <c r="H228" i="29"/>
  <c r="H220" i="29"/>
  <c r="H243" i="29"/>
  <c r="H238" i="29"/>
  <c r="H241" i="29"/>
  <c r="H251" i="29"/>
  <c r="H246" i="29"/>
  <c r="H249" i="29"/>
  <c r="H259" i="29"/>
  <c r="H254" i="29"/>
  <c r="H227" i="29"/>
  <c r="H222" i="29"/>
  <c r="H257" i="29"/>
  <c r="H225" i="29"/>
  <c r="H262" i="29"/>
  <c r="H235" i="29"/>
  <c r="H230" i="29"/>
  <c r="H265" i="29"/>
  <c r="H233" i="29"/>
  <c r="H207" i="29"/>
  <c r="H199" i="29"/>
  <c r="H191" i="29"/>
  <c r="H183" i="29"/>
  <c r="H175" i="29"/>
  <c r="H167" i="29"/>
  <c r="H209" i="29"/>
  <c r="H201" i="29"/>
  <c r="H193" i="29"/>
  <c r="H185" i="29"/>
  <c r="H177" i="29"/>
  <c r="H169" i="29"/>
  <c r="H206" i="29"/>
  <c r="H198" i="29"/>
  <c r="H190" i="29"/>
  <c r="H203" i="29"/>
  <c r="H195" i="29"/>
  <c r="H187" i="29"/>
  <c r="H179" i="29"/>
  <c r="H171" i="29"/>
  <c r="H208" i="29"/>
  <c r="H200" i="29"/>
  <c r="H192" i="29"/>
  <c r="H184" i="29"/>
  <c r="H176" i="29"/>
  <c r="H168" i="29"/>
  <c r="H204" i="29"/>
  <c r="H194" i="29"/>
  <c r="H182" i="29"/>
  <c r="H174" i="29"/>
  <c r="H197" i="29"/>
  <c r="H186" i="29"/>
  <c r="H178" i="29"/>
  <c r="H170" i="29"/>
  <c r="H202" i="29"/>
  <c r="H205" i="29"/>
  <c r="H188" i="29"/>
  <c r="H180" i="29"/>
  <c r="H172" i="29"/>
  <c r="H196" i="29"/>
  <c r="H181" i="29"/>
  <c r="H173" i="29"/>
  <c r="H189" i="29"/>
  <c r="H75" i="29"/>
  <c r="H77" i="32"/>
  <c r="H258" i="32"/>
  <c r="H250" i="32"/>
  <c r="H242" i="32"/>
  <c r="H234" i="32"/>
  <c r="H226" i="32"/>
  <c r="H263" i="32"/>
  <c r="H255" i="32"/>
  <c r="H247" i="32"/>
  <c r="H239" i="32"/>
  <c r="H231" i="32"/>
  <c r="H223" i="32"/>
  <c r="H260" i="32"/>
  <c r="H252" i="32"/>
  <c r="H244" i="32"/>
  <c r="H236" i="32"/>
  <c r="H228" i="32"/>
  <c r="H220" i="32"/>
  <c r="H265" i="32"/>
  <c r="H257" i="32"/>
  <c r="H249" i="32"/>
  <c r="H241" i="32"/>
  <c r="H233" i="32"/>
  <c r="H225" i="32"/>
  <c r="H262" i="32"/>
  <c r="H254" i="32"/>
  <c r="H246" i="32"/>
  <c r="H238" i="32"/>
  <c r="H230" i="32"/>
  <c r="H222" i="32"/>
  <c r="H261" i="32"/>
  <c r="H256" i="32"/>
  <c r="H229" i="32"/>
  <c r="H224" i="32"/>
  <c r="H259" i="32"/>
  <c r="H227" i="32"/>
  <c r="H264" i="32"/>
  <c r="H237" i="32"/>
  <c r="H232" i="32"/>
  <c r="H235" i="32"/>
  <c r="H245" i="32"/>
  <c r="H240" i="32"/>
  <c r="H243" i="32"/>
  <c r="H253" i="32"/>
  <c r="H248" i="32"/>
  <c r="H221" i="32"/>
  <c r="H251" i="32"/>
  <c r="H209" i="32"/>
  <c r="H201" i="32"/>
  <c r="H193" i="32"/>
  <c r="H185" i="32"/>
  <c r="H177" i="32"/>
  <c r="H169" i="32"/>
  <c r="H203" i="32"/>
  <c r="H195" i="32"/>
  <c r="H187" i="32"/>
  <c r="H179" i="32"/>
  <c r="H171" i="32"/>
  <c r="H208" i="32"/>
  <c r="H200" i="32"/>
  <c r="H192" i="32"/>
  <c r="H184" i="32"/>
  <c r="H176" i="32"/>
  <c r="H168" i="32"/>
  <c r="H205" i="32"/>
  <c r="H197" i="32"/>
  <c r="H189" i="32"/>
  <c r="H181" i="32"/>
  <c r="H173" i="32"/>
  <c r="H202" i="32"/>
  <c r="H194" i="32"/>
  <c r="H186" i="32"/>
  <c r="H178" i="32"/>
  <c r="H170" i="32"/>
  <c r="H198" i="32"/>
  <c r="H188" i="32"/>
  <c r="H191" i="32"/>
  <c r="H206" i="32"/>
  <c r="H196" i="32"/>
  <c r="H174" i="32"/>
  <c r="H199" i="32"/>
  <c r="H167" i="32"/>
  <c r="H204" i="32"/>
  <c r="H182" i="32"/>
  <c r="H172" i="32"/>
  <c r="H190" i="32"/>
  <c r="H180" i="32"/>
  <c r="H207" i="32"/>
  <c r="H175" i="32"/>
  <c r="H183" i="32"/>
  <c r="H83" i="32"/>
  <c r="H78" i="32"/>
  <c r="H84" i="32"/>
  <c r="H81" i="32"/>
  <c r="H79" i="32"/>
  <c r="H82" i="32"/>
  <c r="H80" i="32"/>
  <c r="G115" i="35"/>
  <c r="G49" i="35" s="1"/>
  <c r="H69" i="38"/>
  <c r="CI169" i="38"/>
  <c r="CE177" i="38" s="1"/>
  <c r="BZ161" i="38" s="1"/>
  <c r="H69" i="41"/>
  <c r="BH166" i="41"/>
  <c r="W174" i="41"/>
  <c r="X174" i="41" s="1"/>
  <c r="W177" i="41"/>
  <c r="X177" i="41" s="1"/>
  <c r="H263" i="44"/>
  <c r="H255" i="44"/>
  <c r="H260" i="44"/>
  <c r="H265" i="44"/>
  <c r="H257" i="44"/>
  <c r="H259" i="44"/>
  <c r="H264" i="44"/>
  <c r="H256" i="44"/>
  <c r="H261" i="44"/>
  <c r="H254" i="44"/>
  <c r="H249" i="44"/>
  <c r="H241" i="44"/>
  <c r="H233" i="44"/>
  <c r="H225" i="44"/>
  <c r="H246" i="44"/>
  <c r="H238" i="44"/>
  <c r="H230" i="44"/>
  <c r="H222" i="44"/>
  <c r="H258" i="44"/>
  <c r="H251" i="44"/>
  <c r="H243" i="44"/>
  <c r="H235" i="44"/>
  <c r="H227" i="44"/>
  <c r="H248" i="44"/>
  <c r="H240" i="44"/>
  <c r="H232" i="44"/>
  <c r="H224" i="44"/>
  <c r="H262" i="44"/>
  <c r="H245" i="44"/>
  <c r="H237" i="44"/>
  <c r="H229" i="44"/>
  <c r="H221" i="44"/>
  <c r="H253" i="44"/>
  <c r="H250" i="44"/>
  <c r="H242" i="44"/>
  <c r="H234" i="44"/>
  <c r="H226" i="44"/>
  <c r="H247" i="44"/>
  <c r="H239" i="44"/>
  <c r="H231" i="44"/>
  <c r="H223" i="44"/>
  <c r="H236" i="44"/>
  <c r="H228" i="44"/>
  <c r="H252" i="44"/>
  <c r="H220" i="44"/>
  <c r="H244" i="44"/>
  <c r="H207" i="44"/>
  <c r="H199" i="44"/>
  <c r="H191" i="44"/>
  <c r="H183" i="44"/>
  <c r="H175" i="44"/>
  <c r="H167" i="44"/>
  <c r="H204" i="44"/>
  <c r="H196" i="44"/>
  <c r="H188" i="44"/>
  <c r="H180" i="44"/>
  <c r="H172" i="44"/>
  <c r="H209" i="44"/>
  <c r="H201" i="44"/>
  <c r="H193" i="44"/>
  <c r="H185" i="44"/>
  <c r="H177" i="44"/>
  <c r="H169" i="44"/>
  <c r="H206" i="44"/>
  <c r="H198" i="44"/>
  <c r="H190" i="44"/>
  <c r="H182" i="44"/>
  <c r="H174" i="44"/>
  <c r="H203" i="44"/>
  <c r="H195" i="44"/>
  <c r="H187" i="44"/>
  <c r="H179" i="44"/>
  <c r="H171" i="44"/>
  <c r="H205" i="44"/>
  <c r="H197" i="44"/>
  <c r="H189" i="44"/>
  <c r="H181" i="44"/>
  <c r="H173" i="44"/>
  <c r="H208" i="44"/>
  <c r="H192" i="44"/>
  <c r="H176" i="44"/>
  <c r="H186" i="44"/>
  <c r="H170" i="44"/>
  <c r="H194" i="44"/>
  <c r="H178" i="44"/>
  <c r="H200" i="44"/>
  <c r="H184" i="44"/>
  <c r="H168" i="44"/>
  <c r="H202" i="44"/>
  <c r="W170" i="50"/>
  <c r="X170" i="50" s="1"/>
  <c r="H69" i="5"/>
  <c r="H260" i="5"/>
  <c r="H252" i="5"/>
  <c r="H244" i="5"/>
  <c r="H236" i="5"/>
  <c r="H228" i="5"/>
  <c r="H265" i="5"/>
  <c r="H257" i="5"/>
  <c r="H249" i="5"/>
  <c r="H241" i="5"/>
  <c r="H233" i="5"/>
  <c r="H225" i="5"/>
  <c r="H262" i="5"/>
  <c r="H254" i="5"/>
  <c r="H246" i="5"/>
  <c r="H238" i="5"/>
  <c r="H230" i="5"/>
  <c r="H222" i="5"/>
  <c r="H259" i="5"/>
  <c r="H251" i="5"/>
  <c r="H243" i="5"/>
  <c r="H235" i="5"/>
  <c r="H264" i="5"/>
  <c r="H256" i="5"/>
  <c r="H248" i="5"/>
  <c r="H240" i="5"/>
  <c r="H232" i="5"/>
  <c r="H224" i="5"/>
  <c r="H261" i="5"/>
  <c r="H253" i="5"/>
  <c r="H245" i="5"/>
  <c r="H237" i="5"/>
  <c r="H229" i="5"/>
  <c r="H221" i="5"/>
  <c r="H266" i="5"/>
  <c r="H258" i="5"/>
  <c r="H250" i="5"/>
  <c r="H242" i="5"/>
  <c r="H234" i="5"/>
  <c r="H226" i="5"/>
  <c r="H247" i="5"/>
  <c r="H231" i="5"/>
  <c r="H239" i="5"/>
  <c r="H263" i="5"/>
  <c r="H223" i="5"/>
  <c r="H255" i="5"/>
  <c r="H227" i="5"/>
  <c r="H206" i="5"/>
  <c r="H198" i="5"/>
  <c r="H190" i="5"/>
  <c r="H182" i="5"/>
  <c r="H174" i="5"/>
  <c r="H203" i="5"/>
  <c r="H195" i="5"/>
  <c r="H187" i="5"/>
  <c r="H179" i="5"/>
  <c r="H171" i="5"/>
  <c r="H208" i="5"/>
  <c r="H200" i="5"/>
  <c r="H192" i="5"/>
  <c r="H184" i="5"/>
  <c r="H176" i="5"/>
  <c r="H168" i="5"/>
  <c r="H205" i="5"/>
  <c r="H197" i="5"/>
  <c r="H189" i="5"/>
  <c r="H181" i="5"/>
  <c r="H173" i="5"/>
  <c r="H210" i="5"/>
  <c r="H202" i="5"/>
  <c r="H194" i="5"/>
  <c r="H186" i="5"/>
  <c r="H178" i="5"/>
  <c r="H170" i="5"/>
  <c r="H204" i="5"/>
  <c r="H196" i="5"/>
  <c r="H188" i="5"/>
  <c r="H180" i="5"/>
  <c r="H172" i="5"/>
  <c r="H199" i="5"/>
  <c r="H183" i="5"/>
  <c r="H209" i="5"/>
  <c r="H177" i="5"/>
  <c r="H201" i="5"/>
  <c r="H185" i="5"/>
  <c r="H169" i="5"/>
  <c r="H193" i="5"/>
  <c r="H207" i="5"/>
  <c r="H191" i="5"/>
  <c r="H175" i="5"/>
  <c r="I77" i="29"/>
  <c r="I261" i="29"/>
  <c r="I253" i="29"/>
  <c r="I245" i="29"/>
  <c r="I237" i="29"/>
  <c r="I229" i="29"/>
  <c r="I221" i="29"/>
  <c r="I258" i="29"/>
  <c r="I250" i="29"/>
  <c r="I242" i="29"/>
  <c r="I234" i="29"/>
  <c r="I226" i="29"/>
  <c r="I263" i="29"/>
  <c r="I255" i="29"/>
  <c r="I247" i="29"/>
  <c r="I239" i="29"/>
  <c r="I231" i="29"/>
  <c r="I223" i="29"/>
  <c r="I260" i="29"/>
  <c r="I252" i="29"/>
  <c r="I244" i="29"/>
  <c r="I236" i="29"/>
  <c r="I228" i="29"/>
  <c r="I220" i="29"/>
  <c r="I265" i="29"/>
  <c r="I257" i="29"/>
  <c r="I249" i="29"/>
  <c r="I241" i="29"/>
  <c r="I233" i="29"/>
  <c r="I225" i="29"/>
  <c r="I248" i="29"/>
  <c r="I251" i="29"/>
  <c r="I246" i="29"/>
  <c r="I256" i="29"/>
  <c r="I224" i="29"/>
  <c r="I259" i="29"/>
  <c r="I254" i="29"/>
  <c r="I227" i="29"/>
  <c r="I222" i="29"/>
  <c r="I264" i="29"/>
  <c r="I232" i="29"/>
  <c r="I262" i="29"/>
  <c r="I235" i="29"/>
  <c r="I230" i="29"/>
  <c r="I240" i="29"/>
  <c r="I243" i="29"/>
  <c r="I238" i="29"/>
  <c r="I204" i="29"/>
  <c r="I196" i="29"/>
  <c r="I188" i="29"/>
  <c r="I180" i="29"/>
  <c r="I172" i="29"/>
  <c r="I206" i="29"/>
  <c r="I198" i="29"/>
  <c r="I190" i="29"/>
  <c r="I182" i="29"/>
  <c r="I174" i="29"/>
  <c r="I203" i="29"/>
  <c r="I195" i="29"/>
  <c r="I208" i="29"/>
  <c r="I200" i="29"/>
  <c r="I192" i="29"/>
  <c r="I184" i="29"/>
  <c r="I176" i="29"/>
  <c r="I168" i="29"/>
  <c r="I205" i="29"/>
  <c r="I197" i="29"/>
  <c r="I189" i="29"/>
  <c r="I181" i="29"/>
  <c r="I173" i="29"/>
  <c r="I199" i="29"/>
  <c r="I186" i="29"/>
  <c r="I178" i="29"/>
  <c r="I170" i="29"/>
  <c r="I209" i="29"/>
  <c r="I202" i="29"/>
  <c r="I207" i="29"/>
  <c r="I187" i="29"/>
  <c r="I183" i="29"/>
  <c r="I179" i="29"/>
  <c r="I175" i="29"/>
  <c r="I171" i="29"/>
  <c r="I167" i="29"/>
  <c r="I191" i="29"/>
  <c r="I185" i="29"/>
  <c r="I194" i="29"/>
  <c r="I193" i="29"/>
  <c r="I201" i="29"/>
  <c r="I177" i="29"/>
  <c r="I169" i="29"/>
  <c r="W176" i="38"/>
  <c r="X176" i="38" s="1"/>
  <c r="BM166" i="29"/>
  <c r="BL166" i="38"/>
  <c r="W170" i="41"/>
  <c r="X170" i="41" s="1"/>
  <c r="W183" i="44"/>
  <c r="X183" i="44" s="1"/>
  <c r="W189" i="44"/>
  <c r="X189" i="44" s="1"/>
  <c r="W203" i="44"/>
  <c r="X203" i="44" s="1"/>
  <c r="I76" i="50"/>
  <c r="H262" i="50"/>
  <c r="H254" i="50"/>
  <c r="H259" i="50"/>
  <c r="H251" i="50"/>
  <c r="H264" i="50"/>
  <c r="H256" i="50"/>
  <c r="H248" i="50"/>
  <c r="H261" i="50"/>
  <c r="H253" i="50"/>
  <c r="H258" i="50"/>
  <c r="H250" i="50"/>
  <c r="H263" i="50"/>
  <c r="H255" i="50"/>
  <c r="H247" i="50"/>
  <c r="H260" i="50"/>
  <c r="H252" i="50"/>
  <c r="H240" i="50"/>
  <c r="H232" i="50"/>
  <c r="H224" i="50"/>
  <c r="H245" i="50"/>
  <c r="H237" i="50"/>
  <c r="H229" i="50"/>
  <c r="H221" i="50"/>
  <c r="H265" i="50"/>
  <c r="H242" i="50"/>
  <c r="H234" i="50"/>
  <c r="H226" i="50"/>
  <c r="H239" i="50"/>
  <c r="H231" i="50"/>
  <c r="H223" i="50"/>
  <c r="H257" i="50"/>
  <c r="H244" i="50"/>
  <c r="H236" i="50"/>
  <c r="H228" i="50"/>
  <c r="H220" i="50"/>
  <c r="H241" i="50"/>
  <c r="H233" i="50"/>
  <c r="H225" i="50"/>
  <c r="H249" i="50"/>
  <c r="H246" i="50"/>
  <c r="H238" i="50"/>
  <c r="H227" i="50"/>
  <c r="H222" i="50"/>
  <c r="H243" i="50"/>
  <c r="H230" i="50"/>
  <c r="H235" i="50"/>
  <c r="H206" i="50"/>
  <c r="H198" i="50"/>
  <c r="H190" i="50"/>
  <c r="H182" i="50"/>
  <c r="H203" i="50"/>
  <c r="H195" i="50"/>
  <c r="H187" i="50"/>
  <c r="H179" i="50"/>
  <c r="H208" i="50"/>
  <c r="H200" i="50"/>
  <c r="H192" i="50"/>
  <c r="H184" i="50"/>
  <c r="H176" i="50"/>
  <c r="H202" i="50"/>
  <c r="H194" i="50"/>
  <c r="H186" i="50"/>
  <c r="H178" i="50"/>
  <c r="H207" i="50"/>
  <c r="H199" i="50"/>
  <c r="H191" i="50"/>
  <c r="H183" i="50"/>
  <c r="H204" i="50"/>
  <c r="H196" i="50"/>
  <c r="H188" i="50"/>
  <c r="H180" i="50"/>
  <c r="H175" i="50"/>
  <c r="H172" i="50"/>
  <c r="H193" i="50"/>
  <c r="H177" i="50"/>
  <c r="H169" i="50"/>
  <c r="H174" i="50"/>
  <c r="H209" i="50"/>
  <c r="H197" i="50"/>
  <c r="H181" i="50"/>
  <c r="H171" i="50"/>
  <c r="H168" i="50"/>
  <c r="H201" i="50"/>
  <c r="H185" i="50"/>
  <c r="H173" i="50"/>
  <c r="H170" i="50"/>
  <c r="H167" i="50"/>
  <c r="H189" i="50"/>
  <c r="H205" i="50"/>
  <c r="H73" i="50"/>
  <c r="W169" i="50"/>
  <c r="X169" i="50" s="1"/>
  <c r="W177" i="50"/>
  <c r="X177" i="50" s="1"/>
  <c r="BO166" i="47"/>
  <c r="H76" i="53"/>
  <c r="H83" i="53"/>
  <c r="H78" i="53"/>
  <c r="H86" i="53"/>
  <c r="H81" i="53"/>
  <c r="H80" i="53"/>
  <c r="H84" i="53"/>
  <c r="H87" i="53"/>
  <c r="H82" i="53"/>
  <c r="H79" i="53"/>
  <c r="H85" i="53"/>
  <c r="H88" i="53"/>
  <c r="H264" i="53"/>
  <c r="H256" i="53"/>
  <c r="H248" i="53"/>
  <c r="H240" i="53"/>
  <c r="H232" i="53"/>
  <c r="H224" i="53"/>
  <c r="H261" i="53"/>
  <c r="H253" i="53"/>
  <c r="H245" i="53"/>
  <c r="H237" i="53"/>
  <c r="H229" i="53"/>
  <c r="H221" i="53"/>
  <c r="H258" i="53"/>
  <c r="H250" i="53"/>
  <c r="H242" i="53"/>
  <c r="H234" i="53"/>
  <c r="H226" i="53"/>
  <c r="H263" i="53"/>
  <c r="H255" i="53"/>
  <c r="H247" i="53"/>
  <c r="H239" i="53"/>
  <c r="H231" i="53"/>
  <c r="H223" i="53"/>
  <c r="H260" i="53"/>
  <c r="H252" i="53"/>
  <c r="H244" i="53"/>
  <c r="H236" i="53"/>
  <c r="H228" i="53"/>
  <c r="H220" i="53"/>
  <c r="H265" i="53"/>
  <c r="H257" i="53"/>
  <c r="H249" i="53"/>
  <c r="H241" i="53"/>
  <c r="H233" i="53"/>
  <c r="H225" i="53"/>
  <c r="H262" i="53"/>
  <c r="H254" i="53"/>
  <c r="H246" i="53"/>
  <c r="H238" i="53"/>
  <c r="H230" i="53"/>
  <c r="H222" i="53"/>
  <c r="H259" i="53"/>
  <c r="H227" i="53"/>
  <c r="H251" i="53"/>
  <c r="H243" i="53"/>
  <c r="H235" i="53"/>
  <c r="H208" i="53"/>
  <c r="H200" i="53"/>
  <c r="H192" i="53"/>
  <c r="H184" i="53"/>
  <c r="H176" i="53"/>
  <c r="H168" i="53"/>
  <c r="H205" i="53"/>
  <c r="H197" i="53"/>
  <c r="H189" i="53"/>
  <c r="H181" i="53"/>
  <c r="H173" i="53"/>
  <c r="H202" i="53"/>
  <c r="H194" i="53"/>
  <c r="H186" i="53"/>
  <c r="H178" i="53"/>
  <c r="H170" i="53"/>
  <c r="H207" i="53"/>
  <c r="H199" i="53"/>
  <c r="H191" i="53"/>
  <c r="H183" i="53"/>
  <c r="H175" i="53"/>
  <c r="H167" i="53"/>
  <c r="H204" i="53"/>
  <c r="H196" i="53"/>
  <c r="H188" i="53"/>
  <c r="H180" i="53"/>
  <c r="H172" i="53"/>
  <c r="H209" i="53"/>
  <c r="H201" i="53"/>
  <c r="H193" i="53"/>
  <c r="H185" i="53"/>
  <c r="H177" i="53"/>
  <c r="H169" i="53"/>
  <c r="H206" i="53"/>
  <c r="H198" i="53"/>
  <c r="H190" i="53"/>
  <c r="H182" i="53"/>
  <c r="H174" i="53"/>
  <c r="H195" i="53"/>
  <c r="H187" i="53"/>
  <c r="H179" i="53"/>
  <c r="H203" i="53"/>
  <c r="H171" i="53"/>
  <c r="H76" i="5"/>
  <c r="BL166" i="26"/>
  <c r="W174" i="26"/>
  <c r="X174" i="26" s="1"/>
  <c r="BY160" i="11"/>
  <c r="G115" i="23"/>
  <c r="G49" i="23" s="1"/>
  <c r="H69" i="29"/>
  <c r="H73" i="29"/>
  <c r="BJ166" i="35"/>
  <c r="H71" i="38"/>
  <c r="H71" i="41"/>
  <c r="W173" i="41"/>
  <c r="X173" i="41" s="1"/>
  <c r="BO166" i="44"/>
  <c r="W170" i="44"/>
  <c r="X170" i="44" s="1"/>
  <c r="BM166" i="47"/>
  <c r="G115" i="50"/>
  <c r="G49" i="50" s="1"/>
  <c r="G116" i="5"/>
  <c r="G49" i="5" s="1"/>
  <c r="G115" i="32"/>
  <c r="G49" i="32" s="1"/>
  <c r="G115" i="47"/>
  <c r="G49" i="47" s="1"/>
  <c r="W176" i="26"/>
  <c r="X176" i="26" s="1"/>
  <c r="H77" i="8"/>
  <c r="H73" i="5"/>
  <c r="H77" i="5"/>
  <c r="BM166" i="23"/>
  <c r="H76" i="26"/>
  <c r="H261" i="26"/>
  <c r="H263" i="26"/>
  <c r="H260" i="26"/>
  <c r="H265" i="26"/>
  <c r="H262" i="26"/>
  <c r="H254" i="26"/>
  <c r="H246" i="26"/>
  <c r="H238" i="26"/>
  <c r="H230" i="26"/>
  <c r="H222" i="26"/>
  <c r="H251" i="26"/>
  <c r="H243" i="26"/>
  <c r="H235" i="26"/>
  <c r="H227" i="26"/>
  <c r="H256" i="26"/>
  <c r="H248" i="26"/>
  <c r="H240" i="26"/>
  <c r="H232" i="26"/>
  <c r="H224" i="26"/>
  <c r="H253" i="26"/>
  <c r="H245" i="26"/>
  <c r="H237" i="26"/>
  <c r="H229" i="26"/>
  <c r="H221" i="26"/>
  <c r="H264" i="26"/>
  <c r="H258" i="26"/>
  <c r="H250" i="26"/>
  <c r="H242" i="26"/>
  <c r="H234" i="26"/>
  <c r="H226" i="26"/>
  <c r="H259" i="26"/>
  <c r="H255" i="26"/>
  <c r="H247" i="26"/>
  <c r="H239" i="26"/>
  <c r="H231" i="26"/>
  <c r="H223" i="26"/>
  <c r="H252" i="26"/>
  <c r="H244" i="26"/>
  <c r="H236" i="26"/>
  <c r="H228" i="26"/>
  <c r="H220" i="26"/>
  <c r="H233" i="26"/>
  <c r="H257" i="26"/>
  <c r="H225" i="26"/>
  <c r="H249" i="26"/>
  <c r="H241" i="26"/>
  <c r="H207" i="26"/>
  <c r="H199" i="26"/>
  <c r="H191" i="26"/>
  <c r="H183" i="26"/>
  <c r="H175" i="26"/>
  <c r="H167" i="26"/>
  <c r="H204" i="26"/>
  <c r="H196" i="26"/>
  <c r="H188" i="26"/>
  <c r="H180" i="26"/>
  <c r="H172" i="26"/>
  <c r="H209" i="26"/>
  <c r="H201" i="26"/>
  <c r="H193" i="26"/>
  <c r="H185" i="26"/>
  <c r="H177" i="26"/>
  <c r="H169" i="26"/>
  <c r="H203" i="26"/>
  <c r="H195" i="26"/>
  <c r="H187" i="26"/>
  <c r="H179" i="26"/>
  <c r="H171" i="26"/>
  <c r="H208" i="26"/>
  <c r="H200" i="26"/>
  <c r="H192" i="26"/>
  <c r="H184" i="26"/>
  <c r="H176" i="26"/>
  <c r="H168" i="26"/>
  <c r="H205" i="26"/>
  <c r="H197" i="26"/>
  <c r="H189" i="26"/>
  <c r="H181" i="26"/>
  <c r="H173" i="26"/>
  <c r="H206" i="26"/>
  <c r="H190" i="26"/>
  <c r="H174" i="26"/>
  <c r="H194" i="26"/>
  <c r="H178" i="26"/>
  <c r="H198" i="26"/>
  <c r="H182" i="26"/>
  <c r="H202" i="26"/>
  <c r="H186" i="26"/>
  <c r="H170" i="26"/>
  <c r="I69" i="29"/>
  <c r="I73" i="29"/>
  <c r="H77" i="29"/>
  <c r="CI173" i="32"/>
  <c r="CE173" i="32" s="1"/>
  <c r="W175" i="41"/>
  <c r="X175" i="41" s="1"/>
  <c r="H77" i="44"/>
  <c r="H69" i="50"/>
  <c r="W176" i="50"/>
  <c r="X176" i="50" s="1"/>
  <c r="G115" i="44"/>
  <c r="G49" i="44" s="1"/>
  <c r="H72" i="5"/>
  <c r="H72" i="23"/>
  <c r="H260" i="23"/>
  <c r="H252" i="23"/>
  <c r="H244" i="23"/>
  <c r="H236" i="23"/>
  <c r="H228" i="23"/>
  <c r="H220" i="23"/>
  <c r="H265" i="23"/>
  <c r="H257" i="23"/>
  <c r="H249" i="23"/>
  <c r="H241" i="23"/>
  <c r="H233" i="23"/>
  <c r="H225" i="23"/>
  <c r="H262" i="23"/>
  <c r="H254" i="23"/>
  <c r="H246" i="23"/>
  <c r="H238" i="23"/>
  <c r="H230" i="23"/>
  <c r="H222" i="23"/>
  <c r="H259" i="23"/>
  <c r="H251" i="23"/>
  <c r="H243" i="23"/>
  <c r="H235" i="23"/>
  <c r="H227" i="23"/>
  <c r="H264" i="23"/>
  <c r="H256" i="23"/>
  <c r="H248" i="23"/>
  <c r="H240" i="23"/>
  <c r="H232" i="23"/>
  <c r="H224" i="23"/>
  <c r="H261" i="23"/>
  <c r="H253" i="23"/>
  <c r="H245" i="23"/>
  <c r="H237" i="23"/>
  <c r="H229" i="23"/>
  <c r="H221" i="23"/>
  <c r="H258" i="23"/>
  <c r="H250" i="23"/>
  <c r="H242" i="23"/>
  <c r="H234" i="23"/>
  <c r="H226" i="23"/>
  <c r="H247" i="23"/>
  <c r="H239" i="23"/>
  <c r="H263" i="23"/>
  <c r="H231" i="23"/>
  <c r="H223" i="23"/>
  <c r="H255" i="23"/>
  <c r="H205" i="23"/>
  <c r="H207" i="23"/>
  <c r="H209" i="23"/>
  <c r="H206" i="23"/>
  <c r="H197" i="23"/>
  <c r="H189" i="23"/>
  <c r="H181" i="23"/>
  <c r="H173" i="23"/>
  <c r="H199" i="23"/>
  <c r="H191" i="23"/>
  <c r="H183" i="23"/>
  <c r="H175" i="23"/>
  <c r="H167" i="23"/>
  <c r="H204" i="23"/>
  <c r="H196" i="23"/>
  <c r="H188" i="23"/>
  <c r="H180" i="23"/>
  <c r="H172" i="23"/>
  <c r="H201" i="23"/>
  <c r="H193" i="23"/>
  <c r="H185" i="23"/>
  <c r="H177" i="23"/>
  <c r="H169" i="23"/>
  <c r="H198" i="23"/>
  <c r="H190" i="23"/>
  <c r="H182" i="23"/>
  <c r="H174" i="23"/>
  <c r="H203" i="23"/>
  <c r="H195" i="23"/>
  <c r="H187" i="23"/>
  <c r="H179" i="23"/>
  <c r="H208" i="23"/>
  <c r="H192" i="23"/>
  <c r="H170" i="23"/>
  <c r="H194" i="23"/>
  <c r="H178" i="23"/>
  <c r="H168" i="23"/>
  <c r="H200" i="23"/>
  <c r="H184" i="23"/>
  <c r="H176" i="23"/>
  <c r="H202" i="23"/>
  <c r="H186" i="23"/>
  <c r="H171" i="23"/>
  <c r="G115" i="29"/>
  <c r="G49" i="29" s="1"/>
  <c r="BP157" i="1"/>
  <c r="BV158" i="1" s="1"/>
  <c r="BN157" i="1" s="1"/>
  <c r="G115" i="1"/>
  <c r="G49" i="1" s="1"/>
  <c r="BP158" i="23"/>
  <c r="BV163" i="23" s="1"/>
  <c r="BN158" i="23" s="1"/>
  <c r="W171" i="23"/>
  <c r="X171" i="23" s="1"/>
  <c r="CJ173" i="23"/>
  <c r="CF173" i="23" s="1"/>
  <c r="CJ176" i="23"/>
  <c r="CF170" i="23" s="1"/>
  <c r="H73" i="26"/>
  <c r="W169" i="44"/>
  <c r="X169" i="44" s="1"/>
  <c r="W199" i="44"/>
  <c r="X199" i="44" s="1"/>
  <c r="W205" i="44"/>
  <c r="X205" i="44" s="1"/>
  <c r="H75" i="50"/>
  <c r="G115" i="38"/>
  <c r="G49" i="38" s="1"/>
  <c r="H73" i="8"/>
  <c r="H70" i="5"/>
  <c r="H74" i="5"/>
  <c r="BK166" i="23"/>
  <c r="W174" i="23"/>
  <c r="X174" i="23" s="1"/>
  <c r="W177" i="23"/>
  <c r="X177" i="23" s="1"/>
  <c r="G115" i="26"/>
  <c r="G49" i="26" s="1"/>
  <c r="H74" i="29"/>
  <c r="H265" i="38"/>
  <c r="H257" i="38"/>
  <c r="H249" i="38"/>
  <c r="H241" i="38"/>
  <c r="H233" i="38"/>
  <c r="H262" i="38"/>
  <c r="H254" i="38"/>
  <c r="H246" i="38"/>
  <c r="H238" i="38"/>
  <c r="H259" i="38"/>
  <c r="H251" i="38"/>
  <c r="H243" i="38"/>
  <c r="H235" i="38"/>
  <c r="H264" i="38"/>
  <c r="H256" i="38"/>
  <c r="H248" i="38"/>
  <c r="H240" i="38"/>
  <c r="H232" i="38"/>
  <c r="H261" i="38"/>
  <c r="H253" i="38"/>
  <c r="H245" i="38"/>
  <c r="H237" i="38"/>
  <c r="H258" i="38"/>
  <c r="H250" i="38"/>
  <c r="H242" i="38"/>
  <c r="H263" i="38"/>
  <c r="H255" i="38"/>
  <c r="H247" i="38"/>
  <c r="H239" i="38"/>
  <c r="H230" i="38"/>
  <c r="H222" i="38"/>
  <c r="H252" i="38"/>
  <c r="H227" i="38"/>
  <c r="H234" i="38"/>
  <c r="H224" i="38"/>
  <c r="H244" i="38"/>
  <c r="H229" i="38"/>
  <c r="H221" i="38"/>
  <c r="H226" i="38"/>
  <c r="H236" i="38"/>
  <c r="H231" i="38"/>
  <c r="H223" i="38"/>
  <c r="H228" i="38"/>
  <c r="H220" i="38"/>
  <c r="H225" i="38"/>
  <c r="H260" i="38"/>
  <c r="H208" i="38"/>
  <c r="H200" i="38"/>
  <c r="H192" i="38"/>
  <c r="H184" i="38"/>
  <c r="H176" i="38"/>
  <c r="H168" i="38"/>
  <c r="H205" i="38"/>
  <c r="H197" i="38"/>
  <c r="H189" i="38"/>
  <c r="H181" i="38"/>
  <c r="H173" i="38"/>
  <c r="H202" i="38"/>
  <c r="H194" i="38"/>
  <c r="H186" i="38"/>
  <c r="H178" i="38"/>
  <c r="H170" i="38"/>
  <c r="H207" i="38"/>
  <c r="H204" i="38"/>
  <c r="H196" i="38"/>
  <c r="H188" i="38"/>
  <c r="H180" i="38"/>
  <c r="H172" i="38"/>
  <c r="H209" i="38"/>
  <c r="H201" i="38"/>
  <c r="H193" i="38"/>
  <c r="H185" i="38"/>
  <c r="H177" i="38"/>
  <c r="H169" i="38"/>
  <c r="H206" i="38"/>
  <c r="H198" i="38"/>
  <c r="H190" i="38"/>
  <c r="H182" i="38"/>
  <c r="H174" i="38"/>
  <c r="H199" i="38"/>
  <c r="H183" i="38"/>
  <c r="H167" i="38"/>
  <c r="H203" i="38"/>
  <c r="H187" i="38"/>
  <c r="H171" i="38"/>
  <c r="H191" i="38"/>
  <c r="H175" i="38"/>
  <c r="H179" i="38"/>
  <c r="H195" i="38"/>
  <c r="H73" i="38"/>
  <c r="H265" i="41"/>
  <c r="H263" i="41"/>
  <c r="H255" i="41"/>
  <c r="H247" i="41"/>
  <c r="H239" i="41"/>
  <c r="H231" i="41"/>
  <c r="H223" i="41"/>
  <c r="H260" i="41"/>
  <c r="H252" i="41"/>
  <c r="H244" i="41"/>
  <c r="H236" i="41"/>
  <c r="H228" i="41"/>
  <c r="H220" i="41"/>
  <c r="H257" i="41"/>
  <c r="H249" i="41"/>
  <c r="H241" i="41"/>
  <c r="H233" i="41"/>
  <c r="H225" i="41"/>
  <c r="H262" i="41"/>
  <c r="H254" i="41"/>
  <c r="H246" i="41"/>
  <c r="H238" i="41"/>
  <c r="H230" i="41"/>
  <c r="H222" i="41"/>
  <c r="H259" i="41"/>
  <c r="H251" i="41"/>
  <c r="H243" i="41"/>
  <c r="H235" i="41"/>
  <c r="H227" i="41"/>
  <c r="H264" i="41"/>
  <c r="H256" i="41"/>
  <c r="H248" i="41"/>
  <c r="H240" i="41"/>
  <c r="H232" i="41"/>
  <c r="H224" i="41"/>
  <c r="H258" i="41"/>
  <c r="H242" i="41"/>
  <c r="H226" i="41"/>
  <c r="H253" i="41"/>
  <c r="H237" i="41"/>
  <c r="H221" i="41"/>
  <c r="H250" i="41"/>
  <c r="H234" i="41"/>
  <c r="H261" i="41"/>
  <c r="H245" i="41"/>
  <c r="H229" i="41"/>
  <c r="H209" i="41"/>
  <c r="H201" i="41"/>
  <c r="H193" i="41"/>
  <c r="H185" i="41"/>
  <c r="H177" i="41"/>
  <c r="H169" i="41"/>
  <c r="H206" i="41"/>
  <c r="H198" i="41"/>
  <c r="H190" i="41"/>
  <c r="H182" i="41"/>
  <c r="H174" i="41"/>
  <c r="H203" i="41"/>
  <c r="H195" i="41"/>
  <c r="H187" i="41"/>
  <c r="H179" i="41"/>
  <c r="H171" i="41"/>
  <c r="H208" i="41"/>
  <c r="H200" i="41"/>
  <c r="H192" i="41"/>
  <c r="H184" i="41"/>
  <c r="H176" i="41"/>
  <c r="H168" i="41"/>
  <c r="H205" i="41"/>
  <c r="H197" i="41"/>
  <c r="H189" i="41"/>
  <c r="H181" i="41"/>
  <c r="H173" i="41"/>
  <c r="H202" i="41"/>
  <c r="H194" i="41"/>
  <c r="H186" i="41"/>
  <c r="H178" i="41"/>
  <c r="H170" i="41"/>
  <c r="H207" i="41"/>
  <c r="H199" i="41"/>
  <c r="H191" i="41"/>
  <c r="H183" i="41"/>
  <c r="H175" i="41"/>
  <c r="H167" i="41"/>
  <c r="H196" i="41"/>
  <c r="H188" i="41"/>
  <c r="H180" i="41"/>
  <c r="H204" i="41"/>
  <c r="H172" i="41"/>
  <c r="H73" i="41"/>
  <c r="BM166" i="44"/>
  <c r="AA214" i="20"/>
  <c r="AA215" i="20" s="1"/>
  <c r="I74" i="1"/>
  <c r="I79" i="1"/>
  <c r="I76" i="1"/>
  <c r="I86" i="1"/>
  <c r="I88" i="1"/>
  <c r="I84" i="1"/>
  <c r="I82" i="1"/>
  <c r="I87" i="1"/>
  <c r="I83" i="1"/>
  <c r="I85" i="1"/>
  <c r="I222" i="1"/>
  <c r="I230" i="1"/>
  <c r="I238" i="1"/>
  <c r="I246" i="1"/>
  <c r="I254" i="1"/>
  <c r="I262" i="1"/>
  <c r="I201" i="1"/>
  <c r="I209" i="1"/>
  <c r="I225" i="1"/>
  <c r="I233" i="1"/>
  <c r="I241" i="1"/>
  <c r="I249" i="1"/>
  <c r="I257" i="1"/>
  <c r="I265" i="1"/>
  <c r="I196" i="1"/>
  <c r="I204" i="1"/>
  <c r="I228" i="1"/>
  <c r="I236" i="1"/>
  <c r="I244" i="1"/>
  <c r="I252" i="1"/>
  <c r="I260" i="1"/>
  <c r="I220" i="1"/>
  <c r="I199" i="1"/>
  <c r="I207" i="1"/>
  <c r="I223" i="1"/>
  <c r="I231" i="1"/>
  <c r="I239" i="1"/>
  <c r="I247" i="1"/>
  <c r="I255" i="1"/>
  <c r="I263" i="1"/>
  <c r="I194" i="1"/>
  <c r="I202" i="1"/>
  <c r="I226" i="1"/>
  <c r="I234" i="1"/>
  <c r="I242" i="1"/>
  <c r="I250" i="1"/>
  <c r="I258" i="1"/>
  <c r="I197" i="1"/>
  <c r="I205" i="1"/>
  <c r="I221" i="1"/>
  <c r="I229" i="1"/>
  <c r="I237" i="1"/>
  <c r="I245" i="1"/>
  <c r="I253" i="1"/>
  <c r="I261" i="1"/>
  <c r="I200" i="1"/>
  <c r="I208" i="1"/>
  <c r="I224" i="1"/>
  <c r="I232" i="1"/>
  <c r="I240" i="1"/>
  <c r="I248" i="1"/>
  <c r="I256" i="1"/>
  <c r="I264" i="1"/>
  <c r="I195" i="1"/>
  <c r="I203" i="1"/>
  <c r="I235" i="1"/>
  <c r="I243" i="1"/>
  <c r="I183" i="1"/>
  <c r="I185" i="1"/>
  <c r="I187" i="1"/>
  <c r="I189" i="1"/>
  <c r="I191" i="1"/>
  <c r="I193" i="1"/>
  <c r="I169" i="1"/>
  <c r="I171" i="1"/>
  <c r="I173" i="1"/>
  <c r="I175" i="1"/>
  <c r="I177" i="1"/>
  <c r="I179" i="1"/>
  <c r="I181" i="1"/>
  <c r="I251" i="1"/>
  <c r="I259" i="1"/>
  <c r="I167" i="1"/>
  <c r="I198" i="1"/>
  <c r="I227" i="1"/>
  <c r="I206" i="1"/>
  <c r="I182" i="1"/>
  <c r="I184" i="1"/>
  <c r="I186" i="1"/>
  <c r="I188" i="1"/>
  <c r="I190" i="1"/>
  <c r="I192" i="1"/>
  <c r="I168" i="1"/>
  <c r="I170" i="1"/>
  <c r="I172" i="1"/>
  <c r="I174" i="1"/>
  <c r="I176" i="1"/>
  <c r="I178" i="1"/>
  <c r="I180" i="1"/>
  <c r="BD162" i="20"/>
  <c r="BM166" i="20" s="1"/>
  <c r="BI166" i="44"/>
  <c r="BD161" i="20"/>
  <c r="BL166" i="20" s="1"/>
  <c r="BD164" i="20"/>
  <c r="BO166" i="20" s="1"/>
  <c r="BO166" i="23"/>
  <c r="BO166" i="50"/>
  <c r="BL166" i="35"/>
  <c r="BM166" i="41"/>
  <c r="BG166" i="50"/>
  <c r="BO166" i="32"/>
  <c r="BJ166" i="44"/>
  <c r="BD159" i="20"/>
  <c r="BJ166" i="20" s="1"/>
  <c r="BH166" i="26"/>
  <c r="AK216" i="26" s="1"/>
  <c r="BI166" i="32"/>
  <c r="BM166" i="32"/>
  <c r="BL166" i="53"/>
  <c r="G115" i="53"/>
  <c r="G49" i="53" s="1"/>
  <c r="AB225" i="53"/>
  <c r="AB226" i="53" s="1"/>
  <c r="AB225" i="50"/>
  <c r="AB226" i="50" s="1"/>
  <c r="AB225" i="38"/>
  <c r="AB226" i="38" s="1"/>
  <c r="AB225" i="35"/>
  <c r="AB226" i="35" s="1"/>
  <c r="AB225" i="23"/>
  <c r="AB226" i="23" s="1"/>
  <c r="AB225" i="32"/>
  <c r="AB226" i="32" s="1"/>
  <c r="G115" i="8"/>
  <c r="G49" i="8" s="1"/>
  <c r="H70" i="8"/>
  <c r="H81" i="8"/>
  <c r="H79" i="8"/>
  <c r="H80" i="8"/>
  <c r="H78" i="8"/>
  <c r="H258" i="8"/>
  <c r="H250" i="8"/>
  <c r="H242" i="8"/>
  <c r="H234" i="8"/>
  <c r="H226" i="8"/>
  <c r="H208" i="8"/>
  <c r="H200" i="8"/>
  <c r="H192" i="8"/>
  <c r="H263" i="8"/>
  <c r="H255" i="8"/>
  <c r="H247" i="8"/>
  <c r="H239" i="8"/>
  <c r="H231" i="8"/>
  <c r="H223" i="8"/>
  <c r="H205" i="8"/>
  <c r="H197" i="8"/>
  <c r="H260" i="8"/>
  <c r="H252" i="8"/>
  <c r="H244" i="8"/>
  <c r="H236" i="8"/>
  <c r="H228" i="8"/>
  <c r="H220" i="8"/>
  <c r="H202" i="8"/>
  <c r="H194" i="8"/>
  <c r="H265" i="8"/>
  <c r="H257" i="8"/>
  <c r="H249" i="8"/>
  <c r="H241" i="8"/>
  <c r="H233" i="8"/>
  <c r="H225" i="8"/>
  <c r="H207" i="8"/>
  <c r="H199" i="8"/>
  <c r="H191" i="8"/>
  <c r="H262" i="8"/>
  <c r="H254" i="8"/>
  <c r="H246" i="8"/>
  <c r="H238" i="8"/>
  <c r="H230" i="8"/>
  <c r="H222" i="8"/>
  <c r="H204" i="8"/>
  <c r="H196" i="8"/>
  <c r="H259" i="8"/>
  <c r="H251" i="8"/>
  <c r="H243" i="8"/>
  <c r="H235" i="8"/>
  <c r="H227" i="8"/>
  <c r="H209" i="8"/>
  <c r="H201" i="8"/>
  <c r="H193" i="8"/>
  <c r="H264" i="8"/>
  <c r="H256" i="8"/>
  <c r="H248" i="8"/>
  <c r="H240" i="8"/>
  <c r="H232" i="8"/>
  <c r="H224" i="8"/>
  <c r="H206" i="8"/>
  <c r="H198" i="8"/>
  <c r="H190" i="8"/>
  <c r="H261" i="8"/>
  <c r="H253" i="8"/>
  <c r="H245" i="8"/>
  <c r="H237" i="8"/>
  <c r="H229" i="8"/>
  <c r="H221" i="8"/>
  <c r="H203" i="8"/>
  <c r="H195" i="8"/>
  <c r="H185" i="8"/>
  <c r="H177" i="8"/>
  <c r="H169" i="8"/>
  <c r="H182" i="8"/>
  <c r="H174" i="8"/>
  <c r="H187" i="8"/>
  <c r="H179" i="8"/>
  <c r="H171" i="8"/>
  <c r="H184" i="8"/>
  <c r="H176" i="8"/>
  <c r="H168" i="8"/>
  <c r="H189" i="8"/>
  <c r="H181" i="8"/>
  <c r="H173" i="8"/>
  <c r="H186" i="8"/>
  <c r="H178" i="8"/>
  <c r="H170" i="8"/>
  <c r="H183" i="8"/>
  <c r="H175" i="8"/>
  <c r="H167" i="8"/>
  <c r="H188" i="8"/>
  <c r="H180" i="8"/>
  <c r="H172" i="8"/>
  <c r="H74" i="8"/>
  <c r="H72" i="8"/>
  <c r="H75" i="8"/>
  <c r="AB225" i="47"/>
  <c r="AB226" i="47" s="1"/>
  <c r="AA225" i="47"/>
  <c r="AA226" i="47" s="1"/>
  <c r="BY157" i="50"/>
  <c r="BY156" i="50" s="1"/>
  <c r="BY160" i="50"/>
  <c r="BJ166" i="50"/>
  <c r="BI166" i="50"/>
  <c r="BK166" i="50"/>
  <c r="BM166" i="50"/>
  <c r="CI174" i="50"/>
  <c r="CE172" i="50" s="1"/>
  <c r="BP158" i="50"/>
  <c r="BV163" i="50" s="1"/>
  <c r="BN158" i="50" s="1"/>
  <c r="CI170" i="50"/>
  <c r="CE176" i="50" s="1"/>
  <c r="CI176" i="50"/>
  <c r="CE170" i="50" s="1"/>
  <c r="CI175" i="50"/>
  <c r="CE171" i="50" s="1"/>
  <c r="CJ176" i="47"/>
  <c r="CF170" i="47" s="1"/>
  <c r="CI170" i="47"/>
  <c r="CE176" i="47" s="1"/>
  <c r="CJ170" i="47"/>
  <c r="CF176" i="47" s="1"/>
  <c r="CI173" i="47"/>
  <c r="CE173" i="47" s="1"/>
  <c r="CI169" i="47"/>
  <c r="CE177" i="47" s="1"/>
  <c r="CJ169" i="47"/>
  <c r="CF177" i="47" s="1"/>
  <c r="CI172" i="47"/>
  <c r="CE174" i="47" s="1"/>
  <c r="CI174" i="47"/>
  <c r="CE172" i="47" s="1"/>
  <c r="BH166" i="47"/>
  <c r="BV157" i="47" s="1"/>
  <c r="BK166" i="47"/>
  <c r="BL166" i="47"/>
  <c r="BY157" i="8"/>
  <c r="BY156" i="8" s="1"/>
  <c r="BY160" i="8"/>
  <c r="BH166" i="23"/>
  <c r="BP157" i="26"/>
  <c r="BV158" i="26" s="1"/>
  <c r="BN157" i="26" s="1"/>
  <c r="BP158" i="26"/>
  <c r="BV163" i="26" s="1"/>
  <c r="BN158" i="26" s="1"/>
  <c r="BY157" i="26"/>
  <c r="BY156" i="26" s="1"/>
  <c r="BO166" i="26"/>
  <c r="BI166" i="26"/>
  <c r="BK166" i="26"/>
  <c r="BP158" i="41"/>
  <c r="BV163" i="41" s="1"/>
  <c r="BN158" i="41" s="1"/>
  <c r="BJ166" i="41"/>
  <c r="BO166" i="41"/>
  <c r="BK166" i="41"/>
  <c r="BK166" i="44"/>
  <c r="BL166" i="44"/>
  <c r="BM166" i="35"/>
  <c r="CI174" i="35"/>
  <c r="CE172" i="35" s="1"/>
  <c r="BI166" i="38"/>
  <c r="BJ166" i="38"/>
  <c r="BG166" i="38"/>
  <c r="BM166" i="38"/>
  <c r="BK166" i="38"/>
  <c r="CI174" i="38"/>
  <c r="CE172" i="38" s="1"/>
  <c r="BI166" i="29"/>
  <c r="BJ166" i="29"/>
  <c r="BK166" i="29"/>
  <c r="BJ166" i="32"/>
  <c r="BH166" i="32"/>
  <c r="BK166" i="32"/>
  <c r="BL166" i="32"/>
  <c r="BD158" i="20"/>
  <c r="BI166" i="20" s="1"/>
  <c r="BD160" i="20"/>
  <c r="BK166" i="20" s="1"/>
  <c r="BD157" i="20"/>
  <c r="BH166" i="20" s="1"/>
  <c r="AK216" i="20" s="1"/>
  <c r="BD163" i="20"/>
  <c r="BN166" i="20" s="1"/>
  <c r="AA225" i="26"/>
  <c r="AA226" i="26" s="1"/>
  <c r="AA225" i="44"/>
  <c r="AA226" i="44" s="1"/>
  <c r="BY157" i="53"/>
  <c r="BY156" i="53" s="1"/>
  <c r="BJ166" i="53"/>
  <c r="BO166" i="53"/>
  <c r="BH166" i="53"/>
  <c r="BN166" i="53"/>
  <c r="AA225" i="53"/>
  <c r="AA226" i="53" s="1"/>
  <c r="CI171" i="53"/>
  <c r="CE175" i="53" s="1"/>
  <c r="CI176" i="53"/>
  <c r="CE170" i="53" s="1"/>
  <c r="BM166" i="53"/>
  <c r="CI169" i="53"/>
  <c r="CE177" i="53" s="1"/>
  <c r="CI172" i="53"/>
  <c r="CE174" i="53" s="1"/>
  <c r="W210" i="53"/>
  <c r="X210" i="53" s="1"/>
  <c r="W202" i="53"/>
  <c r="X202" i="53" s="1"/>
  <c r="W194" i="53"/>
  <c r="X194" i="53" s="1"/>
  <c r="W186" i="53"/>
  <c r="X186" i="53" s="1"/>
  <c r="W209" i="53"/>
  <c r="X209" i="53" s="1"/>
  <c r="W201" i="53"/>
  <c r="X201" i="53" s="1"/>
  <c r="W193" i="53"/>
  <c r="X193" i="53" s="1"/>
  <c r="W185" i="53"/>
  <c r="X185" i="53" s="1"/>
  <c r="W208" i="53"/>
  <c r="X208" i="53" s="1"/>
  <c r="W200" i="53"/>
  <c r="X200" i="53" s="1"/>
  <c r="W192" i="53"/>
  <c r="X192" i="53" s="1"/>
  <c r="W184" i="53"/>
  <c r="X184" i="53" s="1"/>
  <c r="W207" i="53"/>
  <c r="X207" i="53" s="1"/>
  <c r="W199" i="53"/>
  <c r="X199" i="53" s="1"/>
  <c r="W191" i="53"/>
  <c r="X191" i="53" s="1"/>
  <c r="W183" i="53"/>
  <c r="X183" i="53" s="1"/>
  <c r="W168" i="53"/>
  <c r="X168" i="53" s="1"/>
  <c r="W206" i="53"/>
  <c r="X206" i="53" s="1"/>
  <c r="W198" i="53"/>
  <c r="X198" i="53" s="1"/>
  <c r="W190" i="53"/>
  <c r="X190" i="53" s="1"/>
  <c r="W182" i="53"/>
  <c r="X182" i="53" s="1"/>
  <c r="W204" i="53"/>
  <c r="X204" i="53" s="1"/>
  <c r="W196" i="53"/>
  <c r="X196" i="53" s="1"/>
  <c r="W188" i="53"/>
  <c r="X188" i="53" s="1"/>
  <c r="W180" i="53"/>
  <c r="X180" i="53" s="1"/>
  <c r="W167" i="53"/>
  <c r="X167" i="53" s="1"/>
  <c r="H69" i="53"/>
  <c r="H71" i="53"/>
  <c r="H73" i="53"/>
  <c r="H75" i="53"/>
  <c r="H77" i="53"/>
  <c r="W173" i="53"/>
  <c r="X173" i="53" s="1"/>
  <c r="CI173" i="53"/>
  <c r="CE173" i="53" s="1"/>
  <c r="I76" i="53"/>
  <c r="I69" i="53"/>
  <c r="I71" i="53"/>
  <c r="I73" i="53"/>
  <c r="I75" i="53"/>
  <c r="I77" i="53"/>
  <c r="W174" i="53"/>
  <c r="X174" i="53" s="1"/>
  <c r="CI174" i="53"/>
  <c r="CE172" i="53" s="1"/>
  <c r="W181" i="53"/>
  <c r="X181" i="53" s="1"/>
  <c r="W189" i="53"/>
  <c r="X189" i="53" s="1"/>
  <c r="W197" i="53"/>
  <c r="X197" i="53" s="1"/>
  <c r="W205" i="53"/>
  <c r="X205" i="53" s="1"/>
  <c r="I70" i="53"/>
  <c r="W169" i="53"/>
  <c r="X169" i="53" s="1"/>
  <c r="BP158" i="53"/>
  <c r="BV163" i="53" s="1"/>
  <c r="W172" i="53"/>
  <c r="X172" i="53" s="1"/>
  <c r="W175" i="53"/>
  <c r="X175" i="53" s="1"/>
  <c r="BP157" i="53"/>
  <c r="BV158" i="53" s="1"/>
  <c r="BY160" i="53"/>
  <c r="W177" i="53"/>
  <c r="X177" i="53" s="1"/>
  <c r="BG166" i="53"/>
  <c r="CI170" i="53"/>
  <c r="CE176" i="53" s="1"/>
  <c r="W170" i="53"/>
  <c r="X170" i="53" s="1"/>
  <c r="H70" i="53"/>
  <c r="H72" i="53"/>
  <c r="H74" i="53"/>
  <c r="CJ177" i="53"/>
  <c r="CF169" i="53" s="1"/>
  <c r="CI177" i="53"/>
  <c r="CE169" i="53" s="1"/>
  <c r="CJ176" i="53"/>
  <c r="CF170" i="53" s="1"/>
  <c r="CJ175" i="53"/>
  <c r="CF171" i="53" s="1"/>
  <c r="CJ174" i="53"/>
  <c r="CF172" i="53" s="1"/>
  <c r="CJ173" i="53"/>
  <c r="CF173" i="53" s="1"/>
  <c r="CJ172" i="53"/>
  <c r="CF174" i="53" s="1"/>
  <c r="CJ171" i="53"/>
  <c r="CF175" i="53" s="1"/>
  <c r="CJ170" i="53"/>
  <c r="CF176" i="53" s="1"/>
  <c r="CJ169" i="53"/>
  <c r="CF177" i="53" s="1"/>
  <c r="W171" i="53"/>
  <c r="X171" i="53" s="1"/>
  <c r="W176" i="53"/>
  <c r="X176" i="53" s="1"/>
  <c r="W178" i="53"/>
  <c r="X178" i="53" s="1"/>
  <c r="W179" i="53"/>
  <c r="X179" i="53" s="1"/>
  <c r="W187" i="53"/>
  <c r="X187" i="53" s="1"/>
  <c r="W195" i="53"/>
  <c r="X195" i="53" s="1"/>
  <c r="W203" i="53"/>
  <c r="X203" i="53" s="1"/>
  <c r="W211" i="53"/>
  <c r="X211" i="53" s="1"/>
  <c r="I72" i="50"/>
  <c r="BH166" i="50"/>
  <c r="BN166" i="50"/>
  <c r="W171" i="50"/>
  <c r="X171" i="50" s="1"/>
  <c r="CI171" i="50"/>
  <c r="CE175" i="50" s="1"/>
  <c r="W181" i="50"/>
  <c r="X181" i="50" s="1"/>
  <c r="W189" i="50"/>
  <c r="X189" i="50" s="1"/>
  <c r="W197" i="50"/>
  <c r="X197" i="50" s="1"/>
  <c r="W205" i="50"/>
  <c r="X205" i="50" s="1"/>
  <c r="H70" i="50"/>
  <c r="H72" i="50"/>
  <c r="H74" i="50"/>
  <c r="H76" i="50"/>
  <c r="W172" i="50"/>
  <c r="X172" i="50" s="1"/>
  <c r="CJ177" i="50"/>
  <c r="CF169" i="50" s="1"/>
  <c r="CI177" i="50"/>
  <c r="CE169" i="50" s="1"/>
  <c r="CJ176" i="50"/>
  <c r="CF170" i="50" s="1"/>
  <c r="CJ175" i="50"/>
  <c r="CF171" i="50" s="1"/>
  <c r="CJ174" i="50"/>
  <c r="CF172" i="50" s="1"/>
  <c r="CJ173" i="50"/>
  <c r="CF173" i="50" s="1"/>
  <c r="CJ172" i="50"/>
  <c r="CF174" i="50" s="1"/>
  <c r="CJ171" i="50"/>
  <c r="CF175" i="50" s="1"/>
  <c r="CJ170" i="50"/>
  <c r="CF176" i="50" s="1"/>
  <c r="CJ169" i="50"/>
  <c r="CF177" i="50" s="1"/>
  <c r="CI172" i="50"/>
  <c r="CE174" i="50" s="1"/>
  <c r="BP157" i="50"/>
  <c r="BV158" i="50" s="1"/>
  <c r="W210" i="50"/>
  <c r="X210" i="50" s="1"/>
  <c r="W202" i="50"/>
  <c r="X202" i="50" s="1"/>
  <c r="W194" i="50"/>
  <c r="X194" i="50" s="1"/>
  <c r="W186" i="50"/>
  <c r="X186" i="50" s="1"/>
  <c r="W178" i="50"/>
  <c r="X178" i="50" s="1"/>
  <c r="W209" i="50"/>
  <c r="X209" i="50" s="1"/>
  <c r="W201" i="50"/>
  <c r="X201" i="50" s="1"/>
  <c r="W193" i="50"/>
  <c r="X193" i="50" s="1"/>
  <c r="W185" i="50"/>
  <c r="X185" i="50" s="1"/>
  <c r="W208" i="50"/>
  <c r="X208" i="50" s="1"/>
  <c r="W200" i="50"/>
  <c r="X200" i="50" s="1"/>
  <c r="W192" i="50"/>
  <c r="X192" i="50" s="1"/>
  <c r="W184" i="50"/>
  <c r="X184" i="50" s="1"/>
  <c r="W207" i="50"/>
  <c r="X207" i="50" s="1"/>
  <c r="W199" i="50"/>
  <c r="X199" i="50" s="1"/>
  <c r="W191" i="50"/>
  <c r="X191" i="50" s="1"/>
  <c r="W183" i="50"/>
  <c r="X183" i="50" s="1"/>
  <c r="W168" i="50"/>
  <c r="X168" i="50" s="1"/>
  <c r="W206" i="50"/>
  <c r="X206" i="50" s="1"/>
  <c r="W198" i="50"/>
  <c r="X198" i="50" s="1"/>
  <c r="W190" i="50"/>
  <c r="X190" i="50" s="1"/>
  <c r="W182" i="50"/>
  <c r="X182" i="50" s="1"/>
  <c r="W204" i="50"/>
  <c r="X204" i="50" s="1"/>
  <c r="W196" i="50"/>
  <c r="X196" i="50" s="1"/>
  <c r="W188" i="50"/>
  <c r="X188" i="50" s="1"/>
  <c r="W180" i="50"/>
  <c r="X180" i="50" s="1"/>
  <c r="AA225" i="50"/>
  <c r="AA226" i="50" s="1"/>
  <c r="W173" i="50"/>
  <c r="X173" i="50" s="1"/>
  <c r="W179" i="50"/>
  <c r="X179" i="50" s="1"/>
  <c r="W187" i="50"/>
  <c r="X187" i="50" s="1"/>
  <c r="W195" i="50"/>
  <c r="X195" i="50" s="1"/>
  <c r="W203" i="50"/>
  <c r="X203" i="50" s="1"/>
  <c r="W211" i="50"/>
  <c r="X211" i="50" s="1"/>
  <c r="W210" i="47"/>
  <c r="X210" i="47" s="1"/>
  <c r="W202" i="47"/>
  <c r="X202" i="47" s="1"/>
  <c r="W194" i="47"/>
  <c r="X194" i="47" s="1"/>
  <c r="W186" i="47"/>
  <c r="X186" i="47" s="1"/>
  <c r="W178" i="47"/>
  <c r="X178" i="47" s="1"/>
  <c r="W209" i="47"/>
  <c r="X209" i="47" s="1"/>
  <c r="W201" i="47"/>
  <c r="X201" i="47" s="1"/>
  <c r="W193" i="47"/>
  <c r="X193" i="47" s="1"/>
  <c r="W185" i="47"/>
  <c r="X185" i="47" s="1"/>
  <c r="W208" i="47"/>
  <c r="X208" i="47" s="1"/>
  <c r="W200" i="47"/>
  <c r="X200" i="47" s="1"/>
  <c r="W192" i="47"/>
  <c r="X192" i="47" s="1"/>
  <c r="W184" i="47"/>
  <c r="X184" i="47" s="1"/>
  <c r="W207" i="47"/>
  <c r="X207" i="47" s="1"/>
  <c r="W199" i="47"/>
  <c r="X199" i="47" s="1"/>
  <c r="W191" i="47"/>
  <c r="X191" i="47" s="1"/>
  <c r="W183" i="47"/>
  <c r="X183" i="47" s="1"/>
  <c r="W168" i="47"/>
  <c r="X168" i="47" s="1"/>
  <c r="W206" i="47"/>
  <c r="X206" i="47" s="1"/>
  <c r="W198" i="47"/>
  <c r="X198" i="47" s="1"/>
  <c r="W190" i="47"/>
  <c r="X190" i="47" s="1"/>
  <c r="W182" i="47"/>
  <c r="X182" i="47" s="1"/>
  <c r="W172" i="47"/>
  <c r="X172" i="47" s="1"/>
  <c r="H70" i="47"/>
  <c r="H72" i="47"/>
  <c r="H74" i="47"/>
  <c r="H76" i="47"/>
  <c r="BJ166" i="47"/>
  <c r="W169" i="47"/>
  <c r="X169" i="47" s="1"/>
  <c r="W177" i="47"/>
  <c r="X177" i="47" s="1"/>
  <c r="I70" i="47"/>
  <c r="I76" i="47"/>
  <c r="W189" i="47"/>
  <c r="X189" i="47" s="1"/>
  <c r="W171" i="47"/>
  <c r="X171" i="47" s="1"/>
  <c r="W187" i="47"/>
  <c r="X187" i="47" s="1"/>
  <c r="W188" i="47"/>
  <c r="X188" i="47" s="1"/>
  <c r="W203" i="47"/>
  <c r="X203" i="47" s="1"/>
  <c r="W204" i="47"/>
  <c r="X204" i="47" s="1"/>
  <c r="I72" i="47"/>
  <c r="I74" i="47"/>
  <c r="BN166" i="47"/>
  <c r="W205" i="47"/>
  <c r="X205" i="47" s="1"/>
  <c r="H69" i="47"/>
  <c r="H71" i="47"/>
  <c r="H73" i="47"/>
  <c r="H75" i="47"/>
  <c r="CJ172" i="47"/>
  <c r="CF174" i="47" s="1"/>
  <c r="CJ173" i="47"/>
  <c r="CF173" i="47" s="1"/>
  <c r="CJ174" i="47"/>
  <c r="CF172" i="47" s="1"/>
  <c r="CI175" i="47"/>
  <c r="CE171" i="47" s="1"/>
  <c r="W167" i="47"/>
  <c r="X167" i="47" s="1"/>
  <c r="I69" i="47"/>
  <c r="I71" i="47"/>
  <c r="I73" i="47"/>
  <c r="I75" i="47"/>
  <c r="W170" i="47"/>
  <c r="X170" i="47" s="1"/>
  <c r="CI171" i="47"/>
  <c r="CE175" i="47" s="1"/>
  <c r="W173" i="47"/>
  <c r="X173" i="47" s="1"/>
  <c r="W174" i="47"/>
  <c r="X174" i="47" s="1"/>
  <c r="W175" i="47"/>
  <c r="X175" i="47" s="1"/>
  <c r="W181" i="47"/>
  <c r="X181" i="47" s="1"/>
  <c r="W197" i="47"/>
  <c r="X197" i="47" s="1"/>
  <c r="CJ177" i="47"/>
  <c r="CF169" i="47" s="1"/>
  <c r="CI177" i="47"/>
  <c r="CE169" i="47" s="1"/>
  <c r="CJ171" i="47"/>
  <c r="CF175" i="47" s="1"/>
  <c r="W176" i="47"/>
  <c r="X176" i="47" s="1"/>
  <c r="CI176" i="47"/>
  <c r="CE170" i="47" s="1"/>
  <c r="W179" i="47"/>
  <c r="X179" i="47" s="1"/>
  <c r="W180" i="47"/>
  <c r="X180" i="47" s="1"/>
  <c r="W195" i="47"/>
  <c r="X195" i="47" s="1"/>
  <c r="W196" i="47"/>
  <c r="X196" i="47" s="1"/>
  <c r="W211" i="47"/>
  <c r="X211" i="47" s="1"/>
  <c r="AB225" i="44"/>
  <c r="AB226" i="44" s="1"/>
  <c r="H74" i="44"/>
  <c r="H76" i="44"/>
  <c r="H75" i="44"/>
  <c r="H73" i="44"/>
  <c r="H71" i="44"/>
  <c r="H69" i="44"/>
  <c r="BY157" i="44"/>
  <c r="BY156" i="44" s="1"/>
  <c r="BP157" i="44"/>
  <c r="BV158" i="44" s="1"/>
  <c r="BP158" i="44"/>
  <c r="BV163" i="44" s="1"/>
  <c r="CJ177" i="44"/>
  <c r="CF169" i="44" s="1"/>
  <c r="CI177" i="44"/>
  <c r="CE169" i="44" s="1"/>
  <c r="CJ176" i="44"/>
  <c r="CF170" i="44" s="1"/>
  <c r="CJ175" i="44"/>
  <c r="CF171" i="44" s="1"/>
  <c r="CJ174" i="44"/>
  <c r="CF172" i="44" s="1"/>
  <c r="CJ173" i="44"/>
  <c r="CF173" i="44" s="1"/>
  <c r="CJ172" i="44"/>
  <c r="CF174" i="44" s="1"/>
  <c r="CJ171" i="44"/>
  <c r="CF175" i="44" s="1"/>
  <c r="CJ170" i="44"/>
  <c r="CF176" i="44" s="1"/>
  <c r="CJ169" i="44"/>
  <c r="CF177" i="44" s="1"/>
  <c r="CI169" i="44"/>
  <c r="CE177" i="44" s="1"/>
  <c r="CI176" i="44"/>
  <c r="CE170" i="44" s="1"/>
  <c r="CI172" i="44"/>
  <c r="CE174" i="44" s="1"/>
  <c r="CI170" i="44"/>
  <c r="CE176" i="44" s="1"/>
  <c r="CI175" i="44"/>
  <c r="CE171" i="44" s="1"/>
  <c r="CI174" i="44"/>
  <c r="CE172" i="44" s="1"/>
  <c r="CI173" i="44"/>
  <c r="CE173" i="44" s="1"/>
  <c r="CI171" i="44"/>
  <c r="CE175" i="44" s="1"/>
  <c r="BG166" i="44"/>
  <c r="BY160" i="44"/>
  <c r="W210" i="44"/>
  <c r="X210" i="44" s="1"/>
  <c r="W202" i="44"/>
  <c r="X202" i="44" s="1"/>
  <c r="W194" i="44"/>
  <c r="X194" i="44" s="1"/>
  <c r="W186" i="44"/>
  <c r="X186" i="44" s="1"/>
  <c r="W178" i="44"/>
  <c r="X178" i="44" s="1"/>
  <c r="W209" i="44"/>
  <c r="X209" i="44" s="1"/>
  <c r="W201" i="44"/>
  <c r="X201" i="44" s="1"/>
  <c r="W193" i="44"/>
  <c r="X193" i="44" s="1"/>
  <c r="W185" i="44"/>
  <c r="X185" i="44" s="1"/>
  <c r="W208" i="44"/>
  <c r="X208" i="44" s="1"/>
  <c r="W200" i="44"/>
  <c r="X200" i="44" s="1"/>
  <c r="W192" i="44"/>
  <c r="X192" i="44" s="1"/>
  <c r="W184" i="44"/>
  <c r="X184" i="44" s="1"/>
  <c r="W206" i="44"/>
  <c r="X206" i="44" s="1"/>
  <c r="W198" i="44"/>
  <c r="X198" i="44" s="1"/>
  <c r="W190" i="44"/>
  <c r="X190" i="44" s="1"/>
  <c r="W182" i="44"/>
  <c r="X182" i="44" s="1"/>
  <c r="W204" i="44"/>
  <c r="X204" i="44" s="1"/>
  <c r="W196" i="44"/>
  <c r="X196" i="44" s="1"/>
  <c r="W188" i="44"/>
  <c r="X188" i="44" s="1"/>
  <c r="W180" i="44"/>
  <c r="X180" i="44" s="1"/>
  <c r="W167" i="44"/>
  <c r="X167" i="44" s="1"/>
  <c r="W168" i="44"/>
  <c r="X168" i="44" s="1"/>
  <c r="W172" i="44"/>
  <c r="X172" i="44" s="1"/>
  <c r="W174" i="44"/>
  <c r="X174" i="44" s="1"/>
  <c r="W175" i="44"/>
  <c r="X175" i="44" s="1"/>
  <c r="W181" i="44"/>
  <c r="X181" i="44" s="1"/>
  <c r="W197" i="44"/>
  <c r="X197" i="44" s="1"/>
  <c r="W176" i="44"/>
  <c r="X176" i="44" s="1"/>
  <c r="W191" i="44"/>
  <c r="X191" i="44" s="1"/>
  <c r="W207" i="44"/>
  <c r="X207" i="44" s="1"/>
  <c r="BN166" i="44"/>
  <c r="W171" i="44"/>
  <c r="X171" i="44" s="1"/>
  <c r="W179" i="44"/>
  <c r="X179" i="44" s="1"/>
  <c r="W195" i="44"/>
  <c r="X195" i="44" s="1"/>
  <c r="W211" i="44"/>
  <c r="X211" i="44" s="1"/>
  <c r="W177" i="44"/>
  <c r="X177" i="44" s="1"/>
  <c r="I71" i="41"/>
  <c r="I69" i="41"/>
  <c r="I77" i="41"/>
  <c r="I75" i="41"/>
  <c r="I76" i="41"/>
  <c r="I74" i="41"/>
  <c r="I72" i="41"/>
  <c r="I70" i="41"/>
  <c r="I73" i="41"/>
  <c r="AA225" i="41"/>
  <c r="AA226" i="41" s="1"/>
  <c r="CJ177" i="41"/>
  <c r="CF169" i="41" s="1"/>
  <c r="CI177" i="41"/>
  <c r="CE169" i="41" s="1"/>
  <c r="CJ176" i="41"/>
  <c r="CF170" i="41" s="1"/>
  <c r="CJ175" i="41"/>
  <c r="CF171" i="41" s="1"/>
  <c r="CJ174" i="41"/>
  <c r="CF172" i="41" s="1"/>
  <c r="CJ173" i="41"/>
  <c r="CF173" i="41" s="1"/>
  <c r="CJ172" i="41"/>
  <c r="CF174" i="41" s="1"/>
  <c r="CJ171" i="41"/>
  <c r="CF175" i="41" s="1"/>
  <c r="CJ170" i="41"/>
  <c r="CF176" i="41" s="1"/>
  <c r="CJ169" i="41"/>
  <c r="CF177" i="41" s="1"/>
  <c r="W171" i="41"/>
  <c r="X171" i="41" s="1"/>
  <c r="H70" i="41"/>
  <c r="H72" i="41"/>
  <c r="H74" i="41"/>
  <c r="H76" i="41"/>
  <c r="AB225" i="41"/>
  <c r="AB226" i="41" s="1"/>
  <c r="BI166" i="41"/>
  <c r="BN166" i="41"/>
  <c r="BP157" i="41"/>
  <c r="BV158" i="41" s="1"/>
  <c r="W169" i="41"/>
  <c r="X169" i="41" s="1"/>
  <c r="CI171" i="41"/>
  <c r="CE175" i="41" s="1"/>
  <c r="W182" i="41"/>
  <c r="X182" i="41" s="1"/>
  <c r="W190" i="41"/>
  <c r="X190" i="41" s="1"/>
  <c r="W198" i="41"/>
  <c r="X198" i="41" s="1"/>
  <c r="BY157" i="41"/>
  <c r="BY156" i="41" s="1"/>
  <c r="W210" i="41"/>
  <c r="X210" i="41" s="1"/>
  <c r="W202" i="41"/>
  <c r="X202" i="41" s="1"/>
  <c r="W194" i="41"/>
  <c r="X194" i="41" s="1"/>
  <c r="W186" i="41"/>
  <c r="X186" i="41" s="1"/>
  <c r="W178" i="41"/>
  <c r="X178" i="41" s="1"/>
  <c r="W209" i="41"/>
  <c r="X209" i="41" s="1"/>
  <c r="W201" i="41"/>
  <c r="X201" i="41" s="1"/>
  <c r="W193" i="41"/>
  <c r="X193" i="41" s="1"/>
  <c r="W185" i="41"/>
  <c r="X185" i="41" s="1"/>
  <c r="W208" i="41"/>
  <c r="X208" i="41" s="1"/>
  <c r="W200" i="41"/>
  <c r="X200" i="41" s="1"/>
  <c r="W192" i="41"/>
  <c r="X192" i="41" s="1"/>
  <c r="W184" i="41"/>
  <c r="X184" i="41" s="1"/>
  <c r="W207" i="41"/>
  <c r="X207" i="41" s="1"/>
  <c r="W199" i="41"/>
  <c r="X199" i="41" s="1"/>
  <c r="W191" i="41"/>
  <c r="X191" i="41" s="1"/>
  <c r="W183" i="41"/>
  <c r="X183" i="41" s="1"/>
  <c r="W168" i="41"/>
  <c r="X168" i="41" s="1"/>
  <c r="W204" i="41"/>
  <c r="X204" i="41" s="1"/>
  <c r="W196" i="41"/>
  <c r="X196" i="41" s="1"/>
  <c r="W188" i="41"/>
  <c r="X188" i="41" s="1"/>
  <c r="W180" i="41"/>
  <c r="X180" i="41" s="1"/>
  <c r="W167" i="41"/>
  <c r="X167" i="41" s="1"/>
  <c r="W211" i="41"/>
  <c r="X211" i="41" s="1"/>
  <c r="W203" i="41"/>
  <c r="X203" i="41" s="1"/>
  <c r="W195" i="41"/>
  <c r="X195" i="41" s="1"/>
  <c r="W187" i="41"/>
  <c r="X187" i="41" s="1"/>
  <c r="W179" i="41"/>
  <c r="X179" i="41" s="1"/>
  <c r="W172" i="41"/>
  <c r="X172" i="41" s="1"/>
  <c r="W181" i="41"/>
  <c r="X181" i="41" s="1"/>
  <c r="W189" i="41"/>
  <c r="X189" i="41" s="1"/>
  <c r="W197" i="41"/>
  <c r="X197" i="41" s="1"/>
  <c r="W205" i="41"/>
  <c r="X205" i="41" s="1"/>
  <c r="CI174" i="41"/>
  <c r="CE172" i="41" s="1"/>
  <c r="CI175" i="41"/>
  <c r="CE171" i="41" s="1"/>
  <c r="BY160" i="41"/>
  <c r="I76" i="38"/>
  <c r="I74" i="38"/>
  <c r="I72" i="38"/>
  <c r="I70" i="38"/>
  <c r="I77" i="38"/>
  <c r="I75" i="38"/>
  <c r="I73" i="38"/>
  <c r="I71" i="38"/>
  <c r="I69" i="38"/>
  <c r="CI175" i="38"/>
  <c r="CE171" i="38" s="1"/>
  <c r="CI176" i="38"/>
  <c r="CE170" i="38" s="1"/>
  <c r="BP157" i="38"/>
  <c r="BV158" i="38" s="1"/>
  <c r="BN157" i="38" s="1"/>
  <c r="W210" i="38"/>
  <c r="X210" i="38" s="1"/>
  <c r="W202" i="38"/>
  <c r="X202" i="38" s="1"/>
  <c r="W194" i="38"/>
  <c r="X194" i="38" s="1"/>
  <c r="W186" i="38"/>
  <c r="X186" i="38" s="1"/>
  <c r="W178" i="38"/>
  <c r="X178" i="38" s="1"/>
  <c r="W209" i="38"/>
  <c r="X209" i="38" s="1"/>
  <c r="W201" i="38"/>
  <c r="X201" i="38" s="1"/>
  <c r="W193" i="38"/>
  <c r="X193" i="38" s="1"/>
  <c r="W185" i="38"/>
  <c r="X185" i="38" s="1"/>
  <c r="W208" i="38"/>
  <c r="X208" i="38" s="1"/>
  <c r="W200" i="38"/>
  <c r="X200" i="38" s="1"/>
  <c r="W192" i="38"/>
  <c r="X192" i="38" s="1"/>
  <c r="W184" i="38"/>
  <c r="X184" i="38" s="1"/>
  <c r="W207" i="38"/>
  <c r="X207" i="38" s="1"/>
  <c r="W199" i="38"/>
  <c r="X199" i="38" s="1"/>
  <c r="W191" i="38"/>
  <c r="X191" i="38" s="1"/>
  <c r="W183" i="38"/>
  <c r="X183" i="38" s="1"/>
  <c r="W168" i="38"/>
  <c r="X168" i="38" s="1"/>
  <c r="W206" i="38"/>
  <c r="X206" i="38" s="1"/>
  <c r="W198" i="38"/>
  <c r="X198" i="38" s="1"/>
  <c r="W190" i="38"/>
  <c r="X190" i="38" s="1"/>
  <c r="W182" i="38"/>
  <c r="X182" i="38" s="1"/>
  <c r="W204" i="38"/>
  <c r="X204" i="38" s="1"/>
  <c r="W196" i="38"/>
  <c r="X196" i="38" s="1"/>
  <c r="W188" i="38"/>
  <c r="X188" i="38" s="1"/>
  <c r="W180" i="38"/>
  <c r="X180" i="38" s="1"/>
  <c r="W167" i="38"/>
  <c r="X167" i="38" s="1"/>
  <c r="W175" i="38"/>
  <c r="X175" i="38" s="1"/>
  <c r="H70" i="38"/>
  <c r="H72" i="38"/>
  <c r="H74" i="38"/>
  <c r="H76" i="38"/>
  <c r="CJ177" i="38"/>
  <c r="CF169" i="38" s="1"/>
  <c r="CI177" i="38"/>
  <c r="CE169" i="38" s="1"/>
  <c r="CJ176" i="38"/>
  <c r="CF170" i="38" s="1"/>
  <c r="CJ175" i="38"/>
  <c r="CF171" i="38" s="1"/>
  <c r="CJ174" i="38"/>
  <c r="CF172" i="38" s="1"/>
  <c r="CJ173" i="38"/>
  <c r="CF173" i="38" s="1"/>
  <c r="CJ172" i="38"/>
  <c r="CF174" i="38" s="1"/>
  <c r="CJ171" i="38"/>
  <c r="CF175" i="38" s="1"/>
  <c r="CJ170" i="38"/>
  <c r="CF176" i="38" s="1"/>
  <c r="CJ169" i="38"/>
  <c r="CF177" i="38" s="1"/>
  <c r="W171" i="38"/>
  <c r="X171" i="38" s="1"/>
  <c r="CI171" i="38"/>
  <c r="CE175" i="38" s="1"/>
  <c r="CI173" i="38"/>
  <c r="CE173" i="38" s="1"/>
  <c r="W181" i="38"/>
  <c r="X181" i="38" s="1"/>
  <c r="W189" i="38"/>
  <c r="X189" i="38" s="1"/>
  <c r="W197" i="38"/>
  <c r="X197" i="38" s="1"/>
  <c r="W205" i="38"/>
  <c r="X205" i="38" s="1"/>
  <c r="BY157" i="38"/>
  <c r="BY156" i="38" s="1"/>
  <c r="BN166" i="38"/>
  <c r="W172" i="38"/>
  <c r="X172" i="38" s="1"/>
  <c r="W174" i="38"/>
  <c r="X174" i="38" s="1"/>
  <c r="AA225" i="38"/>
  <c r="AA226" i="38" s="1"/>
  <c r="W169" i="38"/>
  <c r="X169" i="38" s="1"/>
  <c r="CI172" i="38"/>
  <c r="CE174" i="38" s="1"/>
  <c r="W173" i="38"/>
  <c r="X173" i="38" s="1"/>
  <c r="W179" i="38"/>
  <c r="X179" i="38" s="1"/>
  <c r="W187" i="38"/>
  <c r="X187" i="38" s="1"/>
  <c r="W195" i="38"/>
  <c r="X195" i="38" s="1"/>
  <c r="W203" i="38"/>
  <c r="X203" i="38" s="1"/>
  <c r="W211" i="38"/>
  <c r="X211" i="38" s="1"/>
  <c r="BY160" i="38"/>
  <c r="BI166" i="35"/>
  <c r="BH166" i="35"/>
  <c r="BN166" i="35"/>
  <c r="AA225" i="35"/>
  <c r="AA226" i="35" s="1"/>
  <c r="W169" i="35"/>
  <c r="X169" i="35" s="1"/>
  <c r="CI171" i="35"/>
  <c r="CE175" i="35" s="1"/>
  <c r="CI175" i="35"/>
  <c r="CE171" i="35" s="1"/>
  <c r="CI176" i="35"/>
  <c r="CE170" i="35" s="1"/>
  <c r="CI169" i="35"/>
  <c r="CE177" i="35" s="1"/>
  <c r="BZ161" i="35" s="1"/>
  <c r="W175" i="35"/>
  <c r="X175" i="35" s="1"/>
  <c r="H72" i="35"/>
  <c r="BP157" i="35"/>
  <c r="BV158" i="35" s="1"/>
  <c r="BO166" i="35"/>
  <c r="W170" i="35"/>
  <c r="X170" i="35" s="1"/>
  <c r="CI173" i="35"/>
  <c r="CE173" i="35" s="1"/>
  <c r="W181" i="35"/>
  <c r="X181" i="35" s="1"/>
  <c r="W189" i="35"/>
  <c r="X189" i="35" s="1"/>
  <c r="W197" i="35"/>
  <c r="X197" i="35" s="1"/>
  <c r="H70" i="35"/>
  <c r="H74" i="35"/>
  <c r="BY157" i="35"/>
  <c r="BY156" i="35" s="1"/>
  <c r="W210" i="35"/>
  <c r="X210" i="35" s="1"/>
  <c r="W202" i="35"/>
  <c r="X202" i="35" s="1"/>
  <c r="W194" i="35"/>
  <c r="X194" i="35" s="1"/>
  <c r="W186" i="35"/>
  <c r="X186" i="35" s="1"/>
  <c r="W178" i="35"/>
  <c r="X178" i="35" s="1"/>
  <c r="W209" i="35"/>
  <c r="X209" i="35" s="1"/>
  <c r="W201" i="35"/>
  <c r="X201" i="35" s="1"/>
  <c r="W193" i="35"/>
  <c r="X193" i="35" s="1"/>
  <c r="W185" i="35"/>
  <c r="X185" i="35" s="1"/>
  <c r="W208" i="35"/>
  <c r="X208" i="35" s="1"/>
  <c r="W200" i="35"/>
  <c r="X200" i="35" s="1"/>
  <c r="W192" i="35"/>
  <c r="X192" i="35" s="1"/>
  <c r="W184" i="35"/>
  <c r="X184" i="35" s="1"/>
  <c r="W207" i="35"/>
  <c r="X207" i="35" s="1"/>
  <c r="W199" i="35"/>
  <c r="X199" i="35" s="1"/>
  <c r="W191" i="35"/>
  <c r="X191" i="35" s="1"/>
  <c r="W183" i="35"/>
  <c r="X183" i="35" s="1"/>
  <c r="W168" i="35"/>
  <c r="X168" i="35" s="1"/>
  <c r="W206" i="35"/>
  <c r="X206" i="35" s="1"/>
  <c r="W198" i="35"/>
  <c r="X198" i="35" s="1"/>
  <c r="W190" i="35"/>
  <c r="X190" i="35" s="1"/>
  <c r="W182" i="35"/>
  <c r="X182" i="35" s="1"/>
  <c r="W204" i="35"/>
  <c r="X204" i="35" s="1"/>
  <c r="W196" i="35"/>
  <c r="X196" i="35" s="1"/>
  <c r="W188" i="35"/>
  <c r="X188" i="35" s="1"/>
  <c r="W180" i="35"/>
  <c r="X180" i="35" s="1"/>
  <c r="W167" i="35"/>
  <c r="X167" i="35" s="1"/>
  <c r="CI172" i="35"/>
  <c r="CE174" i="35" s="1"/>
  <c r="W174" i="35"/>
  <c r="X174" i="35" s="1"/>
  <c r="H69" i="35"/>
  <c r="H71" i="35"/>
  <c r="H73" i="35"/>
  <c r="H75" i="35"/>
  <c r="H77" i="35"/>
  <c r="W173" i="35"/>
  <c r="X173" i="35" s="1"/>
  <c r="CJ177" i="35"/>
  <c r="CF169" i="35" s="1"/>
  <c r="CI177" i="35"/>
  <c r="CE169" i="35" s="1"/>
  <c r="CJ176" i="35"/>
  <c r="CF170" i="35" s="1"/>
  <c r="CJ175" i="35"/>
  <c r="CF171" i="35" s="1"/>
  <c r="CJ174" i="35"/>
  <c r="CF172" i="35" s="1"/>
  <c r="CJ173" i="35"/>
  <c r="CF173" i="35" s="1"/>
  <c r="CJ172" i="35"/>
  <c r="CF174" i="35" s="1"/>
  <c r="CJ171" i="35"/>
  <c r="CF175" i="35" s="1"/>
  <c r="CJ170" i="35"/>
  <c r="CF176" i="35" s="1"/>
  <c r="CJ169" i="35"/>
  <c r="CF177" i="35" s="1"/>
  <c r="W171" i="35"/>
  <c r="X171" i="35" s="1"/>
  <c r="W179" i="35"/>
  <c r="X179" i="35" s="1"/>
  <c r="W187" i="35"/>
  <c r="X187" i="35" s="1"/>
  <c r="W195" i="35"/>
  <c r="X195" i="35" s="1"/>
  <c r="W203" i="35"/>
  <c r="X203" i="35" s="1"/>
  <c r="W211" i="35"/>
  <c r="X211" i="35" s="1"/>
  <c r="BY160" i="35"/>
  <c r="S123" i="32"/>
  <c r="H37" i="34" s="1"/>
  <c r="F59" i="34" s="1"/>
  <c r="H70" i="32"/>
  <c r="H72" i="32"/>
  <c r="H74" i="32"/>
  <c r="H76" i="32"/>
  <c r="CI174" i="32"/>
  <c r="CE172" i="32" s="1"/>
  <c r="CI175" i="32"/>
  <c r="CE171" i="32" s="1"/>
  <c r="CI176" i="32"/>
  <c r="CE170" i="32" s="1"/>
  <c r="W170" i="32"/>
  <c r="X170" i="32" s="1"/>
  <c r="W174" i="32"/>
  <c r="X174" i="32" s="1"/>
  <c r="W176" i="32"/>
  <c r="X176" i="32" s="1"/>
  <c r="H69" i="32"/>
  <c r="H71" i="32"/>
  <c r="H73" i="32"/>
  <c r="H75" i="32"/>
  <c r="W173" i="32"/>
  <c r="X173" i="32" s="1"/>
  <c r="W181" i="32"/>
  <c r="X181" i="32" s="1"/>
  <c r="W189" i="32"/>
  <c r="X189" i="32" s="1"/>
  <c r="W197" i="32"/>
  <c r="X197" i="32" s="1"/>
  <c r="W210" i="32"/>
  <c r="X210" i="32" s="1"/>
  <c r="W202" i="32"/>
  <c r="X202" i="32" s="1"/>
  <c r="W194" i="32"/>
  <c r="X194" i="32" s="1"/>
  <c r="W186" i="32"/>
  <c r="X186" i="32" s="1"/>
  <c r="W178" i="32"/>
  <c r="X178" i="32" s="1"/>
  <c r="W209" i="32"/>
  <c r="X209" i="32" s="1"/>
  <c r="W201" i="32"/>
  <c r="X201" i="32" s="1"/>
  <c r="W193" i="32"/>
  <c r="X193" i="32" s="1"/>
  <c r="W185" i="32"/>
  <c r="X185" i="32" s="1"/>
  <c r="W208" i="32"/>
  <c r="X208" i="32" s="1"/>
  <c r="W200" i="32"/>
  <c r="X200" i="32" s="1"/>
  <c r="W192" i="32"/>
  <c r="X192" i="32" s="1"/>
  <c r="W184" i="32"/>
  <c r="X184" i="32" s="1"/>
  <c r="W207" i="32"/>
  <c r="X207" i="32" s="1"/>
  <c r="W199" i="32"/>
  <c r="X199" i="32" s="1"/>
  <c r="W191" i="32"/>
  <c r="X191" i="32" s="1"/>
  <c r="W183" i="32"/>
  <c r="X183" i="32" s="1"/>
  <c r="W168" i="32"/>
  <c r="X168" i="32" s="1"/>
  <c r="W206" i="32"/>
  <c r="X206" i="32" s="1"/>
  <c r="W198" i="32"/>
  <c r="X198" i="32" s="1"/>
  <c r="W190" i="32"/>
  <c r="X190" i="32" s="1"/>
  <c r="W182" i="32"/>
  <c r="X182" i="32" s="1"/>
  <c r="W204" i="32"/>
  <c r="X204" i="32" s="1"/>
  <c r="W196" i="32"/>
  <c r="X196" i="32" s="1"/>
  <c r="W188" i="32"/>
  <c r="X188" i="32" s="1"/>
  <c r="W180" i="32"/>
  <c r="X180" i="32" s="1"/>
  <c r="W167" i="32"/>
  <c r="X167" i="32" s="1"/>
  <c r="BG167" i="32"/>
  <c r="W175" i="32"/>
  <c r="X175" i="32" s="1"/>
  <c r="BN166" i="32"/>
  <c r="CJ177" i="32"/>
  <c r="CF169" i="32" s="1"/>
  <c r="CI177" i="32"/>
  <c r="CE169" i="32" s="1"/>
  <c r="CJ176" i="32"/>
  <c r="CF170" i="32" s="1"/>
  <c r="CJ175" i="32"/>
  <c r="CF171" i="32" s="1"/>
  <c r="CJ174" i="32"/>
  <c r="CF172" i="32" s="1"/>
  <c r="CJ173" i="32"/>
  <c r="CF173" i="32" s="1"/>
  <c r="CJ172" i="32"/>
  <c r="CF174" i="32" s="1"/>
  <c r="CJ171" i="32"/>
  <c r="CF175" i="32" s="1"/>
  <c r="CJ170" i="32"/>
  <c r="CF176" i="32" s="1"/>
  <c r="CJ169" i="32"/>
  <c r="CF177" i="32" s="1"/>
  <c r="W171" i="32"/>
  <c r="X171" i="32" s="1"/>
  <c r="W177" i="32"/>
  <c r="X177" i="32" s="1"/>
  <c r="BG166" i="32"/>
  <c r="AA225" i="32"/>
  <c r="AA226" i="32" s="1"/>
  <c r="W169" i="32"/>
  <c r="X169" i="32" s="1"/>
  <c r="CI171" i="32"/>
  <c r="CE175" i="32" s="1"/>
  <c r="W179" i="32"/>
  <c r="X179" i="32" s="1"/>
  <c r="W187" i="32"/>
  <c r="X187" i="32" s="1"/>
  <c r="W195" i="32"/>
  <c r="X195" i="32" s="1"/>
  <c r="W203" i="32"/>
  <c r="X203" i="32" s="1"/>
  <c r="W211" i="32"/>
  <c r="X211" i="32" s="1"/>
  <c r="CJ177" i="29"/>
  <c r="CF169" i="29" s="1"/>
  <c r="CI177" i="29"/>
  <c r="CE169" i="29" s="1"/>
  <c r="CJ176" i="29"/>
  <c r="CF170" i="29" s="1"/>
  <c r="CJ175" i="29"/>
  <c r="CF171" i="29" s="1"/>
  <c r="CJ174" i="29"/>
  <c r="CF172" i="29" s="1"/>
  <c r="CJ173" i="29"/>
  <c r="CF173" i="29" s="1"/>
  <c r="CJ172" i="29"/>
  <c r="CF174" i="29" s="1"/>
  <c r="CJ171" i="29"/>
  <c r="CF175" i="29" s="1"/>
  <c r="CJ170" i="29"/>
  <c r="CF176" i="29" s="1"/>
  <c r="CJ169" i="29"/>
  <c r="CF177" i="29" s="1"/>
  <c r="CI169" i="29"/>
  <c r="CE177" i="29" s="1"/>
  <c r="BZ161" i="29" s="1"/>
  <c r="CI174" i="29"/>
  <c r="CE172" i="29" s="1"/>
  <c r="W179" i="29"/>
  <c r="X179" i="29" s="1"/>
  <c r="W195" i="29"/>
  <c r="X195" i="29" s="1"/>
  <c r="W210" i="29"/>
  <c r="X210" i="29" s="1"/>
  <c r="W202" i="29"/>
  <c r="X202" i="29" s="1"/>
  <c r="W194" i="29"/>
  <c r="X194" i="29" s="1"/>
  <c r="W186" i="29"/>
  <c r="X186" i="29" s="1"/>
  <c r="W178" i="29"/>
  <c r="X178" i="29" s="1"/>
  <c r="W209" i="29"/>
  <c r="X209" i="29" s="1"/>
  <c r="W201" i="29"/>
  <c r="X201" i="29" s="1"/>
  <c r="W193" i="29"/>
  <c r="X193" i="29" s="1"/>
  <c r="W185" i="29"/>
  <c r="X185" i="29" s="1"/>
  <c r="W208" i="29"/>
  <c r="X208" i="29" s="1"/>
  <c r="W200" i="29"/>
  <c r="X200" i="29" s="1"/>
  <c r="W192" i="29"/>
  <c r="X192" i="29" s="1"/>
  <c r="W184" i="29"/>
  <c r="X184" i="29" s="1"/>
  <c r="W207" i="29"/>
  <c r="X207" i="29" s="1"/>
  <c r="W199" i="29"/>
  <c r="X199" i="29" s="1"/>
  <c r="W191" i="29"/>
  <c r="X191" i="29" s="1"/>
  <c r="W183" i="29"/>
  <c r="X183" i="29" s="1"/>
  <c r="W168" i="29"/>
  <c r="X168" i="29" s="1"/>
  <c r="W206" i="29"/>
  <c r="X206" i="29" s="1"/>
  <c r="W198" i="29"/>
  <c r="X198" i="29" s="1"/>
  <c r="W190" i="29"/>
  <c r="X190" i="29" s="1"/>
  <c r="W182" i="29"/>
  <c r="X182" i="29" s="1"/>
  <c r="W205" i="29"/>
  <c r="X205" i="29" s="1"/>
  <c r="W197" i="29"/>
  <c r="X197" i="29" s="1"/>
  <c r="W189" i="29"/>
  <c r="X189" i="29" s="1"/>
  <c r="W181" i="29"/>
  <c r="X181" i="29" s="1"/>
  <c r="W177" i="29"/>
  <c r="X177" i="29" s="1"/>
  <c r="W176" i="29"/>
  <c r="X176" i="29" s="1"/>
  <c r="W175" i="29"/>
  <c r="X175" i="29" s="1"/>
  <c r="W174" i="29"/>
  <c r="X174" i="29" s="1"/>
  <c r="W173" i="29"/>
  <c r="X173" i="29" s="1"/>
  <c r="W172" i="29"/>
  <c r="X172" i="29" s="1"/>
  <c r="W171" i="29"/>
  <c r="X171" i="29" s="1"/>
  <c r="W170" i="29"/>
  <c r="X170" i="29" s="1"/>
  <c r="W169" i="29"/>
  <c r="X169" i="29" s="1"/>
  <c r="W204" i="29"/>
  <c r="X204" i="29" s="1"/>
  <c r="W196" i="29"/>
  <c r="X196" i="29" s="1"/>
  <c r="W188" i="29"/>
  <c r="X188" i="29" s="1"/>
  <c r="W180" i="29"/>
  <c r="X180" i="29" s="1"/>
  <c r="W167" i="29"/>
  <c r="X167" i="29" s="1"/>
  <c r="BL166" i="29"/>
  <c r="BN166" i="29"/>
  <c r="CI173" i="29"/>
  <c r="CE173" i="29" s="1"/>
  <c r="H70" i="29"/>
  <c r="I76" i="29"/>
  <c r="I74" i="29"/>
  <c r="I70" i="29"/>
  <c r="I72" i="29"/>
  <c r="BG166" i="29"/>
  <c r="AA225" i="29"/>
  <c r="AA226" i="29" s="1"/>
  <c r="CI176" i="29"/>
  <c r="CE170" i="29" s="1"/>
  <c r="W187" i="29"/>
  <c r="X187" i="29" s="1"/>
  <c r="W203" i="29"/>
  <c r="X203" i="29" s="1"/>
  <c r="I75" i="29"/>
  <c r="CI171" i="29"/>
  <c r="CE175" i="29" s="1"/>
  <c r="CI172" i="29"/>
  <c r="CE174" i="29" s="1"/>
  <c r="CI175" i="29"/>
  <c r="CE171" i="29" s="1"/>
  <c r="I74" i="26"/>
  <c r="W210" i="26"/>
  <c r="X210" i="26" s="1"/>
  <c r="W202" i="26"/>
  <c r="X202" i="26" s="1"/>
  <c r="W194" i="26"/>
  <c r="X194" i="26" s="1"/>
  <c r="W186" i="26"/>
  <c r="X186" i="26" s="1"/>
  <c r="W178" i="26"/>
  <c r="X178" i="26" s="1"/>
  <c r="W209" i="26"/>
  <c r="X209" i="26" s="1"/>
  <c r="W201" i="26"/>
  <c r="X201" i="26" s="1"/>
  <c r="W193" i="26"/>
  <c r="X193" i="26" s="1"/>
  <c r="W185" i="26"/>
  <c r="X185" i="26" s="1"/>
  <c r="W208" i="26"/>
  <c r="X208" i="26" s="1"/>
  <c r="W200" i="26"/>
  <c r="X200" i="26" s="1"/>
  <c r="W192" i="26"/>
  <c r="X192" i="26" s="1"/>
  <c r="W184" i="26"/>
  <c r="X184" i="26" s="1"/>
  <c r="W207" i="26"/>
  <c r="X207" i="26" s="1"/>
  <c r="W199" i="26"/>
  <c r="X199" i="26" s="1"/>
  <c r="W191" i="26"/>
  <c r="X191" i="26" s="1"/>
  <c r="W183" i="26"/>
  <c r="X183" i="26" s="1"/>
  <c r="W168" i="26"/>
  <c r="X168" i="26" s="1"/>
  <c r="W204" i="26"/>
  <c r="X204" i="26" s="1"/>
  <c r="W196" i="26"/>
  <c r="X196" i="26" s="1"/>
  <c r="W188" i="26"/>
  <c r="X188" i="26" s="1"/>
  <c r="W180" i="26"/>
  <c r="X180" i="26" s="1"/>
  <c r="W167" i="26"/>
  <c r="X167" i="26" s="1"/>
  <c r="W211" i="26"/>
  <c r="X211" i="26" s="1"/>
  <c r="W203" i="26"/>
  <c r="X203" i="26" s="1"/>
  <c r="W195" i="26"/>
  <c r="X195" i="26" s="1"/>
  <c r="W187" i="26"/>
  <c r="X187" i="26" s="1"/>
  <c r="W179" i="26"/>
  <c r="X179" i="26" s="1"/>
  <c r="W169" i="26"/>
  <c r="X169" i="26" s="1"/>
  <c r="W170" i="26"/>
  <c r="X170" i="26" s="1"/>
  <c r="W171" i="26"/>
  <c r="X171" i="26" s="1"/>
  <c r="W172" i="26"/>
  <c r="X172" i="26" s="1"/>
  <c r="BJ166" i="26"/>
  <c r="I72" i="26"/>
  <c r="I76" i="26"/>
  <c r="AB225" i="26"/>
  <c r="AB226" i="26" s="1"/>
  <c r="I69" i="26"/>
  <c r="I71" i="26"/>
  <c r="I73" i="26"/>
  <c r="I75" i="26"/>
  <c r="I77" i="26"/>
  <c r="W175" i="26"/>
  <c r="X175" i="26" s="1"/>
  <c r="W182" i="26"/>
  <c r="X182" i="26" s="1"/>
  <c r="W190" i="26"/>
  <c r="X190" i="26" s="1"/>
  <c r="W198" i="26"/>
  <c r="X198" i="26" s="1"/>
  <c r="W206" i="26"/>
  <c r="X206" i="26" s="1"/>
  <c r="BG166" i="26"/>
  <c r="W181" i="26"/>
  <c r="X181" i="26" s="1"/>
  <c r="W189" i="26"/>
  <c r="X189" i="26" s="1"/>
  <c r="W197" i="26"/>
  <c r="X197" i="26" s="1"/>
  <c r="W205" i="26"/>
  <c r="X205" i="26" s="1"/>
  <c r="H70" i="26"/>
  <c r="H72" i="26"/>
  <c r="H74" i="26"/>
  <c r="BM166" i="26"/>
  <c r="CI169" i="26"/>
  <c r="CE177" i="26" s="1"/>
  <c r="CI170" i="26"/>
  <c r="CE176" i="26" s="1"/>
  <c r="CI171" i="26"/>
  <c r="CE175" i="26" s="1"/>
  <c r="CI172" i="26"/>
  <c r="CE174" i="26" s="1"/>
  <c r="CI173" i="26"/>
  <c r="CE173" i="26" s="1"/>
  <c r="CI174" i="26"/>
  <c r="CE172" i="26" s="1"/>
  <c r="CI175" i="26"/>
  <c r="CE171" i="26" s="1"/>
  <c r="CI176" i="26"/>
  <c r="CE170" i="26" s="1"/>
  <c r="BY160" i="26"/>
  <c r="CJ169" i="26"/>
  <c r="CF177" i="26" s="1"/>
  <c r="CJ170" i="26"/>
  <c r="CF176" i="26" s="1"/>
  <c r="CJ171" i="26"/>
  <c r="CF175" i="26" s="1"/>
  <c r="CJ172" i="26"/>
  <c r="CF174" i="26" s="1"/>
  <c r="CJ173" i="26"/>
  <c r="CF173" i="26" s="1"/>
  <c r="CJ174" i="26"/>
  <c r="CF172" i="26" s="1"/>
  <c r="CJ175" i="26"/>
  <c r="CF171" i="26" s="1"/>
  <c r="CJ176" i="26"/>
  <c r="CF170" i="26" s="1"/>
  <c r="CI177" i="26"/>
  <c r="CE169" i="26" s="1"/>
  <c r="BI166" i="23"/>
  <c r="H76" i="23"/>
  <c r="CJ169" i="23"/>
  <c r="CF177" i="23" s="1"/>
  <c r="W173" i="23"/>
  <c r="X173" i="23" s="1"/>
  <c r="W189" i="23"/>
  <c r="X189" i="23" s="1"/>
  <c r="W205" i="23"/>
  <c r="X205" i="23" s="1"/>
  <c r="H74" i="23"/>
  <c r="BP157" i="23"/>
  <c r="BV158" i="23" s="1"/>
  <c r="W170" i="23"/>
  <c r="X170" i="23" s="1"/>
  <c r="W187" i="23"/>
  <c r="X187" i="23" s="1"/>
  <c r="W188" i="23"/>
  <c r="X188" i="23" s="1"/>
  <c r="W203" i="23"/>
  <c r="X203" i="23" s="1"/>
  <c r="BY157" i="23"/>
  <c r="BY156" i="23" s="1"/>
  <c r="W210" i="23"/>
  <c r="X210" i="23" s="1"/>
  <c r="W202" i="23"/>
  <c r="X202" i="23" s="1"/>
  <c r="W194" i="23"/>
  <c r="X194" i="23" s="1"/>
  <c r="W186" i="23"/>
  <c r="X186" i="23" s="1"/>
  <c r="W178" i="23"/>
  <c r="X178" i="23" s="1"/>
  <c r="W209" i="23"/>
  <c r="X209" i="23" s="1"/>
  <c r="W201" i="23"/>
  <c r="X201" i="23" s="1"/>
  <c r="W193" i="23"/>
  <c r="X193" i="23" s="1"/>
  <c r="W185" i="23"/>
  <c r="X185" i="23" s="1"/>
  <c r="W208" i="23"/>
  <c r="X208" i="23" s="1"/>
  <c r="W200" i="23"/>
  <c r="X200" i="23" s="1"/>
  <c r="W192" i="23"/>
  <c r="X192" i="23" s="1"/>
  <c r="W184" i="23"/>
  <c r="X184" i="23" s="1"/>
  <c r="W207" i="23"/>
  <c r="X207" i="23" s="1"/>
  <c r="W199" i="23"/>
  <c r="X199" i="23" s="1"/>
  <c r="W191" i="23"/>
  <c r="X191" i="23" s="1"/>
  <c r="W183" i="23"/>
  <c r="X183" i="23" s="1"/>
  <c r="W168" i="23"/>
  <c r="X168" i="23" s="1"/>
  <c r="W206" i="23"/>
  <c r="X206" i="23" s="1"/>
  <c r="W198" i="23"/>
  <c r="X198" i="23" s="1"/>
  <c r="W190" i="23"/>
  <c r="X190" i="23" s="1"/>
  <c r="W182" i="23"/>
  <c r="X182" i="23" s="1"/>
  <c r="CJ177" i="23"/>
  <c r="CF169" i="23" s="1"/>
  <c r="CI177" i="23"/>
  <c r="CE169" i="23" s="1"/>
  <c r="CJ171" i="23"/>
  <c r="CF175" i="23" s="1"/>
  <c r="H69" i="23"/>
  <c r="H71" i="23"/>
  <c r="H73" i="23"/>
  <c r="H75" i="23"/>
  <c r="H77" i="23"/>
  <c r="BJ166" i="23"/>
  <c r="BY160" i="23"/>
  <c r="AA225" i="23"/>
  <c r="AA226" i="23" s="1"/>
  <c r="W172" i="23"/>
  <c r="X172" i="23" s="1"/>
  <c r="W169" i="23"/>
  <c r="X169" i="23" s="1"/>
  <c r="CI170" i="23"/>
  <c r="CE176" i="23" s="1"/>
  <c r="CI174" i="23"/>
  <c r="CE172" i="23" s="1"/>
  <c r="CI175" i="23"/>
  <c r="CE171" i="23" s="1"/>
  <c r="W181" i="23"/>
  <c r="X181" i="23" s="1"/>
  <c r="W197" i="23"/>
  <c r="X197" i="23" s="1"/>
  <c r="H70" i="23"/>
  <c r="W167" i="23"/>
  <c r="X167" i="23" s="1"/>
  <c r="CJ170" i="23"/>
  <c r="CF176" i="23" s="1"/>
  <c r="CI173" i="23"/>
  <c r="CE173" i="23" s="1"/>
  <c r="CJ174" i="23"/>
  <c r="CF172" i="23" s="1"/>
  <c r="CJ175" i="23"/>
  <c r="CF171" i="23" s="1"/>
  <c r="CI176" i="23"/>
  <c r="CE170" i="23" s="1"/>
  <c r="W179" i="23"/>
  <c r="X179" i="23" s="1"/>
  <c r="W180" i="23"/>
  <c r="X180" i="23" s="1"/>
  <c r="W195" i="23"/>
  <c r="X195" i="23" s="1"/>
  <c r="W196" i="23"/>
  <c r="X196" i="23" s="1"/>
  <c r="W211" i="23"/>
  <c r="X211" i="23" s="1"/>
  <c r="CI170" i="20"/>
  <c r="CE176" i="20" s="1"/>
  <c r="CI175" i="20"/>
  <c r="CE171" i="20" s="1"/>
  <c r="CI176" i="20"/>
  <c r="CE170" i="20" s="1"/>
  <c r="H70" i="20"/>
  <c r="H74" i="20"/>
  <c r="W210" i="20"/>
  <c r="X210" i="20" s="1"/>
  <c r="W202" i="20"/>
  <c r="X202" i="20" s="1"/>
  <c r="W194" i="20"/>
  <c r="X194" i="20" s="1"/>
  <c r="W186" i="20"/>
  <c r="X186" i="20" s="1"/>
  <c r="W178" i="20"/>
  <c r="X178" i="20" s="1"/>
  <c r="W209" i="20"/>
  <c r="X209" i="20" s="1"/>
  <c r="W201" i="20"/>
  <c r="X201" i="20" s="1"/>
  <c r="W193" i="20"/>
  <c r="X193" i="20" s="1"/>
  <c r="W185" i="20"/>
  <c r="X185" i="20" s="1"/>
  <c r="W208" i="20"/>
  <c r="X208" i="20" s="1"/>
  <c r="W200" i="20"/>
  <c r="X200" i="20" s="1"/>
  <c r="W192" i="20"/>
  <c r="X192" i="20" s="1"/>
  <c r="W184" i="20"/>
  <c r="X184" i="20" s="1"/>
  <c r="W207" i="20"/>
  <c r="X207" i="20" s="1"/>
  <c r="W199" i="20"/>
  <c r="X199" i="20" s="1"/>
  <c r="W191" i="20"/>
  <c r="X191" i="20" s="1"/>
  <c r="W183" i="20"/>
  <c r="X183" i="20" s="1"/>
  <c r="W168" i="20"/>
  <c r="X168" i="20" s="1"/>
  <c r="X214" i="20" s="1"/>
  <c r="W206" i="20"/>
  <c r="X206" i="20" s="1"/>
  <c r="W198" i="20"/>
  <c r="X198" i="20" s="1"/>
  <c r="W190" i="20"/>
  <c r="X190" i="20" s="1"/>
  <c r="W182" i="20"/>
  <c r="X182" i="20" s="1"/>
  <c r="W204" i="20"/>
  <c r="X204" i="20" s="1"/>
  <c r="W196" i="20"/>
  <c r="X196" i="20" s="1"/>
  <c r="W188" i="20"/>
  <c r="X188" i="20" s="1"/>
  <c r="W180" i="20"/>
  <c r="X180" i="20" s="1"/>
  <c r="X167" i="20"/>
  <c r="W169" i="20"/>
  <c r="X169" i="20" s="1"/>
  <c r="CI171" i="20"/>
  <c r="CE175" i="20" s="1"/>
  <c r="W181" i="20"/>
  <c r="X181" i="20" s="1"/>
  <c r="W189" i="20"/>
  <c r="X189" i="20" s="1"/>
  <c r="W197" i="20"/>
  <c r="X197" i="20" s="1"/>
  <c r="W205" i="20"/>
  <c r="X205" i="20" s="1"/>
  <c r="H76" i="20"/>
  <c r="CJ177" i="20"/>
  <c r="CF169" i="20" s="1"/>
  <c r="CI177" i="20"/>
  <c r="CE169" i="20" s="1"/>
  <c r="CJ176" i="20"/>
  <c r="CF170" i="20" s="1"/>
  <c r="CJ175" i="20"/>
  <c r="CF171" i="20" s="1"/>
  <c r="CJ174" i="20"/>
  <c r="CF172" i="20" s="1"/>
  <c r="CJ173" i="20"/>
  <c r="CF173" i="20" s="1"/>
  <c r="CJ172" i="20"/>
  <c r="CF174" i="20" s="1"/>
  <c r="CJ171" i="20"/>
  <c r="CF175" i="20" s="1"/>
  <c r="CJ170" i="20"/>
  <c r="CF176" i="20" s="1"/>
  <c r="CJ169" i="20"/>
  <c r="CF177" i="20" s="1"/>
  <c r="AL168" i="20"/>
  <c r="W172" i="20"/>
  <c r="X172" i="20" s="1"/>
  <c r="W174" i="20"/>
  <c r="X174" i="20" s="1"/>
  <c r="H72" i="20"/>
  <c r="H69" i="20"/>
  <c r="H71" i="20"/>
  <c r="H73" i="20"/>
  <c r="H75" i="20"/>
  <c r="CI169" i="20"/>
  <c r="CE177" i="20" s="1"/>
  <c r="CI172" i="20"/>
  <c r="CE174" i="20" s="1"/>
  <c r="CI174" i="20"/>
  <c r="CE172" i="20" s="1"/>
  <c r="W170" i="20"/>
  <c r="X170" i="20" s="1"/>
  <c r="W173" i="20"/>
  <c r="X173" i="20" s="1"/>
  <c r="W179" i="20"/>
  <c r="X179" i="20" s="1"/>
  <c r="W187" i="20"/>
  <c r="X187" i="20" s="1"/>
  <c r="W195" i="20"/>
  <c r="X195" i="20" s="1"/>
  <c r="W203" i="20"/>
  <c r="X203" i="20" s="1"/>
  <c r="W211" i="20"/>
  <c r="X211" i="20" s="1"/>
  <c r="H72" i="1"/>
  <c r="J74" i="1"/>
  <c r="I77" i="1"/>
  <c r="H80" i="1"/>
  <c r="I72" i="1"/>
  <c r="H75" i="1"/>
  <c r="J77" i="1"/>
  <c r="I80" i="1"/>
  <c r="J72" i="1"/>
  <c r="I75" i="1"/>
  <c r="H78" i="1"/>
  <c r="J80" i="1"/>
  <c r="I70" i="1"/>
  <c r="H73" i="1"/>
  <c r="J75" i="1"/>
  <c r="I78" i="1"/>
  <c r="H81" i="1"/>
  <c r="J70" i="1"/>
  <c r="I73" i="1"/>
  <c r="H76" i="1"/>
  <c r="J78" i="1"/>
  <c r="I81" i="1"/>
  <c r="BY157" i="1"/>
  <c r="BY156" i="1" s="1"/>
  <c r="BY160" i="1"/>
  <c r="I74" i="5"/>
  <c r="I76" i="5"/>
  <c r="I72" i="5"/>
  <c r="I75" i="5"/>
  <c r="I71" i="5"/>
  <c r="I70" i="5"/>
  <c r="I77" i="5"/>
  <c r="I73" i="5"/>
  <c r="I69" i="5"/>
  <c r="BP157" i="8"/>
  <c r="BV158" i="8" s="1"/>
  <c r="BP158" i="8"/>
  <c r="BV163" i="8" s="1"/>
  <c r="AB174" i="38" l="1"/>
  <c r="AB214" i="38" s="1"/>
  <c r="AB215" i="38" s="1"/>
  <c r="AB216" i="38" s="1"/>
  <c r="H272" i="38" s="1"/>
  <c r="H56" i="38" s="1"/>
  <c r="AD172" i="38"/>
  <c r="AD170" i="38"/>
  <c r="AD169" i="38"/>
  <c r="AD177" i="38"/>
  <c r="AD173" i="38"/>
  <c r="AD171" i="38"/>
  <c r="AD178" i="38"/>
  <c r="AD168" i="38"/>
  <c r="AH175" i="38"/>
  <c r="AH176" i="38"/>
  <c r="AJ179" i="38"/>
  <c r="AK180" i="38"/>
  <c r="X214" i="41"/>
  <c r="Z190" i="38"/>
  <c r="Y190" i="38" s="1"/>
  <c r="Z196" i="38"/>
  <c r="Z180" i="38"/>
  <c r="Y180" i="38" s="1"/>
  <c r="U81" i="38" s="1"/>
  <c r="Z198" i="38"/>
  <c r="Z188" i="38"/>
  <c r="Y188" i="38" s="1"/>
  <c r="Z204" i="38"/>
  <c r="Z175" i="38"/>
  <c r="Y175" i="38" s="1"/>
  <c r="U76" i="38" s="1"/>
  <c r="Z206" i="38"/>
  <c r="Z212" i="38"/>
  <c r="Z182" i="38"/>
  <c r="Y182" i="38" s="1"/>
  <c r="U83" i="38" s="1"/>
  <c r="Z169" i="38"/>
  <c r="Y169" i="38" s="1"/>
  <c r="U70" i="38" s="1"/>
  <c r="Z195" i="38"/>
  <c r="Z178" i="38"/>
  <c r="Y178" i="38" s="1"/>
  <c r="U79" i="38" s="1"/>
  <c r="Z208" i="38"/>
  <c r="Z191" i="38"/>
  <c r="Y191" i="38" s="1"/>
  <c r="Z181" i="38"/>
  <c r="Y181" i="38" s="1"/>
  <c r="U82" i="38" s="1"/>
  <c r="Z187" i="38"/>
  <c r="Y187" i="38" s="1"/>
  <c r="U88" i="38" s="1"/>
  <c r="Z172" i="38"/>
  <c r="Y172" i="38" s="1"/>
  <c r="U73" i="38" s="1"/>
  <c r="Z200" i="38"/>
  <c r="Z183" i="38"/>
  <c r="Y183" i="38" s="1"/>
  <c r="U84" i="38" s="1"/>
  <c r="Z179" i="38"/>
  <c r="Y179" i="38" s="1"/>
  <c r="U80" i="38" s="1"/>
  <c r="Z192" i="38"/>
  <c r="Y192" i="38" s="1"/>
  <c r="Z168" i="38"/>
  <c r="Y168" i="38" s="1"/>
  <c r="U69" i="38" s="1"/>
  <c r="Z199" i="38"/>
  <c r="Z209" i="38"/>
  <c r="Z173" i="38"/>
  <c r="Y173" i="38" s="1"/>
  <c r="U74" i="38" s="1"/>
  <c r="Z201" i="38"/>
  <c r="Z184" i="38"/>
  <c r="Y184" i="38" s="1"/>
  <c r="U85" i="38" s="1"/>
  <c r="Z213" i="38"/>
  <c r="Z210" i="38"/>
  <c r="Z193" i="38"/>
  <c r="Y193" i="38" s="1"/>
  <c r="Z176" i="38"/>
  <c r="Y176" i="38" s="1"/>
  <c r="U77" i="38" s="1"/>
  <c r="Z205" i="38"/>
  <c r="Z203" i="38"/>
  <c r="Z174" i="38"/>
  <c r="Y174" i="38" s="1"/>
  <c r="U75" i="38" s="1"/>
  <c r="Z202" i="38"/>
  <c r="Z185" i="38"/>
  <c r="Y185" i="38" s="1"/>
  <c r="U86" i="38" s="1"/>
  <c r="Z170" i="38"/>
  <c r="Y170" i="38" s="1"/>
  <c r="U71" i="38" s="1"/>
  <c r="Z197" i="38"/>
  <c r="Z171" i="38"/>
  <c r="Y171" i="38" s="1"/>
  <c r="U72" i="38" s="1"/>
  <c r="Z211" i="38"/>
  <c r="Z194" i="38"/>
  <c r="Z177" i="38"/>
  <c r="Y177" i="38" s="1"/>
  <c r="U78" i="38" s="1"/>
  <c r="Z207" i="38"/>
  <c r="Z189" i="38"/>
  <c r="Y189" i="38" s="1"/>
  <c r="Z186" i="38"/>
  <c r="Y186" i="38" s="1"/>
  <c r="U87" i="38" s="1"/>
  <c r="AC174" i="38"/>
  <c r="AC214" i="38" s="1"/>
  <c r="AC215" i="38" s="1"/>
  <c r="AC216" i="38" s="1"/>
  <c r="I272" i="38" s="1"/>
  <c r="I56" i="38" s="1"/>
  <c r="AD174" i="38"/>
  <c r="AE178" i="38"/>
  <c r="AE174" i="38"/>
  <c r="AE173" i="38"/>
  <c r="AE177" i="38"/>
  <c r="AE168" i="38"/>
  <c r="AE169" i="38"/>
  <c r="AE171" i="38"/>
  <c r="AE172" i="38"/>
  <c r="AE170" i="38"/>
  <c r="AF178" i="38"/>
  <c r="AF177" i="38"/>
  <c r="AF168" i="38"/>
  <c r="AF173" i="38"/>
  <c r="AF170" i="38"/>
  <c r="AF169" i="38"/>
  <c r="AF172" i="38"/>
  <c r="AF174" i="38"/>
  <c r="AF171" i="38"/>
  <c r="AG169" i="38"/>
  <c r="AG171" i="38"/>
  <c r="AG170" i="38"/>
  <c r="AG172" i="38"/>
  <c r="AG177" i="38"/>
  <c r="AG178" i="38"/>
  <c r="AG173" i="38"/>
  <c r="AG168" i="38"/>
  <c r="AG174" i="38"/>
  <c r="AH177" i="38"/>
  <c r="AH178" i="38"/>
  <c r="AH172" i="38"/>
  <c r="AH169" i="38"/>
  <c r="AH171" i="38"/>
  <c r="AH170" i="38"/>
  <c r="AH168" i="38"/>
  <c r="AH174" i="38"/>
  <c r="AH173" i="38"/>
  <c r="AI170" i="38"/>
  <c r="AI169" i="38"/>
  <c r="AI172" i="38"/>
  <c r="AI171" i="38"/>
  <c r="AI173" i="38"/>
  <c r="AI175" i="38"/>
  <c r="AI168" i="38"/>
  <c r="AI176" i="38"/>
  <c r="AI177" i="38"/>
  <c r="AI174" i="38"/>
  <c r="AI178" i="38"/>
  <c r="AJ170" i="38"/>
  <c r="AJ176" i="38"/>
  <c r="AJ173" i="38"/>
  <c r="AJ175" i="38"/>
  <c r="AJ171" i="38"/>
  <c r="AJ169" i="38"/>
  <c r="AJ178" i="38"/>
  <c r="AJ177" i="38"/>
  <c r="AJ172" i="38"/>
  <c r="AJ174" i="38"/>
  <c r="AJ168" i="38"/>
  <c r="AK175" i="38"/>
  <c r="AK171" i="38"/>
  <c r="AK170" i="38"/>
  <c r="AK169" i="38"/>
  <c r="AK173" i="38"/>
  <c r="AK174" i="38"/>
  <c r="AK172" i="38"/>
  <c r="AK179" i="38"/>
  <c r="AK176" i="38"/>
  <c r="AK177" i="38"/>
  <c r="AK178" i="38"/>
  <c r="AK168" i="38"/>
  <c r="BZ159" i="44"/>
  <c r="X214" i="38"/>
  <c r="Q272" i="23"/>
  <c r="AA126" i="23"/>
  <c r="Q272" i="20"/>
  <c r="AA126" i="20"/>
  <c r="Q272" i="26"/>
  <c r="AA126" i="26"/>
  <c r="BZ161" i="50"/>
  <c r="S123" i="50" s="1"/>
  <c r="H37" i="52" s="1"/>
  <c r="F59" i="52" s="1"/>
  <c r="BZ161" i="41"/>
  <c r="S123" i="41" s="1"/>
  <c r="H37" i="43" s="1"/>
  <c r="F59" i="43" s="1"/>
  <c r="BV164" i="38"/>
  <c r="Q272" i="50"/>
  <c r="AA126" i="50"/>
  <c r="H82" i="72"/>
  <c r="H76" i="72"/>
  <c r="H74" i="72"/>
  <c r="H66" i="72"/>
  <c r="H73" i="72"/>
  <c r="H84" i="72"/>
  <c r="H81" i="72"/>
  <c r="H69" i="72"/>
  <c r="H83" i="72"/>
  <c r="H64" i="72"/>
  <c r="H68" i="72"/>
  <c r="H63" i="72"/>
  <c r="H72" i="72"/>
  <c r="H77" i="72"/>
  <c r="F27" i="21"/>
  <c r="C12" i="21" s="1"/>
  <c r="C19" i="21" s="1"/>
  <c r="AL214" i="29"/>
  <c r="S120" i="29" s="1"/>
  <c r="F28" i="30" s="1"/>
  <c r="BZ161" i="20"/>
  <c r="F27" i="36"/>
  <c r="C12" i="36" s="1"/>
  <c r="C25" i="37" s="1"/>
  <c r="C31" i="37" s="1"/>
  <c r="F27" i="33"/>
  <c r="C12" i="33" s="1"/>
  <c r="C25" i="34" s="1"/>
  <c r="C31" i="34" s="1"/>
  <c r="F27" i="45"/>
  <c r="C12" i="45" s="1"/>
  <c r="C25" i="46" s="1"/>
  <c r="C31" i="46" s="1"/>
  <c r="I38" i="55"/>
  <c r="G62" i="55" s="1"/>
  <c r="F27" i="54"/>
  <c r="C12" i="54" s="1"/>
  <c r="C25" i="55" s="1"/>
  <c r="C31" i="55" s="1"/>
  <c r="AL214" i="26"/>
  <c r="AM214" i="26"/>
  <c r="AL214" i="44"/>
  <c r="S120" i="44" s="1"/>
  <c r="F28" i="45" s="1"/>
  <c r="AD15" i="45" s="1"/>
  <c r="AD19" i="45" s="1"/>
  <c r="AM214" i="20"/>
  <c r="AM214" i="35"/>
  <c r="AJ216" i="26"/>
  <c r="P272" i="26" s="1"/>
  <c r="P56" i="26" s="1"/>
  <c r="AB216" i="26"/>
  <c r="H272" i="26" s="1"/>
  <c r="H56" i="26" s="1"/>
  <c r="Z216" i="26"/>
  <c r="AC216" i="26"/>
  <c r="I272" i="26" s="1"/>
  <c r="I56" i="26" s="1"/>
  <c r="AE216" i="26"/>
  <c r="K272" i="26" s="1"/>
  <c r="K56" i="26" s="1"/>
  <c r="AI216" i="26"/>
  <c r="O272" i="26" s="1"/>
  <c r="O56" i="26" s="1"/>
  <c r="AH216" i="26"/>
  <c r="N272" i="26" s="1"/>
  <c r="N56" i="26" s="1"/>
  <c r="AF216" i="26"/>
  <c r="L272" i="26" s="1"/>
  <c r="L56" i="26" s="1"/>
  <c r="AG216" i="26"/>
  <c r="M272" i="26" s="1"/>
  <c r="M56" i="26" s="1"/>
  <c r="AD216" i="26"/>
  <c r="J272" i="26" s="1"/>
  <c r="J56" i="26" s="1"/>
  <c r="AA216" i="26"/>
  <c r="G272" i="26" s="1"/>
  <c r="G56" i="26" s="1"/>
  <c r="AA216" i="20"/>
  <c r="G272" i="20" s="1"/>
  <c r="G56" i="20" s="1"/>
  <c r="AL214" i="1"/>
  <c r="AL214" i="50"/>
  <c r="S120" i="50" s="1"/>
  <c r="F28" i="51" s="1"/>
  <c r="BZ161" i="23"/>
  <c r="AM214" i="1"/>
  <c r="AL215" i="5"/>
  <c r="AM214" i="50"/>
  <c r="BV157" i="32"/>
  <c r="Y176" i="32"/>
  <c r="Y207" i="32"/>
  <c r="Y183" i="32"/>
  <c r="Y169" i="32"/>
  <c r="Y211" i="32"/>
  <c r="Y188" i="32"/>
  <c r="Y203" i="32"/>
  <c r="Y192" i="32"/>
  <c r="Y196" i="32"/>
  <c r="Y170" i="32"/>
  <c r="Y174" i="32"/>
  <c r="Y181" i="32"/>
  <c r="Y209" i="32"/>
  <c r="Y201" i="32"/>
  <c r="Y186" i="32"/>
  <c r="Y191" i="32"/>
  <c r="Y195" i="32"/>
  <c r="Y199" i="32"/>
  <c r="Y204" i="32"/>
  <c r="Y210" i="32"/>
  <c r="G272" i="32"/>
  <c r="G56" i="32" s="1"/>
  <c r="Y206" i="32"/>
  <c r="Y213" i="32"/>
  <c r="Y173" i="32"/>
  <c r="Y175" i="32"/>
  <c r="Y177" i="32"/>
  <c r="Y168" i="32"/>
  <c r="Y194" i="32"/>
  <c r="Y198" i="32"/>
  <c r="Y202" i="32"/>
  <c r="Y167" i="32"/>
  <c r="Y185" i="32"/>
  <c r="Y184" i="32"/>
  <c r="Y212" i="32"/>
  <c r="Y190" i="32"/>
  <c r="Y205" i="32"/>
  <c r="Y180" i="32"/>
  <c r="Y189" i="32"/>
  <c r="Y187" i="32"/>
  <c r="Y178" i="32"/>
  <c r="Y208" i="32"/>
  <c r="Y182" i="32"/>
  <c r="Y171" i="32"/>
  <c r="Y200" i="32"/>
  <c r="Y193" i="32"/>
  <c r="Y197" i="32"/>
  <c r="Y179" i="32"/>
  <c r="G272" i="38"/>
  <c r="G56" i="38" s="1"/>
  <c r="AL214" i="32"/>
  <c r="AM215" i="5"/>
  <c r="AL214" i="53"/>
  <c r="AL214" i="35"/>
  <c r="S58" i="35" s="1"/>
  <c r="AM214" i="44"/>
  <c r="AM214" i="41"/>
  <c r="G272" i="41"/>
  <c r="G56" i="41" s="1"/>
  <c r="H272" i="41"/>
  <c r="H56" i="41" s="1"/>
  <c r="AM214" i="47"/>
  <c r="AL214" i="23"/>
  <c r="AM214" i="53"/>
  <c r="Z167" i="1"/>
  <c r="Z210" i="26"/>
  <c r="Y210" i="26" s="1"/>
  <c r="Z202" i="26"/>
  <c r="Y202" i="26" s="1"/>
  <c r="Z194" i="26"/>
  <c r="Y194" i="26" s="1"/>
  <c r="Z186" i="26"/>
  <c r="Y186" i="26" s="1"/>
  <c r="Z178" i="26"/>
  <c r="Y178" i="26" s="1"/>
  <c r="Z170" i="26"/>
  <c r="Y170" i="26" s="1"/>
  <c r="Z213" i="26"/>
  <c r="Y213" i="26" s="1"/>
  <c r="Z205" i="26"/>
  <c r="Y205" i="26" s="1"/>
  <c r="Z197" i="26"/>
  <c r="Y197" i="26" s="1"/>
  <c r="Z189" i="26"/>
  <c r="Y189" i="26" s="1"/>
  <c r="Z181" i="26"/>
  <c r="Y181" i="26" s="1"/>
  <c r="Z173" i="26"/>
  <c r="Y173" i="26" s="1"/>
  <c r="Z208" i="26"/>
  <c r="Y208" i="26" s="1"/>
  <c r="Z200" i="26"/>
  <c r="Y200" i="26" s="1"/>
  <c r="Z192" i="26"/>
  <c r="Y192" i="26" s="1"/>
  <c r="Z184" i="26"/>
  <c r="Y184" i="26" s="1"/>
  <c r="Z176" i="26"/>
  <c r="Y176" i="26" s="1"/>
  <c r="Z168" i="26"/>
  <c r="Y168" i="26" s="1"/>
  <c r="Z211" i="26"/>
  <c r="Y211" i="26" s="1"/>
  <c r="Z203" i="26"/>
  <c r="Y203" i="26" s="1"/>
  <c r="Z195" i="26"/>
  <c r="Y195" i="26" s="1"/>
  <c r="Z187" i="26"/>
  <c r="Y187" i="26" s="1"/>
  <c r="Z179" i="26"/>
  <c r="Y179" i="26" s="1"/>
  <c r="Z171" i="26"/>
  <c r="Y171" i="26" s="1"/>
  <c r="Z206" i="26"/>
  <c r="Y206" i="26" s="1"/>
  <c r="Z198" i="26"/>
  <c r="Y198" i="26" s="1"/>
  <c r="Z190" i="26"/>
  <c r="Y190" i="26" s="1"/>
  <c r="Z182" i="26"/>
  <c r="Y182" i="26" s="1"/>
  <c r="Z174" i="26"/>
  <c r="Y174" i="26" s="1"/>
  <c r="Z209" i="26"/>
  <c r="Y209" i="26" s="1"/>
  <c r="Z201" i="26"/>
  <c r="Y201" i="26" s="1"/>
  <c r="Z193" i="26"/>
  <c r="Y193" i="26" s="1"/>
  <c r="Z185" i="26"/>
  <c r="Y185" i="26" s="1"/>
  <c r="Z177" i="26"/>
  <c r="Y177" i="26" s="1"/>
  <c r="Z169" i="26"/>
  <c r="Y169" i="26" s="1"/>
  <c r="Z212" i="26"/>
  <c r="Y212" i="26" s="1"/>
  <c r="Z204" i="26"/>
  <c r="Y204" i="26" s="1"/>
  <c r="Z196" i="26"/>
  <c r="Y196" i="26" s="1"/>
  <c r="Z188" i="26"/>
  <c r="Y188" i="26" s="1"/>
  <c r="Z180" i="26"/>
  <c r="Y180" i="26" s="1"/>
  <c r="Z172" i="26"/>
  <c r="Y172" i="26" s="1"/>
  <c r="Z167" i="26"/>
  <c r="Y167" i="26" s="1"/>
  <c r="Z207" i="26"/>
  <c r="Y207" i="26" s="1"/>
  <c r="Z199" i="26"/>
  <c r="Y199" i="26" s="1"/>
  <c r="Z175" i="26"/>
  <c r="Y175" i="26" s="1"/>
  <c r="Z191" i="26"/>
  <c r="Y191" i="26" s="1"/>
  <c r="Z183" i="26"/>
  <c r="Y183" i="26" s="1"/>
  <c r="AL214" i="47"/>
  <c r="AM214" i="23"/>
  <c r="AL214" i="38"/>
  <c r="AL214" i="8"/>
  <c r="G272" i="35"/>
  <c r="G56" i="35" s="1"/>
  <c r="I272" i="35"/>
  <c r="I56" i="35" s="1"/>
  <c r="H272" i="35"/>
  <c r="H56" i="35" s="1"/>
  <c r="BV164" i="41"/>
  <c r="I38" i="46"/>
  <c r="G62" i="46" s="1"/>
  <c r="Z216" i="50"/>
  <c r="K272" i="50"/>
  <c r="K56" i="50" s="1"/>
  <c r="L272" i="50"/>
  <c r="L56" i="50" s="1"/>
  <c r="N272" i="50"/>
  <c r="N56" i="50" s="1"/>
  <c r="J272" i="50"/>
  <c r="J56" i="50" s="1"/>
  <c r="P272" i="50"/>
  <c r="P56" i="50" s="1"/>
  <c r="H272" i="50"/>
  <c r="H56" i="50" s="1"/>
  <c r="O272" i="50"/>
  <c r="O56" i="50" s="1"/>
  <c r="G272" i="50"/>
  <c r="G56" i="50" s="1"/>
  <c r="M272" i="50"/>
  <c r="M56" i="50" s="1"/>
  <c r="I272" i="50"/>
  <c r="I56" i="50" s="1"/>
  <c r="Z216" i="53"/>
  <c r="Z216" i="20"/>
  <c r="BV157" i="20"/>
  <c r="I272" i="23"/>
  <c r="I56" i="23" s="1"/>
  <c r="N272" i="23"/>
  <c r="N56" i="23" s="1"/>
  <c r="M272" i="23"/>
  <c r="M56" i="23" s="1"/>
  <c r="K272" i="23"/>
  <c r="K56" i="23" s="1"/>
  <c r="O272" i="23"/>
  <c r="O56" i="23" s="1"/>
  <c r="H272" i="23"/>
  <c r="H56" i="23" s="1"/>
  <c r="L272" i="23"/>
  <c r="L56" i="23" s="1"/>
  <c r="G272" i="23"/>
  <c r="G56" i="23" s="1"/>
  <c r="P272" i="23"/>
  <c r="P56" i="23" s="1"/>
  <c r="J272" i="23"/>
  <c r="J56" i="23" s="1"/>
  <c r="F272" i="44"/>
  <c r="F56" i="44" s="1"/>
  <c r="C65" i="44"/>
  <c r="AM214" i="38"/>
  <c r="AM214" i="29"/>
  <c r="AM214" i="8"/>
  <c r="AL214" i="41"/>
  <c r="S58" i="41" s="1"/>
  <c r="H115" i="29"/>
  <c r="H49" i="29" s="1"/>
  <c r="H267" i="53"/>
  <c r="I54" i="59" s="1"/>
  <c r="H267" i="38"/>
  <c r="I39" i="59" s="1"/>
  <c r="F28" i="21"/>
  <c r="AL15" i="21" s="1"/>
  <c r="AL19" i="21" s="1"/>
  <c r="AL214" i="20"/>
  <c r="I38" i="28"/>
  <c r="G62" i="28" s="1"/>
  <c r="F27" i="42"/>
  <c r="C12" i="42" s="1"/>
  <c r="C25" i="43" s="1"/>
  <c r="C31" i="43" s="1"/>
  <c r="H115" i="20"/>
  <c r="H49" i="20" s="1"/>
  <c r="F27" i="27"/>
  <c r="C12" i="27" s="1"/>
  <c r="C25" i="28" s="1"/>
  <c r="C31" i="28" s="1"/>
  <c r="I38" i="52"/>
  <c r="G62" i="52" s="1"/>
  <c r="H267" i="8"/>
  <c r="I35" i="59" s="1"/>
  <c r="H115" i="47"/>
  <c r="H49" i="47" s="1"/>
  <c r="H115" i="26"/>
  <c r="H49" i="26" s="1"/>
  <c r="I38" i="37"/>
  <c r="G62" i="37" s="1"/>
  <c r="F27" i="51"/>
  <c r="C12" i="51" s="1"/>
  <c r="BZ161" i="53"/>
  <c r="I260" i="44"/>
  <c r="I265" i="44"/>
  <c r="I257" i="44"/>
  <c r="I262" i="44"/>
  <c r="I254" i="44"/>
  <c r="I264" i="44"/>
  <c r="I256" i="44"/>
  <c r="I261" i="44"/>
  <c r="I253" i="44"/>
  <c r="I258" i="44"/>
  <c r="I263" i="44"/>
  <c r="I246" i="44"/>
  <c r="I238" i="44"/>
  <c r="I230" i="44"/>
  <c r="I222" i="44"/>
  <c r="I251" i="44"/>
  <c r="I243" i="44"/>
  <c r="I235" i="44"/>
  <c r="I227" i="44"/>
  <c r="I248" i="44"/>
  <c r="I240" i="44"/>
  <c r="I232" i="44"/>
  <c r="I224" i="44"/>
  <c r="I245" i="44"/>
  <c r="I237" i="44"/>
  <c r="I229" i="44"/>
  <c r="I221" i="44"/>
  <c r="I255" i="44"/>
  <c r="I250" i="44"/>
  <c r="I242" i="44"/>
  <c r="I234" i="44"/>
  <c r="I226" i="44"/>
  <c r="I247" i="44"/>
  <c r="I239" i="44"/>
  <c r="I231" i="44"/>
  <c r="I223" i="44"/>
  <c r="I259" i="44"/>
  <c r="I252" i="44"/>
  <c r="I244" i="44"/>
  <c r="I236" i="44"/>
  <c r="I228" i="44"/>
  <c r="I220" i="44"/>
  <c r="I225" i="44"/>
  <c r="I249" i="44"/>
  <c r="I241" i="44"/>
  <c r="I233" i="44"/>
  <c r="I204" i="44"/>
  <c r="I196" i="44"/>
  <c r="I188" i="44"/>
  <c r="I180" i="44"/>
  <c r="I172" i="44"/>
  <c r="I209" i="44"/>
  <c r="I201" i="44"/>
  <c r="I193" i="44"/>
  <c r="I185" i="44"/>
  <c r="I177" i="44"/>
  <c r="I169" i="44"/>
  <c r="I206" i="44"/>
  <c r="I198" i="44"/>
  <c r="I190" i="44"/>
  <c r="I182" i="44"/>
  <c r="I174" i="44"/>
  <c r="I203" i="44"/>
  <c r="I195" i="44"/>
  <c r="I187" i="44"/>
  <c r="I179" i="44"/>
  <c r="I171" i="44"/>
  <c r="I208" i="44"/>
  <c r="I200" i="44"/>
  <c r="I192" i="44"/>
  <c r="I184" i="44"/>
  <c r="I176" i="44"/>
  <c r="I168" i="44"/>
  <c r="I202" i="44"/>
  <c r="I194" i="44"/>
  <c r="I186" i="44"/>
  <c r="I178" i="44"/>
  <c r="I170" i="44"/>
  <c r="I199" i="44"/>
  <c r="I183" i="44"/>
  <c r="I167" i="44"/>
  <c r="I205" i="44"/>
  <c r="I189" i="44"/>
  <c r="I173" i="44"/>
  <c r="I207" i="44"/>
  <c r="I191" i="44"/>
  <c r="I175" i="44"/>
  <c r="I197" i="44"/>
  <c r="I181" i="44"/>
  <c r="J265" i="41"/>
  <c r="J257" i="41"/>
  <c r="J249" i="41"/>
  <c r="J241" i="41"/>
  <c r="J233" i="41"/>
  <c r="J225" i="41"/>
  <c r="J262" i="41"/>
  <c r="J254" i="41"/>
  <c r="J246" i="41"/>
  <c r="J238" i="41"/>
  <c r="J230" i="41"/>
  <c r="J222" i="41"/>
  <c r="J259" i="41"/>
  <c r="J251" i="41"/>
  <c r="J243" i="41"/>
  <c r="J235" i="41"/>
  <c r="J227" i="41"/>
  <c r="J264" i="41"/>
  <c r="J256" i="41"/>
  <c r="J248" i="41"/>
  <c r="J240" i="41"/>
  <c r="J232" i="41"/>
  <c r="J224" i="41"/>
  <c r="J261" i="41"/>
  <c r="J253" i="41"/>
  <c r="J245" i="41"/>
  <c r="J237" i="41"/>
  <c r="J229" i="41"/>
  <c r="J221" i="41"/>
  <c r="J258" i="41"/>
  <c r="J250" i="41"/>
  <c r="J242" i="41"/>
  <c r="J234" i="41"/>
  <c r="J226" i="41"/>
  <c r="J260" i="41"/>
  <c r="J244" i="41"/>
  <c r="J228" i="41"/>
  <c r="J255" i="41"/>
  <c r="J239" i="41"/>
  <c r="J223" i="41"/>
  <c r="J252" i="41"/>
  <c r="J236" i="41"/>
  <c r="J220" i="41"/>
  <c r="J263" i="41"/>
  <c r="J247" i="41"/>
  <c r="J231" i="41"/>
  <c r="J203" i="41"/>
  <c r="J195" i="41"/>
  <c r="J187" i="41"/>
  <c r="J179" i="41"/>
  <c r="J171" i="41"/>
  <c r="J208" i="41"/>
  <c r="J200" i="41"/>
  <c r="J192" i="41"/>
  <c r="J184" i="41"/>
  <c r="J176" i="41"/>
  <c r="J168" i="41"/>
  <c r="J205" i="41"/>
  <c r="J197" i="41"/>
  <c r="J189" i="41"/>
  <c r="J181" i="41"/>
  <c r="J173" i="41"/>
  <c r="J202" i="41"/>
  <c r="J194" i="41"/>
  <c r="J186" i="41"/>
  <c r="J178" i="41"/>
  <c r="J170" i="41"/>
  <c r="J207" i="41"/>
  <c r="J199" i="41"/>
  <c r="J191" i="41"/>
  <c r="J183" i="41"/>
  <c r="J175" i="41"/>
  <c r="J167" i="41"/>
  <c r="J204" i="41"/>
  <c r="J196" i="41"/>
  <c r="J188" i="41"/>
  <c r="J180" i="41"/>
  <c r="J172" i="41"/>
  <c r="J209" i="41"/>
  <c r="J201" i="41"/>
  <c r="J193" i="41"/>
  <c r="J185" i="41"/>
  <c r="J177" i="41"/>
  <c r="J169" i="41"/>
  <c r="J198" i="41"/>
  <c r="J190" i="41"/>
  <c r="J174" i="41"/>
  <c r="J206" i="41"/>
  <c r="J182" i="41"/>
  <c r="I74" i="50"/>
  <c r="I260" i="41"/>
  <c r="I252" i="41"/>
  <c r="I244" i="41"/>
  <c r="I236" i="41"/>
  <c r="I228" i="41"/>
  <c r="I220" i="41"/>
  <c r="I257" i="41"/>
  <c r="I249" i="41"/>
  <c r="I241" i="41"/>
  <c r="I233" i="41"/>
  <c r="I225" i="41"/>
  <c r="I262" i="41"/>
  <c r="I254" i="41"/>
  <c r="I246" i="41"/>
  <c r="I238" i="41"/>
  <c r="I230" i="41"/>
  <c r="I222" i="41"/>
  <c r="I259" i="41"/>
  <c r="I251" i="41"/>
  <c r="I243" i="41"/>
  <c r="I235" i="41"/>
  <c r="I227" i="41"/>
  <c r="I265" i="41"/>
  <c r="I264" i="41"/>
  <c r="I256" i="41"/>
  <c r="I248" i="41"/>
  <c r="I240" i="41"/>
  <c r="I232" i="41"/>
  <c r="I224" i="41"/>
  <c r="I261" i="41"/>
  <c r="I253" i="41"/>
  <c r="I245" i="41"/>
  <c r="I237" i="41"/>
  <c r="I229" i="41"/>
  <c r="I221" i="41"/>
  <c r="I255" i="41"/>
  <c r="I239" i="41"/>
  <c r="I223" i="41"/>
  <c r="I250" i="41"/>
  <c r="I234" i="41"/>
  <c r="I263" i="41"/>
  <c r="I247" i="41"/>
  <c r="I231" i="41"/>
  <c r="I242" i="41"/>
  <c r="I258" i="41"/>
  <c r="I226" i="41"/>
  <c r="I206" i="41"/>
  <c r="I198" i="41"/>
  <c r="I190" i="41"/>
  <c r="I182" i="41"/>
  <c r="I174" i="41"/>
  <c r="I203" i="41"/>
  <c r="I195" i="41"/>
  <c r="I187" i="41"/>
  <c r="I179" i="41"/>
  <c r="I171" i="41"/>
  <c r="I208" i="41"/>
  <c r="I200" i="41"/>
  <c r="I192" i="41"/>
  <c r="I184" i="41"/>
  <c r="I176" i="41"/>
  <c r="I168" i="41"/>
  <c r="I205" i="41"/>
  <c r="I197" i="41"/>
  <c r="I189" i="41"/>
  <c r="I181" i="41"/>
  <c r="I173" i="41"/>
  <c r="I202" i="41"/>
  <c r="I194" i="41"/>
  <c r="I186" i="41"/>
  <c r="I178" i="41"/>
  <c r="I170" i="41"/>
  <c r="I207" i="41"/>
  <c r="I199" i="41"/>
  <c r="I191" i="41"/>
  <c r="I183" i="41"/>
  <c r="I175" i="41"/>
  <c r="I167" i="41"/>
  <c r="I204" i="41"/>
  <c r="I196" i="41"/>
  <c r="I188" i="41"/>
  <c r="I180" i="41"/>
  <c r="I172" i="41"/>
  <c r="I209" i="41"/>
  <c r="I177" i="41"/>
  <c r="I201" i="41"/>
  <c r="I169" i="41"/>
  <c r="I185" i="41"/>
  <c r="I193" i="41"/>
  <c r="H214" i="53"/>
  <c r="I25" i="59" s="1"/>
  <c r="I77" i="47"/>
  <c r="I83" i="47"/>
  <c r="I86" i="47"/>
  <c r="I84" i="47"/>
  <c r="I85" i="47"/>
  <c r="I87" i="47"/>
  <c r="I80" i="47"/>
  <c r="I79" i="47"/>
  <c r="I78" i="47"/>
  <c r="I81" i="47"/>
  <c r="I82" i="47"/>
  <c r="I259" i="47"/>
  <c r="I251" i="47"/>
  <c r="I243" i="47"/>
  <c r="I235" i="47"/>
  <c r="I264" i="47"/>
  <c r="I256" i="47"/>
  <c r="I248" i="47"/>
  <c r="I240" i="47"/>
  <c r="I258" i="47"/>
  <c r="I250" i="47"/>
  <c r="I242" i="47"/>
  <c r="I263" i="47"/>
  <c r="I255" i="47"/>
  <c r="I247" i="47"/>
  <c r="I239" i="47"/>
  <c r="I260" i="47"/>
  <c r="I252" i="47"/>
  <c r="I244" i="47"/>
  <c r="I236" i="47"/>
  <c r="I246" i="47"/>
  <c r="I232" i="47"/>
  <c r="I224" i="47"/>
  <c r="I261" i="47"/>
  <c r="I249" i="47"/>
  <c r="I229" i="47"/>
  <c r="I221" i="47"/>
  <c r="I254" i="47"/>
  <c r="I234" i="47"/>
  <c r="I226" i="47"/>
  <c r="I257" i="47"/>
  <c r="I237" i="47"/>
  <c r="I231" i="47"/>
  <c r="I223" i="47"/>
  <c r="I262" i="47"/>
  <c r="I228" i="47"/>
  <c r="I220" i="47"/>
  <c r="I265" i="47"/>
  <c r="I245" i="47"/>
  <c r="I233" i="47"/>
  <c r="I225" i="47"/>
  <c r="I238" i="47"/>
  <c r="I230" i="47"/>
  <c r="I222" i="47"/>
  <c r="I241" i="47"/>
  <c r="I227" i="47"/>
  <c r="I253" i="47"/>
  <c r="I207" i="47"/>
  <c r="I199" i="47"/>
  <c r="I191" i="47"/>
  <c r="I183" i="47"/>
  <c r="I175" i="47"/>
  <c r="I167" i="47"/>
  <c r="I204" i="47"/>
  <c r="I196" i="47"/>
  <c r="I188" i="47"/>
  <c r="I180" i="47"/>
  <c r="I172" i="47"/>
  <c r="I209" i="47"/>
  <c r="I201" i="47"/>
  <c r="I193" i="47"/>
  <c r="I185" i="47"/>
  <c r="I177" i="47"/>
  <c r="I169" i="47"/>
  <c r="I206" i="47"/>
  <c r="I198" i="47"/>
  <c r="I190" i="47"/>
  <c r="I182" i="47"/>
  <c r="I174" i="47"/>
  <c r="I203" i="47"/>
  <c r="I195" i="47"/>
  <c r="I187" i="47"/>
  <c r="I179" i="47"/>
  <c r="I171" i="47"/>
  <c r="I208" i="47"/>
  <c r="I200" i="47"/>
  <c r="I192" i="47"/>
  <c r="I184" i="47"/>
  <c r="I176" i="47"/>
  <c r="I168" i="47"/>
  <c r="I205" i="47"/>
  <c r="I197" i="47"/>
  <c r="I189" i="47"/>
  <c r="I181" i="47"/>
  <c r="I173" i="47"/>
  <c r="I178" i="47"/>
  <c r="I202" i="47"/>
  <c r="I170" i="47"/>
  <c r="I194" i="47"/>
  <c r="I186" i="47"/>
  <c r="H115" i="38"/>
  <c r="H49" i="38" s="1"/>
  <c r="H267" i="29"/>
  <c r="I45" i="59" s="1"/>
  <c r="H214" i="35"/>
  <c r="I19" i="59" s="1"/>
  <c r="I317" i="59" s="1"/>
  <c r="J263" i="26"/>
  <c r="J260" i="26"/>
  <c r="J265" i="26"/>
  <c r="J262" i="26"/>
  <c r="J259" i="26"/>
  <c r="J264" i="26"/>
  <c r="J256" i="26"/>
  <c r="J248" i="26"/>
  <c r="J240" i="26"/>
  <c r="J232" i="26"/>
  <c r="J224" i="26"/>
  <c r="J253" i="26"/>
  <c r="J245" i="26"/>
  <c r="J237" i="26"/>
  <c r="J229" i="26"/>
  <c r="J221" i="26"/>
  <c r="J258" i="26"/>
  <c r="J250" i="26"/>
  <c r="J242" i="26"/>
  <c r="J234" i="26"/>
  <c r="J226" i="26"/>
  <c r="J255" i="26"/>
  <c r="J247" i="26"/>
  <c r="J239" i="26"/>
  <c r="J231" i="26"/>
  <c r="J223" i="26"/>
  <c r="J252" i="26"/>
  <c r="J244" i="26"/>
  <c r="J236" i="26"/>
  <c r="J228" i="26"/>
  <c r="J220" i="26"/>
  <c r="J261" i="26"/>
  <c r="J257" i="26"/>
  <c r="J249" i="26"/>
  <c r="J241" i="26"/>
  <c r="J233" i="26"/>
  <c r="J225" i="26"/>
  <c r="J254" i="26"/>
  <c r="J246" i="26"/>
  <c r="J238" i="26"/>
  <c r="J230" i="26"/>
  <c r="J222" i="26"/>
  <c r="J243" i="26"/>
  <c r="J235" i="26"/>
  <c r="J227" i="26"/>
  <c r="J251" i="26"/>
  <c r="J209" i="26"/>
  <c r="J201" i="26"/>
  <c r="J193" i="26"/>
  <c r="J185" i="26"/>
  <c r="J177" i="26"/>
  <c r="J169" i="26"/>
  <c r="J206" i="26"/>
  <c r="J198" i="26"/>
  <c r="J190" i="26"/>
  <c r="J182" i="26"/>
  <c r="J174" i="26"/>
  <c r="J203" i="26"/>
  <c r="J195" i="26"/>
  <c r="J187" i="26"/>
  <c r="J179" i="26"/>
  <c r="J171" i="26"/>
  <c r="J205" i="26"/>
  <c r="J197" i="26"/>
  <c r="J189" i="26"/>
  <c r="J181" i="26"/>
  <c r="J173" i="26"/>
  <c r="J202" i="26"/>
  <c r="J194" i="26"/>
  <c r="J186" i="26"/>
  <c r="J178" i="26"/>
  <c r="J170" i="26"/>
  <c r="J207" i="26"/>
  <c r="J199" i="26"/>
  <c r="J191" i="26"/>
  <c r="J183" i="26"/>
  <c r="J175" i="26"/>
  <c r="J167" i="26"/>
  <c r="J208" i="26"/>
  <c r="J192" i="26"/>
  <c r="J176" i="26"/>
  <c r="J196" i="26"/>
  <c r="J180" i="26"/>
  <c r="J200" i="26"/>
  <c r="J184" i="26"/>
  <c r="J168" i="26"/>
  <c r="J204" i="26"/>
  <c r="J188" i="26"/>
  <c r="J172" i="26"/>
  <c r="H115" i="23"/>
  <c r="H49" i="23" s="1"/>
  <c r="J258" i="29"/>
  <c r="J250" i="29"/>
  <c r="J242" i="29"/>
  <c r="J234" i="29"/>
  <c r="J226" i="29"/>
  <c r="J263" i="29"/>
  <c r="J255" i="29"/>
  <c r="J247" i="29"/>
  <c r="J239" i="29"/>
  <c r="J231" i="29"/>
  <c r="J223" i="29"/>
  <c r="J260" i="29"/>
  <c r="J252" i="29"/>
  <c r="J244" i="29"/>
  <c r="J236" i="29"/>
  <c r="J228" i="29"/>
  <c r="J220" i="29"/>
  <c r="J265" i="29"/>
  <c r="J257" i="29"/>
  <c r="J249" i="29"/>
  <c r="J241" i="29"/>
  <c r="J233" i="29"/>
  <c r="J225" i="29"/>
  <c r="J262" i="29"/>
  <c r="J254" i="29"/>
  <c r="J246" i="29"/>
  <c r="J238" i="29"/>
  <c r="J230" i="29"/>
  <c r="J222" i="29"/>
  <c r="J253" i="29"/>
  <c r="J251" i="29"/>
  <c r="J221" i="29"/>
  <c r="J256" i="29"/>
  <c r="J224" i="29"/>
  <c r="J261" i="29"/>
  <c r="J259" i="29"/>
  <c r="J229" i="29"/>
  <c r="J227" i="29"/>
  <c r="J264" i="29"/>
  <c r="J232" i="29"/>
  <c r="J237" i="29"/>
  <c r="J235" i="29"/>
  <c r="J240" i="29"/>
  <c r="J245" i="29"/>
  <c r="J243" i="29"/>
  <c r="J248" i="29"/>
  <c r="J209" i="29"/>
  <c r="J201" i="29"/>
  <c r="J193" i="29"/>
  <c r="J185" i="29"/>
  <c r="J177" i="29"/>
  <c r="J169" i="29"/>
  <c r="J203" i="29"/>
  <c r="J195" i="29"/>
  <c r="J187" i="29"/>
  <c r="J179" i="29"/>
  <c r="J171" i="29"/>
  <c r="J208" i="29"/>
  <c r="J200" i="29"/>
  <c r="J192" i="29"/>
  <c r="J205" i="29"/>
  <c r="J197" i="29"/>
  <c r="J189" i="29"/>
  <c r="J181" i="29"/>
  <c r="J173" i="29"/>
  <c r="J202" i="29"/>
  <c r="J194" i="29"/>
  <c r="J186" i="29"/>
  <c r="J178" i="29"/>
  <c r="J170" i="29"/>
  <c r="J207" i="29"/>
  <c r="J183" i="29"/>
  <c r="J175" i="29"/>
  <c r="J167" i="29"/>
  <c r="J190" i="29"/>
  <c r="J188" i="29"/>
  <c r="J180" i="29"/>
  <c r="J172" i="29"/>
  <c r="J198" i="29"/>
  <c r="J184" i="29"/>
  <c r="J176" i="29"/>
  <c r="J168" i="29"/>
  <c r="J206" i="29"/>
  <c r="J191" i="29"/>
  <c r="J199" i="29"/>
  <c r="J182" i="29"/>
  <c r="J174" i="29"/>
  <c r="J196" i="29"/>
  <c r="J204" i="29"/>
  <c r="H115" i="35"/>
  <c r="H49" i="35" s="1"/>
  <c r="I115" i="41"/>
  <c r="I49" i="41" s="1"/>
  <c r="I77" i="50"/>
  <c r="H115" i="8"/>
  <c r="H49" i="8" s="1"/>
  <c r="H214" i="38"/>
  <c r="I10" i="59" s="1"/>
  <c r="I267" i="29"/>
  <c r="J45" i="59" s="1"/>
  <c r="H268" i="5"/>
  <c r="I37" i="59" s="1"/>
  <c r="H214" i="32"/>
  <c r="I11" i="59" s="1"/>
  <c r="H267" i="32"/>
  <c r="I40" i="59" s="1"/>
  <c r="I280" i="59" s="1"/>
  <c r="H214" i="47"/>
  <c r="I14" i="59" s="1"/>
  <c r="J262" i="5"/>
  <c r="J254" i="5"/>
  <c r="J246" i="5"/>
  <c r="J238" i="5"/>
  <c r="J230" i="5"/>
  <c r="J222" i="5"/>
  <c r="J259" i="5"/>
  <c r="J251" i="5"/>
  <c r="J243" i="5"/>
  <c r="J235" i="5"/>
  <c r="J227" i="5"/>
  <c r="J264" i="5"/>
  <c r="J256" i="5"/>
  <c r="J248" i="5"/>
  <c r="J240" i="5"/>
  <c r="J232" i="5"/>
  <c r="J224" i="5"/>
  <c r="J261" i="5"/>
  <c r="J253" i="5"/>
  <c r="J245" i="5"/>
  <c r="J237" i="5"/>
  <c r="J266" i="5"/>
  <c r="J258" i="5"/>
  <c r="J250" i="5"/>
  <c r="J242" i="5"/>
  <c r="J234" i="5"/>
  <c r="J226" i="5"/>
  <c r="J263" i="5"/>
  <c r="J255" i="5"/>
  <c r="J247" i="5"/>
  <c r="J239" i="5"/>
  <c r="J231" i="5"/>
  <c r="J223" i="5"/>
  <c r="J260" i="5"/>
  <c r="J252" i="5"/>
  <c r="J244" i="5"/>
  <c r="J236" i="5"/>
  <c r="J228" i="5"/>
  <c r="J257" i="5"/>
  <c r="J233" i="5"/>
  <c r="J249" i="5"/>
  <c r="J221" i="5"/>
  <c r="J241" i="5"/>
  <c r="J225" i="5"/>
  <c r="J265" i="5"/>
  <c r="J229" i="5"/>
  <c r="J208" i="5"/>
  <c r="J200" i="5"/>
  <c r="J192" i="5"/>
  <c r="J184" i="5"/>
  <c r="J176" i="5"/>
  <c r="J168" i="5"/>
  <c r="J205" i="5"/>
  <c r="J197" i="5"/>
  <c r="J189" i="5"/>
  <c r="J181" i="5"/>
  <c r="J173" i="5"/>
  <c r="J210" i="5"/>
  <c r="J202" i="5"/>
  <c r="J194" i="5"/>
  <c r="J186" i="5"/>
  <c r="J178" i="5"/>
  <c r="J170" i="5"/>
  <c r="J207" i="5"/>
  <c r="J199" i="5"/>
  <c r="J191" i="5"/>
  <c r="J183" i="5"/>
  <c r="J175" i="5"/>
  <c r="J204" i="5"/>
  <c r="J196" i="5"/>
  <c r="J188" i="5"/>
  <c r="J180" i="5"/>
  <c r="J172" i="5"/>
  <c r="J206" i="5"/>
  <c r="J198" i="5"/>
  <c r="J190" i="5"/>
  <c r="J182" i="5"/>
  <c r="J174" i="5"/>
  <c r="J201" i="5"/>
  <c r="J185" i="5"/>
  <c r="J169" i="5"/>
  <c r="J203" i="5"/>
  <c r="J187" i="5"/>
  <c r="J171" i="5"/>
  <c r="J209" i="5"/>
  <c r="J193" i="5"/>
  <c r="J177" i="5"/>
  <c r="J195" i="5"/>
  <c r="J179" i="5"/>
  <c r="I259" i="50"/>
  <c r="I251" i="50"/>
  <c r="I264" i="50"/>
  <c r="I256" i="50"/>
  <c r="I248" i="50"/>
  <c r="I261" i="50"/>
  <c r="I253" i="50"/>
  <c r="I258" i="50"/>
  <c r="I250" i="50"/>
  <c r="I263" i="50"/>
  <c r="I255" i="50"/>
  <c r="I247" i="50"/>
  <c r="I260" i="50"/>
  <c r="I252" i="50"/>
  <c r="I265" i="50"/>
  <c r="I257" i="50"/>
  <c r="I249" i="50"/>
  <c r="I245" i="50"/>
  <c r="I237" i="50"/>
  <c r="I229" i="50"/>
  <c r="I221" i="50"/>
  <c r="I262" i="50"/>
  <c r="I242" i="50"/>
  <c r="I234" i="50"/>
  <c r="I226" i="50"/>
  <c r="I239" i="50"/>
  <c r="I231" i="50"/>
  <c r="I223" i="50"/>
  <c r="I254" i="50"/>
  <c r="I244" i="50"/>
  <c r="I236" i="50"/>
  <c r="I228" i="50"/>
  <c r="I220" i="50"/>
  <c r="I241" i="50"/>
  <c r="I233" i="50"/>
  <c r="I225" i="50"/>
  <c r="I246" i="50"/>
  <c r="I238" i="50"/>
  <c r="I230" i="50"/>
  <c r="I222" i="50"/>
  <c r="I243" i="50"/>
  <c r="I235" i="50"/>
  <c r="I224" i="50"/>
  <c r="I240" i="50"/>
  <c r="I232" i="50"/>
  <c r="I227" i="50"/>
  <c r="I203" i="50"/>
  <c r="I195" i="50"/>
  <c r="I187" i="50"/>
  <c r="I179" i="50"/>
  <c r="I208" i="50"/>
  <c r="I200" i="50"/>
  <c r="I192" i="50"/>
  <c r="I184" i="50"/>
  <c r="I176" i="50"/>
  <c r="I205" i="50"/>
  <c r="I197" i="50"/>
  <c r="I189" i="50"/>
  <c r="I181" i="50"/>
  <c r="I207" i="50"/>
  <c r="I199" i="50"/>
  <c r="I191" i="50"/>
  <c r="I183" i="50"/>
  <c r="I175" i="50"/>
  <c r="I204" i="50"/>
  <c r="I196" i="50"/>
  <c r="I188" i="50"/>
  <c r="I180" i="50"/>
  <c r="I209" i="50"/>
  <c r="I201" i="50"/>
  <c r="I193" i="50"/>
  <c r="I185" i="50"/>
  <c r="I177" i="50"/>
  <c r="I169" i="50"/>
  <c r="I202" i="50"/>
  <c r="I186" i="50"/>
  <c r="I174" i="50"/>
  <c r="I171" i="50"/>
  <c r="I206" i="50"/>
  <c r="I190" i="50"/>
  <c r="I168" i="50"/>
  <c r="I173" i="50"/>
  <c r="I194" i="50"/>
  <c r="I178" i="50"/>
  <c r="I170" i="50"/>
  <c r="I167" i="50"/>
  <c r="I182" i="50"/>
  <c r="I172" i="50"/>
  <c r="I198" i="50"/>
  <c r="H115" i="32"/>
  <c r="H49" i="32" s="1"/>
  <c r="H115" i="44"/>
  <c r="H49" i="44" s="1"/>
  <c r="I69" i="50"/>
  <c r="J85" i="53"/>
  <c r="J88" i="53"/>
  <c r="J83" i="53"/>
  <c r="J78" i="53"/>
  <c r="J86" i="53"/>
  <c r="J81" i="53"/>
  <c r="J80" i="53"/>
  <c r="J84" i="53"/>
  <c r="J87" i="53"/>
  <c r="J82" i="53"/>
  <c r="J79" i="53"/>
  <c r="J258" i="53"/>
  <c r="J250" i="53"/>
  <c r="J242" i="53"/>
  <c r="J234" i="53"/>
  <c r="J226" i="53"/>
  <c r="J263" i="53"/>
  <c r="J255" i="53"/>
  <c r="J247" i="53"/>
  <c r="J239" i="53"/>
  <c r="J231" i="53"/>
  <c r="J223" i="53"/>
  <c r="J260" i="53"/>
  <c r="J252" i="53"/>
  <c r="J244" i="53"/>
  <c r="J236" i="53"/>
  <c r="J228" i="53"/>
  <c r="J220" i="53"/>
  <c r="J265" i="53"/>
  <c r="J257" i="53"/>
  <c r="J249" i="53"/>
  <c r="J241" i="53"/>
  <c r="J233" i="53"/>
  <c r="J225" i="53"/>
  <c r="J262" i="53"/>
  <c r="J254" i="53"/>
  <c r="J246" i="53"/>
  <c r="J238" i="53"/>
  <c r="J230" i="53"/>
  <c r="J222" i="53"/>
  <c r="J259" i="53"/>
  <c r="J251" i="53"/>
  <c r="J243" i="53"/>
  <c r="J235" i="53"/>
  <c r="J227" i="53"/>
  <c r="J264" i="53"/>
  <c r="J256" i="53"/>
  <c r="J248" i="53"/>
  <c r="J240" i="53"/>
  <c r="J232" i="53"/>
  <c r="J224" i="53"/>
  <c r="J237" i="53"/>
  <c r="J261" i="53"/>
  <c r="J229" i="53"/>
  <c r="J253" i="53"/>
  <c r="J221" i="53"/>
  <c r="J245" i="53"/>
  <c r="J202" i="53"/>
  <c r="J194" i="53"/>
  <c r="J186" i="53"/>
  <c r="J178" i="53"/>
  <c r="J170" i="53"/>
  <c r="J207" i="53"/>
  <c r="J199" i="53"/>
  <c r="J191" i="53"/>
  <c r="J183" i="53"/>
  <c r="J175" i="53"/>
  <c r="J167" i="53"/>
  <c r="J204" i="53"/>
  <c r="J196" i="53"/>
  <c r="J188" i="53"/>
  <c r="J180" i="53"/>
  <c r="J172" i="53"/>
  <c r="J209" i="53"/>
  <c r="J201" i="53"/>
  <c r="J193" i="53"/>
  <c r="J185" i="53"/>
  <c r="J177" i="53"/>
  <c r="J169" i="53"/>
  <c r="J206" i="53"/>
  <c r="J198" i="53"/>
  <c r="J190" i="53"/>
  <c r="J182" i="53"/>
  <c r="J174" i="53"/>
  <c r="J203" i="53"/>
  <c r="J195" i="53"/>
  <c r="J187" i="53"/>
  <c r="J179" i="53"/>
  <c r="J171" i="53"/>
  <c r="J208" i="53"/>
  <c r="J200" i="53"/>
  <c r="J192" i="53"/>
  <c r="J184" i="53"/>
  <c r="J176" i="53"/>
  <c r="J168" i="53"/>
  <c r="J205" i="53"/>
  <c r="J173" i="53"/>
  <c r="J197" i="53"/>
  <c r="J189" i="53"/>
  <c r="J181" i="53"/>
  <c r="H267" i="35"/>
  <c r="I48" i="59" s="1"/>
  <c r="I288" i="59" s="1"/>
  <c r="BV157" i="26"/>
  <c r="I263" i="32"/>
  <c r="I255" i="32"/>
  <c r="I247" i="32"/>
  <c r="I239" i="32"/>
  <c r="I231" i="32"/>
  <c r="I223" i="32"/>
  <c r="I260" i="32"/>
  <c r="I252" i="32"/>
  <c r="I244" i="32"/>
  <c r="I236" i="32"/>
  <c r="I228" i="32"/>
  <c r="I220" i="32"/>
  <c r="I265" i="32"/>
  <c r="I257" i="32"/>
  <c r="I249" i="32"/>
  <c r="I241" i="32"/>
  <c r="I233" i="32"/>
  <c r="I225" i="32"/>
  <c r="I262" i="32"/>
  <c r="I254" i="32"/>
  <c r="I246" i="32"/>
  <c r="I238" i="32"/>
  <c r="I230" i="32"/>
  <c r="I222" i="32"/>
  <c r="I259" i="32"/>
  <c r="I251" i="32"/>
  <c r="I243" i="32"/>
  <c r="I235" i="32"/>
  <c r="I227" i="32"/>
  <c r="I234" i="32"/>
  <c r="I264" i="32"/>
  <c r="I237" i="32"/>
  <c r="I232" i="32"/>
  <c r="I242" i="32"/>
  <c r="I245" i="32"/>
  <c r="I240" i="32"/>
  <c r="I250" i="32"/>
  <c r="I253" i="32"/>
  <c r="I248" i="32"/>
  <c r="I221" i="32"/>
  <c r="I258" i="32"/>
  <c r="I226" i="32"/>
  <c r="I261" i="32"/>
  <c r="I229" i="32"/>
  <c r="I256" i="32"/>
  <c r="I206" i="32"/>
  <c r="I198" i="32"/>
  <c r="I190" i="32"/>
  <c r="I182" i="32"/>
  <c r="I174" i="32"/>
  <c r="I208" i="32"/>
  <c r="I200" i="32"/>
  <c r="I192" i="32"/>
  <c r="I184" i="32"/>
  <c r="I176" i="32"/>
  <c r="I168" i="32"/>
  <c r="I205" i="32"/>
  <c r="I197" i="32"/>
  <c r="I189" i="32"/>
  <c r="I181" i="32"/>
  <c r="I173" i="32"/>
  <c r="I202" i="32"/>
  <c r="I194" i="32"/>
  <c r="I186" i="32"/>
  <c r="I178" i="32"/>
  <c r="I170" i="32"/>
  <c r="I207" i="32"/>
  <c r="I199" i="32"/>
  <c r="I191" i="32"/>
  <c r="I183" i="32"/>
  <c r="I175" i="32"/>
  <c r="I167" i="32"/>
  <c r="I193" i="32"/>
  <c r="I203" i="32"/>
  <c r="I196" i="32"/>
  <c r="I171" i="32"/>
  <c r="I201" i="32"/>
  <c r="I169" i="32"/>
  <c r="I204" i="32"/>
  <c r="I179" i="32"/>
  <c r="I172" i="32"/>
  <c r="I209" i="32"/>
  <c r="I177" i="32"/>
  <c r="I185" i="32"/>
  <c r="I180" i="32"/>
  <c r="I188" i="32"/>
  <c r="I187" i="32"/>
  <c r="I195" i="32"/>
  <c r="I80" i="32"/>
  <c r="I83" i="32"/>
  <c r="I79" i="32"/>
  <c r="I78" i="32"/>
  <c r="I81" i="32"/>
  <c r="I84" i="32"/>
  <c r="I82" i="32"/>
  <c r="J87" i="47"/>
  <c r="J83" i="47"/>
  <c r="J86" i="47"/>
  <c r="J85" i="47"/>
  <c r="J84" i="47"/>
  <c r="J81" i="47"/>
  <c r="J82" i="47"/>
  <c r="J80" i="47"/>
  <c r="J78" i="47"/>
  <c r="J79" i="47"/>
  <c r="J264" i="47"/>
  <c r="J256" i="47"/>
  <c r="J248" i="47"/>
  <c r="J240" i="47"/>
  <c r="J261" i="47"/>
  <c r="J253" i="47"/>
  <c r="J245" i="47"/>
  <c r="J237" i="47"/>
  <c r="J263" i="47"/>
  <c r="J255" i="47"/>
  <c r="J247" i="47"/>
  <c r="J239" i="47"/>
  <c r="J260" i="47"/>
  <c r="J252" i="47"/>
  <c r="J244" i="47"/>
  <c r="J236" i="47"/>
  <c r="J265" i="47"/>
  <c r="J257" i="47"/>
  <c r="J249" i="47"/>
  <c r="J241" i="47"/>
  <c r="J251" i="47"/>
  <c r="J229" i="47"/>
  <c r="J221" i="47"/>
  <c r="J254" i="47"/>
  <c r="J234" i="47"/>
  <c r="J226" i="47"/>
  <c r="J259" i="47"/>
  <c r="J242" i="47"/>
  <c r="J231" i="47"/>
  <c r="J223" i="47"/>
  <c r="J262" i="47"/>
  <c r="J228" i="47"/>
  <c r="J220" i="47"/>
  <c r="J250" i="47"/>
  <c r="J235" i="47"/>
  <c r="J233" i="47"/>
  <c r="J225" i="47"/>
  <c r="J238" i="47"/>
  <c r="J230" i="47"/>
  <c r="J222" i="47"/>
  <c r="J258" i="47"/>
  <c r="J243" i="47"/>
  <c r="J227" i="47"/>
  <c r="J224" i="47"/>
  <c r="J246" i="47"/>
  <c r="J232" i="47"/>
  <c r="J204" i="47"/>
  <c r="J196" i="47"/>
  <c r="J188" i="47"/>
  <c r="J180" i="47"/>
  <c r="J172" i="47"/>
  <c r="J209" i="47"/>
  <c r="J201" i="47"/>
  <c r="J193" i="47"/>
  <c r="J185" i="47"/>
  <c r="J177" i="47"/>
  <c r="J169" i="47"/>
  <c r="J206" i="47"/>
  <c r="J198" i="47"/>
  <c r="J190" i="47"/>
  <c r="J182" i="47"/>
  <c r="J174" i="47"/>
  <c r="J203" i="47"/>
  <c r="J195" i="47"/>
  <c r="J187" i="47"/>
  <c r="J179" i="47"/>
  <c r="J171" i="47"/>
  <c r="J208" i="47"/>
  <c r="J200" i="47"/>
  <c r="J192" i="47"/>
  <c r="J184" i="47"/>
  <c r="J176" i="47"/>
  <c r="J168" i="47"/>
  <c r="J205" i="47"/>
  <c r="J197" i="47"/>
  <c r="J189" i="47"/>
  <c r="J181" i="47"/>
  <c r="J173" i="47"/>
  <c r="J202" i="47"/>
  <c r="J194" i="47"/>
  <c r="J186" i="47"/>
  <c r="J178" i="47"/>
  <c r="J170" i="47"/>
  <c r="J199" i="47"/>
  <c r="J167" i="47"/>
  <c r="J191" i="47"/>
  <c r="J183" i="47"/>
  <c r="J175" i="47"/>
  <c r="J207" i="47"/>
  <c r="I73" i="50"/>
  <c r="BZ161" i="47"/>
  <c r="S123" i="47" s="1"/>
  <c r="H37" i="49" s="1"/>
  <c r="F59" i="49" s="1"/>
  <c r="H267" i="41"/>
  <c r="I55" i="59" s="1"/>
  <c r="I295" i="59" s="1"/>
  <c r="I262" i="38"/>
  <c r="I254" i="38"/>
  <c r="I246" i="38"/>
  <c r="I238" i="38"/>
  <c r="I259" i="38"/>
  <c r="I251" i="38"/>
  <c r="I243" i="38"/>
  <c r="I235" i="38"/>
  <c r="I264" i="38"/>
  <c r="I256" i="38"/>
  <c r="I248" i="38"/>
  <c r="I240" i="38"/>
  <c r="I261" i="38"/>
  <c r="I253" i="38"/>
  <c r="I245" i="38"/>
  <c r="I237" i="38"/>
  <c r="I258" i="38"/>
  <c r="I250" i="38"/>
  <c r="I242" i="38"/>
  <c r="I234" i="38"/>
  <c r="I263" i="38"/>
  <c r="I255" i="38"/>
  <c r="I247" i="38"/>
  <c r="I239" i="38"/>
  <c r="I260" i="38"/>
  <c r="I252" i="38"/>
  <c r="I244" i="38"/>
  <c r="I236" i="38"/>
  <c r="I249" i="38"/>
  <c r="I227" i="38"/>
  <c r="I224" i="38"/>
  <c r="I241" i="38"/>
  <c r="I232" i="38"/>
  <c r="I229" i="38"/>
  <c r="I221" i="38"/>
  <c r="I226" i="38"/>
  <c r="I265" i="38"/>
  <c r="I231" i="38"/>
  <c r="I223" i="38"/>
  <c r="I228" i="38"/>
  <c r="I220" i="38"/>
  <c r="I257" i="38"/>
  <c r="I233" i="38"/>
  <c r="I225" i="38"/>
  <c r="I222" i="38"/>
  <c r="I230" i="38"/>
  <c r="I205" i="38"/>
  <c r="I197" i="38"/>
  <c r="I189" i="38"/>
  <c r="I181" i="38"/>
  <c r="I173" i="38"/>
  <c r="I202" i="38"/>
  <c r="I194" i="38"/>
  <c r="I186" i="38"/>
  <c r="I178" i="38"/>
  <c r="I170" i="38"/>
  <c r="I207" i="38"/>
  <c r="I199" i="38"/>
  <c r="I191" i="38"/>
  <c r="I183" i="38"/>
  <c r="I175" i="38"/>
  <c r="I167" i="38"/>
  <c r="I204" i="38"/>
  <c r="I209" i="38"/>
  <c r="I201" i="38"/>
  <c r="I193" i="38"/>
  <c r="I185" i="38"/>
  <c r="I177" i="38"/>
  <c r="I169" i="38"/>
  <c r="I206" i="38"/>
  <c r="I198" i="38"/>
  <c r="I190" i="38"/>
  <c r="I182" i="38"/>
  <c r="I174" i="38"/>
  <c r="I203" i="38"/>
  <c r="I195" i="38"/>
  <c r="I187" i="38"/>
  <c r="I179" i="38"/>
  <c r="I171" i="38"/>
  <c r="I192" i="38"/>
  <c r="I176" i="38"/>
  <c r="I196" i="38"/>
  <c r="I180" i="38"/>
  <c r="I200" i="38"/>
  <c r="I184" i="38"/>
  <c r="I168" i="38"/>
  <c r="I188" i="38"/>
  <c r="I208" i="38"/>
  <c r="I172" i="38"/>
  <c r="H267" i="23"/>
  <c r="I44" i="59" s="1"/>
  <c r="H214" i="26"/>
  <c r="I23" i="59" s="1"/>
  <c r="H116" i="5"/>
  <c r="H49" i="5" s="1"/>
  <c r="H267" i="47"/>
  <c r="I43" i="59" s="1"/>
  <c r="I116" i="5"/>
  <c r="I49" i="5" s="1"/>
  <c r="BV164" i="26"/>
  <c r="BG167" i="26"/>
  <c r="I265" i="35"/>
  <c r="I257" i="35"/>
  <c r="I249" i="35"/>
  <c r="I241" i="35"/>
  <c r="I233" i="35"/>
  <c r="I225" i="35"/>
  <c r="I262" i="35"/>
  <c r="I254" i="35"/>
  <c r="I246" i="35"/>
  <c r="I238" i="35"/>
  <c r="I230" i="35"/>
  <c r="I222" i="35"/>
  <c r="I259" i="35"/>
  <c r="I251" i="35"/>
  <c r="I243" i="35"/>
  <c r="I235" i="35"/>
  <c r="I227" i="35"/>
  <c r="I264" i="35"/>
  <c r="I256" i="35"/>
  <c r="I248" i="35"/>
  <c r="I240" i="35"/>
  <c r="I232" i="35"/>
  <c r="I224" i="35"/>
  <c r="I261" i="35"/>
  <c r="I253" i="35"/>
  <c r="I245" i="35"/>
  <c r="I237" i="35"/>
  <c r="I229" i="35"/>
  <c r="I221" i="35"/>
  <c r="I258" i="35"/>
  <c r="I250" i="35"/>
  <c r="I242" i="35"/>
  <c r="I234" i="35"/>
  <c r="I226" i="35"/>
  <c r="I263" i="35"/>
  <c r="I255" i="35"/>
  <c r="I252" i="35"/>
  <c r="I236" i="35"/>
  <c r="I220" i="35"/>
  <c r="I247" i="35"/>
  <c r="I231" i="35"/>
  <c r="I260" i="35"/>
  <c r="I244" i="35"/>
  <c r="I228" i="35"/>
  <c r="I239" i="35"/>
  <c r="I223" i="35"/>
  <c r="I203" i="35"/>
  <c r="I195" i="35"/>
  <c r="I208" i="35"/>
  <c r="I200" i="35"/>
  <c r="I192" i="35"/>
  <c r="I205" i="35"/>
  <c r="I197" i="35"/>
  <c r="I189" i="35"/>
  <c r="I207" i="35"/>
  <c r="I199" i="35"/>
  <c r="I191" i="35"/>
  <c r="I204" i="35"/>
  <c r="I196" i="35"/>
  <c r="I188" i="35"/>
  <c r="I209" i="35"/>
  <c r="I201" i="35"/>
  <c r="I193" i="35"/>
  <c r="I206" i="35"/>
  <c r="I190" i="35"/>
  <c r="I184" i="35"/>
  <c r="I176" i="35"/>
  <c r="I168" i="35"/>
  <c r="I181" i="35"/>
  <c r="I173" i="35"/>
  <c r="I194" i="35"/>
  <c r="I186" i="35"/>
  <c r="I178" i="35"/>
  <c r="I170" i="35"/>
  <c r="I183" i="35"/>
  <c r="I175" i="35"/>
  <c r="I167" i="35"/>
  <c r="I198" i="35"/>
  <c r="I180" i="35"/>
  <c r="I172" i="35"/>
  <c r="I185" i="35"/>
  <c r="I177" i="35"/>
  <c r="I169" i="35"/>
  <c r="I202" i="35"/>
  <c r="I182" i="35"/>
  <c r="I174" i="35"/>
  <c r="I187" i="35"/>
  <c r="I179" i="35"/>
  <c r="I171" i="35"/>
  <c r="I75" i="50"/>
  <c r="H214" i="41"/>
  <c r="I26" i="59" s="1"/>
  <c r="H267" i="50"/>
  <c r="I53" i="59" s="1"/>
  <c r="H215" i="5"/>
  <c r="I8" i="59" s="1"/>
  <c r="I265" i="5"/>
  <c r="I257" i="5"/>
  <c r="I249" i="5"/>
  <c r="I241" i="5"/>
  <c r="I233" i="5"/>
  <c r="I225" i="5"/>
  <c r="I262" i="5"/>
  <c r="I254" i="5"/>
  <c r="I246" i="5"/>
  <c r="I238" i="5"/>
  <c r="I230" i="5"/>
  <c r="I222" i="5"/>
  <c r="I259" i="5"/>
  <c r="I251" i="5"/>
  <c r="I243" i="5"/>
  <c r="I235" i="5"/>
  <c r="I227" i="5"/>
  <c r="I264" i="5"/>
  <c r="I256" i="5"/>
  <c r="I248" i="5"/>
  <c r="I240" i="5"/>
  <c r="I261" i="5"/>
  <c r="I253" i="5"/>
  <c r="I245" i="5"/>
  <c r="I237" i="5"/>
  <c r="I229" i="5"/>
  <c r="I221" i="5"/>
  <c r="I266" i="5"/>
  <c r="I258" i="5"/>
  <c r="I250" i="5"/>
  <c r="I242" i="5"/>
  <c r="I234" i="5"/>
  <c r="I226" i="5"/>
  <c r="I263" i="5"/>
  <c r="I255" i="5"/>
  <c r="I247" i="5"/>
  <c r="I239" i="5"/>
  <c r="I231" i="5"/>
  <c r="I223" i="5"/>
  <c r="I236" i="5"/>
  <c r="I224" i="5"/>
  <c r="I260" i="5"/>
  <c r="I228" i="5"/>
  <c r="I252" i="5"/>
  <c r="I232" i="5"/>
  <c r="I244" i="5"/>
  <c r="I203" i="5"/>
  <c r="I195" i="5"/>
  <c r="I187" i="5"/>
  <c r="I179" i="5"/>
  <c r="I171" i="5"/>
  <c r="I208" i="5"/>
  <c r="I200" i="5"/>
  <c r="I192" i="5"/>
  <c r="I184" i="5"/>
  <c r="I176" i="5"/>
  <c r="I168" i="5"/>
  <c r="I205" i="5"/>
  <c r="I197" i="5"/>
  <c r="I189" i="5"/>
  <c r="I181" i="5"/>
  <c r="I173" i="5"/>
  <c r="I210" i="5"/>
  <c r="I202" i="5"/>
  <c r="I194" i="5"/>
  <c r="I186" i="5"/>
  <c r="I178" i="5"/>
  <c r="I170" i="5"/>
  <c r="I207" i="5"/>
  <c r="I199" i="5"/>
  <c r="I191" i="5"/>
  <c r="I183" i="5"/>
  <c r="I175" i="5"/>
  <c r="I209" i="5"/>
  <c r="I201" i="5"/>
  <c r="I193" i="5"/>
  <c r="I185" i="5"/>
  <c r="I177" i="5"/>
  <c r="I169" i="5"/>
  <c r="I206" i="5"/>
  <c r="I190" i="5"/>
  <c r="I174" i="5"/>
  <c r="I196" i="5"/>
  <c r="I180" i="5"/>
  <c r="I198" i="5"/>
  <c r="I182" i="5"/>
  <c r="I204" i="5"/>
  <c r="I188" i="5"/>
  <c r="I172" i="5"/>
  <c r="I267" i="53"/>
  <c r="J54" i="59" s="1"/>
  <c r="I71" i="50"/>
  <c r="I70" i="26"/>
  <c r="I115" i="26" s="1"/>
  <c r="I49" i="26" s="1"/>
  <c r="I263" i="26"/>
  <c r="I260" i="26"/>
  <c r="I265" i="26"/>
  <c r="I262" i="26"/>
  <c r="I259" i="26"/>
  <c r="I251" i="26"/>
  <c r="I243" i="26"/>
  <c r="I235" i="26"/>
  <c r="I227" i="26"/>
  <c r="I256" i="26"/>
  <c r="I248" i="26"/>
  <c r="I240" i="26"/>
  <c r="I232" i="26"/>
  <c r="I224" i="26"/>
  <c r="I253" i="26"/>
  <c r="I245" i="26"/>
  <c r="I237" i="26"/>
  <c r="I229" i="26"/>
  <c r="I221" i="26"/>
  <c r="I264" i="26"/>
  <c r="I258" i="26"/>
  <c r="I250" i="26"/>
  <c r="I242" i="26"/>
  <c r="I234" i="26"/>
  <c r="I226" i="26"/>
  <c r="I255" i="26"/>
  <c r="I247" i="26"/>
  <c r="I239" i="26"/>
  <c r="I231" i="26"/>
  <c r="I223" i="26"/>
  <c r="I252" i="26"/>
  <c r="I244" i="26"/>
  <c r="I236" i="26"/>
  <c r="I228" i="26"/>
  <c r="I220" i="26"/>
  <c r="I261" i="26"/>
  <c r="I257" i="26"/>
  <c r="I249" i="26"/>
  <c r="I241" i="26"/>
  <c r="I233" i="26"/>
  <c r="I225" i="26"/>
  <c r="I254" i="26"/>
  <c r="I222" i="26"/>
  <c r="I246" i="26"/>
  <c r="I238" i="26"/>
  <c r="I230" i="26"/>
  <c r="I204" i="26"/>
  <c r="I196" i="26"/>
  <c r="I188" i="26"/>
  <c r="I180" i="26"/>
  <c r="I172" i="26"/>
  <c r="I209" i="26"/>
  <c r="I201" i="26"/>
  <c r="I193" i="26"/>
  <c r="I185" i="26"/>
  <c r="I177" i="26"/>
  <c r="I169" i="26"/>
  <c r="I206" i="26"/>
  <c r="I198" i="26"/>
  <c r="I190" i="26"/>
  <c r="I182" i="26"/>
  <c r="I174" i="26"/>
  <c r="I208" i="26"/>
  <c r="I200" i="26"/>
  <c r="I192" i="26"/>
  <c r="I184" i="26"/>
  <c r="I176" i="26"/>
  <c r="I168" i="26"/>
  <c r="I205" i="26"/>
  <c r="I197" i="26"/>
  <c r="I189" i="26"/>
  <c r="I181" i="26"/>
  <c r="I173" i="26"/>
  <c r="I202" i="26"/>
  <c r="I194" i="26"/>
  <c r="I186" i="26"/>
  <c r="I178" i="26"/>
  <c r="I170" i="26"/>
  <c r="I199" i="26"/>
  <c r="I183" i="26"/>
  <c r="I167" i="26"/>
  <c r="I203" i="26"/>
  <c r="I187" i="26"/>
  <c r="I171" i="26"/>
  <c r="I207" i="26"/>
  <c r="I191" i="26"/>
  <c r="I175" i="26"/>
  <c r="I195" i="26"/>
  <c r="I179" i="26"/>
  <c r="I115" i="29"/>
  <c r="I49" i="29" s="1"/>
  <c r="H214" i="50"/>
  <c r="I24" i="59" s="1"/>
  <c r="H267" i="44"/>
  <c r="I34" i="59" s="1"/>
  <c r="H214" i="29"/>
  <c r="I16" i="59" s="1"/>
  <c r="I214" i="53"/>
  <c r="J25" i="59" s="1"/>
  <c r="J259" i="38"/>
  <c r="J251" i="38"/>
  <c r="J243" i="38"/>
  <c r="J235" i="38"/>
  <c r="J264" i="38"/>
  <c r="J256" i="38"/>
  <c r="J248" i="38"/>
  <c r="J240" i="38"/>
  <c r="J232" i="38"/>
  <c r="J261" i="38"/>
  <c r="J253" i="38"/>
  <c r="J245" i="38"/>
  <c r="J237" i="38"/>
  <c r="J258" i="38"/>
  <c r="J250" i="38"/>
  <c r="J242" i="38"/>
  <c r="J234" i="38"/>
  <c r="J263" i="38"/>
  <c r="J255" i="38"/>
  <c r="J247" i="38"/>
  <c r="J239" i="38"/>
  <c r="J260" i="38"/>
  <c r="J252" i="38"/>
  <c r="J244" i="38"/>
  <c r="J236" i="38"/>
  <c r="J265" i="38"/>
  <c r="J257" i="38"/>
  <c r="J249" i="38"/>
  <c r="J241" i="38"/>
  <c r="J233" i="38"/>
  <c r="J238" i="38"/>
  <c r="J224" i="38"/>
  <c r="J229" i="38"/>
  <c r="J221" i="38"/>
  <c r="J262" i="38"/>
  <c r="J226" i="38"/>
  <c r="J231" i="38"/>
  <c r="J223" i="38"/>
  <c r="J254" i="38"/>
  <c r="J228" i="38"/>
  <c r="J220" i="38"/>
  <c r="J225" i="38"/>
  <c r="J246" i="38"/>
  <c r="J230" i="38"/>
  <c r="J222" i="38"/>
  <c r="J227" i="38"/>
  <c r="J202" i="38"/>
  <c r="J194" i="38"/>
  <c r="J186" i="38"/>
  <c r="J178" i="38"/>
  <c r="J170" i="38"/>
  <c r="J207" i="38"/>
  <c r="J199" i="38"/>
  <c r="J191" i="38"/>
  <c r="J183" i="38"/>
  <c r="J175" i="38"/>
  <c r="J167" i="38"/>
  <c r="J204" i="38"/>
  <c r="J196" i="38"/>
  <c r="J188" i="38"/>
  <c r="J180" i="38"/>
  <c r="J172" i="38"/>
  <c r="J209" i="38"/>
  <c r="J206" i="38"/>
  <c r="J198" i="38"/>
  <c r="J190" i="38"/>
  <c r="J182" i="38"/>
  <c r="J174" i="38"/>
  <c r="J203" i="38"/>
  <c r="J195" i="38"/>
  <c r="J187" i="38"/>
  <c r="J179" i="38"/>
  <c r="J171" i="38"/>
  <c r="J208" i="38"/>
  <c r="J200" i="38"/>
  <c r="J192" i="38"/>
  <c r="J184" i="38"/>
  <c r="J176" i="38"/>
  <c r="J168" i="38"/>
  <c r="J201" i="38"/>
  <c r="J185" i="38"/>
  <c r="J169" i="38"/>
  <c r="J189" i="38"/>
  <c r="J173" i="38"/>
  <c r="J205" i="38"/>
  <c r="J193" i="38"/>
  <c r="J177" i="38"/>
  <c r="J197" i="38"/>
  <c r="J181" i="38"/>
  <c r="H115" i="50"/>
  <c r="H49" i="50" s="1"/>
  <c r="I265" i="23"/>
  <c r="I257" i="23"/>
  <c r="I249" i="23"/>
  <c r="I241" i="23"/>
  <c r="I233" i="23"/>
  <c r="I225" i="23"/>
  <c r="I262" i="23"/>
  <c r="I254" i="23"/>
  <c r="I246" i="23"/>
  <c r="I238" i="23"/>
  <c r="I230" i="23"/>
  <c r="I222" i="23"/>
  <c r="I259" i="23"/>
  <c r="I251" i="23"/>
  <c r="I243" i="23"/>
  <c r="I235" i="23"/>
  <c r="I227" i="23"/>
  <c r="I264" i="23"/>
  <c r="I256" i="23"/>
  <c r="I248" i="23"/>
  <c r="I240" i="23"/>
  <c r="I232" i="23"/>
  <c r="I224" i="23"/>
  <c r="I261" i="23"/>
  <c r="I253" i="23"/>
  <c r="I245" i="23"/>
  <c r="I237" i="23"/>
  <c r="I229" i="23"/>
  <c r="I221" i="23"/>
  <c r="I258" i="23"/>
  <c r="I250" i="23"/>
  <c r="I242" i="23"/>
  <c r="I234" i="23"/>
  <c r="I226" i="23"/>
  <c r="I263" i="23"/>
  <c r="I255" i="23"/>
  <c r="I247" i="23"/>
  <c r="I239" i="23"/>
  <c r="I231" i="23"/>
  <c r="I223" i="23"/>
  <c r="I236" i="23"/>
  <c r="I260" i="23"/>
  <c r="I228" i="23"/>
  <c r="I252" i="23"/>
  <c r="I220" i="23"/>
  <c r="I244" i="23"/>
  <c r="I207" i="23"/>
  <c r="I206" i="23"/>
  <c r="I208" i="23"/>
  <c r="I202" i="23"/>
  <c r="I194" i="23"/>
  <c r="I186" i="23"/>
  <c r="I178" i="23"/>
  <c r="I170" i="23"/>
  <c r="I204" i="23"/>
  <c r="I196" i="23"/>
  <c r="I188" i="23"/>
  <c r="I180" i="23"/>
  <c r="I172" i="23"/>
  <c r="I205" i="23"/>
  <c r="I201" i="23"/>
  <c r="I193" i="23"/>
  <c r="I185" i="23"/>
  <c r="I177" i="23"/>
  <c r="I169" i="23"/>
  <c r="I198" i="23"/>
  <c r="I190" i="23"/>
  <c r="I182" i="23"/>
  <c r="I174" i="23"/>
  <c r="I209" i="23"/>
  <c r="I203" i="23"/>
  <c r="I195" i="23"/>
  <c r="I187" i="23"/>
  <c r="I179" i="23"/>
  <c r="I171" i="23"/>
  <c r="I200" i="23"/>
  <c r="I192" i="23"/>
  <c r="I184" i="23"/>
  <c r="I197" i="23"/>
  <c r="I181" i="23"/>
  <c r="I167" i="23"/>
  <c r="I189" i="23"/>
  <c r="I199" i="23"/>
  <c r="I183" i="23"/>
  <c r="I175" i="23"/>
  <c r="I168" i="23"/>
  <c r="I173" i="23"/>
  <c r="I191" i="23"/>
  <c r="I176" i="23"/>
  <c r="I115" i="38"/>
  <c r="I49" i="38" s="1"/>
  <c r="I70" i="50"/>
  <c r="H214" i="23"/>
  <c r="I15" i="59" s="1"/>
  <c r="H267" i="26"/>
  <c r="I52" i="59" s="1"/>
  <c r="I214" i="29"/>
  <c r="J16" i="59" s="1"/>
  <c r="H214" i="44"/>
  <c r="I5" i="59" s="1"/>
  <c r="H115" i="41"/>
  <c r="H49" i="41" s="1"/>
  <c r="I214" i="1"/>
  <c r="J4" i="59" s="1"/>
  <c r="I115" i="1"/>
  <c r="I49" i="1" s="1"/>
  <c r="J83" i="1"/>
  <c r="J86" i="1"/>
  <c r="J88" i="1"/>
  <c r="J84" i="1"/>
  <c r="J82" i="1"/>
  <c r="J85" i="1"/>
  <c r="J87" i="1"/>
  <c r="J227" i="1"/>
  <c r="J235" i="1"/>
  <c r="J243" i="1"/>
  <c r="J251" i="1"/>
  <c r="J259" i="1"/>
  <c r="J198" i="1"/>
  <c r="J206" i="1"/>
  <c r="J222" i="1"/>
  <c r="J230" i="1"/>
  <c r="J238" i="1"/>
  <c r="J246" i="1"/>
  <c r="J254" i="1"/>
  <c r="J262" i="1"/>
  <c r="J201" i="1"/>
  <c r="J209" i="1"/>
  <c r="J225" i="1"/>
  <c r="J233" i="1"/>
  <c r="J241" i="1"/>
  <c r="J249" i="1"/>
  <c r="J257" i="1"/>
  <c r="J265" i="1"/>
  <c r="J196" i="1"/>
  <c r="J204" i="1"/>
  <c r="J228" i="1"/>
  <c r="J236" i="1"/>
  <c r="J244" i="1"/>
  <c r="J252" i="1"/>
  <c r="J260" i="1"/>
  <c r="J220" i="1"/>
  <c r="J199" i="1"/>
  <c r="J207" i="1"/>
  <c r="J223" i="1"/>
  <c r="J231" i="1"/>
  <c r="J239" i="1"/>
  <c r="J247" i="1"/>
  <c r="J255" i="1"/>
  <c r="J263" i="1"/>
  <c r="J194" i="1"/>
  <c r="J202" i="1"/>
  <c r="J226" i="1"/>
  <c r="J234" i="1"/>
  <c r="J242" i="1"/>
  <c r="J250" i="1"/>
  <c r="J258" i="1"/>
  <c r="J197" i="1"/>
  <c r="J205" i="1"/>
  <c r="J221" i="1"/>
  <c r="J229" i="1"/>
  <c r="J237" i="1"/>
  <c r="J245" i="1"/>
  <c r="J253" i="1"/>
  <c r="J261" i="1"/>
  <c r="J200" i="1"/>
  <c r="J208" i="1"/>
  <c r="J240" i="1"/>
  <c r="J248" i="1"/>
  <c r="J232" i="1"/>
  <c r="J256" i="1"/>
  <c r="J183" i="1"/>
  <c r="J185" i="1"/>
  <c r="J187" i="1"/>
  <c r="J189" i="1"/>
  <c r="J191" i="1"/>
  <c r="J193" i="1"/>
  <c r="J169" i="1"/>
  <c r="J171" i="1"/>
  <c r="J173" i="1"/>
  <c r="J175" i="1"/>
  <c r="J177" i="1"/>
  <c r="J179" i="1"/>
  <c r="J181" i="1"/>
  <c r="J264" i="1"/>
  <c r="J195" i="1"/>
  <c r="J203" i="1"/>
  <c r="J167" i="1"/>
  <c r="J224" i="1"/>
  <c r="J182" i="1"/>
  <c r="J184" i="1"/>
  <c r="J186" i="1"/>
  <c r="J188" i="1"/>
  <c r="J190" i="1"/>
  <c r="J192" i="1"/>
  <c r="J168" i="1"/>
  <c r="J170" i="1"/>
  <c r="J172" i="1"/>
  <c r="J174" i="1"/>
  <c r="J176" i="1"/>
  <c r="J178" i="1"/>
  <c r="J180" i="1"/>
  <c r="J73" i="1"/>
  <c r="J71" i="1"/>
  <c r="J76" i="1"/>
  <c r="J81" i="1"/>
  <c r="J79" i="1"/>
  <c r="H115" i="1"/>
  <c r="H49" i="1" s="1"/>
  <c r="I267" i="1"/>
  <c r="J33" i="59" s="1"/>
  <c r="Y167" i="20"/>
  <c r="Y169" i="20"/>
  <c r="BH166" i="29"/>
  <c r="BV157" i="29" s="1"/>
  <c r="BI166" i="53"/>
  <c r="I115" i="53"/>
  <c r="I49" i="53" s="1"/>
  <c r="H115" i="53"/>
  <c r="H49" i="53" s="1"/>
  <c r="H214" i="8"/>
  <c r="I6" i="59" s="1"/>
  <c r="I78" i="8"/>
  <c r="I81" i="8"/>
  <c r="I80" i="8"/>
  <c r="I79" i="8"/>
  <c r="I263" i="8"/>
  <c r="I255" i="8"/>
  <c r="I247" i="8"/>
  <c r="I239" i="8"/>
  <c r="I231" i="8"/>
  <c r="I223" i="8"/>
  <c r="I205" i="8"/>
  <c r="I197" i="8"/>
  <c r="I260" i="8"/>
  <c r="I252" i="8"/>
  <c r="I244" i="8"/>
  <c r="I236" i="8"/>
  <c r="I228" i="8"/>
  <c r="I220" i="8"/>
  <c r="I202" i="8"/>
  <c r="I194" i="8"/>
  <c r="I265" i="8"/>
  <c r="I257" i="8"/>
  <c r="I249" i="8"/>
  <c r="I241" i="8"/>
  <c r="I233" i="8"/>
  <c r="I225" i="8"/>
  <c r="I207" i="8"/>
  <c r="I199" i="8"/>
  <c r="I191" i="8"/>
  <c r="I262" i="8"/>
  <c r="I254" i="8"/>
  <c r="I246" i="8"/>
  <c r="I238" i="8"/>
  <c r="I230" i="8"/>
  <c r="I222" i="8"/>
  <c r="I204" i="8"/>
  <c r="I196" i="8"/>
  <c r="I259" i="8"/>
  <c r="I251" i="8"/>
  <c r="I243" i="8"/>
  <c r="I235" i="8"/>
  <c r="I227" i="8"/>
  <c r="I209" i="8"/>
  <c r="I201" i="8"/>
  <c r="I193" i="8"/>
  <c r="I264" i="8"/>
  <c r="I256" i="8"/>
  <c r="I248" i="8"/>
  <c r="I240" i="8"/>
  <c r="I232" i="8"/>
  <c r="I224" i="8"/>
  <c r="I206" i="8"/>
  <c r="I198" i="8"/>
  <c r="I190" i="8"/>
  <c r="I261" i="8"/>
  <c r="I253" i="8"/>
  <c r="I245" i="8"/>
  <c r="I237" i="8"/>
  <c r="I229" i="8"/>
  <c r="I221" i="8"/>
  <c r="I203" i="8"/>
  <c r="I195" i="8"/>
  <c r="I258" i="8"/>
  <c r="I250" i="8"/>
  <c r="I242" i="8"/>
  <c r="I234" i="8"/>
  <c r="I226" i="8"/>
  <c r="I208" i="8"/>
  <c r="I200" i="8"/>
  <c r="I192" i="8"/>
  <c r="I182" i="8"/>
  <c r="I174" i="8"/>
  <c r="I187" i="8"/>
  <c r="I179" i="8"/>
  <c r="I171" i="8"/>
  <c r="I184" i="8"/>
  <c r="I176" i="8"/>
  <c r="I168" i="8"/>
  <c r="I189" i="8"/>
  <c r="I181" i="8"/>
  <c r="I173" i="8"/>
  <c r="I186" i="8"/>
  <c r="I178" i="8"/>
  <c r="I170" i="8"/>
  <c r="I183" i="8"/>
  <c r="I175" i="8"/>
  <c r="I167" i="8"/>
  <c r="I188" i="8"/>
  <c r="I180" i="8"/>
  <c r="I172" i="8"/>
  <c r="I185" i="8"/>
  <c r="I177" i="8"/>
  <c r="I169" i="8"/>
  <c r="I72" i="8"/>
  <c r="I77" i="8"/>
  <c r="I69" i="8"/>
  <c r="I74" i="8"/>
  <c r="I71" i="8"/>
  <c r="I76" i="8"/>
  <c r="I73" i="8"/>
  <c r="I70" i="8"/>
  <c r="I75" i="8"/>
  <c r="BG167" i="47"/>
  <c r="I38" i="34"/>
  <c r="G62" i="34" s="1"/>
  <c r="I38" i="22"/>
  <c r="G62" i="22" s="1"/>
  <c r="I38" i="43"/>
  <c r="G62" i="43" s="1"/>
  <c r="BK166" i="53"/>
  <c r="X214" i="53"/>
  <c r="BN157" i="53"/>
  <c r="BG167" i="53"/>
  <c r="BV157" i="53"/>
  <c r="BN158" i="53"/>
  <c r="BV164" i="53"/>
  <c r="J76" i="53"/>
  <c r="J72" i="53"/>
  <c r="J77" i="53"/>
  <c r="J75" i="53"/>
  <c r="J73" i="53"/>
  <c r="J71" i="53"/>
  <c r="J69" i="53"/>
  <c r="J70" i="53"/>
  <c r="J74" i="53"/>
  <c r="J76" i="50"/>
  <c r="J74" i="50"/>
  <c r="J72" i="50"/>
  <c r="J70" i="50"/>
  <c r="J77" i="50"/>
  <c r="J75" i="50"/>
  <c r="J73" i="50"/>
  <c r="J71" i="50"/>
  <c r="J69" i="50"/>
  <c r="X214" i="50"/>
  <c r="BV157" i="50"/>
  <c r="BN157" i="50"/>
  <c r="BG167" i="50"/>
  <c r="BV164" i="50"/>
  <c r="C25" i="52"/>
  <c r="C31" i="52" s="1"/>
  <c r="C19" i="51"/>
  <c r="F27" i="48"/>
  <c r="C12" i="48" s="1"/>
  <c r="I38" i="49"/>
  <c r="G62" i="49" s="1"/>
  <c r="X214" i="47"/>
  <c r="J77" i="47"/>
  <c r="J75" i="47"/>
  <c r="J73" i="47"/>
  <c r="J71" i="47"/>
  <c r="J69" i="47"/>
  <c r="J76" i="47"/>
  <c r="J74" i="47"/>
  <c r="J72" i="47"/>
  <c r="J70" i="47"/>
  <c r="BV164" i="47"/>
  <c r="BN158" i="47"/>
  <c r="BV164" i="44"/>
  <c r="BN158" i="44"/>
  <c r="I77" i="44"/>
  <c r="I72" i="44"/>
  <c r="I76" i="44"/>
  <c r="I73" i="44"/>
  <c r="I71" i="44"/>
  <c r="I69" i="44"/>
  <c r="I70" i="44"/>
  <c r="I75" i="44"/>
  <c r="I74" i="44"/>
  <c r="BV157" i="44"/>
  <c r="BG167" i="44"/>
  <c r="BN157" i="44"/>
  <c r="X214" i="44"/>
  <c r="BZ161" i="44"/>
  <c r="J71" i="41"/>
  <c r="J76" i="41"/>
  <c r="J74" i="41"/>
  <c r="J72" i="41"/>
  <c r="J70" i="41"/>
  <c r="J75" i="41"/>
  <c r="J73" i="41"/>
  <c r="J69" i="41"/>
  <c r="J77" i="41"/>
  <c r="BG167" i="41"/>
  <c r="BV157" i="41"/>
  <c r="BN157" i="41"/>
  <c r="S123" i="38"/>
  <c r="H37" i="40" s="1"/>
  <c r="F59" i="40" s="1"/>
  <c r="BV157" i="38"/>
  <c r="BG167" i="38"/>
  <c r="F27" i="39"/>
  <c r="C12" i="39" s="1"/>
  <c r="I38" i="40"/>
  <c r="G62" i="40" s="1"/>
  <c r="J77" i="38"/>
  <c r="J75" i="38"/>
  <c r="J73" i="38"/>
  <c r="J76" i="38"/>
  <c r="J74" i="38"/>
  <c r="J72" i="38"/>
  <c r="J70" i="38"/>
  <c r="J71" i="38"/>
  <c r="J69" i="38"/>
  <c r="BG167" i="35"/>
  <c r="BV157" i="35"/>
  <c r="BN157" i="35"/>
  <c r="S123" i="35"/>
  <c r="H37" i="37" s="1"/>
  <c r="F59" i="37" s="1"/>
  <c r="I77" i="35"/>
  <c r="I75" i="35"/>
  <c r="I73" i="35"/>
  <c r="I71" i="35"/>
  <c r="I69" i="35"/>
  <c r="I76" i="35"/>
  <c r="I74" i="35"/>
  <c r="I72" i="35"/>
  <c r="I70" i="35"/>
  <c r="X214" i="35"/>
  <c r="BV164" i="35"/>
  <c r="I77" i="32"/>
  <c r="I75" i="32"/>
  <c r="I73" i="32"/>
  <c r="I71" i="32"/>
  <c r="I69" i="32"/>
  <c r="I76" i="32"/>
  <c r="I74" i="32"/>
  <c r="I72" i="32"/>
  <c r="I70" i="32"/>
  <c r="X214" i="32"/>
  <c r="F27" i="30"/>
  <c r="C12" i="30" s="1"/>
  <c r="I38" i="31"/>
  <c r="G62" i="31" s="1"/>
  <c r="J77" i="29"/>
  <c r="J72" i="29"/>
  <c r="J70" i="29"/>
  <c r="J75" i="29"/>
  <c r="J74" i="29"/>
  <c r="J73" i="29"/>
  <c r="J71" i="29"/>
  <c r="J69" i="29"/>
  <c r="J76" i="29"/>
  <c r="X214" i="29"/>
  <c r="BG167" i="29"/>
  <c r="H37" i="31"/>
  <c r="F59" i="31" s="1"/>
  <c r="BZ161" i="26"/>
  <c r="X214" i="26"/>
  <c r="J77" i="26"/>
  <c r="J75" i="26"/>
  <c r="J73" i="26"/>
  <c r="J71" i="26"/>
  <c r="J69" i="26"/>
  <c r="J76" i="26"/>
  <c r="J74" i="26"/>
  <c r="J72" i="26"/>
  <c r="J70" i="26"/>
  <c r="S123" i="23"/>
  <c r="H37" i="25" s="1"/>
  <c r="F59" i="25" s="1"/>
  <c r="X214" i="23"/>
  <c r="BV157" i="23"/>
  <c r="BG167" i="23"/>
  <c r="BN157" i="23"/>
  <c r="I77" i="23"/>
  <c r="I75" i="23"/>
  <c r="I73" i="23"/>
  <c r="I71" i="23"/>
  <c r="I69" i="23"/>
  <c r="I76" i="23"/>
  <c r="I74" i="23"/>
  <c r="I72" i="23"/>
  <c r="I70" i="23"/>
  <c r="BV164" i="23"/>
  <c r="F27" i="24"/>
  <c r="C12" i="24" s="1"/>
  <c r="I38" i="25"/>
  <c r="G62" i="25" s="1"/>
  <c r="I77" i="20"/>
  <c r="I75" i="20"/>
  <c r="I73" i="20"/>
  <c r="I71" i="20"/>
  <c r="I69" i="20"/>
  <c r="I76" i="20"/>
  <c r="I74" i="20"/>
  <c r="I72" i="20"/>
  <c r="I70" i="20"/>
  <c r="G15" i="21"/>
  <c r="G19" i="21" s="1"/>
  <c r="BV164" i="1"/>
  <c r="BN158" i="1"/>
  <c r="AG185" i="1" s="1"/>
  <c r="J76" i="5"/>
  <c r="J72" i="5"/>
  <c r="J70" i="5"/>
  <c r="J75" i="5"/>
  <c r="J71" i="5"/>
  <c r="J74" i="5"/>
  <c r="J77" i="5"/>
  <c r="J73" i="5"/>
  <c r="J69" i="5"/>
  <c r="BV164" i="8"/>
  <c r="BN158" i="8"/>
  <c r="BN157" i="8"/>
  <c r="I323" i="59" l="1"/>
  <c r="H27" i="53"/>
  <c r="H13" i="53"/>
  <c r="H13" i="76"/>
  <c r="H27" i="76"/>
  <c r="I265" i="59"/>
  <c r="J323" i="59"/>
  <c r="I27" i="53"/>
  <c r="I13" i="53"/>
  <c r="I27" i="76"/>
  <c r="I13" i="76"/>
  <c r="J265" i="59"/>
  <c r="I313" i="59"/>
  <c r="H27" i="23"/>
  <c r="H13" i="23"/>
  <c r="I255" i="59"/>
  <c r="H20" i="23" s="1"/>
  <c r="AC168" i="41"/>
  <c r="AC171" i="41"/>
  <c r="AD171" i="41"/>
  <c r="AK176" i="41"/>
  <c r="AD168" i="41"/>
  <c r="AI175" i="41"/>
  <c r="AI178" i="41"/>
  <c r="AD173" i="41"/>
  <c r="AJ177" i="41"/>
  <c r="AD169" i="41"/>
  <c r="AC169" i="41"/>
  <c r="AH178" i="41"/>
  <c r="AK178" i="41"/>
  <c r="AI177" i="41"/>
  <c r="AC174" i="41"/>
  <c r="AD174" i="41"/>
  <c r="AH175" i="41"/>
  <c r="AK177" i="41"/>
  <c r="AC173" i="41"/>
  <c r="AC170" i="41"/>
  <c r="AJ175" i="41"/>
  <c r="AJ178" i="41"/>
  <c r="AD170" i="41"/>
  <c r="AI176" i="41"/>
  <c r="AC172" i="41"/>
  <c r="AJ176" i="41"/>
  <c r="AD172" i="41"/>
  <c r="AH176" i="41"/>
  <c r="AH177" i="41"/>
  <c r="I324" i="59"/>
  <c r="I266" i="59"/>
  <c r="I309" i="59"/>
  <c r="I251" i="59"/>
  <c r="I214" i="38"/>
  <c r="I308" i="59"/>
  <c r="H27" i="38"/>
  <c r="I250" i="59"/>
  <c r="H20" i="38" s="1"/>
  <c r="AD214" i="38"/>
  <c r="AD215" i="38" s="1"/>
  <c r="AD216" i="38" s="1"/>
  <c r="J272" i="38" s="1"/>
  <c r="J56" i="38" s="1"/>
  <c r="H6" i="50"/>
  <c r="H7" i="50" s="1"/>
  <c r="I322" i="59"/>
  <c r="H21" i="50" s="1"/>
  <c r="H13" i="50"/>
  <c r="H27" i="50"/>
  <c r="I314" i="59"/>
  <c r="H13" i="29"/>
  <c r="H27" i="29"/>
  <c r="I256" i="59"/>
  <c r="H20" i="29" s="1"/>
  <c r="J314" i="59"/>
  <c r="I27" i="29"/>
  <c r="I13" i="29"/>
  <c r="J256" i="59"/>
  <c r="I20" i="29" s="1"/>
  <c r="I306" i="59"/>
  <c r="H27" i="5"/>
  <c r="H13" i="5"/>
  <c r="I248" i="59"/>
  <c r="H20" i="5" s="1"/>
  <c r="I321" i="59"/>
  <c r="H27" i="26"/>
  <c r="H13" i="26"/>
  <c r="I263" i="59"/>
  <c r="H20" i="26" s="1"/>
  <c r="I304" i="59"/>
  <c r="H13" i="8"/>
  <c r="H27" i="8"/>
  <c r="I246" i="59"/>
  <c r="H20" i="8" s="1"/>
  <c r="I303" i="59"/>
  <c r="H27" i="44"/>
  <c r="H13" i="44"/>
  <c r="I245" i="59"/>
  <c r="H20" i="44" s="1"/>
  <c r="I141" i="59"/>
  <c r="I206" i="59" s="1"/>
  <c r="I292" i="59"/>
  <c r="H22" i="26"/>
  <c r="H14" i="26" s="1"/>
  <c r="I133" i="59"/>
  <c r="I198" i="59" s="1"/>
  <c r="I284" i="59"/>
  <c r="H23" i="23" s="1"/>
  <c r="H22" i="23"/>
  <c r="H14" i="23" s="1"/>
  <c r="I134" i="59"/>
  <c r="I199" i="59" s="1"/>
  <c r="I285" i="59"/>
  <c r="H23" i="29" s="1"/>
  <c r="H22" i="29"/>
  <c r="H14" i="29" s="1"/>
  <c r="I124" i="59"/>
  <c r="I189" i="59" s="1"/>
  <c r="I275" i="59"/>
  <c r="H23" i="8" s="1"/>
  <c r="H22" i="8"/>
  <c r="H14" i="8" s="1"/>
  <c r="H18" i="8" s="1"/>
  <c r="I279" i="59"/>
  <c r="H22" i="38"/>
  <c r="I123" i="59"/>
  <c r="I188" i="59" s="1"/>
  <c r="I274" i="59"/>
  <c r="H23" i="44" s="1"/>
  <c r="H22" i="44"/>
  <c r="H14" i="44" s="1"/>
  <c r="I126" i="59"/>
  <c r="I191" i="59" s="1"/>
  <c r="I277" i="59"/>
  <c r="H23" i="5" s="1"/>
  <c r="H22" i="5"/>
  <c r="H14" i="5" s="1"/>
  <c r="H18" i="5" s="1"/>
  <c r="I143" i="59"/>
  <c r="I208" i="59" s="1"/>
  <c r="I294" i="59"/>
  <c r="H22" i="76"/>
  <c r="H14" i="76" s="1"/>
  <c r="H22" i="53"/>
  <c r="H14" i="53" s="1"/>
  <c r="H8" i="50"/>
  <c r="H9" i="50" s="1"/>
  <c r="I293" i="59"/>
  <c r="H22" i="50"/>
  <c r="H26" i="50" s="1"/>
  <c r="J134" i="59"/>
  <c r="J199" i="59" s="1"/>
  <c r="J285" i="59"/>
  <c r="I23" i="29" s="1"/>
  <c r="I22" i="29"/>
  <c r="I26" i="29" s="1"/>
  <c r="J143" i="59"/>
  <c r="J208" i="59" s="1"/>
  <c r="J294" i="59"/>
  <c r="I22" i="53"/>
  <c r="I26" i="53" s="1"/>
  <c r="I22" i="76"/>
  <c r="I26" i="76" s="1"/>
  <c r="I22" i="1"/>
  <c r="I22" i="83"/>
  <c r="I8" i="83"/>
  <c r="I9" i="83" s="1"/>
  <c r="J273" i="59"/>
  <c r="I23" i="1" s="1"/>
  <c r="J302" i="59"/>
  <c r="I21" i="1" s="1"/>
  <c r="I13" i="1"/>
  <c r="I27" i="1"/>
  <c r="I6" i="83"/>
  <c r="I7" i="83" s="1"/>
  <c r="I13" i="83"/>
  <c r="I27" i="83"/>
  <c r="J244" i="59"/>
  <c r="I20" i="1" s="1"/>
  <c r="AB171" i="47"/>
  <c r="AC171" i="47"/>
  <c r="AF178" i="47"/>
  <c r="I283" i="59"/>
  <c r="H22" i="47"/>
  <c r="H26" i="47" s="1"/>
  <c r="I312" i="59"/>
  <c r="H21" i="47" s="1"/>
  <c r="I254" i="59"/>
  <c r="H20" i="47" s="1"/>
  <c r="H27" i="47"/>
  <c r="I142" i="59"/>
  <c r="I207" i="59" s="1"/>
  <c r="I264" i="59"/>
  <c r="H20" i="50" s="1"/>
  <c r="Z176" i="35"/>
  <c r="Y176" i="35" s="1"/>
  <c r="U77" i="35" s="1"/>
  <c r="Z189" i="35"/>
  <c r="Y189" i="35" s="1"/>
  <c r="Z193" i="35"/>
  <c r="Y193" i="35" s="1"/>
  <c r="Z196" i="35"/>
  <c r="Y196" i="35" s="1"/>
  <c r="Z203" i="35"/>
  <c r="Y203" i="35" s="1"/>
  <c r="Z206" i="35"/>
  <c r="Y206" i="35" s="1"/>
  <c r="Z210" i="35"/>
  <c r="Y210" i="35" s="1"/>
  <c r="Z170" i="35"/>
  <c r="Y170" i="35" s="1"/>
  <c r="U71" i="35" s="1"/>
  <c r="Z183" i="35"/>
  <c r="Y183" i="35" s="1"/>
  <c r="Z200" i="35"/>
  <c r="Y200" i="35" s="1"/>
  <c r="Z180" i="35"/>
  <c r="Y180" i="35" s="1"/>
  <c r="Z173" i="35"/>
  <c r="Y173" i="35" s="1"/>
  <c r="U74" i="35" s="1"/>
  <c r="Z194" i="35"/>
  <c r="Y194" i="35" s="1"/>
  <c r="Z212" i="35"/>
  <c r="Y212" i="35" s="1"/>
  <c r="Z184" i="35"/>
  <c r="Y184" i="35" s="1"/>
  <c r="Z197" i="35"/>
  <c r="Y197" i="35" s="1"/>
  <c r="Z201" i="35"/>
  <c r="Y201" i="35" s="1"/>
  <c r="Z204" i="35"/>
  <c r="Y204" i="35" s="1"/>
  <c r="Z211" i="35"/>
  <c r="Y211" i="35" s="1"/>
  <c r="Z179" i="35"/>
  <c r="Y179" i="35" s="1"/>
  <c r="Z207" i="35"/>
  <c r="Y207" i="35" s="1"/>
  <c r="Z171" i="35"/>
  <c r="Y171" i="35" s="1"/>
  <c r="U72" i="35" s="1"/>
  <c r="Z174" i="35"/>
  <c r="Y174" i="35" s="1"/>
  <c r="U75" i="35" s="1"/>
  <c r="Z178" i="35"/>
  <c r="Y178" i="35" s="1"/>
  <c r="Z191" i="35"/>
  <c r="Y191" i="35" s="1"/>
  <c r="Z208" i="35"/>
  <c r="Y208" i="35" s="1"/>
  <c r="Z169" i="35"/>
  <c r="Y169" i="35" s="1"/>
  <c r="U70" i="35" s="1"/>
  <c r="Z182" i="35"/>
  <c r="Y182" i="35" s="1"/>
  <c r="Z190" i="35"/>
  <c r="Y190" i="35" s="1"/>
  <c r="Z213" i="35"/>
  <c r="Y213" i="35" s="1"/>
  <c r="Z181" i="35"/>
  <c r="Y181" i="35" s="1"/>
  <c r="Z185" i="35"/>
  <c r="Y185" i="35" s="1"/>
  <c r="Z188" i="35"/>
  <c r="Y188" i="35" s="1"/>
  <c r="Z195" i="35"/>
  <c r="Y195" i="35" s="1"/>
  <c r="Z198" i="35"/>
  <c r="Y198" i="35" s="1"/>
  <c r="Z202" i="35"/>
  <c r="Y202" i="35" s="1"/>
  <c r="Z168" i="35"/>
  <c r="Y168" i="35" s="1"/>
  <c r="Z186" i="35"/>
  <c r="Y186" i="35" s="1"/>
  <c r="Z177" i="35"/>
  <c r="Y177" i="35" s="1"/>
  <c r="Z175" i="35"/>
  <c r="Y175" i="35" s="1"/>
  <c r="U76" i="35" s="1"/>
  <c r="Z192" i="35"/>
  <c r="Y192" i="35" s="1"/>
  <c r="Z205" i="35"/>
  <c r="Y205" i="35" s="1"/>
  <c r="Z209" i="35"/>
  <c r="Y209" i="35" s="1"/>
  <c r="Z172" i="35"/>
  <c r="Y172" i="35" s="1"/>
  <c r="U73" i="35" s="1"/>
  <c r="Z199" i="35"/>
  <c r="Y199" i="35" s="1"/>
  <c r="Z187" i="35"/>
  <c r="Y187" i="35" s="1"/>
  <c r="AD171" i="35"/>
  <c r="AD168" i="35"/>
  <c r="AD169" i="35"/>
  <c r="AD172" i="35"/>
  <c r="AD170" i="35"/>
  <c r="H27" i="35"/>
  <c r="I259" i="59"/>
  <c r="H20" i="35" s="1"/>
  <c r="H13" i="35"/>
  <c r="I137" i="59"/>
  <c r="I202" i="59" s="1"/>
  <c r="H22" i="35"/>
  <c r="H14" i="35" s="1"/>
  <c r="H23" i="35"/>
  <c r="I128" i="59"/>
  <c r="I193" i="59" s="1"/>
  <c r="H14" i="38"/>
  <c r="H23" i="38"/>
  <c r="S120" i="38"/>
  <c r="F28" i="39" s="1"/>
  <c r="S58" i="38"/>
  <c r="H13" i="38"/>
  <c r="S58" i="20"/>
  <c r="I144" i="59"/>
  <c r="I209" i="59" s="1"/>
  <c r="H22" i="41"/>
  <c r="H23" i="41"/>
  <c r="H20" i="41"/>
  <c r="H13" i="41"/>
  <c r="H27" i="41"/>
  <c r="I129" i="59"/>
  <c r="I194" i="59" s="1"/>
  <c r="H22" i="32"/>
  <c r="H14" i="32" s="1"/>
  <c r="H23" i="32"/>
  <c r="H27" i="32"/>
  <c r="H13" i="32"/>
  <c r="H20" i="32"/>
  <c r="I132" i="59"/>
  <c r="I197" i="59" s="1"/>
  <c r="J122" i="59"/>
  <c r="J187" i="59" s="1"/>
  <c r="J92" i="59"/>
  <c r="I98" i="59"/>
  <c r="I107" i="59"/>
  <c r="U115" i="38"/>
  <c r="S60" i="38" s="1"/>
  <c r="AA172" i="47"/>
  <c r="AA177" i="47"/>
  <c r="AA176" i="47"/>
  <c r="AA175" i="47"/>
  <c r="AA180" i="47"/>
  <c r="I94" i="59"/>
  <c r="AK214" i="38"/>
  <c r="AK215" i="38" s="1"/>
  <c r="AK216" i="38" s="1"/>
  <c r="I93" i="59"/>
  <c r="AE214" i="38"/>
  <c r="I113" i="59"/>
  <c r="AB168" i="44"/>
  <c r="AB214" i="44" s="1"/>
  <c r="AB215" i="44" s="1"/>
  <c r="AB216" i="44" s="1"/>
  <c r="H272" i="44" s="1"/>
  <c r="H56" i="44" s="1"/>
  <c r="AD174" i="44"/>
  <c r="AC172" i="44"/>
  <c r="AD169" i="44"/>
  <c r="AE171" i="44"/>
  <c r="AC173" i="44"/>
  <c r="AC170" i="44"/>
  <c r="J104" i="59"/>
  <c r="J113" i="59"/>
  <c r="I102" i="59"/>
  <c r="H23" i="47"/>
  <c r="AF214" i="38"/>
  <c r="AF215" i="38" s="1"/>
  <c r="AF216" i="38" s="1"/>
  <c r="L272" i="38" s="1"/>
  <c r="L56" i="38" s="1"/>
  <c r="I114" i="59"/>
  <c r="AE171" i="35"/>
  <c r="AE168" i="35"/>
  <c r="AE169" i="35"/>
  <c r="AE172" i="35"/>
  <c r="AE170" i="35"/>
  <c r="AF170" i="35"/>
  <c r="AF171" i="35"/>
  <c r="AF168" i="35"/>
  <c r="AF169" i="35"/>
  <c r="AF172" i="35"/>
  <c r="AG170" i="35"/>
  <c r="AG171" i="35"/>
  <c r="AG168" i="35"/>
  <c r="AG169" i="35"/>
  <c r="AG172" i="35"/>
  <c r="AH172" i="35"/>
  <c r="AH170" i="35"/>
  <c r="AH171" i="35"/>
  <c r="AH168" i="35"/>
  <c r="AH169" i="35"/>
  <c r="AI169" i="35"/>
  <c r="AI172" i="35"/>
  <c r="AI170" i="35"/>
  <c r="AI171" i="35"/>
  <c r="AI168" i="35"/>
  <c r="AJ169" i="35"/>
  <c r="AJ172" i="35"/>
  <c r="AJ170" i="35"/>
  <c r="AJ171" i="35"/>
  <c r="AJ168" i="35"/>
  <c r="AK168" i="35"/>
  <c r="AK169" i="35"/>
  <c r="AK172" i="35"/>
  <c r="AK170" i="35"/>
  <c r="AK171" i="35"/>
  <c r="AA168" i="53"/>
  <c r="AA181" i="53"/>
  <c r="AA179" i="53"/>
  <c r="AA169" i="53"/>
  <c r="AB171" i="53"/>
  <c r="AB170" i="53"/>
  <c r="AC174" i="53"/>
  <c r="AC173" i="53"/>
  <c r="AC172" i="53"/>
  <c r="AD175" i="53"/>
  <c r="AD176" i="53"/>
  <c r="AE177" i="53"/>
  <c r="AG178" i="53"/>
  <c r="I104" i="59"/>
  <c r="AI214" i="38"/>
  <c r="AI215" i="38" s="1"/>
  <c r="AI216" i="38" s="1"/>
  <c r="O272" i="38" s="1"/>
  <c r="O56" i="38" s="1"/>
  <c r="I111" i="59"/>
  <c r="AA176" i="8"/>
  <c r="AB177" i="8"/>
  <c r="AE170" i="8"/>
  <c r="AE171" i="8"/>
  <c r="AG169" i="8"/>
  <c r="AI179" i="8"/>
  <c r="I103" i="59"/>
  <c r="I96" i="59"/>
  <c r="I99" i="59"/>
  <c r="AJ214" i="38"/>
  <c r="AJ215" i="38" s="1"/>
  <c r="AH214" i="38"/>
  <c r="AH215" i="38" s="1"/>
  <c r="AH216" i="38" s="1"/>
  <c r="N272" i="38" s="1"/>
  <c r="N56" i="38" s="1"/>
  <c r="AG214" i="38"/>
  <c r="AG215" i="38" s="1"/>
  <c r="AG216" i="38" s="1"/>
  <c r="M272" i="38" s="1"/>
  <c r="M56" i="38" s="1"/>
  <c r="AE180" i="41"/>
  <c r="AE174" i="41"/>
  <c r="AK175" i="41"/>
  <c r="AE171" i="41"/>
  <c r="AE179" i="41"/>
  <c r="AE169" i="41"/>
  <c r="AE173" i="41"/>
  <c r="AE168" i="41"/>
  <c r="AE172" i="41"/>
  <c r="AK181" i="41"/>
  <c r="AC183" i="41"/>
  <c r="AE170" i="41"/>
  <c r="I112" i="59"/>
  <c r="I77" i="59"/>
  <c r="I256" i="72" s="1"/>
  <c r="I34" i="35" s="1"/>
  <c r="Z201" i="1"/>
  <c r="AA168" i="1"/>
  <c r="AA169" i="1"/>
  <c r="AC179" i="1"/>
  <c r="AC178" i="1"/>
  <c r="AC177" i="1"/>
  <c r="AC176" i="1"/>
  <c r="AC175" i="1"/>
  <c r="AG184" i="1"/>
  <c r="AK168" i="44"/>
  <c r="AK169" i="44"/>
  <c r="AK170" i="44"/>
  <c r="AK171" i="44"/>
  <c r="AK172" i="44"/>
  <c r="AK173" i="44"/>
  <c r="AK174" i="44"/>
  <c r="AI174" i="44"/>
  <c r="AE172" i="44"/>
  <c r="AG171" i="44"/>
  <c r="AI170" i="44"/>
  <c r="AE168" i="44"/>
  <c r="AH174" i="44"/>
  <c r="AJ173" i="44"/>
  <c r="AD172" i="44"/>
  <c r="AF171" i="44"/>
  <c r="AH170" i="44"/>
  <c r="AJ169" i="44"/>
  <c r="AD168" i="44"/>
  <c r="AD173" i="44"/>
  <c r="AF168" i="44"/>
  <c r="AG174" i="44"/>
  <c r="AI173" i="44"/>
  <c r="AG170" i="44"/>
  <c r="AI169" i="44"/>
  <c r="AC168" i="44"/>
  <c r="AJ170" i="44"/>
  <c r="AF174" i="44"/>
  <c r="AH173" i="44"/>
  <c r="AJ172" i="44"/>
  <c r="AF170" i="44"/>
  <c r="AH169" i="44"/>
  <c r="AJ168" i="44"/>
  <c r="AJ174" i="44"/>
  <c r="AF172" i="44"/>
  <c r="AE174" i="44"/>
  <c r="AG173" i="44"/>
  <c r="AI172" i="44"/>
  <c r="AE170" i="44"/>
  <c r="AG169" i="44"/>
  <c r="AI168" i="44"/>
  <c r="AH171" i="44"/>
  <c r="AF173" i="44"/>
  <c r="AH172" i="44"/>
  <c r="AJ171" i="44"/>
  <c r="AD170" i="44"/>
  <c r="AF169" i="44"/>
  <c r="AH168" i="44"/>
  <c r="AE173" i="44"/>
  <c r="AG172" i="44"/>
  <c r="AI171" i="44"/>
  <c r="AE169" i="44"/>
  <c r="AG168" i="44"/>
  <c r="AC176" i="47"/>
  <c r="AB172" i="47"/>
  <c r="AC175" i="47"/>
  <c r="AB180" i="47"/>
  <c r="AA174" i="47"/>
  <c r="AC177" i="47"/>
  <c r="AC174" i="47"/>
  <c r="AB174" i="47"/>
  <c r="AB176" i="47"/>
  <c r="AB175" i="47"/>
  <c r="AC180" i="47"/>
  <c r="AC172" i="47"/>
  <c r="AB177" i="47"/>
  <c r="AA170" i="47"/>
  <c r="AB170" i="47"/>
  <c r="AD176" i="47"/>
  <c r="AD175" i="47"/>
  <c r="AD180" i="47"/>
  <c r="AD177" i="47"/>
  <c r="AE176" i="47"/>
  <c r="AE175" i="47"/>
  <c r="AE180" i="47"/>
  <c r="AE177" i="47"/>
  <c r="AF180" i="47"/>
  <c r="AF177" i="47"/>
  <c r="AK179" i="8"/>
  <c r="AJ179" i="8"/>
  <c r="AK174" i="41"/>
  <c r="AK183" i="41"/>
  <c r="AK168" i="41"/>
  <c r="AK169" i="41"/>
  <c r="AK173" i="41"/>
  <c r="AK170" i="41"/>
  <c r="AK171" i="41"/>
  <c r="AK179" i="41"/>
  <c r="AK172" i="41"/>
  <c r="AK180" i="41"/>
  <c r="AH183" i="41"/>
  <c r="AH179" i="41"/>
  <c r="AF174" i="41"/>
  <c r="AH173" i="41"/>
  <c r="AJ172" i="41"/>
  <c r="AF170" i="41"/>
  <c r="AH169" i="41"/>
  <c r="AJ168" i="41"/>
  <c r="AI179" i="41"/>
  <c r="AG170" i="41"/>
  <c r="AG183" i="41"/>
  <c r="AG179" i="41"/>
  <c r="AG173" i="41"/>
  <c r="AI172" i="41"/>
  <c r="AG169" i="41"/>
  <c r="AI168" i="41"/>
  <c r="AI183" i="41"/>
  <c r="AF183" i="41"/>
  <c r="AJ180" i="41"/>
  <c r="AF179" i="41"/>
  <c r="AF173" i="41"/>
  <c r="AH172" i="41"/>
  <c r="AJ171" i="41"/>
  <c r="AF169" i="41"/>
  <c r="AH168" i="41"/>
  <c r="AI169" i="41"/>
  <c r="AE183" i="41"/>
  <c r="AI180" i="41"/>
  <c r="AG172" i="41"/>
  <c r="AI171" i="41"/>
  <c r="AG168" i="41"/>
  <c r="AI173" i="41"/>
  <c r="AD183" i="41"/>
  <c r="AH180" i="41"/>
  <c r="AJ174" i="41"/>
  <c r="AF172" i="41"/>
  <c r="AH171" i="41"/>
  <c r="AJ170" i="41"/>
  <c r="AF168" i="41"/>
  <c r="AG180" i="41"/>
  <c r="AI174" i="41"/>
  <c r="AG171" i="41"/>
  <c r="AI170" i="41"/>
  <c r="AG174" i="41"/>
  <c r="AJ183" i="41"/>
  <c r="AF180" i="41"/>
  <c r="AJ179" i="41"/>
  <c r="AH174" i="41"/>
  <c r="AJ173" i="41"/>
  <c r="AF171" i="41"/>
  <c r="AH170" i="41"/>
  <c r="AJ169" i="41"/>
  <c r="Q105" i="70"/>
  <c r="Q134" i="70" s="1"/>
  <c r="R105" i="72"/>
  <c r="H8" i="44"/>
  <c r="H9" i="44" s="1"/>
  <c r="H8" i="23"/>
  <c r="H9" i="23" s="1"/>
  <c r="H8" i="35"/>
  <c r="H9" i="35" s="1"/>
  <c r="H8" i="29"/>
  <c r="H9" i="29" s="1"/>
  <c r="I39" i="72"/>
  <c r="H40" i="38" s="1"/>
  <c r="H8" i="38"/>
  <c r="H9" i="38" s="1"/>
  <c r="H8" i="5"/>
  <c r="H9" i="5" s="1"/>
  <c r="H8" i="8"/>
  <c r="H9" i="8" s="1"/>
  <c r="H8" i="41"/>
  <c r="H9" i="41" s="1"/>
  <c r="I54" i="70"/>
  <c r="H8" i="53"/>
  <c r="H9" i="53" s="1"/>
  <c r="H8" i="76"/>
  <c r="H9" i="76" s="1"/>
  <c r="I8" i="76"/>
  <c r="I9" i="76" s="1"/>
  <c r="I8" i="53"/>
  <c r="I9" i="53" s="1"/>
  <c r="H8" i="26"/>
  <c r="H9" i="26" s="1"/>
  <c r="I8" i="29"/>
  <c r="I9" i="29" s="1"/>
  <c r="H6" i="38"/>
  <c r="H7" i="38" s="1"/>
  <c r="H21" i="38"/>
  <c r="H6" i="35"/>
  <c r="H7" i="35" s="1"/>
  <c r="H21" i="35"/>
  <c r="H6" i="44"/>
  <c r="H7" i="44" s="1"/>
  <c r="H6" i="8"/>
  <c r="H7" i="8" s="1"/>
  <c r="H10" i="8" s="1"/>
  <c r="H21" i="8"/>
  <c r="I21" i="29"/>
  <c r="I6" i="29"/>
  <c r="I7" i="29" s="1"/>
  <c r="I6" i="76"/>
  <c r="I7" i="76" s="1"/>
  <c r="I6" i="53"/>
  <c r="I7" i="53" s="1"/>
  <c r="H21" i="29"/>
  <c r="H6" i="29"/>
  <c r="H7" i="29" s="1"/>
  <c r="H21" i="23"/>
  <c r="H6" i="23"/>
  <c r="H7" i="23" s="1"/>
  <c r="H6" i="5"/>
  <c r="H7" i="5" s="1"/>
  <c r="H21" i="5"/>
  <c r="H6" i="41"/>
  <c r="H7" i="41" s="1"/>
  <c r="H21" i="41"/>
  <c r="H6" i="26"/>
  <c r="H7" i="26" s="1"/>
  <c r="H21" i="26"/>
  <c r="H6" i="76"/>
  <c r="H7" i="76" s="1"/>
  <c r="H6" i="53"/>
  <c r="H7" i="53" s="1"/>
  <c r="H6" i="47"/>
  <c r="H7" i="47" s="1"/>
  <c r="H13" i="47"/>
  <c r="H8" i="47"/>
  <c r="H9" i="47" s="1"/>
  <c r="I8" i="1"/>
  <c r="I9" i="1" s="1"/>
  <c r="I6" i="1"/>
  <c r="I7" i="1" s="1"/>
  <c r="H8" i="32"/>
  <c r="H9" i="32" s="1"/>
  <c r="H6" i="32"/>
  <c r="H7" i="32" s="1"/>
  <c r="H21" i="32"/>
  <c r="H21" i="44"/>
  <c r="Q15" i="21"/>
  <c r="Q19" i="21" s="1"/>
  <c r="AN15" i="21"/>
  <c r="AQ15" i="21"/>
  <c r="AQ19" i="21" s="1"/>
  <c r="U15" i="21"/>
  <c r="U19" i="21" s="1"/>
  <c r="AK187" i="1"/>
  <c r="AK177" i="1"/>
  <c r="AK183" i="1"/>
  <c r="AK173" i="1"/>
  <c r="AK174" i="1"/>
  <c r="AK185" i="1"/>
  <c r="AK169" i="1"/>
  <c r="AK178" i="1"/>
  <c r="AK170" i="1"/>
  <c r="C19" i="33"/>
  <c r="C21" i="33" s="1"/>
  <c r="S62" i="20"/>
  <c r="R167" i="59"/>
  <c r="AK180" i="1"/>
  <c r="AK182" i="1"/>
  <c r="AK184" i="1"/>
  <c r="AK176" i="1"/>
  <c r="AK179" i="1"/>
  <c r="AK181" i="1"/>
  <c r="AK168" i="1"/>
  <c r="AK172" i="1"/>
  <c r="AK175" i="1"/>
  <c r="AK186" i="1"/>
  <c r="AK171" i="1"/>
  <c r="AF15" i="21"/>
  <c r="D15" i="21"/>
  <c r="AC15" i="21"/>
  <c r="AC19" i="21" s="1"/>
  <c r="J15" i="21"/>
  <c r="J19" i="21" s="1"/>
  <c r="AG15" i="21"/>
  <c r="AG19" i="21" s="1"/>
  <c r="L15" i="21"/>
  <c r="L19" i="21" s="1"/>
  <c r="AK15" i="21"/>
  <c r="AK19" i="21" s="1"/>
  <c r="W15" i="21"/>
  <c r="W19" i="21" s="1"/>
  <c r="T15" i="21"/>
  <c r="T19" i="21" s="1"/>
  <c r="Y15" i="21"/>
  <c r="Y19" i="21" s="1"/>
  <c r="O15" i="21"/>
  <c r="O19" i="21" s="1"/>
  <c r="AP15" i="21"/>
  <c r="AP19" i="21" s="1"/>
  <c r="AO15" i="21"/>
  <c r="AO19" i="21" s="1"/>
  <c r="F15" i="21"/>
  <c r="F19" i="21" s="1"/>
  <c r="AE15" i="21"/>
  <c r="AE19" i="21" s="1"/>
  <c r="X15" i="21"/>
  <c r="P15" i="21"/>
  <c r="K15" i="21"/>
  <c r="K19" i="21" s="1"/>
  <c r="AB15" i="21"/>
  <c r="N15" i="21"/>
  <c r="N19" i="21" s="1"/>
  <c r="AM15" i="21"/>
  <c r="AM19" i="21" s="1"/>
  <c r="Z15" i="21"/>
  <c r="Z19" i="21" s="1"/>
  <c r="V15" i="21"/>
  <c r="V19" i="21" s="1"/>
  <c r="H27" i="21"/>
  <c r="S15" i="21"/>
  <c r="S19" i="21" s="1"/>
  <c r="AJ15" i="21"/>
  <c r="AH15" i="21"/>
  <c r="AH19" i="21" s="1"/>
  <c r="R15" i="21"/>
  <c r="R19" i="21" s="1"/>
  <c r="AA15" i="21"/>
  <c r="AA19" i="21" s="1"/>
  <c r="E15" i="21"/>
  <c r="E19" i="21" s="1"/>
  <c r="AD15" i="21"/>
  <c r="AD19" i="21" s="1"/>
  <c r="H15" i="21"/>
  <c r="I15" i="21"/>
  <c r="I19" i="21" s="1"/>
  <c r="AI15" i="21"/>
  <c r="AI19" i="21" s="1"/>
  <c r="M15" i="21"/>
  <c r="M19" i="21" s="1"/>
  <c r="AK175" i="8"/>
  <c r="AK177" i="8"/>
  <c r="AK171" i="8"/>
  <c r="AK173" i="8"/>
  <c r="AK169" i="8"/>
  <c r="AK174" i="8"/>
  <c r="AK170" i="8"/>
  <c r="AK178" i="8"/>
  <c r="AK168" i="8"/>
  <c r="AK176" i="8"/>
  <c r="AK180" i="8"/>
  <c r="AK172" i="8"/>
  <c r="S58" i="23"/>
  <c r="AK169" i="47"/>
  <c r="AK168" i="47"/>
  <c r="AK181" i="47"/>
  <c r="AK171" i="47"/>
  <c r="AK183" i="47"/>
  <c r="AK176" i="47"/>
  <c r="AK173" i="47"/>
  <c r="AK172" i="47"/>
  <c r="AK182" i="47"/>
  <c r="AK177" i="47"/>
  <c r="AK175" i="47"/>
  <c r="AK174" i="47"/>
  <c r="AK179" i="47"/>
  <c r="AK178" i="47"/>
  <c r="AK180" i="47"/>
  <c r="AK170" i="47"/>
  <c r="S62" i="50"/>
  <c r="R111" i="72"/>
  <c r="Q111" i="70"/>
  <c r="R173" i="59"/>
  <c r="S62" i="23"/>
  <c r="R102" i="72"/>
  <c r="Q102" i="70"/>
  <c r="R164" i="59"/>
  <c r="AK175" i="53"/>
  <c r="AK177" i="53"/>
  <c r="AK172" i="53"/>
  <c r="AK174" i="53"/>
  <c r="AK176" i="53"/>
  <c r="AK173" i="53"/>
  <c r="AK179" i="53"/>
  <c r="AK169" i="53"/>
  <c r="AK171" i="53"/>
  <c r="AK181" i="53"/>
  <c r="AK168" i="53"/>
  <c r="AK170" i="53"/>
  <c r="AK178" i="53"/>
  <c r="S62" i="26"/>
  <c r="R110" i="72"/>
  <c r="Q110" i="70"/>
  <c r="R172" i="59"/>
  <c r="S58" i="8"/>
  <c r="S58" i="29"/>
  <c r="S120" i="26"/>
  <c r="F28" i="27" s="1"/>
  <c r="AI15" i="27" s="1"/>
  <c r="AI19" i="27" s="1"/>
  <c r="S58" i="26"/>
  <c r="S58" i="5"/>
  <c r="S58" i="47"/>
  <c r="C25" i="22"/>
  <c r="C31" i="22" s="1"/>
  <c r="I68" i="72"/>
  <c r="J66" i="72"/>
  <c r="J84" i="72"/>
  <c r="I77" i="72"/>
  <c r="I74" i="72"/>
  <c r="J68" i="72"/>
  <c r="J74" i="72"/>
  <c r="I66" i="72"/>
  <c r="I73" i="72"/>
  <c r="I76" i="72"/>
  <c r="I63" i="72"/>
  <c r="I81" i="72"/>
  <c r="I83" i="72"/>
  <c r="I84" i="72"/>
  <c r="I82" i="72"/>
  <c r="J81" i="72"/>
  <c r="I69" i="72"/>
  <c r="J83" i="72"/>
  <c r="I64" i="72"/>
  <c r="I72" i="72"/>
  <c r="C19" i="36"/>
  <c r="C25" i="36" s="1"/>
  <c r="I35" i="72"/>
  <c r="H40" i="8" s="1"/>
  <c r="S61" i="26"/>
  <c r="S61" i="50"/>
  <c r="H168" i="59"/>
  <c r="H159" i="59"/>
  <c r="I39" i="70"/>
  <c r="H167" i="59"/>
  <c r="I6" i="72"/>
  <c r="H39" i="8" s="1"/>
  <c r="S61" i="23"/>
  <c r="C19" i="45"/>
  <c r="C21" i="45" s="1"/>
  <c r="S124" i="20"/>
  <c r="I37" i="22" s="1"/>
  <c r="G59" i="22" s="1"/>
  <c r="G92" i="72"/>
  <c r="G154" i="59"/>
  <c r="I54" i="72"/>
  <c r="S124" i="35"/>
  <c r="I37" i="37" s="1"/>
  <c r="G59" i="37" s="1"/>
  <c r="M15" i="45"/>
  <c r="M19" i="45" s="1"/>
  <c r="C19" i="54"/>
  <c r="C25" i="54" s="1"/>
  <c r="AL15" i="45"/>
  <c r="AL19" i="45" s="1"/>
  <c r="P15" i="45"/>
  <c r="P19" i="45" s="1"/>
  <c r="X15" i="45"/>
  <c r="X19" i="45" s="1"/>
  <c r="AG15" i="45"/>
  <c r="AG19" i="45" s="1"/>
  <c r="AH184" i="1"/>
  <c r="AC172" i="1"/>
  <c r="Z209" i="1"/>
  <c r="AH173" i="1"/>
  <c r="S124" i="38"/>
  <c r="I37" i="40" s="1"/>
  <c r="G59" i="40" s="1"/>
  <c r="AG175" i="1"/>
  <c r="AB180" i="1"/>
  <c r="AD177" i="1"/>
  <c r="Z204" i="1"/>
  <c r="AJ178" i="1"/>
  <c r="AG178" i="1"/>
  <c r="Z195" i="1"/>
  <c r="C19" i="42"/>
  <c r="C25" i="42" s="1"/>
  <c r="AJ173" i="1"/>
  <c r="AF170" i="1"/>
  <c r="S58" i="1"/>
  <c r="AI174" i="1"/>
  <c r="AF178" i="1"/>
  <c r="Z192" i="1"/>
  <c r="AI171" i="1"/>
  <c r="AE182" i="1"/>
  <c r="Z205" i="1"/>
  <c r="AH172" i="1"/>
  <c r="AD180" i="1"/>
  <c r="Z185" i="1"/>
  <c r="Z212" i="23"/>
  <c r="Y212" i="23" s="1"/>
  <c r="Z204" i="23"/>
  <c r="Y204" i="23" s="1"/>
  <c r="Z196" i="23"/>
  <c r="Y196" i="23" s="1"/>
  <c r="Z188" i="23"/>
  <c r="Y188" i="23" s="1"/>
  <c r="Z180" i="23"/>
  <c r="Y180" i="23" s="1"/>
  <c r="Z172" i="23"/>
  <c r="Y172" i="23" s="1"/>
  <c r="Z207" i="23"/>
  <c r="Y207" i="23" s="1"/>
  <c r="Z199" i="23"/>
  <c r="Y199" i="23" s="1"/>
  <c r="Z191" i="23"/>
  <c r="Y191" i="23" s="1"/>
  <c r="Z183" i="23"/>
  <c r="Y183" i="23" s="1"/>
  <c r="Z175" i="23"/>
  <c r="Y175" i="23" s="1"/>
  <c r="Z167" i="23"/>
  <c r="Y167" i="23" s="1"/>
  <c r="Z210" i="23"/>
  <c r="Y210" i="23" s="1"/>
  <c r="Z202" i="23"/>
  <c r="Y202" i="23" s="1"/>
  <c r="Z194" i="23"/>
  <c r="Y194" i="23" s="1"/>
  <c r="Z186" i="23"/>
  <c r="Y186" i="23" s="1"/>
  <c r="Z178" i="23"/>
  <c r="Y178" i="23" s="1"/>
  <c r="Z170" i="23"/>
  <c r="Y170" i="23" s="1"/>
  <c r="Z213" i="23"/>
  <c r="Y213" i="23" s="1"/>
  <c r="Z205" i="23"/>
  <c r="Y205" i="23" s="1"/>
  <c r="Z197" i="23"/>
  <c r="Y197" i="23" s="1"/>
  <c r="Z189" i="23"/>
  <c r="Y189" i="23" s="1"/>
  <c r="Z181" i="23"/>
  <c r="Y181" i="23" s="1"/>
  <c r="Z173" i="23"/>
  <c r="Y173" i="23" s="1"/>
  <c r="Z208" i="23"/>
  <c r="Y208" i="23" s="1"/>
  <c r="Z200" i="23"/>
  <c r="Y200" i="23" s="1"/>
  <c r="Z192" i="23"/>
  <c r="Y192" i="23" s="1"/>
  <c r="Z184" i="23"/>
  <c r="Y184" i="23" s="1"/>
  <c r="Z176" i="23"/>
  <c r="Y176" i="23" s="1"/>
  <c r="Z168" i="23"/>
  <c r="Y168" i="23" s="1"/>
  <c r="Z211" i="23"/>
  <c r="Y211" i="23" s="1"/>
  <c r="Z203" i="23"/>
  <c r="Y203" i="23" s="1"/>
  <c r="Z195" i="23"/>
  <c r="Y195" i="23" s="1"/>
  <c r="Z187" i="23"/>
  <c r="Y187" i="23" s="1"/>
  <c r="Z179" i="23"/>
  <c r="Y179" i="23" s="1"/>
  <c r="Z171" i="23"/>
  <c r="Y171" i="23" s="1"/>
  <c r="Z206" i="23"/>
  <c r="Y206" i="23" s="1"/>
  <c r="Z198" i="23"/>
  <c r="Y198" i="23" s="1"/>
  <c r="Z190" i="23"/>
  <c r="Y190" i="23" s="1"/>
  <c r="Z182" i="23"/>
  <c r="Y182" i="23" s="1"/>
  <c r="Z174" i="23"/>
  <c r="Y174" i="23" s="1"/>
  <c r="Z209" i="23"/>
  <c r="Y209" i="23" s="1"/>
  <c r="Z201" i="23"/>
  <c r="Y201" i="23" s="1"/>
  <c r="Z193" i="23"/>
  <c r="Y193" i="23" s="1"/>
  <c r="Z185" i="23"/>
  <c r="Y185" i="23" s="1"/>
  <c r="Z177" i="23"/>
  <c r="Y177" i="23" s="1"/>
  <c r="Z169" i="23"/>
  <c r="Y169" i="23" s="1"/>
  <c r="Z212" i="53"/>
  <c r="Y212" i="53" s="1"/>
  <c r="Z208" i="53"/>
  <c r="Y208" i="53" s="1"/>
  <c r="Z204" i="53"/>
  <c r="Y204" i="53" s="1"/>
  <c r="Z200" i="53"/>
  <c r="Y200" i="53" s="1"/>
  <c r="Z196" i="53"/>
  <c r="Y196" i="53" s="1"/>
  <c r="Z192" i="53"/>
  <c r="Y192" i="53" s="1"/>
  <c r="Z188" i="53"/>
  <c r="Y188" i="53" s="1"/>
  <c r="Z184" i="53"/>
  <c r="Y184" i="53" s="1"/>
  <c r="Z181" i="53"/>
  <c r="Y181" i="53" s="1"/>
  <c r="Z179" i="53"/>
  <c r="Y179" i="53" s="1"/>
  <c r="Z177" i="53"/>
  <c r="Y177" i="53" s="1"/>
  <c r="Z175" i="53"/>
  <c r="Y175" i="53" s="1"/>
  <c r="Z173" i="53"/>
  <c r="Y173" i="53" s="1"/>
  <c r="Z171" i="53"/>
  <c r="Y171" i="53" s="1"/>
  <c r="Z169" i="53"/>
  <c r="Y169" i="53" s="1"/>
  <c r="Z213" i="53"/>
  <c r="Y213" i="53" s="1"/>
  <c r="Z209" i="53"/>
  <c r="Y209" i="53" s="1"/>
  <c r="Z205" i="53"/>
  <c r="Y205" i="53" s="1"/>
  <c r="Z201" i="53"/>
  <c r="Y201" i="53" s="1"/>
  <c r="Z197" i="53"/>
  <c r="Y197" i="53" s="1"/>
  <c r="Z193" i="53"/>
  <c r="Y193" i="53" s="1"/>
  <c r="Z189" i="53"/>
  <c r="Y189" i="53" s="1"/>
  <c r="Z185" i="53"/>
  <c r="Y185" i="53" s="1"/>
  <c r="Z167" i="53"/>
  <c r="Y167" i="53" s="1"/>
  <c r="Z210" i="53"/>
  <c r="Y210" i="53" s="1"/>
  <c r="Z206" i="53"/>
  <c r="Y206" i="53" s="1"/>
  <c r="Z202" i="53"/>
  <c r="Y202" i="53" s="1"/>
  <c r="Z198" i="53"/>
  <c r="Y198" i="53" s="1"/>
  <c r="Z194" i="53"/>
  <c r="Y194" i="53" s="1"/>
  <c r="Z190" i="53"/>
  <c r="Y190" i="53" s="1"/>
  <c r="Z186" i="53"/>
  <c r="Y186" i="53" s="1"/>
  <c r="Z182" i="53"/>
  <c r="Y182" i="53" s="1"/>
  <c r="Z180" i="53"/>
  <c r="Y180" i="53" s="1"/>
  <c r="Z178" i="53"/>
  <c r="Y178" i="53" s="1"/>
  <c r="Z176" i="53"/>
  <c r="Y176" i="53" s="1"/>
  <c r="Z174" i="53"/>
  <c r="Y174" i="53" s="1"/>
  <c r="Z172" i="53"/>
  <c r="Y172" i="53" s="1"/>
  <c r="Z170" i="53"/>
  <c r="Y170" i="53" s="1"/>
  <c r="Z168" i="53"/>
  <c r="Y168" i="53" s="1"/>
  <c r="Z211" i="53"/>
  <c r="Y211" i="53" s="1"/>
  <c r="Z207" i="53"/>
  <c r="Y207" i="53" s="1"/>
  <c r="Z203" i="53"/>
  <c r="Y203" i="53" s="1"/>
  <c r="Z199" i="53"/>
  <c r="Y199" i="53" s="1"/>
  <c r="Z195" i="53"/>
  <c r="Y195" i="53" s="1"/>
  <c r="Z187" i="53"/>
  <c r="Y187" i="53" s="1"/>
  <c r="Z191" i="53"/>
  <c r="Y191" i="53" s="1"/>
  <c r="Z183" i="53"/>
  <c r="Y183" i="53" s="1"/>
  <c r="AB168" i="53"/>
  <c r="AB169" i="53"/>
  <c r="AB181" i="53"/>
  <c r="AB179" i="53"/>
  <c r="AC169" i="53"/>
  <c r="AC168" i="53"/>
  <c r="AC181" i="53"/>
  <c r="AC170" i="53"/>
  <c r="AC179" i="53"/>
  <c r="AC171" i="53"/>
  <c r="AD174" i="53"/>
  <c r="AD173" i="53"/>
  <c r="AD181" i="53"/>
  <c r="AD172" i="53"/>
  <c r="AD179" i="53"/>
  <c r="AD171" i="53"/>
  <c r="AD170" i="53"/>
  <c r="AD169" i="53"/>
  <c r="AD168" i="53"/>
  <c r="AE168" i="53"/>
  <c r="AE179" i="53"/>
  <c r="AE171" i="53"/>
  <c r="AE169" i="53"/>
  <c r="AE170" i="53"/>
  <c r="AE173" i="53"/>
  <c r="AE174" i="53"/>
  <c r="AE172" i="53"/>
  <c r="AE176" i="53"/>
  <c r="AE175" i="53"/>
  <c r="AE181" i="53"/>
  <c r="AF179" i="53"/>
  <c r="AF171" i="53"/>
  <c r="AF170" i="53"/>
  <c r="AF172" i="53"/>
  <c r="AF177" i="53"/>
  <c r="AF169" i="53"/>
  <c r="AF176" i="53"/>
  <c r="AF168" i="53"/>
  <c r="AF181" i="53"/>
  <c r="AF175" i="53"/>
  <c r="AF174" i="53"/>
  <c r="AF173" i="53"/>
  <c r="AG177" i="53"/>
  <c r="AG169" i="53"/>
  <c r="AG176" i="53"/>
  <c r="AG168" i="53"/>
  <c r="AG175" i="53"/>
  <c r="AG174" i="53"/>
  <c r="AG173" i="53"/>
  <c r="AG181" i="53"/>
  <c r="AG172" i="53"/>
  <c r="AG179" i="53"/>
  <c r="AG171" i="53"/>
  <c r="AG170" i="53"/>
  <c r="AH179" i="53"/>
  <c r="AH171" i="53"/>
  <c r="AH178" i="53"/>
  <c r="AH170" i="53"/>
  <c r="AH177" i="53"/>
  <c r="AH169" i="53"/>
  <c r="AH172" i="53"/>
  <c r="AH176" i="53"/>
  <c r="AH168" i="53"/>
  <c r="AH175" i="53"/>
  <c r="AH174" i="53"/>
  <c r="AH181" i="53"/>
  <c r="AH173" i="53"/>
  <c r="AI173" i="53"/>
  <c r="AI181" i="53"/>
  <c r="AI172" i="53"/>
  <c r="AI174" i="53"/>
  <c r="AI179" i="53"/>
  <c r="AI171" i="53"/>
  <c r="AI178" i="53"/>
  <c r="AI170" i="53"/>
  <c r="AI177" i="53"/>
  <c r="AI169" i="53"/>
  <c r="AI176" i="53"/>
  <c r="AI168" i="53"/>
  <c r="AI175" i="53"/>
  <c r="AJ174" i="53"/>
  <c r="AJ173" i="53"/>
  <c r="AJ175" i="53"/>
  <c r="AJ181" i="53"/>
  <c r="AJ172" i="53"/>
  <c r="AJ179" i="53"/>
  <c r="AJ171" i="53"/>
  <c r="AJ178" i="53"/>
  <c r="AJ170" i="53"/>
  <c r="AJ177" i="53"/>
  <c r="AJ169" i="53"/>
  <c r="AJ176" i="53"/>
  <c r="AJ168" i="53"/>
  <c r="Y201" i="29"/>
  <c r="Y200" i="29"/>
  <c r="Y170" i="29"/>
  <c r="Y194" i="29"/>
  <c r="Y183" i="29"/>
  <c r="Y184" i="29"/>
  <c r="Y167" i="29"/>
  <c r="Y192" i="29"/>
  <c r="Y185" i="29"/>
  <c r="Y169" i="29"/>
  <c r="Y189" i="29"/>
  <c r="Y211" i="29"/>
  <c r="Y180" i="29"/>
  <c r="Y196" i="29"/>
  <c r="Y199" i="29"/>
  <c r="Y203" i="29"/>
  <c r="Y187" i="29"/>
  <c r="Y204" i="29"/>
  <c r="Y198" i="29"/>
  <c r="Y171" i="29"/>
  <c r="Y212" i="29"/>
  <c r="Y168" i="29"/>
  <c r="Y182" i="29"/>
  <c r="Y186" i="29"/>
  <c r="Y193" i="29"/>
  <c r="Y175" i="29"/>
  <c r="Y202" i="29"/>
  <c r="Y191" i="29"/>
  <c r="Y176" i="29"/>
  <c r="Y173" i="29"/>
  <c r="Y177" i="29"/>
  <c r="Y207" i="29"/>
  <c r="Y208" i="29"/>
  <c r="Y174" i="29"/>
  <c r="Y195" i="29"/>
  <c r="Y205" i="29"/>
  <c r="Y209" i="29"/>
  <c r="Y190" i="29"/>
  <c r="Y172" i="29"/>
  <c r="Y210" i="29"/>
  <c r="Y206" i="29"/>
  <c r="Y178" i="29"/>
  <c r="Y181" i="29"/>
  <c r="Y179" i="29"/>
  <c r="Y188" i="29"/>
  <c r="Y197" i="29"/>
  <c r="Y213" i="29"/>
  <c r="S120" i="47"/>
  <c r="F28" i="48" s="1"/>
  <c r="AJ171" i="1"/>
  <c r="AJ186" i="1"/>
  <c r="AJ181" i="1"/>
  <c r="AI182" i="1"/>
  <c r="AI177" i="1"/>
  <c r="AH169" i="1"/>
  <c r="AH185" i="1"/>
  <c r="AG172" i="1"/>
  <c r="AG183" i="1"/>
  <c r="AF168" i="1"/>
  <c r="AF175" i="1"/>
  <c r="AE169" i="1"/>
  <c r="AE170" i="1"/>
  <c r="AD173" i="1"/>
  <c r="AD170" i="1"/>
  <c r="AC180" i="1"/>
  <c r="AB173" i="1"/>
  <c r="Z181" i="1"/>
  <c r="Z200" i="1"/>
  <c r="Z213" i="1"/>
  <c r="Z191" i="1"/>
  <c r="Z212" i="1"/>
  <c r="Z178" i="1"/>
  <c r="F272" i="32"/>
  <c r="F56" i="32" s="1"/>
  <c r="C65" i="32"/>
  <c r="Z212" i="8"/>
  <c r="Z204" i="8"/>
  <c r="Z210" i="8"/>
  <c r="Z213" i="8"/>
  <c r="Z208" i="8"/>
  <c r="Z197" i="8"/>
  <c r="Z189" i="8"/>
  <c r="Z181" i="8"/>
  <c r="Z179" i="8"/>
  <c r="Z171" i="8"/>
  <c r="Z205" i="8"/>
  <c r="Z200" i="8"/>
  <c r="Z192" i="8"/>
  <c r="Z184" i="8"/>
  <c r="Z176" i="8"/>
  <c r="Z168" i="8"/>
  <c r="Z203" i="8"/>
  <c r="Z195" i="8"/>
  <c r="Z187" i="8"/>
  <c r="Z173" i="8"/>
  <c r="Z198" i="8"/>
  <c r="Z190" i="8"/>
  <c r="Z182" i="8"/>
  <c r="Z180" i="8"/>
  <c r="Z178" i="8"/>
  <c r="Z170" i="8"/>
  <c r="Z206" i="8"/>
  <c r="Z201" i="8"/>
  <c r="Z193" i="8"/>
  <c r="Z185" i="8"/>
  <c r="Z175" i="8"/>
  <c r="Z211" i="8"/>
  <c r="Z196" i="8"/>
  <c r="Z188" i="8"/>
  <c r="Z172" i="8"/>
  <c r="Z209" i="8"/>
  <c r="Z199" i="8"/>
  <c r="Z191" i="8"/>
  <c r="Z183" i="8"/>
  <c r="Z177" i="8"/>
  <c r="Z169" i="8"/>
  <c r="Z167" i="8"/>
  <c r="Z194" i="8"/>
  <c r="Z186" i="8"/>
  <c r="Z174" i="8"/>
  <c r="Z207" i="8"/>
  <c r="Z202" i="8"/>
  <c r="AB178" i="8"/>
  <c r="AB176" i="8"/>
  <c r="AB168" i="8"/>
  <c r="AA168" i="8"/>
  <c r="AA214" i="8" s="1"/>
  <c r="AA215" i="8" s="1"/>
  <c r="AA216" i="8" s="1"/>
  <c r="AC178" i="8"/>
  <c r="AC177" i="8"/>
  <c r="AC176" i="8"/>
  <c r="AC168" i="8"/>
  <c r="AD168" i="8"/>
  <c r="AD176" i="8"/>
  <c r="AD178" i="8"/>
  <c r="AD177" i="8"/>
  <c r="AE178" i="8"/>
  <c r="AE176" i="8"/>
  <c r="AE168" i="8"/>
  <c r="AE177" i="8"/>
  <c r="AF178" i="8"/>
  <c r="AF170" i="8"/>
  <c r="AF177" i="8"/>
  <c r="AF176" i="8"/>
  <c r="AF168" i="8"/>
  <c r="AF175" i="8"/>
  <c r="AF180" i="8"/>
  <c r="AF174" i="8"/>
  <c r="AF173" i="8"/>
  <c r="AF172" i="8"/>
  <c r="AF171" i="8"/>
  <c r="AG177" i="8"/>
  <c r="AG176" i="8"/>
  <c r="AG168" i="8"/>
  <c r="AG178" i="8"/>
  <c r="AG175" i="8"/>
  <c r="AG170" i="8"/>
  <c r="AG174" i="8"/>
  <c r="AG173" i="8"/>
  <c r="AG172" i="8"/>
  <c r="AG180" i="8"/>
  <c r="AG171" i="8"/>
  <c r="AH178" i="8"/>
  <c r="AH170" i="8"/>
  <c r="AH177" i="8"/>
  <c r="AH169" i="8"/>
  <c r="AH176" i="8"/>
  <c r="AH168" i="8"/>
  <c r="AH171" i="8"/>
  <c r="AH175" i="8"/>
  <c r="AH180" i="8"/>
  <c r="AH174" i="8"/>
  <c r="AH173" i="8"/>
  <c r="AH172" i="8"/>
  <c r="AI173" i="8"/>
  <c r="AI177" i="8"/>
  <c r="AI174" i="8"/>
  <c r="AI169" i="8"/>
  <c r="AI175" i="8"/>
  <c r="AI178" i="8"/>
  <c r="AI176" i="8"/>
  <c r="AI170" i="8"/>
  <c r="AI168" i="8"/>
  <c r="AI180" i="8"/>
  <c r="AI171" i="8"/>
  <c r="AI172" i="8"/>
  <c r="AJ175" i="8"/>
  <c r="AJ174" i="8"/>
  <c r="AJ173" i="8"/>
  <c r="AJ168" i="8"/>
  <c r="AJ172" i="8"/>
  <c r="AJ180" i="8"/>
  <c r="AJ171" i="8"/>
  <c r="AJ176" i="8"/>
  <c r="AJ178" i="8"/>
  <c r="AJ170" i="8"/>
  <c r="AJ177" i="8"/>
  <c r="AJ169" i="8"/>
  <c r="Y210" i="38"/>
  <c r="Y206" i="38"/>
  <c r="Y202" i="38"/>
  <c r="Y198" i="38"/>
  <c r="Y194" i="38"/>
  <c r="Y211" i="38"/>
  <c r="Y207" i="38"/>
  <c r="Y203" i="38"/>
  <c r="Y199" i="38"/>
  <c r="Y195" i="38"/>
  <c r="Z167" i="38"/>
  <c r="Y212" i="38"/>
  <c r="Y208" i="38"/>
  <c r="Y204" i="38"/>
  <c r="Y200" i="38"/>
  <c r="Y196" i="38"/>
  <c r="Y213" i="38"/>
  <c r="Y209" i="38"/>
  <c r="Y205" i="38"/>
  <c r="Y201" i="38"/>
  <c r="Y197" i="38"/>
  <c r="Z190" i="47"/>
  <c r="Y190" i="47" s="1"/>
  <c r="Z210" i="47"/>
  <c r="Y210" i="47" s="1"/>
  <c r="Z206" i="47"/>
  <c r="Y206" i="47" s="1"/>
  <c r="Z202" i="47"/>
  <c r="Y202" i="47" s="1"/>
  <c r="Z198" i="47"/>
  <c r="Y198" i="47" s="1"/>
  <c r="Z194" i="47"/>
  <c r="Y194" i="47" s="1"/>
  <c r="Z185" i="47"/>
  <c r="Y185" i="47" s="1"/>
  <c r="Z183" i="47"/>
  <c r="Y183" i="47" s="1"/>
  <c r="Z178" i="47"/>
  <c r="Y178" i="47" s="1"/>
  <c r="Z176" i="47"/>
  <c r="Y176" i="47" s="1"/>
  <c r="Z174" i="47"/>
  <c r="Y174" i="47" s="1"/>
  <c r="Z172" i="47"/>
  <c r="Y172" i="47" s="1"/>
  <c r="Z170" i="47"/>
  <c r="Y170" i="47" s="1"/>
  <c r="Z168" i="47"/>
  <c r="Y168" i="47" s="1"/>
  <c r="Z213" i="47"/>
  <c r="Y213" i="47" s="1"/>
  <c r="Z188" i="47"/>
  <c r="Y188" i="47" s="1"/>
  <c r="Z180" i="47"/>
  <c r="Y180" i="47" s="1"/>
  <c r="Z207" i="47"/>
  <c r="Y207" i="47" s="1"/>
  <c r="Z203" i="47"/>
  <c r="Y203" i="47" s="1"/>
  <c r="Z199" i="47"/>
  <c r="Y199" i="47" s="1"/>
  <c r="Z195" i="47"/>
  <c r="Y195" i="47" s="1"/>
  <c r="Z191" i="47"/>
  <c r="Y191" i="47" s="1"/>
  <c r="Z211" i="47"/>
  <c r="Y211" i="47" s="1"/>
  <c r="Z186" i="47"/>
  <c r="Y186" i="47" s="1"/>
  <c r="Z182" i="47"/>
  <c r="Y182" i="47" s="1"/>
  <c r="Z208" i="47"/>
  <c r="Y208" i="47" s="1"/>
  <c r="Z204" i="47"/>
  <c r="Y204" i="47" s="1"/>
  <c r="Z200" i="47"/>
  <c r="Y200" i="47" s="1"/>
  <c r="Z196" i="47"/>
  <c r="Y196" i="47" s="1"/>
  <c r="Z192" i="47"/>
  <c r="Y192" i="47" s="1"/>
  <c r="Z189" i="47"/>
  <c r="Y189" i="47" s="1"/>
  <c r="Z179" i="47"/>
  <c r="Y179" i="47" s="1"/>
  <c r="Z177" i="47"/>
  <c r="Y177" i="47" s="1"/>
  <c r="Z175" i="47"/>
  <c r="Y175" i="47" s="1"/>
  <c r="Z173" i="47"/>
  <c r="Y173" i="47" s="1"/>
  <c r="Z171" i="47"/>
  <c r="Y171" i="47" s="1"/>
  <c r="Z169" i="47"/>
  <c r="Y169" i="47" s="1"/>
  <c r="Z184" i="47"/>
  <c r="Y184" i="47" s="1"/>
  <c r="Z193" i="47"/>
  <c r="Y193" i="47" s="1"/>
  <c r="Z187" i="47"/>
  <c r="Y187" i="47" s="1"/>
  <c r="Z181" i="47"/>
  <c r="Y181" i="47" s="1"/>
  <c r="Z209" i="47"/>
  <c r="Y209" i="47" s="1"/>
  <c r="Z167" i="47"/>
  <c r="Y167" i="47" s="1"/>
  <c r="Z205" i="47"/>
  <c r="Y205" i="47" s="1"/>
  <c r="Z201" i="47"/>
  <c r="Y201" i="47" s="1"/>
  <c r="Z212" i="47"/>
  <c r="Y212" i="47" s="1"/>
  <c r="Z197" i="47"/>
  <c r="Y197" i="47" s="1"/>
  <c r="AC168" i="47"/>
  <c r="AC170" i="47"/>
  <c r="AC169" i="47"/>
  <c r="AD174" i="47"/>
  <c r="AD173" i="47"/>
  <c r="AD172" i="47"/>
  <c r="AD171" i="47"/>
  <c r="AD170" i="47"/>
  <c r="AD169" i="47"/>
  <c r="AD168" i="47"/>
  <c r="AE168" i="47"/>
  <c r="AE174" i="47"/>
  <c r="AE171" i="47"/>
  <c r="AE173" i="47"/>
  <c r="AE172" i="47"/>
  <c r="AE169" i="47"/>
  <c r="AE170" i="47"/>
  <c r="AF171" i="47"/>
  <c r="AF170" i="47"/>
  <c r="AF176" i="47"/>
  <c r="AF169" i="47"/>
  <c r="AF168" i="47"/>
  <c r="AF175" i="47"/>
  <c r="AF174" i="47"/>
  <c r="AF172" i="47"/>
  <c r="AF173" i="47"/>
  <c r="AG179" i="47"/>
  <c r="AG169" i="47"/>
  <c r="AG178" i="47"/>
  <c r="AG170" i="47"/>
  <c r="AG168" i="47"/>
  <c r="AG177" i="47"/>
  <c r="AG172" i="47"/>
  <c r="AG180" i="47"/>
  <c r="AG176" i="47"/>
  <c r="AG173" i="47"/>
  <c r="AG183" i="47"/>
  <c r="AG171" i="47"/>
  <c r="AG182" i="47"/>
  <c r="AG174" i="47"/>
  <c r="AG181" i="47"/>
  <c r="AG175" i="47"/>
  <c r="AH180" i="47"/>
  <c r="AH172" i="47"/>
  <c r="AH179" i="47"/>
  <c r="AH171" i="47"/>
  <c r="AH178" i="47"/>
  <c r="AH170" i="47"/>
  <c r="AH177" i="47"/>
  <c r="AH169" i="47"/>
  <c r="AH176" i="47"/>
  <c r="AH168" i="47"/>
  <c r="AH183" i="47"/>
  <c r="AH175" i="47"/>
  <c r="AH182" i="47"/>
  <c r="AH174" i="47"/>
  <c r="AH181" i="47"/>
  <c r="AH173" i="47"/>
  <c r="AI181" i="47"/>
  <c r="AI172" i="47"/>
  <c r="AI180" i="47"/>
  <c r="AI171" i="47"/>
  <c r="AI182" i="47"/>
  <c r="AI179" i="47"/>
  <c r="AI170" i="47"/>
  <c r="AI178" i="47"/>
  <c r="AI169" i="47"/>
  <c r="AI177" i="47"/>
  <c r="AI168" i="47"/>
  <c r="AI173" i="47"/>
  <c r="AI176" i="47"/>
  <c r="AI175" i="47"/>
  <c r="AI183" i="47"/>
  <c r="AI174" i="47"/>
  <c r="AJ183" i="47"/>
  <c r="AJ174" i="47"/>
  <c r="AJ182" i="47"/>
  <c r="AJ173" i="47"/>
  <c r="AJ181" i="47"/>
  <c r="AJ172" i="47"/>
  <c r="AJ180" i="47"/>
  <c r="AJ171" i="47"/>
  <c r="AJ179" i="47"/>
  <c r="AJ170" i="47"/>
  <c r="AJ178" i="47"/>
  <c r="AJ169" i="47"/>
  <c r="AJ176" i="47"/>
  <c r="AJ177" i="47"/>
  <c r="AJ168" i="47"/>
  <c r="AJ175" i="47"/>
  <c r="I115" i="47"/>
  <c r="I49" i="47" s="1"/>
  <c r="F272" i="20"/>
  <c r="F56" i="20" s="1"/>
  <c r="C65" i="20"/>
  <c r="AJ176" i="1"/>
  <c r="AJ172" i="1"/>
  <c r="AJ183" i="1"/>
  <c r="AI169" i="1"/>
  <c r="AI185" i="1"/>
  <c r="AH177" i="1"/>
  <c r="AH179" i="1"/>
  <c r="AG180" i="1"/>
  <c r="AG179" i="1"/>
  <c r="AF180" i="1"/>
  <c r="AF183" i="1"/>
  <c r="AE179" i="1"/>
  <c r="AE176" i="1"/>
  <c r="AD181" i="1"/>
  <c r="AD178" i="1"/>
  <c r="AC169" i="1"/>
  <c r="AB174" i="1"/>
  <c r="Z203" i="1"/>
  <c r="Z208" i="1"/>
  <c r="Z174" i="1"/>
  <c r="Z199" i="1"/>
  <c r="Z168" i="1"/>
  <c r="Z186" i="1"/>
  <c r="S120" i="35"/>
  <c r="F28" i="36" s="1"/>
  <c r="F272" i="26"/>
  <c r="F56" i="26" s="1"/>
  <c r="Q56" i="26" s="1"/>
  <c r="C65" i="26"/>
  <c r="U69" i="35"/>
  <c r="Z167" i="35"/>
  <c r="Y167" i="35" s="1"/>
  <c r="AJ184" i="1"/>
  <c r="AJ179" i="1"/>
  <c r="AJ174" i="1"/>
  <c r="AI175" i="1"/>
  <c r="AI170" i="1"/>
  <c r="AH175" i="1"/>
  <c r="AH176" i="1"/>
  <c r="AG171" i="1"/>
  <c r="AG169" i="1"/>
  <c r="AF171" i="1"/>
  <c r="AF172" i="1"/>
  <c r="AE173" i="1"/>
  <c r="AE171" i="1"/>
  <c r="AD174" i="1"/>
  <c r="AD172" i="1"/>
  <c r="AC173" i="1"/>
  <c r="AB170" i="1"/>
  <c r="Z211" i="1"/>
  <c r="Z169" i="1"/>
  <c r="Z182" i="1"/>
  <c r="Z207" i="1"/>
  <c r="Z170" i="1"/>
  <c r="Z190" i="1"/>
  <c r="S120" i="53"/>
  <c r="F28" i="54" s="1"/>
  <c r="F272" i="53"/>
  <c r="F56" i="53" s="1"/>
  <c r="C65" i="53"/>
  <c r="AJ169" i="1"/>
  <c r="AJ187" i="1"/>
  <c r="AJ182" i="1"/>
  <c r="AI183" i="1"/>
  <c r="AI178" i="1"/>
  <c r="AH178" i="1"/>
  <c r="AH183" i="1"/>
  <c r="AG173" i="1"/>
  <c r="AG176" i="1"/>
  <c r="AF181" i="1"/>
  <c r="AF176" i="1"/>
  <c r="AE180" i="1"/>
  <c r="AE178" i="1"/>
  <c r="AD175" i="1"/>
  <c r="AD171" i="1"/>
  <c r="AC181" i="1"/>
  <c r="AB172" i="1"/>
  <c r="Z179" i="1"/>
  <c r="Z194" i="1"/>
  <c r="Z172" i="1"/>
  <c r="Z175" i="1"/>
  <c r="Z198" i="1"/>
  <c r="AJ177" i="1"/>
  <c r="AJ168" i="1"/>
  <c r="AI180" i="1"/>
  <c r="AI168" i="1"/>
  <c r="AI172" i="1"/>
  <c r="AH181" i="1"/>
  <c r="AH168" i="1"/>
  <c r="AG181" i="1"/>
  <c r="AG168" i="1"/>
  <c r="AF174" i="1"/>
  <c r="AF177" i="1"/>
  <c r="AE174" i="1"/>
  <c r="AE172" i="1"/>
  <c r="AD168" i="1"/>
  <c r="AD179" i="1"/>
  <c r="AC174" i="1"/>
  <c r="AB168" i="1"/>
  <c r="Z171" i="1"/>
  <c r="Z187" i="1"/>
  <c r="Z202" i="1"/>
  <c r="Z180" i="1"/>
  <c r="Z183" i="1"/>
  <c r="Z206" i="1"/>
  <c r="S120" i="32"/>
  <c r="F28" i="33" s="1"/>
  <c r="Z209" i="44"/>
  <c r="Y209" i="44" s="1"/>
  <c r="Z201" i="44"/>
  <c r="Y201" i="44" s="1"/>
  <c r="Z193" i="44"/>
  <c r="Y193" i="44" s="1"/>
  <c r="Z185" i="44"/>
  <c r="Y185" i="44" s="1"/>
  <c r="Z177" i="44"/>
  <c r="Y177" i="44" s="1"/>
  <c r="Z169" i="44"/>
  <c r="Y169" i="44" s="1"/>
  <c r="Z207" i="44"/>
  <c r="Y207" i="44" s="1"/>
  <c r="Z199" i="44"/>
  <c r="Y199" i="44" s="1"/>
  <c r="Z191" i="44"/>
  <c r="Y191" i="44" s="1"/>
  <c r="Z183" i="44"/>
  <c r="Y183" i="44" s="1"/>
  <c r="Z175" i="44"/>
  <c r="Y175" i="44" s="1"/>
  <c r="Z167" i="44"/>
  <c r="Y167" i="44" s="1"/>
  <c r="Z210" i="44"/>
  <c r="Y210" i="44" s="1"/>
  <c r="Z202" i="44"/>
  <c r="Y202" i="44" s="1"/>
  <c r="Z194" i="44"/>
  <c r="Y194" i="44" s="1"/>
  <c r="Z186" i="44"/>
  <c r="Y186" i="44" s="1"/>
  <c r="Z178" i="44"/>
  <c r="Y178" i="44" s="1"/>
  <c r="Z170" i="44"/>
  <c r="Y170" i="44" s="1"/>
  <c r="Z213" i="44"/>
  <c r="Y213" i="44" s="1"/>
  <c r="Z205" i="44"/>
  <c r="Y205" i="44" s="1"/>
  <c r="Z197" i="44"/>
  <c r="Y197" i="44" s="1"/>
  <c r="Z189" i="44"/>
  <c r="Y189" i="44" s="1"/>
  <c r="Z181" i="44"/>
  <c r="Y181" i="44" s="1"/>
  <c r="Z173" i="44"/>
  <c r="Y173" i="44" s="1"/>
  <c r="Z211" i="44"/>
  <c r="Y211" i="44" s="1"/>
  <c r="Z203" i="44"/>
  <c r="Y203" i="44" s="1"/>
  <c r="Z195" i="44"/>
  <c r="Y195" i="44" s="1"/>
  <c r="Z187" i="44"/>
  <c r="Y187" i="44" s="1"/>
  <c r="Z192" i="44"/>
  <c r="Y192" i="44" s="1"/>
  <c r="Z171" i="44"/>
  <c r="Y171" i="44" s="1"/>
  <c r="Z212" i="44"/>
  <c r="Y212" i="44" s="1"/>
  <c r="Z190" i="44"/>
  <c r="Y190" i="44" s="1"/>
  <c r="Z208" i="44"/>
  <c r="Y208" i="44" s="1"/>
  <c r="Z188" i="44"/>
  <c r="Y188" i="44" s="1"/>
  <c r="Z179" i="44"/>
  <c r="Y179" i="44" s="1"/>
  <c r="Z168" i="44"/>
  <c r="Y168" i="44" s="1"/>
  <c r="Z206" i="44"/>
  <c r="Y206" i="44" s="1"/>
  <c r="Z184" i="44"/>
  <c r="Y184" i="44" s="1"/>
  <c r="Z204" i="44"/>
  <c r="Y204" i="44" s="1"/>
  <c r="Z182" i="44"/>
  <c r="Y182" i="44" s="1"/>
  <c r="Z200" i="44"/>
  <c r="Y200" i="44" s="1"/>
  <c r="Z180" i="44"/>
  <c r="Y180" i="44" s="1"/>
  <c r="Z174" i="44"/>
  <c r="Y174" i="44" s="1"/>
  <c r="Z172" i="44"/>
  <c r="Y172" i="44" s="1"/>
  <c r="Z198" i="44"/>
  <c r="Y198" i="44" s="1"/>
  <c r="Z176" i="44"/>
  <c r="Y176" i="44" s="1"/>
  <c r="Z196" i="44"/>
  <c r="Y196" i="44" s="1"/>
  <c r="AJ185" i="1"/>
  <c r="AJ180" i="1"/>
  <c r="AI173" i="1"/>
  <c r="AI176" i="1"/>
  <c r="AI179" i="1"/>
  <c r="AH174" i="1"/>
  <c r="AH180" i="1"/>
  <c r="AG174" i="1"/>
  <c r="AG177" i="1"/>
  <c r="AF182" i="1"/>
  <c r="AF179" i="1"/>
  <c r="AE181" i="1"/>
  <c r="AE175" i="1"/>
  <c r="AD176" i="1"/>
  <c r="AC168" i="1"/>
  <c r="AC170" i="1"/>
  <c r="AB169" i="1"/>
  <c r="Z176" i="1"/>
  <c r="Z189" i="1"/>
  <c r="Z210" i="1"/>
  <c r="Z188" i="1"/>
  <c r="Z193" i="1"/>
  <c r="F272" i="41"/>
  <c r="F56" i="41" s="1"/>
  <c r="C65" i="41"/>
  <c r="S120" i="41"/>
  <c r="F28" i="42" s="1"/>
  <c r="Z210" i="41"/>
  <c r="Y210" i="41" s="1"/>
  <c r="Z206" i="41"/>
  <c r="Y206" i="41" s="1"/>
  <c r="Z202" i="41"/>
  <c r="Y202" i="41" s="1"/>
  <c r="Z198" i="41"/>
  <c r="Y198" i="41" s="1"/>
  <c r="Z194" i="41"/>
  <c r="Y194" i="41" s="1"/>
  <c r="Z190" i="41"/>
  <c r="Y190" i="41" s="1"/>
  <c r="Z186" i="41"/>
  <c r="Y186" i="41" s="1"/>
  <c r="Z182" i="41"/>
  <c r="Y182" i="41" s="1"/>
  <c r="Z178" i="41"/>
  <c r="Y178" i="41" s="1"/>
  <c r="Z174" i="41"/>
  <c r="Y174" i="41" s="1"/>
  <c r="Z170" i="41"/>
  <c r="Y170" i="41" s="1"/>
  <c r="Z211" i="41"/>
  <c r="Y211" i="41" s="1"/>
  <c r="Z207" i="41"/>
  <c r="Y207" i="41" s="1"/>
  <c r="Z203" i="41"/>
  <c r="Y203" i="41" s="1"/>
  <c r="Z199" i="41"/>
  <c r="Y199" i="41" s="1"/>
  <c r="Z195" i="41"/>
  <c r="Y195" i="41" s="1"/>
  <c r="Z191" i="41"/>
  <c r="Y191" i="41" s="1"/>
  <c r="Z187" i="41"/>
  <c r="Y187" i="41" s="1"/>
  <c r="Z183" i="41"/>
  <c r="Y183" i="41" s="1"/>
  <c r="Z179" i="41"/>
  <c r="Y179" i="41" s="1"/>
  <c r="Z175" i="41"/>
  <c r="Y175" i="41" s="1"/>
  <c r="Z171" i="41"/>
  <c r="Y171" i="41" s="1"/>
  <c r="Z167" i="41"/>
  <c r="Y167" i="41" s="1"/>
  <c r="Z212" i="41"/>
  <c r="Y212" i="41" s="1"/>
  <c r="Z208" i="41"/>
  <c r="Y208" i="41" s="1"/>
  <c r="Z204" i="41"/>
  <c r="Y204" i="41" s="1"/>
  <c r="Z200" i="41"/>
  <c r="Y200" i="41" s="1"/>
  <c r="Z196" i="41"/>
  <c r="Y196" i="41" s="1"/>
  <c r="Z192" i="41"/>
  <c r="Y192" i="41" s="1"/>
  <c r="Z188" i="41"/>
  <c r="Y188" i="41" s="1"/>
  <c r="Z184" i="41"/>
  <c r="Y184" i="41" s="1"/>
  <c r="Z180" i="41"/>
  <c r="Y180" i="41" s="1"/>
  <c r="Z176" i="41"/>
  <c r="Y176" i="41" s="1"/>
  <c r="Z172" i="41"/>
  <c r="Y172" i="41" s="1"/>
  <c r="Z168" i="41"/>
  <c r="Y168" i="41" s="1"/>
  <c r="Z209" i="41"/>
  <c r="Y209" i="41" s="1"/>
  <c r="Z177" i="41"/>
  <c r="Y177" i="41" s="1"/>
  <c r="Z205" i="41"/>
  <c r="Y205" i="41" s="1"/>
  <c r="Z201" i="41"/>
  <c r="Y201" i="41" s="1"/>
  <c r="Z173" i="41"/>
  <c r="Y173" i="41" s="1"/>
  <c r="Z197" i="41"/>
  <c r="Y197" i="41" s="1"/>
  <c r="Z193" i="41"/>
  <c r="Y193" i="41" s="1"/>
  <c r="Z169" i="41"/>
  <c r="Y169" i="41" s="1"/>
  <c r="Z189" i="41"/>
  <c r="Y189" i="41" s="1"/>
  <c r="Z185" i="41"/>
  <c r="Y185" i="41" s="1"/>
  <c r="Z213" i="41"/>
  <c r="Y213" i="41" s="1"/>
  <c r="Z181" i="41"/>
  <c r="Y181" i="41" s="1"/>
  <c r="Z179" i="50"/>
  <c r="Y179" i="50" s="1"/>
  <c r="Z171" i="50"/>
  <c r="Y171" i="50" s="1"/>
  <c r="Z213" i="50"/>
  <c r="Y213" i="50" s="1"/>
  <c r="Z209" i="50"/>
  <c r="Y209" i="50" s="1"/>
  <c r="Z205" i="50"/>
  <c r="Y205" i="50" s="1"/>
  <c r="Z201" i="50"/>
  <c r="Y201" i="50" s="1"/>
  <c r="Z197" i="50"/>
  <c r="Y197" i="50" s="1"/>
  <c r="Z193" i="50"/>
  <c r="Y193" i="50" s="1"/>
  <c r="Z189" i="50"/>
  <c r="Y189" i="50" s="1"/>
  <c r="Z185" i="50"/>
  <c r="Y185" i="50" s="1"/>
  <c r="Z182" i="50"/>
  <c r="Y182" i="50" s="1"/>
  <c r="Z174" i="50"/>
  <c r="Y174" i="50" s="1"/>
  <c r="Z177" i="50"/>
  <c r="Y177" i="50" s="1"/>
  <c r="Z169" i="50"/>
  <c r="Y169" i="50" s="1"/>
  <c r="Z210" i="50"/>
  <c r="Y210" i="50" s="1"/>
  <c r="Z206" i="50"/>
  <c r="Y206" i="50" s="1"/>
  <c r="Z202" i="50"/>
  <c r="Y202" i="50" s="1"/>
  <c r="Z198" i="50"/>
  <c r="Y198" i="50" s="1"/>
  <c r="Z194" i="50"/>
  <c r="Y194" i="50" s="1"/>
  <c r="Z190" i="50"/>
  <c r="Y190" i="50" s="1"/>
  <c r="Z186" i="50"/>
  <c r="Y186" i="50" s="1"/>
  <c r="Z180" i="50"/>
  <c r="Y180" i="50" s="1"/>
  <c r="Z172" i="50"/>
  <c r="Y172" i="50" s="1"/>
  <c r="Z183" i="50"/>
  <c r="Y183" i="50" s="1"/>
  <c r="Z175" i="50"/>
  <c r="Y175" i="50" s="1"/>
  <c r="Z167" i="50"/>
  <c r="Y167" i="50" s="1"/>
  <c r="Z211" i="50"/>
  <c r="Y211" i="50" s="1"/>
  <c r="Z207" i="50"/>
  <c r="Y207" i="50" s="1"/>
  <c r="Z203" i="50"/>
  <c r="Y203" i="50" s="1"/>
  <c r="Z199" i="50"/>
  <c r="Y199" i="50" s="1"/>
  <c r="Z195" i="50"/>
  <c r="Y195" i="50" s="1"/>
  <c r="Z191" i="50"/>
  <c r="Y191" i="50" s="1"/>
  <c r="Z187" i="50"/>
  <c r="Y187" i="50" s="1"/>
  <c r="Z178" i="50"/>
  <c r="Y178" i="50" s="1"/>
  <c r="Z170" i="50"/>
  <c r="Y170" i="50" s="1"/>
  <c r="Z181" i="50"/>
  <c r="Y181" i="50" s="1"/>
  <c r="Z173" i="50"/>
  <c r="Y173" i="50" s="1"/>
  <c r="Z204" i="50"/>
  <c r="Y204" i="50" s="1"/>
  <c r="Z200" i="50"/>
  <c r="Y200" i="50" s="1"/>
  <c r="Z196" i="50"/>
  <c r="Y196" i="50" s="1"/>
  <c r="Z192" i="50"/>
  <c r="Y192" i="50" s="1"/>
  <c r="Z188" i="50"/>
  <c r="Y188" i="50" s="1"/>
  <c r="Z176" i="50"/>
  <c r="Y176" i="50" s="1"/>
  <c r="Z184" i="50"/>
  <c r="Y184" i="50" s="1"/>
  <c r="Z212" i="50"/>
  <c r="Y212" i="50" s="1"/>
  <c r="Z168" i="50"/>
  <c r="Y168" i="50" s="1"/>
  <c r="Z208" i="50"/>
  <c r="Y208" i="50" s="1"/>
  <c r="F272" i="23"/>
  <c r="F56" i="23" s="1"/>
  <c r="Q56" i="23" s="1"/>
  <c r="C65" i="23"/>
  <c r="F272" i="50"/>
  <c r="F56" i="50" s="1"/>
  <c r="Q56" i="50" s="1"/>
  <c r="C65" i="50"/>
  <c r="F272" i="35"/>
  <c r="F56" i="35" s="1"/>
  <c r="C65" i="35"/>
  <c r="AJ170" i="1"/>
  <c r="AJ175" i="1"/>
  <c r="AI181" i="1"/>
  <c r="AI184" i="1"/>
  <c r="AH171" i="1"/>
  <c r="AH182" i="1"/>
  <c r="AH170" i="1"/>
  <c r="AG182" i="1"/>
  <c r="AG170" i="1"/>
  <c r="AF173" i="1"/>
  <c r="AF169" i="1"/>
  <c r="AE168" i="1"/>
  <c r="AE177" i="1"/>
  <c r="AD169" i="1"/>
  <c r="AC171" i="1"/>
  <c r="AB171" i="1"/>
  <c r="Z173" i="1"/>
  <c r="Z184" i="1"/>
  <c r="Z197" i="1"/>
  <c r="Z177" i="1"/>
  <c r="Z196" i="1"/>
  <c r="S120" i="23"/>
  <c r="F28" i="24" s="1"/>
  <c r="F272" i="47"/>
  <c r="F56" i="47" s="1"/>
  <c r="F272" i="38"/>
  <c r="F56" i="38" s="1"/>
  <c r="AE15" i="39"/>
  <c r="AE19" i="39" s="1"/>
  <c r="F15" i="39"/>
  <c r="F19" i="39" s="1"/>
  <c r="T15" i="39"/>
  <c r="T19" i="39" s="1"/>
  <c r="AO15" i="39"/>
  <c r="AO19" i="39" s="1"/>
  <c r="AP15" i="39"/>
  <c r="AP19" i="39" s="1"/>
  <c r="S15" i="39"/>
  <c r="S19" i="39" s="1"/>
  <c r="AM15" i="39"/>
  <c r="AM19" i="39" s="1"/>
  <c r="K15" i="39"/>
  <c r="K19" i="39" s="1"/>
  <c r="W15" i="39"/>
  <c r="W19" i="39" s="1"/>
  <c r="AK15" i="39"/>
  <c r="AK19" i="39" s="1"/>
  <c r="L15" i="39"/>
  <c r="L19" i="39" s="1"/>
  <c r="AG15" i="39"/>
  <c r="AG19" i="39" s="1"/>
  <c r="J15" i="39"/>
  <c r="J19" i="39" s="1"/>
  <c r="AJ15" i="39"/>
  <c r="AJ19" i="39" s="1"/>
  <c r="P15" i="39"/>
  <c r="P19" i="39" s="1"/>
  <c r="O15" i="39"/>
  <c r="O19" i="39" s="1"/>
  <c r="AC15" i="39"/>
  <c r="AC19" i="39" s="1"/>
  <c r="D15" i="39"/>
  <c r="D19" i="39" s="1"/>
  <c r="Y15" i="39"/>
  <c r="Y19" i="39" s="1"/>
  <c r="AN15" i="39"/>
  <c r="AN19" i="39" s="1"/>
  <c r="Z15" i="39"/>
  <c r="Z19" i="39" s="1"/>
  <c r="G15" i="39"/>
  <c r="G19" i="39" s="1"/>
  <c r="U15" i="39"/>
  <c r="U19" i="39" s="1"/>
  <c r="AQ15" i="39"/>
  <c r="AQ19" i="39" s="1"/>
  <c r="Q15" i="39"/>
  <c r="Q19" i="39" s="1"/>
  <c r="H15" i="39"/>
  <c r="H19" i="39" s="1"/>
  <c r="H27" i="39"/>
  <c r="N15" i="39"/>
  <c r="N19" i="39" s="1"/>
  <c r="AL15" i="39"/>
  <c r="AL19" i="39" s="1"/>
  <c r="M15" i="39"/>
  <c r="M19" i="39" s="1"/>
  <c r="AI15" i="39"/>
  <c r="AI19" i="39" s="1"/>
  <c r="I15" i="39"/>
  <c r="I19" i="39" s="1"/>
  <c r="AH15" i="39"/>
  <c r="AH19" i="39" s="1"/>
  <c r="AB15" i="39"/>
  <c r="AB19" i="39" s="1"/>
  <c r="AD15" i="39"/>
  <c r="AD19" i="39" s="1"/>
  <c r="E15" i="39"/>
  <c r="E19" i="39" s="1"/>
  <c r="AA15" i="39"/>
  <c r="AA19" i="39" s="1"/>
  <c r="R15" i="39"/>
  <c r="R19" i="39" s="1"/>
  <c r="AF15" i="39"/>
  <c r="AF19" i="39" s="1"/>
  <c r="V15" i="39"/>
  <c r="V19" i="39" s="1"/>
  <c r="X15" i="39"/>
  <c r="X19" i="39" s="1"/>
  <c r="AM15" i="51"/>
  <c r="AM19" i="51" s="1"/>
  <c r="N15" i="51"/>
  <c r="N19" i="51" s="1"/>
  <c r="AB15" i="51"/>
  <c r="AB19" i="51" s="1"/>
  <c r="K15" i="51"/>
  <c r="K19" i="51" s="1"/>
  <c r="P15" i="51"/>
  <c r="P19" i="51" s="1"/>
  <c r="X15" i="51"/>
  <c r="R15" i="51"/>
  <c r="R19" i="51" s="1"/>
  <c r="AJ15" i="51"/>
  <c r="AJ19" i="51" s="1"/>
  <c r="AE15" i="51"/>
  <c r="AE19" i="51" s="1"/>
  <c r="F15" i="51"/>
  <c r="F19" i="51" s="1"/>
  <c r="T15" i="51"/>
  <c r="T19" i="51" s="1"/>
  <c r="AO15" i="51"/>
  <c r="AO19" i="51" s="1"/>
  <c r="AF15" i="51"/>
  <c r="AF19" i="51" s="1"/>
  <c r="AD15" i="51"/>
  <c r="AD19" i="51" s="1"/>
  <c r="Z15" i="51"/>
  <c r="Z19" i="51" s="1"/>
  <c r="W15" i="51"/>
  <c r="W19" i="51" s="1"/>
  <c r="AK15" i="51"/>
  <c r="AK19" i="51" s="1"/>
  <c r="L15" i="51"/>
  <c r="L19" i="51" s="1"/>
  <c r="AG15" i="51"/>
  <c r="AG19" i="51" s="1"/>
  <c r="AP15" i="51"/>
  <c r="AP19" i="51" s="1"/>
  <c r="AH15" i="51"/>
  <c r="AH19" i="51" s="1"/>
  <c r="V15" i="51"/>
  <c r="V19" i="51" s="1"/>
  <c r="H27" i="51"/>
  <c r="O15" i="51"/>
  <c r="O19" i="51" s="1"/>
  <c r="AC15" i="51"/>
  <c r="AC19" i="51" s="1"/>
  <c r="D15" i="51"/>
  <c r="D19" i="51" s="1"/>
  <c r="Y15" i="51"/>
  <c r="Y19" i="51" s="1"/>
  <c r="J15" i="51"/>
  <c r="J19" i="51" s="1"/>
  <c r="E15" i="51"/>
  <c r="E19" i="51" s="1"/>
  <c r="G15" i="51"/>
  <c r="G19" i="51" s="1"/>
  <c r="U15" i="51"/>
  <c r="U19" i="51" s="1"/>
  <c r="AQ15" i="51"/>
  <c r="AQ19" i="51" s="1"/>
  <c r="Q15" i="51"/>
  <c r="Q19" i="51" s="1"/>
  <c r="AN15" i="51"/>
  <c r="AN19" i="51" s="1"/>
  <c r="AA15" i="51"/>
  <c r="AA19" i="51" s="1"/>
  <c r="S15" i="51"/>
  <c r="S19" i="51" s="1"/>
  <c r="AL15" i="51"/>
  <c r="AL19" i="51" s="1"/>
  <c r="M15" i="51"/>
  <c r="M19" i="51" s="1"/>
  <c r="AI15" i="51"/>
  <c r="AI19" i="51" s="1"/>
  <c r="I15" i="51"/>
  <c r="I19" i="51" s="1"/>
  <c r="H15" i="51"/>
  <c r="H19" i="51" s="1"/>
  <c r="O15" i="30"/>
  <c r="O19" i="30" s="1"/>
  <c r="AC15" i="30"/>
  <c r="AC19" i="30" s="1"/>
  <c r="D15" i="30"/>
  <c r="D19" i="30" s="1"/>
  <c r="Z15" i="30"/>
  <c r="Z19" i="30" s="1"/>
  <c r="AN15" i="30"/>
  <c r="AN19" i="30" s="1"/>
  <c r="T15" i="30"/>
  <c r="L15" i="30"/>
  <c r="G15" i="30"/>
  <c r="G19" i="30" s="1"/>
  <c r="U15" i="30"/>
  <c r="U19" i="30" s="1"/>
  <c r="AQ15" i="30"/>
  <c r="AQ19" i="30" s="1"/>
  <c r="R15" i="30"/>
  <c r="R19" i="30" s="1"/>
  <c r="H15" i="30"/>
  <c r="AL15" i="30"/>
  <c r="AL19" i="30" s="1"/>
  <c r="AF15" i="30"/>
  <c r="F15" i="30"/>
  <c r="F19" i="30" s="1"/>
  <c r="AH15" i="30"/>
  <c r="AH19" i="30" s="1"/>
  <c r="M15" i="30"/>
  <c r="M19" i="30" s="1"/>
  <c r="AI15" i="30"/>
  <c r="AI19" i="30" s="1"/>
  <c r="J15" i="30"/>
  <c r="J19" i="30" s="1"/>
  <c r="AK15" i="30"/>
  <c r="AK19" i="30" s="1"/>
  <c r="AD15" i="30"/>
  <c r="AD19" i="30" s="1"/>
  <c r="E15" i="30"/>
  <c r="E19" i="30" s="1"/>
  <c r="AA15" i="30"/>
  <c r="AA19" i="30" s="1"/>
  <c r="AO15" i="30"/>
  <c r="AO19" i="30" s="1"/>
  <c r="X15" i="30"/>
  <c r="AE15" i="30"/>
  <c r="AE19" i="30" s="1"/>
  <c r="Q15" i="30"/>
  <c r="Q19" i="30" s="1"/>
  <c r="W15" i="30"/>
  <c r="W19" i="30" s="1"/>
  <c r="V15" i="30"/>
  <c r="V19" i="30" s="1"/>
  <c r="AJ15" i="30"/>
  <c r="AJ19" i="30" s="1"/>
  <c r="S15" i="30"/>
  <c r="S19" i="30" s="1"/>
  <c r="AG15" i="30"/>
  <c r="AG19" i="30" s="1"/>
  <c r="H27" i="30"/>
  <c r="I15" i="30"/>
  <c r="I19" i="30" s="1"/>
  <c r="AM15" i="30"/>
  <c r="AM19" i="30" s="1"/>
  <c r="N15" i="30"/>
  <c r="N19" i="30" s="1"/>
  <c r="AB15" i="30"/>
  <c r="AB19" i="30" s="1"/>
  <c r="K15" i="30"/>
  <c r="K19" i="30" s="1"/>
  <c r="Y15" i="30"/>
  <c r="Y19" i="30" s="1"/>
  <c r="P15" i="30"/>
  <c r="AP15" i="30"/>
  <c r="AP19" i="30" s="1"/>
  <c r="J115" i="38"/>
  <c r="J49" i="38" s="1"/>
  <c r="U15" i="45"/>
  <c r="U19" i="45" s="1"/>
  <c r="H27" i="45"/>
  <c r="L15" i="45"/>
  <c r="L19" i="45" s="1"/>
  <c r="K15" i="45"/>
  <c r="K19" i="45" s="1"/>
  <c r="AC15" i="45"/>
  <c r="AC19" i="45" s="1"/>
  <c r="O15" i="45"/>
  <c r="O19" i="45" s="1"/>
  <c r="J15" i="45"/>
  <c r="J19" i="45" s="1"/>
  <c r="R15" i="45"/>
  <c r="R19" i="45" s="1"/>
  <c r="D15" i="45"/>
  <c r="S15" i="45"/>
  <c r="S19" i="45" s="1"/>
  <c r="AK15" i="45"/>
  <c r="AK19" i="45" s="1"/>
  <c r="W15" i="45"/>
  <c r="W19" i="45" s="1"/>
  <c r="I115" i="50"/>
  <c r="I49" i="50" s="1"/>
  <c r="AJ15" i="45"/>
  <c r="AJ19" i="45" s="1"/>
  <c r="AN15" i="45"/>
  <c r="AN19" i="45" s="1"/>
  <c r="Z15" i="45"/>
  <c r="Z19" i="45" s="1"/>
  <c r="AA15" i="45"/>
  <c r="AA19" i="45" s="1"/>
  <c r="F15" i="45"/>
  <c r="F19" i="45" s="1"/>
  <c r="AE15" i="45"/>
  <c r="AE19" i="45" s="1"/>
  <c r="AO15" i="45"/>
  <c r="AO19" i="45" s="1"/>
  <c r="G15" i="45"/>
  <c r="G19" i="45" s="1"/>
  <c r="C19" i="27"/>
  <c r="C25" i="27" s="1"/>
  <c r="H15" i="45"/>
  <c r="H19" i="45" s="1"/>
  <c r="T15" i="45"/>
  <c r="T19" i="45" s="1"/>
  <c r="I15" i="45"/>
  <c r="I19" i="45" s="1"/>
  <c r="AI15" i="45"/>
  <c r="AI19" i="45" s="1"/>
  <c r="N15" i="45"/>
  <c r="N19" i="45" s="1"/>
  <c r="AM15" i="45"/>
  <c r="AM19" i="45" s="1"/>
  <c r="J10" i="59"/>
  <c r="AB15" i="45"/>
  <c r="AB19" i="45" s="1"/>
  <c r="AP15" i="45"/>
  <c r="AP19" i="45" s="1"/>
  <c r="Q15" i="45"/>
  <c r="Q19" i="45" s="1"/>
  <c r="AQ15" i="45"/>
  <c r="AQ19" i="45" s="1"/>
  <c r="V15" i="45"/>
  <c r="V19" i="45" s="1"/>
  <c r="I115" i="20"/>
  <c r="I49" i="20" s="1"/>
  <c r="J115" i="41"/>
  <c r="J49" i="41" s="1"/>
  <c r="AF15" i="45"/>
  <c r="AF19" i="45" s="1"/>
  <c r="AH15" i="45"/>
  <c r="AH19" i="45" s="1"/>
  <c r="Y15" i="45"/>
  <c r="Y19" i="45" s="1"/>
  <c r="E15" i="45"/>
  <c r="E19" i="45" s="1"/>
  <c r="K259" i="5"/>
  <c r="K251" i="5"/>
  <c r="K243" i="5"/>
  <c r="K235" i="5"/>
  <c r="K227" i="5"/>
  <c r="K264" i="5"/>
  <c r="K256" i="5"/>
  <c r="K248" i="5"/>
  <c r="K240" i="5"/>
  <c r="K232" i="5"/>
  <c r="K224" i="5"/>
  <c r="K261" i="5"/>
  <c r="K253" i="5"/>
  <c r="K245" i="5"/>
  <c r="K237" i="5"/>
  <c r="K229" i="5"/>
  <c r="K221" i="5"/>
  <c r="K266" i="5"/>
  <c r="K258" i="5"/>
  <c r="K250" i="5"/>
  <c r="K242" i="5"/>
  <c r="K263" i="5"/>
  <c r="K255" i="5"/>
  <c r="K247" i="5"/>
  <c r="K239" i="5"/>
  <c r="K231" i="5"/>
  <c r="K223" i="5"/>
  <c r="K260" i="5"/>
  <c r="K252" i="5"/>
  <c r="K244" i="5"/>
  <c r="K236" i="5"/>
  <c r="K228" i="5"/>
  <c r="K265" i="5"/>
  <c r="K257" i="5"/>
  <c r="K249" i="5"/>
  <c r="K241" i="5"/>
  <c r="K233" i="5"/>
  <c r="K225" i="5"/>
  <c r="K254" i="5"/>
  <c r="K222" i="5"/>
  <c r="K246" i="5"/>
  <c r="K226" i="5"/>
  <c r="K238" i="5"/>
  <c r="K230" i="5"/>
  <c r="K262" i="5"/>
  <c r="K234" i="5"/>
  <c r="K205" i="5"/>
  <c r="K197" i="5"/>
  <c r="K189" i="5"/>
  <c r="K181" i="5"/>
  <c r="K173" i="5"/>
  <c r="K210" i="5"/>
  <c r="K202" i="5"/>
  <c r="K194" i="5"/>
  <c r="K186" i="5"/>
  <c r="K178" i="5"/>
  <c r="K170" i="5"/>
  <c r="K207" i="5"/>
  <c r="K199" i="5"/>
  <c r="K191" i="5"/>
  <c r="K183" i="5"/>
  <c r="K175" i="5"/>
  <c r="K204" i="5"/>
  <c r="K196" i="5"/>
  <c r="K188" i="5"/>
  <c r="K180" i="5"/>
  <c r="K172" i="5"/>
  <c r="K209" i="5"/>
  <c r="K201" i="5"/>
  <c r="K193" i="5"/>
  <c r="K185" i="5"/>
  <c r="K177" i="5"/>
  <c r="K169" i="5"/>
  <c r="K203" i="5"/>
  <c r="K195" i="5"/>
  <c r="K187" i="5"/>
  <c r="K179" i="5"/>
  <c r="K171" i="5"/>
  <c r="K208" i="5"/>
  <c r="K192" i="5"/>
  <c r="K176" i="5"/>
  <c r="K198" i="5"/>
  <c r="K182" i="5"/>
  <c r="K200" i="5"/>
  <c r="K184" i="5"/>
  <c r="K168" i="5"/>
  <c r="K206" i="5"/>
  <c r="K190" i="5"/>
  <c r="K174" i="5"/>
  <c r="I115" i="23"/>
  <c r="I49" i="23" s="1"/>
  <c r="S124" i="26"/>
  <c r="I37" i="28" s="1"/>
  <c r="G59" i="28" s="1"/>
  <c r="H172" i="59"/>
  <c r="J115" i="29"/>
  <c r="J49" i="29" s="1"/>
  <c r="K264" i="38"/>
  <c r="K256" i="38"/>
  <c r="K248" i="38"/>
  <c r="K240" i="38"/>
  <c r="K232" i="38"/>
  <c r="K261" i="38"/>
  <c r="K253" i="38"/>
  <c r="K245" i="38"/>
  <c r="K237" i="38"/>
  <c r="K258" i="38"/>
  <c r="K250" i="38"/>
  <c r="K242" i="38"/>
  <c r="K234" i="38"/>
  <c r="K263" i="38"/>
  <c r="K255" i="38"/>
  <c r="K247" i="38"/>
  <c r="K239" i="38"/>
  <c r="K260" i="38"/>
  <c r="K252" i="38"/>
  <c r="K244" i="38"/>
  <c r="K236" i="38"/>
  <c r="K265" i="38"/>
  <c r="K257" i="38"/>
  <c r="K249" i="38"/>
  <c r="K241" i="38"/>
  <c r="K262" i="38"/>
  <c r="K254" i="38"/>
  <c r="K246" i="38"/>
  <c r="K238" i="38"/>
  <c r="K229" i="38"/>
  <c r="K221" i="38"/>
  <c r="K259" i="38"/>
  <c r="K226" i="38"/>
  <c r="K231" i="38"/>
  <c r="K223" i="38"/>
  <c r="K251" i="38"/>
  <c r="K228" i="38"/>
  <c r="K220" i="38"/>
  <c r="K225" i="38"/>
  <c r="K243" i="38"/>
  <c r="K233" i="38"/>
  <c r="K230" i="38"/>
  <c r="K222" i="38"/>
  <c r="K227" i="38"/>
  <c r="K224" i="38"/>
  <c r="K235" i="38"/>
  <c r="K207" i="38"/>
  <c r="K199" i="38"/>
  <c r="K191" i="38"/>
  <c r="K183" i="38"/>
  <c r="K175" i="38"/>
  <c r="K167" i="38"/>
  <c r="K204" i="38"/>
  <c r="K196" i="38"/>
  <c r="K188" i="38"/>
  <c r="K180" i="38"/>
  <c r="K172" i="38"/>
  <c r="K209" i="38"/>
  <c r="K201" i="38"/>
  <c r="K193" i="38"/>
  <c r="K185" i="38"/>
  <c r="K177" i="38"/>
  <c r="K169" i="38"/>
  <c r="K206" i="38"/>
  <c r="K203" i="38"/>
  <c r="K195" i="38"/>
  <c r="K187" i="38"/>
  <c r="K179" i="38"/>
  <c r="K171" i="38"/>
  <c r="K208" i="38"/>
  <c r="K200" i="38"/>
  <c r="K192" i="38"/>
  <c r="K184" i="38"/>
  <c r="K176" i="38"/>
  <c r="K168" i="38"/>
  <c r="K205" i="38"/>
  <c r="K197" i="38"/>
  <c r="K189" i="38"/>
  <c r="K181" i="38"/>
  <c r="K173" i="38"/>
  <c r="K190" i="38"/>
  <c r="K174" i="38"/>
  <c r="K194" i="38"/>
  <c r="K178" i="38"/>
  <c r="K198" i="38"/>
  <c r="K182" i="38"/>
  <c r="K202" i="38"/>
  <c r="K186" i="38"/>
  <c r="K170" i="38"/>
  <c r="K82" i="53"/>
  <c r="K79" i="53"/>
  <c r="K85" i="53"/>
  <c r="K88" i="53"/>
  <c r="K83" i="53"/>
  <c r="K78" i="53"/>
  <c r="K86" i="53"/>
  <c r="K81" i="53"/>
  <c r="K80" i="53"/>
  <c r="K84" i="53"/>
  <c r="K87" i="53"/>
  <c r="K263" i="53"/>
  <c r="K255" i="53"/>
  <c r="K247" i="53"/>
  <c r="K239" i="53"/>
  <c r="K231" i="53"/>
  <c r="K223" i="53"/>
  <c r="K260" i="53"/>
  <c r="K252" i="53"/>
  <c r="K244" i="53"/>
  <c r="K236" i="53"/>
  <c r="K228" i="53"/>
  <c r="K220" i="53"/>
  <c r="K265" i="53"/>
  <c r="K257" i="53"/>
  <c r="K249" i="53"/>
  <c r="K241" i="53"/>
  <c r="K233" i="53"/>
  <c r="K225" i="53"/>
  <c r="K262" i="53"/>
  <c r="K254" i="53"/>
  <c r="K246" i="53"/>
  <c r="K238" i="53"/>
  <c r="K230" i="53"/>
  <c r="K222" i="53"/>
  <c r="K259" i="53"/>
  <c r="K251" i="53"/>
  <c r="K243" i="53"/>
  <c r="K235" i="53"/>
  <c r="K227" i="53"/>
  <c r="K264" i="53"/>
  <c r="K256" i="53"/>
  <c r="K248" i="53"/>
  <c r="K240" i="53"/>
  <c r="K232" i="53"/>
  <c r="K224" i="53"/>
  <c r="K261" i="53"/>
  <c r="K253" i="53"/>
  <c r="K245" i="53"/>
  <c r="K237" i="53"/>
  <c r="K229" i="53"/>
  <c r="K221" i="53"/>
  <c r="K234" i="53"/>
  <c r="K258" i="53"/>
  <c r="K226" i="53"/>
  <c r="K250" i="53"/>
  <c r="K242" i="53"/>
  <c r="K207" i="53"/>
  <c r="K199" i="53"/>
  <c r="K191" i="53"/>
  <c r="K183" i="53"/>
  <c r="K175" i="53"/>
  <c r="K167" i="53"/>
  <c r="K204" i="53"/>
  <c r="K196" i="53"/>
  <c r="K188" i="53"/>
  <c r="K180" i="53"/>
  <c r="K172" i="53"/>
  <c r="K209" i="53"/>
  <c r="K201" i="53"/>
  <c r="K193" i="53"/>
  <c r="K185" i="53"/>
  <c r="K177" i="53"/>
  <c r="K169" i="53"/>
  <c r="K206" i="53"/>
  <c r="K198" i="53"/>
  <c r="K190" i="53"/>
  <c r="K182" i="53"/>
  <c r="K174" i="53"/>
  <c r="K203" i="53"/>
  <c r="K195" i="53"/>
  <c r="K187" i="53"/>
  <c r="K179" i="53"/>
  <c r="K171" i="53"/>
  <c r="K208" i="53"/>
  <c r="K200" i="53"/>
  <c r="K192" i="53"/>
  <c r="K184" i="53"/>
  <c r="K176" i="53"/>
  <c r="K168" i="53"/>
  <c r="K205" i="53"/>
  <c r="K197" i="53"/>
  <c r="K189" i="53"/>
  <c r="K181" i="53"/>
  <c r="K173" i="53"/>
  <c r="K202" i="53"/>
  <c r="K170" i="53"/>
  <c r="K194" i="53"/>
  <c r="K186" i="53"/>
  <c r="K178" i="53"/>
  <c r="I267" i="8"/>
  <c r="S124" i="50"/>
  <c r="I37" i="52" s="1"/>
  <c r="G59" i="52" s="1"/>
  <c r="H173" i="59"/>
  <c r="J74" i="59"/>
  <c r="J137" i="72" s="1"/>
  <c r="I41" i="29" s="1"/>
  <c r="J16" i="70"/>
  <c r="J16" i="72"/>
  <c r="I39" i="29" s="1"/>
  <c r="I24" i="72"/>
  <c r="H39" i="50" s="1"/>
  <c r="I82" i="59"/>
  <c r="I24" i="70"/>
  <c r="I215" i="5"/>
  <c r="J8" i="59" s="1"/>
  <c r="I48" i="72"/>
  <c r="H40" i="35" s="1"/>
  <c r="I48" i="70"/>
  <c r="J215" i="5"/>
  <c r="K8" i="59" s="1"/>
  <c r="I25" i="72"/>
  <c r="I83" i="59"/>
  <c r="I25" i="70"/>
  <c r="I83" i="70" s="1"/>
  <c r="J262" i="23"/>
  <c r="J254" i="23"/>
  <c r="J246" i="23"/>
  <c r="J238" i="23"/>
  <c r="J230" i="23"/>
  <c r="J222" i="23"/>
  <c r="J259" i="23"/>
  <c r="J251" i="23"/>
  <c r="J243" i="23"/>
  <c r="J235" i="23"/>
  <c r="J227" i="23"/>
  <c r="J264" i="23"/>
  <c r="J256" i="23"/>
  <c r="J248" i="23"/>
  <c r="J240" i="23"/>
  <c r="J232" i="23"/>
  <c r="J224" i="23"/>
  <c r="J261" i="23"/>
  <c r="J253" i="23"/>
  <c r="J245" i="23"/>
  <c r="J237" i="23"/>
  <c r="J229" i="23"/>
  <c r="J221" i="23"/>
  <c r="J258" i="23"/>
  <c r="J250" i="23"/>
  <c r="J242" i="23"/>
  <c r="J234" i="23"/>
  <c r="J226" i="23"/>
  <c r="J263" i="23"/>
  <c r="J255" i="23"/>
  <c r="J247" i="23"/>
  <c r="J239" i="23"/>
  <c r="J231" i="23"/>
  <c r="J223" i="23"/>
  <c r="J260" i="23"/>
  <c r="J252" i="23"/>
  <c r="J244" i="23"/>
  <c r="J236" i="23"/>
  <c r="J228" i="23"/>
  <c r="J220" i="23"/>
  <c r="J257" i="23"/>
  <c r="J225" i="23"/>
  <c r="J249" i="23"/>
  <c r="J241" i="23"/>
  <c r="J265" i="23"/>
  <c r="J233" i="23"/>
  <c r="J207" i="23"/>
  <c r="J209" i="23"/>
  <c r="J208" i="23"/>
  <c r="J205" i="23"/>
  <c r="J199" i="23"/>
  <c r="J191" i="23"/>
  <c r="J183" i="23"/>
  <c r="J175" i="23"/>
  <c r="J167" i="23"/>
  <c r="J201" i="23"/>
  <c r="J193" i="23"/>
  <c r="J185" i="23"/>
  <c r="J177" i="23"/>
  <c r="J169" i="23"/>
  <c r="J198" i="23"/>
  <c r="J190" i="23"/>
  <c r="J182" i="23"/>
  <c r="J174" i="23"/>
  <c r="J203" i="23"/>
  <c r="J195" i="23"/>
  <c r="J187" i="23"/>
  <c r="J179" i="23"/>
  <c r="J171" i="23"/>
  <c r="J200" i="23"/>
  <c r="J192" i="23"/>
  <c r="J184" i="23"/>
  <c r="J176" i="23"/>
  <c r="J168" i="23"/>
  <c r="J197" i="23"/>
  <c r="J189" i="23"/>
  <c r="J181" i="23"/>
  <c r="J204" i="23"/>
  <c r="J188" i="23"/>
  <c r="J172" i="23"/>
  <c r="J170" i="23"/>
  <c r="J194" i="23"/>
  <c r="J206" i="23"/>
  <c r="J178" i="23"/>
  <c r="J173" i="23"/>
  <c r="J196" i="23"/>
  <c r="J180" i="23"/>
  <c r="J202" i="23"/>
  <c r="J186" i="23"/>
  <c r="K265" i="41"/>
  <c r="K262" i="41"/>
  <c r="K254" i="41"/>
  <c r="K246" i="41"/>
  <c r="K238" i="41"/>
  <c r="K230" i="41"/>
  <c r="K222" i="41"/>
  <c r="K259" i="41"/>
  <c r="K251" i="41"/>
  <c r="K243" i="41"/>
  <c r="K235" i="41"/>
  <c r="K227" i="41"/>
  <c r="K264" i="41"/>
  <c r="K256" i="41"/>
  <c r="K248" i="41"/>
  <c r="K240" i="41"/>
  <c r="K232" i="41"/>
  <c r="K224" i="41"/>
  <c r="K261" i="41"/>
  <c r="K253" i="41"/>
  <c r="K245" i="41"/>
  <c r="K237" i="41"/>
  <c r="K229" i="41"/>
  <c r="K221" i="41"/>
  <c r="K258" i="41"/>
  <c r="K250" i="41"/>
  <c r="K242" i="41"/>
  <c r="K234" i="41"/>
  <c r="K226" i="41"/>
  <c r="K263" i="41"/>
  <c r="K255" i="41"/>
  <c r="K247" i="41"/>
  <c r="K239" i="41"/>
  <c r="K231" i="41"/>
  <c r="K223" i="41"/>
  <c r="K257" i="41"/>
  <c r="K252" i="41"/>
  <c r="K241" i="41"/>
  <c r="K236" i="41"/>
  <c r="K225" i="41"/>
  <c r="K220" i="41"/>
  <c r="K260" i="41"/>
  <c r="K228" i="41"/>
  <c r="K233" i="41"/>
  <c r="K244" i="41"/>
  <c r="K208" i="41"/>
  <c r="K200" i="41"/>
  <c r="K192" i="41"/>
  <c r="K184" i="41"/>
  <c r="K176" i="41"/>
  <c r="K168" i="41"/>
  <c r="K205" i="41"/>
  <c r="K197" i="41"/>
  <c r="K189" i="41"/>
  <c r="K181" i="41"/>
  <c r="K173" i="41"/>
  <c r="K202" i="41"/>
  <c r="K194" i="41"/>
  <c r="K186" i="41"/>
  <c r="K178" i="41"/>
  <c r="K170" i="41"/>
  <c r="K207" i="41"/>
  <c r="K199" i="41"/>
  <c r="K191" i="41"/>
  <c r="K183" i="41"/>
  <c r="K175" i="41"/>
  <c r="K167" i="41"/>
  <c r="K204" i="41"/>
  <c r="K196" i="41"/>
  <c r="K188" i="41"/>
  <c r="K180" i="41"/>
  <c r="K172" i="41"/>
  <c r="K209" i="41"/>
  <c r="K201" i="41"/>
  <c r="K193" i="41"/>
  <c r="K185" i="41"/>
  <c r="K177" i="41"/>
  <c r="K169" i="41"/>
  <c r="K206" i="41"/>
  <c r="K198" i="41"/>
  <c r="K190" i="41"/>
  <c r="K182" i="41"/>
  <c r="K174" i="41"/>
  <c r="K203" i="41"/>
  <c r="K171" i="41"/>
  <c r="K195" i="41"/>
  <c r="K187" i="41"/>
  <c r="K179" i="41"/>
  <c r="K249" i="41"/>
  <c r="I5" i="70"/>
  <c r="I5" i="72"/>
  <c r="I63" i="59"/>
  <c r="S124" i="29"/>
  <c r="I37" i="31" s="1"/>
  <c r="G59" i="31" s="1"/>
  <c r="H165" i="59"/>
  <c r="S124" i="32"/>
  <c r="I37" i="34" s="1"/>
  <c r="G59" i="34" s="1"/>
  <c r="H160" i="59"/>
  <c r="I214" i="23"/>
  <c r="J15" i="59" s="1"/>
  <c r="J214" i="38"/>
  <c r="K10" i="59" s="1"/>
  <c r="I267" i="26"/>
  <c r="J52" i="59" s="1"/>
  <c r="I43" i="72"/>
  <c r="H40" i="47" s="1"/>
  <c r="I43" i="70"/>
  <c r="I37" i="72"/>
  <c r="H40" i="5" s="1"/>
  <c r="I37" i="70"/>
  <c r="J214" i="29"/>
  <c r="K16" i="59" s="1"/>
  <c r="J214" i="26"/>
  <c r="K23" i="59" s="1"/>
  <c r="I19" i="72"/>
  <c r="H39" i="35" s="1"/>
  <c r="I19" i="70"/>
  <c r="I214" i="47"/>
  <c r="J14" i="59" s="1"/>
  <c r="I267" i="47"/>
  <c r="J43" i="59" s="1"/>
  <c r="J283" i="59" s="1"/>
  <c r="I11" i="72"/>
  <c r="H39" i="32" s="1"/>
  <c r="I69" i="59"/>
  <c r="I11" i="70"/>
  <c r="J260" i="32"/>
  <c r="J252" i="32"/>
  <c r="J244" i="32"/>
  <c r="J236" i="32"/>
  <c r="J228" i="32"/>
  <c r="J220" i="32"/>
  <c r="J265" i="32"/>
  <c r="J257" i="32"/>
  <c r="J249" i="32"/>
  <c r="J241" i="32"/>
  <c r="J233" i="32"/>
  <c r="J225" i="32"/>
  <c r="J262" i="32"/>
  <c r="J254" i="32"/>
  <c r="J246" i="32"/>
  <c r="J238" i="32"/>
  <c r="J230" i="32"/>
  <c r="J222" i="32"/>
  <c r="J259" i="32"/>
  <c r="J251" i="32"/>
  <c r="J243" i="32"/>
  <c r="J235" i="32"/>
  <c r="J227" i="32"/>
  <c r="J264" i="32"/>
  <c r="J256" i="32"/>
  <c r="J248" i="32"/>
  <c r="J240" i="32"/>
  <c r="J232" i="32"/>
  <c r="J239" i="32"/>
  <c r="J237" i="32"/>
  <c r="J242" i="32"/>
  <c r="J247" i="32"/>
  <c r="J245" i="32"/>
  <c r="J250" i="32"/>
  <c r="J255" i="32"/>
  <c r="J253" i="32"/>
  <c r="J223" i="32"/>
  <c r="J221" i="32"/>
  <c r="J258" i="32"/>
  <c r="J226" i="32"/>
  <c r="J263" i="32"/>
  <c r="J261" i="32"/>
  <c r="J231" i="32"/>
  <c r="J229" i="32"/>
  <c r="J234" i="32"/>
  <c r="J203" i="32"/>
  <c r="J195" i="32"/>
  <c r="J187" i="32"/>
  <c r="J179" i="32"/>
  <c r="J171" i="32"/>
  <c r="J205" i="32"/>
  <c r="J197" i="32"/>
  <c r="J189" i="32"/>
  <c r="J181" i="32"/>
  <c r="J173" i="32"/>
  <c r="J202" i="32"/>
  <c r="J194" i="32"/>
  <c r="J186" i="32"/>
  <c r="J178" i="32"/>
  <c r="J170" i="32"/>
  <c r="J207" i="32"/>
  <c r="J199" i="32"/>
  <c r="J191" i="32"/>
  <c r="J183" i="32"/>
  <c r="J175" i="32"/>
  <c r="J167" i="32"/>
  <c r="J204" i="32"/>
  <c r="J196" i="32"/>
  <c r="J188" i="32"/>
  <c r="J180" i="32"/>
  <c r="J172" i="32"/>
  <c r="J208" i="32"/>
  <c r="J176" i="32"/>
  <c r="J206" i="32"/>
  <c r="J201" i="32"/>
  <c r="J174" i="32"/>
  <c r="J169" i="32"/>
  <c r="J184" i="32"/>
  <c r="J209" i="32"/>
  <c r="J182" i="32"/>
  <c r="J177" i="32"/>
  <c r="J192" i="32"/>
  <c r="J200" i="32"/>
  <c r="J168" i="32"/>
  <c r="J190" i="32"/>
  <c r="J198" i="32"/>
  <c r="J185" i="32"/>
  <c r="J193" i="32"/>
  <c r="J80" i="32"/>
  <c r="J81" i="32"/>
  <c r="J83" i="32"/>
  <c r="J78" i="32"/>
  <c r="J84" i="32"/>
  <c r="J79" i="32"/>
  <c r="J82" i="32"/>
  <c r="J262" i="35"/>
  <c r="J254" i="35"/>
  <c r="J246" i="35"/>
  <c r="J238" i="35"/>
  <c r="J230" i="35"/>
  <c r="J222" i="35"/>
  <c r="J259" i="35"/>
  <c r="J251" i="35"/>
  <c r="J243" i="35"/>
  <c r="J235" i="35"/>
  <c r="J227" i="35"/>
  <c r="J264" i="35"/>
  <c r="J256" i="35"/>
  <c r="J248" i="35"/>
  <c r="J240" i="35"/>
  <c r="J232" i="35"/>
  <c r="J224" i="35"/>
  <c r="J261" i="35"/>
  <c r="J253" i="35"/>
  <c r="J245" i="35"/>
  <c r="J237" i="35"/>
  <c r="J229" i="35"/>
  <c r="J221" i="35"/>
  <c r="J258" i="35"/>
  <c r="J250" i="35"/>
  <c r="J242" i="35"/>
  <c r="J234" i="35"/>
  <c r="J226" i="35"/>
  <c r="J263" i="35"/>
  <c r="J255" i="35"/>
  <c r="J247" i="35"/>
  <c r="J239" i="35"/>
  <c r="J231" i="35"/>
  <c r="J223" i="35"/>
  <c r="J260" i="35"/>
  <c r="J257" i="35"/>
  <c r="J249" i="35"/>
  <c r="J233" i="35"/>
  <c r="J244" i="35"/>
  <c r="J228" i="35"/>
  <c r="J265" i="35"/>
  <c r="J252" i="35"/>
  <c r="J241" i="35"/>
  <c r="J236" i="35"/>
  <c r="J225" i="35"/>
  <c r="J220" i="35"/>
  <c r="J208" i="35"/>
  <c r="J200" i="35"/>
  <c r="J192" i="35"/>
  <c r="J205" i="35"/>
  <c r="J197" i="35"/>
  <c r="J189" i="35"/>
  <c r="J202" i="35"/>
  <c r="J194" i="35"/>
  <c r="J204" i="35"/>
  <c r="J196" i="35"/>
  <c r="J188" i="35"/>
  <c r="J209" i="35"/>
  <c r="J201" i="35"/>
  <c r="J193" i="35"/>
  <c r="J206" i="35"/>
  <c r="J198" i="35"/>
  <c r="J190" i="35"/>
  <c r="J199" i="35"/>
  <c r="J181" i="35"/>
  <c r="J173" i="35"/>
  <c r="J186" i="35"/>
  <c r="J178" i="35"/>
  <c r="J170" i="35"/>
  <c r="J203" i="35"/>
  <c r="J183" i="35"/>
  <c r="J175" i="35"/>
  <c r="J167" i="35"/>
  <c r="J180" i="35"/>
  <c r="J172" i="35"/>
  <c r="J207" i="35"/>
  <c r="J191" i="35"/>
  <c r="J185" i="35"/>
  <c r="J177" i="35"/>
  <c r="J169" i="35"/>
  <c r="J182" i="35"/>
  <c r="J174" i="35"/>
  <c r="J195" i="35"/>
  <c r="J187" i="35"/>
  <c r="J179" i="35"/>
  <c r="J171" i="35"/>
  <c r="J176" i="35"/>
  <c r="J168" i="35"/>
  <c r="J184" i="35"/>
  <c r="J265" i="44"/>
  <c r="J257" i="44"/>
  <c r="J262" i="44"/>
  <c r="J254" i="44"/>
  <c r="J259" i="44"/>
  <c r="J261" i="44"/>
  <c r="J258" i="44"/>
  <c r="J263" i="44"/>
  <c r="J255" i="44"/>
  <c r="J256" i="44"/>
  <c r="J251" i="44"/>
  <c r="J243" i="44"/>
  <c r="J235" i="44"/>
  <c r="J227" i="44"/>
  <c r="J248" i="44"/>
  <c r="J240" i="44"/>
  <c r="J232" i="44"/>
  <c r="J224" i="44"/>
  <c r="J260" i="44"/>
  <c r="J245" i="44"/>
  <c r="J237" i="44"/>
  <c r="J229" i="44"/>
  <c r="J221" i="44"/>
  <c r="J250" i="44"/>
  <c r="J242" i="44"/>
  <c r="J234" i="44"/>
  <c r="J226" i="44"/>
  <c r="J264" i="44"/>
  <c r="J253" i="44"/>
  <c r="J247" i="44"/>
  <c r="J239" i="44"/>
  <c r="J231" i="44"/>
  <c r="J223" i="44"/>
  <c r="J252" i="44"/>
  <c r="J244" i="44"/>
  <c r="J236" i="44"/>
  <c r="J228" i="44"/>
  <c r="J220" i="44"/>
  <c r="J249" i="44"/>
  <c r="J241" i="44"/>
  <c r="J233" i="44"/>
  <c r="J225" i="44"/>
  <c r="J246" i="44"/>
  <c r="J238" i="44"/>
  <c r="J230" i="44"/>
  <c r="J222" i="44"/>
  <c r="J209" i="44"/>
  <c r="J201" i="44"/>
  <c r="J193" i="44"/>
  <c r="J185" i="44"/>
  <c r="J177" i="44"/>
  <c r="J169" i="44"/>
  <c r="J206" i="44"/>
  <c r="J198" i="44"/>
  <c r="J190" i="44"/>
  <c r="J182" i="44"/>
  <c r="J174" i="44"/>
  <c r="J203" i="44"/>
  <c r="J195" i="44"/>
  <c r="J187" i="44"/>
  <c r="J179" i="44"/>
  <c r="J171" i="44"/>
  <c r="J208" i="44"/>
  <c r="J200" i="44"/>
  <c r="J192" i="44"/>
  <c r="J184" i="44"/>
  <c r="J176" i="44"/>
  <c r="J168" i="44"/>
  <c r="J205" i="44"/>
  <c r="J197" i="44"/>
  <c r="J189" i="44"/>
  <c r="J181" i="44"/>
  <c r="J173" i="44"/>
  <c r="J207" i="44"/>
  <c r="J199" i="44"/>
  <c r="J191" i="44"/>
  <c r="J183" i="44"/>
  <c r="J175" i="44"/>
  <c r="J167" i="44"/>
  <c r="J194" i="44"/>
  <c r="J178" i="44"/>
  <c r="J196" i="44"/>
  <c r="J180" i="44"/>
  <c r="J202" i="44"/>
  <c r="J186" i="44"/>
  <c r="J170" i="44"/>
  <c r="J204" i="44"/>
  <c r="J188" i="44"/>
  <c r="J172" i="44"/>
  <c r="S124" i="41"/>
  <c r="I37" i="43" s="1"/>
  <c r="G59" i="43" s="1"/>
  <c r="H175" i="59"/>
  <c r="I52" i="70"/>
  <c r="I52" i="72"/>
  <c r="H40" i="26" s="1"/>
  <c r="I8" i="72"/>
  <c r="H39" i="5" s="1"/>
  <c r="I66" i="59"/>
  <c r="I8" i="70"/>
  <c r="J267" i="47"/>
  <c r="K43" i="59" s="1"/>
  <c r="K283" i="59" s="1"/>
  <c r="J214" i="53"/>
  <c r="K25" i="59" s="1"/>
  <c r="J267" i="53"/>
  <c r="K54" i="59" s="1"/>
  <c r="I267" i="50"/>
  <c r="J53" i="59" s="1"/>
  <c r="J268" i="5"/>
  <c r="K37" i="59" s="1"/>
  <c r="J45" i="70"/>
  <c r="J45" i="72"/>
  <c r="I40" i="29" s="1"/>
  <c r="J267" i="29"/>
  <c r="K45" i="59" s="1"/>
  <c r="J267" i="26"/>
  <c r="K52" i="59" s="1"/>
  <c r="I45" i="70"/>
  <c r="I45" i="72"/>
  <c r="H40" i="29" s="1"/>
  <c r="J267" i="41"/>
  <c r="K55" i="59" s="1"/>
  <c r="K295" i="59" s="1"/>
  <c r="I55" i="70"/>
  <c r="I55" i="72"/>
  <c r="H40" i="41" s="1"/>
  <c r="I115" i="32"/>
  <c r="I49" i="32" s="1"/>
  <c r="I115" i="35"/>
  <c r="I49" i="35" s="1"/>
  <c r="I115" i="44"/>
  <c r="I49" i="44" s="1"/>
  <c r="K85" i="47"/>
  <c r="K83" i="47"/>
  <c r="K87" i="47"/>
  <c r="K86" i="47"/>
  <c r="K84" i="47"/>
  <c r="K79" i="47"/>
  <c r="K82" i="47"/>
  <c r="K80" i="47"/>
  <c r="K78" i="47"/>
  <c r="K81" i="47"/>
  <c r="K261" i="47"/>
  <c r="K253" i="47"/>
  <c r="K245" i="47"/>
  <c r="K237" i="47"/>
  <c r="K258" i="47"/>
  <c r="K250" i="47"/>
  <c r="K242" i="47"/>
  <c r="K260" i="47"/>
  <c r="K252" i="47"/>
  <c r="K244" i="47"/>
  <c r="K236" i="47"/>
  <c r="K265" i="47"/>
  <c r="K257" i="47"/>
  <c r="K249" i="47"/>
  <c r="K241" i="47"/>
  <c r="K262" i="47"/>
  <c r="K254" i="47"/>
  <c r="K246" i="47"/>
  <c r="K238" i="47"/>
  <c r="K256" i="47"/>
  <c r="K234" i="47"/>
  <c r="K226" i="47"/>
  <c r="K259" i="47"/>
  <c r="K239" i="47"/>
  <c r="K231" i="47"/>
  <c r="K223" i="47"/>
  <c r="K264" i="47"/>
  <c r="K228" i="47"/>
  <c r="K220" i="47"/>
  <c r="K247" i="47"/>
  <c r="K235" i="47"/>
  <c r="K233" i="47"/>
  <c r="K225" i="47"/>
  <c r="K240" i="47"/>
  <c r="K230" i="47"/>
  <c r="K222" i="47"/>
  <c r="K255" i="47"/>
  <c r="K243" i="47"/>
  <c r="K227" i="47"/>
  <c r="K248" i="47"/>
  <c r="K232" i="47"/>
  <c r="K224" i="47"/>
  <c r="K263" i="47"/>
  <c r="K251" i="47"/>
  <c r="K229" i="47"/>
  <c r="K221" i="47"/>
  <c r="K209" i="47"/>
  <c r="K201" i="47"/>
  <c r="K193" i="47"/>
  <c r="K185" i="47"/>
  <c r="K177" i="47"/>
  <c r="K169" i="47"/>
  <c r="K206" i="47"/>
  <c r="K198" i="47"/>
  <c r="K190" i="47"/>
  <c r="K182" i="47"/>
  <c r="K174" i="47"/>
  <c r="K203" i="47"/>
  <c r="K195" i="47"/>
  <c r="K187" i="47"/>
  <c r="K179" i="47"/>
  <c r="K171" i="47"/>
  <c r="K208" i="47"/>
  <c r="K200" i="47"/>
  <c r="K192" i="47"/>
  <c r="K184" i="47"/>
  <c r="K176" i="47"/>
  <c r="K168" i="47"/>
  <c r="K205" i="47"/>
  <c r="K197" i="47"/>
  <c r="K189" i="47"/>
  <c r="K181" i="47"/>
  <c r="K173" i="47"/>
  <c r="K202" i="47"/>
  <c r="K194" i="47"/>
  <c r="K186" i="47"/>
  <c r="K178" i="47"/>
  <c r="K170" i="47"/>
  <c r="K207" i="47"/>
  <c r="K199" i="47"/>
  <c r="K191" i="47"/>
  <c r="K183" i="47"/>
  <c r="K175" i="47"/>
  <c r="K167" i="47"/>
  <c r="K196" i="47"/>
  <c r="K188" i="47"/>
  <c r="K180" i="47"/>
  <c r="K204" i="47"/>
  <c r="K172" i="47"/>
  <c r="S124" i="23"/>
  <c r="I37" i="25" s="1"/>
  <c r="G59" i="25" s="1"/>
  <c r="H164" i="59"/>
  <c r="I15" i="72"/>
  <c r="H39" i="23" s="1"/>
  <c r="I73" i="59"/>
  <c r="I15" i="70"/>
  <c r="J267" i="38"/>
  <c r="K39" i="59" s="1"/>
  <c r="I214" i="26"/>
  <c r="J23" i="59" s="1"/>
  <c r="I53" i="72"/>
  <c r="H40" i="50" s="1"/>
  <c r="I53" i="70"/>
  <c r="I267" i="35"/>
  <c r="J48" i="59" s="1"/>
  <c r="J288" i="59" s="1"/>
  <c r="I81" i="59"/>
  <c r="I23" i="70"/>
  <c r="I23" i="72"/>
  <c r="H39" i="26" s="1"/>
  <c r="I34" i="70"/>
  <c r="I34" i="72"/>
  <c r="H40" i="44" s="1"/>
  <c r="K260" i="26"/>
  <c r="K265" i="26"/>
  <c r="K262" i="26"/>
  <c r="K259" i="26"/>
  <c r="K264" i="26"/>
  <c r="K261" i="26"/>
  <c r="K253" i="26"/>
  <c r="K245" i="26"/>
  <c r="K237" i="26"/>
  <c r="K229" i="26"/>
  <c r="K221" i="26"/>
  <c r="K258" i="26"/>
  <c r="K250" i="26"/>
  <c r="K242" i="26"/>
  <c r="K234" i="26"/>
  <c r="K226" i="26"/>
  <c r="K255" i="26"/>
  <c r="K247" i="26"/>
  <c r="K239" i="26"/>
  <c r="K231" i="26"/>
  <c r="K223" i="26"/>
  <c r="K252" i="26"/>
  <c r="K244" i="26"/>
  <c r="K236" i="26"/>
  <c r="K228" i="26"/>
  <c r="K220" i="26"/>
  <c r="K257" i="26"/>
  <c r="K249" i="26"/>
  <c r="K241" i="26"/>
  <c r="K233" i="26"/>
  <c r="K225" i="26"/>
  <c r="K254" i="26"/>
  <c r="K246" i="26"/>
  <c r="K238" i="26"/>
  <c r="K230" i="26"/>
  <c r="K222" i="26"/>
  <c r="K251" i="26"/>
  <c r="K243" i="26"/>
  <c r="K235" i="26"/>
  <c r="K227" i="26"/>
  <c r="K240" i="26"/>
  <c r="K263" i="26"/>
  <c r="K232" i="26"/>
  <c r="K256" i="26"/>
  <c r="K224" i="26"/>
  <c r="K248" i="26"/>
  <c r="K206" i="26"/>
  <c r="K198" i="26"/>
  <c r="K190" i="26"/>
  <c r="K182" i="26"/>
  <c r="K174" i="26"/>
  <c r="K203" i="26"/>
  <c r="K195" i="26"/>
  <c r="K187" i="26"/>
  <c r="K179" i="26"/>
  <c r="K171" i="26"/>
  <c r="K208" i="26"/>
  <c r="K200" i="26"/>
  <c r="K192" i="26"/>
  <c r="K184" i="26"/>
  <c r="K176" i="26"/>
  <c r="K168" i="26"/>
  <c r="K202" i="26"/>
  <c r="K194" i="26"/>
  <c r="K186" i="26"/>
  <c r="K178" i="26"/>
  <c r="K170" i="26"/>
  <c r="K207" i="26"/>
  <c r="K199" i="26"/>
  <c r="K191" i="26"/>
  <c r="K183" i="26"/>
  <c r="K175" i="26"/>
  <c r="K167" i="26"/>
  <c r="K204" i="26"/>
  <c r="K196" i="26"/>
  <c r="K188" i="26"/>
  <c r="K180" i="26"/>
  <c r="K172" i="26"/>
  <c r="K205" i="26"/>
  <c r="K189" i="26"/>
  <c r="K173" i="26"/>
  <c r="K209" i="26"/>
  <c r="K193" i="26"/>
  <c r="K177" i="26"/>
  <c r="K201" i="26"/>
  <c r="K185" i="26"/>
  <c r="K169" i="26"/>
  <c r="K197" i="26"/>
  <c r="K181" i="26"/>
  <c r="K263" i="29"/>
  <c r="K255" i="29"/>
  <c r="K247" i="29"/>
  <c r="K239" i="29"/>
  <c r="K231" i="29"/>
  <c r="K223" i="29"/>
  <c r="K260" i="29"/>
  <c r="K252" i="29"/>
  <c r="K244" i="29"/>
  <c r="K236" i="29"/>
  <c r="K228" i="29"/>
  <c r="K220" i="29"/>
  <c r="K265" i="29"/>
  <c r="K257" i="29"/>
  <c r="K249" i="29"/>
  <c r="K241" i="29"/>
  <c r="K233" i="29"/>
  <c r="K225" i="29"/>
  <c r="K262" i="29"/>
  <c r="K254" i="29"/>
  <c r="K246" i="29"/>
  <c r="K238" i="29"/>
  <c r="K230" i="29"/>
  <c r="K222" i="29"/>
  <c r="K259" i="29"/>
  <c r="K251" i="29"/>
  <c r="K243" i="29"/>
  <c r="K235" i="29"/>
  <c r="K227" i="29"/>
  <c r="K258" i="29"/>
  <c r="K256" i="29"/>
  <c r="K226" i="29"/>
  <c r="K224" i="29"/>
  <c r="K261" i="29"/>
  <c r="K229" i="29"/>
  <c r="K264" i="29"/>
  <c r="K234" i="29"/>
  <c r="K232" i="29"/>
  <c r="K237" i="29"/>
  <c r="K242" i="29"/>
  <c r="K240" i="29"/>
  <c r="K245" i="29"/>
  <c r="K250" i="29"/>
  <c r="K248" i="29"/>
  <c r="K253" i="29"/>
  <c r="K221" i="29"/>
  <c r="K206" i="29"/>
  <c r="K198" i="29"/>
  <c r="K190" i="29"/>
  <c r="K182" i="29"/>
  <c r="K174" i="29"/>
  <c r="K208" i="29"/>
  <c r="K200" i="29"/>
  <c r="K192" i="29"/>
  <c r="K184" i="29"/>
  <c r="K176" i="29"/>
  <c r="K168" i="29"/>
  <c r="K205" i="29"/>
  <c r="K197" i="29"/>
  <c r="K189" i="29"/>
  <c r="K202" i="29"/>
  <c r="K194" i="29"/>
  <c r="K186" i="29"/>
  <c r="K178" i="29"/>
  <c r="K170" i="29"/>
  <c r="K207" i="29"/>
  <c r="K199" i="29"/>
  <c r="K191" i="29"/>
  <c r="K183" i="29"/>
  <c r="K175" i="29"/>
  <c r="K167" i="29"/>
  <c r="K209" i="29"/>
  <c r="K187" i="29"/>
  <c r="K179" i="29"/>
  <c r="K171" i="29"/>
  <c r="K195" i="29"/>
  <c r="K188" i="29"/>
  <c r="K180" i="29"/>
  <c r="K172" i="29"/>
  <c r="K203" i="29"/>
  <c r="K196" i="29"/>
  <c r="K193" i="29"/>
  <c r="K204" i="29"/>
  <c r="K201" i="29"/>
  <c r="K185" i="29"/>
  <c r="K177" i="29"/>
  <c r="K169" i="29"/>
  <c r="K181" i="29"/>
  <c r="K173" i="29"/>
  <c r="J115" i="47"/>
  <c r="J49" i="47" s="1"/>
  <c r="J83" i="59"/>
  <c r="J146" i="72" s="1"/>
  <c r="J25" i="70"/>
  <c r="J25" i="72"/>
  <c r="I26" i="70"/>
  <c r="I26" i="72"/>
  <c r="H39" i="41" s="1"/>
  <c r="I84" i="59"/>
  <c r="I44" i="72"/>
  <c r="H40" i="23" s="1"/>
  <c r="I44" i="70"/>
  <c r="I214" i="32"/>
  <c r="J11" i="59" s="1"/>
  <c r="I10" i="70"/>
  <c r="I10" i="72"/>
  <c r="H39" i="38" s="1"/>
  <c r="I68" i="59"/>
  <c r="I131" i="72" s="1"/>
  <c r="J214" i="41"/>
  <c r="K26" i="59" s="1"/>
  <c r="I267" i="44"/>
  <c r="J34" i="59" s="1"/>
  <c r="J54" i="70"/>
  <c r="J54" i="72"/>
  <c r="J116" i="5"/>
  <c r="J49" i="5" s="1"/>
  <c r="J115" i="26"/>
  <c r="J49" i="26" s="1"/>
  <c r="K261" i="50"/>
  <c r="K253" i="50"/>
  <c r="K258" i="50"/>
  <c r="K250" i="50"/>
  <c r="K263" i="50"/>
  <c r="K255" i="50"/>
  <c r="K247" i="50"/>
  <c r="K260" i="50"/>
  <c r="K252" i="50"/>
  <c r="K265" i="50"/>
  <c r="K257" i="50"/>
  <c r="K249" i="50"/>
  <c r="K262" i="50"/>
  <c r="K254" i="50"/>
  <c r="K246" i="50"/>
  <c r="K259" i="50"/>
  <c r="K251" i="50"/>
  <c r="K248" i="50"/>
  <c r="K239" i="50"/>
  <c r="K231" i="50"/>
  <c r="K223" i="50"/>
  <c r="K244" i="50"/>
  <c r="K236" i="50"/>
  <c r="K228" i="50"/>
  <c r="K220" i="50"/>
  <c r="K241" i="50"/>
  <c r="K233" i="50"/>
  <c r="K225" i="50"/>
  <c r="K238" i="50"/>
  <c r="K230" i="50"/>
  <c r="K222" i="50"/>
  <c r="K264" i="50"/>
  <c r="K243" i="50"/>
  <c r="K235" i="50"/>
  <c r="K227" i="50"/>
  <c r="K240" i="50"/>
  <c r="K232" i="50"/>
  <c r="K224" i="50"/>
  <c r="K256" i="50"/>
  <c r="K245" i="50"/>
  <c r="K237" i="50"/>
  <c r="K234" i="50"/>
  <c r="K226" i="50"/>
  <c r="K221" i="50"/>
  <c r="K242" i="50"/>
  <c r="K229" i="50"/>
  <c r="K205" i="50"/>
  <c r="K197" i="50"/>
  <c r="K189" i="50"/>
  <c r="K181" i="50"/>
  <c r="K202" i="50"/>
  <c r="K194" i="50"/>
  <c r="K186" i="50"/>
  <c r="K178" i="50"/>
  <c r="K207" i="50"/>
  <c r="K199" i="50"/>
  <c r="K191" i="50"/>
  <c r="K183" i="50"/>
  <c r="K175" i="50"/>
  <c r="K209" i="50"/>
  <c r="K201" i="50"/>
  <c r="K193" i="50"/>
  <c r="K185" i="50"/>
  <c r="K177" i="50"/>
  <c r="K206" i="50"/>
  <c r="K198" i="50"/>
  <c r="K190" i="50"/>
  <c r="K182" i="50"/>
  <c r="K203" i="50"/>
  <c r="K195" i="50"/>
  <c r="K187" i="50"/>
  <c r="K179" i="50"/>
  <c r="K200" i="50"/>
  <c r="K184" i="50"/>
  <c r="K171" i="50"/>
  <c r="K168" i="50"/>
  <c r="K204" i="50"/>
  <c r="K188" i="50"/>
  <c r="K173" i="50"/>
  <c r="K170" i="50"/>
  <c r="K192" i="50"/>
  <c r="K176" i="50"/>
  <c r="K167" i="50"/>
  <c r="K208" i="50"/>
  <c r="K172" i="50"/>
  <c r="K196" i="50"/>
  <c r="K180" i="50"/>
  <c r="K169" i="50"/>
  <c r="K174" i="50"/>
  <c r="S124" i="44"/>
  <c r="I37" i="46" s="1"/>
  <c r="G59" i="46" s="1"/>
  <c r="H154" i="59"/>
  <c r="I267" i="23"/>
  <c r="J44" i="59" s="1"/>
  <c r="I214" i="35"/>
  <c r="J19" i="59" s="1"/>
  <c r="J317" i="59" s="1"/>
  <c r="I214" i="50"/>
  <c r="J24" i="59" s="1"/>
  <c r="I14" i="72"/>
  <c r="H39" i="47" s="1"/>
  <c r="I14" i="70"/>
  <c r="I72" i="59"/>
  <c r="I214" i="41"/>
  <c r="J26" i="59" s="1"/>
  <c r="I267" i="41"/>
  <c r="J55" i="59" s="1"/>
  <c r="J295" i="59" s="1"/>
  <c r="I214" i="44"/>
  <c r="J5" i="59" s="1"/>
  <c r="J115" i="50"/>
  <c r="J49" i="50" s="1"/>
  <c r="I16" i="70"/>
  <c r="I16" i="72"/>
  <c r="H39" i="29" s="1"/>
  <c r="I74" i="59"/>
  <c r="I268" i="5"/>
  <c r="J37" i="59" s="1"/>
  <c r="I267" i="38"/>
  <c r="J39" i="59" s="1"/>
  <c r="J214" i="47"/>
  <c r="K14" i="59" s="1"/>
  <c r="J264" i="50"/>
  <c r="J256" i="50"/>
  <c r="J248" i="50"/>
  <c r="J261" i="50"/>
  <c r="J253" i="50"/>
  <c r="J258" i="50"/>
  <c r="J250" i="50"/>
  <c r="J263" i="50"/>
  <c r="J255" i="50"/>
  <c r="J247" i="50"/>
  <c r="J260" i="50"/>
  <c r="J252" i="50"/>
  <c r="J265" i="50"/>
  <c r="J257" i="50"/>
  <c r="J249" i="50"/>
  <c r="J262" i="50"/>
  <c r="J254" i="50"/>
  <c r="J246" i="50"/>
  <c r="J242" i="50"/>
  <c r="J234" i="50"/>
  <c r="J226" i="50"/>
  <c r="J251" i="50"/>
  <c r="J239" i="50"/>
  <c r="J231" i="50"/>
  <c r="J223" i="50"/>
  <c r="J244" i="50"/>
  <c r="J236" i="50"/>
  <c r="J228" i="50"/>
  <c r="J241" i="50"/>
  <c r="J233" i="50"/>
  <c r="J225" i="50"/>
  <c r="J238" i="50"/>
  <c r="J230" i="50"/>
  <c r="J222" i="50"/>
  <c r="J243" i="50"/>
  <c r="J235" i="50"/>
  <c r="J227" i="50"/>
  <c r="J240" i="50"/>
  <c r="J229" i="50"/>
  <c r="J220" i="50"/>
  <c r="J237" i="50"/>
  <c r="J224" i="50"/>
  <c r="J221" i="50"/>
  <c r="J232" i="50"/>
  <c r="J259" i="50"/>
  <c r="J245" i="50"/>
  <c r="J208" i="50"/>
  <c r="J200" i="50"/>
  <c r="J192" i="50"/>
  <c r="J184" i="50"/>
  <c r="J176" i="50"/>
  <c r="J205" i="50"/>
  <c r="J197" i="50"/>
  <c r="J189" i="50"/>
  <c r="J181" i="50"/>
  <c r="J202" i="50"/>
  <c r="J194" i="50"/>
  <c r="J186" i="50"/>
  <c r="J178" i="50"/>
  <c r="J207" i="50"/>
  <c r="J204" i="50"/>
  <c r="J196" i="50"/>
  <c r="J188" i="50"/>
  <c r="J180" i="50"/>
  <c r="J209" i="50"/>
  <c r="J201" i="50"/>
  <c r="J193" i="50"/>
  <c r="J185" i="50"/>
  <c r="J177" i="50"/>
  <c r="J206" i="50"/>
  <c r="J198" i="50"/>
  <c r="J190" i="50"/>
  <c r="J182" i="50"/>
  <c r="J174" i="50"/>
  <c r="J195" i="50"/>
  <c r="J179" i="50"/>
  <c r="J171" i="50"/>
  <c r="J168" i="50"/>
  <c r="J199" i="50"/>
  <c r="J183" i="50"/>
  <c r="J173" i="50"/>
  <c r="J170" i="50"/>
  <c r="J203" i="50"/>
  <c r="J187" i="50"/>
  <c r="J167" i="50"/>
  <c r="J172" i="50"/>
  <c r="J191" i="50"/>
  <c r="J169" i="50"/>
  <c r="J175" i="50"/>
  <c r="I40" i="70"/>
  <c r="I40" i="72"/>
  <c r="H40" i="32" s="1"/>
  <c r="J115" i="1"/>
  <c r="J49" i="1" s="1"/>
  <c r="J214" i="1"/>
  <c r="K4" i="59" s="1"/>
  <c r="J33" i="70"/>
  <c r="J33" i="72"/>
  <c r="K87" i="1"/>
  <c r="K83" i="1"/>
  <c r="K86" i="1"/>
  <c r="K88" i="1"/>
  <c r="K84" i="1"/>
  <c r="K82" i="1"/>
  <c r="K85" i="1"/>
  <c r="K224" i="1"/>
  <c r="K232" i="1"/>
  <c r="K240" i="1"/>
  <c r="K248" i="1"/>
  <c r="K256" i="1"/>
  <c r="K264" i="1"/>
  <c r="K195" i="1"/>
  <c r="K203" i="1"/>
  <c r="K169" i="1"/>
  <c r="K177" i="1"/>
  <c r="K227" i="1"/>
  <c r="K235" i="1"/>
  <c r="K243" i="1"/>
  <c r="K251" i="1"/>
  <c r="K259" i="1"/>
  <c r="K198" i="1"/>
  <c r="K206" i="1"/>
  <c r="K168" i="1"/>
  <c r="K176" i="1"/>
  <c r="K222" i="1"/>
  <c r="K230" i="1"/>
  <c r="K238" i="1"/>
  <c r="K246" i="1"/>
  <c r="K254" i="1"/>
  <c r="K262" i="1"/>
  <c r="K201" i="1"/>
  <c r="K209" i="1"/>
  <c r="K167" i="1"/>
  <c r="K175" i="1"/>
  <c r="K183" i="1"/>
  <c r="K225" i="1"/>
  <c r="K233" i="1"/>
  <c r="K241" i="1"/>
  <c r="K249" i="1"/>
  <c r="K257" i="1"/>
  <c r="K265" i="1"/>
  <c r="K196" i="1"/>
  <c r="K204" i="1"/>
  <c r="K174" i="1"/>
  <c r="K182" i="1"/>
  <c r="K228" i="1"/>
  <c r="K236" i="1"/>
  <c r="K244" i="1"/>
  <c r="K252" i="1"/>
  <c r="K260" i="1"/>
  <c r="K220" i="1"/>
  <c r="K199" i="1"/>
  <c r="K207" i="1"/>
  <c r="K173" i="1"/>
  <c r="K181" i="1"/>
  <c r="K223" i="1"/>
  <c r="K231" i="1"/>
  <c r="K239" i="1"/>
  <c r="K247" i="1"/>
  <c r="K255" i="1"/>
  <c r="K263" i="1"/>
  <c r="K194" i="1"/>
  <c r="K202" i="1"/>
  <c r="K172" i="1"/>
  <c r="K180" i="1"/>
  <c r="K226" i="1"/>
  <c r="K234" i="1"/>
  <c r="K242" i="1"/>
  <c r="K250" i="1"/>
  <c r="K258" i="1"/>
  <c r="K197" i="1"/>
  <c r="K205" i="1"/>
  <c r="K171" i="1"/>
  <c r="K179" i="1"/>
  <c r="K245" i="1"/>
  <c r="K189" i="1"/>
  <c r="K237" i="1"/>
  <c r="K190" i="1"/>
  <c r="K253" i="1"/>
  <c r="K188" i="1"/>
  <c r="K261" i="1"/>
  <c r="K178" i="1"/>
  <c r="K187" i="1"/>
  <c r="K200" i="1"/>
  <c r="K170" i="1"/>
  <c r="K186" i="1"/>
  <c r="K208" i="1"/>
  <c r="K185" i="1"/>
  <c r="K193" i="1"/>
  <c r="K221" i="1"/>
  <c r="K184" i="1"/>
  <c r="K192" i="1"/>
  <c r="K229" i="1"/>
  <c r="K191" i="1"/>
  <c r="K70" i="1"/>
  <c r="K73" i="1"/>
  <c r="K78" i="1"/>
  <c r="K76" i="1"/>
  <c r="K81" i="1"/>
  <c r="K79" i="1"/>
  <c r="K72" i="1"/>
  <c r="K80" i="1"/>
  <c r="K74" i="1"/>
  <c r="K75" i="1"/>
  <c r="K71" i="1"/>
  <c r="K77" i="1"/>
  <c r="J4" i="72"/>
  <c r="J4" i="70"/>
  <c r="J62" i="59"/>
  <c r="J267" i="1"/>
  <c r="K33" i="59" s="1"/>
  <c r="H106" i="72"/>
  <c r="G106" i="70"/>
  <c r="S106" i="70" s="1"/>
  <c r="H97" i="72"/>
  <c r="G97" i="70"/>
  <c r="S97" i="70" s="1"/>
  <c r="J115" i="53"/>
  <c r="J49" i="53" s="1"/>
  <c r="I115" i="8"/>
  <c r="I49" i="8" s="1"/>
  <c r="I214" i="8"/>
  <c r="J6" i="59" s="1"/>
  <c r="J78" i="8"/>
  <c r="J81" i="8"/>
  <c r="J80" i="8"/>
  <c r="J79" i="8"/>
  <c r="J260" i="8"/>
  <c r="J252" i="8"/>
  <c r="J244" i="8"/>
  <c r="J236" i="8"/>
  <c r="J228" i="8"/>
  <c r="J220" i="8"/>
  <c r="J202" i="8"/>
  <c r="J194" i="8"/>
  <c r="J265" i="8"/>
  <c r="J257" i="8"/>
  <c r="J249" i="8"/>
  <c r="J241" i="8"/>
  <c r="J233" i="8"/>
  <c r="J225" i="8"/>
  <c r="J207" i="8"/>
  <c r="J199" i="8"/>
  <c r="J191" i="8"/>
  <c r="J262" i="8"/>
  <c r="J254" i="8"/>
  <c r="J246" i="8"/>
  <c r="J238" i="8"/>
  <c r="J230" i="8"/>
  <c r="J222" i="8"/>
  <c r="J204" i="8"/>
  <c r="J196" i="8"/>
  <c r="J259" i="8"/>
  <c r="J251" i="8"/>
  <c r="J243" i="8"/>
  <c r="J235" i="8"/>
  <c r="J227" i="8"/>
  <c r="J209" i="8"/>
  <c r="J201" i="8"/>
  <c r="J193" i="8"/>
  <c r="J264" i="8"/>
  <c r="J256" i="8"/>
  <c r="J248" i="8"/>
  <c r="J240" i="8"/>
  <c r="J232" i="8"/>
  <c r="J224" i="8"/>
  <c r="J206" i="8"/>
  <c r="J198" i="8"/>
  <c r="J190" i="8"/>
  <c r="J261" i="8"/>
  <c r="J253" i="8"/>
  <c r="J245" i="8"/>
  <c r="J237" i="8"/>
  <c r="J229" i="8"/>
  <c r="J221" i="8"/>
  <c r="J203" i="8"/>
  <c r="J195" i="8"/>
  <c r="J258" i="8"/>
  <c r="J250" i="8"/>
  <c r="J242" i="8"/>
  <c r="J234" i="8"/>
  <c r="J226" i="8"/>
  <c r="J208" i="8"/>
  <c r="J200" i="8"/>
  <c r="J192" i="8"/>
  <c r="J263" i="8"/>
  <c r="J255" i="8"/>
  <c r="J247" i="8"/>
  <c r="J239" i="8"/>
  <c r="J231" i="8"/>
  <c r="J223" i="8"/>
  <c r="J205" i="8"/>
  <c r="J197" i="8"/>
  <c r="J187" i="8"/>
  <c r="J179" i="8"/>
  <c r="J171" i="8"/>
  <c r="J184" i="8"/>
  <c r="J176" i="8"/>
  <c r="J168" i="8"/>
  <c r="J189" i="8"/>
  <c r="J181" i="8"/>
  <c r="J173" i="8"/>
  <c r="J186" i="8"/>
  <c r="J178" i="8"/>
  <c r="J170" i="8"/>
  <c r="J183" i="8"/>
  <c r="J175" i="8"/>
  <c r="J167" i="8"/>
  <c r="J188" i="8"/>
  <c r="J180" i="8"/>
  <c r="J172" i="8"/>
  <c r="J185" i="8"/>
  <c r="J177" i="8"/>
  <c r="J169" i="8"/>
  <c r="J182" i="8"/>
  <c r="J174" i="8"/>
  <c r="J77" i="8"/>
  <c r="J69" i="8"/>
  <c r="J74" i="8"/>
  <c r="J71" i="8"/>
  <c r="J76" i="8"/>
  <c r="J73" i="8"/>
  <c r="J70" i="8"/>
  <c r="J75" i="8"/>
  <c r="J72" i="8"/>
  <c r="I6" i="70"/>
  <c r="I64" i="59"/>
  <c r="I35" i="70"/>
  <c r="S123" i="53"/>
  <c r="H37" i="55" s="1"/>
  <c r="F59" i="55" s="1"/>
  <c r="AJ177" i="20"/>
  <c r="AH176" i="20"/>
  <c r="AI177" i="20"/>
  <c r="AG176" i="20"/>
  <c r="AH174" i="20"/>
  <c r="AI176" i="20"/>
  <c r="AF176" i="20"/>
  <c r="AG174" i="20"/>
  <c r="AJ178" i="20"/>
  <c r="AF174" i="20"/>
  <c r="AI178" i="20"/>
  <c r="AI175" i="20"/>
  <c r="AH173" i="20"/>
  <c r="AF175" i="20"/>
  <c r="AH175" i="20"/>
  <c r="AG173" i="20"/>
  <c r="AC168" i="20"/>
  <c r="AJ176" i="20"/>
  <c r="AG175" i="20"/>
  <c r="AF173" i="20"/>
  <c r="AB168" i="20"/>
  <c r="K77" i="53"/>
  <c r="K75" i="53"/>
  <c r="K73" i="53"/>
  <c r="K71" i="53"/>
  <c r="K69" i="53"/>
  <c r="K76" i="53"/>
  <c r="K74" i="53"/>
  <c r="K72" i="53"/>
  <c r="K70" i="53"/>
  <c r="C25" i="51"/>
  <c r="C21" i="51"/>
  <c r="K77" i="50"/>
  <c r="K75" i="50"/>
  <c r="K73" i="50"/>
  <c r="K71" i="50"/>
  <c r="K69" i="50"/>
  <c r="K76" i="50"/>
  <c r="K74" i="50"/>
  <c r="K72" i="50"/>
  <c r="K70" i="50"/>
  <c r="C25" i="49"/>
  <c r="C31" i="49" s="1"/>
  <c r="C19" i="48"/>
  <c r="K76" i="47"/>
  <c r="K74" i="47"/>
  <c r="K72" i="47"/>
  <c r="K70" i="47"/>
  <c r="K77" i="47"/>
  <c r="K69" i="47"/>
  <c r="K71" i="47"/>
  <c r="K73" i="47"/>
  <c r="K75" i="47"/>
  <c r="S123" i="44"/>
  <c r="H37" i="46" s="1"/>
  <c r="F59" i="46" s="1"/>
  <c r="J77" i="44"/>
  <c r="J75" i="44"/>
  <c r="J73" i="44"/>
  <c r="J76" i="44"/>
  <c r="J70" i="44"/>
  <c r="J74" i="44"/>
  <c r="J71" i="44"/>
  <c r="J69" i="44"/>
  <c r="J72" i="44"/>
  <c r="K76" i="41"/>
  <c r="K74" i="41"/>
  <c r="K72" i="41"/>
  <c r="K70" i="41"/>
  <c r="K77" i="41"/>
  <c r="K75" i="41"/>
  <c r="K73" i="41"/>
  <c r="K71" i="41"/>
  <c r="K69" i="41"/>
  <c r="K76" i="38"/>
  <c r="K74" i="38"/>
  <c r="K72" i="38"/>
  <c r="K70" i="38"/>
  <c r="K77" i="38"/>
  <c r="K75" i="38"/>
  <c r="K73" i="38"/>
  <c r="K71" i="38"/>
  <c r="K69" i="38"/>
  <c r="C25" i="40"/>
  <c r="C31" i="40" s="1"/>
  <c r="C19" i="39"/>
  <c r="J76" i="35"/>
  <c r="J74" i="35"/>
  <c r="J72" i="35"/>
  <c r="J70" i="35"/>
  <c r="J77" i="35"/>
  <c r="J75" i="35"/>
  <c r="J73" i="35"/>
  <c r="J71" i="35"/>
  <c r="J69" i="35"/>
  <c r="C25" i="33"/>
  <c r="J74" i="32"/>
  <c r="J72" i="32"/>
  <c r="J70" i="32"/>
  <c r="J77" i="32"/>
  <c r="J75" i="32"/>
  <c r="J73" i="32"/>
  <c r="J71" i="32"/>
  <c r="J69" i="32"/>
  <c r="J76" i="32"/>
  <c r="K74" i="29"/>
  <c r="K70" i="29"/>
  <c r="K77" i="29"/>
  <c r="K73" i="29"/>
  <c r="K71" i="29"/>
  <c r="K69" i="29"/>
  <c r="K76" i="29"/>
  <c r="K72" i="29"/>
  <c r="K75" i="29"/>
  <c r="C25" i="31"/>
  <c r="C31" i="31" s="1"/>
  <c r="C19" i="30"/>
  <c r="K77" i="26"/>
  <c r="K75" i="26"/>
  <c r="K73" i="26"/>
  <c r="K71" i="26"/>
  <c r="K69" i="26"/>
  <c r="K76" i="26"/>
  <c r="K74" i="26"/>
  <c r="K72" i="26"/>
  <c r="K70" i="26"/>
  <c r="S123" i="26"/>
  <c r="H37" i="28" s="1"/>
  <c r="F59" i="28" s="1"/>
  <c r="J77" i="23"/>
  <c r="J75" i="23"/>
  <c r="J73" i="23"/>
  <c r="J71" i="23"/>
  <c r="J69" i="23"/>
  <c r="J76" i="23"/>
  <c r="J74" i="23"/>
  <c r="J72" i="23"/>
  <c r="J70" i="23"/>
  <c r="C25" i="25"/>
  <c r="C31" i="25" s="1"/>
  <c r="C19" i="24"/>
  <c r="C25" i="21"/>
  <c r="C21" i="21"/>
  <c r="AN19" i="21"/>
  <c r="D19" i="21"/>
  <c r="F27" i="22"/>
  <c r="F31" i="22" s="1"/>
  <c r="F32" i="22" s="1"/>
  <c r="AB19" i="21"/>
  <c r="J27" i="22"/>
  <c r="J31" i="22" s="1"/>
  <c r="J32" i="22" s="1"/>
  <c r="J73" i="20"/>
  <c r="J71" i="20"/>
  <c r="J69" i="20"/>
  <c r="J76" i="20"/>
  <c r="J74" i="20"/>
  <c r="J72" i="20"/>
  <c r="J70" i="20"/>
  <c r="J77" i="20"/>
  <c r="J75" i="20"/>
  <c r="Z207" i="20"/>
  <c r="Y207" i="20" s="1"/>
  <c r="Z199" i="20"/>
  <c r="Y199" i="20" s="1"/>
  <c r="Z191" i="20"/>
  <c r="Y191" i="20" s="1"/>
  <c r="Z183" i="20"/>
  <c r="Y183" i="20" s="1"/>
  <c r="AJ175" i="20"/>
  <c r="AJ174" i="20"/>
  <c r="AJ173" i="20"/>
  <c r="AJ172" i="20"/>
  <c r="AJ171" i="20"/>
  <c r="AB171" i="20"/>
  <c r="AJ170" i="20"/>
  <c r="AB170" i="20"/>
  <c r="AJ169" i="20"/>
  <c r="AB169" i="20"/>
  <c r="AH168" i="20"/>
  <c r="Z168" i="20"/>
  <c r="Y168" i="20" s="1"/>
  <c r="Z206" i="20"/>
  <c r="Y206" i="20" s="1"/>
  <c r="Z198" i="20"/>
  <c r="Y198" i="20" s="1"/>
  <c r="Z190" i="20"/>
  <c r="Y190" i="20" s="1"/>
  <c r="Z182" i="20"/>
  <c r="Y182" i="20" s="1"/>
  <c r="AI174" i="20"/>
  <c r="AI173" i="20"/>
  <c r="AI172" i="20"/>
  <c r="AI171" i="20"/>
  <c r="AI170" i="20"/>
  <c r="AI169" i="20"/>
  <c r="Z205" i="20"/>
  <c r="Y205" i="20" s="1"/>
  <c r="Z197" i="20"/>
  <c r="Y197" i="20" s="1"/>
  <c r="Z189" i="20"/>
  <c r="Y189" i="20" s="1"/>
  <c r="Z181" i="20"/>
  <c r="Y181" i="20" s="1"/>
  <c r="Z177" i="20"/>
  <c r="Y177" i="20" s="1"/>
  <c r="Z176" i="20"/>
  <c r="Y176" i="20" s="1"/>
  <c r="Z175" i="20"/>
  <c r="Y175" i="20" s="1"/>
  <c r="Z174" i="20"/>
  <c r="Y174" i="20" s="1"/>
  <c r="Z173" i="20"/>
  <c r="Y173" i="20" s="1"/>
  <c r="AH172" i="20"/>
  <c r="Z172" i="20"/>
  <c r="Y172" i="20" s="1"/>
  <c r="AH171" i="20"/>
  <c r="Y171" i="20"/>
  <c r="AH170" i="20"/>
  <c r="Z170" i="20"/>
  <c r="Y170" i="20" s="1"/>
  <c r="AH169" i="20"/>
  <c r="AF168" i="20"/>
  <c r="Z204" i="20"/>
  <c r="Y204" i="20" s="1"/>
  <c r="Z196" i="20"/>
  <c r="Y196" i="20" s="1"/>
  <c r="Z188" i="20"/>
  <c r="Y188" i="20" s="1"/>
  <c r="Z180" i="20"/>
  <c r="Y180" i="20" s="1"/>
  <c r="AG172" i="20"/>
  <c r="AG171" i="20"/>
  <c r="AG170" i="20"/>
  <c r="AG169" i="20"/>
  <c r="AE168" i="20"/>
  <c r="Z211" i="20"/>
  <c r="Y211" i="20" s="1"/>
  <c r="Z203" i="20"/>
  <c r="Y203" i="20" s="1"/>
  <c r="Z195" i="20"/>
  <c r="Y195" i="20" s="1"/>
  <c r="Z187" i="20"/>
  <c r="Y187" i="20" s="1"/>
  <c r="Z179" i="20"/>
  <c r="Y179" i="20" s="1"/>
  <c r="AF172" i="20"/>
  <c r="Z213" i="20"/>
  <c r="Y213" i="20" s="1"/>
  <c r="Z209" i="20"/>
  <c r="Y209" i="20" s="1"/>
  <c r="Z201" i="20"/>
  <c r="Y201" i="20" s="1"/>
  <c r="Z193" i="20"/>
  <c r="Y193" i="20" s="1"/>
  <c r="Z185" i="20"/>
  <c r="Y185" i="20" s="1"/>
  <c r="AD172" i="20"/>
  <c r="AD171" i="20"/>
  <c r="AD170" i="20"/>
  <c r="AD169" i="20"/>
  <c r="AJ168" i="20"/>
  <c r="AC169" i="20"/>
  <c r="AD168" i="20"/>
  <c r="Z212" i="20"/>
  <c r="Y212" i="20" s="1"/>
  <c r="AE171" i="20"/>
  <c r="AC170" i="20"/>
  <c r="AC171" i="20"/>
  <c r="Z208" i="20"/>
  <c r="Y208" i="20" s="1"/>
  <c r="Z200" i="20"/>
  <c r="Y200" i="20" s="1"/>
  <c r="Z192" i="20"/>
  <c r="Y192" i="20" s="1"/>
  <c r="Z184" i="20"/>
  <c r="Y184" i="20" s="1"/>
  <c r="AF170" i="20"/>
  <c r="AI168" i="20"/>
  <c r="AE170" i="20"/>
  <c r="AG168" i="20"/>
  <c r="Z210" i="20"/>
  <c r="Y210" i="20" s="1"/>
  <c r="Z202" i="20"/>
  <c r="Y202" i="20" s="1"/>
  <c r="Z194" i="20"/>
  <c r="Y194" i="20" s="1"/>
  <c r="Z186" i="20"/>
  <c r="Y186" i="20" s="1"/>
  <c r="Z178" i="20"/>
  <c r="Y178" i="20" s="1"/>
  <c r="AE172" i="20"/>
  <c r="AF169" i="20"/>
  <c r="AE169" i="20"/>
  <c r="AJ19" i="21"/>
  <c r="S123" i="20"/>
  <c r="H37" i="22" s="1"/>
  <c r="F59" i="22" s="1"/>
  <c r="K69" i="5"/>
  <c r="K75" i="5"/>
  <c r="K71" i="5"/>
  <c r="K73" i="5"/>
  <c r="K74" i="5"/>
  <c r="K70" i="5"/>
  <c r="K77" i="5"/>
  <c r="K76" i="5"/>
  <c r="K72" i="5"/>
  <c r="BP158" i="11"/>
  <c r="BV163" i="11" s="1"/>
  <c r="BN158" i="11" s="1"/>
  <c r="BY162" i="11"/>
  <c r="G77" i="11"/>
  <c r="H76" i="11"/>
  <c r="G76" i="11"/>
  <c r="G75" i="11"/>
  <c r="G74" i="11"/>
  <c r="G73" i="11"/>
  <c r="G72" i="11"/>
  <c r="G71" i="11"/>
  <c r="G70" i="11"/>
  <c r="G69" i="11"/>
  <c r="H71" i="11"/>
  <c r="G78" i="14"/>
  <c r="G77" i="14"/>
  <c r="G76" i="14"/>
  <c r="G75" i="14"/>
  <c r="G74" i="14"/>
  <c r="G73" i="14"/>
  <c r="G72" i="14"/>
  <c r="G71" i="14"/>
  <c r="G70" i="14"/>
  <c r="G69" i="14"/>
  <c r="H78" i="14"/>
  <c r="G91" i="17"/>
  <c r="H91" i="17"/>
  <c r="G90" i="17"/>
  <c r="G89" i="17"/>
  <c r="H89" i="17"/>
  <c r="G88" i="17"/>
  <c r="G87" i="17"/>
  <c r="G86" i="17"/>
  <c r="G71" i="17"/>
  <c r="G72" i="17"/>
  <c r="G73" i="17"/>
  <c r="G74" i="17"/>
  <c r="G75" i="17"/>
  <c r="G76" i="17"/>
  <c r="G77" i="17"/>
  <c r="G78" i="17"/>
  <c r="G79" i="17"/>
  <c r="G80" i="17"/>
  <c r="G81" i="17"/>
  <c r="G82" i="17"/>
  <c r="G83" i="17"/>
  <c r="G84" i="17"/>
  <c r="G85" i="17"/>
  <c r="G70" i="17"/>
  <c r="G69" i="17"/>
  <c r="I62" i="19"/>
  <c r="H62" i="19"/>
  <c r="M36" i="19"/>
  <c r="L36" i="19"/>
  <c r="K36" i="19"/>
  <c r="I58" i="19" s="1"/>
  <c r="J36" i="19"/>
  <c r="H58" i="19" s="1"/>
  <c r="I36" i="19"/>
  <c r="G58" i="19" s="1"/>
  <c r="M29" i="19"/>
  <c r="L29" i="19"/>
  <c r="K29" i="19"/>
  <c r="J29" i="19"/>
  <c r="I29" i="19"/>
  <c r="H29" i="19"/>
  <c r="G29" i="19"/>
  <c r="F29" i="19"/>
  <c r="E29" i="19"/>
  <c r="D29" i="19"/>
  <c r="M28" i="19"/>
  <c r="L28" i="19"/>
  <c r="K28" i="19"/>
  <c r="J28" i="19"/>
  <c r="I28" i="19"/>
  <c r="H28" i="19"/>
  <c r="G28" i="19"/>
  <c r="F28" i="19"/>
  <c r="E28" i="19"/>
  <c r="D28" i="19"/>
  <c r="M26" i="19"/>
  <c r="L26" i="19"/>
  <c r="K26" i="19"/>
  <c r="J26" i="19"/>
  <c r="I26" i="19"/>
  <c r="H26" i="19"/>
  <c r="G26" i="19"/>
  <c r="F26" i="19"/>
  <c r="E26" i="19"/>
  <c r="D26" i="19"/>
  <c r="M25" i="19"/>
  <c r="L25" i="19"/>
  <c r="K25" i="19"/>
  <c r="J25" i="19"/>
  <c r="I25" i="19"/>
  <c r="H25" i="19"/>
  <c r="G25" i="19"/>
  <c r="F25" i="19"/>
  <c r="E25" i="19"/>
  <c r="D25" i="19"/>
  <c r="B11" i="19"/>
  <c r="I9" i="19"/>
  <c r="D101" i="18"/>
  <c r="C101" i="18"/>
  <c r="D100" i="18"/>
  <c r="C100" i="18"/>
  <c r="D99" i="18"/>
  <c r="C99" i="18"/>
  <c r="D98" i="18"/>
  <c r="C98" i="18"/>
  <c r="D97" i="18"/>
  <c r="C97" i="18"/>
  <c r="K29" i="18"/>
  <c r="L29" i="18" s="1"/>
  <c r="M29" i="18" s="1"/>
  <c r="N29" i="18" s="1"/>
  <c r="O29" i="18" s="1"/>
  <c r="P29" i="18" s="1"/>
  <c r="Q29" i="18" s="1"/>
  <c r="R29" i="18" s="1"/>
  <c r="S29" i="18" s="1"/>
  <c r="BE176" i="17"/>
  <c r="BE175" i="17"/>
  <c r="BE174" i="17"/>
  <c r="BE173" i="17"/>
  <c r="BE172" i="17"/>
  <c r="BE171" i="17"/>
  <c r="BE170" i="17"/>
  <c r="BE169" i="17"/>
  <c r="CF168" i="17"/>
  <c r="CE168" i="17"/>
  <c r="CI177" i="17" s="1"/>
  <c r="CE169" i="17" s="1"/>
  <c r="BF168" i="17"/>
  <c r="BF169" i="17" s="1"/>
  <c r="BF170" i="17" s="1"/>
  <c r="BF171" i="17" s="1"/>
  <c r="BF172" i="17" s="1"/>
  <c r="BF173" i="17" s="1"/>
  <c r="BF174" i="17" s="1"/>
  <c r="BF175" i="17" s="1"/>
  <c r="BF176" i="17" s="1"/>
  <c r="BE168" i="17"/>
  <c r="BE167" i="17"/>
  <c r="BE166" i="17"/>
  <c r="W167" i="17"/>
  <c r="X167" i="17" s="1"/>
  <c r="R133" i="17"/>
  <c r="R132" i="17"/>
  <c r="R131" i="17"/>
  <c r="R130" i="17"/>
  <c r="R129" i="17"/>
  <c r="R128" i="17"/>
  <c r="R127" i="17"/>
  <c r="AE126" i="17"/>
  <c r="AD126" i="17"/>
  <c r="AC126" i="17"/>
  <c r="AB126" i="17"/>
  <c r="AA126" i="17"/>
  <c r="R126" i="17"/>
  <c r="R125" i="17"/>
  <c r="R124" i="17"/>
  <c r="I20" i="53" l="1"/>
  <c r="I20" i="76"/>
  <c r="H20" i="76"/>
  <c r="H20" i="53"/>
  <c r="K323" i="59"/>
  <c r="J27" i="53"/>
  <c r="J13" i="76"/>
  <c r="J27" i="76"/>
  <c r="J13" i="53"/>
  <c r="K265" i="59"/>
  <c r="J313" i="59"/>
  <c r="I27" i="23"/>
  <c r="I13" i="23"/>
  <c r="J255" i="59"/>
  <c r="I20" i="23" s="1"/>
  <c r="K324" i="59"/>
  <c r="K266" i="59"/>
  <c r="AC214" i="41"/>
  <c r="AC215" i="41" s="1"/>
  <c r="AC216" i="41" s="1"/>
  <c r="I272" i="41" s="1"/>
  <c r="I56" i="41" s="1"/>
  <c r="J324" i="59"/>
  <c r="J266" i="59"/>
  <c r="AD214" i="41"/>
  <c r="AD215" i="41" s="1"/>
  <c r="AD216" i="41" s="1"/>
  <c r="J309" i="59"/>
  <c r="J251" i="59"/>
  <c r="K308" i="59"/>
  <c r="J27" i="38"/>
  <c r="K250" i="59"/>
  <c r="J20" i="38" s="1"/>
  <c r="K214" i="38"/>
  <c r="J308" i="59"/>
  <c r="I27" i="38"/>
  <c r="J250" i="59"/>
  <c r="I20" i="38" s="1"/>
  <c r="J322" i="59"/>
  <c r="I6" i="50"/>
  <c r="I7" i="50" s="1"/>
  <c r="I13" i="50"/>
  <c r="I27" i="50"/>
  <c r="AD214" i="35"/>
  <c r="AD215" i="35" s="1"/>
  <c r="AD216" i="35" s="1"/>
  <c r="J272" i="35" s="1"/>
  <c r="J56" i="35" s="1"/>
  <c r="K314" i="59"/>
  <c r="J27" i="29"/>
  <c r="J13" i="29"/>
  <c r="K256" i="59"/>
  <c r="J20" i="29" s="1"/>
  <c r="J306" i="59"/>
  <c r="I27" i="5"/>
  <c r="I13" i="5"/>
  <c r="J248" i="59"/>
  <c r="I20" i="5" s="1"/>
  <c r="K306" i="59"/>
  <c r="J27" i="5"/>
  <c r="J13" i="5"/>
  <c r="K248" i="59"/>
  <c r="J20" i="5" s="1"/>
  <c r="K321" i="59"/>
  <c r="J13" i="26"/>
  <c r="J27" i="26"/>
  <c r="K263" i="59"/>
  <c r="J20" i="26" s="1"/>
  <c r="J321" i="59"/>
  <c r="I27" i="26"/>
  <c r="I13" i="26"/>
  <c r="J263" i="59"/>
  <c r="I20" i="26" s="1"/>
  <c r="J304" i="59"/>
  <c r="I13" i="8"/>
  <c r="I27" i="8"/>
  <c r="J246" i="59"/>
  <c r="I20" i="8" s="1"/>
  <c r="J303" i="59"/>
  <c r="I27" i="44"/>
  <c r="I13" i="44"/>
  <c r="J245" i="59"/>
  <c r="I20" i="44" s="1"/>
  <c r="AC214" i="44"/>
  <c r="AC215" i="44" s="1"/>
  <c r="I14" i="76"/>
  <c r="I16" i="76" s="1"/>
  <c r="I17" i="76" s="1"/>
  <c r="K143" i="59"/>
  <c r="K208" i="59" s="1"/>
  <c r="K294" i="59"/>
  <c r="J22" i="76"/>
  <c r="J26" i="76" s="1"/>
  <c r="J22" i="53"/>
  <c r="J26" i="53" s="1"/>
  <c r="J141" i="59"/>
  <c r="J206" i="59" s="1"/>
  <c r="J292" i="59"/>
  <c r="I23" i="26" s="1"/>
  <c r="I22" i="26"/>
  <c r="I14" i="26" s="1"/>
  <c r="H23" i="53"/>
  <c r="H23" i="76"/>
  <c r="J279" i="59"/>
  <c r="I22" i="38"/>
  <c r="I26" i="38" s="1"/>
  <c r="K279" i="59"/>
  <c r="J22" i="38"/>
  <c r="J26" i="38" s="1"/>
  <c r="I14" i="53"/>
  <c r="I16" i="53" s="1"/>
  <c r="I17" i="53" s="1"/>
  <c r="I23" i="76"/>
  <c r="I23" i="53"/>
  <c r="H26" i="8"/>
  <c r="H26" i="29"/>
  <c r="H26" i="23"/>
  <c r="H26" i="26"/>
  <c r="J126" i="59"/>
  <c r="J191" i="59" s="1"/>
  <c r="J277" i="59"/>
  <c r="I23" i="5" s="1"/>
  <c r="I22" i="5"/>
  <c r="I26" i="5" s="1"/>
  <c r="K141" i="59"/>
  <c r="K206" i="59" s="1"/>
  <c r="K292" i="59"/>
  <c r="J23" i="26" s="1"/>
  <c r="J22" i="26"/>
  <c r="J26" i="26" s="1"/>
  <c r="K126" i="59"/>
  <c r="K191" i="59" s="1"/>
  <c r="K277" i="59"/>
  <c r="J23" i="5" s="1"/>
  <c r="J22" i="5"/>
  <c r="J26" i="5" s="1"/>
  <c r="H23" i="50"/>
  <c r="H26" i="53"/>
  <c r="H26" i="38"/>
  <c r="H23" i="26"/>
  <c r="J133" i="59"/>
  <c r="J198" i="59" s="1"/>
  <c r="J284" i="59"/>
  <c r="I23" i="23" s="1"/>
  <c r="I22" i="23"/>
  <c r="I26" i="23" s="1"/>
  <c r="J123" i="59"/>
  <c r="J188" i="59" s="1"/>
  <c r="J274" i="59"/>
  <c r="I23" i="44" s="1"/>
  <c r="I22" i="44"/>
  <c r="I26" i="44" s="1"/>
  <c r="K134" i="59"/>
  <c r="K199" i="59" s="1"/>
  <c r="K285" i="59"/>
  <c r="J23" i="29" s="1"/>
  <c r="J22" i="29"/>
  <c r="J14" i="29" s="1"/>
  <c r="I8" i="50"/>
  <c r="I9" i="50" s="1"/>
  <c r="I22" i="50"/>
  <c r="I26" i="50" s="1"/>
  <c r="J293" i="59"/>
  <c r="I23" i="50" s="1"/>
  <c r="I14" i="29"/>
  <c r="H14" i="50"/>
  <c r="H16" i="50" s="1"/>
  <c r="H17" i="50" s="1"/>
  <c r="H26" i="76"/>
  <c r="H26" i="5"/>
  <c r="H26" i="44"/>
  <c r="H14" i="47"/>
  <c r="H16" i="47" s="1"/>
  <c r="H17" i="47" s="1"/>
  <c r="I23" i="83"/>
  <c r="J22" i="1"/>
  <c r="J22" i="83"/>
  <c r="J8" i="83"/>
  <c r="J9" i="83" s="1"/>
  <c r="K273" i="59"/>
  <c r="J23" i="1" s="1"/>
  <c r="I26" i="83"/>
  <c r="I14" i="83"/>
  <c r="I16" i="83" s="1"/>
  <c r="I17" i="83" s="1"/>
  <c r="K302" i="59"/>
  <c r="J21" i="1" s="1"/>
  <c r="J13" i="1"/>
  <c r="J27" i="1"/>
  <c r="J13" i="83"/>
  <c r="J6" i="83"/>
  <c r="J7" i="83" s="1"/>
  <c r="J27" i="83"/>
  <c r="K244" i="59"/>
  <c r="J20" i="1" s="1"/>
  <c r="I14" i="1"/>
  <c r="I16" i="1" s="1"/>
  <c r="I17" i="1" s="1"/>
  <c r="I26" i="1"/>
  <c r="I27" i="47"/>
  <c r="J312" i="59"/>
  <c r="J254" i="59"/>
  <c r="I20" i="47" s="1"/>
  <c r="J27" i="47"/>
  <c r="K312" i="59"/>
  <c r="J21" i="47" s="1"/>
  <c r="K254" i="59"/>
  <c r="J20" i="47" s="1"/>
  <c r="AA214" i="47"/>
  <c r="AA215" i="47" s="1"/>
  <c r="AA216" i="47" s="1"/>
  <c r="G272" i="47" s="1"/>
  <c r="H39" i="44"/>
  <c r="J142" i="59"/>
  <c r="J207" i="59" s="1"/>
  <c r="J264" i="59"/>
  <c r="I20" i="50" s="1"/>
  <c r="U115" i="35"/>
  <c r="AE214" i="35"/>
  <c r="AE215" i="35" s="1"/>
  <c r="AE216" i="35" s="1"/>
  <c r="K272" i="35" s="1"/>
  <c r="K56" i="35" s="1"/>
  <c r="J137" i="59"/>
  <c r="J202" i="59" s="1"/>
  <c r="I22" i="35"/>
  <c r="I26" i="35" s="1"/>
  <c r="I23" i="35"/>
  <c r="J259" i="59"/>
  <c r="I20" i="35" s="1"/>
  <c r="I27" i="35"/>
  <c r="I13" i="35"/>
  <c r="H26" i="35"/>
  <c r="H28" i="35"/>
  <c r="AE215" i="38"/>
  <c r="AE216" i="38" s="1"/>
  <c r="K272" i="38" s="1"/>
  <c r="K56" i="38" s="1"/>
  <c r="H28" i="38"/>
  <c r="J128" i="59"/>
  <c r="J193" i="59" s="1"/>
  <c r="I23" i="38"/>
  <c r="K128" i="59"/>
  <c r="K193" i="59" s="1"/>
  <c r="J23" i="38"/>
  <c r="J13" i="38"/>
  <c r="I13" i="38"/>
  <c r="J144" i="59"/>
  <c r="J209" i="59" s="1"/>
  <c r="I22" i="41"/>
  <c r="I23" i="41"/>
  <c r="H26" i="41"/>
  <c r="H14" i="41"/>
  <c r="H16" i="41" s="1"/>
  <c r="H17" i="41" s="1"/>
  <c r="K144" i="59"/>
  <c r="K209" i="59" s="1"/>
  <c r="J22" i="41"/>
  <c r="J23" i="41"/>
  <c r="J20" i="41"/>
  <c r="J27" i="41"/>
  <c r="J13" i="41"/>
  <c r="I20" i="41"/>
  <c r="I27" i="41"/>
  <c r="I13" i="41"/>
  <c r="H26" i="32"/>
  <c r="I27" i="32"/>
  <c r="I13" i="32"/>
  <c r="I20" i="32"/>
  <c r="I20" i="83"/>
  <c r="H28" i="47"/>
  <c r="I21" i="53"/>
  <c r="I21" i="76"/>
  <c r="H21" i="53"/>
  <c r="H21" i="76"/>
  <c r="I40" i="1"/>
  <c r="I40" i="83"/>
  <c r="I39" i="1"/>
  <c r="I39" i="83"/>
  <c r="I21" i="83"/>
  <c r="J132" i="59"/>
  <c r="J197" i="59" s="1"/>
  <c r="I22" i="47"/>
  <c r="I26" i="47" s="1"/>
  <c r="K132" i="59"/>
  <c r="K197" i="59" s="1"/>
  <c r="J22" i="47"/>
  <c r="J26" i="47" s="1"/>
  <c r="J99" i="59"/>
  <c r="K104" i="59"/>
  <c r="J96" i="59"/>
  <c r="D64" i="38"/>
  <c r="AJ216" i="38"/>
  <c r="P272" i="38" s="1"/>
  <c r="J112" i="59"/>
  <c r="AE214" i="41"/>
  <c r="AE215" i="41" s="1"/>
  <c r="AE216" i="41" s="1"/>
  <c r="K272" i="41" s="1"/>
  <c r="K56" i="41" s="1"/>
  <c r="AI214" i="35"/>
  <c r="AI215" i="35" s="1"/>
  <c r="AI216" i="35" s="1"/>
  <c r="O272" i="35" s="1"/>
  <c r="O56" i="35" s="1"/>
  <c r="J107" i="59"/>
  <c r="AF214" i="35"/>
  <c r="AF215" i="35" s="1"/>
  <c r="AF216" i="35" s="1"/>
  <c r="L272" i="35" s="1"/>
  <c r="L56" i="35" s="1"/>
  <c r="J93" i="59"/>
  <c r="AK214" i="35"/>
  <c r="AK215" i="35" s="1"/>
  <c r="AK216" i="35" s="1"/>
  <c r="J103" i="59"/>
  <c r="K102" i="59"/>
  <c r="J23" i="47"/>
  <c r="K114" i="59"/>
  <c r="J111" i="59"/>
  <c r="J102" i="59"/>
  <c r="I23" i="47"/>
  <c r="AJ214" i="35"/>
  <c r="AJ215" i="35" s="1"/>
  <c r="K122" i="59"/>
  <c r="K187" i="59" s="1"/>
  <c r="J114" i="59"/>
  <c r="K113" i="59"/>
  <c r="K96" i="59"/>
  <c r="AG214" i="35"/>
  <c r="AG215" i="35" s="1"/>
  <c r="AG216" i="35" s="1"/>
  <c r="M272" i="35" s="1"/>
  <c r="M56" i="35" s="1"/>
  <c r="J94" i="59"/>
  <c r="AA214" i="53"/>
  <c r="AA215" i="53" s="1"/>
  <c r="AA216" i="53" s="1"/>
  <c r="G272" i="53" s="1"/>
  <c r="G56" i="53" s="1"/>
  <c r="K92" i="59"/>
  <c r="K111" i="59"/>
  <c r="K98" i="59"/>
  <c r="AH214" i="35"/>
  <c r="AH215" i="35" s="1"/>
  <c r="AH216" i="35" s="1"/>
  <c r="N272" i="35" s="1"/>
  <c r="N56" i="35" s="1"/>
  <c r="Q272" i="38"/>
  <c r="AA126" i="38"/>
  <c r="J10" i="70"/>
  <c r="J98" i="59"/>
  <c r="AH214" i="44"/>
  <c r="AH215" i="44" s="1"/>
  <c r="AH216" i="44" s="1"/>
  <c r="N272" i="44" s="1"/>
  <c r="N56" i="44" s="1"/>
  <c r="AA214" i="1"/>
  <c r="AA215" i="1" s="1"/>
  <c r="AA216" i="1" s="1"/>
  <c r="S124" i="1" s="1"/>
  <c r="AC216" i="44"/>
  <c r="I272" i="44" s="1"/>
  <c r="I56" i="44" s="1"/>
  <c r="AG214" i="44"/>
  <c r="AG215" i="44" s="1"/>
  <c r="AF214" i="44"/>
  <c r="AF215" i="44" s="1"/>
  <c r="AE214" i="44"/>
  <c r="AE215" i="44" s="1"/>
  <c r="AD214" i="44"/>
  <c r="AD215" i="44" s="1"/>
  <c r="AI214" i="44"/>
  <c r="AI215" i="44" s="1"/>
  <c r="AJ214" i="44"/>
  <c r="AJ215" i="44" s="1"/>
  <c r="AJ216" i="44" s="1"/>
  <c r="AK214" i="44"/>
  <c r="AK215" i="44" s="1"/>
  <c r="AK216" i="44" s="1"/>
  <c r="AB214" i="47"/>
  <c r="AB215" i="47" s="1"/>
  <c r="AB216" i="47" s="1"/>
  <c r="H16" i="8"/>
  <c r="H17" i="8" s="1"/>
  <c r="J272" i="41"/>
  <c r="J56" i="41" s="1"/>
  <c r="AH214" i="41"/>
  <c r="AH215" i="41" s="1"/>
  <c r="AH216" i="41" s="1"/>
  <c r="AK214" i="41"/>
  <c r="AI214" i="41"/>
  <c r="AI215" i="41" s="1"/>
  <c r="AI216" i="41" s="1"/>
  <c r="AJ214" i="41"/>
  <c r="AJ215" i="41" s="1"/>
  <c r="AF214" i="41"/>
  <c r="AF215" i="41" s="1"/>
  <c r="AF216" i="41" s="1"/>
  <c r="AG214" i="41"/>
  <c r="AG215" i="41" s="1"/>
  <c r="AG216" i="41" s="1"/>
  <c r="H16" i="23"/>
  <c r="H17" i="23" s="1"/>
  <c r="Y167" i="38"/>
  <c r="Z214" i="38"/>
  <c r="C21" i="36"/>
  <c r="H28" i="8"/>
  <c r="I43" i="29"/>
  <c r="I44" i="29" s="1"/>
  <c r="H16" i="5"/>
  <c r="H17" i="5" s="1"/>
  <c r="I16" i="29"/>
  <c r="I17" i="29" s="1"/>
  <c r="H16" i="35"/>
  <c r="H17" i="35" s="1"/>
  <c r="H28" i="5"/>
  <c r="I40" i="53"/>
  <c r="I40" i="76"/>
  <c r="H40" i="53"/>
  <c r="H40" i="76"/>
  <c r="I8" i="35"/>
  <c r="I9" i="35" s="1"/>
  <c r="I8" i="41"/>
  <c r="I9" i="41" s="1"/>
  <c r="I8" i="44"/>
  <c r="I9" i="44" s="1"/>
  <c r="J8" i="41"/>
  <c r="J9" i="41" s="1"/>
  <c r="H16" i="26"/>
  <c r="H17" i="26" s="1"/>
  <c r="J8" i="29"/>
  <c r="J9" i="29" s="1"/>
  <c r="J8" i="5"/>
  <c r="J9" i="5" s="1"/>
  <c r="I8" i="38"/>
  <c r="I9" i="38" s="1"/>
  <c r="J8" i="76"/>
  <c r="J9" i="76" s="1"/>
  <c r="J8" i="53"/>
  <c r="J9" i="53" s="1"/>
  <c r="I8" i="26"/>
  <c r="I9" i="26" s="1"/>
  <c r="I8" i="23"/>
  <c r="I9" i="23" s="1"/>
  <c r="I8" i="5"/>
  <c r="I9" i="5" s="1"/>
  <c r="J8" i="38"/>
  <c r="J9" i="38" s="1"/>
  <c r="H16" i="53"/>
  <c r="H17" i="53" s="1"/>
  <c r="J8" i="26"/>
  <c r="J9" i="26" s="1"/>
  <c r="H16" i="76"/>
  <c r="H17" i="76" s="1"/>
  <c r="H16" i="29"/>
  <c r="H17" i="29" s="1"/>
  <c r="I28" i="29"/>
  <c r="I21" i="50"/>
  <c r="J6" i="26"/>
  <c r="J7" i="26" s="1"/>
  <c r="J21" i="26"/>
  <c r="J21" i="38"/>
  <c r="J6" i="38"/>
  <c r="J7" i="38" s="1"/>
  <c r="I21" i="38"/>
  <c r="I6" i="38"/>
  <c r="I7" i="38" s="1"/>
  <c r="I21" i="35"/>
  <c r="I6" i="35"/>
  <c r="I7" i="35" s="1"/>
  <c r="J6" i="29"/>
  <c r="J7" i="29" s="1"/>
  <c r="J21" i="29"/>
  <c r="I6" i="23"/>
  <c r="I7" i="23" s="1"/>
  <c r="I21" i="23"/>
  <c r="I6" i="5"/>
  <c r="I7" i="5" s="1"/>
  <c r="I21" i="5"/>
  <c r="H28" i="29"/>
  <c r="I6" i="44"/>
  <c r="I7" i="44" s="1"/>
  <c r="I6" i="8"/>
  <c r="I7" i="8" s="1"/>
  <c r="I10" i="8" s="1"/>
  <c r="I21" i="8"/>
  <c r="H16" i="38"/>
  <c r="H17" i="38" s="1"/>
  <c r="H18" i="38"/>
  <c r="I6" i="41"/>
  <c r="I7" i="41" s="1"/>
  <c r="I21" i="41"/>
  <c r="J21" i="41"/>
  <c r="J6" i="41"/>
  <c r="J7" i="41" s="1"/>
  <c r="I6" i="26"/>
  <c r="I7" i="26" s="1"/>
  <c r="I21" i="26"/>
  <c r="J6" i="76"/>
  <c r="J7" i="76" s="1"/>
  <c r="J6" i="53"/>
  <c r="J7" i="53" s="1"/>
  <c r="H39" i="76"/>
  <c r="H39" i="53"/>
  <c r="I39" i="76"/>
  <c r="I39" i="53"/>
  <c r="J21" i="5"/>
  <c r="J6" i="5"/>
  <c r="J7" i="5" s="1"/>
  <c r="J8" i="47"/>
  <c r="J9" i="47" s="1"/>
  <c r="J13" i="47"/>
  <c r="J6" i="47"/>
  <c r="J7" i="47" s="1"/>
  <c r="I8" i="47"/>
  <c r="I9" i="47" s="1"/>
  <c r="I6" i="47"/>
  <c r="I7" i="47" s="1"/>
  <c r="I21" i="47"/>
  <c r="I13" i="47"/>
  <c r="I41" i="76"/>
  <c r="I41" i="53"/>
  <c r="J8" i="1"/>
  <c r="J9" i="1" s="1"/>
  <c r="J6" i="1"/>
  <c r="J7" i="1" s="1"/>
  <c r="H16" i="32"/>
  <c r="H17" i="32" s="1"/>
  <c r="I6" i="32"/>
  <c r="I7" i="32" s="1"/>
  <c r="I21" i="32"/>
  <c r="I21" i="44"/>
  <c r="G15" i="27"/>
  <c r="G19" i="27" s="1"/>
  <c r="H15" i="27"/>
  <c r="H19" i="27" s="1"/>
  <c r="J125" i="72"/>
  <c r="L27" i="22"/>
  <c r="L31" i="22" s="1"/>
  <c r="L32" i="22" s="1"/>
  <c r="M27" i="22"/>
  <c r="M31" i="22" s="1"/>
  <c r="M32" i="22" s="1"/>
  <c r="K27" i="22"/>
  <c r="K31" i="22" s="1"/>
  <c r="K32" i="22" s="1"/>
  <c r="I68" i="70"/>
  <c r="I27" i="22"/>
  <c r="I31" i="22" s="1"/>
  <c r="I32" i="22" s="1"/>
  <c r="G27" i="22"/>
  <c r="G31" i="22" s="1"/>
  <c r="G32" i="22" s="1"/>
  <c r="AF19" i="21"/>
  <c r="P19" i="21"/>
  <c r="E27" i="22"/>
  <c r="E31" i="22" s="1"/>
  <c r="E32" i="22" s="1"/>
  <c r="X15" i="27"/>
  <c r="X19" i="27" s="1"/>
  <c r="D27" i="22"/>
  <c r="D31" i="22" s="1"/>
  <c r="D32" i="22" s="1"/>
  <c r="P15" i="27"/>
  <c r="P19" i="27" s="1"/>
  <c r="AK214" i="1"/>
  <c r="AK215" i="1" s="1"/>
  <c r="AK216" i="1" s="1"/>
  <c r="AK15" i="27"/>
  <c r="AK19" i="27" s="1"/>
  <c r="X19" i="21"/>
  <c r="W15" i="27"/>
  <c r="W19" i="27" s="1"/>
  <c r="AC15" i="27"/>
  <c r="AC19" i="27" s="1"/>
  <c r="AA15" i="27"/>
  <c r="AA19" i="27" s="1"/>
  <c r="Y15" i="27"/>
  <c r="Y19" i="27" s="1"/>
  <c r="AG15" i="27"/>
  <c r="AG19" i="27" s="1"/>
  <c r="H27" i="22"/>
  <c r="H31" i="22" s="1"/>
  <c r="H32" i="22" s="1"/>
  <c r="AP15" i="27"/>
  <c r="AP19" i="27" s="1"/>
  <c r="Z15" i="27"/>
  <c r="Z19" i="27" s="1"/>
  <c r="J15" i="27"/>
  <c r="J19" i="27" s="1"/>
  <c r="E15" i="27"/>
  <c r="E19" i="27" s="1"/>
  <c r="M15" i="27"/>
  <c r="M19" i="27" s="1"/>
  <c r="AO15" i="27"/>
  <c r="AO19" i="27" s="1"/>
  <c r="AQ15" i="27"/>
  <c r="AQ19" i="27" s="1"/>
  <c r="R15" i="27"/>
  <c r="R19" i="27" s="1"/>
  <c r="O15" i="27"/>
  <c r="O19" i="27" s="1"/>
  <c r="AD15" i="27"/>
  <c r="AD19" i="27" s="1"/>
  <c r="AL15" i="27"/>
  <c r="AL19" i="27" s="1"/>
  <c r="AF15" i="27"/>
  <c r="AF19" i="27" s="1"/>
  <c r="H27" i="27"/>
  <c r="I15" i="27"/>
  <c r="I19" i="27" s="1"/>
  <c r="S15" i="27"/>
  <c r="S19" i="27" s="1"/>
  <c r="U15" i="27"/>
  <c r="U19" i="27" s="1"/>
  <c r="K15" i="27"/>
  <c r="K19" i="27" s="1"/>
  <c r="T15" i="27"/>
  <c r="T19" i="27" s="1"/>
  <c r="AB15" i="27"/>
  <c r="AB19" i="27" s="1"/>
  <c r="Q15" i="27"/>
  <c r="Q19" i="27" s="1"/>
  <c r="D15" i="27"/>
  <c r="D19" i="27" s="1"/>
  <c r="H19" i="21"/>
  <c r="AN15" i="27"/>
  <c r="AN19" i="27" s="1"/>
  <c r="F15" i="27"/>
  <c r="F19" i="27" s="1"/>
  <c r="N15" i="27"/>
  <c r="N19" i="27" s="1"/>
  <c r="V15" i="27"/>
  <c r="V19" i="27" s="1"/>
  <c r="AJ15" i="27"/>
  <c r="AJ19" i="27" s="1"/>
  <c r="L15" i="27"/>
  <c r="L19" i="27" s="1"/>
  <c r="AE15" i="27"/>
  <c r="AE19" i="27" s="1"/>
  <c r="AM15" i="27"/>
  <c r="AM19" i="27" s="1"/>
  <c r="AH15" i="27"/>
  <c r="AH19" i="27" s="1"/>
  <c r="AK214" i="53"/>
  <c r="AK215" i="53" s="1"/>
  <c r="AK216" i="53" s="1"/>
  <c r="AK214" i="47"/>
  <c r="AK215" i="47" s="1"/>
  <c r="AK216" i="47" s="1"/>
  <c r="AK214" i="8"/>
  <c r="AK215" i="8" s="1"/>
  <c r="AK216" i="8" s="1"/>
  <c r="K83" i="72"/>
  <c r="K81" i="72"/>
  <c r="J63" i="72"/>
  <c r="K66" i="72"/>
  <c r="J77" i="72"/>
  <c r="K68" i="72"/>
  <c r="J69" i="72"/>
  <c r="K74" i="72"/>
  <c r="J82" i="72"/>
  <c r="K82" i="72"/>
  <c r="K72" i="72"/>
  <c r="K84" i="72"/>
  <c r="J76" i="72"/>
  <c r="J73" i="72"/>
  <c r="J64" i="72"/>
  <c r="J72" i="72"/>
  <c r="C25" i="45"/>
  <c r="J10" i="72"/>
  <c r="I39" i="38" s="1"/>
  <c r="J6" i="72"/>
  <c r="I39" i="8" s="1"/>
  <c r="C21" i="54"/>
  <c r="G27" i="31"/>
  <c r="G31" i="31" s="1"/>
  <c r="G32" i="31" s="1"/>
  <c r="C21" i="42"/>
  <c r="M243" i="72"/>
  <c r="L34" i="8" s="1"/>
  <c r="L36" i="8" s="1"/>
  <c r="L37" i="8" s="1"/>
  <c r="N243" i="72"/>
  <c r="M34" i="8" s="1"/>
  <c r="M36" i="8" s="1"/>
  <c r="M37" i="8" s="1"/>
  <c r="O243" i="72"/>
  <c r="N34" i="8" s="1"/>
  <c r="N36" i="8" s="1"/>
  <c r="N37" i="8" s="1"/>
  <c r="J243" i="72"/>
  <c r="I34" i="8" s="1"/>
  <c r="I36" i="8" s="1"/>
  <c r="I37" i="8" s="1"/>
  <c r="K243" i="72"/>
  <c r="J34" i="8" s="1"/>
  <c r="J36" i="8" s="1"/>
  <c r="J37" i="8" s="1"/>
  <c r="L243" i="72"/>
  <c r="K34" i="8" s="1"/>
  <c r="K36" i="8" s="1"/>
  <c r="K37" i="8" s="1"/>
  <c r="R243" i="72"/>
  <c r="Q243" i="72"/>
  <c r="P34" i="8" s="1"/>
  <c r="P36" i="8" s="1"/>
  <c r="P37" i="8" s="1"/>
  <c r="I127" i="72"/>
  <c r="H41" i="8" s="1"/>
  <c r="H43" i="8" s="1"/>
  <c r="I243" i="72"/>
  <c r="H34" i="8" s="1"/>
  <c r="H36" i="8" s="1"/>
  <c r="H37" i="8" s="1"/>
  <c r="P243" i="72"/>
  <c r="O34" i="8" s="1"/>
  <c r="O36" i="8" s="1"/>
  <c r="O37" i="8" s="1"/>
  <c r="K260" i="72"/>
  <c r="J34" i="26" s="1"/>
  <c r="J36" i="26" s="1"/>
  <c r="J37" i="26" s="1"/>
  <c r="I144" i="72"/>
  <c r="H41" i="26" s="1"/>
  <c r="L260" i="72"/>
  <c r="K34" i="26" s="1"/>
  <c r="K36" i="26" s="1"/>
  <c r="K37" i="26" s="1"/>
  <c r="M260" i="72"/>
  <c r="L34" i="26" s="1"/>
  <c r="L36" i="26" s="1"/>
  <c r="L37" i="26" s="1"/>
  <c r="N260" i="72"/>
  <c r="M34" i="26" s="1"/>
  <c r="M36" i="26" s="1"/>
  <c r="M37" i="26" s="1"/>
  <c r="O260" i="72"/>
  <c r="N34" i="26" s="1"/>
  <c r="N36" i="26" s="1"/>
  <c r="N37" i="26" s="1"/>
  <c r="P260" i="72"/>
  <c r="O34" i="26" s="1"/>
  <c r="O36" i="26" s="1"/>
  <c r="O37" i="26" s="1"/>
  <c r="R260" i="72"/>
  <c r="I260" i="72"/>
  <c r="H34" i="26" s="1"/>
  <c r="J260" i="72"/>
  <c r="I34" i="26" s="1"/>
  <c r="I36" i="26" s="1"/>
  <c r="I37" i="26" s="1"/>
  <c r="Q260" i="72"/>
  <c r="P34" i="26" s="1"/>
  <c r="P36" i="26" s="1"/>
  <c r="P37" i="26" s="1"/>
  <c r="I245" i="72"/>
  <c r="H34" i="5" s="1"/>
  <c r="H36" i="5" s="1"/>
  <c r="H37" i="5" s="1"/>
  <c r="Q245" i="72"/>
  <c r="P34" i="5" s="1"/>
  <c r="P36" i="5" s="1"/>
  <c r="P37" i="5" s="1"/>
  <c r="J245" i="72"/>
  <c r="I34" i="5" s="1"/>
  <c r="I36" i="5" s="1"/>
  <c r="I37" i="5" s="1"/>
  <c r="R245" i="72"/>
  <c r="K245" i="72"/>
  <c r="J34" i="5" s="1"/>
  <c r="J36" i="5" s="1"/>
  <c r="J37" i="5" s="1"/>
  <c r="I129" i="72"/>
  <c r="H41" i="5" s="1"/>
  <c r="H43" i="5" s="1"/>
  <c r="O245" i="72"/>
  <c r="N34" i="5" s="1"/>
  <c r="N36" i="5" s="1"/>
  <c r="N37" i="5" s="1"/>
  <c r="P245" i="72"/>
  <c r="O34" i="5" s="1"/>
  <c r="O36" i="5" s="1"/>
  <c r="O37" i="5" s="1"/>
  <c r="L245" i="72"/>
  <c r="K34" i="5" s="1"/>
  <c r="K36" i="5" s="1"/>
  <c r="K37" i="5" s="1"/>
  <c r="M245" i="72"/>
  <c r="L34" i="5" s="1"/>
  <c r="L36" i="5" s="1"/>
  <c r="L37" i="5" s="1"/>
  <c r="N245" i="72"/>
  <c r="M34" i="5" s="1"/>
  <c r="M36" i="5" s="1"/>
  <c r="M37" i="5" s="1"/>
  <c r="K248" i="72"/>
  <c r="I132" i="72"/>
  <c r="L248" i="72"/>
  <c r="M248" i="72"/>
  <c r="J248" i="72"/>
  <c r="N248" i="72"/>
  <c r="O248" i="72"/>
  <c r="R248" i="72"/>
  <c r="Q248" i="72"/>
  <c r="P248" i="72"/>
  <c r="I248" i="72"/>
  <c r="O242" i="72"/>
  <c r="N34" i="44" s="1"/>
  <c r="N36" i="44" s="1"/>
  <c r="N37" i="44" s="1"/>
  <c r="P242" i="72"/>
  <c r="O34" i="44" s="1"/>
  <c r="O36" i="44" s="1"/>
  <c r="O37" i="44" s="1"/>
  <c r="I242" i="72"/>
  <c r="H34" i="44" s="1"/>
  <c r="H36" i="44" s="1"/>
  <c r="H37" i="44" s="1"/>
  <c r="Q242" i="72"/>
  <c r="P34" i="44" s="1"/>
  <c r="P36" i="44" s="1"/>
  <c r="P37" i="44" s="1"/>
  <c r="J242" i="72"/>
  <c r="I34" i="44" s="1"/>
  <c r="I36" i="44" s="1"/>
  <c r="I37" i="44" s="1"/>
  <c r="K242" i="72"/>
  <c r="J34" i="44" s="1"/>
  <c r="J36" i="44" s="1"/>
  <c r="J37" i="44" s="1"/>
  <c r="N242" i="72"/>
  <c r="M34" i="44" s="1"/>
  <c r="M36" i="44" s="1"/>
  <c r="M37" i="44" s="1"/>
  <c r="I126" i="72"/>
  <c r="H41" i="44" s="1"/>
  <c r="R242" i="72"/>
  <c r="L242" i="72"/>
  <c r="K34" i="44" s="1"/>
  <c r="K36" i="44" s="1"/>
  <c r="K37" i="44" s="1"/>
  <c r="M242" i="72"/>
  <c r="L34" i="44" s="1"/>
  <c r="L36" i="44" s="1"/>
  <c r="L37" i="44" s="1"/>
  <c r="K252" i="72"/>
  <c r="I136" i="72"/>
  <c r="L252" i="72"/>
  <c r="M252" i="72"/>
  <c r="I252" i="72"/>
  <c r="J252" i="72"/>
  <c r="N252" i="72"/>
  <c r="Q252" i="72"/>
  <c r="R252" i="72"/>
  <c r="O252" i="72"/>
  <c r="P252" i="72"/>
  <c r="M263" i="72"/>
  <c r="L34" i="41" s="1"/>
  <c r="L36" i="41" s="1"/>
  <c r="L37" i="41" s="1"/>
  <c r="N263" i="72"/>
  <c r="M34" i="41" s="1"/>
  <c r="M36" i="41" s="1"/>
  <c r="M37" i="41" s="1"/>
  <c r="O263" i="72"/>
  <c r="N34" i="41" s="1"/>
  <c r="N36" i="41" s="1"/>
  <c r="N37" i="41" s="1"/>
  <c r="I263" i="72"/>
  <c r="J263" i="72"/>
  <c r="I34" i="41" s="1"/>
  <c r="I36" i="41" s="1"/>
  <c r="I37" i="41" s="1"/>
  <c r="K263" i="72"/>
  <c r="J34" i="41" s="1"/>
  <c r="J36" i="41" s="1"/>
  <c r="J37" i="41" s="1"/>
  <c r="Q263" i="72"/>
  <c r="P34" i="41" s="1"/>
  <c r="P36" i="41" s="1"/>
  <c r="P37" i="41" s="1"/>
  <c r="P263" i="72"/>
  <c r="O34" i="41" s="1"/>
  <c r="O36" i="41" s="1"/>
  <c r="O37" i="41" s="1"/>
  <c r="L263" i="72"/>
  <c r="K34" i="41" s="1"/>
  <c r="K36" i="41" s="1"/>
  <c r="K37" i="41" s="1"/>
  <c r="R263" i="72"/>
  <c r="I147" i="72"/>
  <c r="H41" i="41" s="1"/>
  <c r="H43" i="41" s="1"/>
  <c r="I261" i="72"/>
  <c r="H34" i="50" s="1"/>
  <c r="H36" i="50" s="1"/>
  <c r="H37" i="50" s="1"/>
  <c r="Q261" i="72"/>
  <c r="P34" i="50" s="1"/>
  <c r="P36" i="50" s="1"/>
  <c r="P37" i="50" s="1"/>
  <c r="J261" i="72"/>
  <c r="I34" i="50" s="1"/>
  <c r="I36" i="50" s="1"/>
  <c r="I37" i="50" s="1"/>
  <c r="R261" i="72"/>
  <c r="K261" i="72"/>
  <c r="J34" i="50" s="1"/>
  <c r="J36" i="50" s="1"/>
  <c r="J37" i="50" s="1"/>
  <c r="I145" i="72"/>
  <c r="H41" i="50" s="1"/>
  <c r="H43" i="50" s="1"/>
  <c r="O261" i="72"/>
  <c r="N34" i="50" s="1"/>
  <c r="N36" i="50" s="1"/>
  <c r="N37" i="50" s="1"/>
  <c r="P261" i="72"/>
  <c r="O34" i="50" s="1"/>
  <c r="O36" i="50" s="1"/>
  <c r="O37" i="50" s="1"/>
  <c r="L261" i="72"/>
  <c r="K34" i="50" s="1"/>
  <c r="K36" i="50" s="1"/>
  <c r="K37" i="50" s="1"/>
  <c r="M261" i="72"/>
  <c r="L34" i="50" s="1"/>
  <c r="L36" i="50" s="1"/>
  <c r="L37" i="50" s="1"/>
  <c r="N261" i="72"/>
  <c r="M34" i="50" s="1"/>
  <c r="M36" i="50" s="1"/>
  <c r="M37" i="50" s="1"/>
  <c r="M251" i="72"/>
  <c r="L34" i="47" s="1"/>
  <c r="L36" i="47" s="1"/>
  <c r="L37" i="47" s="1"/>
  <c r="N251" i="72"/>
  <c r="M34" i="47" s="1"/>
  <c r="M36" i="47" s="1"/>
  <c r="M37" i="47" s="1"/>
  <c r="O251" i="72"/>
  <c r="N34" i="47" s="1"/>
  <c r="N36" i="47" s="1"/>
  <c r="N37" i="47" s="1"/>
  <c r="I251" i="72"/>
  <c r="H34" i="47" s="1"/>
  <c r="H36" i="47" s="1"/>
  <c r="H37" i="47" s="1"/>
  <c r="J251" i="72"/>
  <c r="I34" i="47" s="1"/>
  <c r="I36" i="47" s="1"/>
  <c r="I37" i="47" s="1"/>
  <c r="P251" i="72"/>
  <c r="O34" i="47" s="1"/>
  <c r="O36" i="47" s="1"/>
  <c r="O37" i="47" s="1"/>
  <c r="L251" i="72"/>
  <c r="K34" i="47" s="1"/>
  <c r="K36" i="47" s="1"/>
  <c r="K37" i="47" s="1"/>
  <c r="Q251" i="72"/>
  <c r="P34" i="47" s="1"/>
  <c r="P36" i="47" s="1"/>
  <c r="P37" i="47" s="1"/>
  <c r="I135" i="72"/>
  <c r="H41" i="47" s="1"/>
  <c r="H43" i="47" s="1"/>
  <c r="R251" i="72"/>
  <c r="K251" i="72"/>
  <c r="J34" i="47" s="1"/>
  <c r="J36" i="47" s="1"/>
  <c r="J37" i="47" s="1"/>
  <c r="O262" i="72"/>
  <c r="P262" i="72"/>
  <c r="I262" i="72"/>
  <c r="Q262" i="72"/>
  <c r="J262" i="72"/>
  <c r="M262" i="72"/>
  <c r="I146" i="72"/>
  <c r="K262" i="72"/>
  <c r="L262" i="72"/>
  <c r="N262" i="72"/>
  <c r="R262" i="72"/>
  <c r="I253" i="72"/>
  <c r="H34" i="29" s="1"/>
  <c r="H36" i="29" s="1"/>
  <c r="H37" i="29" s="1"/>
  <c r="Q253" i="72"/>
  <c r="P34" i="29" s="1"/>
  <c r="P36" i="29" s="1"/>
  <c r="P37" i="29" s="1"/>
  <c r="J253" i="72"/>
  <c r="I34" i="29" s="1"/>
  <c r="I36" i="29" s="1"/>
  <c r="I37" i="29" s="1"/>
  <c r="R253" i="72"/>
  <c r="K253" i="72"/>
  <c r="J34" i="29" s="1"/>
  <c r="J36" i="29" s="1"/>
  <c r="J37" i="29" s="1"/>
  <c r="I137" i="72"/>
  <c r="H41" i="29" s="1"/>
  <c r="H43" i="29" s="1"/>
  <c r="M253" i="72"/>
  <c r="L34" i="29" s="1"/>
  <c r="L36" i="29" s="1"/>
  <c r="L37" i="29" s="1"/>
  <c r="N253" i="72"/>
  <c r="M34" i="29" s="1"/>
  <c r="M36" i="29" s="1"/>
  <c r="M37" i="29" s="1"/>
  <c r="O253" i="72"/>
  <c r="N34" i="29" s="1"/>
  <c r="N36" i="29" s="1"/>
  <c r="N37" i="29" s="1"/>
  <c r="L253" i="72"/>
  <c r="K34" i="29" s="1"/>
  <c r="K36" i="29" s="1"/>
  <c r="K37" i="29" s="1"/>
  <c r="P253" i="72"/>
  <c r="O34" i="29" s="1"/>
  <c r="O36" i="29" s="1"/>
  <c r="O37" i="29" s="1"/>
  <c r="M247" i="72"/>
  <c r="L34" i="38" s="1"/>
  <c r="L36" i="38" s="1"/>
  <c r="L37" i="38" s="1"/>
  <c r="N247" i="72"/>
  <c r="M34" i="38" s="1"/>
  <c r="M36" i="38" s="1"/>
  <c r="M37" i="38" s="1"/>
  <c r="O247" i="72"/>
  <c r="N34" i="38" s="1"/>
  <c r="N36" i="38" s="1"/>
  <c r="N37" i="38" s="1"/>
  <c r="I247" i="72"/>
  <c r="J247" i="72"/>
  <c r="I34" i="38" s="1"/>
  <c r="I36" i="38" s="1"/>
  <c r="I37" i="38" s="1"/>
  <c r="K247" i="72"/>
  <c r="J34" i="38" s="1"/>
  <c r="J36" i="38" s="1"/>
  <c r="J37" i="38" s="1"/>
  <c r="Q247" i="72"/>
  <c r="P34" i="38" s="1"/>
  <c r="P36" i="38" s="1"/>
  <c r="P37" i="38" s="1"/>
  <c r="H41" i="38"/>
  <c r="H43" i="38" s="1"/>
  <c r="R247" i="72"/>
  <c r="L247" i="72"/>
  <c r="K34" i="38" s="1"/>
  <c r="K36" i="38" s="1"/>
  <c r="K37" i="38" s="1"/>
  <c r="P247" i="72"/>
  <c r="O34" i="38" s="1"/>
  <c r="O36" i="38" s="1"/>
  <c r="O37" i="38" s="1"/>
  <c r="K256" i="72"/>
  <c r="I140" i="72"/>
  <c r="H43" i="35" s="1"/>
  <c r="L256" i="72"/>
  <c r="M256" i="72"/>
  <c r="O256" i="72"/>
  <c r="P256" i="72"/>
  <c r="Q256" i="72"/>
  <c r="H36" i="35"/>
  <c r="H37" i="35" s="1"/>
  <c r="R256" i="72"/>
  <c r="N256" i="72"/>
  <c r="J256" i="72"/>
  <c r="P19" i="30"/>
  <c r="C21" i="27"/>
  <c r="K27" i="31"/>
  <c r="K31" i="31" s="1"/>
  <c r="K32" i="31" s="1"/>
  <c r="H27" i="31"/>
  <c r="H31" i="31" s="1"/>
  <c r="H32" i="31" s="1"/>
  <c r="T19" i="30"/>
  <c r="AF19" i="30"/>
  <c r="L27" i="31"/>
  <c r="L31" i="31" s="1"/>
  <c r="L32" i="31" s="1"/>
  <c r="J27" i="40"/>
  <c r="J31" i="40" s="1"/>
  <c r="J32" i="40" s="1"/>
  <c r="G110" i="72"/>
  <c r="S110" i="72" s="1"/>
  <c r="G172" i="59"/>
  <c r="G111" i="72"/>
  <c r="S111" i="72" s="1"/>
  <c r="G173" i="59"/>
  <c r="G97" i="72"/>
  <c r="G159" i="59"/>
  <c r="G102" i="72"/>
  <c r="S102" i="72" s="1"/>
  <c r="G164" i="59"/>
  <c r="G105" i="72"/>
  <c r="S105" i="72" s="1"/>
  <c r="G167" i="59"/>
  <c r="G101" i="72"/>
  <c r="G163" i="59"/>
  <c r="G113" i="72"/>
  <c r="G175" i="59"/>
  <c r="G112" i="72"/>
  <c r="G174" i="59"/>
  <c r="G106" i="72"/>
  <c r="G168" i="59"/>
  <c r="G98" i="72"/>
  <c r="G160" i="59"/>
  <c r="I27" i="31"/>
  <c r="I31" i="31" s="1"/>
  <c r="I32" i="31" s="1"/>
  <c r="F27" i="31"/>
  <c r="F31" i="31" s="1"/>
  <c r="F32" i="31" s="1"/>
  <c r="E27" i="31"/>
  <c r="E31" i="31" s="1"/>
  <c r="E32" i="31" s="1"/>
  <c r="X19" i="30"/>
  <c r="L19" i="30"/>
  <c r="L27" i="46"/>
  <c r="L31" i="46" s="1"/>
  <c r="L32" i="46" s="1"/>
  <c r="I84" i="70"/>
  <c r="M27" i="31"/>
  <c r="M31" i="31" s="1"/>
  <c r="M32" i="31" s="1"/>
  <c r="I66" i="70"/>
  <c r="F27" i="46"/>
  <c r="F31" i="46" s="1"/>
  <c r="F32" i="46" s="1"/>
  <c r="J27" i="46"/>
  <c r="J31" i="46" s="1"/>
  <c r="J32" i="46" s="1"/>
  <c r="I27" i="52"/>
  <c r="I31" i="52" s="1"/>
  <c r="I32" i="52" s="1"/>
  <c r="AB214" i="53"/>
  <c r="AB215" i="53" s="1"/>
  <c r="AB216" i="53" s="1"/>
  <c r="H272" i="53" s="1"/>
  <c r="H56" i="53" s="1"/>
  <c r="I27" i="40"/>
  <c r="I31" i="40" s="1"/>
  <c r="I32" i="40" s="1"/>
  <c r="AJ214" i="47"/>
  <c r="AJ215" i="47" s="1"/>
  <c r="AJ216" i="47" s="1"/>
  <c r="AD214" i="8"/>
  <c r="AD215" i="8" s="1"/>
  <c r="AD216" i="8" s="1"/>
  <c r="I74" i="70"/>
  <c r="AJ214" i="20"/>
  <c r="AE214" i="20"/>
  <c r="M27" i="52"/>
  <c r="M31" i="52" s="1"/>
  <c r="M32" i="52" s="1"/>
  <c r="E27" i="52"/>
  <c r="E31" i="52" s="1"/>
  <c r="E32" i="52" s="1"/>
  <c r="D21" i="51"/>
  <c r="D23" i="51" s="1"/>
  <c r="D25" i="51" s="1"/>
  <c r="AJ214" i="1"/>
  <c r="AJ215" i="1" s="1"/>
  <c r="AJ216" i="1" s="1"/>
  <c r="AM168" i="17"/>
  <c r="AL168" i="17"/>
  <c r="AM178" i="17"/>
  <c r="AL178" i="17"/>
  <c r="AM170" i="17"/>
  <c r="AL170" i="17"/>
  <c r="W91" i="17"/>
  <c r="AM190" i="17"/>
  <c r="AL190" i="17"/>
  <c r="AM174" i="14"/>
  <c r="AL174" i="14"/>
  <c r="AM169" i="11"/>
  <c r="AL169" i="11"/>
  <c r="AM176" i="11"/>
  <c r="AL176" i="11"/>
  <c r="D27" i="46"/>
  <c r="D31" i="46" s="1"/>
  <c r="D32" i="46" s="1"/>
  <c r="W15" i="33"/>
  <c r="W19" i="33" s="1"/>
  <c r="AK15" i="33"/>
  <c r="AK19" i="33" s="1"/>
  <c r="L15" i="33"/>
  <c r="AG15" i="33"/>
  <c r="AG19" i="33" s="1"/>
  <c r="AP15" i="33"/>
  <c r="AP19" i="33" s="1"/>
  <c r="F15" i="33"/>
  <c r="F19" i="33" s="1"/>
  <c r="O15" i="33"/>
  <c r="O19" i="33" s="1"/>
  <c r="AC15" i="33"/>
  <c r="AC19" i="33" s="1"/>
  <c r="D15" i="33"/>
  <c r="Y15" i="33"/>
  <c r="Y19" i="33" s="1"/>
  <c r="J15" i="33"/>
  <c r="J19" i="33" s="1"/>
  <c r="AE15" i="33"/>
  <c r="AE19" i="33" s="1"/>
  <c r="G15" i="33"/>
  <c r="G19" i="33" s="1"/>
  <c r="U15" i="33"/>
  <c r="U19" i="33" s="1"/>
  <c r="AQ15" i="33"/>
  <c r="AQ19" i="33" s="1"/>
  <c r="Q15" i="33"/>
  <c r="Q19" i="33" s="1"/>
  <c r="AN15" i="33"/>
  <c r="AF15" i="33"/>
  <c r="AL15" i="33"/>
  <c r="AL19" i="33" s="1"/>
  <c r="M15" i="33"/>
  <c r="M19" i="33" s="1"/>
  <c r="AI15" i="33"/>
  <c r="AI19" i="33" s="1"/>
  <c r="I15" i="33"/>
  <c r="I19" i="33" s="1"/>
  <c r="H15" i="33"/>
  <c r="AD15" i="33"/>
  <c r="AD19" i="33" s="1"/>
  <c r="E15" i="33"/>
  <c r="E19" i="33" s="1"/>
  <c r="AA15" i="33"/>
  <c r="AA19" i="33" s="1"/>
  <c r="R15" i="33"/>
  <c r="R19" i="33" s="1"/>
  <c r="AH15" i="33"/>
  <c r="AH19" i="33" s="1"/>
  <c r="T15" i="33"/>
  <c r="V15" i="33"/>
  <c r="V19" i="33" s="1"/>
  <c r="AJ15" i="33"/>
  <c r="S15" i="33"/>
  <c r="S19" i="33" s="1"/>
  <c r="H27" i="33"/>
  <c r="Z15" i="33"/>
  <c r="Z19" i="33" s="1"/>
  <c r="AM15" i="33"/>
  <c r="AM19" i="33" s="1"/>
  <c r="N15" i="33"/>
  <c r="N19" i="33" s="1"/>
  <c r="AB15" i="33"/>
  <c r="K15" i="33"/>
  <c r="K19" i="33" s="1"/>
  <c r="P15" i="33"/>
  <c r="X15" i="33"/>
  <c r="AO15" i="33"/>
  <c r="AO19" i="33" s="1"/>
  <c r="AB214" i="1"/>
  <c r="AB215" i="1" s="1"/>
  <c r="AB216" i="1" s="1"/>
  <c r="AG214" i="1"/>
  <c r="AG215" i="1" s="1"/>
  <c r="AG216" i="1" s="1"/>
  <c r="AC214" i="8"/>
  <c r="AC215" i="8" s="1"/>
  <c r="AC216" i="8" s="1"/>
  <c r="AF214" i="1"/>
  <c r="AF215" i="1" s="1"/>
  <c r="AF216" i="1" s="1"/>
  <c r="AL169" i="17"/>
  <c r="AM169" i="17"/>
  <c r="AL177" i="17"/>
  <c r="AM177" i="17"/>
  <c r="AM185" i="17"/>
  <c r="AL185" i="17"/>
  <c r="AM175" i="14"/>
  <c r="AL175" i="14"/>
  <c r="AM170" i="11"/>
  <c r="AL170" i="11"/>
  <c r="AG214" i="20"/>
  <c r="AC214" i="1"/>
  <c r="AC215" i="1" s="1"/>
  <c r="AC216" i="1" s="1"/>
  <c r="AG214" i="47"/>
  <c r="AG215" i="47" s="1"/>
  <c r="AG216" i="47" s="1"/>
  <c r="AE214" i="8"/>
  <c r="AE215" i="8" s="1"/>
  <c r="AE216" i="8" s="1"/>
  <c r="AI214" i="53"/>
  <c r="AI215" i="53" s="1"/>
  <c r="AI216" i="53" s="1"/>
  <c r="O272" i="53" s="1"/>
  <c r="O56" i="53" s="1"/>
  <c r="AH214" i="53"/>
  <c r="AH215" i="53" s="1"/>
  <c r="AH216" i="53" s="1"/>
  <c r="N272" i="53" s="1"/>
  <c r="N56" i="53" s="1"/>
  <c r="AL171" i="17"/>
  <c r="AM171" i="17"/>
  <c r="AM184" i="17"/>
  <c r="AL184" i="17"/>
  <c r="AM176" i="17"/>
  <c r="AL176" i="17"/>
  <c r="AM186" i="17"/>
  <c r="AL186" i="17"/>
  <c r="AM168" i="14"/>
  <c r="AL168" i="14"/>
  <c r="AM176" i="14"/>
  <c r="AL176" i="14"/>
  <c r="AM171" i="11"/>
  <c r="AL171" i="11"/>
  <c r="AL15" i="24"/>
  <c r="AL19" i="24" s="1"/>
  <c r="M15" i="24"/>
  <c r="M19" i="24" s="1"/>
  <c r="AI15" i="24"/>
  <c r="AI19" i="24" s="1"/>
  <c r="J15" i="24"/>
  <c r="J19" i="24" s="1"/>
  <c r="Y15" i="24"/>
  <c r="Y19" i="24" s="1"/>
  <c r="AD15" i="24"/>
  <c r="AD19" i="24" s="1"/>
  <c r="E15" i="24"/>
  <c r="E19" i="24" s="1"/>
  <c r="AA15" i="24"/>
  <c r="AA19" i="24" s="1"/>
  <c r="AO15" i="24"/>
  <c r="AO19" i="24" s="1"/>
  <c r="AN15" i="24"/>
  <c r="AQ15" i="24"/>
  <c r="AQ19" i="24" s="1"/>
  <c r="V15" i="24"/>
  <c r="V19" i="24" s="1"/>
  <c r="AJ15" i="24"/>
  <c r="S15" i="24"/>
  <c r="S19" i="24" s="1"/>
  <c r="Q15" i="24"/>
  <c r="Q19" i="24" s="1"/>
  <c r="AP15" i="24"/>
  <c r="AP19" i="24" s="1"/>
  <c r="U15" i="24"/>
  <c r="U19" i="24" s="1"/>
  <c r="AM15" i="24"/>
  <c r="AM19" i="24" s="1"/>
  <c r="N15" i="24"/>
  <c r="N19" i="24" s="1"/>
  <c r="AB15" i="24"/>
  <c r="K15" i="24"/>
  <c r="K19" i="24" s="1"/>
  <c r="AF15" i="24"/>
  <c r="X15" i="24"/>
  <c r="G15" i="24"/>
  <c r="G19" i="24" s="1"/>
  <c r="AE15" i="24"/>
  <c r="AE19" i="24" s="1"/>
  <c r="F15" i="24"/>
  <c r="F19" i="24" s="1"/>
  <c r="T15" i="24"/>
  <c r="H27" i="24"/>
  <c r="I15" i="24"/>
  <c r="I19" i="24" s="1"/>
  <c r="AG15" i="24"/>
  <c r="AG19" i="24" s="1"/>
  <c r="W15" i="24"/>
  <c r="W19" i="24" s="1"/>
  <c r="AK15" i="24"/>
  <c r="AK19" i="24" s="1"/>
  <c r="L15" i="24"/>
  <c r="AH15" i="24"/>
  <c r="AH19" i="24" s="1"/>
  <c r="R15" i="24"/>
  <c r="R19" i="24" s="1"/>
  <c r="O15" i="24"/>
  <c r="O19" i="24" s="1"/>
  <c r="AC15" i="24"/>
  <c r="AC19" i="24" s="1"/>
  <c r="D15" i="24"/>
  <c r="P15" i="24"/>
  <c r="Z15" i="24"/>
  <c r="Z19" i="24" s="1"/>
  <c r="H15" i="24"/>
  <c r="AH214" i="1"/>
  <c r="AH215" i="1" s="1"/>
  <c r="AH216" i="1" s="1"/>
  <c r="V15" i="36"/>
  <c r="V19" i="36" s="1"/>
  <c r="AJ15" i="36"/>
  <c r="S15" i="36"/>
  <c r="S19" i="36" s="1"/>
  <c r="H27" i="36"/>
  <c r="Z15" i="36"/>
  <c r="Z19" i="36" s="1"/>
  <c r="R15" i="36"/>
  <c r="R19" i="36" s="1"/>
  <c r="AM15" i="36"/>
  <c r="AM19" i="36" s="1"/>
  <c r="N15" i="36"/>
  <c r="N19" i="36" s="1"/>
  <c r="AB15" i="36"/>
  <c r="K15" i="36"/>
  <c r="K19" i="36" s="1"/>
  <c r="P15" i="36"/>
  <c r="X15" i="36"/>
  <c r="AE15" i="36"/>
  <c r="AE19" i="36" s="1"/>
  <c r="F15" i="36"/>
  <c r="F19" i="36" s="1"/>
  <c r="T15" i="36"/>
  <c r="AO15" i="36"/>
  <c r="AO19" i="36" s="1"/>
  <c r="AP15" i="36"/>
  <c r="AP19" i="36" s="1"/>
  <c r="AD15" i="36"/>
  <c r="AD19" i="36" s="1"/>
  <c r="AH15" i="36"/>
  <c r="AH19" i="36" s="1"/>
  <c r="W15" i="36"/>
  <c r="W19" i="36" s="1"/>
  <c r="AK15" i="36"/>
  <c r="AK19" i="36" s="1"/>
  <c r="L15" i="36"/>
  <c r="AG15" i="36"/>
  <c r="AG19" i="36" s="1"/>
  <c r="J15" i="36"/>
  <c r="J19" i="36" s="1"/>
  <c r="E15" i="36"/>
  <c r="E19" i="36" s="1"/>
  <c r="O15" i="36"/>
  <c r="O19" i="36" s="1"/>
  <c r="AC15" i="36"/>
  <c r="AC19" i="36" s="1"/>
  <c r="D15" i="36"/>
  <c r="Y15" i="36"/>
  <c r="Y19" i="36" s="1"/>
  <c r="AF15" i="36"/>
  <c r="AA15" i="36"/>
  <c r="AA19" i="36" s="1"/>
  <c r="G15" i="36"/>
  <c r="G19" i="36" s="1"/>
  <c r="U15" i="36"/>
  <c r="U19" i="36" s="1"/>
  <c r="AQ15" i="36"/>
  <c r="AQ19" i="36" s="1"/>
  <c r="Q15" i="36"/>
  <c r="Q19" i="36" s="1"/>
  <c r="AN15" i="36"/>
  <c r="AL15" i="36"/>
  <c r="AL19" i="36" s="1"/>
  <c r="M15" i="36"/>
  <c r="M19" i="36" s="1"/>
  <c r="AI15" i="36"/>
  <c r="AI19" i="36" s="1"/>
  <c r="I15" i="36"/>
  <c r="I19" i="36" s="1"/>
  <c r="H15" i="36"/>
  <c r="AF214" i="47"/>
  <c r="AF215" i="47" s="1"/>
  <c r="AF216" i="47" s="1"/>
  <c r="AG214" i="8"/>
  <c r="AG215" i="8" s="1"/>
  <c r="O15" i="48"/>
  <c r="O19" i="48" s="1"/>
  <c r="AC15" i="48"/>
  <c r="AC19" i="48" s="1"/>
  <c r="D15" i="48"/>
  <c r="P15" i="48"/>
  <c r="H15" i="48"/>
  <c r="W15" i="48"/>
  <c r="W19" i="48" s="1"/>
  <c r="G15" i="48"/>
  <c r="G19" i="48" s="1"/>
  <c r="U15" i="48"/>
  <c r="U19" i="48" s="1"/>
  <c r="AQ15" i="48"/>
  <c r="AQ19" i="48" s="1"/>
  <c r="AG15" i="48"/>
  <c r="AG19" i="48" s="1"/>
  <c r="Y15" i="48"/>
  <c r="Y19" i="48" s="1"/>
  <c r="AL15" i="48"/>
  <c r="AL19" i="48" s="1"/>
  <c r="M15" i="48"/>
  <c r="M19" i="48" s="1"/>
  <c r="AI15" i="48"/>
  <c r="AI19" i="48" s="1"/>
  <c r="J15" i="48"/>
  <c r="J19" i="48" s="1"/>
  <c r="AO15" i="48"/>
  <c r="AO19" i="48" s="1"/>
  <c r="L15" i="48"/>
  <c r="AD15" i="48"/>
  <c r="AD19" i="48" s="1"/>
  <c r="E15" i="48"/>
  <c r="E19" i="48" s="1"/>
  <c r="AA15" i="48"/>
  <c r="AA19" i="48" s="1"/>
  <c r="AF15" i="48"/>
  <c r="R15" i="48"/>
  <c r="R19" i="48" s="1"/>
  <c r="V15" i="48"/>
  <c r="V19" i="48" s="1"/>
  <c r="AJ15" i="48"/>
  <c r="S15" i="48"/>
  <c r="S19" i="48" s="1"/>
  <c r="I15" i="48"/>
  <c r="I19" i="48" s="1"/>
  <c r="AN15" i="48"/>
  <c r="AH15" i="48"/>
  <c r="AH19" i="48" s="1"/>
  <c r="AM15" i="48"/>
  <c r="AM19" i="48" s="1"/>
  <c r="N15" i="48"/>
  <c r="N19" i="48" s="1"/>
  <c r="AB15" i="48"/>
  <c r="K15" i="48"/>
  <c r="K19" i="48" s="1"/>
  <c r="AP15" i="48"/>
  <c r="AP19" i="48" s="1"/>
  <c r="Q15" i="48"/>
  <c r="Q19" i="48" s="1"/>
  <c r="AK15" i="48"/>
  <c r="AK19" i="48" s="1"/>
  <c r="AE15" i="48"/>
  <c r="AE19" i="48" s="1"/>
  <c r="F15" i="48"/>
  <c r="F19" i="48" s="1"/>
  <c r="T15" i="48"/>
  <c r="H27" i="48"/>
  <c r="X15" i="48"/>
  <c r="Z15" i="48"/>
  <c r="Z19" i="48" s="1"/>
  <c r="AG214" i="53"/>
  <c r="AG215" i="53" s="1"/>
  <c r="AG216" i="53" s="1"/>
  <c r="M272" i="53" s="1"/>
  <c r="M56" i="53" s="1"/>
  <c r="AF214" i="53"/>
  <c r="AF215" i="53" s="1"/>
  <c r="AF216" i="53" s="1"/>
  <c r="L272" i="53" s="1"/>
  <c r="L56" i="53" s="1"/>
  <c r="AC214" i="53"/>
  <c r="AC215" i="53" s="1"/>
  <c r="AC216" i="53" s="1"/>
  <c r="I272" i="53" s="1"/>
  <c r="I56" i="53" s="1"/>
  <c r="AM173" i="14"/>
  <c r="AL173" i="14"/>
  <c r="AM183" i="17"/>
  <c r="AL183" i="17"/>
  <c r="AL175" i="17"/>
  <c r="AM175" i="17"/>
  <c r="AM187" i="17"/>
  <c r="AL187" i="17"/>
  <c r="AM169" i="14"/>
  <c r="AL169" i="14"/>
  <c r="AM177" i="14"/>
  <c r="AL177" i="14"/>
  <c r="AM172" i="11"/>
  <c r="AL172" i="11"/>
  <c r="J27" i="52"/>
  <c r="J31" i="52" s="1"/>
  <c r="J32" i="52" s="1"/>
  <c r="I81" i="70"/>
  <c r="AD214" i="1"/>
  <c r="AD215" i="1" s="1"/>
  <c r="AD216" i="1" s="1"/>
  <c r="AI214" i="47"/>
  <c r="AI215" i="47" s="1"/>
  <c r="AI216" i="47" s="1"/>
  <c r="AF214" i="8"/>
  <c r="AF215" i="8" s="1"/>
  <c r="AF216" i="8" s="1"/>
  <c r="AJ214" i="53"/>
  <c r="AJ215" i="53" s="1"/>
  <c r="AM179" i="17"/>
  <c r="AL179" i="17"/>
  <c r="AL182" i="17"/>
  <c r="AM182" i="17"/>
  <c r="AM174" i="17"/>
  <c r="AL174" i="17"/>
  <c r="AM170" i="14"/>
  <c r="AL170" i="14"/>
  <c r="AM178" i="14"/>
  <c r="AL178" i="14"/>
  <c r="AM173" i="11"/>
  <c r="AL173" i="11"/>
  <c r="K27" i="40"/>
  <c r="K31" i="40" s="1"/>
  <c r="K32" i="40" s="1"/>
  <c r="AH214" i="47"/>
  <c r="AH215" i="47" s="1"/>
  <c r="AH216" i="47" s="1"/>
  <c r="AH214" i="8"/>
  <c r="AH215" i="8" s="1"/>
  <c r="AE214" i="53"/>
  <c r="AE215" i="53" s="1"/>
  <c r="AE216" i="53" s="1"/>
  <c r="K272" i="53" s="1"/>
  <c r="K56" i="53" s="1"/>
  <c r="AM181" i="17"/>
  <c r="AL181" i="17"/>
  <c r="AL173" i="17"/>
  <c r="AM173" i="17"/>
  <c r="W89" i="17"/>
  <c r="AM188" i="17"/>
  <c r="AL188" i="17"/>
  <c r="AM171" i="14"/>
  <c r="AL171" i="14"/>
  <c r="AM179" i="14"/>
  <c r="AL179" i="14"/>
  <c r="AM174" i="11"/>
  <c r="AL174" i="11"/>
  <c r="AE214" i="1"/>
  <c r="AE215" i="1" s="1"/>
  <c r="AE216" i="1" s="1"/>
  <c r="AI214" i="1"/>
  <c r="AI215" i="1" s="1"/>
  <c r="AI216" i="1" s="1"/>
  <c r="G15" i="54"/>
  <c r="G19" i="54" s="1"/>
  <c r="U15" i="54"/>
  <c r="U19" i="54" s="1"/>
  <c r="AQ15" i="54"/>
  <c r="AQ19" i="54" s="1"/>
  <c r="Q15" i="54"/>
  <c r="Q19" i="54" s="1"/>
  <c r="H15" i="54"/>
  <c r="O15" i="54"/>
  <c r="O19" i="54" s="1"/>
  <c r="AL15" i="54"/>
  <c r="AL19" i="54" s="1"/>
  <c r="M15" i="54"/>
  <c r="M19" i="54" s="1"/>
  <c r="AI15" i="54"/>
  <c r="AI19" i="54" s="1"/>
  <c r="I15" i="54"/>
  <c r="I19" i="54" s="1"/>
  <c r="AH15" i="54"/>
  <c r="AH19" i="54" s="1"/>
  <c r="Y15" i="54"/>
  <c r="Y19" i="54" s="1"/>
  <c r="AD15" i="54"/>
  <c r="AD19" i="54" s="1"/>
  <c r="E15" i="54"/>
  <c r="E19" i="54" s="1"/>
  <c r="AA15" i="54"/>
  <c r="AA19" i="54" s="1"/>
  <c r="R15" i="54"/>
  <c r="R19" i="54" s="1"/>
  <c r="Z15" i="54"/>
  <c r="Z19" i="54" s="1"/>
  <c r="D15" i="54"/>
  <c r="V15" i="54"/>
  <c r="V19" i="54" s="1"/>
  <c r="AJ15" i="54"/>
  <c r="S15" i="54"/>
  <c r="S19" i="54" s="1"/>
  <c r="H27" i="54"/>
  <c r="X15" i="54"/>
  <c r="AM15" i="54"/>
  <c r="AM19" i="54" s="1"/>
  <c r="N15" i="54"/>
  <c r="N19" i="54" s="1"/>
  <c r="AB15" i="54"/>
  <c r="K15" i="54"/>
  <c r="K19" i="54" s="1"/>
  <c r="P15" i="54"/>
  <c r="AF15" i="54"/>
  <c r="AN15" i="54"/>
  <c r="AE15" i="54"/>
  <c r="AE19" i="54" s="1"/>
  <c r="F15" i="54"/>
  <c r="F19" i="54" s="1"/>
  <c r="T15" i="54"/>
  <c r="AO15" i="54"/>
  <c r="AO19" i="54" s="1"/>
  <c r="AP15" i="54"/>
  <c r="AP19" i="54" s="1"/>
  <c r="AC15" i="54"/>
  <c r="AC19" i="54" s="1"/>
  <c r="W15" i="54"/>
  <c r="W19" i="54" s="1"/>
  <c r="AK15" i="54"/>
  <c r="AK19" i="54" s="1"/>
  <c r="L15" i="54"/>
  <c r="AG15" i="54"/>
  <c r="AG19" i="54" s="1"/>
  <c r="J15" i="54"/>
  <c r="J19" i="54" s="1"/>
  <c r="AE214" i="47"/>
  <c r="AE215" i="47" s="1"/>
  <c r="AE216" i="47" s="1"/>
  <c r="AC214" i="47"/>
  <c r="AC215" i="47" s="1"/>
  <c r="AC216" i="47" s="1"/>
  <c r="AI214" i="8"/>
  <c r="AI215" i="8" s="1"/>
  <c r="AB214" i="8"/>
  <c r="AB215" i="8" s="1"/>
  <c r="AB216" i="8" s="1"/>
  <c r="AD214" i="53"/>
  <c r="AD215" i="53" s="1"/>
  <c r="AD216" i="53" s="1"/>
  <c r="J272" i="53" s="1"/>
  <c r="J56" i="53" s="1"/>
  <c r="AM168" i="11"/>
  <c r="AL168" i="11"/>
  <c r="AM180" i="17"/>
  <c r="AL180" i="17"/>
  <c r="AM172" i="17"/>
  <c r="AL172" i="17"/>
  <c r="W90" i="17"/>
  <c r="AM189" i="17"/>
  <c r="AL189" i="17"/>
  <c r="AM172" i="14"/>
  <c r="AL172" i="14"/>
  <c r="AM175" i="11"/>
  <c r="AL175" i="11"/>
  <c r="G15" i="42"/>
  <c r="G19" i="42" s="1"/>
  <c r="U15" i="42"/>
  <c r="U19" i="42" s="1"/>
  <c r="AO15" i="42"/>
  <c r="AO19" i="42" s="1"/>
  <c r="X15" i="42"/>
  <c r="AA15" i="42"/>
  <c r="AA19" i="42" s="1"/>
  <c r="D15" i="42"/>
  <c r="AL15" i="42"/>
  <c r="AL19" i="42" s="1"/>
  <c r="M15" i="42"/>
  <c r="M19" i="42" s="1"/>
  <c r="AG15" i="42"/>
  <c r="AG19" i="42" s="1"/>
  <c r="P15" i="42"/>
  <c r="AP15" i="42"/>
  <c r="AP19" i="42" s="1"/>
  <c r="AD15" i="42"/>
  <c r="AD19" i="42" s="1"/>
  <c r="E15" i="42"/>
  <c r="E19" i="42" s="1"/>
  <c r="Y15" i="42"/>
  <c r="Y19" i="42" s="1"/>
  <c r="H15" i="42"/>
  <c r="J15" i="42"/>
  <c r="J19" i="42" s="1"/>
  <c r="AF15" i="42"/>
  <c r="V15" i="42"/>
  <c r="V19" i="42" s="1"/>
  <c r="AJ15" i="42"/>
  <c r="Q15" i="42"/>
  <c r="Q19" i="42" s="1"/>
  <c r="S15" i="42"/>
  <c r="S19" i="42" s="1"/>
  <c r="Z15" i="42"/>
  <c r="Z19" i="42" s="1"/>
  <c r="AM15" i="42"/>
  <c r="AM19" i="42" s="1"/>
  <c r="N15" i="42"/>
  <c r="N19" i="42" s="1"/>
  <c r="AB15" i="42"/>
  <c r="I15" i="42"/>
  <c r="I19" i="42" s="1"/>
  <c r="R15" i="42"/>
  <c r="R19" i="42" s="1"/>
  <c r="AI15" i="42"/>
  <c r="AI19" i="42" s="1"/>
  <c r="AC15" i="42"/>
  <c r="AC19" i="42" s="1"/>
  <c r="AE15" i="42"/>
  <c r="AE19" i="42" s="1"/>
  <c r="F15" i="42"/>
  <c r="F19" i="42" s="1"/>
  <c r="T15" i="42"/>
  <c r="H27" i="42"/>
  <c r="AQ15" i="42"/>
  <c r="AQ19" i="42" s="1"/>
  <c r="AH15" i="42"/>
  <c r="AH19" i="42" s="1"/>
  <c r="W15" i="42"/>
  <c r="W19" i="42" s="1"/>
  <c r="AK15" i="42"/>
  <c r="AK19" i="42" s="1"/>
  <c r="L15" i="42"/>
  <c r="AN15" i="42"/>
  <c r="K15" i="42"/>
  <c r="K19" i="42" s="1"/>
  <c r="O15" i="42"/>
  <c r="O19" i="42" s="1"/>
  <c r="AD214" i="47"/>
  <c r="AD215" i="47" s="1"/>
  <c r="AD216" i="47" s="1"/>
  <c r="AJ214" i="8"/>
  <c r="AJ215" i="8" s="1"/>
  <c r="AJ216" i="8" s="1"/>
  <c r="D27" i="40"/>
  <c r="D31" i="40" s="1"/>
  <c r="D32" i="40" s="1"/>
  <c r="G27" i="40"/>
  <c r="G31" i="40" s="1"/>
  <c r="G32" i="40" s="1"/>
  <c r="D27" i="31"/>
  <c r="D31" i="31" s="1"/>
  <c r="D32" i="31" s="1"/>
  <c r="L27" i="40"/>
  <c r="L31" i="40" s="1"/>
  <c r="L32" i="40" s="1"/>
  <c r="L27" i="52"/>
  <c r="L31" i="52" s="1"/>
  <c r="L32" i="52" s="1"/>
  <c r="D19" i="45"/>
  <c r="D21" i="45" s="1"/>
  <c r="E21" i="45" s="1"/>
  <c r="E27" i="40"/>
  <c r="E31" i="40" s="1"/>
  <c r="E32" i="40" s="1"/>
  <c r="J115" i="20"/>
  <c r="J49" i="20" s="1"/>
  <c r="H19" i="30"/>
  <c r="F27" i="40"/>
  <c r="F31" i="40" s="1"/>
  <c r="F32" i="40" s="1"/>
  <c r="I27" i="46"/>
  <c r="I31" i="46" s="1"/>
  <c r="I32" i="46" s="1"/>
  <c r="K27" i="52"/>
  <c r="K31" i="52" s="1"/>
  <c r="K32" i="52" s="1"/>
  <c r="J83" i="70"/>
  <c r="K267" i="29"/>
  <c r="L45" i="59" s="1"/>
  <c r="H27" i="46"/>
  <c r="H31" i="46" s="1"/>
  <c r="H32" i="46" s="1"/>
  <c r="J74" i="70"/>
  <c r="E27" i="46"/>
  <c r="E31" i="46" s="1"/>
  <c r="E32" i="46" s="1"/>
  <c r="G27" i="52"/>
  <c r="G31" i="52" s="1"/>
  <c r="G32" i="52" s="1"/>
  <c r="M27" i="46"/>
  <c r="M31" i="46" s="1"/>
  <c r="M32" i="46" s="1"/>
  <c r="G27" i="46"/>
  <c r="G31" i="46" s="1"/>
  <c r="G32" i="46" s="1"/>
  <c r="X19" i="51"/>
  <c r="J267" i="23"/>
  <c r="K44" i="59" s="1"/>
  <c r="J27" i="31"/>
  <c r="J31" i="31" s="1"/>
  <c r="J32" i="31" s="1"/>
  <c r="K27" i="46"/>
  <c r="K31" i="46" s="1"/>
  <c r="K32" i="46" s="1"/>
  <c r="F27" i="52"/>
  <c r="F31" i="52" s="1"/>
  <c r="F32" i="52" s="1"/>
  <c r="D27" i="52"/>
  <c r="D31" i="52" s="1"/>
  <c r="D32" i="52" s="1"/>
  <c r="H27" i="40"/>
  <c r="H31" i="40" s="1"/>
  <c r="H32" i="40" s="1"/>
  <c r="M27" i="40"/>
  <c r="M31" i="40" s="1"/>
  <c r="M32" i="40" s="1"/>
  <c r="H27" i="52"/>
  <c r="H31" i="52" s="1"/>
  <c r="H32" i="52" s="1"/>
  <c r="J77" i="59"/>
  <c r="J140" i="72" s="1"/>
  <c r="I41" i="35" s="1"/>
  <c r="J19" i="72"/>
  <c r="I39" i="35" s="1"/>
  <c r="J19" i="70"/>
  <c r="K26" i="72"/>
  <c r="J39" i="41" s="1"/>
  <c r="K26" i="70"/>
  <c r="K84" i="59"/>
  <c r="K147" i="72" s="1"/>
  <c r="J41" i="41" s="1"/>
  <c r="K8" i="72"/>
  <c r="J39" i="5" s="1"/>
  <c r="K66" i="59"/>
  <c r="K129" i="72" s="1"/>
  <c r="J41" i="5" s="1"/>
  <c r="K8" i="70"/>
  <c r="CJ171" i="17"/>
  <c r="CF175" i="17" s="1"/>
  <c r="H261" i="17"/>
  <c r="H258" i="17"/>
  <c r="H263" i="17"/>
  <c r="H260" i="17"/>
  <c r="H265" i="17"/>
  <c r="H257" i="17"/>
  <c r="H251" i="17"/>
  <c r="H243" i="17"/>
  <c r="H235" i="17"/>
  <c r="H227" i="17"/>
  <c r="H248" i="17"/>
  <c r="H240" i="17"/>
  <c r="H232" i="17"/>
  <c r="H224" i="17"/>
  <c r="H256" i="17"/>
  <c r="H253" i="17"/>
  <c r="H245" i="17"/>
  <c r="H237" i="17"/>
  <c r="H229" i="17"/>
  <c r="H221" i="17"/>
  <c r="H250" i="17"/>
  <c r="H242" i="17"/>
  <c r="H234" i="17"/>
  <c r="H226" i="17"/>
  <c r="H264" i="17"/>
  <c r="H259" i="17"/>
  <c r="H255" i="17"/>
  <c r="H247" i="17"/>
  <c r="H239" i="17"/>
  <c r="H231" i="17"/>
  <c r="H223" i="17"/>
  <c r="H262" i="17"/>
  <c r="H252" i="17"/>
  <c r="H244" i="17"/>
  <c r="H236" i="17"/>
  <c r="H228" i="17"/>
  <c r="H220" i="17"/>
  <c r="H249" i="17"/>
  <c r="H241" i="17"/>
  <c r="H233" i="17"/>
  <c r="H225" i="17"/>
  <c r="H238" i="17"/>
  <c r="H230" i="17"/>
  <c r="H254" i="17"/>
  <c r="H222" i="17"/>
  <c r="H246" i="17"/>
  <c r="H203" i="17"/>
  <c r="H195" i="17"/>
  <c r="H187" i="17"/>
  <c r="H179" i="17"/>
  <c r="H171" i="17"/>
  <c r="H205" i="17"/>
  <c r="H207" i="17"/>
  <c r="H199" i="17"/>
  <c r="H191" i="17"/>
  <c r="H183" i="17"/>
  <c r="H204" i="17"/>
  <c r="H196" i="17"/>
  <c r="H188" i="17"/>
  <c r="H180" i="17"/>
  <c r="H172" i="17"/>
  <c r="H198" i="17"/>
  <c r="H197" i="17"/>
  <c r="H208" i="17"/>
  <c r="H200" i="17"/>
  <c r="H178" i="17"/>
  <c r="H177" i="17"/>
  <c r="H176" i="17"/>
  <c r="H190" i="17"/>
  <c r="H189" i="17"/>
  <c r="H175" i="17"/>
  <c r="H209" i="17"/>
  <c r="H201" i="17"/>
  <c r="H192" i="17"/>
  <c r="H174" i="17"/>
  <c r="H193" i="17"/>
  <c r="H182" i="17"/>
  <c r="H181" i="17"/>
  <c r="H173" i="17"/>
  <c r="H206" i="17"/>
  <c r="H185" i="17"/>
  <c r="H167" i="17"/>
  <c r="H168" i="17"/>
  <c r="H169" i="17"/>
  <c r="H186" i="17"/>
  <c r="H170" i="17"/>
  <c r="H194" i="17"/>
  <c r="H184" i="17"/>
  <c r="H202" i="17"/>
  <c r="H90" i="17"/>
  <c r="H70" i="14"/>
  <c r="H74" i="14"/>
  <c r="J267" i="50"/>
  <c r="K53" i="59" s="1"/>
  <c r="K14" i="72"/>
  <c r="J39" i="47" s="1"/>
  <c r="K14" i="70"/>
  <c r="K72" i="59"/>
  <c r="K135" i="72" s="1"/>
  <c r="J41" i="47" s="1"/>
  <c r="J44" i="70"/>
  <c r="J44" i="72"/>
  <c r="I40" i="23" s="1"/>
  <c r="J11" i="72"/>
  <c r="I39" i="32" s="1"/>
  <c r="J11" i="70"/>
  <c r="J48" i="70"/>
  <c r="J48" i="72"/>
  <c r="I40" i="35" s="1"/>
  <c r="K267" i="47"/>
  <c r="L43" i="59" s="1"/>
  <c r="L283" i="59" s="1"/>
  <c r="J53" i="70"/>
  <c r="J53" i="72"/>
  <c r="I40" i="50" s="1"/>
  <c r="J267" i="35"/>
  <c r="K48" i="59" s="1"/>
  <c r="K288" i="59" s="1"/>
  <c r="I72" i="70"/>
  <c r="I77" i="70"/>
  <c r="K215" i="5"/>
  <c r="L8" i="59" s="1"/>
  <c r="G115" i="17"/>
  <c r="G49" i="17" s="1"/>
  <c r="H260" i="11"/>
  <c r="H252" i="11"/>
  <c r="H244" i="11"/>
  <c r="H236" i="11"/>
  <c r="H228" i="11"/>
  <c r="H220" i="11"/>
  <c r="H265" i="11"/>
  <c r="H257" i="11"/>
  <c r="H249" i="11"/>
  <c r="H241" i="11"/>
  <c r="H233" i="11"/>
  <c r="H225" i="11"/>
  <c r="H262" i="11"/>
  <c r="H254" i="11"/>
  <c r="H246" i="11"/>
  <c r="H238" i="11"/>
  <c r="H230" i="11"/>
  <c r="H222" i="11"/>
  <c r="H259" i="11"/>
  <c r="H251" i="11"/>
  <c r="H243" i="11"/>
  <c r="H235" i="11"/>
  <c r="H227" i="11"/>
  <c r="H264" i="11"/>
  <c r="H256" i="11"/>
  <c r="H248" i="11"/>
  <c r="H240" i="11"/>
  <c r="H232" i="11"/>
  <c r="H224" i="11"/>
  <c r="H261" i="11"/>
  <c r="H253" i="11"/>
  <c r="H245" i="11"/>
  <c r="H237" i="11"/>
  <c r="H229" i="11"/>
  <c r="H221" i="11"/>
  <c r="H258" i="11"/>
  <c r="H250" i="11"/>
  <c r="H242" i="11"/>
  <c r="H234" i="11"/>
  <c r="H226" i="11"/>
  <c r="H263" i="11"/>
  <c r="H231" i="11"/>
  <c r="H255" i="11"/>
  <c r="H223" i="11"/>
  <c r="H247" i="11"/>
  <c r="H239" i="11"/>
  <c r="H207" i="11"/>
  <c r="H199" i="11"/>
  <c r="H191" i="11"/>
  <c r="H183" i="11"/>
  <c r="H175" i="11"/>
  <c r="H167" i="11"/>
  <c r="H204" i="11"/>
  <c r="H196" i="11"/>
  <c r="H188" i="11"/>
  <c r="H180" i="11"/>
  <c r="H172" i="11"/>
  <c r="H209" i="11"/>
  <c r="H201" i="11"/>
  <c r="H193" i="11"/>
  <c r="H185" i="11"/>
  <c r="H177" i="11"/>
  <c r="H169" i="11"/>
  <c r="H206" i="11"/>
  <c r="H198" i="11"/>
  <c r="H190" i="11"/>
  <c r="H182" i="11"/>
  <c r="H174" i="11"/>
  <c r="H203" i="11"/>
  <c r="H195" i="11"/>
  <c r="H187" i="11"/>
  <c r="H179" i="11"/>
  <c r="H171" i="11"/>
  <c r="H205" i="11"/>
  <c r="H197" i="11"/>
  <c r="H189" i="11"/>
  <c r="H181" i="11"/>
  <c r="H173" i="11"/>
  <c r="H200" i="11"/>
  <c r="H184" i="11"/>
  <c r="H168" i="11"/>
  <c r="H192" i="11"/>
  <c r="H202" i="11"/>
  <c r="H186" i="11"/>
  <c r="H170" i="11"/>
  <c r="H176" i="11"/>
  <c r="H208" i="11"/>
  <c r="H194" i="11"/>
  <c r="H178" i="11"/>
  <c r="G115" i="11"/>
  <c r="G49" i="11" s="1"/>
  <c r="H74" i="11"/>
  <c r="L261" i="38"/>
  <c r="L253" i="38"/>
  <c r="L245" i="38"/>
  <c r="L237" i="38"/>
  <c r="L258" i="38"/>
  <c r="L250" i="38"/>
  <c r="L242" i="38"/>
  <c r="L234" i="38"/>
  <c r="L263" i="38"/>
  <c r="L255" i="38"/>
  <c r="L247" i="38"/>
  <c r="L239" i="38"/>
  <c r="L260" i="38"/>
  <c r="L252" i="38"/>
  <c r="L244" i="38"/>
  <c r="L236" i="38"/>
  <c r="L265" i="38"/>
  <c r="L257" i="38"/>
  <c r="L249" i="38"/>
  <c r="L241" i="38"/>
  <c r="L233" i="38"/>
  <c r="L262" i="38"/>
  <c r="L254" i="38"/>
  <c r="L246" i="38"/>
  <c r="L238" i="38"/>
  <c r="L259" i="38"/>
  <c r="L251" i="38"/>
  <c r="L243" i="38"/>
  <c r="L235" i="38"/>
  <c r="L256" i="38"/>
  <c r="L226" i="38"/>
  <c r="L232" i="38"/>
  <c r="L231" i="38"/>
  <c r="L223" i="38"/>
  <c r="L248" i="38"/>
  <c r="L228" i="38"/>
  <c r="L220" i="38"/>
  <c r="L225" i="38"/>
  <c r="L240" i="38"/>
  <c r="L230" i="38"/>
  <c r="L222" i="38"/>
  <c r="L227" i="38"/>
  <c r="L264" i="38"/>
  <c r="L224" i="38"/>
  <c r="L229" i="38"/>
  <c r="L221" i="38"/>
  <c r="L204" i="38"/>
  <c r="L196" i="38"/>
  <c r="L188" i="38"/>
  <c r="L180" i="38"/>
  <c r="L172" i="38"/>
  <c r="L209" i="38"/>
  <c r="L201" i="38"/>
  <c r="L193" i="38"/>
  <c r="L185" i="38"/>
  <c r="L177" i="38"/>
  <c r="L169" i="38"/>
  <c r="L206" i="38"/>
  <c r="L198" i="38"/>
  <c r="L190" i="38"/>
  <c r="L182" i="38"/>
  <c r="L174" i="38"/>
  <c r="L208" i="38"/>
  <c r="L200" i="38"/>
  <c r="L192" i="38"/>
  <c r="L184" i="38"/>
  <c r="L176" i="38"/>
  <c r="L168" i="38"/>
  <c r="L205" i="38"/>
  <c r="L197" i="38"/>
  <c r="L189" i="38"/>
  <c r="L181" i="38"/>
  <c r="L173" i="38"/>
  <c r="L202" i="38"/>
  <c r="L194" i="38"/>
  <c r="L186" i="38"/>
  <c r="L178" i="38"/>
  <c r="L170" i="38"/>
  <c r="L199" i="38"/>
  <c r="L183" i="38"/>
  <c r="L167" i="38"/>
  <c r="L207" i="38"/>
  <c r="L203" i="38"/>
  <c r="L187" i="38"/>
  <c r="L171" i="38"/>
  <c r="L191" i="38"/>
  <c r="L175" i="38"/>
  <c r="L195" i="38"/>
  <c r="L179" i="38"/>
  <c r="K262" i="44"/>
  <c r="K254" i="44"/>
  <c r="K259" i="44"/>
  <c r="K264" i="44"/>
  <c r="K256" i="44"/>
  <c r="K258" i="44"/>
  <c r="K263" i="44"/>
  <c r="K255" i="44"/>
  <c r="K260" i="44"/>
  <c r="K248" i="44"/>
  <c r="K240" i="44"/>
  <c r="K232" i="44"/>
  <c r="K224" i="44"/>
  <c r="K265" i="44"/>
  <c r="K245" i="44"/>
  <c r="K237" i="44"/>
  <c r="K229" i="44"/>
  <c r="K221" i="44"/>
  <c r="K250" i="44"/>
  <c r="K242" i="44"/>
  <c r="K234" i="44"/>
  <c r="K226" i="44"/>
  <c r="K253" i="44"/>
  <c r="K247" i="44"/>
  <c r="K239" i="44"/>
  <c r="K231" i="44"/>
  <c r="K223" i="44"/>
  <c r="K252" i="44"/>
  <c r="K244" i="44"/>
  <c r="K236" i="44"/>
  <c r="K228" i="44"/>
  <c r="K220" i="44"/>
  <c r="K257" i="44"/>
  <c r="K249" i="44"/>
  <c r="K241" i="44"/>
  <c r="K233" i="44"/>
  <c r="K225" i="44"/>
  <c r="K246" i="44"/>
  <c r="K238" i="44"/>
  <c r="K230" i="44"/>
  <c r="K222" i="44"/>
  <c r="K243" i="44"/>
  <c r="K235" i="44"/>
  <c r="K227" i="44"/>
  <c r="K251" i="44"/>
  <c r="K261" i="44"/>
  <c r="K206" i="44"/>
  <c r="K198" i="44"/>
  <c r="K190" i="44"/>
  <c r="K182" i="44"/>
  <c r="K174" i="44"/>
  <c r="K203" i="44"/>
  <c r="K195" i="44"/>
  <c r="K187" i="44"/>
  <c r="K179" i="44"/>
  <c r="K171" i="44"/>
  <c r="K208" i="44"/>
  <c r="K200" i="44"/>
  <c r="K192" i="44"/>
  <c r="K184" i="44"/>
  <c r="K176" i="44"/>
  <c r="K168" i="44"/>
  <c r="K205" i="44"/>
  <c r="K197" i="44"/>
  <c r="K189" i="44"/>
  <c r="K181" i="44"/>
  <c r="K173" i="44"/>
  <c r="K202" i="44"/>
  <c r="K194" i="44"/>
  <c r="K186" i="44"/>
  <c r="K178" i="44"/>
  <c r="K170" i="44"/>
  <c r="K204" i="44"/>
  <c r="K196" i="44"/>
  <c r="K188" i="44"/>
  <c r="K180" i="44"/>
  <c r="K172" i="44"/>
  <c r="K201" i="44"/>
  <c r="K185" i="44"/>
  <c r="K169" i="44"/>
  <c r="K207" i="44"/>
  <c r="K191" i="44"/>
  <c r="K175" i="44"/>
  <c r="K209" i="44"/>
  <c r="K193" i="44"/>
  <c r="K177" i="44"/>
  <c r="K199" i="44"/>
  <c r="K183" i="44"/>
  <c r="K167" i="44"/>
  <c r="S125" i="26"/>
  <c r="J37" i="28" s="1"/>
  <c r="H59" i="28" s="1"/>
  <c r="H103" i="72"/>
  <c r="J39" i="72"/>
  <c r="I40" i="38" s="1"/>
  <c r="J39" i="70"/>
  <c r="J68" i="70" s="1"/>
  <c r="J5" i="70"/>
  <c r="J63" i="59"/>
  <c r="J126" i="72" s="1"/>
  <c r="I41" i="44" s="1"/>
  <c r="J5" i="72"/>
  <c r="I39" i="44" s="1"/>
  <c r="J68" i="59"/>
  <c r="J131" i="72" s="1"/>
  <c r="I41" i="38" s="1"/>
  <c r="K214" i="47"/>
  <c r="L14" i="59" s="1"/>
  <c r="K54" i="72"/>
  <c r="K54" i="70"/>
  <c r="J214" i="35"/>
  <c r="K19" i="59" s="1"/>
  <c r="K317" i="59" s="1"/>
  <c r="J214" i="32"/>
  <c r="K11" i="59" s="1"/>
  <c r="J43" i="70"/>
  <c r="J43" i="72"/>
  <c r="I40" i="47" s="1"/>
  <c r="K214" i="53"/>
  <c r="L25" i="59" s="1"/>
  <c r="K267" i="53"/>
  <c r="L54" i="59" s="1"/>
  <c r="K37" i="70"/>
  <c r="K37" i="72"/>
  <c r="J40" i="5" s="1"/>
  <c r="H69" i="17"/>
  <c r="H258" i="14"/>
  <c r="H250" i="14"/>
  <c r="H242" i="14"/>
  <c r="H234" i="14"/>
  <c r="H226" i="14"/>
  <c r="H263" i="14"/>
  <c r="H255" i="14"/>
  <c r="H260" i="14"/>
  <c r="H252" i="14"/>
  <c r="H244" i="14"/>
  <c r="H236" i="14"/>
  <c r="H228" i="14"/>
  <c r="H265" i="14"/>
  <c r="H262" i="14"/>
  <c r="H254" i="14"/>
  <c r="H246" i="14"/>
  <c r="H238" i="14"/>
  <c r="H230" i="14"/>
  <c r="H222" i="14"/>
  <c r="H259" i="14"/>
  <c r="H251" i="14"/>
  <c r="H243" i="14"/>
  <c r="H235" i="14"/>
  <c r="H227" i="14"/>
  <c r="H264" i="14"/>
  <c r="H256" i="14"/>
  <c r="H248" i="14"/>
  <c r="H240" i="14"/>
  <c r="H232" i="14"/>
  <c r="H224" i="14"/>
  <c r="H233" i="14"/>
  <c r="H261" i="14"/>
  <c r="H231" i="14"/>
  <c r="H241" i="14"/>
  <c r="H239" i="14"/>
  <c r="H229" i="14"/>
  <c r="H221" i="14"/>
  <c r="H249" i="14"/>
  <c r="H253" i="14"/>
  <c r="H247" i="14"/>
  <c r="H237" i="14"/>
  <c r="H225" i="14"/>
  <c r="H220" i="14"/>
  <c r="H257" i="14"/>
  <c r="H223" i="14"/>
  <c r="H245" i="14"/>
  <c r="H209" i="14"/>
  <c r="H201" i="14"/>
  <c r="H193" i="14"/>
  <c r="H185" i="14"/>
  <c r="H177" i="14"/>
  <c r="H202" i="14"/>
  <c r="H194" i="14"/>
  <c r="H186" i="14"/>
  <c r="H178" i="14"/>
  <c r="H208" i="14"/>
  <c r="H207" i="14"/>
  <c r="H206" i="14"/>
  <c r="H192" i="14"/>
  <c r="H191" i="14"/>
  <c r="H190" i="14"/>
  <c r="H176" i="14"/>
  <c r="H175" i="14"/>
  <c r="H169" i="14"/>
  <c r="H205" i="14"/>
  <c r="H189" i="14"/>
  <c r="H174" i="14"/>
  <c r="H204" i="14"/>
  <c r="H188" i="14"/>
  <c r="H171" i="14"/>
  <c r="H203" i="14"/>
  <c r="H187" i="14"/>
  <c r="H168" i="14"/>
  <c r="H200" i="14"/>
  <c r="H199" i="14"/>
  <c r="H198" i="14"/>
  <c r="H184" i="14"/>
  <c r="H183" i="14"/>
  <c r="H182" i="14"/>
  <c r="H173" i="14"/>
  <c r="H196" i="14"/>
  <c r="H180" i="14"/>
  <c r="H167" i="14"/>
  <c r="H197" i="14"/>
  <c r="H170" i="14"/>
  <c r="H172" i="14"/>
  <c r="H179" i="14"/>
  <c r="H195" i="14"/>
  <c r="H181" i="14"/>
  <c r="H71" i="14"/>
  <c r="H75" i="14"/>
  <c r="H69" i="11"/>
  <c r="H77" i="11"/>
  <c r="K115" i="38"/>
  <c r="K49" i="38" s="1"/>
  <c r="K115" i="41"/>
  <c r="K49" i="41" s="1"/>
  <c r="J37" i="70"/>
  <c r="J37" i="72"/>
  <c r="I40" i="5" s="1"/>
  <c r="J55" i="70"/>
  <c r="J55" i="72"/>
  <c r="I40" i="41" s="1"/>
  <c r="K214" i="50"/>
  <c r="L24" i="59" s="1"/>
  <c r="K267" i="26"/>
  <c r="L52" i="59" s="1"/>
  <c r="K25" i="70"/>
  <c r="K25" i="72"/>
  <c r="K83" i="59"/>
  <c r="K146" i="72" s="1"/>
  <c r="J14" i="70"/>
  <c r="J14" i="72"/>
  <c r="I39" i="47" s="1"/>
  <c r="J72" i="59"/>
  <c r="J135" i="72" s="1"/>
  <c r="I41" i="47" s="1"/>
  <c r="J52" i="70"/>
  <c r="J52" i="72"/>
  <c r="I40" i="26" s="1"/>
  <c r="J66" i="59"/>
  <c r="J129" i="72" s="1"/>
  <c r="I41" i="5" s="1"/>
  <c r="J8" i="70"/>
  <c r="J8" i="72"/>
  <c r="I39" i="5" s="1"/>
  <c r="L260" i="29"/>
  <c r="L252" i="29"/>
  <c r="L244" i="29"/>
  <c r="L236" i="29"/>
  <c r="L228" i="29"/>
  <c r="L220" i="29"/>
  <c r="L265" i="29"/>
  <c r="L257" i="29"/>
  <c r="L249" i="29"/>
  <c r="L241" i="29"/>
  <c r="L233" i="29"/>
  <c r="L225" i="29"/>
  <c r="L262" i="29"/>
  <c r="L254" i="29"/>
  <c r="L246" i="29"/>
  <c r="L238" i="29"/>
  <c r="L230" i="29"/>
  <c r="L222" i="29"/>
  <c r="L259" i="29"/>
  <c r="L251" i="29"/>
  <c r="L243" i="29"/>
  <c r="L235" i="29"/>
  <c r="L227" i="29"/>
  <c r="L264" i="29"/>
  <c r="L256" i="29"/>
  <c r="L248" i="29"/>
  <c r="L240" i="29"/>
  <c r="L232" i="29"/>
  <c r="L224" i="29"/>
  <c r="L263" i="29"/>
  <c r="L261" i="29"/>
  <c r="L231" i="29"/>
  <c r="L229" i="29"/>
  <c r="L234" i="29"/>
  <c r="L239" i="29"/>
  <c r="L237" i="29"/>
  <c r="L242" i="29"/>
  <c r="L247" i="29"/>
  <c r="L245" i="29"/>
  <c r="L250" i="29"/>
  <c r="L255" i="29"/>
  <c r="L253" i="29"/>
  <c r="L223" i="29"/>
  <c r="L221" i="29"/>
  <c r="L258" i="29"/>
  <c r="L226" i="29"/>
  <c r="L203" i="29"/>
  <c r="L195" i="29"/>
  <c r="L187" i="29"/>
  <c r="L179" i="29"/>
  <c r="L171" i="29"/>
  <c r="L205" i="29"/>
  <c r="L197" i="29"/>
  <c r="L189" i="29"/>
  <c r="L181" i="29"/>
  <c r="L173" i="29"/>
  <c r="L202" i="29"/>
  <c r="L194" i="29"/>
  <c r="L207" i="29"/>
  <c r="L199" i="29"/>
  <c r="L191" i="29"/>
  <c r="L183" i="29"/>
  <c r="L175" i="29"/>
  <c r="L167" i="29"/>
  <c r="L204" i="29"/>
  <c r="L196" i="29"/>
  <c r="L188" i="29"/>
  <c r="L180" i="29"/>
  <c r="L172" i="29"/>
  <c r="L192" i="29"/>
  <c r="L190" i="29"/>
  <c r="L200" i="29"/>
  <c r="L198" i="29"/>
  <c r="L193" i="29"/>
  <c r="L184" i="29"/>
  <c r="L176" i="29"/>
  <c r="L168" i="29"/>
  <c r="L182" i="29"/>
  <c r="L174" i="29"/>
  <c r="L186" i="29"/>
  <c r="L209" i="29"/>
  <c r="L177" i="29"/>
  <c r="L206" i="29"/>
  <c r="L178" i="29"/>
  <c r="L201" i="29"/>
  <c r="L185" i="29"/>
  <c r="L170" i="29"/>
  <c r="L169" i="29"/>
  <c r="L208" i="29"/>
  <c r="CJ175" i="17"/>
  <c r="CF171" i="17" s="1"/>
  <c r="H85" i="17"/>
  <c r="H84" i="17"/>
  <c r="H83" i="17"/>
  <c r="H82" i="17"/>
  <c r="H81" i="17"/>
  <c r="H80" i="17"/>
  <c r="H79" i="17"/>
  <c r="H78" i="17"/>
  <c r="H77" i="17"/>
  <c r="H76" i="17"/>
  <c r="H75" i="17"/>
  <c r="H74" i="17"/>
  <c r="H72" i="11"/>
  <c r="L264" i="5"/>
  <c r="L256" i="5"/>
  <c r="L248" i="5"/>
  <c r="L240" i="5"/>
  <c r="L232" i="5"/>
  <c r="L224" i="5"/>
  <c r="L261" i="5"/>
  <c r="L253" i="5"/>
  <c r="L245" i="5"/>
  <c r="L237" i="5"/>
  <c r="L229" i="5"/>
  <c r="L221" i="5"/>
  <c r="L266" i="5"/>
  <c r="L258" i="5"/>
  <c r="L250" i="5"/>
  <c r="L242" i="5"/>
  <c r="L234" i="5"/>
  <c r="L226" i="5"/>
  <c r="L263" i="5"/>
  <c r="L255" i="5"/>
  <c r="L247" i="5"/>
  <c r="L239" i="5"/>
  <c r="L260" i="5"/>
  <c r="L252" i="5"/>
  <c r="L244" i="5"/>
  <c r="L236" i="5"/>
  <c r="L228" i="5"/>
  <c r="L265" i="5"/>
  <c r="L257" i="5"/>
  <c r="L249" i="5"/>
  <c r="L241" i="5"/>
  <c r="L233" i="5"/>
  <c r="L225" i="5"/>
  <c r="L262" i="5"/>
  <c r="L254" i="5"/>
  <c r="L246" i="5"/>
  <c r="L238" i="5"/>
  <c r="L230" i="5"/>
  <c r="L222" i="5"/>
  <c r="L231" i="5"/>
  <c r="L243" i="5"/>
  <c r="L235" i="5"/>
  <c r="L223" i="5"/>
  <c r="L259" i="5"/>
  <c r="L227" i="5"/>
  <c r="L251" i="5"/>
  <c r="L210" i="5"/>
  <c r="L202" i="5"/>
  <c r="L194" i="5"/>
  <c r="L186" i="5"/>
  <c r="L178" i="5"/>
  <c r="L170" i="5"/>
  <c r="L207" i="5"/>
  <c r="L199" i="5"/>
  <c r="L191" i="5"/>
  <c r="L183" i="5"/>
  <c r="L175" i="5"/>
  <c r="L204" i="5"/>
  <c r="L196" i="5"/>
  <c r="L188" i="5"/>
  <c r="L180" i="5"/>
  <c r="L172" i="5"/>
  <c r="L209" i="5"/>
  <c r="L201" i="5"/>
  <c r="L193" i="5"/>
  <c r="L185" i="5"/>
  <c r="L177" i="5"/>
  <c r="L169" i="5"/>
  <c r="L206" i="5"/>
  <c r="L198" i="5"/>
  <c r="L190" i="5"/>
  <c r="L182" i="5"/>
  <c r="L174" i="5"/>
  <c r="L208" i="5"/>
  <c r="L200" i="5"/>
  <c r="L192" i="5"/>
  <c r="L184" i="5"/>
  <c r="L176" i="5"/>
  <c r="L168" i="5"/>
  <c r="L203" i="5"/>
  <c r="L187" i="5"/>
  <c r="L171" i="5"/>
  <c r="L205" i="5"/>
  <c r="L189" i="5"/>
  <c r="L173" i="5"/>
  <c r="L195" i="5"/>
  <c r="L179" i="5"/>
  <c r="L197" i="5"/>
  <c r="L181" i="5"/>
  <c r="BG171" i="26"/>
  <c r="K115" i="29"/>
  <c r="K49" i="29" s="1"/>
  <c r="J115" i="35"/>
  <c r="J49" i="35" s="1"/>
  <c r="J115" i="44"/>
  <c r="J49" i="44" s="1"/>
  <c r="L84" i="47"/>
  <c r="L85" i="47"/>
  <c r="L87" i="47"/>
  <c r="L86" i="47"/>
  <c r="L83" i="47"/>
  <c r="L79" i="47"/>
  <c r="L82" i="47"/>
  <c r="L80" i="47"/>
  <c r="L81" i="47"/>
  <c r="L78" i="47"/>
  <c r="L258" i="47"/>
  <c r="L250" i="47"/>
  <c r="L242" i="47"/>
  <c r="L234" i="47"/>
  <c r="L263" i="47"/>
  <c r="L255" i="47"/>
  <c r="L247" i="47"/>
  <c r="L239" i="47"/>
  <c r="L265" i="47"/>
  <c r="L257" i="47"/>
  <c r="L249" i="47"/>
  <c r="L241" i="47"/>
  <c r="L262" i="47"/>
  <c r="L254" i="47"/>
  <c r="L246" i="47"/>
  <c r="L238" i="47"/>
  <c r="L259" i="47"/>
  <c r="L251" i="47"/>
  <c r="L243" i="47"/>
  <c r="L235" i="47"/>
  <c r="L261" i="47"/>
  <c r="L231" i="47"/>
  <c r="L223" i="47"/>
  <c r="L264" i="47"/>
  <c r="L244" i="47"/>
  <c r="L228" i="47"/>
  <c r="L220" i="47"/>
  <c r="L237" i="47"/>
  <c r="L233" i="47"/>
  <c r="L225" i="47"/>
  <c r="L252" i="47"/>
  <c r="L240" i="47"/>
  <c r="L230" i="47"/>
  <c r="L222" i="47"/>
  <c r="L245" i="47"/>
  <c r="L227" i="47"/>
  <c r="L260" i="47"/>
  <c r="L248" i="47"/>
  <c r="L232" i="47"/>
  <c r="L224" i="47"/>
  <c r="L253" i="47"/>
  <c r="L229" i="47"/>
  <c r="L221" i="47"/>
  <c r="L256" i="47"/>
  <c r="L226" i="47"/>
  <c r="L236" i="47"/>
  <c r="L206" i="47"/>
  <c r="L198" i="47"/>
  <c r="L190" i="47"/>
  <c r="L182" i="47"/>
  <c r="L174" i="47"/>
  <c r="L203" i="47"/>
  <c r="L195" i="47"/>
  <c r="L187" i="47"/>
  <c r="L179" i="47"/>
  <c r="L171" i="47"/>
  <c r="L208" i="47"/>
  <c r="L200" i="47"/>
  <c r="L192" i="47"/>
  <c r="L184" i="47"/>
  <c r="L176" i="47"/>
  <c r="L168" i="47"/>
  <c r="L205" i="47"/>
  <c r="L197" i="47"/>
  <c r="L189" i="47"/>
  <c r="L181" i="47"/>
  <c r="L173" i="47"/>
  <c r="L202" i="47"/>
  <c r="L194" i="47"/>
  <c r="L186" i="47"/>
  <c r="L178" i="47"/>
  <c r="L170" i="47"/>
  <c r="L207" i="47"/>
  <c r="L199" i="47"/>
  <c r="L191" i="47"/>
  <c r="L183" i="47"/>
  <c r="L175" i="47"/>
  <c r="L167" i="47"/>
  <c r="L204" i="47"/>
  <c r="L196" i="47"/>
  <c r="L188" i="47"/>
  <c r="L180" i="47"/>
  <c r="L172" i="47"/>
  <c r="L185" i="47"/>
  <c r="L209" i="47"/>
  <c r="L177" i="47"/>
  <c r="L201" i="47"/>
  <c r="L169" i="47"/>
  <c r="L193" i="47"/>
  <c r="L87" i="53"/>
  <c r="L82" i="53"/>
  <c r="L79" i="53"/>
  <c r="L85" i="53"/>
  <c r="L88" i="53"/>
  <c r="L83" i="53"/>
  <c r="L78" i="53"/>
  <c r="L86" i="53"/>
  <c r="L81" i="53"/>
  <c r="L80" i="53"/>
  <c r="L84" i="53"/>
  <c r="L260" i="53"/>
  <c r="L252" i="53"/>
  <c r="L244" i="53"/>
  <c r="L236" i="53"/>
  <c r="L228" i="53"/>
  <c r="L220" i="53"/>
  <c r="L265" i="53"/>
  <c r="L257" i="53"/>
  <c r="L249" i="53"/>
  <c r="L241" i="53"/>
  <c r="L233" i="53"/>
  <c r="L225" i="53"/>
  <c r="L262" i="53"/>
  <c r="L254" i="53"/>
  <c r="L246" i="53"/>
  <c r="L238" i="53"/>
  <c r="L230" i="53"/>
  <c r="L222" i="53"/>
  <c r="L259" i="53"/>
  <c r="L251" i="53"/>
  <c r="L243" i="53"/>
  <c r="L235" i="53"/>
  <c r="L227" i="53"/>
  <c r="L264" i="53"/>
  <c r="L256" i="53"/>
  <c r="L248" i="53"/>
  <c r="L240" i="53"/>
  <c r="L232" i="53"/>
  <c r="L224" i="53"/>
  <c r="L261" i="53"/>
  <c r="L253" i="53"/>
  <c r="L245" i="53"/>
  <c r="L237" i="53"/>
  <c r="L229" i="53"/>
  <c r="L221" i="53"/>
  <c r="L258" i="53"/>
  <c r="L250" i="53"/>
  <c r="L242" i="53"/>
  <c r="L234" i="53"/>
  <c r="L226" i="53"/>
  <c r="L255" i="53"/>
  <c r="L223" i="53"/>
  <c r="L247" i="53"/>
  <c r="L239" i="53"/>
  <c r="L231" i="53"/>
  <c r="L263" i="53"/>
  <c r="L204" i="53"/>
  <c r="L196" i="53"/>
  <c r="L188" i="53"/>
  <c r="L180" i="53"/>
  <c r="L172" i="53"/>
  <c r="L209" i="53"/>
  <c r="L201" i="53"/>
  <c r="L193" i="53"/>
  <c r="L185" i="53"/>
  <c r="L177" i="53"/>
  <c r="L169" i="53"/>
  <c r="L206" i="53"/>
  <c r="L198" i="53"/>
  <c r="L190" i="53"/>
  <c r="L182" i="53"/>
  <c r="L174" i="53"/>
  <c r="L203" i="53"/>
  <c r="L195" i="53"/>
  <c r="L187" i="53"/>
  <c r="L179" i="53"/>
  <c r="L171" i="53"/>
  <c r="L208" i="53"/>
  <c r="L200" i="53"/>
  <c r="L192" i="53"/>
  <c r="L184" i="53"/>
  <c r="L176" i="53"/>
  <c r="L168" i="53"/>
  <c r="L205" i="53"/>
  <c r="L197" i="53"/>
  <c r="L189" i="53"/>
  <c r="L181" i="53"/>
  <c r="L173" i="53"/>
  <c r="L202" i="53"/>
  <c r="L194" i="53"/>
  <c r="L186" i="53"/>
  <c r="L178" i="53"/>
  <c r="L170" i="53"/>
  <c r="L191" i="53"/>
  <c r="L183" i="53"/>
  <c r="L207" i="53"/>
  <c r="L175" i="53"/>
  <c r="L167" i="53"/>
  <c r="L199" i="53"/>
  <c r="J84" i="59"/>
  <c r="J147" i="72" s="1"/>
  <c r="I41" i="41" s="1"/>
  <c r="J26" i="70"/>
  <c r="J26" i="72"/>
  <c r="I39" i="41" s="1"/>
  <c r="K214" i="26"/>
  <c r="L23" i="59" s="1"/>
  <c r="J23" i="70"/>
  <c r="J23" i="72"/>
  <c r="I39" i="26" s="1"/>
  <c r="J81" i="59"/>
  <c r="J144" i="72" s="1"/>
  <c r="I41" i="26" s="1"/>
  <c r="K55" i="72"/>
  <c r="J40" i="41" s="1"/>
  <c r="K55" i="70"/>
  <c r="K43" i="72"/>
  <c r="J40" i="47" s="1"/>
  <c r="K43" i="70"/>
  <c r="K68" i="59"/>
  <c r="K131" i="72" s="1"/>
  <c r="J41" i="38" s="1"/>
  <c r="K10" i="72"/>
  <c r="J39" i="38" s="1"/>
  <c r="K10" i="70"/>
  <c r="K214" i="41"/>
  <c r="L26" i="59" s="1"/>
  <c r="I82" i="70"/>
  <c r="K267" i="38"/>
  <c r="L39" i="59" s="1"/>
  <c r="L259" i="41"/>
  <c r="L251" i="41"/>
  <c r="L243" i="41"/>
  <c r="L235" i="41"/>
  <c r="L227" i="41"/>
  <c r="L264" i="41"/>
  <c r="L256" i="41"/>
  <c r="L248" i="41"/>
  <c r="L240" i="41"/>
  <c r="L232" i="41"/>
  <c r="L224" i="41"/>
  <c r="L261" i="41"/>
  <c r="L253" i="41"/>
  <c r="L245" i="41"/>
  <c r="L237" i="41"/>
  <c r="L229" i="41"/>
  <c r="L221" i="41"/>
  <c r="L265" i="41"/>
  <c r="L258" i="41"/>
  <c r="L250" i="41"/>
  <c r="L242" i="41"/>
  <c r="L234" i="41"/>
  <c r="L226" i="41"/>
  <c r="L263" i="41"/>
  <c r="L255" i="41"/>
  <c r="L247" i="41"/>
  <c r="L239" i="41"/>
  <c r="L231" i="41"/>
  <c r="L223" i="41"/>
  <c r="L260" i="41"/>
  <c r="L252" i="41"/>
  <c r="L244" i="41"/>
  <c r="L236" i="41"/>
  <c r="L228" i="41"/>
  <c r="L220" i="41"/>
  <c r="L262" i="41"/>
  <c r="L246" i="41"/>
  <c r="L230" i="41"/>
  <c r="L257" i="41"/>
  <c r="L241" i="41"/>
  <c r="L225" i="41"/>
  <c r="L254" i="41"/>
  <c r="L238" i="41"/>
  <c r="L222" i="41"/>
  <c r="L249" i="41"/>
  <c r="L233" i="41"/>
  <c r="L205" i="41"/>
  <c r="L197" i="41"/>
  <c r="L189" i="41"/>
  <c r="L181" i="41"/>
  <c r="L173" i="41"/>
  <c r="L202" i="41"/>
  <c r="L194" i="41"/>
  <c r="L186" i="41"/>
  <c r="L178" i="41"/>
  <c r="L170" i="41"/>
  <c r="L207" i="41"/>
  <c r="L199" i="41"/>
  <c r="L191" i="41"/>
  <c r="L183" i="41"/>
  <c r="L175" i="41"/>
  <c r="L167" i="41"/>
  <c r="L204" i="41"/>
  <c r="L196" i="41"/>
  <c r="L188" i="41"/>
  <c r="L180" i="41"/>
  <c r="L172" i="41"/>
  <c r="L209" i="41"/>
  <c r="L201" i="41"/>
  <c r="L193" i="41"/>
  <c r="L185" i="41"/>
  <c r="L177" i="41"/>
  <c r="L169" i="41"/>
  <c r="L206" i="41"/>
  <c r="L198" i="41"/>
  <c r="L190" i="41"/>
  <c r="L182" i="41"/>
  <c r="L174" i="41"/>
  <c r="L203" i="41"/>
  <c r="L195" i="41"/>
  <c r="L187" i="41"/>
  <c r="L179" i="41"/>
  <c r="L171" i="41"/>
  <c r="L184" i="41"/>
  <c r="L208" i="41"/>
  <c r="L176" i="41"/>
  <c r="L192" i="41"/>
  <c r="L168" i="41"/>
  <c r="L200" i="41"/>
  <c r="H70" i="17"/>
  <c r="H73" i="17"/>
  <c r="H72" i="17"/>
  <c r="H71" i="17"/>
  <c r="H86" i="17"/>
  <c r="H72" i="14"/>
  <c r="H76" i="14"/>
  <c r="H75" i="11"/>
  <c r="K259" i="23"/>
  <c r="K251" i="23"/>
  <c r="K243" i="23"/>
  <c r="K235" i="23"/>
  <c r="K227" i="23"/>
  <c r="K264" i="23"/>
  <c r="K256" i="23"/>
  <c r="K248" i="23"/>
  <c r="K240" i="23"/>
  <c r="K232" i="23"/>
  <c r="K224" i="23"/>
  <c r="K261" i="23"/>
  <c r="K253" i="23"/>
  <c r="K245" i="23"/>
  <c r="K237" i="23"/>
  <c r="K229" i="23"/>
  <c r="K221" i="23"/>
  <c r="K258" i="23"/>
  <c r="K250" i="23"/>
  <c r="K242" i="23"/>
  <c r="K234" i="23"/>
  <c r="K226" i="23"/>
  <c r="K263" i="23"/>
  <c r="K255" i="23"/>
  <c r="K247" i="23"/>
  <c r="K239" i="23"/>
  <c r="K231" i="23"/>
  <c r="K223" i="23"/>
  <c r="K260" i="23"/>
  <c r="K252" i="23"/>
  <c r="K244" i="23"/>
  <c r="K236" i="23"/>
  <c r="K228" i="23"/>
  <c r="K220" i="23"/>
  <c r="K265" i="23"/>
  <c r="K257" i="23"/>
  <c r="K249" i="23"/>
  <c r="K241" i="23"/>
  <c r="K233" i="23"/>
  <c r="K225" i="23"/>
  <c r="K254" i="23"/>
  <c r="K222" i="23"/>
  <c r="K246" i="23"/>
  <c r="K238" i="23"/>
  <c r="K230" i="23"/>
  <c r="K262" i="23"/>
  <c r="K209" i="23"/>
  <c r="K206" i="23"/>
  <c r="K208" i="23"/>
  <c r="K205" i="23"/>
  <c r="K204" i="23"/>
  <c r="K196" i="23"/>
  <c r="K188" i="23"/>
  <c r="K180" i="23"/>
  <c r="K172" i="23"/>
  <c r="K198" i="23"/>
  <c r="K190" i="23"/>
  <c r="K182" i="23"/>
  <c r="K174" i="23"/>
  <c r="K203" i="23"/>
  <c r="K195" i="23"/>
  <c r="K187" i="23"/>
  <c r="K179" i="23"/>
  <c r="K171" i="23"/>
  <c r="K207" i="23"/>
  <c r="K200" i="23"/>
  <c r="K192" i="23"/>
  <c r="K184" i="23"/>
  <c r="K176" i="23"/>
  <c r="K168" i="23"/>
  <c r="K197" i="23"/>
  <c r="K189" i="23"/>
  <c r="K181" i="23"/>
  <c r="K173" i="23"/>
  <c r="K202" i="23"/>
  <c r="K194" i="23"/>
  <c r="K186" i="23"/>
  <c r="K177" i="23"/>
  <c r="K170" i="23"/>
  <c r="K167" i="23"/>
  <c r="K199" i="23"/>
  <c r="K183" i="23"/>
  <c r="K201" i="23"/>
  <c r="K185" i="23"/>
  <c r="K178" i="23"/>
  <c r="K175" i="23"/>
  <c r="K193" i="23"/>
  <c r="K169" i="23"/>
  <c r="K191" i="23"/>
  <c r="K259" i="35"/>
  <c r="K251" i="35"/>
  <c r="K243" i="35"/>
  <c r="K235" i="35"/>
  <c r="K227" i="35"/>
  <c r="K264" i="35"/>
  <c r="K256" i="35"/>
  <c r="K248" i="35"/>
  <c r="K240" i="35"/>
  <c r="K232" i="35"/>
  <c r="K224" i="35"/>
  <c r="K261" i="35"/>
  <c r="K253" i="35"/>
  <c r="K245" i="35"/>
  <c r="K237" i="35"/>
  <c r="K229" i="35"/>
  <c r="K221" i="35"/>
  <c r="K258" i="35"/>
  <c r="K250" i="35"/>
  <c r="K242" i="35"/>
  <c r="K234" i="35"/>
  <c r="K226" i="35"/>
  <c r="K263" i="35"/>
  <c r="K255" i="35"/>
  <c r="K247" i="35"/>
  <c r="K239" i="35"/>
  <c r="K231" i="35"/>
  <c r="K223" i="35"/>
  <c r="K260" i="35"/>
  <c r="K252" i="35"/>
  <c r="K244" i="35"/>
  <c r="K236" i="35"/>
  <c r="K228" i="35"/>
  <c r="K220" i="35"/>
  <c r="K265" i="35"/>
  <c r="K257" i="35"/>
  <c r="K254" i="35"/>
  <c r="K249" i="35"/>
  <c r="K238" i="35"/>
  <c r="K233" i="35"/>
  <c r="K222" i="35"/>
  <c r="K246" i="35"/>
  <c r="K241" i="35"/>
  <c r="K230" i="35"/>
  <c r="K225" i="35"/>
  <c r="K262" i="35"/>
  <c r="K205" i="35"/>
  <c r="K197" i="35"/>
  <c r="K189" i="35"/>
  <c r="K202" i="35"/>
  <c r="K194" i="35"/>
  <c r="K207" i="35"/>
  <c r="K199" i="35"/>
  <c r="K191" i="35"/>
  <c r="K209" i="35"/>
  <c r="K201" i="35"/>
  <c r="K193" i="35"/>
  <c r="K206" i="35"/>
  <c r="K198" i="35"/>
  <c r="K190" i="35"/>
  <c r="K203" i="35"/>
  <c r="K195" i="35"/>
  <c r="K186" i="35"/>
  <c r="K178" i="35"/>
  <c r="K170" i="35"/>
  <c r="K208" i="35"/>
  <c r="K192" i="35"/>
  <c r="K183" i="35"/>
  <c r="K175" i="35"/>
  <c r="K167" i="35"/>
  <c r="K180" i="35"/>
  <c r="K172" i="35"/>
  <c r="K196" i="35"/>
  <c r="K185" i="35"/>
  <c r="K177" i="35"/>
  <c r="K169" i="35"/>
  <c r="K182" i="35"/>
  <c r="K174" i="35"/>
  <c r="K200" i="35"/>
  <c r="K187" i="35"/>
  <c r="K179" i="35"/>
  <c r="K171" i="35"/>
  <c r="K184" i="35"/>
  <c r="K176" i="35"/>
  <c r="K168" i="35"/>
  <c r="K181" i="35"/>
  <c r="K173" i="35"/>
  <c r="K204" i="35"/>
  <c r="K188" i="35"/>
  <c r="K267" i="50"/>
  <c r="L53" i="59" s="1"/>
  <c r="K214" i="29"/>
  <c r="L16" i="59" s="1"/>
  <c r="K39" i="72"/>
  <c r="J40" i="38" s="1"/>
  <c r="K39" i="70"/>
  <c r="K45" i="70"/>
  <c r="K45" i="72"/>
  <c r="J40" i="29" s="1"/>
  <c r="K16" i="70"/>
  <c r="K16" i="72"/>
  <c r="J39" i="29" s="1"/>
  <c r="K74" i="59"/>
  <c r="K137" i="72" s="1"/>
  <c r="J41" i="29" s="1"/>
  <c r="J15" i="70"/>
  <c r="J15" i="72"/>
  <c r="I39" i="23" s="1"/>
  <c r="J73" i="59"/>
  <c r="J136" i="72" s="1"/>
  <c r="I63" i="70"/>
  <c r="CJ174" i="17"/>
  <c r="CF172" i="17" s="1"/>
  <c r="H87" i="17"/>
  <c r="G115" i="14"/>
  <c r="G49" i="14" s="1"/>
  <c r="H70" i="11"/>
  <c r="J115" i="23"/>
  <c r="J49" i="23" s="1"/>
  <c r="L265" i="26"/>
  <c r="L262" i="26"/>
  <c r="L259" i="26"/>
  <c r="L264" i="26"/>
  <c r="L261" i="26"/>
  <c r="L258" i="26"/>
  <c r="L250" i="26"/>
  <c r="L242" i="26"/>
  <c r="L234" i="26"/>
  <c r="L226" i="26"/>
  <c r="L260" i="26"/>
  <c r="L255" i="26"/>
  <c r="L247" i="26"/>
  <c r="L239" i="26"/>
  <c r="L231" i="26"/>
  <c r="L223" i="26"/>
  <c r="L252" i="26"/>
  <c r="L244" i="26"/>
  <c r="L236" i="26"/>
  <c r="L228" i="26"/>
  <c r="L220" i="26"/>
  <c r="L257" i="26"/>
  <c r="L249" i="26"/>
  <c r="L241" i="26"/>
  <c r="L233" i="26"/>
  <c r="L225" i="26"/>
  <c r="L254" i="26"/>
  <c r="L246" i="26"/>
  <c r="L238" i="26"/>
  <c r="L230" i="26"/>
  <c r="L222" i="26"/>
  <c r="L251" i="26"/>
  <c r="L243" i="26"/>
  <c r="L235" i="26"/>
  <c r="L227" i="26"/>
  <c r="L263" i="26"/>
  <c r="L256" i="26"/>
  <c r="L248" i="26"/>
  <c r="L240" i="26"/>
  <c r="L232" i="26"/>
  <c r="L224" i="26"/>
  <c r="L229" i="26"/>
  <c r="L253" i="26"/>
  <c r="L221" i="26"/>
  <c r="L245" i="26"/>
  <c r="L237" i="26"/>
  <c r="L203" i="26"/>
  <c r="L195" i="26"/>
  <c r="L187" i="26"/>
  <c r="L179" i="26"/>
  <c r="L171" i="26"/>
  <c r="L208" i="26"/>
  <c r="L200" i="26"/>
  <c r="L192" i="26"/>
  <c r="L184" i="26"/>
  <c r="L176" i="26"/>
  <c r="L168" i="26"/>
  <c r="L205" i="26"/>
  <c r="L197" i="26"/>
  <c r="L189" i="26"/>
  <c r="L181" i="26"/>
  <c r="L173" i="26"/>
  <c r="L207" i="26"/>
  <c r="L199" i="26"/>
  <c r="L191" i="26"/>
  <c r="L183" i="26"/>
  <c r="L175" i="26"/>
  <c r="L167" i="26"/>
  <c r="L204" i="26"/>
  <c r="L196" i="26"/>
  <c r="L188" i="26"/>
  <c r="L180" i="26"/>
  <c r="L172" i="26"/>
  <c r="L209" i="26"/>
  <c r="L201" i="26"/>
  <c r="L193" i="26"/>
  <c r="L185" i="26"/>
  <c r="L177" i="26"/>
  <c r="L169" i="26"/>
  <c r="L198" i="26"/>
  <c r="L182" i="26"/>
  <c r="L202" i="26"/>
  <c r="L186" i="26"/>
  <c r="L170" i="26"/>
  <c r="L206" i="26"/>
  <c r="L190" i="26"/>
  <c r="L174" i="26"/>
  <c r="L194" i="26"/>
  <c r="L178" i="26"/>
  <c r="K265" i="32"/>
  <c r="K257" i="32"/>
  <c r="K249" i="32"/>
  <c r="K241" i="32"/>
  <c r="K233" i="32"/>
  <c r="K225" i="32"/>
  <c r="K262" i="32"/>
  <c r="K254" i="32"/>
  <c r="K246" i="32"/>
  <c r="K238" i="32"/>
  <c r="K230" i="32"/>
  <c r="K222" i="32"/>
  <c r="K259" i="32"/>
  <c r="K251" i="32"/>
  <c r="K243" i="32"/>
  <c r="K235" i="32"/>
  <c r="K227" i="32"/>
  <c r="K264" i="32"/>
  <c r="K256" i="32"/>
  <c r="K248" i="32"/>
  <c r="K240" i="32"/>
  <c r="K232" i="32"/>
  <c r="K261" i="32"/>
  <c r="K253" i="32"/>
  <c r="K245" i="32"/>
  <c r="K237" i="32"/>
  <c r="K229" i="32"/>
  <c r="K221" i="32"/>
  <c r="K244" i="32"/>
  <c r="K242" i="32"/>
  <c r="K247" i="32"/>
  <c r="K252" i="32"/>
  <c r="K250" i="32"/>
  <c r="K220" i="32"/>
  <c r="K255" i="32"/>
  <c r="K223" i="32"/>
  <c r="K260" i="32"/>
  <c r="K258" i="32"/>
  <c r="K228" i="32"/>
  <c r="K226" i="32"/>
  <c r="K263" i="32"/>
  <c r="K231" i="32"/>
  <c r="K236" i="32"/>
  <c r="K234" i="32"/>
  <c r="K239" i="32"/>
  <c r="K208" i="32"/>
  <c r="K200" i="32"/>
  <c r="K192" i="32"/>
  <c r="K184" i="32"/>
  <c r="K176" i="32"/>
  <c r="K168" i="32"/>
  <c r="K202" i="32"/>
  <c r="K194" i="32"/>
  <c r="K186" i="32"/>
  <c r="K178" i="32"/>
  <c r="K170" i="32"/>
  <c r="K207" i="32"/>
  <c r="K199" i="32"/>
  <c r="K191" i="32"/>
  <c r="K183" i="32"/>
  <c r="K175" i="32"/>
  <c r="K167" i="32"/>
  <c r="K204" i="32"/>
  <c r="K196" i="32"/>
  <c r="K188" i="32"/>
  <c r="K180" i="32"/>
  <c r="K172" i="32"/>
  <c r="K209" i="32"/>
  <c r="K201" i="32"/>
  <c r="K193" i="32"/>
  <c r="K185" i="32"/>
  <c r="K177" i="32"/>
  <c r="K169" i="32"/>
  <c r="K206" i="32"/>
  <c r="K203" i="32"/>
  <c r="K181" i="32"/>
  <c r="K174" i="32"/>
  <c r="K171" i="32"/>
  <c r="K189" i="32"/>
  <c r="K182" i="32"/>
  <c r="K179" i="32"/>
  <c r="K197" i="32"/>
  <c r="K190" i="32"/>
  <c r="K187" i="32"/>
  <c r="K205" i="32"/>
  <c r="K198" i="32"/>
  <c r="K195" i="32"/>
  <c r="K173" i="32"/>
  <c r="K82" i="32"/>
  <c r="K78" i="32"/>
  <c r="K80" i="32"/>
  <c r="K83" i="32"/>
  <c r="K81" i="32"/>
  <c r="K84" i="32"/>
  <c r="K79" i="32"/>
  <c r="K115" i="47"/>
  <c r="K49" i="47" s="1"/>
  <c r="L258" i="50"/>
  <c r="L250" i="50"/>
  <c r="L263" i="50"/>
  <c r="L255" i="50"/>
  <c r="L247" i="50"/>
  <c r="L260" i="50"/>
  <c r="L252" i="50"/>
  <c r="L265" i="50"/>
  <c r="L257" i="50"/>
  <c r="L249" i="50"/>
  <c r="L262" i="50"/>
  <c r="L254" i="50"/>
  <c r="L246" i="50"/>
  <c r="L259" i="50"/>
  <c r="L251" i="50"/>
  <c r="L264" i="50"/>
  <c r="L256" i="50"/>
  <c r="L248" i="50"/>
  <c r="L244" i="50"/>
  <c r="L236" i="50"/>
  <c r="L228" i="50"/>
  <c r="L220" i="50"/>
  <c r="L241" i="50"/>
  <c r="L233" i="50"/>
  <c r="L225" i="50"/>
  <c r="L238" i="50"/>
  <c r="L230" i="50"/>
  <c r="L222" i="50"/>
  <c r="L261" i="50"/>
  <c r="L243" i="50"/>
  <c r="L235" i="50"/>
  <c r="L227" i="50"/>
  <c r="L240" i="50"/>
  <c r="L232" i="50"/>
  <c r="L224" i="50"/>
  <c r="L253" i="50"/>
  <c r="L245" i="50"/>
  <c r="L237" i="50"/>
  <c r="L229" i="50"/>
  <c r="L221" i="50"/>
  <c r="L242" i="50"/>
  <c r="L234" i="50"/>
  <c r="L231" i="50"/>
  <c r="L226" i="50"/>
  <c r="L239" i="50"/>
  <c r="L223" i="50"/>
  <c r="L202" i="50"/>
  <c r="L194" i="50"/>
  <c r="L186" i="50"/>
  <c r="L178" i="50"/>
  <c r="L207" i="50"/>
  <c r="L199" i="50"/>
  <c r="L191" i="50"/>
  <c r="L183" i="50"/>
  <c r="L175" i="50"/>
  <c r="L204" i="50"/>
  <c r="L196" i="50"/>
  <c r="L188" i="50"/>
  <c r="L180" i="50"/>
  <c r="L209" i="50"/>
  <c r="L206" i="50"/>
  <c r="L198" i="50"/>
  <c r="L190" i="50"/>
  <c r="L182" i="50"/>
  <c r="L203" i="50"/>
  <c r="L195" i="50"/>
  <c r="L187" i="50"/>
  <c r="L179" i="50"/>
  <c r="L208" i="50"/>
  <c r="L200" i="50"/>
  <c r="L192" i="50"/>
  <c r="L184" i="50"/>
  <c r="L176" i="50"/>
  <c r="L193" i="50"/>
  <c r="L177" i="50"/>
  <c r="L168" i="50"/>
  <c r="L173" i="50"/>
  <c r="L197" i="50"/>
  <c r="L181" i="50"/>
  <c r="L170" i="50"/>
  <c r="L167" i="50"/>
  <c r="L201" i="50"/>
  <c r="L185" i="50"/>
  <c r="L172" i="50"/>
  <c r="L169" i="50"/>
  <c r="L205" i="50"/>
  <c r="L189" i="50"/>
  <c r="L174" i="50"/>
  <c r="L171" i="50"/>
  <c r="J267" i="8"/>
  <c r="J24" i="70"/>
  <c r="J24" i="72"/>
  <c r="I39" i="50" s="1"/>
  <c r="J82" i="59"/>
  <c r="J145" i="72" s="1"/>
  <c r="I41" i="50" s="1"/>
  <c r="I73" i="70"/>
  <c r="K267" i="41"/>
  <c r="L55" i="59" s="1"/>
  <c r="L295" i="59" s="1"/>
  <c r="J214" i="23"/>
  <c r="K15" i="59" s="1"/>
  <c r="L10" i="59"/>
  <c r="K268" i="5"/>
  <c r="L37" i="59" s="1"/>
  <c r="CJ173" i="17"/>
  <c r="CF173" i="17" s="1"/>
  <c r="H88" i="17"/>
  <c r="H69" i="14"/>
  <c r="H73" i="14"/>
  <c r="H77" i="14"/>
  <c r="H73" i="11"/>
  <c r="K116" i="5"/>
  <c r="K49" i="5" s="1"/>
  <c r="K115" i="26"/>
  <c r="K49" i="26" s="1"/>
  <c r="J115" i="32"/>
  <c r="J49" i="32" s="1"/>
  <c r="K115" i="50"/>
  <c r="K49" i="50" s="1"/>
  <c r="J214" i="50"/>
  <c r="K24" i="59" s="1"/>
  <c r="J34" i="70"/>
  <c r="J34" i="72"/>
  <c r="I40" i="44" s="1"/>
  <c r="K52" i="70"/>
  <c r="K52" i="72"/>
  <c r="J40" i="26" s="1"/>
  <c r="J214" i="44"/>
  <c r="K5" i="59" s="1"/>
  <c r="J267" i="44"/>
  <c r="K34" i="59" s="1"/>
  <c r="I69" i="70"/>
  <c r="K81" i="59"/>
  <c r="K144" i="72" s="1"/>
  <c r="J41" i="26" s="1"/>
  <c r="K23" i="70"/>
  <c r="K23" i="72"/>
  <c r="J39" i="26" s="1"/>
  <c r="AF214" i="20"/>
  <c r="AB214" i="20"/>
  <c r="BG168" i="20" s="1"/>
  <c r="AI214" i="20"/>
  <c r="AH214" i="20"/>
  <c r="AH215" i="20" s="1"/>
  <c r="AH216" i="20" s="1"/>
  <c r="AD214" i="20"/>
  <c r="AC214" i="20"/>
  <c r="K115" i="1"/>
  <c r="K49" i="1" s="1"/>
  <c r="K62" i="59"/>
  <c r="K33" i="70"/>
  <c r="K33" i="72"/>
  <c r="L85" i="1"/>
  <c r="L84" i="1"/>
  <c r="L87" i="1"/>
  <c r="L83" i="1"/>
  <c r="L86" i="1"/>
  <c r="L88" i="1"/>
  <c r="L82" i="1"/>
  <c r="L221" i="1"/>
  <c r="L229" i="1"/>
  <c r="L237" i="1"/>
  <c r="L245" i="1"/>
  <c r="L253" i="1"/>
  <c r="L261" i="1"/>
  <c r="L200" i="1"/>
  <c r="L208" i="1"/>
  <c r="L170" i="1"/>
  <c r="L178" i="1"/>
  <c r="L224" i="1"/>
  <c r="L232" i="1"/>
  <c r="L240" i="1"/>
  <c r="L248" i="1"/>
  <c r="L256" i="1"/>
  <c r="L264" i="1"/>
  <c r="L195" i="1"/>
  <c r="L203" i="1"/>
  <c r="L169" i="1"/>
  <c r="L177" i="1"/>
  <c r="L227" i="1"/>
  <c r="L235" i="1"/>
  <c r="L243" i="1"/>
  <c r="L251" i="1"/>
  <c r="L259" i="1"/>
  <c r="L198" i="1"/>
  <c r="L206" i="1"/>
  <c r="L168" i="1"/>
  <c r="L176" i="1"/>
  <c r="L222" i="1"/>
  <c r="L230" i="1"/>
  <c r="L238" i="1"/>
  <c r="L246" i="1"/>
  <c r="L254" i="1"/>
  <c r="L262" i="1"/>
  <c r="L201" i="1"/>
  <c r="L209" i="1"/>
  <c r="L167" i="1"/>
  <c r="L175" i="1"/>
  <c r="L225" i="1"/>
  <c r="L233" i="1"/>
  <c r="L241" i="1"/>
  <c r="L249" i="1"/>
  <c r="L257" i="1"/>
  <c r="L265" i="1"/>
  <c r="L196" i="1"/>
  <c r="L204" i="1"/>
  <c r="L174" i="1"/>
  <c r="L182" i="1"/>
  <c r="L228" i="1"/>
  <c r="L236" i="1"/>
  <c r="L244" i="1"/>
  <c r="L252" i="1"/>
  <c r="L260" i="1"/>
  <c r="L220" i="1"/>
  <c r="L199" i="1"/>
  <c r="L207" i="1"/>
  <c r="L173" i="1"/>
  <c r="L181" i="1"/>
  <c r="L223" i="1"/>
  <c r="L231" i="1"/>
  <c r="L239" i="1"/>
  <c r="L247" i="1"/>
  <c r="L255" i="1"/>
  <c r="L263" i="1"/>
  <c r="L194" i="1"/>
  <c r="L202" i="1"/>
  <c r="L172" i="1"/>
  <c r="L180" i="1"/>
  <c r="L258" i="1"/>
  <c r="L190" i="1"/>
  <c r="L183" i="1"/>
  <c r="L197" i="1"/>
  <c r="L189" i="1"/>
  <c r="L205" i="1"/>
  <c r="L188" i="1"/>
  <c r="L191" i="1"/>
  <c r="L179" i="1"/>
  <c r="L187" i="1"/>
  <c r="L250" i="1"/>
  <c r="L226" i="1"/>
  <c r="L171" i="1"/>
  <c r="L186" i="1"/>
  <c r="L234" i="1"/>
  <c r="L185" i="1"/>
  <c r="L193" i="1"/>
  <c r="L242" i="1"/>
  <c r="L184" i="1"/>
  <c r="L192" i="1"/>
  <c r="L75" i="1"/>
  <c r="L73" i="1"/>
  <c r="L78" i="1"/>
  <c r="L70" i="1"/>
  <c r="L81" i="1"/>
  <c r="L79" i="1"/>
  <c r="L72" i="1"/>
  <c r="L74" i="1"/>
  <c r="L80" i="1"/>
  <c r="L76" i="1"/>
  <c r="L71" i="1"/>
  <c r="L77" i="1"/>
  <c r="K214" i="1"/>
  <c r="L4" i="59" s="1"/>
  <c r="K267" i="1"/>
  <c r="L33" i="59" s="1"/>
  <c r="J62" i="70"/>
  <c r="K4" i="72"/>
  <c r="K4" i="70"/>
  <c r="H110" i="72"/>
  <c r="G110" i="70"/>
  <c r="S110" i="70" s="1"/>
  <c r="H102" i="72"/>
  <c r="G102" i="70"/>
  <c r="S102" i="70" s="1"/>
  <c r="H92" i="72"/>
  <c r="G92" i="70"/>
  <c r="S92" i="70" s="1"/>
  <c r="H111" i="72"/>
  <c r="G111" i="70"/>
  <c r="S111" i="70" s="1"/>
  <c r="H98" i="72"/>
  <c r="G98" i="70"/>
  <c r="S98" i="70" s="1"/>
  <c r="H113" i="72"/>
  <c r="G113" i="70"/>
  <c r="S113" i="70" s="1"/>
  <c r="K115" i="53"/>
  <c r="K49" i="53" s="1"/>
  <c r="J115" i="8"/>
  <c r="J49" i="8" s="1"/>
  <c r="H105" i="72"/>
  <c r="G105" i="70"/>
  <c r="S105" i="70" s="1"/>
  <c r="I64" i="70"/>
  <c r="K80" i="8"/>
  <c r="K78" i="8"/>
  <c r="K79" i="8"/>
  <c r="K81" i="8"/>
  <c r="K265" i="8"/>
  <c r="K257" i="8"/>
  <c r="K249" i="8"/>
  <c r="K241" i="8"/>
  <c r="K233" i="8"/>
  <c r="K225" i="8"/>
  <c r="K207" i="8"/>
  <c r="K199" i="8"/>
  <c r="K191" i="8"/>
  <c r="K262" i="8"/>
  <c r="K254" i="8"/>
  <c r="K246" i="8"/>
  <c r="K238" i="8"/>
  <c r="K230" i="8"/>
  <c r="K222" i="8"/>
  <c r="K204" i="8"/>
  <c r="K196" i="8"/>
  <c r="K259" i="8"/>
  <c r="K251" i="8"/>
  <c r="K243" i="8"/>
  <c r="K235" i="8"/>
  <c r="K227" i="8"/>
  <c r="K209" i="8"/>
  <c r="K201" i="8"/>
  <c r="K193" i="8"/>
  <c r="K264" i="8"/>
  <c r="K256" i="8"/>
  <c r="K248" i="8"/>
  <c r="K240" i="8"/>
  <c r="K232" i="8"/>
  <c r="K224" i="8"/>
  <c r="K206" i="8"/>
  <c r="K198" i="8"/>
  <c r="K190" i="8"/>
  <c r="K261" i="8"/>
  <c r="K253" i="8"/>
  <c r="K245" i="8"/>
  <c r="K237" i="8"/>
  <c r="K229" i="8"/>
  <c r="K221" i="8"/>
  <c r="K203" i="8"/>
  <c r="K195" i="8"/>
  <c r="K258" i="8"/>
  <c r="K250" i="8"/>
  <c r="K242" i="8"/>
  <c r="K234" i="8"/>
  <c r="K226" i="8"/>
  <c r="K208" i="8"/>
  <c r="K200" i="8"/>
  <c r="K192" i="8"/>
  <c r="K263" i="8"/>
  <c r="K255" i="8"/>
  <c r="K247" i="8"/>
  <c r="K239" i="8"/>
  <c r="K231" i="8"/>
  <c r="K223" i="8"/>
  <c r="K205" i="8"/>
  <c r="K197" i="8"/>
  <c r="K189" i="8"/>
  <c r="K260" i="8"/>
  <c r="K252" i="8"/>
  <c r="K244" i="8"/>
  <c r="K236" i="8"/>
  <c r="K228" i="8"/>
  <c r="K220" i="8"/>
  <c r="K202" i="8"/>
  <c r="K194" i="8"/>
  <c r="K184" i="8"/>
  <c r="K176" i="8"/>
  <c r="K168" i="8"/>
  <c r="K181" i="8"/>
  <c r="K173" i="8"/>
  <c r="K186" i="8"/>
  <c r="K178" i="8"/>
  <c r="K170" i="8"/>
  <c r="K183" i="8"/>
  <c r="K175" i="8"/>
  <c r="K167" i="8"/>
  <c r="K188" i="8"/>
  <c r="K180" i="8"/>
  <c r="K172" i="8"/>
  <c r="K185" i="8"/>
  <c r="K177" i="8"/>
  <c r="K169" i="8"/>
  <c r="K182" i="8"/>
  <c r="K174" i="8"/>
  <c r="K187" i="8"/>
  <c r="K179" i="8"/>
  <c r="K171" i="8"/>
  <c r="K74" i="8"/>
  <c r="K71" i="8"/>
  <c r="K76" i="8"/>
  <c r="K73" i="8"/>
  <c r="K75" i="8"/>
  <c r="K70" i="8"/>
  <c r="K72" i="8"/>
  <c r="K77" i="8"/>
  <c r="K69" i="8"/>
  <c r="J6" i="70"/>
  <c r="J214" i="8"/>
  <c r="K6" i="59" s="1"/>
  <c r="J35" i="59"/>
  <c r="G103" i="70"/>
  <c r="BG168" i="26"/>
  <c r="L77" i="53"/>
  <c r="L75" i="53"/>
  <c r="L73" i="53"/>
  <c r="L71" i="53"/>
  <c r="L69" i="53"/>
  <c r="L76" i="53"/>
  <c r="L74" i="53"/>
  <c r="L72" i="53"/>
  <c r="L70" i="53"/>
  <c r="L77" i="50"/>
  <c r="L75" i="50"/>
  <c r="L73" i="50"/>
  <c r="L71" i="50"/>
  <c r="L69" i="50"/>
  <c r="L76" i="50"/>
  <c r="L74" i="50"/>
  <c r="L72" i="50"/>
  <c r="L70" i="50"/>
  <c r="C25" i="48"/>
  <c r="C21" i="48"/>
  <c r="L76" i="47"/>
  <c r="L74" i="47"/>
  <c r="L72" i="47"/>
  <c r="L70" i="47"/>
  <c r="L77" i="47"/>
  <c r="L75" i="47"/>
  <c r="L73" i="47"/>
  <c r="L71" i="47"/>
  <c r="L69" i="47"/>
  <c r="BG169" i="44"/>
  <c r="K71" i="44"/>
  <c r="K69" i="44"/>
  <c r="K77" i="44"/>
  <c r="K74" i="44"/>
  <c r="K73" i="44"/>
  <c r="K75" i="44"/>
  <c r="K72" i="44"/>
  <c r="K70" i="44"/>
  <c r="K76" i="44"/>
  <c r="L76" i="41"/>
  <c r="L74" i="41"/>
  <c r="L77" i="41"/>
  <c r="L75" i="41"/>
  <c r="L73" i="41"/>
  <c r="L71" i="41"/>
  <c r="L69" i="41"/>
  <c r="L72" i="41"/>
  <c r="L70" i="41"/>
  <c r="C25" i="39"/>
  <c r="C21" i="39"/>
  <c r="D21" i="39" s="1"/>
  <c r="L74" i="38"/>
  <c r="L77" i="38"/>
  <c r="L75" i="38"/>
  <c r="L73" i="38"/>
  <c r="L71" i="38"/>
  <c r="L69" i="38"/>
  <c r="L76" i="38"/>
  <c r="L72" i="38"/>
  <c r="L70" i="38"/>
  <c r="K76" i="35"/>
  <c r="K74" i="35"/>
  <c r="K72" i="35"/>
  <c r="K70" i="35"/>
  <c r="K77" i="35"/>
  <c r="K75" i="35"/>
  <c r="K73" i="35"/>
  <c r="K71" i="35"/>
  <c r="K69" i="35"/>
  <c r="K77" i="32"/>
  <c r="K75" i="32"/>
  <c r="K73" i="32"/>
  <c r="K71" i="32"/>
  <c r="K69" i="32"/>
  <c r="K76" i="32"/>
  <c r="K74" i="32"/>
  <c r="K72" i="32"/>
  <c r="K70" i="32"/>
  <c r="BG176" i="29"/>
  <c r="L74" i="29"/>
  <c r="L77" i="29"/>
  <c r="L73" i="29"/>
  <c r="L71" i="29"/>
  <c r="L69" i="29"/>
  <c r="L76" i="29"/>
  <c r="L75" i="29"/>
  <c r="L72" i="29"/>
  <c r="L70" i="29"/>
  <c r="C25" i="30"/>
  <c r="C21" i="30"/>
  <c r="D21" i="30" s="1"/>
  <c r="BG174" i="26"/>
  <c r="L77" i="26"/>
  <c r="L75" i="26"/>
  <c r="L73" i="26"/>
  <c r="L71" i="26"/>
  <c r="L69" i="26"/>
  <c r="L76" i="26"/>
  <c r="L74" i="26"/>
  <c r="L72" i="26"/>
  <c r="L70" i="26"/>
  <c r="BG173" i="26"/>
  <c r="BG172" i="26"/>
  <c r="BG170" i="26"/>
  <c r="BG176" i="26"/>
  <c r="BG169" i="26"/>
  <c r="BG175" i="26"/>
  <c r="C25" i="24"/>
  <c r="C21" i="24"/>
  <c r="K69" i="23"/>
  <c r="K71" i="23"/>
  <c r="K76" i="23"/>
  <c r="K74" i="23"/>
  <c r="K72" i="23"/>
  <c r="K70" i="23"/>
  <c r="K77" i="23"/>
  <c r="K75" i="23"/>
  <c r="K73" i="23"/>
  <c r="AD126" i="20"/>
  <c r="K76" i="20"/>
  <c r="K74" i="20"/>
  <c r="K72" i="20"/>
  <c r="K70" i="20"/>
  <c r="K77" i="20"/>
  <c r="K75" i="20"/>
  <c r="K73" i="20"/>
  <c r="K71" i="20"/>
  <c r="K69" i="20"/>
  <c r="D21" i="21"/>
  <c r="L75" i="5"/>
  <c r="L71" i="5"/>
  <c r="L73" i="5"/>
  <c r="L74" i="5"/>
  <c r="L70" i="5"/>
  <c r="L77" i="5"/>
  <c r="L69" i="5"/>
  <c r="L76" i="5"/>
  <c r="L72" i="5"/>
  <c r="BP157" i="11"/>
  <c r="BH166" i="17"/>
  <c r="BI166" i="17"/>
  <c r="BK166" i="17"/>
  <c r="BJ166" i="17"/>
  <c r="CJ172" i="17"/>
  <c r="CF174" i="17" s="1"/>
  <c r="CJ170" i="17"/>
  <c r="CF176" i="17" s="1"/>
  <c r="CJ177" i="17"/>
  <c r="CF169" i="17" s="1"/>
  <c r="BO166" i="17"/>
  <c r="CJ169" i="17"/>
  <c r="CF177" i="17" s="1"/>
  <c r="CJ176" i="17"/>
  <c r="CF170" i="17" s="1"/>
  <c r="BM166" i="17"/>
  <c r="BG167" i="17"/>
  <c r="W210" i="17"/>
  <c r="X210" i="17" s="1"/>
  <c r="W202" i="17"/>
  <c r="X202" i="17" s="1"/>
  <c r="W194" i="17"/>
  <c r="X194" i="17" s="1"/>
  <c r="W186" i="17"/>
  <c r="X186" i="17" s="1"/>
  <c r="W178" i="17"/>
  <c r="X178" i="17" s="1"/>
  <c r="W209" i="17"/>
  <c r="X209" i="17" s="1"/>
  <c r="W201" i="17"/>
  <c r="X201" i="17" s="1"/>
  <c r="W193" i="17"/>
  <c r="X193" i="17" s="1"/>
  <c r="W185" i="17"/>
  <c r="X185" i="17" s="1"/>
  <c r="W208" i="17"/>
  <c r="X208" i="17" s="1"/>
  <c r="W200" i="17"/>
  <c r="X200" i="17" s="1"/>
  <c r="W192" i="17"/>
  <c r="X192" i="17" s="1"/>
  <c r="W184" i="17"/>
  <c r="X184" i="17" s="1"/>
  <c r="W207" i="17"/>
  <c r="X207" i="17" s="1"/>
  <c r="W199" i="17"/>
  <c r="X199" i="17" s="1"/>
  <c r="W191" i="17"/>
  <c r="X191" i="17" s="1"/>
  <c r="W183" i="17"/>
  <c r="X183" i="17" s="1"/>
  <c r="W168" i="17"/>
  <c r="X168" i="17" s="1"/>
  <c r="W206" i="17"/>
  <c r="X206" i="17" s="1"/>
  <c r="W198" i="17"/>
  <c r="X198" i="17" s="1"/>
  <c r="W190" i="17"/>
  <c r="X190" i="17" s="1"/>
  <c r="W182" i="17"/>
  <c r="X182" i="17" s="1"/>
  <c r="W205" i="17"/>
  <c r="X205" i="17" s="1"/>
  <c r="W197" i="17"/>
  <c r="X197" i="17" s="1"/>
  <c r="W189" i="17"/>
  <c r="X189" i="17" s="1"/>
  <c r="W181" i="17"/>
  <c r="X181" i="17" s="1"/>
  <c r="W177" i="17"/>
  <c r="X177" i="17" s="1"/>
  <c r="W176" i="17"/>
  <c r="X176" i="17" s="1"/>
  <c r="W175" i="17"/>
  <c r="X175" i="17" s="1"/>
  <c r="W174" i="17"/>
  <c r="X174" i="17" s="1"/>
  <c r="W173" i="17"/>
  <c r="X173" i="17" s="1"/>
  <c r="W172" i="17"/>
  <c r="X172" i="17" s="1"/>
  <c r="W171" i="17"/>
  <c r="X171" i="17" s="1"/>
  <c r="W170" i="17"/>
  <c r="X170" i="17" s="1"/>
  <c r="W169" i="17"/>
  <c r="X169" i="17" s="1"/>
  <c r="W204" i="17"/>
  <c r="X204" i="17" s="1"/>
  <c r="W196" i="17"/>
  <c r="X196" i="17" s="1"/>
  <c r="W188" i="17"/>
  <c r="X188" i="17" s="1"/>
  <c r="W180" i="17"/>
  <c r="X180" i="17" s="1"/>
  <c r="W211" i="17"/>
  <c r="X211" i="17" s="1"/>
  <c r="W203" i="17"/>
  <c r="X203" i="17" s="1"/>
  <c r="W195" i="17"/>
  <c r="X195" i="17" s="1"/>
  <c r="W187" i="17"/>
  <c r="X187" i="17" s="1"/>
  <c r="W179" i="17"/>
  <c r="X179" i="17" s="1"/>
  <c r="BG166" i="17"/>
  <c r="BL166" i="17"/>
  <c r="BN166" i="17"/>
  <c r="CI169" i="17"/>
  <c r="CE177" i="17" s="1"/>
  <c r="CI170" i="17"/>
  <c r="CE176" i="17" s="1"/>
  <c r="CI171" i="17"/>
  <c r="CE175" i="17" s="1"/>
  <c r="CI172" i="17"/>
  <c r="CE174" i="17" s="1"/>
  <c r="CI173" i="17"/>
  <c r="CE173" i="17" s="1"/>
  <c r="CI174" i="17"/>
  <c r="CE172" i="17" s="1"/>
  <c r="CI175" i="17"/>
  <c r="CE171" i="17" s="1"/>
  <c r="CI176" i="17"/>
  <c r="CE170" i="17" s="1"/>
  <c r="J23" i="83" l="1"/>
  <c r="J20" i="76"/>
  <c r="J20" i="53"/>
  <c r="L323" i="59"/>
  <c r="K13" i="53"/>
  <c r="K27" i="76"/>
  <c r="K27" i="53"/>
  <c r="K13" i="76"/>
  <c r="L265" i="59"/>
  <c r="K313" i="59"/>
  <c r="J13" i="23"/>
  <c r="J27" i="23"/>
  <c r="K255" i="59"/>
  <c r="J20" i="23" s="1"/>
  <c r="L324" i="59"/>
  <c r="L266" i="59"/>
  <c r="K309" i="59"/>
  <c r="K251" i="59"/>
  <c r="L308" i="59"/>
  <c r="K27" i="38"/>
  <c r="L250" i="59"/>
  <c r="K20" i="38" s="1"/>
  <c r="K322" i="59"/>
  <c r="J6" i="50"/>
  <c r="J7" i="50" s="1"/>
  <c r="J13" i="50"/>
  <c r="J27" i="50"/>
  <c r="K6" i="50"/>
  <c r="K7" i="50" s="1"/>
  <c r="L322" i="59"/>
  <c r="K13" i="50"/>
  <c r="K27" i="50"/>
  <c r="L314" i="59"/>
  <c r="K13" i="29"/>
  <c r="K27" i="29"/>
  <c r="L256" i="59"/>
  <c r="K20" i="29" s="1"/>
  <c r="L306" i="59"/>
  <c r="K27" i="5"/>
  <c r="K13" i="5"/>
  <c r="L248" i="59"/>
  <c r="K20" i="5" s="1"/>
  <c r="L321" i="59"/>
  <c r="K13" i="26"/>
  <c r="K27" i="26"/>
  <c r="L263" i="59"/>
  <c r="K20" i="26" s="1"/>
  <c r="K304" i="59"/>
  <c r="J13" i="8"/>
  <c r="J27" i="8"/>
  <c r="K246" i="59"/>
  <c r="J20" i="8" s="1"/>
  <c r="K303" i="59"/>
  <c r="J27" i="44"/>
  <c r="J13" i="44"/>
  <c r="K245" i="59"/>
  <c r="J20" i="44" s="1"/>
  <c r="I14" i="23"/>
  <c r="J14" i="53"/>
  <c r="J16" i="53" s="1"/>
  <c r="J17" i="53" s="1"/>
  <c r="J14" i="76"/>
  <c r="J16" i="76" s="1"/>
  <c r="J17" i="76" s="1"/>
  <c r="J124" i="59"/>
  <c r="J189" i="59" s="1"/>
  <c r="J275" i="59"/>
  <c r="I23" i="8" s="1"/>
  <c r="I22" i="8"/>
  <c r="I14" i="8" s="1"/>
  <c r="I18" i="8" s="1"/>
  <c r="J8" i="50"/>
  <c r="J9" i="50" s="1"/>
  <c r="K293" i="59"/>
  <c r="J23" i="50" s="1"/>
  <c r="J22" i="50"/>
  <c r="J14" i="50" s="1"/>
  <c r="K123" i="59"/>
  <c r="K188" i="59" s="1"/>
  <c r="K274" i="59"/>
  <c r="J23" i="44" s="1"/>
  <c r="J22" i="44"/>
  <c r="J26" i="44" s="1"/>
  <c r="L141" i="59"/>
  <c r="L206" i="59" s="1"/>
  <c r="L292" i="59"/>
  <c r="K22" i="26"/>
  <c r="K14" i="26" s="1"/>
  <c r="L143" i="59"/>
  <c r="L208" i="59" s="1"/>
  <c r="L294" i="59"/>
  <c r="K22" i="76"/>
  <c r="K22" i="53"/>
  <c r="K26" i="53" s="1"/>
  <c r="I14" i="50"/>
  <c r="I16" i="50" s="1"/>
  <c r="I17" i="50" s="1"/>
  <c r="J14" i="5"/>
  <c r="J18" i="5" s="1"/>
  <c r="J14" i="26"/>
  <c r="I14" i="5"/>
  <c r="I18" i="5" s="1"/>
  <c r="L126" i="59"/>
  <c r="L191" i="59" s="1"/>
  <c r="L277" i="59"/>
  <c r="K23" i="5" s="1"/>
  <c r="K22" i="5"/>
  <c r="K14" i="5" s="1"/>
  <c r="K18" i="5" s="1"/>
  <c r="K8" i="50"/>
  <c r="K9" i="50" s="1"/>
  <c r="L293" i="59"/>
  <c r="K23" i="50" s="1"/>
  <c r="K22" i="50"/>
  <c r="K14" i="50" s="1"/>
  <c r="L279" i="59"/>
  <c r="K22" i="38"/>
  <c r="K133" i="59"/>
  <c r="K198" i="59" s="1"/>
  <c r="K284" i="59"/>
  <c r="J23" i="23" s="1"/>
  <c r="J22" i="23"/>
  <c r="J26" i="23" s="1"/>
  <c r="L134" i="59"/>
  <c r="L199" i="59" s="1"/>
  <c r="L285" i="59"/>
  <c r="K23" i="29" s="1"/>
  <c r="K22" i="29"/>
  <c r="K26" i="29" s="1"/>
  <c r="J26" i="29"/>
  <c r="I14" i="44"/>
  <c r="I26" i="26"/>
  <c r="J23" i="76"/>
  <c r="J23" i="53"/>
  <c r="L302" i="59"/>
  <c r="K21" i="1" s="1"/>
  <c r="K27" i="1"/>
  <c r="K13" i="1"/>
  <c r="K13" i="83"/>
  <c r="K6" i="83"/>
  <c r="K7" i="83" s="1"/>
  <c r="K27" i="83"/>
  <c r="L244" i="59"/>
  <c r="K20" i="1" s="1"/>
  <c r="J14" i="83"/>
  <c r="J16" i="83" s="1"/>
  <c r="J17" i="83" s="1"/>
  <c r="J26" i="83"/>
  <c r="J28" i="83" s="1"/>
  <c r="I28" i="83"/>
  <c r="J26" i="1"/>
  <c r="J14" i="1"/>
  <c r="J16" i="1" s="1"/>
  <c r="J17" i="1" s="1"/>
  <c r="K22" i="1"/>
  <c r="K22" i="83"/>
  <c r="K8" i="83"/>
  <c r="K9" i="83" s="1"/>
  <c r="L273" i="59"/>
  <c r="K23" i="1" s="1"/>
  <c r="H43" i="44"/>
  <c r="H46" i="44" s="1"/>
  <c r="K27" i="47"/>
  <c r="L312" i="59"/>
  <c r="L254" i="59"/>
  <c r="K20" i="47" s="1"/>
  <c r="G34" i="41"/>
  <c r="G36" i="41" s="1"/>
  <c r="H34" i="41"/>
  <c r="H36" i="41" s="1"/>
  <c r="J28" i="38"/>
  <c r="I14" i="35"/>
  <c r="I16" i="35" s="1"/>
  <c r="I17" i="35" s="1"/>
  <c r="K142" i="59"/>
  <c r="K207" i="59" s="1"/>
  <c r="L142" i="59"/>
  <c r="L207" i="59" s="1"/>
  <c r="K264" i="59"/>
  <c r="J20" i="50" s="1"/>
  <c r="L264" i="59"/>
  <c r="K20" i="50" s="1"/>
  <c r="K137" i="59"/>
  <c r="K202" i="59" s="1"/>
  <c r="J22" i="35"/>
  <c r="J26" i="35" s="1"/>
  <c r="J23" i="35"/>
  <c r="I28" i="35"/>
  <c r="J27" i="35"/>
  <c r="K259" i="59"/>
  <c r="J20" i="35" s="1"/>
  <c r="J13" i="35"/>
  <c r="I28" i="38"/>
  <c r="J28" i="47"/>
  <c r="J14" i="38"/>
  <c r="J16" i="38" s="1"/>
  <c r="J17" i="38" s="1"/>
  <c r="I14" i="38"/>
  <c r="I16" i="38" s="1"/>
  <c r="I17" i="38" s="1"/>
  <c r="L128" i="59"/>
  <c r="L193" i="59" s="1"/>
  <c r="K23" i="38"/>
  <c r="K13" i="38"/>
  <c r="AK215" i="41"/>
  <c r="AK216" i="41" s="1"/>
  <c r="D27" i="28"/>
  <c r="D31" i="28" s="1"/>
  <c r="D32" i="28" s="1"/>
  <c r="I14" i="47"/>
  <c r="I16" i="47" s="1"/>
  <c r="I17" i="47" s="1"/>
  <c r="L144" i="59"/>
  <c r="L209" i="59" s="1"/>
  <c r="K22" i="41"/>
  <c r="K23" i="41"/>
  <c r="I26" i="41"/>
  <c r="I14" i="41"/>
  <c r="I16" i="41" s="1"/>
  <c r="I17" i="41" s="1"/>
  <c r="J26" i="41"/>
  <c r="J14" i="41"/>
  <c r="J16" i="41" s="1"/>
  <c r="J17" i="41" s="1"/>
  <c r="K20" i="41"/>
  <c r="K13" i="41"/>
  <c r="K27" i="41"/>
  <c r="I28" i="47"/>
  <c r="J13" i="32"/>
  <c r="J27" i="32"/>
  <c r="J20" i="32"/>
  <c r="I29" i="83"/>
  <c r="J20" i="83"/>
  <c r="J28" i="1"/>
  <c r="I28" i="1"/>
  <c r="J21" i="76"/>
  <c r="J21" i="53"/>
  <c r="J40" i="1"/>
  <c r="J40" i="83"/>
  <c r="J39" i="1"/>
  <c r="J39" i="83"/>
  <c r="J14" i="47"/>
  <c r="J16" i="47" s="1"/>
  <c r="J17" i="47" s="1"/>
  <c r="J21" i="83"/>
  <c r="I41" i="1"/>
  <c r="I43" i="1" s="1"/>
  <c r="I44" i="1" s="1"/>
  <c r="I41" i="83"/>
  <c r="L132" i="59"/>
  <c r="L197" i="59" s="1"/>
  <c r="K22" i="47"/>
  <c r="K26" i="47" s="1"/>
  <c r="P56" i="38"/>
  <c r="Q56" i="38" s="1"/>
  <c r="S61" i="38"/>
  <c r="Y174" i="17"/>
  <c r="Y199" i="17"/>
  <c r="Y194" i="17"/>
  <c r="Y192" i="17"/>
  <c r="Y190" i="17"/>
  <c r="Y176" i="17"/>
  <c r="Y167" i="17"/>
  <c r="Y181" i="17"/>
  <c r="Y172" i="17"/>
  <c r="Y188" i="17"/>
  <c r="Y177" i="17"/>
  <c r="Y184" i="17"/>
  <c r="Y196" i="17"/>
  <c r="Y175" i="17"/>
  <c r="Y173" i="17"/>
  <c r="Y187" i="17"/>
  <c r="Y170" i="17"/>
  <c r="Y171" i="17"/>
  <c r="Y195" i="17"/>
  <c r="Y183" i="17"/>
  <c r="Y197" i="17"/>
  <c r="Y191" i="17"/>
  <c r="Y182" i="17"/>
  <c r="Y193" i="17"/>
  <c r="Y168" i="17"/>
  <c r="Y169" i="17"/>
  <c r="Y178" i="17"/>
  <c r="Y189" i="17"/>
  <c r="Y200" i="17"/>
  <c r="Y180" i="17"/>
  <c r="Y179" i="17"/>
  <c r="Y186" i="17"/>
  <c r="Y198" i="17"/>
  <c r="Y185" i="17"/>
  <c r="K93" i="59"/>
  <c r="L104" i="59"/>
  <c r="L122" i="59"/>
  <c r="L187" i="59" s="1"/>
  <c r="L98" i="59"/>
  <c r="L114" i="59"/>
  <c r="K99" i="59"/>
  <c r="L113" i="59"/>
  <c r="K94" i="59"/>
  <c r="L92" i="59"/>
  <c r="K103" i="59"/>
  <c r="K107" i="59"/>
  <c r="R159" i="59"/>
  <c r="S62" i="38"/>
  <c r="R97" i="72"/>
  <c r="S97" i="72" s="1"/>
  <c r="Q97" i="70"/>
  <c r="Q272" i="35"/>
  <c r="AA126" i="35"/>
  <c r="D21" i="27"/>
  <c r="E21" i="27" s="1"/>
  <c r="L96" i="59"/>
  <c r="AJ216" i="35"/>
  <c r="P272" i="35" s="1"/>
  <c r="Q106" i="72" s="1"/>
  <c r="D64" i="35"/>
  <c r="K112" i="59"/>
  <c r="L111" i="59"/>
  <c r="L112" i="59"/>
  <c r="L102" i="59"/>
  <c r="K23" i="47"/>
  <c r="K34" i="35"/>
  <c r="K36" i="35" s="1"/>
  <c r="K37" i="35" s="1"/>
  <c r="P34" i="35"/>
  <c r="P36" i="35" s="1"/>
  <c r="P37" i="35" s="1"/>
  <c r="O34" i="35"/>
  <c r="O36" i="35" s="1"/>
  <c r="O37" i="35" s="1"/>
  <c r="M34" i="35"/>
  <c r="M36" i="35" s="1"/>
  <c r="M37" i="35" s="1"/>
  <c r="I36" i="35"/>
  <c r="I37" i="35" s="1"/>
  <c r="J34" i="35"/>
  <c r="J36" i="35" s="1"/>
  <c r="J37" i="35" s="1"/>
  <c r="L34" i="35"/>
  <c r="L36" i="35" s="1"/>
  <c r="L37" i="35" s="1"/>
  <c r="N34" i="35"/>
  <c r="N36" i="35" s="1"/>
  <c r="N37" i="35" s="1"/>
  <c r="AD216" i="44"/>
  <c r="J272" i="44" s="1"/>
  <c r="J56" i="44" s="1"/>
  <c r="AE216" i="44"/>
  <c r="K272" i="44" s="1"/>
  <c r="K56" i="44" s="1"/>
  <c r="AF216" i="44"/>
  <c r="L272" i="44" s="1"/>
  <c r="L56" i="44" s="1"/>
  <c r="AG216" i="44"/>
  <c r="M272" i="44" s="1"/>
  <c r="M56" i="44" s="1"/>
  <c r="AI216" i="44"/>
  <c r="O272" i="44" s="1"/>
  <c r="P272" i="44"/>
  <c r="D64" i="44"/>
  <c r="Q272" i="44"/>
  <c r="AA126" i="44"/>
  <c r="S124" i="47"/>
  <c r="I37" i="49" s="1"/>
  <c r="G59" i="49" s="1"/>
  <c r="G56" i="47"/>
  <c r="G101" i="70"/>
  <c r="S101" i="70" s="1"/>
  <c r="H163" i="59"/>
  <c r="H101" i="72"/>
  <c r="H272" i="47"/>
  <c r="H56" i="47" s="1"/>
  <c r="N272" i="47"/>
  <c r="N56" i="47" s="1"/>
  <c r="O272" i="47"/>
  <c r="J272" i="47"/>
  <c r="J56" i="47" s="1"/>
  <c r="I272" i="47"/>
  <c r="I56" i="47" s="1"/>
  <c r="M272" i="47"/>
  <c r="M56" i="47" s="1"/>
  <c r="K272" i="47"/>
  <c r="K56" i="47" s="1"/>
  <c r="P272" i="47"/>
  <c r="L272" i="47"/>
  <c r="L56" i="47" s="1"/>
  <c r="AJ216" i="41"/>
  <c r="P272" i="41" s="1"/>
  <c r="D64" i="41"/>
  <c r="AG216" i="8"/>
  <c r="M272" i="8" s="1"/>
  <c r="M56" i="8" s="1"/>
  <c r="Q272" i="8"/>
  <c r="AH216" i="8"/>
  <c r="N272" i="8" s="1"/>
  <c r="N56" i="8" s="1"/>
  <c r="AI216" i="8"/>
  <c r="O272" i="8" s="1"/>
  <c r="O56" i="8" s="1"/>
  <c r="O272" i="41"/>
  <c r="O56" i="41" s="1"/>
  <c r="N272" i="41"/>
  <c r="N56" i="41" s="1"/>
  <c r="M272" i="41"/>
  <c r="M56" i="41" s="1"/>
  <c r="L272" i="41"/>
  <c r="L56" i="41" s="1"/>
  <c r="H28" i="53"/>
  <c r="I16" i="26"/>
  <c r="I17" i="26" s="1"/>
  <c r="I16" i="23"/>
  <c r="I17" i="23" s="1"/>
  <c r="H28" i="76"/>
  <c r="J16" i="29"/>
  <c r="J17" i="29" s="1"/>
  <c r="I43" i="53"/>
  <c r="I44" i="53" s="1"/>
  <c r="J16" i="5"/>
  <c r="J17" i="5" s="1"/>
  <c r="I28" i="50"/>
  <c r="I28" i="26"/>
  <c r="J16" i="26"/>
  <c r="J17" i="26" s="1"/>
  <c r="I28" i="41"/>
  <c r="J28" i="29"/>
  <c r="J8" i="44"/>
  <c r="J9" i="44" s="1"/>
  <c r="K8" i="26"/>
  <c r="K9" i="26" s="1"/>
  <c r="J40" i="53"/>
  <c r="J40" i="76"/>
  <c r="K44" i="72"/>
  <c r="J40" i="23" s="1"/>
  <c r="J8" i="23"/>
  <c r="J9" i="23" s="1"/>
  <c r="K8" i="38"/>
  <c r="K9" i="38" s="1"/>
  <c r="K8" i="76"/>
  <c r="K9" i="76" s="1"/>
  <c r="K8" i="53"/>
  <c r="K9" i="53" s="1"/>
  <c r="K8" i="29"/>
  <c r="K9" i="29" s="1"/>
  <c r="K8" i="5"/>
  <c r="K9" i="5" s="1"/>
  <c r="I43" i="38"/>
  <c r="I44" i="38" s="1"/>
  <c r="I8" i="8"/>
  <c r="I9" i="8" s="1"/>
  <c r="J28" i="5"/>
  <c r="K8" i="41"/>
  <c r="K9" i="41" s="1"/>
  <c r="J8" i="35"/>
  <c r="J9" i="35" s="1"/>
  <c r="I28" i="23"/>
  <c r="I43" i="44"/>
  <c r="I44" i="44" s="1"/>
  <c r="I28" i="5"/>
  <c r="J28" i="26"/>
  <c r="I43" i="41"/>
  <c r="I44" i="41" s="1"/>
  <c r="J28" i="41"/>
  <c r="I43" i="35"/>
  <c r="I44" i="35" s="1"/>
  <c r="J43" i="29"/>
  <c r="J44" i="29" s="1"/>
  <c r="J43" i="41"/>
  <c r="J44" i="41" s="1"/>
  <c r="J43" i="38"/>
  <c r="J44" i="38" s="1"/>
  <c r="I43" i="5"/>
  <c r="I46" i="5" s="1"/>
  <c r="J39" i="76"/>
  <c r="J39" i="53"/>
  <c r="J21" i="35"/>
  <c r="J6" i="35"/>
  <c r="J7" i="35" s="1"/>
  <c r="J43" i="5"/>
  <c r="J44" i="5" s="1"/>
  <c r="J21" i="50"/>
  <c r="K6" i="26"/>
  <c r="K7" i="26" s="1"/>
  <c r="K21" i="26"/>
  <c r="H28" i="50"/>
  <c r="J43" i="26"/>
  <c r="J44" i="26" s="1"/>
  <c r="K6" i="5"/>
  <c r="K7" i="5" s="1"/>
  <c r="K21" i="5"/>
  <c r="I43" i="76"/>
  <c r="I44" i="76" s="1"/>
  <c r="I28" i="76"/>
  <c r="I18" i="38"/>
  <c r="J6" i="44"/>
  <c r="J7" i="44" s="1"/>
  <c r="I43" i="50"/>
  <c r="I46" i="50" s="1"/>
  <c r="K6" i="29"/>
  <c r="K7" i="29" s="1"/>
  <c r="K21" i="29"/>
  <c r="K21" i="50"/>
  <c r="H28" i="26"/>
  <c r="I28" i="53"/>
  <c r="J18" i="38"/>
  <c r="K6" i="76"/>
  <c r="K7" i="76" s="1"/>
  <c r="K6" i="53"/>
  <c r="K7" i="53" s="1"/>
  <c r="K6" i="38"/>
  <c r="K7" i="38" s="1"/>
  <c r="K21" i="38"/>
  <c r="K21" i="41"/>
  <c r="K6" i="41"/>
  <c r="K7" i="41" s="1"/>
  <c r="H34" i="38"/>
  <c r="H36" i="38" s="1"/>
  <c r="H28" i="23"/>
  <c r="H28" i="41"/>
  <c r="J21" i="8"/>
  <c r="J6" i="8"/>
  <c r="J7" i="8" s="1"/>
  <c r="J10" i="8" s="1"/>
  <c r="J6" i="23"/>
  <c r="J7" i="23" s="1"/>
  <c r="J21" i="23"/>
  <c r="I43" i="26"/>
  <c r="I46" i="26" s="1"/>
  <c r="O34" i="23"/>
  <c r="O36" i="23" s="1"/>
  <c r="O37" i="23" s="1"/>
  <c r="K34" i="23"/>
  <c r="K36" i="23" s="1"/>
  <c r="K37" i="23" s="1"/>
  <c r="I41" i="23"/>
  <c r="I43" i="23" s="1"/>
  <c r="N34" i="23"/>
  <c r="N36" i="23" s="1"/>
  <c r="N37" i="23" s="1"/>
  <c r="H41" i="23"/>
  <c r="H43" i="23" s="1"/>
  <c r="H44" i="23" s="1"/>
  <c r="P34" i="23"/>
  <c r="P36" i="23" s="1"/>
  <c r="P37" i="23" s="1"/>
  <c r="M34" i="23"/>
  <c r="M36" i="23" s="1"/>
  <c r="M37" i="23" s="1"/>
  <c r="J34" i="23"/>
  <c r="J36" i="23" s="1"/>
  <c r="J37" i="23" s="1"/>
  <c r="I34" i="23"/>
  <c r="I36" i="23" s="1"/>
  <c r="I37" i="23" s="1"/>
  <c r="H34" i="23"/>
  <c r="H36" i="23" s="1"/>
  <c r="H37" i="23" s="1"/>
  <c r="L34" i="23"/>
  <c r="L36" i="23" s="1"/>
  <c r="L37" i="23" s="1"/>
  <c r="I43" i="47"/>
  <c r="I46" i="47" s="1"/>
  <c r="K13" i="47"/>
  <c r="K21" i="47"/>
  <c r="K6" i="47"/>
  <c r="K7" i="47" s="1"/>
  <c r="K8" i="47"/>
  <c r="K9" i="47" s="1"/>
  <c r="J43" i="47"/>
  <c r="J44" i="47" s="1"/>
  <c r="M34" i="53"/>
  <c r="M36" i="53" s="1"/>
  <c r="M37" i="53" s="1"/>
  <c r="M34" i="76"/>
  <c r="M36" i="76" s="1"/>
  <c r="M37" i="76" s="1"/>
  <c r="O34" i="53"/>
  <c r="O36" i="53" s="1"/>
  <c r="O37" i="53" s="1"/>
  <c r="O34" i="76"/>
  <c r="O36" i="76" s="1"/>
  <c r="O37" i="76" s="1"/>
  <c r="H44" i="41"/>
  <c r="L34" i="32"/>
  <c r="L36" i="32" s="1"/>
  <c r="L37" i="32" s="1"/>
  <c r="H43" i="26"/>
  <c r="H44" i="29"/>
  <c r="H46" i="29"/>
  <c r="K34" i="53"/>
  <c r="K36" i="53" s="1"/>
  <c r="K37" i="53" s="1"/>
  <c r="K34" i="76"/>
  <c r="K36" i="76" s="1"/>
  <c r="K37" i="76" s="1"/>
  <c r="N34" i="53"/>
  <c r="N36" i="53" s="1"/>
  <c r="N37" i="53" s="1"/>
  <c r="N34" i="76"/>
  <c r="N36" i="76" s="1"/>
  <c r="N37" i="76" s="1"/>
  <c r="H34" i="32"/>
  <c r="H36" i="32" s="1"/>
  <c r="H37" i="32" s="1"/>
  <c r="K34" i="32"/>
  <c r="K36" i="32" s="1"/>
  <c r="K37" i="32" s="1"/>
  <c r="H44" i="5"/>
  <c r="H46" i="5"/>
  <c r="H36" i="26"/>
  <c r="H37" i="26" s="1"/>
  <c r="Q34" i="26"/>
  <c r="Q36" i="26" s="1"/>
  <c r="J41" i="76"/>
  <c r="J41" i="53"/>
  <c r="J34" i="76"/>
  <c r="J36" i="76" s="1"/>
  <c r="J37" i="76" s="1"/>
  <c r="J34" i="53"/>
  <c r="J36" i="53" s="1"/>
  <c r="J37" i="53" s="1"/>
  <c r="H44" i="50"/>
  <c r="H46" i="50"/>
  <c r="O34" i="32"/>
  <c r="O36" i="32" s="1"/>
  <c r="O37" i="32" s="1"/>
  <c r="H41" i="32"/>
  <c r="H43" i="32" s="1"/>
  <c r="H44" i="32" s="1"/>
  <c r="H41" i="76"/>
  <c r="H41" i="53"/>
  <c r="P34" i="32"/>
  <c r="P36" i="32" s="1"/>
  <c r="P37" i="32" s="1"/>
  <c r="J34" i="32"/>
  <c r="J36" i="32" s="1"/>
  <c r="J37" i="32" s="1"/>
  <c r="H44" i="38"/>
  <c r="L34" i="53"/>
  <c r="L36" i="53" s="1"/>
  <c r="L37" i="53" s="1"/>
  <c r="L34" i="76"/>
  <c r="L36" i="76" s="1"/>
  <c r="L37" i="76" s="1"/>
  <c r="H44" i="47"/>
  <c r="H46" i="47"/>
  <c r="H44" i="8"/>
  <c r="H46" i="8"/>
  <c r="I34" i="76"/>
  <c r="I36" i="76" s="1"/>
  <c r="I37" i="76" s="1"/>
  <c r="I34" i="53"/>
  <c r="I36" i="53" s="1"/>
  <c r="I37" i="53" s="1"/>
  <c r="N34" i="32"/>
  <c r="N36" i="32" s="1"/>
  <c r="N37" i="32" s="1"/>
  <c r="P34" i="76"/>
  <c r="P36" i="76" s="1"/>
  <c r="P37" i="76" s="1"/>
  <c r="P34" i="53"/>
  <c r="P36" i="53" s="1"/>
  <c r="P37" i="53" s="1"/>
  <c r="M34" i="32"/>
  <c r="M36" i="32" s="1"/>
  <c r="M37" i="32" s="1"/>
  <c r="I46" i="29"/>
  <c r="H46" i="35"/>
  <c r="H44" i="35"/>
  <c r="H34" i="76"/>
  <c r="H34" i="53"/>
  <c r="I34" i="32"/>
  <c r="I36" i="32" s="1"/>
  <c r="I37" i="32" s="1"/>
  <c r="K8" i="1"/>
  <c r="K9" i="1" s="1"/>
  <c r="K6" i="1"/>
  <c r="K7" i="1" s="1"/>
  <c r="J6" i="32"/>
  <c r="J7" i="32" s="1"/>
  <c r="J21" i="32"/>
  <c r="H28" i="32"/>
  <c r="J21" i="44"/>
  <c r="L45" i="70"/>
  <c r="K125" i="72"/>
  <c r="I39" i="22"/>
  <c r="G63" i="22" s="1"/>
  <c r="B43" i="22"/>
  <c r="I40" i="22" s="1"/>
  <c r="G64" i="22" s="1"/>
  <c r="G27" i="28"/>
  <c r="G31" i="28" s="1"/>
  <c r="G32" i="28" s="1"/>
  <c r="K27" i="28"/>
  <c r="K31" i="28" s="1"/>
  <c r="K32" i="28" s="1"/>
  <c r="S134" i="1"/>
  <c r="Q272" i="1"/>
  <c r="J27" i="28"/>
  <c r="J31" i="28" s="1"/>
  <c r="J32" i="28" s="1"/>
  <c r="H27" i="28"/>
  <c r="H31" i="28" s="1"/>
  <c r="H32" i="28" s="1"/>
  <c r="L27" i="28"/>
  <c r="L31" i="28" s="1"/>
  <c r="L32" i="28" s="1"/>
  <c r="I27" i="28"/>
  <c r="I31" i="28" s="1"/>
  <c r="I32" i="28" s="1"/>
  <c r="E27" i="28"/>
  <c r="E31" i="28" s="1"/>
  <c r="E32" i="28" s="1"/>
  <c r="M27" i="28"/>
  <c r="M31" i="28" s="1"/>
  <c r="M32" i="28" s="1"/>
  <c r="F27" i="28"/>
  <c r="F31" i="28" s="1"/>
  <c r="F32" i="28" s="1"/>
  <c r="Q272" i="47"/>
  <c r="AA126" i="47"/>
  <c r="Q272" i="53"/>
  <c r="AA126" i="53"/>
  <c r="K66" i="70"/>
  <c r="K76" i="72"/>
  <c r="L66" i="72"/>
  <c r="L72" i="72"/>
  <c r="K63" i="72"/>
  <c r="H70" i="72"/>
  <c r="K64" i="72"/>
  <c r="K77" i="72"/>
  <c r="L84" i="72"/>
  <c r="L82" i="72"/>
  <c r="K73" i="72"/>
  <c r="L74" i="72"/>
  <c r="L68" i="72"/>
  <c r="H67" i="72"/>
  <c r="K69" i="72"/>
  <c r="L83" i="72"/>
  <c r="L81" i="72"/>
  <c r="H71" i="72"/>
  <c r="J35" i="72"/>
  <c r="I40" i="8" s="1"/>
  <c r="Q34" i="64"/>
  <c r="Q36" i="64" s="1"/>
  <c r="Q34" i="44"/>
  <c r="Q36" i="44" s="1"/>
  <c r="Q37" i="44" s="1"/>
  <c r="K6" i="72"/>
  <c r="J39" i="8" s="1"/>
  <c r="K44" i="70"/>
  <c r="Q34" i="8"/>
  <c r="Q36" i="8" s="1"/>
  <c r="S262" i="72"/>
  <c r="S260" i="72"/>
  <c r="S242" i="72"/>
  <c r="S263" i="72"/>
  <c r="S247" i="72"/>
  <c r="S248" i="72"/>
  <c r="S251" i="72"/>
  <c r="S252" i="72"/>
  <c r="S256" i="72"/>
  <c r="S253" i="72"/>
  <c r="S243" i="72"/>
  <c r="S261" i="72"/>
  <c r="S245" i="72"/>
  <c r="K72" i="70"/>
  <c r="E21" i="51"/>
  <c r="F21" i="51" s="1"/>
  <c r="I39" i="31"/>
  <c r="G63" i="31" s="1"/>
  <c r="BG168" i="53"/>
  <c r="BG169" i="53"/>
  <c r="J81" i="70"/>
  <c r="J82" i="70"/>
  <c r="AL214" i="11"/>
  <c r="L45" i="72"/>
  <c r="K40" i="29" s="1"/>
  <c r="D27" i="37"/>
  <c r="D31" i="37" s="1"/>
  <c r="D19" i="36"/>
  <c r="D21" i="36" s="1"/>
  <c r="E27" i="25"/>
  <c r="E31" i="25" s="1"/>
  <c r="E32" i="25" s="1"/>
  <c r="H19" i="24"/>
  <c r="K27" i="34"/>
  <c r="K31" i="34" s="1"/>
  <c r="K32" i="34" s="1"/>
  <c r="AF19" i="33"/>
  <c r="N272" i="20"/>
  <c r="N56" i="20" s="1"/>
  <c r="AB19" i="42"/>
  <c r="J27" i="43"/>
  <c r="J31" i="43" s="1"/>
  <c r="J32" i="43" s="1"/>
  <c r="K27" i="43"/>
  <c r="K31" i="43" s="1"/>
  <c r="K32" i="43" s="1"/>
  <c r="AF19" i="42"/>
  <c r="AN189" i="17"/>
  <c r="AO189" i="17"/>
  <c r="AM214" i="11"/>
  <c r="F27" i="55"/>
  <c r="F31" i="55" s="1"/>
  <c r="F32" i="55" s="1"/>
  <c r="L19" i="54"/>
  <c r="X19" i="54"/>
  <c r="I27" i="55"/>
  <c r="I31" i="55" s="1"/>
  <c r="I32" i="55" s="1"/>
  <c r="G27" i="37"/>
  <c r="G31" i="37" s="1"/>
  <c r="G32" i="37" s="1"/>
  <c r="P19" i="36"/>
  <c r="M27" i="34"/>
  <c r="M31" i="34" s="1"/>
  <c r="M32" i="34" s="1"/>
  <c r="AN19" i="33"/>
  <c r="D27" i="34"/>
  <c r="D31" i="34" s="1"/>
  <c r="D19" i="33"/>
  <c r="D21" i="33" s="1"/>
  <c r="D23" i="33" s="1"/>
  <c r="D25" i="33" s="1"/>
  <c r="D19" i="48"/>
  <c r="D21" i="48" s="1"/>
  <c r="E21" i="48" s="1"/>
  <c r="D27" i="49"/>
  <c r="D31" i="49" s="1"/>
  <c r="B43" i="46"/>
  <c r="I40" i="46" s="1"/>
  <c r="G64" i="46" s="1"/>
  <c r="T19" i="42"/>
  <c r="H27" i="43"/>
  <c r="H31" i="43" s="1"/>
  <c r="H32" i="43" s="1"/>
  <c r="M27" i="55"/>
  <c r="M31" i="55" s="1"/>
  <c r="M32" i="55" s="1"/>
  <c r="AN19" i="54"/>
  <c r="F27" i="49"/>
  <c r="F31" i="49" s="1"/>
  <c r="F32" i="49" s="1"/>
  <c r="L19" i="48"/>
  <c r="AJ19" i="36"/>
  <c r="L27" i="37"/>
  <c r="L31" i="37" s="1"/>
  <c r="L32" i="37" s="1"/>
  <c r="G27" i="25"/>
  <c r="G31" i="25" s="1"/>
  <c r="G32" i="25" s="1"/>
  <c r="P19" i="24"/>
  <c r="I27" i="25"/>
  <c r="I31" i="25" s="1"/>
  <c r="I32" i="25" s="1"/>
  <c r="X19" i="24"/>
  <c r="I27" i="34"/>
  <c r="I31" i="34" s="1"/>
  <c r="I32" i="34" s="1"/>
  <c r="X19" i="33"/>
  <c r="P272" i="8"/>
  <c r="P56" i="8" s="1"/>
  <c r="D64" i="8"/>
  <c r="M27" i="43"/>
  <c r="M31" i="43" s="1"/>
  <c r="M32" i="43" s="1"/>
  <c r="AN19" i="42"/>
  <c r="E27" i="43"/>
  <c r="E31" i="43" s="1"/>
  <c r="E32" i="43" s="1"/>
  <c r="H19" i="42"/>
  <c r="AF19" i="54"/>
  <c r="K27" i="55"/>
  <c r="K31" i="55" s="1"/>
  <c r="K32" i="55" s="1"/>
  <c r="E27" i="55"/>
  <c r="E31" i="55" s="1"/>
  <c r="E32" i="55" s="1"/>
  <c r="H19" i="54"/>
  <c r="I27" i="49"/>
  <c r="I31" i="49" s="1"/>
  <c r="I32" i="49" s="1"/>
  <c r="X19" i="48"/>
  <c r="L27" i="49"/>
  <c r="L31" i="49" s="1"/>
  <c r="L32" i="49" s="1"/>
  <c r="AJ19" i="48"/>
  <c r="E27" i="37"/>
  <c r="E31" i="37" s="1"/>
  <c r="E32" i="37" s="1"/>
  <c r="H19" i="36"/>
  <c r="AB19" i="36"/>
  <c r="J27" i="37"/>
  <c r="J31" i="37" s="1"/>
  <c r="J32" i="37" s="1"/>
  <c r="D27" i="25"/>
  <c r="D31" i="25" s="1"/>
  <c r="D19" i="24"/>
  <c r="D21" i="24" s="1"/>
  <c r="E21" i="24" s="1"/>
  <c r="AF19" i="24"/>
  <c r="K27" i="25"/>
  <c r="K31" i="25" s="1"/>
  <c r="K32" i="25" s="1"/>
  <c r="G27" i="34"/>
  <c r="G31" i="34" s="1"/>
  <c r="G32" i="34" s="1"/>
  <c r="P19" i="33"/>
  <c r="AJ19" i="33"/>
  <c r="L27" i="34"/>
  <c r="L31" i="34" s="1"/>
  <c r="L32" i="34" s="1"/>
  <c r="E27" i="34"/>
  <c r="E31" i="34" s="1"/>
  <c r="E32" i="34" s="1"/>
  <c r="H19" i="33"/>
  <c r="M27" i="49"/>
  <c r="M31" i="49" s="1"/>
  <c r="M32" i="49" s="1"/>
  <c r="AN19" i="48"/>
  <c r="X19" i="36"/>
  <c r="I27" i="37"/>
  <c r="I31" i="37" s="1"/>
  <c r="I32" i="37" s="1"/>
  <c r="K83" i="70"/>
  <c r="L19" i="42"/>
  <c r="F27" i="43"/>
  <c r="F31" i="43" s="1"/>
  <c r="F32" i="43" s="1"/>
  <c r="D19" i="42"/>
  <c r="D21" i="42" s="1"/>
  <c r="E21" i="42" s="1"/>
  <c r="E23" i="42" s="1"/>
  <c r="E25" i="42" s="1"/>
  <c r="D27" i="43"/>
  <c r="D31" i="43" s="1"/>
  <c r="G27" i="55"/>
  <c r="G31" i="55" s="1"/>
  <c r="G32" i="55" s="1"/>
  <c r="P19" i="54"/>
  <c r="AJ19" i="54"/>
  <c r="L27" i="55"/>
  <c r="L31" i="55" s="1"/>
  <c r="L32" i="55" s="1"/>
  <c r="AB19" i="48"/>
  <c r="J27" i="49"/>
  <c r="J31" i="49" s="1"/>
  <c r="J32" i="49" s="1"/>
  <c r="AJ19" i="24"/>
  <c r="L27" i="25"/>
  <c r="L31" i="25" s="1"/>
  <c r="L32" i="25" s="1"/>
  <c r="AL214" i="17"/>
  <c r="M27" i="37"/>
  <c r="M31" i="37" s="1"/>
  <c r="M32" i="37" s="1"/>
  <c r="AN19" i="36"/>
  <c r="BV157" i="17"/>
  <c r="Y207" i="17"/>
  <c r="Y209" i="17"/>
  <c r="Y206" i="17"/>
  <c r="Y203" i="17"/>
  <c r="Y208" i="17"/>
  <c r="Y205" i="17"/>
  <c r="Y201" i="17"/>
  <c r="Y202" i="17"/>
  <c r="Y211" i="17"/>
  <c r="Y210" i="17"/>
  <c r="Y204" i="17"/>
  <c r="Y212" i="17"/>
  <c r="Y213" i="17"/>
  <c r="H27" i="49"/>
  <c r="H31" i="49" s="1"/>
  <c r="H32" i="49" s="1"/>
  <c r="T19" i="48"/>
  <c r="T19" i="36"/>
  <c r="H27" i="37"/>
  <c r="H31" i="37" s="1"/>
  <c r="H32" i="37" s="1"/>
  <c r="AB19" i="24"/>
  <c r="J27" i="25"/>
  <c r="J31" i="25" s="1"/>
  <c r="J32" i="25" s="1"/>
  <c r="AL214" i="14"/>
  <c r="J27" i="34"/>
  <c r="J31" i="34" s="1"/>
  <c r="J32" i="34" s="1"/>
  <c r="AB19" i="33"/>
  <c r="H27" i="34"/>
  <c r="H31" i="34" s="1"/>
  <c r="H32" i="34" s="1"/>
  <c r="T19" i="33"/>
  <c r="AM214" i="17"/>
  <c r="F27" i="25"/>
  <c r="F31" i="25" s="1"/>
  <c r="F32" i="25" s="1"/>
  <c r="L19" i="24"/>
  <c r="I27" i="43"/>
  <c r="I31" i="43" s="1"/>
  <c r="I32" i="43" s="1"/>
  <c r="X19" i="42"/>
  <c r="AB19" i="54"/>
  <c r="J27" i="55"/>
  <c r="J31" i="55" s="1"/>
  <c r="J32" i="55" s="1"/>
  <c r="D19" i="54"/>
  <c r="D21" i="54" s="1"/>
  <c r="E21" i="54" s="1"/>
  <c r="D27" i="55"/>
  <c r="D31" i="55" s="1"/>
  <c r="AN188" i="17"/>
  <c r="AO188" i="17"/>
  <c r="W115" i="17"/>
  <c r="AJ216" i="53"/>
  <c r="P272" i="53" s="1"/>
  <c r="P56" i="53" s="1"/>
  <c r="Q56" i="53" s="1"/>
  <c r="D64" i="53"/>
  <c r="K27" i="49"/>
  <c r="K31" i="49" s="1"/>
  <c r="K32" i="49" s="1"/>
  <c r="AF19" i="48"/>
  <c r="E27" i="49"/>
  <c r="E31" i="49" s="1"/>
  <c r="E32" i="49" s="1"/>
  <c r="H19" i="48"/>
  <c r="K27" i="37"/>
  <c r="K31" i="37" s="1"/>
  <c r="K32" i="37" s="1"/>
  <c r="AF19" i="36"/>
  <c r="F27" i="37"/>
  <c r="F31" i="37" s="1"/>
  <c r="F32" i="37" s="1"/>
  <c r="L19" i="36"/>
  <c r="T19" i="24"/>
  <c r="H27" i="25"/>
  <c r="H31" i="25" s="1"/>
  <c r="H32" i="25" s="1"/>
  <c r="AM214" i="14"/>
  <c r="G27" i="43"/>
  <c r="G31" i="43" s="1"/>
  <c r="G32" i="43" s="1"/>
  <c r="P19" i="42"/>
  <c r="AJ19" i="42"/>
  <c r="L27" i="43"/>
  <c r="L31" i="43" s="1"/>
  <c r="L32" i="43" s="1"/>
  <c r="T19" i="54"/>
  <c r="H27" i="55"/>
  <c r="H31" i="55" s="1"/>
  <c r="H32" i="55" s="1"/>
  <c r="P19" i="48"/>
  <c r="G27" i="49"/>
  <c r="G31" i="49" s="1"/>
  <c r="G32" i="49" s="1"/>
  <c r="M27" i="25"/>
  <c r="M31" i="25" s="1"/>
  <c r="M32" i="25" s="1"/>
  <c r="AN19" i="24"/>
  <c r="F27" i="34"/>
  <c r="F31" i="34" s="1"/>
  <c r="F32" i="34" s="1"/>
  <c r="L19" i="33"/>
  <c r="AO190" i="17"/>
  <c r="AN190" i="17"/>
  <c r="D64" i="1"/>
  <c r="I39" i="40"/>
  <c r="G63" i="40" s="1"/>
  <c r="B43" i="40"/>
  <c r="I40" i="40" s="1"/>
  <c r="G64" i="40" s="1"/>
  <c r="I39" i="52"/>
  <c r="G63" i="52" s="1"/>
  <c r="B43" i="31"/>
  <c r="I40" i="31" s="1"/>
  <c r="G64" i="31" s="1"/>
  <c r="I39" i="46"/>
  <c r="G63" i="46" s="1"/>
  <c r="K214" i="44"/>
  <c r="L5" i="59" s="1"/>
  <c r="K115" i="20"/>
  <c r="K49" i="20" s="1"/>
  <c r="B43" i="52"/>
  <c r="I40" i="52" s="1"/>
  <c r="G64" i="52" s="1"/>
  <c r="J84" i="70"/>
  <c r="L214" i="50"/>
  <c r="M24" i="59" s="1"/>
  <c r="H214" i="17"/>
  <c r="I9" i="59" s="1"/>
  <c r="K81" i="70"/>
  <c r="J73" i="70"/>
  <c r="L214" i="41"/>
  <c r="M26" i="59" s="1"/>
  <c r="L115" i="26"/>
  <c r="L49" i="26" s="1"/>
  <c r="L264" i="23"/>
  <c r="L256" i="23"/>
  <c r="L248" i="23"/>
  <c r="L240" i="23"/>
  <c r="L232" i="23"/>
  <c r="L224" i="23"/>
  <c r="L261" i="23"/>
  <c r="L253" i="23"/>
  <c r="L245" i="23"/>
  <c r="L237" i="23"/>
  <c r="L229" i="23"/>
  <c r="L221" i="23"/>
  <c r="L258" i="23"/>
  <c r="L250" i="23"/>
  <c r="L242" i="23"/>
  <c r="L234" i="23"/>
  <c r="L226" i="23"/>
  <c r="L263" i="23"/>
  <c r="L255" i="23"/>
  <c r="L247" i="23"/>
  <c r="L239" i="23"/>
  <c r="L231" i="23"/>
  <c r="L223" i="23"/>
  <c r="L260" i="23"/>
  <c r="L252" i="23"/>
  <c r="L244" i="23"/>
  <c r="L236" i="23"/>
  <c r="L228" i="23"/>
  <c r="L220" i="23"/>
  <c r="L265" i="23"/>
  <c r="L257" i="23"/>
  <c r="L249" i="23"/>
  <c r="L241" i="23"/>
  <c r="L233" i="23"/>
  <c r="L225" i="23"/>
  <c r="L262" i="23"/>
  <c r="L254" i="23"/>
  <c r="L246" i="23"/>
  <c r="L238" i="23"/>
  <c r="L230" i="23"/>
  <c r="L222" i="23"/>
  <c r="L243" i="23"/>
  <c r="L235" i="23"/>
  <c r="L259" i="23"/>
  <c r="L227" i="23"/>
  <c r="L251" i="23"/>
  <c r="L209" i="23"/>
  <c r="L206" i="23"/>
  <c r="L205" i="23"/>
  <c r="L207" i="23"/>
  <c r="L208" i="23"/>
  <c r="L201" i="23"/>
  <c r="L193" i="23"/>
  <c r="L185" i="23"/>
  <c r="L177" i="23"/>
  <c r="L169" i="23"/>
  <c r="L203" i="23"/>
  <c r="L195" i="23"/>
  <c r="L187" i="23"/>
  <c r="L179" i="23"/>
  <c r="L171" i="23"/>
  <c r="L200" i="23"/>
  <c r="L192" i="23"/>
  <c r="L184" i="23"/>
  <c r="L176" i="23"/>
  <c r="L168" i="23"/>
  <c r="L197" i="23"/>
  <c r="L189" i="23"/>
  <c r="L181" i="23"/>
  <c r="L173" i="23"/>
  <c r="L202" i="23"/>
  <c r="L194" i="23"/>
  <c r="L186" i="23"/>
  <c r="L178" i="23"/>
  <c r="L170" i="23"/>
  <c r="L199" i="23"/>
  <c r="L191" i="23"/>
  <c r="L183" i="23"/>
  <c r="L190" i="23"/>
  <c r="L175" i="23"/>
  <c r="L198" i="23"/>
  <c r="L196" i="23"/>
  <c r="L180" i="23"/>
  <c r="L204" i="23"/>
  <c r="L167" i="23"/>
  <c r="L188" i="23"/>
  <c r="L174" i="23"/>
  <c r="L182" i="23"/>
  <c r="L172" i="23"/>
  <c r="M262" i="26"/>
  <c r="M259" i="26"/>
  <c r="M264" i="26"/>
  <c r="M261" i="26"/>
  <c r="M258" i="26"/>
  <c r="M263" i="26"/>
  <c r="M260" i="26"/>
  <c r="M255" i="26"/>
  <c r="M247" i="26"/>
  <c r="M239" i="26"/>
  <c r="M231" i="26"/>
  <c r="M223" i="26"/>
  <c r="M252" i="26"/>
  <c r="M244" i="26"/>
  <c r="M236" i="26"/>
  <c r="M228" i="26"/>
  <c r="M220" i="26"/>
  <c r="M257" i="26"/>
  <c r="M249" i="26"/>
  <c r="M241" i="26"/>
  <c r="M233" i="26"/>
  <c r="M225" i="26"/>
  <c r="M254" i="26"/>
  <c r="M246" i="26"/>
  <c r="M238" i="26"/>
  <c r="M230" i="26"/>
  <c r="M222" i="26"/>
  <c r="M251" i="26"/>
  <c r="M243" i="26"/>
  <c r="M235" i="26"/>
  <c r="M227" i="26"/>
  <c r="M256" i="26"/>
  <c r="M248" i="26"/>
  <c r="M240" i="26"/>
  <c r="M232" i="26"/>
  <c r="M224" i="26"/>
  <c r="M253" i="26"/>
  <c r="M245" i="26"/>
  <c r="M237" i="26"/>
  <c r="M229" i="26"/>
  <c r="M221" i="26"/>
  <c r="M250" i="26"/>
  <c r="M242" i="26"/>
  <c r="M234" i="26"/>
  <c r="M226" i="26"/>
  <c r="M265" i="26"/>
  <c r="M208" i="26"/>
  <c r="M200" i="26"/>
  <c r="M192" i="26"/>
  <c r="M184" i="26"/>
  <c r="M176" i="26"/>
  <c r="M168" i="26"/>
  <c r="M205" i="26"/>
  <c r="M197" i="26"/>
  <c r="M189" i="26"/>
  <c r="M181" i="26"/>
  <c r="M173" i="26"/>
  <c r="M202" i="26"/>
  <c r="M194" i="26"/>
  <c r="M186" i="26"/>
  <c r="M178" i="26"/>
  <c r="M170" i="26"/>
  <c r="M204" i="26"/>
  <c r="M196" i="26"/>
  <c r="M188" i="26"/>
  <c r="M180" i="26"/>
  <c r="M172" i="26"/>
  <c r="M209" i="26"/>
  <c r="M201" i="26"/>
  <c r="M193" i="26"/>
  <c r="M185" i="26"/>
  <c r="M177" i="26"/>
  <c r="M169" i="26"/>
  <c r="M206" i="26"/>
  <c r="M198" i="26"/>
  <c r="M190" i="26"/>
  <c r="M182" i="26"/>
  <c r="M174" i="26"/>
  <c r="M207" i="26"/>
  <c r="M191" i="26"/>
  <c r="M175" i="26"/>
  <c r="M195" i="26"/>
  <c r="M179" i="26"/>
  <c r="M187" i="26"/>
  <c r="M199" i="26"/>
  <c r="M183" i="26"/>
  <c r="M167" i="26"/>
  <c r="M203" i="26"/>
  <c r="M171" i="26"/>
  <c r="L39" i="72"/>
  <c r="K40" i="38" s="1"/>
  <c r="L39" i="70"/>
  <c r="H115" i="11"/>
  <c r="H49" i="11" s="1"/>
  <c r="L259" i="44"/>
  <c r="L264" i="44"/>
  <c r="L256" i="44"/>
  <c r="L261" i="44"/>
  <c r="L253" i="44"/>
  <c r="L263" i="44"/>
  <c r="L255" i="44"/>
  <c r="L260" i="44"/>
  <c r="L265" i="44"/>
  <c r="L257" i="44"/>
  <c r="L245" i="44"/>
  <c r="L237" i="44"/>
  <c r="L229" i="44"/>
  <c r="L221" i="44"/>
  <c r="L258" i="44"/>
  <c r="L250" i="44"/>
  <c r="L242" i="44"/>
  <c r="L234" i="44"/>
  <c r="L226" i="44"/>
  <c r="L247" i="44"/>
  <c r="L239" i="44"/>
  <c r="L231" i="44"/>
  <c r="L223" i="44"/>
  <c r="L262" i="44"/>
  <c r="L252" i="44"/>
  <c r="L244" i="44"/>
  <c r="L236" i="44"/>
  <c r="L228" i="44"/>
  <c r="L220" i="44"/>
  <c r="L249" i="44"/>
  <c r="L241" i="44"/>
  <c r="L233" i="44"/>
  <c r="L225" i="44"/>
  <c r="L246" i="44"/>
  <c r="L238" i="44"/>
  <c r="L230" i="44"/>
  <c r="L222" i="44"/>
  <c r="L251" i="44"/>
  <c r="L243" i="44"/>
  <c r="L235" i="44"/>
  <c r="L227" i="44"/>
  <c r="L254" i="44"/>
  <c r="L232" i="44"/>
  <c r="L224" i="44"/>
  <c r="L248" i="44"/>
  <c r="L240" i="44"/>
  <c r="L203" i="44"/>
  <c r="L195" i="44"/>
  <c r="L187" i="44"/>
  <c r="L179" i="44"/>
  <c r="L171" i="44"/>
  <c r="L208" i="44"/>
  <c r="L200" i="44"/>
  <c r="L192" i="44"/>
  <c r="L184" i="44"/>
  <c r="L176" i="44"/>
  <c r="L168" i="44"/>
  <c r="L205" i="44"/>
  <c r="L197" i="44"/>
  <c r="L189" i="44"/>
  <c r="L181" i="44"/>
  <c r="L173" i="44"/>
  <c r="L202" i="44"/>
  <c r="L194" i="44"/>
  <c r="L186" i="44"/>
  <c r="L178" i="44"/>
  <c r="L170" i="44"/>
  <c r="L207" i="44"/>
  <c r="L199" i="44"/>
  <c r="L191" i="44"/>
  <c r="L183" i="44"/>
  <c r="L175" i="44"/>
  <c r="L167" i="44"/>
  <c r="L209" i="44"/>
  <c r="L201" i="44"/>
  <c r="L193" i="44"/>
  <c r="L185" i="44"/>
  <c r="L177" i="44"/>
  <c r="L169" i="44"/>
  <c r="L196" i="44"/>
  <c r="L180" i="44"/>
  <c r="L188" i="44"/>
  <c r="L198" i="44"/>
  <c r="L182" i="44"/>
  <c r="L204" i="44"/>
  <c r="L172" i="44"/>
  <c r="L206" i="44"/>
  <c r="L190" i="44"/>
  <c r="L174" i="44"/>
  <c r="S132" i="44"/>
  <c r="L74" i="59"/>
  <c r="L137" i="72" s="1"/>
  <c r="K41" i="29" s="1"/>
  <c r="L16" i="70"/>
  <c r="L16" i="72"/>
  <c r="K39" i="29" s="1"/>
  <c r="L215" i="5"/>
  <c r="M8" i="59" s="1"/>
  <c r="K11" i="70"/>
  <c r="K11" i="72"/>
  <c r="J39" i="32" s="1"/>
  <c r="K267" i="44"/>
  <c r="L34" i="59" s="1"/>
  <c r="H267" i="11"/>
  <c r="I41" i="59" s="1"/>
  <c r="I281" i="59" s="1"/>
  <c r="L116" i="5"/>
  <c r="L49" i="5" s="1"/>
  <c r="S126" i="38"/>
  <c r="K37" i="40" s="1"/>
  <c r="I59" i="40" s="1"/>
  <c r="K82" i="59"/>
  <c r="K145" i="72" s="1"/>
  <c r="J41" i="50" s="1"/>
  <c r="K24" i="72"/>
  <c r="J39" i="50" s="1"/>
  <c r="K24" i="70"/>
  <c r="H115" i="14"/>
  <c r="H49" i="14" s="1"/>
  <c r="K15" i="70"/>
  <c r="K15" i="72"/>
  <c r="J39" i="23" s="1"/>
  <c r="K73" i="59"/>
  <c r="K136" i="72" s="1"/>
  <c r="K214" i="35"/>
  <c r="L19" i="59" s="1"/>
  <c r="L317" i="59" s="1"/>
  <c r="L26" i="70"/>
  <c r="L26" i="72"/>
  <c r="K39" i="41" s="1"/>
  <c r="L84" i="59"/>
  <c r="L147" i="72" s="1"/>
  <c r="K41" i="41" s="1"/>
  <c r="L214" i="47"/>
  <c r="M14" i="59" s="1"/>
  <c r="H214" i="14"/>
  <c r="I13" i="59" s="1"/>
  <c r="H267" i="14"/>
  <c r="I42" i="59" s="1"/>
  <c r="I282" i="59" s="1"/>
  <c r="K19" i="72"/>
  <c r="J39" i="35" s="1"/>
  <c r="K19" i="70"/>
  <c r="K77" i="59"/>
  <c r="K140" i="72" s="1"/>
  <c r="J41" i="35" s="1"/>
  <c r="J63" i="70"/>
  <c r="L214" i="38"/>
  <c r="M10" i="59" s="1"/>
  <c r="L66" i="59"/>
  <c r="L129" i="72" s="1"/>
  <c r="K41" i="5" s="1"/>
  <c r="L8" i="70"/>
  <c r="L8" i="72"/>
  <c r="K39" i="5" s="1"/>
  <c r="L264" i="35"/>
  <c r="L256" i="35"/>
  <c r="L248" i="35"/>
  <c r="L240" i="35"/>
  <c r="L232" i="35"/>
  <c r="L224" i="35"/>
  <c r="L261" i="35"/>
  <c r="L253" i="35"/>
  <c r="L245" i="35"/>
  <c r="L237" i="35"/>
  <c r="L229" i="35"/>
  <c r="L221" i="35"/>
  <c r="L258" i="35"/>
  <c r="L250" i="35"/>
  <c r="L242" i="35"/>
  <c r="L234" i="35"/>
  <c r="L226" i="35"/>
  <c r="L263" i="35"/>
  <c r="L255" i="35"/>
  <c r="L247" i="35"/>
  <c r="L239" i="35"/>
  <c r="L231" i="35"/>
  <c r="L223" i="35"/>
  <c r="L260" i="35"/>
  <c r="L252" i="35"/>
  <c r="L244" i="35"/>
  <c r="L236" i="35"/>
  <c r="L228" i="35"/>
  <c r="L220" i="35"/>
  <c r="L265" i="35"/>
  <c r="L257" i="35"/>
  <c r="L249" i="35"/>
  <c r="L241" i="35"/>
  <c r="L233" i="35"/>
  <c r="L225" i="35"/>
  <c r="L262" i="35"/>
  <c r="L254" i="35"/>
  <c r="L238" i="35"/>
  <c r="L222" i="35"/>
  <c r="L251" i="35"/>
  <c r="L235" i="35"/>
  <c r="L246" i="35"/>
  <c r="L230" i="35"/>
  <c r="L259" i="35"/>
  <c r="L243" i="35"/>
  <c r="L227" i="35"/>
  <c r="L202" i="35"/>
  <c r="L194" i="35"/>
  <c r="L207" i="35"/>
  <c r="L199" i="35"/>
  <c r="L191" i="35"/>
  <c r="L204" i="35"/>
  <c r="L196" i="35"/>
  <c r="L188" i="35"/>
  <c r="L206" i="35"/>
  <c r="L198" i="35"/>
  <c r="L190" i="35"/>
  <c r="L203" i="35"/>
  <c r="L195" i="35"/>
  <c r="L208" i="35"/>
  <c r="L200" i="35"/>
  <c r="L192" i="35"/>
  <c r="L183" i="35"/>
  <c r="L175" i="35"/>
  <c r="L167" i="35"/>
  <c r="L201" i="35"/>
  <c r="L180" i="35"/>
  <c r="L172" i="35"/>
  <c r="L185" i="35"/>
  <c r="L177" i="35"/>
  <c r="L169" i="35"/>
  <c r="L205" i="35"/>
  <c r="L189" i="35"/>
  <c r="L182" i="35"/>
  <c r="L174" i="35"/>
  <c r="L187" i="35"/>
  <c r="L179" i="35"/>
  <c r="L171" i="35"/>
  <c r="L209" i="35"/>
  <c r="L193" i="35"/>
  <c r="L184" i="35"/>
  <c r="L176" i="35"/>
  <c r="L168" i="35"/>
  <c r="L181" i="35"/>
  <c r="L173" i="35"/>
  <c r="L186" i="35"/>
  <c r="L197" i="35"/>
  <c r="L170" i="35"/>
  <c r="L178" i="35"/>
  <c r="I265" i="11"/>
  <c r="I257" i="11"/>
  <c r="I249" i="11"/>
  <c r="I241" i="11"/>
  <c r="I233" i="11"/>
  <c r="I225" i="11"/>
  <c r="I262" i="11"/>
  <c r="I254" i="11"/>
  <c r="I246" i="11"/>
  <c r="I238" i="11"/>
  <c r="I230" i="11"/>
  <c r="I222" i="11"/>
  <c r="I259" i="11"/>
  <c r="I251" i="11"/>
  <c r="I243" i="11"/>
  <c r="I235" i="11"/>
  <c r="I227" i="11"/>
  <c r="I264" i="11"/>
  <c r="I256" i="11"/>
  <c r="I248" i="11"/>
  <c r="I240" i="11"/>
  <c r="I232" i="11"/>
  <c r="I224" i="11"/>
  <c r="I261" i="11"/>
  <c r="I253" i="11"/>
  <c r="I245" i="11"/>
  <c r="I237" i="11"/>
  <c r="I229" i="11"/>
  <c r="I221" i="11"/>
  <c r="I258" i="11"/>
  <c r="I250" i="11"/>
  <c r="I242" i="11"/>
  <c r="I234" i="11"/>
  <c r="I226" i="11"/>
  <c r="I263" i="11"/>
  <c r="I255" i="11"/>
  <c r="I247" i="11"/>
  <c r="I239" i="11"/>
  <c r="I231" i="11"/>
  <c r="I223" i="11"/>
  <c r="I252" i="11"/>
  <c r="I220" i="11"/>
  <c r="I244" i="11"/>
  <c r="I236" i="11"/>
  <c r="I228" i="11"/>
  <c r="I260" i="11"/>
  <c r="I204" i="11"/>
  <c r="I196" i="11"/>
  <c r="I188" i="11"/>
  <c r="I180" i="11"/>
  <c r="I172" i="11"/>
  <c r="I209" i="11"/>
  <c r="I201" i="11"/>
  <c r="I193" i="11"/>
  <c r="I185" i="11"/>
  <c r="I177" i="11"/>
  <c r="I169" i="11"/>
  <c r="I206" i="11"/>
  <c r="I198" i="11"/>
  <c r="I190" i="11"/>
  <c r="I182" i="11"/>
  <c r="I174" i="11"/>
  <c r="I203" i="11"/>
  <c r="I195" i="11"/>
  <c r="I187" i="11"/>
  <c r="I179" i="11"/>
  <c r="I171" i="11"/>
  <c r="I208" i="11"/>
  <c r="I200" i="11"/>
  <c r="I192" i="11"/>
  <c r="I184" i="11"/>
  <c r="I176" i="11"/>
  <c r="I168" i="11"/>
  <c r="I202" i="11"/>
  <c r="I194" i="11"/>
  <c r="I186" i="11"/>
  <c r="I178" i="11"/>
  <c r="I170" i="11"/>
  <c r="I205" i="11"/>
  <c r="I189" i="11"/>
  <c r="I173" i="11"/>
  <c r="I207" i="11"/>
  <c r="I191" i="11"/>
  <c r="I175" i="11"/>
  <c r="I199" i="11"/>
  <c r="I167" i="11"/>
  <c r="I197" i="11"/>
  <c r="I181" i="11"/>
  <c r="I183" i="11"/>
  <c r="I70" i="11"/>
  <c r="I75" i="11"/>
  <c r="I72" i="11"/>
  <c r="I77" i="11"/>
  <c r="I69" i="11"/>
  <c r="I73" i="11"/>
  <c r="I74" i="11"/>
  <c r="I71" i="11"/>
  <c r="I76" i="11"/>
  <c r="M84" i="53"/>
  <c r="M87" i="53"/>
  <c r="M82" i="53"/>
  <c r="M79" i="53"/>
  <c r="M85" i="53"/>
  <c r="M88" i="53"/>
  <c r="M83" i="53"/>
  <c r="M78" i="53"/>
  <c r="M86" i="53"/>
  <c r="M80" i="53"/>
  <c r="M81" i="53"/>
  <c r="M265" i="53"/>
  <c r="M257" i="53"/>
  <c r="M249" i="53"/>
  <c r="M241" i="53"/>
  <c r="M233" i="53"/>
  <c r="M225" i="53"/>
  <c r="M262" i="53"/>
  <c r="M254" i="53"/>
  <c r="M246" i="53"/>
  <c r="M238" i="53"/>
  <c r="M230" i="53"/>
  <c r="M222" i="53"/>
  <c r="M259" i="53"/>
  <c r="M251" i="53"/>
  <c r="M243" i="53"/>
  <c r="M235" i="53"/>
  <c r="M227" i="53"/>
  <c r="M264" i="53"/>
  <c r="M256" i="53"/>
  <c r="M248" i="53"/>
  <c r="M240" i="53"/>
  <c r="M232" i="53"/>
  <c r="M224" i="53"/>
  <c r="M261" i="53"/>
  <c r="M253" i="53"/>
  <c r="M245" i="53"/>
  <c r="M237" i="53"/>
  <c r="M229" i="53"/>
  <c r="M221" i="53"/>
  <c r="M258" i="53"/>
  <c r="M250" i="53"/>
  <c r="M242" i="53"/>
  <c r="M234" i="53"/>
  <c r="M226" i="53"/>
  <c r="M263" i="53"/>
  <c r="M255" i="53"/>
  <c r="M247" i="53"/>
  <c r="M239" i="53"/>
  <c r="M231" i="53"/>
  <c r="M223" i="53"/>
  <c r="M244" i="53"/>
  <c r="M236" i="53"/>
  <c r="M260" i="53"/>
  <c r="M228" i="53"/>
  <c r="M252" i="53"/>
  <c r="M220" i="53"/>
  <c r="M209" i="53"/>
  <c r="M201" i="53"/>
  <c r="M193" i="53"/>
  <c r="M185" i="53"/>
  <c r="M177" i="53"/>
  <c r="M169" i="53"/>
  <c r="M206" i="53"/>
  <c r="M198" i="53"/>
  <c r="M190" i="53"/>
  <c r="M182" i="53"/>
  <c r="M174" i="53"/>
  <c r="M203" i="53"/>
  <c r="M195" i="53"/>
  <c r="M187" i="53"/>
  <c r="M179" i="53"/>
  <c r="M171" i="53"/>
  <c r="M208" i="53"/>
  <c r="M200" i="53"/>
  <c r="M192" i="53"/>
  <c r="M184" i="53"/>
  <c r="M176" i="53"/>
  <c r="M168" i="53"/>
  <c r="M205" i="53"/>
  <c r="M197" i="53"/>
  <c r="M189" i="53"/>
  <c r="M181" i="53"/>
  <c r="M173" i="53"/>
  <c r="M202" i="53"/>
  <c r="M194" i="53"/>
  <c r="M186" i="53"/>
  <c r="M178" i="53"/>
  <c r="M170" i="53"/>
  <c r="M207" i="53"/>
  <c r="M199" i="53"/>
  <c r="M191" i="53"/>
  <c r="M183" i="53"/>
  <c r="M175" i="53"/>
  <c r="M167" i="53"/>
  <c r="M180" i="53"/>
  <c r="M204" i="53"/>
  <c r="M172" i="53"/>
  <c r="M196" i="53"/>
  <c r="M188" i="53"/>
  <c r="S131" i="26"/>
  <c r="O110" i="72"/>
  <c r="L115" i="29"/>
  <c r="L49" i="29" s="1"/>
  <c r="L262" i="32"/>
  <c r="L254" i="32"/>
  <c r="L246" i="32"/>
  <c r="L238" i="32"/>
  <c r="L230" i="32"/>
  <c r="L222" i="32"/>
  <c r="L259" i="32"/>
  <c r="L251" i="32"/>
  <c r="L243" i="32"/>
  <c r="L235" i="32"/>
  <c r="L227" i="32"/>
  <c r="L264" i="32"/>
  <c r="L256" i="32"/>
  <c r="L248" i="32"/>
  <c r="L240" i="32"/>
  <c r="L232" i="32"/>
  <c r="L261" i="32"/>
  <c r="L253" i="32"/>
  <c r="L245" i="32"/>
  <c r="L237" i="32"/>
  <c r="L229" i="32"/>
  <c r="L221" i="32"/>
  <c r="L258" i="32"/>
  <c r="L250" i="32"/>
  <c r="L242" i="32"/>
  <c r="L234" i="32"/>
  <c r="L226" i="32"/>
  <c r="L249" i="32"/>
  <c r="L247" i="32"/>
  <c r="L252" i="32"/>
  <c r="L220" i="32"/>
  <c r="L257" i="32"/>
  <c r="L255" i="32"/>
  <c r="L225" i="32"/>
  <c r="L223" i="32"/>
  <c r="L260" i="32"/>
  <c r="L228" i="32"/>
  <c r="L265" i="32"/>
  <c r="L263" i="32"/>
  <c r="L233" i="32"/>
  <c r="L231" i="32"/>
  <c r="L236" i="32"/>
  <c r="L241" i="32"/>
  <c r="L239" i="32"/>
  <c r="L244" i="32"/>
  <c r="L205" i="32"/>
  <c r="L197" i="32"/>
  <c r="L189" i="32"/>
  <c r="L181" i="32"/>
  <c r="L173" i="32"/>
  <c r="L207" i="32"/>
  <c r="L199" i="32"/>
  <c r="L191" i="32"/>
  <c r="L183" i="32"/>
  <c r="L175" i="32"/>
  <c r="L167" i="32"/>
  <c r="L204" i="32"/>
  <c r="L196" i="32"/>
  <c r="L188" i="32"/>
  <c r="L180" i="32"/>
  <c r="L172" i="32"/>
  <c r="L209" i="32"/>
  <c r="L201" i="32"/>
  <c r="L193" i="32"/>
  <c r="L185" i="32"/>
  <c r="L177" i="32"/>
  <c r="L169" i="32"/>
  <c r="L206" i="32"/>
  <c r="L198" i="32"/>
  <c r="L190" i="32"/>
  <c r="L182" i="32"/>
  <c r="L174" i="32"/>
  <c r="L186" i="32"/>
  <c r="L184" i="32"/>
  <c r="L179" i="32"/>
  <c r="L194" i="32"/>
  <c r="L192" i="32"/>
  <c r="L187" i="32"/>
  <c r="L202" i="32"/>
  <c r="L168" i="32"/>
  <c r="L170" i="32"/>
  <c r="L176" i="32"/>
  <c r="L171" i="32"/>
  <c r="L200" i="32"/>
  <c r="L208" i="32"/>
  <c r="L195" i="32"/>
  <c r="L203" i="32"/>
  <c r="L178" i="32"/>
  <c r="L79" i="32"/>
  <c r="L78" i="32"/>
  <c r="L82" i="32"/>
  <c r="L83" i="32"/>
  <c r="L80" i="32"/>
  <c r="L84" i="32"/>
  <c r="L81" i="32"/>
  <c r="L115" i="47"/>
  <c r="L49" i="47" s="1"/>
  <c r="S124" i="53"/>
  <c r="I37" i="55" s="1"/>
  <c r="G59" i="55" s="1"/>
  <c r="H174" i="59"/>
  <c r="L55" i="70"/>
  <c r="L55" i="72"/>
  <c r="K40" i="41" s="1"/>
  <c r="L267" i="50"/>
  <c r="M53" i="59" s="1"/>
  <c r="K214" i="32"/>
  <c r="L11" i="59" s="1"/>
  <c r="K74" i="70"/>
  <c r="L53" i="70"/>
  <c r="L53" i="72"/>
  <c r="K40" i="50" s="1"/>
  <c r="H214" i="11"/>
  <c r="I12" i="59" s="1"/>
  <c r="K48" i="70"/>
  <c r="K48" i="72"/>
  <c r="J40" i="35" s="1"/>
  <c r="K53" i="70"/>
  <c r="K53" i="72"/>
  <c r="J40" i="50" s="1"/>
  <c r="I258" i="17"/>
  <c r="I263" i="17"/>
  <c r="I260" i="17"/>
  <c r="I265" i="17"/>
  <c r="I257" i="17"/>
  <c r="I262" i="17"/>
  <c r="I248" i="17"/>
  <c r="I240" i="17"/>
  <c r="I232" i="17"/>
  <c r="I224" i="17"/>
  <c r="I256" i="17"/>
  <c r="I253" i="17"/>
  <c r="I245" i="17"/>
  <c r="I237" i="17"/>
  <c r="I229" i="17"/>
  <c r="I221" i="17"/>
  <c r="I261" i="17"/>
  <c r="I250" i="17"/>
  <c r="I242" i="17"/>
  <c r="I234" i="17"/>
  <c r="I226" i="17"/>
  <c r="I264" i="17"/>
  <c r="I259" i="17"/>
  <c r="I255" i="17"/>
  <c r="I247" i="17"/>
  <c r="I239" i="17"/>
  <c r="I231" i="17"/>
  <c r="I223" i="17"/>
  <c r="I252" i="17"/>
  <c r="I244" i="17"/>
  <c r="I236" i="17"/>
  <c r="I228" i="17"/>
  <c r="I220" i="17"/>
  <c r="I249" i="17"/>
  <c r="I241" i="17"/>
  <c r="I233" i="17"/>
  <c r="I225" i="17"/>
  <c r="I254" i="17"/>
  <c r="I246" i="17"/>
  <c r="I238" i="17"/>
  <c r="I230" i="17"/>
  <c r="I222" i="17"/>
  <c r="I235" i="17"/>
  <c r="I227" i="17"/>
  <c r="I251" i="17"/>
  <c r="I243" i="17"/>
  <c r="I208" i="17"/>
  <c r="I200" i="17"/>
  <c r="I192" i="17"/>
  <c r="I184" i="17"/>
  <c r="I176" i="17"/>
  <c r="I168" i="17"/>
  <c r="I202" i="17"/>
  <c r="I204" i="17"/>
  <c r="I196" i="17"/>
  <c r="I188" i="17"/>
  <c r="I180" i="17"/>
  <c r="I209" i="17"/>
  <c r="I201" i="17"/>
  <c r="I193" i="17"/>
  <c r="I185" i="17"/>
  <c r="I177" i="17"/>
  <c r="I169" i="17"/>
  <c r="I199" i="17"/>
  <c r="I178" i="17"/>
  <c r="I190" i="17"/>
  <c r="I189" i="17"/>
  <c r="I179" i="17"/>
  <c r="I175" i="17"/>
  <c r="I191" i="17"/>
  <c r="I174" i="17"/>
  <c r="I182" i="17"/>
  <c r="I181" i="17"/>
  <c r="I173" i="17"/>
  <c r="I205" i="17"/>
  <c r="I194" i="17"/>
  <c r="I183" i="17"/>
  <c r="I172" i="17"/>
  <c r="I171" i="17"/>
  <c r="I170" i="17"/>
  <c r="I186" i="17"/>
  <c r="I195" i="17"/>
  <c r="I197" i="17"/>
  <c r="I198" i="17"/>
  <c r="I203" i="17"/>
  <c r="I167" i="17"/>
  <c r="I207" i="17"/>
  <c r="I206" i="17"/>
  <c r="I187" i="17"/>
  <c r="I89" i="17"/>
  <c r="I88" i="17"/>
  <c r="I87" i="17"/>
  <c r="I86" i="17"/>
  <c r="I71" i="17"/>
  <c r="I72" i="17"/>
  <c r="I73" i="17"/>
  <c r="I70" i="17"/>
  <c r="I69" i="17"/>
  <c r="I90" i="17"/>
  <c r="I74" i="17"/>
  <c r="I75" i="17"/>
  <c r="I76" i="17"/>
  <c r="I77" i="17"/>
  <c r="I78" i="17"/>
  <c r="I79" i="17"/>
  <c r="I80" i="17"/>
  <c r="I81" i="17"/>
  <c r="I82" i="17"/>
  <c r="I83" i="17"/>
  <c r="I84" i="17"/>
  <c r="I85" i="17"/>
  <c r="I91" i="17"/>
  <c r="K84" i="70"/>
  <c r="K63" i="59"/>
  <c r="K126" i="72" s="1"/>
  <c r="J41" i="44" s="1"/>
  <c r="K5" i="72"/>
  <c r="J39" i="44" s="1"/>
  <c r="K5" i="70"/>
  <c r="M261" i="5"/>
  <c r="M253" i="5"/>
  <c r="M245" i="5"/>
  <c r="M237" i="5"/>
  <c r="M229" i="5"/>
  <c r="M221" i="5"/>
  <c r="M266" i="5"/>
  <c r="M258" i="5"/>
  <c r="M250" i="5"/>
  <c r="M242" i="5"/>
  <c r="M234" i="5"/>
  <c r="M226" i="5"/>
  <c r="M263" i="5"/>
  <c r="M255" i="5"/>
  <c r="M247" i="5"/>
  <c r="M239" i="5"/>
  <c r="M231" i="5"/>
  <c r="M223" i="5"/>
  <c r="M260" i="5"/>
  <c r="M252" i="5"/>
  <c r="M244" i="5"/>
  <c r="M236" i="5"/>
  <c r="M265" i="5"/>
  <c r="M257" i="5"/>
  <c r="M249" i="5"/>
  <c r="M241" i="5"/>
  <c r="M233" i="5"/>
  <c r="M225" i="5"/>
  <c r="M262" i="5"/>
  <c r="M254" i="5"/>
  <c r="M246" i="5"/>
  <c r="M238" i="5"/>
  <c r="M230" i="5"/>
  <c r="M222" i="5"/>
  <c r="M259" i="5"/>
  <c r="M251" i="5"/>
  <c r="M243" i="5"/>
  <c r="M235" i="5"/>
  <c r="M227" i="5"/>
  <c r="M224" i="5"/>
  <c r="M264" i="5"/>
  <c r="M228" i="5"/>
  <c r="M256" i="5"/>
  <c r="M232" i="5"/>
  <c r="M248" i="5"/>
  <c r="M240" i="5"/>
  <c r="M207" i="5"/>
  <c r="M199" i="5"/>
  <c r="M191" i="5"/>
  <c r="M183" i="5"/>
  <c r="M175" i="5"/>
  <c r="M204" i="5"/>
  <c r="M196" i="5"/>
  <c r="M188" i="5"/>
  <c r="M180" i="5"/>
  <c r="M172" i="5"/>
  <c r="M209" i="5"/>
  <c r="M201" i="5"/>
  <c r="M193" i="5"/>
  <c r="M185" i="5"/>
  <c r="M177" i="5"/>
  <c r="M169" i="5"/>
  <c r="M206" i="5"/>
  <c r="M198" i="5"/>
  <c r="M190" i="5"/>
  <c r="M182" i="5"/>
  <c r="M174" i="5"/>
  <c r="M203" i="5"/>
  <c r="M195" i="5"/>
  <c r="M187" i="5"/>
  <c r="M179" i="5"/>
  <c r="M171" i="5"/>
  <c r="M205" i="5"/>
  <c r="M197" i="5"/>
  <c r="M189" i="5"/>
  <c r="M181" i="5"/>
  <c r="M173" i="5"/>
  <c r="M210" i="5"/>
  <c r="M194" i="5"/>
  <c r="M178" i="5"/>
  <c r="M202" i="5"/>
  <c r="M186" i="5"/>
  <c r="M200" i="5"/>
  <c r="M184" i="5"/>
  <c r="M168" i="5"/>
  <c r="M170" i="5"/>
  <c r="M208" i="5"/>
  <c r="M192" i="5"/>
  <c r="M176" i="5"/>
  <c r="M258" i="38"/>
  <c r="M250" i="38"/>
  <c r="M242" i="38"/>
  <c r="M234" i="38"/>
  <c r="M263" i="38"/>
  <c r="M255" i="38"/>
  <c r="M247" i="38"/>
  <c r="M239" i="38"/>
  <c r="M260" i="38"/>
  <c r="M252" i="38"/>
  <c r="M244" i="38"/>
  <c r="M236" i="38"/>
  <c r="M265" i="38"/>
  <c r="M257" i="38"/>
  <c r="M249" i="38"/>
  <c r="M241" i="38"/>
  <c r="M233" i="38"/>
  <c r="M262" i="38"/>
  <c r="M254" i="38"/>
  <c r="M246" i="38"/>
  <c r="M238" i="38"/>
  <c r="M259" i="38"/>
  <c r="M251" i="38"/>
  <c r="M243" i="38"/>
  <c r="M235" i="38"/>
  <c r="M264" i="38"/>
  <c r="M256" i="38"/>
  <c r="M248" i="38"/>
  <c r="M240" i="38"/>
  <c r="M232" i="38"/>
  <c r="M245" i="38"/>
  <c r="M231" i="38"/>
  <c r="M223" i="38"/>
  <c r="M228" i="38"/>
  <c r="M220" i="38"/>
  <c r="M237" i="38"/>
  <c r="M225" i="38"/>
  <c r="M230" i="38"/>
  <c r="M222" i="38"/>
  <c r="M261" i="38"/>
  <c r="M227" i="38"/>
  <c r="M224" i="38"/>
  <c r="M253" i="38"/>
  <c r="M229" i="38"/>
  <c r="M221" i="38"/>
  <c r="M226" i="38"/>
  <c r="M209" i="38"/>
  <c r="M201" i="38"/>
  <c r="M193" i="38"/>
  <c r="M185" i="38"/>
  <c r="M177" i="38"/>
  <c r="M169" i="38"/>
  <c r="M206" i="38"/>
  <c r="M198" i="38"/>
  <c r="M190" i="38"/>
  <c r="M182" i="38"/>
  <c r="M174" i="38"/>
  <c r="M203" i="38"/>
  <c r="M195" i="38"/>
  <c r="M187" i="38"/>
  <c r="M179" i="38"/>
  <c r="M171" i="38"/>
  <c r="M208" i="38"/>
  <c r="M205" i="38"/>
  <c r="M197" i="38"/>
  <c r="M189" i="38"/>
  <c r="M181" i="38"/>
  <c r="M173" i="38"/>
  <c r="M202" i="38"/>
  <c r="M194" i="38"/>
  <c r="M186" i="38"/>
  <c r="M178" i="38"/>
  <c r="M170" i="38"/>
  <c r="M207" i="38"/>
  <c r="M199" i="38"/>
  <c r="M191" i="38"/>
  <c r="M183" i="38"/>
  <c r="M175" i="38"/>
  <c r="M167" i="38"/>
  <c r="M192" i="38"/>
  <c r="M176" i="38"/>
  <c r="M196" i="38"/>
  <c r="M180" i="38"/>
  <c r="M200" i="38"/>
  <c r="M184" i="38"/>
  <c r="M168" i="38"/>
  <c r="M188" i="38"/>
  <c r="M172" i="38"/>
  <c r="M204" i="38"/>
  <c r="S133" i="26"/>
  <c r="S132" i="26"/>
  <c r="P110" i="72"/>
  <c r="S127" i="26"/>
  <c r="K110" i="72"/>
  <c r="S133" i="29"/>
  <c r="Q165" i="59"/>
  <c r="S165" i="59" s="1"/>
  <c r="T165" i="59" s="1"/>
  <c r="K115" i="32"/>
  <c r="K49" i="32" s="1"/>
  <c r="M264" i="41"/>
  <c r="M256" i="41"/>
  <c r="M248" i="41"/>
  <c r="M240" i="41"/>
  <c r="M232" i="41"/>
  <c r="M224" i="41"/>
  <c r="M261" i="41"/>
  <c r="M253" i="41"/>
  <c r="M245" i="41"/>
  <c r="M237" i="41"/>
  <c r="M229" i="41"/>
  <c r="M221" i="41"/>
  <c r="M265" i="41"/>
  <c r="M258" i="41"/>
  <c r="M250" i="41"/>
  <c r="M242" i="41"/>
  <c r="M234" i="41"/>
  <c r="M226" i="41"/>
  <c r="M263" i="41"/>
  <c r="M255" i="41"/>
  <c r="M247" i="41"/>
  <c r="M239" i="41"/>
  <c r="M231" i="41"/>
  <c r="M223" i="41"/>
  <c r="M260" i="41"/>
  <c r="M252" i="41"/>
  <c r="M244" i="41"/>
  <c r="M236" i="41"/>
  <c r="M228" i="41"/>
  <c r="M220" i="41"/>
  <c r="M257" i="41"/>
  <c r="M249" i="41"/>
  <c r="M241" i="41"/>
  <c r="M233" i="41"/>
  <c r="M225" i="41"/>
  <c r="M262" i="41"/>
  <c r="M246" i="41"/>
  <c r="M230" i="41"/>
  <c r="M259" i="41"/>
  <c r="M243" i="41"/>
  <c r="M227" i="41"/>
  <c r="M254" i="41"/>
  <c r="M238" i="41"/>
  <c r="M222" i="41"/>
  <c r="M235" i="41"/>
  <c r="M251" i="41"/>
  <c r="M202" i="41"/>
  <c r="M194" i="41"/>
  <c r="M186" i="41"/>
  <c r="M178" i="41"/>
  <c r="M170" i="41"/>
  <c r="M207" i="41"/>
  <c r="M199" i="41"/>
  <c r="M191" i="41"/>
  <c r="M183" i="41"/>
  <c r="M175" i="41"/>
  <c r="M167" i="41"/>
  <c r="M204" i="41"/>
  <c r="M196" i="41"/>
  <c r="M188" i="41"/>
  <c r="M180" i="41"/>
  <c r="M172" i="41"/>
  <c r="M209" i="41"/>
  <c r="M201" i="41"/>
  <c r="M193" i="41"/>
  <c r="M185" i="41"/>
  <c r="M177" i="41"/>
  <c r="M169" i="41"/>
  <c r="M206" i="41"/>
  <c r="M198" i="41"/>
  <c r="M190" i="41"/>
  <c r="M182" i="41"/>
  <c r="M174" i="41"/>
  <c r="M203" i="41"/>
  <c r="M195" i="41"/>
  <c r="M187" i="41"/>
  <c r="M179" i="41"/>
  <c r="M171" i="41"/>
  <c r="M208" i="41"/>
  <c r="M200" i="41"/>
  <c r="M192" i="41"/>
  <c r="M184" i="41"/>
  <c r="M176" i="41"/>
  <c r="M168" i="41"/>
  <c r="M205" i="41"/>
  <c r="M173" i="41"/>
  <c r="M197" i="41"/>
  <c r="M181" i="41"/>
  <c r="M189" i="41"/>
  <c r="M82" i="47"/>
  <c r="M83" i="47"/>
  <c r="M81" i="47"/>
  <c r="M87" i="47"/>
  <c r="M84" i="47"/>
  <c r="M85" i="47"/>
  <c r="M86" i="47"/>
  <c r="M80" i="47"/>
  <c r="M79" i="47"/>
  <c r="M78" i="47"/>
  <c r="M263" i="47"/>
  <c r="M255" i="47"/>
  <c r="M247" i="47"/>
  <c r="M239" i="47"/>
  <c r="M260" i="47"/>
  <c r="M252" i="47"/>
  <c r="M244" i="47"/>
  <c r="M236" i="47"/>
  <c r="M262" i="47"/>
  <c r="M254" i="47"/>
  <c r="M246" i="47"/>
  <c r="M238" i="47"/>
  <c r="M259" i="47"/>
  <c r="M251" i="47"/>
  <c r="M243" i="47"/>
  <c r="M235" i="47"/>
  <c r="M264" i="47"/>
  <c r="M256" i="47"/>
  <c r="M248" i="47"/>
  <c r="M240" i="47"/>
  <c r="M249" i="47"/>
  <c r="M228" i="47"/>
  <c r="M220" i="47"/>
  <c r="M242" i="47"/>
  <c r="M237" i="47"/>
  <c r="M233" i="47"/>
  <c r="M225" i="47"/>
  <c r="M257" i="47"/>
  <c r="M230" i="47"/>
  <c r="M222" i="47"/>
  <c r="M250" i="47"/>
  <c r="M245" i="47"/>
  <c r="M227" i="47"/>
  <c r="M265" i="47"/>
  <c r="M232" i="47"/>
  <c r="M224" i="47"/>
  <c r="M258" i="47"/>
  <c r="M253" i="47"/>
  <c r="M229" i="47"/>
  <c r="M221" i="47"/>
  <c r="M241" i="47"/>
  <c r="M226" i="47"/>
  <c r="M231" i="47"/>
  <c r="M234" i="47"/>
  <c r="M223" i="47"/>
  <c r="M261" i="47"/>
  <c r="M203" i="47"/>
  <c r="M195" i="47"/>
  <c r="M187" i="47"/>
  <c r="M179" i="47"/>
  <c r="M171" i="47"/>
  <c r="M208" i="47"/>
  <c r="M200" i="47"/>
  <c r="M192" i="47"/>
  <c r="M184" i="47"/>
  <c r="M176" i="47"/>
  <c r="M168" i="47"/>
  <c r="M205" i="47"/>
  <c r="M197" i="47"/>
  <c r="M189" i="47"/>
  <c r="M181" i="47"/>
  <c r="M173" i="47"/>
  <c r="M202" i="47"/>
  <c r="M194" i="47"/>
  <c r="M186" i="47"/>
  <c r="M178" i="47"/>
  <c r="M170" i="47"/>
  <c r="M207" i="47"/>
  <c r="M199" i="47"/>
  <c r="M191" i="47"/>
  <c r="M183" i="47"/>
  <c r="M175" i="47"/>
  <c r="M167" i="47"/>
  <c r="M204" i="47"/>
  <c r="M196" i="47"/>
  <c r="M188" i="47"/>
  <c r="M180" i="47"/>
  <c r="M172" i="47"/>
  <c r="M209" i="47"/>
  <c r="M201" i="47"/>
  <c r="M193" i="47"/>
  <c r="M185" i="47"/>
  <c r="M177" i="47"/>
  <c r="M169" i="47"/>
  <c r="M206" i="47"/>
  <c r="M174" i="47"/>
  <c r="M198" i="47"/>
  <c r="M190" i="47"/>
  <c r="M182" i="47"/>
  <c r="M263" i="50"/>
  <c r="M255" i="50"/>
  <c r="M247" i="50"/>
  <c r="M260" i="50"/>
  <c r="M252" i="50"/>
  <c r="M265" i="50"/>
  <c r="M257" i="50"/>
  <c r="M249" i="50"/>
  <c r="M262" i="50"/>
  <c r="M254" i="50"/>
  <c r="M246" i="50"/>
  <c r="M259" i="50"/>
  <c r="M251" i="50"/>
  <c r="M264" i="50"/>
  <c r="M256" i="50"/>
  <c r="M248" i="50"/>
  <c r="M261" i="50"/>
  <c r="M253" i="50"/>
  <c r="M241" i="50"/>
  <c r="M233" i="50"/>
  <c r="M225" i="50"/>
  <c r="M258" i="50"/>
  <c r="M238" i="50"/>
  <c r="M230" i="50"/>
  <c r="M222" i="50"/>
  <c r="M243" i="50"/>
  <c r="M235" i="50"/>
  <c r="M227" i="50"/>
  <c r="M250" i="50"/>
  <c r="M240" i="50"/>
  <c r="M232" i="50"/>
  <c r="M224" i="50"/>
  <c r="M245" i="50"/>
  <c r="M237" i="50"/>
  <c r="M229" i="50"/>
  <c r="M221" i="50"/>
  <c r="M242" i="50"/>
  <c r="M234" i="50"/>
  <c r="M226" i="50"/>
  <c r="M239" i="50"/>
  <c r="M231" i="50"/>
  <c r="M244" i="50"/>
  <c r="M236" i="50"/>
  <c r="M228" i="50"/>
  <c r="M223" i="50"/>
  <c r="M220" i="50"/>
  <c r="M207" i="50"/>
  <c r="M199" i="50"/>
  <c r="M191" i="50"/>
  <c r="M183" i="50"/>
  <c r="M175" i="50"/>
  <c r="M204" i="50"/>
  <c r="M196" i="50"/>
  <c r="M188" i="50"/>
  <c r="M180" i="50"/>
  <c r="M209" i="50"/>
  <c r="M201" i="50"/>
  <c r="M193" i="50"/>
  <c r="M185" i="50"/>
  <c r="M177" i="50"/>
  <c r="M203" i="50"/>
  <c r="M195" i="50"/>
  <c r="M187" i="50"/>
  <c r="M179" i="50"/>
  <c r="M208" i="50"/>
  <c r="M200" i="50"/>
  <c r="M192" i="50"/>
  <c r="M184" i="50"/>
  <c r="M176" i="50"/>
  <c r="M205" i="50"/>
  <c r="M197" i="50"/>
  <c r="M189" i="50"/>
  <c r="M181" i="50"/>
  <c r="M202" i="50"/>
  <c r="M186" i="50"/>
  <c r="M173" i="50"/>
  <c r="M170" i="50"/>
  <c r="M206" i="50"/>
  <c r="M190" i="50"/>
  <c r="M167" i="50"/>
  <c r="M172" i="50"/>
  <c r="M194" i="50"/>
  <c r="M178" i="50"/>
  <c r="M169" i="50"/>
  <c r="M174" i="50"/>
  <c r="M198" i="50"/>
  <c r="M182" i="50"/>
  <c r="M171" i="50"/>
  <c r="M168" i="50"/>
  <c r="S125" i="35"/>
  <c r="J37" i="37" s="1"/>
  <c r="H59" i="37" s="1"/>
  <c r="S128" i="26"/>
  <c r="K267" i="23"/>
  <c r="L44" i="59" s="1"/>
  <c r="K68" i="70"/>
  <c r="L214" i="53"/>
  <c r="M25" i="59" s="1"/>
  <c r="L52" i="70"/>
  <c r="L52" i="72"/>
  <c r="K40" i="26" s="1"/>
  <c r="J66" i="70"/>
  <c r="L54" i="70"/>
  <c r="L54" i="72"/>
  <c r="M265" i="29"/>
  <c r="M257" i="29"/>
  <c r="M249" i="29"/>
  <c r="M241" i="29"/>
  <c r="M233" i="29"/>
  <c r="M225" i="29"/>
  <c r="M262" i="29"/>
  <c r="M254" i="29"/>
  <c r="M246" i="29"/>
  <c r="M238" i="29"/>
  <c r="M230" i="29"/>
  <c r="M222" i="29"/>
  <c r="M259" i="29"/>
  <c r="M251" i="29"/>
  <c r="M243" i="29"/>
  <c r="M235" i="29"/>
  <c r="M227" i="29"/>
  <c r="M264" i="29"/>
  <c r="M256" i="29"/>
  <c r="M248" i="29"/>
  <c r="M240" i="29"/>
  <c r="M232" i="29"/>
  <c r="M224" i="29"/>
  <c r="M261" i="29"/>
  <c r="M253" i="29"/>
  <c r="M245" i="29"/>
  <c r="M237" i="29"/>
  <c r="M229" i="29"/>
  <c r="M221" i="29"/>
  <c r="M236" i="29"/>
  <c r="M234" i="29"/>
  <c r="M239" i="29"/>
  <c r="M244" i="29"/>
  <c r="M242" i="29"/>
  <c r="M247" i="29"/>
  <c r="M252" i="29"/>
  <c r="M250" i="29"/>
  <c r="M220" i="29"/>
  <c r="M255" i="29"/>
  <c r="M223" i="29"/>
  <c r="M260" i="29"/>
  <c r="M258" i="29"/>
  <c r="M228" i="29"/>
  <c r="M226" i="29"/>
  <c r="M231" i="29"/>
  <c r="M263" i="29"/>
  <c r="M208" i="29"/>
  <c r="M200" i="29"/>
  <c r="M192" i="29"/>
  <c r="M184" i="29"/>
  <c r="M176" i="29"/>
  <c r="M168" i="29"/>
  <c r="M202" i="29"/>
  <c r="M194" i="29"/>
  <c r="M186" i="29"/>
  <c r="M178" i="29"/>
  <c r="M170" i="29"/>
  <c r="M207" i="29"/>
  <c r="M199" i="29"/>
  <c r="M191" i="29"/>
  <c r="M204" i="29"/>
  <c r="M196" i="29"/>
  <c r="M188" i="29"/>
  <c r="M180" i="29"/>
  <c r="M172" i="29"/>
  <c r="M209" i="29"/>
  <c r="M201" i="29"/>
  <c r="M193" i="29"/>
  <c r="M185" i="29"/>
  <c r="M177" i="29"/>
  <c r="M169" i="29"/>
  <c r="M197" i="29"/>
  <c r="M190" i="29"/>
  <c r="M187" i="29"/>
  <c r="M183" i="29"/>
  <c r="M179" i="29"/>
  <c r="M175" i="29"/>
  <c r="M171" i="29"/>
  <c r="M167" i="29"/>
  <c r="M195" i="29"/>
  <c r="M205" i="29"/>
  <c r="M198" i="29"/>
  <c r="M203" i="29"/>
  <c r="M206" i="29"/>
  <c r="M181" i="29"/>
  <c r="M173" i="29"/>
  <c r="M189" i="29"/>
  <c r="M182" i="29"/>
  <c r="M174" i="29"/>
  <c r="S126" i="41"/>
  <c r="K37" i="43" s="1"/>
  <c r="I59" i="43" s="1"/>
  <c r="L23" i="70"/>
  <c r="L23" i="72"/>
  <c r="K39" i="26" s="1"/>
  <c r="L81" i="59"/>
  <c r="L144" i="72" s="1"/>
  <c r="K41" i="26" s="1"/>
  <c r="L267" i="29"/>
  <c r="M45" i="59" s="1"/>
  <c r="K115" i="23"/>
  <c r="K49" i="23" s="1"/>
  <c r="S130" i="26"/>
  <c r="L115" i="38"/>
  <c r="L49" i="38" s="1"/>
  <c r="L115" i="41"/>
  <c r="L49" i="41" s="1"/>
  <c r="S125" i="50"/>
  <c r="J37" i="52" s="1"/>
  <c r="H59" i="52" s="1"/>
  <c r="L267" i="41"/>
  <c r="M55" i="59" s="1"/>
  <c r="M295" i="59" s="1"/>
  <c r="L267" i="47"/>
  <c r="M43" i="59" s="1"/>
  <c r="M283" i="59" s="1"/>
  <c r="L268" i="5"/>
  <c r="M37" i="59" s="1"/>
  <c r="L25" i="72"/>
  <c r="L83" i="59"/>
  <c r="L146" i="72" s="1"/>
  <c r="L25" i="70"/>
  <c r="H267" i="17"/>
  <c r="I38" i="59" s="1"/>
  <c r="I278" i="59" s="1"/>
  <c r="J77" i="70"/>
  <c r="K115" i="44"/>
  <c r="K49" i="44" s="1"/>
  <c r="S126" i="44"/>
  <c r="K37" i="46" s="1"/>
  <c r="I59" i="46" s="1"/>
  <c r="S131" i="50"/>
  <c r="K115" i="8"/>
  <c r="K49" i="8" s="1"/>
  <c r="K267" i="8"/>
  <c r="L35" i="59" s="1"/>
  <c r="L267" i="26"/>
  <c r="M52" i="59" s="1"/>
  <c r="K267" i="35"/>
  <c r="L48" i="59" s="1"/>
  <c r="L288" i="59" s="1"/>
  <c r="K214" i="23"/>
  <c r="L15" i="59" s="1"/>
  <c r="L267" i="53"/>
  <c r="M54" i="59" s="1"/>
  <c r="L214" i="29"/>
  <c r="M16" i="59" s="1"/>
  <c r="L24" i="70"/>
  <c r="L82" i="59"/>
  <c r="L145" i="72" s="1"/>
  <c r="K41" i="50" s="1"/>
  <c r="L24" i="72"/>
  <c r="K39" i="50" s="1"/>
  <c r="I263" i="14"/>
  <c r="I255" i="14"/>
  <c r="I247" i="14"/>
  <c r="I239" i="14"/>
  <c r="I231" i="14"/>
  <c r="I223" i="14"/>
  <c r="I260" i="14"/>
  <c r="I252" i="14"/>
  <c r="I265" i="14"/>
  <c r="I257" i="14"/>
  <c r="I249" i="14"/>
  <c r="I241" i="14"/>
  <c r="I233" i="14"/>
  <c r="I225" i="14"/>
  <c r="I259" i="14"/>
  <c r="I251" i="14"/>
  <c r="I243" i="14"/>
  <c r="I235" i="14"/>
  <c r="I227" i="14"/>
  <c r="I264" i="14"/>
  <c r="I256" i="14"/>
  <c r="I248" i="14"/>
  <c r="I240" i="14"/>
  <c r="I232" i="14"/>
  <c r="I224" i="14"/>
  <c r="I261" i="14"/>
  <c r="I253" i="14"/>
  <c r="I245" i="14"/>
  <c r="I237" i="14"/>
  <c r="I229" i="14"/>
  <c r="I221" i="14"/>
  <c r="I238" i="14"/>
  <c r="I228" i="14"/>
  <c r="I254" i="14"/>
  <c r="I226" i="14"/>
  <c r="I246" i="14"/>
  <c r="I236" i="14"/>
  <c r="I258" i="14"/>
  <c r="I234" i="14"/>
  <c r="I244" i="14"/>
  <c r="I222" i="14"/>
  <c r="I262" i="14"/>
  <c r="I242" i="14"/>
  <c r="I220" i="14"/>
  <c r="I230" i="14"/>
  <c r="I250" i="14"/>
  <c r="I206" i="14"/>
  <c r="I198" i="14"/>
  <c r="I190" i="14"/>
  <c r="I182" i="14"/>
  <c r="I207" i="14"/>
  <c r="I199" i="14"/>
  <c r="I191" i="14"/>
  <c r="I183" i="14"/>
  <c r="I175" i="14"/>
  <c r="I205" i="14"/>
  <c r="I189" i="14"/>
  <c r="I174" i="14"/>
  <c r="I204" i="14"/>
  <c r="I188" i="14"/>
  <c r="I171" i="14"/>
  <c r="I203" i="14"/>
  <c r="I187" i="14"/>
  <c r="I168" i="14"/>
  <c r="I202" i="14"/>
  <c r="I201" i="14"/>
  <c r="I200" i="14"/>
  <c r="I186" i="14"/>
  <c r="I185" i="14"/>
  <c r="I184" i="14"/>
  <c r="I173" i="14"/>
  <c r="I197" i="14"/>
  <c r="I181" i="14"/>
  <c r="I170" i="14"/>
  <c r="I195" i="14"/>
  <c r="I179" i="14"/>
  <c r="I172" i="14"/>
  <c r="I192" i="14"/>
  <c r="I178" i="14"/>
  <c r="I167" i="14"/>
  <c r="I208" i="14"/>
  <c r="I194" i="14"/>
  <c r="I180" i="14"/>
  <c r="I177" i="14"/>
  <c r="I196" i="14"/>
  <c r="I193" i="14"/>
  <c r="I176" i="14"/>
  <c r="I169" i="14"/>
  <c r="I209" i="14"/>
  <c r="I73" i="14"/>
  <c r="I76" i="14"/>
  <c r="I72" i="14"/>
  <c r="I69" i="14"/>
  <c r="I75" i="14"/>
  <c r="I71" i="14"/>
  <c r="I78" i="14"/>
  <c r="I74" i="14"/>
  <c r="I70" i="14"/>
  <c r="I77" i="14"/>
  <c r="L14" i="70"/>
  <c r="L14" i="72"/>
  <c r="K39" i="47" s="1"/>
  <c r="L72" i="59"/>
  <c r="L135" i="72" s="1"/>
  <c r="K41" i="47" s="1"/>
  <c r="L267" i="38"/>
  <c r="M39" i="59" s="1"/>
  <c r="L43" i="72"/>
  <c r="K40" i="47" s="1"/>
  <c r="L43" i="70"/>
  <c r="L10" i="70"/>
  <c r="L10" i="72"/>
  <c r="K39" i="38" s="1"/>
  <c r="L68" i="59"/>
  <c r="L131" i="72" s="1"/>
  <c r="K41" i="38" s="1"/>
  <c r="S126" i="26"/>
  <c r="K37" i="28" s="1"/>
  <c r="I59" i="28" s="1"/>
  <c r="S129" i="26"/>
  <c r="M110" i="72"/>
  <c r="K115" i="35"/>
  <c r="K49" i="35" s="1"/>
  <c r="L115" i="50"/>
  <c r="L49" i="50" s="1"/>
  <c r="S132" i="47"/>
  <c r="S125" i="41"/>
  <c r="J37" i="43" s="1"/>
  <c r="H59" i="43" s="1"/>
  <c r="K34" i="70"/>
  <c r="K34" i="72"/>
  <c r="J40" i="44" s="1"/>
  <c r="L37" i="70"/>
  <c r="L37" i="72"/>
  <c r="K40" i="5" s="1"/>
  <c r="L214" i="26"/>
  <c r="M23" i="59" s="1"/>
  <c r="J72" i="70"/>
  <c r="H115" i="17"/>
  <c r="H49" i="17" s="1"/>
  <c r="M82" i="1"/>
  <c r="M85" i="1"/>
  <c r="M87" i="1"/>
  <c r="M88" i="1"/>
  <c r="M83" i="1"/>
  <c r="M86" i="1"/>
  <c r="M84" i="1"/>
  <c r="M226" i="1"/>
  <c r="M234" i="1"/>
  <c r="M242" i="1"/>
  <c r="M250" i="1"/>
  <c r="M258" i="1"/>
  <c r="M197" i="1"/>
  <c r="M205" i="1"/>
  <c r="M171" i="1"/>
  <c r="M179" i="1"/>
  <c r="M221" i="1"/>
  <c r="M229" i="1"/>
  <c r="M237" i="1"/>
  <c r="M245" i="1"/>
  <c r="M253" i="1"/>
  <c r="M261" i="1"/>
  <c r="M200" i="1"/>
  <c r="M208" i="1"/>
  <c r="M170" i="1"/>
  <c r="M178" i="1"/>
  <c r="M224" i="1"/>
  <c r="M232" i="1"/>
  <c r="M240" i="1"/>
  <c r="M248" i="1"/>
  <c r="M256" i="1"/>
  <c r="M264" i="1"/>
  <c r="M195" i="1"/>
  <c r="M203" i="1"/>
  <c r="M169" i="1"/>
  <c r="M177" i="1"/>
  <c r="M227" i="1"/>
  <c r="M235" i="1"/>
  <c r="M243" i="1"/>
  <c r="M251" i="1"/>
  <c r="M259" i="1"/>
  <c r="M198" i="1"/>
  <c r="M206" i="1"/>
  <c r="M168" i="1"/>
  <c r="M176" i="1"/>
  <c r="M222" i="1"/>
  <c r="M230" i="1"/>
  <c r="M238" i="1"/>
  <c r="M246" i="1"/>
  <c r="M254" i="1"/>
  <c r="M262" i="1"/>
  <c r="M201" i="1"/>
  <c r="M209" i="1"/>
  <c r="M167" i="1"/>
  <c r="M175" i="1"/>
  <c r="M225" i="1"/>
  <c r="M233" i="1"/>
  <c r="M241" i="1"/>
  <c r="M249" i="1"/>
  <c r="M257" i="1"/>
  <c r="M265" i="1"/>
  <c r="M196" i="1"/>
  <c r="M204" i="1"/>
  <c r="M174" i="1"/>
  <c r="M182" i="1"/>
  <c r="M228" i="1"/>
  <c r="M236" i="1"/>
  <c r="M244" i="1"/>
  <c r="M252" i="1"/>
  <c r="M260" i="1"/>
  <c r="M220" i="1"/>
  <c r="M199" i="1"/>
  <c r="M207" i="1"/>
  <c r="M173" i="1"/>
  <c r="M181" i="1"/>
  <c r="M263" i="1"/>
  <c r="M194" i="1"/>
  <c r="M183" i="1"/>
  <c r="M191" i="1"/>
  <c r="M192" i="1"/>
  <c r="M202" i="1"/>
  <c r="M190" i="1"/>
  <c r="M189" i="1"/>
  <c r="M255" i="1"/>
  <c r="M223" i="1"/>
  <c r="M188" i="1"/>
  <c r="M184" i="1"/>
  <c r="M231" i="1"/>
  <c r="M180" i="1"/>
  <c r="M187" i="1"/>
  <c r="M239" i="1"/>
  <c r="M172" i="1"/>
  <c r="M186" i="1"/>
  <c r="M247" i="1"/>
  <c r="M185" i="1"/>
  <c r="M193" i="1"/>
  <c r="M80" i="1"/>
  <c r="M78" i="1"/>
  <c r="M75" i="1"/>
  <c r="M72" i="1"/>
  <c r="M70" i="1"/>
  <c r="M73" i="1"/>
  <c r="M79" i="1"/>
  <c r="M74" i="1"/>
  <c r="M76" i="1"/>
  <c r="M71" i="1"/>
  <c r="M77" i="1"/>
  <c r="M81" i="1"/>
  <c r="L4" i="72"/>
  <c r="L4" i="70"/>
  <c r="L62" i="59"/>
  <c r="L267" i="1"/>
  <c r="M33" i="59" s="1"/>
  <c r="L214" i="1"/>
  <c r="M4" i="59" s="1"/>
  <c r="L115" i="1"/>
  <c r="L49" i="1" s="1"/>
  <c r="K62" i="70"/>
  <c r="L33" i="70"/>
  <c r="L33" i="72"/>
  <c r="I110" i="72"/>
  <c r="H110" i="70"/>
  <c r="H139" i="70" s="1"/>
  <c r="I172" i="59"/>
  <c r="N110" i="72"/>
  <c r="M110" i="70"/>
  <c r="N172" i="59"/>
  <c r="O111" i="72"/>
  <c r="N111" i="70"/>
  <c r="O173" i="59"/>
  <c r="Q110" i="72"/>
  <c r="P110" i="70"/>
  <c r="Q172" i="59"/>
  <c r="S172" i="59" s="1"/>
  <c r="T172" i="59" s="1"/>
  <c r="BZ161" i="17"/>
  <c r="L115" i="53"/>
  <c r="L49" i="53" s="1"/>
  <c r="D23" i="45"/>
  <c r="D25" i="45" s="1"/>
  <c r="J35" i="70"/>
  <c r="J64" i="70" s="1"/>
  <c r="K6" i="70"/>
  <c r="K214" i="8"/>
  <c r="L6" i="59" s="1"/>
  <c r="K35" i="59"/>
  <c r="J64" i="59"/>
  <c r="J127" i="72" s="1"/>
  <c r="I41" i="8" s="1"/>
  <c r="L80" i="8"/>
  <c r="L79" i="8"/>
  <c r="L78" i="8"/>
  <c r="L81" i="8"/>
  <c r="L262" i="8"/>
  <c r="L254" i="8"/>
  <c r="L246" i="8"/>
  <c r="L238" i="8"/>
  <c r="L230" i="8"/>
  <c r="L222" i="8"/>
  <c r="L204" i="8"/>
  <c r="L196" i="8"/>
  <c r="L259" i="8"/>
  <c r="L251" i="8"/>
  <c r="L243" i="8"/>
  <c r="L235" i="8"/>
  <c r="L227" i="8"/>
  <c r="L209" i="8"/>
  <c r="L201" i="8"/>
  <c r="L193" i="8"/>
  <c r="L264" i="8"/>
  <c r="L256" i="8"/>
  <c r="L248" i="8"/>
  <c r="L240" i="8"/>
  <c r="L232" i="8"/>
  <c r="L224" i="8"/>
  <c r="L206" i="8"/>
  <c r="L198" i="8"/>
  <c r="L190" i="8"/>
  <c r="L261" i="8"/>
  <c r="L253" i="8"/>
  <c r="L245" i="8"/>
  <c r="L237" i="8"/>
  <c r="L229" i="8"/>
  <c r="L221" i="8"/>
  <c r="L203" i="8"/>
  <c r="L195" i="8"/>
  <c r="L258" i="8"/>
  <c r="L250" i="8"/>
  <c r="L242" i="8"/>
  <c r="L234" i="8"/>
  <c r="L226" i="8"/>
  <c r="L208" i="8"/>
  <c r="L200" i="8"/>
  <c r="L192" i="8"/>
  <c r="L263" i="8"/>
  <c r="L255" i="8"/>
  <c r="L247" i="8"/>
  <c r="L239" i="8"/>
  <c r="L231" i="8"/>
  <c r="L223" i="8"/>
  <c r="L205" i="8"/>
  <c r="L197" i="8"/>
  <c r="L189" i="8"/>
  <c r="L260" i="8"/>
  <c r="L252" i="8"/>
  <c r="L244" i="8"/>
  <c r="L236" i="8"/>
  <c r="L228" i="8"/>
  <c r="L220" i="8"/>
  <c r="L202" i="8"/>
  <c r="L194" i="8"/>
  <c r="L265" i="8"/>
  <c r="L257" i="8"/>
  <c r="L249" i="8"/>
  <c r="L241" i="8"/>
  <c r="L233" i="8"/>
  <c r="L225" i="8"/>
  <c r="L207" i="8"/>
  <c r="L199" i="8"/>
  <c r="L191" i="8"/>
  <c r="L181" i="8"/>
  <c r="L173" i="8"/>
  <c r="L186" i="8"/>
  <c r="L178" i="8"/>
  <c r="L170" i="8"/>
  <c r="L183" i="8"/>
  <c r="L175" i="8"/>
  <c r="L167" i="8"/>
  <c r="L188" i="8"/>
  <c r="L180" i="8"/>
  <c r="L172" i="8"/>
  <c r="L185" i="8"/>
  <c r="L177" i="8"/>
  <c r="L169" i="8"/>
  <c r="L182" i="8"/>
  <c r="L174" i="8"/>
  <c r="L187" i="8"/>
  <c r="L179" i="8"/>
  <c r="L171" i="8"/>
  <c r="L184" i="8"/>
  <c r="L176" i="8"/>
  <c r="L168" i="8"/>
  <c r="L71" i="8"/>
  <c r="L76" i="8"/>
  <c r="L73" i="8"/>
  <c r="L70" i="8"/>
  <c r="L72" i="8"/>
  <c r="L75" i="8"/>
  <c r="L77" i="8"/>
  <c r="L69" i="8"/>
  <c r="L74" i="8"/>
  <c r="BG172" i="47"/>
  <c r="P103" i="70"/>
  <c r="S103" i="70"/>
  <c r="BG168" i="50"/>
  <c r="BG175" i="47"/>
  <c r="BG168" i="41"/>
  <c r="BG169" i="41"/>
  <c r="BG175" i="44"/>
  <c r="BG171" i="35"/>
  <c r="BG168" i="35"/>
  <c r="BG176" i="35"/>
  <c r="BG169" i="38"/>
  <c r="BG176" i="20"/>
  <c r="AJ215" i="20"/>
  <c r="BG173" i="44"/>
  <c r="BG174" i="50"/>
  <c r="BG172" i="53"/>
  <c r="M77" i="53"/>
  <c r="M73" i="53"/>
  <c r="M75" i="53"/>
  <c r="M76" i="53"/>
  <c r="M74" i="53"/>
  <c r="M72" i="53"/>
  <c r="M70" i="53"/>
  <c r="M69" i="53"/>
  <c r="M71" i="53"/>
  <c r="BG176" i="53"/>
  <c r="BG173" i="53"/>
  <c r="BG171" i="53"/>
  <c r="BG170" i="53"/>
  <c r="BG175" i="53"/>
  <c r="BG174" i="53"/>
  <c r="BG171" i="50"/>
  <c r="BG175" i="50"/>
  <c r="BG176" i="50"/>
  <c r="BG169" i="50"/>
  <c r="BG172" i="50"/>
  <c r="BG170" i="50"/>
  <c r="M77" i="50"/>
  <c r="M75" i="50"/>
  <c r="M73" i="50"/>
  <c r="M71" i="50"/>
  <c r="M69" i="50"/>
  <c r="M76" i="50"/>
  <c r="M74" i="50"/>
  <c r="M72" i="50"/>
  <c r="M70" i="50"/>
  <c r="BG173" i="50"/>
  <c r="M76" i="47"/>
  <c r="M74" i="47"/>
  <c r="M72" i="47"/>
  <c r="M70" i="47"/>
  <c r="M73" i="47"/>
  <c r="M71" i="47"/>
  <c r="M69" i="47"/>
  <c r="M75" i="47"/>
  <c r="M77" i="47"/>
  <c r="BG169" i="47"/>
  <c r="BG176" i="47"/>
  <c r="BG174" i="47"/>
  <c r="BG170" i="47"/>
  <c r="BG168" i="47"/>
  <c r="BG173" i="47"/>
  <c r="BG171" i="47"/>
  <c r="BG176" i="44"/>
  <c r="BG171" i="44"/>
  <c r="BG174" i="44"/>
  <c r="BG172" i="44"/>
  <c r="BG170" i="44"/>
  <c r="BG168" i="44"/>
  <c r="L73" i="44"/>
  <c r="L76" i="44"/>
  <c r="L75" i="44"/>
  <c r="L72" i="44"/>
  <c r="L70" i="44"/>
  <c r="L77" i="44"/>
  <c r="L74" i="44"/>
  <c r="L69" i="44"/>
  <c r="L71" i="44"/>
  <c r="E23" i="45"/>
  <c r="E25" i="45" s="1"/>
  <c r="F21" i="45"/>
  <c r="BG173" i="41"/>
  <c r="BG174" i="41"/>
  <c r="M76" i="41"/>
  <c r="M74" i="41"/>
  <c r="M72" i="41"/>
  <c r="M77" i="41"/>
  <c r="M75" i="41"/>
  <c r="M73" i="41"/>
  <c r="M71" i="41"/>
  <c r="M69" i="41"/>
  <c r="M70" i="41"/>
  <c r="BG176" i="41"/>
  <c r="BG171" i="41"/>
  <c r="BG175" i="41"/>
  <c r="BG170" i="41"/>
  <c r="BG172" i="41"/>
  <c r="BG174" i="38"/>
  <c r="BG173" i="38"/>
  <c r="BG168" i="38"/>
  <c r="M77" i="38"/>
  <c r="M75" i="38"/>
  <c r="M73" i="38"/>
  <c r="M71" i="38"/>
  <c r="M69" i="38"/>
  <c r="M76" i="38"/>
  <c r="M74" i="38"/>
  <c r="M72" i="38"/>
  <c r="M70" i="38"/>
  <c r="BG171" i="38"/>
  <c r="BG176" i="38"/>
  <c r="BG172" i="38"/>
  <c r="E21" i="39"/>
  <c r="D23" i="39"/>
  <c r="D25" i="39" s="1"/>
  <c r="BG175" i="38"/>
  <c r="BG170" i="38"/>
  <c r="BG174" i="35"/>
  <c r="BG169" i="35"/>
  <c r="BG175" i="35"/>
  <c r="L77" i="35"/>
  <c r="L75" i="35"/>
  <c r="L73" i="35"/>
  <c r="L71" i="35"/>
  <c r="L69" i="35"/>
  <c r="L76" i="35"/>
  <c r="L74" i="35"/>
  <c r="L72" i="35"/>
  <c r="L70" i="35"/>
  <c r="BG173" i="35"/>
  <c r="BG172" i="35"/>
  <c r="BG170" i="35"/>
  <c r="L76" i="32"/>
  <c r="L74" i="32"/>
  <c r="L72" i="32"/>
  <c r="L70" i="32"/>
  <c r="L77" i="32"/>
  <c r="L75" i="32"/>
  <c r="L73" i="32"/>
  <c r="L71" i="32"/>
  <c r="L69" i="32"/>
  <c r="BG174" i="29"/>
  <c r="M77" i="29"/>
  <c r="M75" i="29"/>
  <c r="M73" i="29"/>
  <c r="M71" i="29"/>
  <c r="M69" i="29"/>
  <c r="M76" i="29"/>
  <c r="M74" i="29"/>
  <c r="M72" i="29"/>
  <c r="M70" i="29"/>
  <c r="BG170" i="29"/>
  <c r="BG168" i="29"/>
  <c r="BG175" i="29"/>
  <c r="BG171" i="29"/>
  <c r="BG173" i="29"/>
  <c r="E21" i="30"/>
  <c r="D23" i="30"/>
  <c r="D25" i="30" s="1"/>
  <c r="BG172" i="29"/>
  <c r="BG169" i="29"/>
  <c r="M76" i="26"/>
  <c r="M74" i="26"/>
  <c r="M72" i="26"/>
  <c r="M70" i="26"/>
  <c r="M73" i="26"/>
  <c r="M69" i="26"/>
  <c r="M77" i="26"/>
  <c r="M75" i="26"/>
  <c r="M71" i="26"/>
  <c r="D23" i="27"/>
  <c r="D25" i="27" s="1"/>
  <c r="BG171" i="23"/>
  <c r="BG174" i="23"/>
  <c r="BG175" i="23"/>
  <c r="L75" i="23"/>
  <c r="L73" i="23"/>
  <c r="L76" i="23"/>
  <c r="L74" i="23"/>
  <c r="L72" i="23"/>
  <c r="L70" i="23"/>
  <c r="L77" i="23"/>
  <c r="L71" i="23"/>
  <c r="L69" i="23"/>
  <c r="BG170" i="23"/>
  <c r="BG172" i="23"/>
  <c r="BG168" i="23"/>
  <c r="BG169" i="23"/>
  <c r="BG173" i="23"/>
  <c r="BG176" i="23"/>
  <c r="E21" i="21"/>
  <c r="D23" i="21"/>
  <c r="D25" i="21" s="1"/>
  <c r="AE215" i="20"/>
  <c r="AE216" i="20" s="1"/>
  <c r="K272" i="20" s="1"/>
  <c r="K56" i="20" s="1"/>
  <c r="BG171" i="20"/>
  <c r="AD215" i="20"/>
  <c r="AD216" i="20" s="1"/>
  <c r="J272" i="20" s="1"/>
  <c r="J56" i="20" s="1"/>
  <c r="BG170" i="20"/>
  <c r="AG215" i="20"/>
  <c r="AG216" i="20" s="1"/>
  <c r="M272" i="20" s="1"/>
  <c r="M56" i="20" s="1"/>
  <c r="BG173" i="20"/>
  <c r="AI215" i="20"/>
  <c r="BG175" i="20"/>
  <c r="AB215" i="20"/>
  <c r="AB216" i="20" s="1"/>
  <c r="H272" i="20" s="1"/>
  <c r="H56" i="20" s="1"/>
  <c r="AC215" i="20"/>
  <c r="AC216" i="20" s="1"/>
  <c r="I272" i="20" s="1"/>
  <c r="I56" i="20" s="1"/>
  <c r="BG169" i="20"/>
  <c r="S131" i="20"/>
  <c r="BG174" i="20"/>
  <c r="L76" i="20"/>
  <c r="L74" i="20"/>
  <c r="L72" i="20"/>
  <c r="L70" i="20"/>
  <c r="L69" i="20"/>
  <c r="L77" i="20"/>
  <c r="L73" i="20"/>
  <c r="L71" i="20"/>
  <c r="L75" i="20"/>
  <c r="AF215" i="20"/>
  <c r="AF216" i="20" s="1"/>
  <c r="L272" i="20" s="1"/>
  <c r="L56" i="20" s="1"/>
  <c r="BG172" i="20"/>
  <c r="M74" i="5"/>
  <c r="M70" i="5"/>
  <c r="M77" i="5"/>
  <c r="M73" i="5"/>
  <c r="M69" i="5"/>
  <c r="M76" i="5"/>
  <c r="M72" i="5"/>
  <c r="M75" i="5"/>
  <c r="M71" i="5"/>
  <c r="BV158" i="11"/>
  <c r="BV164" i="11" s="1"/>
  <c r="F27" i="18"/>
  <c r="C12" i="18" s="1"/>
  <c r="C25" i="19" s="1"/>
  <c r="C31" i="19" s="1"/>
  <c r="X214" i="17"/>
  <c r="H44" i="44" l="1"/>
  <c r="M323" i="59"/>
  <c r="L13" i="76"/>
  <c r="L13" i="53"/>
  <c r="L27" i="76"/>
  <c r="L27" i="53"/>
  <c r="M265" i="59"/>
  <c r="K20" i="53"/>
  <c r="K20" i="76"/>
  <c r="L313" i="59"/>
  <c r="K13" i="23"/>
  <c r="K27" i="23"/>
  <c r="L255" i="59"/>
  <c r="K20" i="23" s="1"/>
  <c r="M324" i="59"/>
  <c r="M266" i="59"/>
  <c r="I253" i="59"/>
  <c r="I311" i="59"/>
  <c r="I310" i="59"/>
  <c r="I252" i="59"/>
  <c r="I16" i="5"/>
  <c r="I17" i="5" s="1"/>
  <c r="L309" i="59"/>
  <c r="L251" i="59"/>
  <c r="M308" i="59"/>
  <c r="L27" i="38"/>
  <c r="M250" i="59"/>
  <c r="L20" i="38" s="1"/>
  <c r="L6" i="50"/>
  <c r="L7" i="50" s="1"/>
  <c r="M322" i="59"/>
  <c r="L13" i="50"/>
  <c r="L27" i="50"/>
  <c r="I307" i="59"/>
  <c r="I249" i="59"/>
  <c r="M314" i="59"/>
  <c r="L27" i="29"/>
  <c r="L13" i="29"/>
  <c r="M256" i="59"/>
  <c r="L20" i="29" s="1"/>
  <c r="M306" i="59"/>
  <c r="L27" i="5"/>
  <c r="L13" i="5"/>
  <c r="M248" i="59"/>
  <c r="L20" i="5" s="1"/>
  <c r="M321" i="59"/>
  <c r="L27" i="26"/>
  <c r="L13" i="26"/>
  <c r="M263" i="59"/>
  <c r="L20" i="26" s="1"/>
  <c r="L304" i="59"/>
  <c r="K27" i="8"/>
  <c r="K13" i="8"/>
  <c r="L246" i="59"/>
  <c r="K20" i="8" s="1"/>
  <c r="L303" i="59"/>
  <c r="K27" i="44"/>
  <c r="K13" i="44"/>
  <c r="L245" i="59"/>
  <c r="K20" i="44" s="1"/>
  <c r="J26" i="50"/>
  <c r="K26" i="50"/>
  <c r="K124" i="59"/>
  <c r="K189" i="59" s="1"/>
  <c r="K275" i="59"/>
  <c r="J23" i="8" s="1"/>
  <c r="J22" i="8"/>
  <c r="J26" i="8" s="1"/>
  <c r="M126" i="59"/>
  <c r="M191" i="59" s="1"/>
  <c r="M277" i="59"/>
  <c r="L23" i="5" s="1"/>
  <c r="L22" i="5"/>
  <c r="L26" i="5" s="1"/>
  <c r="M134" i="59"/>
  <c r="M199" i="59" s="1"/>
  <c r="M285" i="59"/>
  <c r="L23" i="29" s="1"/>
  <c r="L22" i="29"/>
  <c r="L26" i="29" s="1"/>
  <c r="L8" i="50"/>
  <c r="L9" i="50" s="1"/>
  <c r="M293" i="59"/>
  <c r="L23" i="50" s="1"/>
  <c r="L22" i="50"/>
  <c r="L26" i="50" s="1"/>
  <c r="L123" i="59"/>
  <c r="L188" i="59" s="1"/>
  <c r="L274" i="59"/>
  <c r="K23" i="44" s="1"/>
  <c r="K22" i="44"/>
  <c r="K26" i="44" s="1"/>
  <c r="K14" i="76"/>
  <c r="K16" i="76" s="1"/>
  <c r="K17" i="76" s="1"/>
  <c r="M141" i="59"/>
  <c r="M206" i="59" s="1"/>
  <c r="M292" i="59"/>
  <c r="L23" i="26" s="1"/>
  <c r="L22" i="26"/>
  <c r="L133" i="59"/>
  <c r="L198" i="59" s="1"/>
  <c r="L284" i="59"/>
  <c r="K23" i="23" s="1"/>
  <c r="K22" i="23"/>
  <c r="K23" i="76"/>
  <c r="K23" i="53"/>
  <c r="K23" i="26"/>
  <c r="M143" i="59"/>
  <c r="M208" i="59" s="1"/>
  <c r="M294" i="59"/>
  <c r="L22" i="76"/>
  <c r="L26" i="76" s="1"/>
  <c r="L22" i="53"/>
  <c r="L14" i="53" s="1"/>
  <c r="L124" i="59"/>
  <c r="L189" i="59" s="1"/>
  <c r="L275" i="59"/>
  <c r="K23" i="8" s="1"/>
  <c r="K22" i="8"/>
  <c r="K14" i="8" s="1"/>
  <c r="K26" i="76"/>
  <c r="M279" i="59"/>
  <c r="L22" i="38"/>
  <c r="L26" i="38" s="1"/>
  <c r="K14" i="29"/>
  <c r="K16" i="29" s="1"/>
  <c r="K17" i="29" s="1"/>
  <c r="J14" i="23"/>
  <c r="J16" i="23" s="1"/>
  <c r="J17" i="23" s="1"/>
  <c r="K26" i="38"/>
  <c r="K26" i="5"/>
  <c r="K14" i="53"/>
  <c r="K26" i="26"/>
  <c r="J14" i="44"/>
  <c r="I26" i="8"/>
  <c r="K23" i="83"/>
  <c r="L22" i="1"/>
  <c r="L22" i="83"/>
  <c r="L8" i="83"/>
  <c r="L9" i="83" s="1"/>
  <c r="M273" i="59"/>
  <c r="L23" i="1" s="1"/>
  <c r="K14" i="1"/>
  <c r="K16" i="1" s="1"/>
  <c r="K17" i="1" s="1"/>
  <c r="K26" i="1"/>
  <c r="M302" i="59"/>
  <c r="L21" i="1" s="1"/>
  <c r="L27" i="1"/>
  <c r="L13" i="1"/>
  <c r="L6" i="83"/>
  <c r="L7" i="83" s="1"/>
  <c r="L27" i="83"/>
  <c r="L13" i="83"/>
  <c r="M244" i="59"/>
  <c r="L20" i="1" s="1"/>
  <c r="K14" i="83"/>
  <c r="K16" i="83" s="1"/>
  <c r="K17" i="83" s="1"/>
  <c r="K26" i="83"/>
  <c r="L27" i="47"/>
  <c r="M312" i="59"/>
  <c r="M254" i="59"/>
  <c r="L20" i="47" s="1"/>
  <c r="H37" i="41"/>
  <c r="H46" i="41"/>
  <c r="H47" i="41" s="1"/>
  <c r="G37" i="41"/>
  <c r="G46" i="41"/>
  <c r="K28" i="38"/>
  <c r="S133" i="35"/>
  <c r="J14" i="35"/>
  <c r="J16" i="35" s="1"/>
  <c r="J17" i="35" s="1"/>
  <c r="M142" i="59"/>
  <c r="M207" i="59" s="1"/>
  <c r="K16" i="50"/>
  <c r="K17" i="50" s="1"/>
  <c r="J16" i="50"/>
  <c r="J17" i="50" s="1"/>
  <c r="M264" i="59"/>
  <c r="L20" i="50" s="1"/>
  <c r="K27" i="35"/>
  <c r="L259" i="59"/>
  <c r="K20" i="35" s="1"/>
  <c r="K13" i="35"/>
  <c r="L137" i="59"/>
  <c r="L202" i="59" s="1"/>
  <c r="K22" i="35"/>
  <c r="K26" i="35" s="1"/>
  <c r="K23" i="35"/>
  <c r="J28" i="35"/>
  <c r="H20" i="17"/>
  <c r="H13" i="17"/>
  <c r="H27" i="17"/>
  <c r="I127" i="59"/>
  <c r="I192" i="59" s="1"/>
  <c r="H22" i="17"/>
  <c r="H14" i="17" s="1"/>
  <c r="H23" i="17"/>
  <c r="K14" i="38"/>
  <c r="K16" i="38" s="1"/>
  <c r="K17" i="38" s="1"/>
  <c r="M128" i="59"/>
  <c r="M193" i="59" s="1"/>
  <c r="L23" i="38"/>
  <c r="L13" i="38"/>
  <c r="H27" i="11"/>
  <c r="H20" i="11"/>
  <c r="H13" i="11"/>
  <c r="I130" i="59"/>
  <c r="I195" i="59" s="1"/>
  <c r="H22" i="11"/>
  <c r="H14" i="11" s="1"/>
  <c r="H23" i="11"/>
  <c r="AA126" i="41"/>
  <c r="Q272" i="41"/>
  <c r="S62" i="41" s="1"/>
  <c r="M144" i="59"/>
  <c r="M209" i="59" s="1"/>
  <c r="L22" i="41"/>
  <c r="L23" i="41"/>
  <c r="K14" i="47"/>
  <c r="K16" i="47" s="1"/>
  <c r="K17" i="47" s="1"/>
  <c r="K28" i="47"/>
  <c r="K26" i="41"/>
  <c r="K14" i="41"/>
  <c r="K16" i="41" s="1"/>
  <c r="K17" i="41" s="1"/>
  <c r="L27" i="41"/>
  <c r="L20" i="41"/>
  <c r="L13" i="41"/>
  <c r="I131" i="59"/>
  <c r="I196" i="59" s="1"/>
  <c r="H22" i="14"/>
  <c r="H14" i="14" s="1"/>
  <c r="H18" i="14" s="1"/>
  <c r="H23" i="14"/>
  <c r="H27" i="14"/>
  <c r="H13" i="14"/>
  <c r="H20" i="14"/>
  <c r="K27" i="32"/>
  <c r="K13" i="32"/>
  <c r="K20" i="32"/>
  <c r="J29" i="83"/>
  <c r="K20" i="83"/>
  <c r="K28" i="1"/>
  <c r="K21" i="76"/>
  <c r="K21" i="53"/>
  <c r="K40" i="1"/>
  <c r="K40" i="83"/>
  <c r="I46" i="1"/>
  <c r="I50" i="1" s="1"/>
  <c r="I51" i="1" s="1"/>
  <c r="K39" i="1"/>
  <c r="K39" i="83"/>
  <c r="K21" i="83"/>
  <c r="I46" i="44"/>
  <c r="I50" i="44" s="1"/>
  <c r="I51" i="44" s="1"/>
  <c r="I43" i="83"/>
  <c r="J41" i="1"/>
  <c r="J43" i="1" s="1"/>
  <c r="J46" i="1" s="1"/>
  <c r="J41" i="83"/>
  <c r="J43" i="83" s="1"/>
  <c r="I44" i="26"/>
  <c r="M132" i="59"/>
  <c r="M197" i="59" s="1"/>
  <c r="L22" i="47"/>
  <c r="L26" i="47" s="1"/>
  <c r="M113" i="59"/>
  <c r="I100" i="59"/>
  <c r="L107" i="59"/>
  <c r="M96" i="59"/>
  <c r="L93" i="59"/>
  <c r="M122" i="59"/>
  <c r="M187" i="59" s="1"/>
  <c r="M114" i="59"/>
  <c r="M104" i="59"/>
  <c r="I97" i="59"/>
  <c r="Q106" i="70"/>
  <c r="R168" i="59"/>
  <c r="R106" i="72"/>
  <c r="S106" i="72" s="1"/>
  <c r="S62" i="35"/>
  <c r="M111" i="59"/>
  <c r="L99" i="59"/>
  <c r="I101" i="59"/>
  <c r="M112" i="59"/>
  <c r="P56" i="35"/>
  <c r="S61" i="35"/>
  <c r="M102" i="59"/>
  <c r="L23" i="47"/>
  <c r="M98" i="59"/>
  <c r="L94" i="59"/>
  <c r="M92" i="59"/>
  <c r="L103" i="59"/>
  <c r="O56" i="44"/>
  <c r="P92" i="72"/>
  <c r="S62" i="44"/>
  <c r="R92" i="72"/>
  <c r="S92" i="72" s="1"/>
  <c r="Q92" i="70"/>
  <c r="R154" i="59"/>
  <c r="P56" i="44"/>
  <c r="Q56" i="44" s="1"/>
  <c r="S61" i="44"/>
  <c r="P56" i="47"/>
  <c r="Q56" i="47" s="1"/>
  <c r="S61" i="47"/>
  <c r="O56" i="47"/>
  <c r="P163" i="59"/>
  <c r="O101" i="70"/>
  <c r="S62" i="8"/>
  <c r="R93" i="72"/>
  <c r="Q93" i="70"/>
  <c r="R155" i="59"/>
  <c r="P56" i="41"/>
  <c r="Q56" i="41" s="1"/>
  <c r="S61" i="41"/>
  <c r="K16" i="53"/>
  <c r="K17" i="53" s="1"/>
  <c r="J46" i="41"/>
  <c r="J50" i="41" s="1"/>
  <c r="J51" i="41" s="1"/>
  <c r="I28" i="8"/>
  <c r="I43" i="8"/>
  <c r="I44" i="8" s="1"/>
  <c r="I44" i="50"/>
  <c r="I44" i="5"/>
  <c r="K28" i="5"/>
  <c r="K43" i="26"/>
  <c r="K44" i="26" s="1"/>
  <c r="I56" i="59"/>
  <c r="I56" i="70" s="1"/>
  <c r="J46" i="29"/>
  <c r="J50" i="29" s="1"/>
  <c r="J51" i="29" s="1"/>
  <c r="I46" i="35"/>
  <c r="I47" i="35" s="1"/>
  <c r="K16" i="5"/>
  <c r="K17" i="5" s="1"/>
  <c r="L8" i="41"/>
  <c r="L9" i="41" s="1"/>
  <c r="K8" i="35"/>
  <c r="K9" i="35" s="1"/>
  <c r="J46" i="26"/>
  <c r="J47" i="26" s="1"/>
  <c r="L8" i="38"/>
  <c r="L9" i="38" s="1"/>
  <c r="L8" i="26"/>
  <c r="L9" i="26" s="1"/>
  <c r="L8" i="5"/>
  <c r="L9" i="5" s="1"/>
  <c r="K8" i="23"/>
  <c r="K9" i="23" s="1"/>
  <c r="I46" i="38"/>
  <c r="I47" i="38" s="1"/>
  <c r="J8" i="8"/>
  <c r="J9" i="8" s="1"/>
  <c r="K16" i="26"/>
  <c r="K17" i="26" s="1"/>
  <c r="K18" i="8"/>
  <c r="K8" i="8"/>
  <c r="K9" i="8" s="1"/>
  <c r="K40" i="76"/>
  <c r="K40" i="53"/>
  <c r="H8" i="14"/>
  <c r="H9" i="14" s="1"/>
  <c r="L74" i="70"/>
  <c r="M82" i="59"/>
  <c r="M145" i="72" s="1"/>
  <c r="L41" i="50" s="1"/>
  <c r="L8" i="53"/>
  <c r="L9" i="53" s="1"/>
  <c r="L8" i="76"/>
  <c r="L9" i="76" s="1"/>
  <c r="L8" i="29"/>
  <c r="L9" i="29" s="1"/>
  <c r="K8" i="44"/>
  <c r="K9" i="44" s="1"/>
  <c r="I16" i="8"/>
  <c r="I17" i="8" s="1"/>
  <c r="J43" i="76"/>
  <c r="J44" i="76" s="1"/>
  <c r="Q34" i="38"/>
  <c r="Q36" i="38" s="1"/>
  <c r="I46" i="41"/>
  <c r="I47" i="41" s="1"/>
  <c r="K28" i="29"/>
  <c r="J46" i="38"/>
  <c r="J47" i="38" s="1"/>
  <c r="J46" i="5"/>
  <c r="J50" i="5" s="1"/>
  <c r="J51" i="5" s="1"/>
  <c r="K28" i="41"/>
  <c r="K43" i="38"/>
  <c r="K44" i="38" s="1"/>
  <c r="J28" i="76"/>
  <c r="K43" i="29"/>
  <c r="K44" i="29" s="1"/>
  <c r="J43" i="35"/>
  <c r="J46" i="35" s="1"/>
  <c r="J43" i="50"/>
  <c r="J44" i="50" s="1"/>
  <c r="I46" i="23"/>
  <c r="I47" i="23" s="1"/>
  <c r="H37" i="38"/>
  <c r="H46" i="38"/>
  <c r="H50" i="38" s="1"/>
  <c r="H51" i="38" s="1"/>
  <c r="H21" i="14"/>
  <c r="H6" i="14"/>
  <c r="H7" i="14" s="1"/>
  <c r="L6" i="29"/>
  <c r="L7" i="29" s="1"/>
  <c r="L21" i="29"/>
  <c r="K43" i="5"/>
  <c r="K44" i="5" s="1"/>
  <c r="M24" i="72"/>
  <c r="L39" i="50" s="1"/>
  <c r="L21" i="50"/>
  <c r="J28" i="53"/>
  <c r="J28" i="23"/>
  <c r="L6" i="26"/>
  <c r="L7" i="26" s="1"/>
  <c r="L21" i="26"/>
  <c r="L6" i="38"/>
  <c r="L7" i="38" s="1"/>
  <c r="L21" i="38"/>
  <c r="K43" i="41"/>
  <c r="K46" i="41" s="1"/>
  <c r="I44" i="23"/>
  <c r="K28" i="50"/>
  <c r="K28" i="26"/>
  <c r="K6" i="8"/>
  <c r="K7" i="8" s="1"/>
  <c r="K10" i="8" s="1"/>
  <c r="K21" i="8"/>
  <c r="K21" i="23"/>
  <c r="K6" i="23"/>
  <c r="K7" i="23" s="1"/>
  <c r="K39" i="76"/>
  <c r="K39" i="53"/>
  <c r="L6" i="76"/>
  <c r="L7" i="76" s="1"/>
  <c r="L6" i="53"/>
  <c r="L7" i="53" s="1"/>
  <c r="K43" i="50"/>
  <c r="K44" i="50" s="1"/>
  <c r="J43" i="44"/>
  <c r="J46" i="44" s="1"/>
  <c r="K21" i="35"/>
  <c r="K6" i="35"/>
  <c r="K7" i="35" s="1"/>
  <c r="L21" i="5"/>
  <c r="L6" i="5"/>
  <c r="L7" i="5" s="1"/>
  <c r="M26" i="70"/>
  <c r="L21" i="41"/>
  <c r="L6" i="41"/>
  <c r="L7" i="41" s="1"/>
  <c r="K6" i="44"/>
  <c r="K7" i="44" s="1"/>
  <c r="J43" i="53"/>
  <c r="J44" i="53" s="1"/>
  <c r="K18" i="38"/>
  <c r="H46" i="23"/>
  <c r="H47" i="23" s="1"/>
  <c r="I115" i="17"/>
  <c r="Q34" i="23"/>
  <c r="Q36" i="23" s="1"/>
  <c r="J41" i="23"/>
  <c r="J43" i="23" s="1"/>
  <c r="J44" i="23" s="1"/>
  <c r="H21" i="11"/>
  <c r="H6" i="11"/>
  <c r="H7" i="11" s="1"/>
  <c r="H8" i="11"/>
  <c r="H9" i="11" s="1"/>
  <c r="I44" i="47"/>
  <c r="J46" i="47"/>
  <c r="J47" i="47" s="1"/>
  <c r="H46" i="32"/>
  <c r="H50" i="32" s="1"/>
  <c r="H51" i="32" s="1"/>
  <c r="K43" i="47"/>
  <c r="K44" i="47" s="1"/>
  <c r="L8" i="47"/>
  <c r="L9" i="47" s="1"/>
  <c r="L21" i="47"/>
  <c r="L6" i="47"/>
  <c r="L7" i="47" s="1"/>
  <c r="L13" i="47"/>
  <c r="H36" i="76"/>
  <c r="H37" i="76" s="1"/>
  <c r="Q34" i="76"/>
  <c r="Q36" i="76" s="1"/>
  <c r="H50" i="8"/>
  <c r="H51" i="8" s="1"/>
  <c r="H47" i="8"/>
  <c r="H47" i="44"/>
  <c r="H50" i="44"/>
  <c r="H51" i="44" s="1"/>
  <c r="I50" i="47"/>
  <c r="I51" i="47" s="1"/>
  <c r="I47" i="47"/>
  <c r="I50" i="5"/>
  <c r="I51" i="5" s="1"/>
  <c r="I47" i="5"/>
  <c r="H50" i="35"/>
  <c r="H51" i="35" s="1"/>
  <c r="H47" i="35"/>
  <c r="I50" i="50"/>
  <c r="I47" i="50"/>
  <c r="H43" i="53"/>
  <c r="H47" i="50"/>
  <c r="H50" i="50"/>
  <c r="H50" i="5"/>
  <c r="H51" i="5" s="1"/>
  <c r="H47" i="5"/>
  <c r="I47" i="26"/>
  <c r="I50" i="26"/>
  <c r="K41" i="53"/>
  <c r="K41" i="76"/>
  <c r="H43" i="76"/>
  <c r="I46" i="76"/>
  <c r="I46" i="53"/>
  <c r="H50" i="47"/>
  <c r="H51" i="47" s="1"/>
  <c r="H47" i="47"/>
  <c r="I47" i="29"/>
  <c r="I50" i="29"/>
  <c r="I51" i="29" s="1"/>
  <c r="H44" i="26"/>
  <c r="H46" i="26"/>
  <c r="H50" i="29"/>
  <c r="H51" i="29" s="1"/>
  <c r="H47" i="29"/>
  <c r="H36" i="53"/>
  <c r="H37" i="53" s="1"/>
  <c r="Q34" i="53"/>
  <c r="Q36" i="53" s="1"/>
  <c r="H21" i="17"/>
  <c r="H6" i="17"/>
  <c r="H7" i="17" s="1"/>
  <c r="H11" i="17" s="1"/>
  <c r="H8" i="17"/>
  <c r="H9" i="17" s="1"/>
  <c r="L6" i="1"/>
  <c r="L7" i="1" s="1"/>
  <c r="L8" i="1"/>
  <c r="L9" i="1" s="1"/>
  <c r="K6" i="32"/>
  <c r="K7" i="32" s="1"/>
  <c r="K21" i="32"/>
  <c r="K21" i="44"/>
  <c r="S58" i="17"/>
  <c r="L125" i="72"/>
  <c r="M24" i="70"/>
  <c r="I39" i="28"/>
  <c r="G63" i="28" s="1"/>
  <c r="B43" i="28"/>
  <c r="I40" i="28" s="1"/>
  <c r="G64" i="28" s="1"/>
  <c r="S62" i="1"/>
  <c r="R91" i="72"/>
  <c r="Q91" i="70"/>
  <c r="R153" i="59"/>
  <c r="S58" i="11"/>
  <c r="S62" i="53"/>
  <c r="R112" i="72"/>
  <c r="S112" i="72" s="1"/>
  <c r="Q112" i="70"/>
  <c r="R174" i="59"/>
  <c r="S62" i="47"/>
  <c r="R101" i="72"/>
  <c r="S101" i="72" s="1"/>
  <c r="Q101" i="70"/>
  <c r="R163" i="59"/>
  <c r="S58" i="14"/>
  <c r="I67" i="72"/>
  <c r="M81" i="72"/>
  <c r="L63" i="72"/>
  <c r="M82" i="72"/>
  <c r="L64" i="72"/>
  <c r="L69" i="72"/>
  <c r="M66" i="72"/>
  <c r="L76" i="72"/>
  <c r="M83" i="72"/>
  <c r="L73" i="72"/>
  <c r="L77" i="72"/>
  <c r="M72" i="72"/>
  <c r="K73" i="70"/>
  <c r="M74" i="72"/>
  <c r="I71" i="72"/>
  <c r="M84" i="72"/>
  <c r="I70" i="72"/>
  <c r="M68" i="72"/>
  <c r="E23" i="51"/>
  <c r="E25" i="51" s="1"/>
  <c r="S61" i="53"/>
  <c r="Q34" i="20"/>
  <c r="Q36" i="20" s="1"/>
  <c r="Q34" i="47"/>
  <c r="Q36" i="47" s="1"/>
  <c r="Q34" i="5"/>
  <c r="Q36" i="5" s="1"/>
  <c r="Q34" i="41"/>
  <c r="Q36" i="41" s="1"/>
  <c r="Q34" i="32"/>
  <c r="Q36" i="32" s="1"/>
  <c r="Q34" i="35"/>
  <c r="Q36" i="35" s="1"/>
  <c r="L35" i="72"/>
  <c r="K40" i="8" s="1"/>
  <c r="O167" i="59"/>
  <c r="Q34" i="50"/>
  <c r="Q36" i="50" s="1"/>
  <c r="Q34" i="29"/>
  <c r="Q36" i="29" s="1"/>
  <c r="K35" i="72"/>
  <c r="J40" i="8" s="1"/>
  <c r="L6" i="72"/>
  <c r="K39" i="8" s="1"/>
  <c r="I9" i="70"/>
  <c r="M26" i="72"/>
  <c r="L39" i="41" s="1"/>
  <c r="S61" i="8"/>
  <c r="L5" i="70"/>
  <c r="L62" i="70"/>
  <c r="E21" i="33"/>
  <c r="E23" i="33" s="1"/>
  <c r="E25" i="33" s="1"/>
  <c r="D23" i="48"/>
  <c r="D25" i="48" s="1"/>
  <c r="D23" i="54"/>
  <c r="D25" i="54" s="1"/>
  <c r="L5" i="72"/>
  <c r="K39" i="44" s="1"/>
  <c r="F21" i="42"/>
  <c r="G21" i="42" s="1"/>
  <c r="AN214" i="17"/>
  <c r="I9" i="72"/>
  <c r="D23" i="42"/>
  <c r="D25" i="42" s="1"/>
  <c r="AO214" i="17"/>
  <c r="I39" i="25"/>
  <c r="G63" i="25" s="1"/>
  <c r="B43" i="25"/>
  <c r="I40" i="25" s="1"/>
  <c r="G64" i="25" s="1"/>
  <c r="D32" i="25"/>
  <c r="L83" i="70"/>
  <c r="I39" i="55"/>
  <c r="G63" i="55" s="1"/>
  <c r="D32" i="55"/>
  <c r="B43" i="55"/>
  <c r="I40" i="55" s="1"/>
  <c r="G64" i="55" s="1"/>
  <c r="D32" i="43"/>
  <c r="B43" i="43"/>
  <c r="I40" i="43" s="1"/>
  <c r="G64" i="43" s="1"/>
  <c r="I39" i="43"/>
  <c r="G63" i="43" s="1"/>
  <c r="L68" i="70"/>
  <c r="I39" i="49"/>
  <c r="G63" i="49" s="1"/>
  <c r="D32" i="49"/>
  <c r="B43" i="49"/>
  <c r="I40" i="49" s="1"/>
  <c r="G64" i="49" s="1"/>
  <c r="AJ216" i="20"/>
  <c r="P272" i="20" s="1"/>
  <c r="P56" i="20" s="1"/>
  <c r="Q56" i="20" s="1"/>
  <c r="D64" i="20"/>
  <c r="D23" i="36"/>
  <c r="D25" i="36" s="1"/>
  <c r="E21" i="36"/>
  <c r="D23" i="24"/>
  <c r="D25" i="24" s="1"/>
  <c r="I39" i="34"/>
  <c r="G63" i="34" s="1"/>
  <c r="B43" i="34"/>
  <c r="I40" i="34" s="1"/>
  <c r="G64" i="34" s="1"/>
  <c r="D32" i="34"/>
  <c r="I39" i="37"/>
  <c r="G63" i="37" s="1"/>
  <c r="D32" i="37"/>
  <c r="B43" i="37"/>
  <c r="I40" i="37" s="1"/>
  <c r="G64" i="37" s="1"/>
  <c r="L110" i="70"/>
  <c r="P172" i="59"/>
  <c r="O172" i="59"/>
  <c r="M214" i="38"/>
  <c r="N10" i="59" s="1"/>
  <c r="L267" i="35"/>
  <c r="M48" i="59" s="1"/>
  <c r="M288" i="59" s="1"/>
  <c r="L115" i="20"/>
  <c r="L49" i="20" s="1"/>
  <c r="L81" i="70"/>
  <c r="L72" i="70"/>
  <c r="M214" i="26"/>
  <c r="N23" i="59" s="1"/>
  <c r="O110" i="70"/>
  <c r="N110" i="70"/>
  <c r="S125" i="29"/>
  <c r="J37" i="31" s="1"/>
  <c r="H59" i="31" s="1"/>
  <c r="S132" i="38"/>
  <c r="P97" i="72"/>
  <c r="M116" i="5"/>
  <c r="M49" i="5" s="1"/>
  <c r="S128" i="29"/>
  <c r="L165" i="59"/>
  <c r="M115" i="29"/>
  <c r="M49" i="29" s="1"/>
  <c r="L115" i="32"/>
  <c r="L49" i="32" s="1"/>
  <c r="S129" i="35"/>
  <c r="M106" i="72"/>
  <c r="M115" i="38"/>
  <c r="M49" i="38" s="1"/>
  <c r="S128" i="41"/>
  <c r="L175" i="59"/>
  <c r="S128" i="44"/>
  <c r="S133" i="47"/>
  <c r="M115" i="50"/>
  <c r="M49" i="50" s="1"/>
  <c r="S133" i="50"/>
  <c r="Q111" i="72"/>
  <c r="S125" i="53"/>
  <c r="J37" i="55" s="1"/>
  <c r="H59" i="55" s="1"/>
  <c r="S132" i="53"/>
  <c r="O112" i="70"/>
  <c r="M39" i="72"/>
  <c r="L40" i="38" s="1"/>
  <c r="M39" i="70"/>
  <c r="M54" i="70"/>
  <c r="M54" i="72"/>
  <c r="M37" i="70"/>
  <c r="M37" i="72"/>
  <c r="L40" i="5" s="1"/>
  <c r="M214" i="50"/>
  <c r="N24" i="59" s="1"/>
  <c r="M214" i="47"/>
  <c r="N14" i="59" s="1"/>
  <c r="K63" i="70"/>
  <c r="I115" i="11"/>
  <c r="I49" i="11" s="1"/>
  <c r="I214" i="11"/>
  <c r="J12" i="59" s="1"/>
  <c r="I42" i="70"/>
  <c r="I42" i="72"/>
  <c r="H40" i="14" s="1"/>
  <c r="L84" i="70"/>
  <c r="S131" i="29"/>
  <c r="O103" i="72" s="1"/>
  <c r="S129" i="29"/>
  <c r="M259" i="32"/>
  <c r="M251" i="32"/>
  <c r="M243" i="32"/>
  <c r="M235" i="32"/>
  <c r="M227" i="32"/>
  <c r="M264" i="32"/>
  <c r="M256" i="32"/>
  <c r="M248" i="32"/>
  <c r="M240" i="32"/>
  <c r="M232" i="32"/>
  <c r="M261" i="32"/>
  <c r="M253" i="32"/>
  <c r="M245" i="32"/>
  <c r="M237" i="32"/>
  <c r="M229" i="32"/>
  <c r="M221" i="32"/>
  <c r="M258" i="32"/>
  <c r="M250" i="32"/>
  <c r="M242" i="32"/>
  <c r="M234" i="32"/>
  <c r="M226" i="32"/>
  <c r="M263" i="32"/>
  <c r="M255" i="32"/>
  <c r="M247" i="32"/>
  <c r="M239" i="32"/>
  <c r="M231" i="32"/>
  <c r="M223" i="32"/>
  <c r="M254" i="32"/>
  <c r="M252" i="32"/>
  <c r="M222" i="32"/>
  <c r="M220" i="32"/>
  <c r="M257" i="32"/>
  <c r="M225" i="32"/>
  <c r="M262" i="32"/>
  <c r="M260" i="32"/>
  <c r="M230" i="32"/>
  <c r="M228" i="32"/>
  <c r="M265" i="32"/>
  <c r="M233" i="32"/>
  <c r="M238" i="32"/>
  <c r="M236" i="32"/>
  <c r="M241" i="32"/>
  <c r="M246" i="32"/>
  <c r="M244" i="32"/>
  <c r="M249" i="32"/>
  <c r="M202" i="32"/>
  <c r="M194" i="32"/>
  <c r="M186" i="32"/>
  <c r="M178" i="32"/>
  <c r="M170" i="32"/>
  <c r="M204" i="32"/>
  <c r="M196" i="32"/>
  <c r="M188" i="32"/>
  <c r="M180" i="32"/>
  <c r="M172" i="32"/>
  <c r="M209" i="32"/>
  <c r="M201" i="32"/>
  <c r="M193" i="32"/>
  <c r="M185" i="32"/>
  <c r="M177" i="32"/>
  <c r="M169" i="32"/>
  <c r="M206" i="32"/>
  <c r="M198" i="32"/>
  <c r="M190" i="32"/>
  <c r="M182" i="32"/>
  <c r="M174" i="32"/>
  <c r="M203" i="32"/>
  <c r="M195" i="32"/>
  <c r="M187" i="32"/>
  <c r="M179" i="32"/>
  <c r="M171" i="32"/>
  <c r="M191" i="32"/>
  <c r="M184" i="32"/>
  <c r="M189" i="32"/>
  <c r="M199" i="32"/>
  <c r="M192" i="32"/>
  <c r="M167" i="32"/>
  <c r="M197" i="32"/>
  <c r="M207" i="32"/>
  <c r="M200" i="32"/>
  <c r="M175" i="32"/>
  <c r="M168" i="32"/>
  <c r="M208" i="32"/>
  <c r="M183" i="32"/>
  <c r="M176" i="32"/>
  <c r="M173" i="32"/>
  <c r="M181" i="32"/>
  <c r="M205" i="32"/>
  <c r="M84" i="32"/>
  <c r="M83" i="32"/>
  <c r="M79" i="32"/>
  <c r="M82" i="32"/>
  <c r="M80" i="32"/>
  <c r="M78" i="32"/>
  <c r="M81" i="32"/>
  <c r="S129" i="50"/>
  <c r="M111" i="72"/>
  <c r="P154" i="59"/>
  <c r="I214" i="14"/>
  <c r="J13" i="59" s="1"/>
  <c r="M52" i="70"/>
  <c r="M52" i="72"/>
  <c r="L40" i="26" s="1"/>
  <c r="I38" i="72"/>
  <c r="H40" i="17" s="1"/>
  <c r="I38" i="70"/>
  <c r="M43" i="72"/>
  <c r="L40" i="47" s="1"/>
  <c r="M43" i="70"/>
  <c r="M45" i="70"/>
  <c r="M45" i="72"/>
  <c r="L40" i="29" s="1"/>
  <c r="L66" i="70"/>
  <c r="I13" i="70"/>
  <c r="I13" i="72"/>
  <c r="H39" i="14" s="1"/>
  <c r="I71" i="59"/>
  <c r="L19" i="72"/>
  <c r="K39" i="35" s="1"/>
  <c r="L77" i="59"/>
  <c r="L140" i="72" s="1"/>
  <c r="K41" i="35" s="1"/>
  <c r="L19" i="70"/>
  <c r="L214" i="44"/>
  <c r="M5" i="59" s="1"/>
  <c r="K82" i="70"/>
  <c r="S126" i="23"/>
  <c r="K37" i="25" s="1"/>
  <c r="I59" i="25" s="1"/>
  <c r="S128" i="38"/>
  <c r="S130" i="38"/>
  <c r="S127" i="41"/>
  <c r="K113" i="72"/>
  <c r="L115" i="44"/>
  <c r="L49" i="44" s="1"/>
  <c r="S129" i="44"/>
  <c r="M92" i="72"/>
  <c r="S130" i="47"/>
  <c r="S130" i="50"/>
  <c r="S126" i="53"/>
  <c r="K37" i="55" s="1"/>
  <c r="I59" i="55" s="1"/>
  <c r="O92" i="70"/>
  <c r="M23" i="70"/>
  <c r="M23" i="72"/>
  <c r="L39" i="26" s="1"/>
  <c r="M81" i="59"/>
  <c r="M144" i="72" s="1"/>
  <c r="L41" i="26" s="1"/>
  <c r="J260" i="14"/>
  <c r="J252" i="14"/>
  <c r="J244" i="14"/>
  <c r="J236" i="14"/>
  <c r="J228" i="14"/>
  <c r="J265" i="14"/>
  <c r="J257" i="14"/>
  <c r="J262" i="14"/>
  <c r="J254" i="14"/>
  <c r="J246" i="14"/>
  <c r="J238" i="14"/>
  <c r="J230" i="14"/>
  <c r="J222" i="14"/>
  <c r="J264" i="14"/>
  <c r="J256" i="14"/>
  <c r="J248" i="14"/>
  <c r="J240" i="14"/>
  <c r="J232" i="14"/>
  <c r="J224" i="14"/>
  <c r="J261" i="14"/>
  <c r="J253" i="14"/>
  <c r="J245" i="14"/>
  <c r="J237" i="14"/>
  <c r="J229" i="14"/>
  <c r="J258" i="14"/>
  <c r="J250" i="14"/>
  <c r="J242" i="14"/>
  <c r="J234" i="14"/>
  <c r="J226" i="14"/>
  <c r="J243" i="14"/>
  <c r="J231" i="14"/>
  <c r="J241" i="14"/>
  <c r="J263" i="14"/>
  <c r="J239" i="14"/>
  <c r="J221" i="14"/>
  <c r="J251" i="14"/>
  <c r="J249" i="14"/>
  <c r="J247" i="14"/>
  <c r="J227" i="14"/>
  <c r="J220" i="14"/>
  <c r="J255" i="14"/>
  <c r="J225" i="14"/>
  <c r="J235" i="14"/>
  <c r="J223" i="14"/>
  <c r="J259" i="14"/>
  <c r="J233" i="14"/>
  <c r="J203" i="14"/>
  <c r="J195" i="14"/>
  <c r="J187" i="14"/>
  <c r="J179" i="14"/>
  <c r="J204" i="14"/>
  <c r="J196" i="14"/>
  <c r="J188" i="14"/>
  <c r="J180" i="14"/>
  <c r="J171" i="14"/>
  <c r="J168" i="14"/>
  <c r="J202" i="14"/>
  <c r="J201" i="14"/>
  <c r="J200" i="14"/>
  <c r="J186" i="14"/>
  <c r="J185" i="14"/>
  <c r="J184" i="14"/>
  <c r="J173" i="14"/>
  <c r="J199" i="14"/>
  <c r="J198" i="14"/>
  <c r="J197" i="14"/>
  <c r="J183" i="14"/>
  <c r="J182" i="14"/>
  <c r="J181" i="14"/>
  <c r="J170" i="14"/>
  <c r="J167" i="14"/>
  <c r="J209" i="14"/>
  <c r="J208" i="14"/>
  <c r="J194" i="14"/>
  <c r="J193" i="14"/>
  <c r="J192" i="14"/>
  <c r="J178" i="14"/>
  <c r="J177" i="14"/>
  <c r="J176" i="14"/>
  <c r="J169" i="14"/>
  <c r="J206" i="14"/>
  <c r="J189" i="14"/>
  <c r="J175" i="14"/>
  <c r="J172" i="14"/>
  <c r="J205" i="14"/>
  <c r="J191" i="14"/>
  <c r="J207" i="14"/>
  <c r="J174" i="14"/>
  <c r="J190" i="14"/>
  <c r="J76" i="14"/>
  <c r="J72" i="14"/>
  <c r="J75" i="14"/>
  <c r="J71" i="14"/>
  <c r="J78" i="14"/>
  <c r="J74" i="14"/>
  <c r="J70" i="14"/>
  <c r="J77" i="14"/>
  <c r="J73" i="14"/>
  <c r="J69" i="14"/>
  <c r="M267" i="50"/>
  <c r="N53" i="59" s="1"/>
  <c r="M267" i="47"/>
  <c r="N43" i="59" s="1"/>
  <c r="N283" i="59" s="1"/>
  <c r="M215" i="5"/>
  <c r="N8" i="59" s="1"/>
  <c r="M268" i="5"/>
  <c r="N37" i="59" s="1"/>
  <c r="I49" i="17"/>
  <c r="L11" i="70"/>
  <c r="L11" i="72"/>
  <c r="K39" i="32" s="1"/>
  <c r="L214" i="32"/>
  <c r="M11" i="59" s="1"/>
  <c r="L267" i="23"/>
  <c r="M44" i="59" s="1"/>
  <c r="N263" i="38"/>
  <c r="N255" i="38"/>
  <c r="N247" i="38"/>
  <c r="N239" i="38"/>
  <c r="N260" i="38"/>
  <c r="N252" i="38"/>
  <c r="N244" i="38"/>
  <c r="N236" i="38"/>
  <c r="N265" i="38"/>
  <c r="N257" i="38"/>
  <c r="N249" i="38"/>
  <c r="N241" i="38"/>
  <c r="N233" i="38"/>
  <c r="N262" i="38"/>
  <c r="N254" i="38"/>
  <c r="N246" i="38"/>
  <c r="N238" i="38"/>
  <c r="N259" i="38"/>
  <c r="N251" i="38"/>
  <c r="N243" i="38"/>
  <c r="N235" i="38"/>
  <c r="N264" i="38"/>
  <c r="N256" i="38"/>
  <c r="N248" i="38"/>
  <c r="N240" i="38"/>
  <c r="N261" i="38"/>
  <c r="N253" i="38"/>
  <c r="N245" i="38"/>
  <c r="N237" i="38"/>
  <c r="N232" i="38"/>
  <c r="N228" i="38"/>
  <c r="N220" i="38"/>
  <c r="N234" i="38"/>
  <c r="N225" i="38"/>
  <c r="N230" i="38"/>
  <c r="N222" i="38"/>
  <c r="N258" i="38"/>
  <c r="N227" i="38"/>
  <c r="N224" i="38"/>
  <c r="N250" i="38"/>
  <c r="N229" i="38"/>
  <c r="N221" i="38"/>
  <c r="N226" i="38"/>
  <c r="N231" i="38"/>
  <c r="N242" i="38"/>
  <c r="N223" i="38"/>
  <c r="N206" i="38"/>
  <c r="N198" i="38"/>
  <c r="N190" i="38"/>
  <c r="N182" i="38"/>
  <c r="N174" i="38"/>
  <c r="N203" i="38"/>
  <c r="N195" i="38"/>
  <c r="N187" i="38"/>
  <c r="N179" i="38"/>
  <c r="N171" i="38"/>
  <c r="N208" i="38"/>
  <c r="N200" i="38"/>
  <c r="N192" i="38"/>
  <c r="N184" i="38"/>
  <c r="N176" i="38"/>
  <c r="N168" i="38"/>
  <c r="N205" i="38"/>
  <c r="N202" i="38"/>
  <c r="N194" i="38"/>
  <c r="N186" i="38"/>
  <c r="N178" i="38"/>
  <c r="N170" i="38"/>
  <c r="N207" i="38"/>
  <c r="N199" i="38"/>
  <c r="N191" i="38"/>
  <c r="N183" i="38"/>
  <c r="N175" i="38"/>
  <c r="N167" i="38"/>
  <c r="N204" i="38"/>
  <c r="N196" i="38"/>
  <c r="N188" i="38"/>
  <c r="N180" i="38"/>
  <c r="N172" i="38"/>
  <c r="N201" i="38"/>
  <c r="N185" i="38"/>
  <c r="N169" i="38"/>
  <c r="N189" i="38"/>
  <c r="N173" i="38"/>
  <c r="N209" i="38"/>
  <c r="N193" i="38"/>
  <c r="N177" i="38"/>
  <c r="N197" i="38"/>
  <c r="N181" i="38"/>
  <c r="S127" i="44"/>
  <c r="M74" i="59"/>
  <c r="M137" i="72" s="1"/>
  <c r="L41" i="29" s="1"/>
  <c r="M16" i="72"/>
  <c r="L39" i="29" s="1"/>
  <c r="M16" i="70"/>
  <c r="M8" i="72"/>
  <c r="L39" i="5" s="1"/>
  <c r="M66" i="59"/>
  <c r="M129" i="72" s="1"/>
  <c r="L41" i="5" s="1"/>
  <c r="M8" i="70"/>
  <c r="S132" i="35"/>
  <c r="P106" i="72"/>
  <c r="N266" i="5"/>
  <c r="N258" i="5"/>
  <c r="N250" i="5"/>
  <c r="N242" i="5"/>
  <c r="N234" i="5"/>
  <c r="N226" i="5"/>
  <c r="N263" i="5"/>
  <c r="N255" i="5"/>
  <c r="N247" i="5"/>
  <c r="N239" i="5"/>
  <c r="N231" i="5"/>
  <c r="N223" i="5"/>
  <c r="N260" i="5"/>
  <c r="N252" i="5"/>
  <c r="N244" i="5"/>
  <c r="N236" i="5"/>
  <c r="N228" i="5"/>
  <c r="N265" i="5"/>
  <c r="N257" i="5"/>
  <c r="N249" i="5"/>
  <c r="N241" i="5"/>
  <c r="N262" i="5"/>
  <c r="N254" i="5"/>
  <c r="N246" i="5"/>
  <c r="N238" i="5"/>
  <c r="N230" i="5"/>
  <c r="N222" i="5"/>
  <c r="N259" i="5"/>
  <c r="N251" i="5"/>
  <c r="N243" i="5"/>
  <c r="N235" i="5"/>
  <c r="N227" i="5"/>
  <c r="N264" i="5"/>
  <c r="N256" i="5"/>
  <c r="N248" i="5"/>
  <c r="N240" i="5"/>
  <c r="N232" i="5"/>
  <c r="N224" i="5"/>
  <c r="N261" i="5"/>
  <c r="N233" i="5"/>
  <c r="N253" i="5"/>
  <c r="N221" i="5"/>
  <c r="N245" i="5"/>
  <c r="N225" i="5"/>
  <c r="N237" i="5"/>
  <c r="N229" i="5"/>
  <c r="N204" i="5"/>
  <c r="N196" i="5"/>
  <c r="N188" i="5"/>
  <c r="N180" i="5"/>
  <c r="N172" i="5"/>
  <c r="N209" i="5"/>
  <c r="N201" i="5"/>
  <c r="N193" i="5"/>
  <c r="N185" i="5"/>
  <c r="N177" i="5"/>
  <c r="N169" i="5"/>
  <c r="N206" i="5"/>
  <c r="N198" i="5"/>
  <c r="N190" i="5"/>
  <c r="N182" i="5"/>
  <c r="N174" i="5"/>
  <c r="N203" i="5"/>
  <c r="N195" i="5"/>
  <c r="N187" i="5"/>
  <c r="N179" i="5"/>
  <c r="N171" i="5"/>
  <c r="N208" i="5"/>
  <c r="N200" i="5"/>
  <c r="N192" i="5"/>
  <c r="N184" i="5"/>
  <c r="N176" i="5"/>
  <c r="N168" i="5"/>
  <c r="N210" i="5"/>
  <c r="N202" i="5"/>
  <c r="N194" i="5"/>
  <c r="N186" i="5"/>
  <c r="N178" i="5"/>
  <c r="N170" i="5"/>
  <c r="N205" i="5"/>
  <c r="N189" i="5"/>
  <c r="N173" i="5"/>
  <c r="N207" i="5"/>
  <c r="N191" i="5"/>
  <c r="N175" i="5"/>
  <c r="N197" i="5"/>
  <c r="N181" i="5"/>
  <c r="N199" i="5"/>
  <c r="N183" i="5"/>
  <c r="S133" i="23"/>
  <c r="Q102" i="72"/>
  <c r="N259" i="26"/>
  <c r="N264" i="26"/>
  <c r="N261" i="26"/>
  <c r="N263" i="26"/>
  <c r="N260" i="26"/>
  <c r="N252" i="26"/>
  <c r="N244" i="26"/>
  <c r="N236" i="26"/>
  <c r="N228" i="26"/>
  <c r="N220" i="26"/>
  <c r="N257" i="26"/>
  <c r="N249" i="26"/>
  <c r="N241" i="26"/>
  <c r="N233" i="26"/>
  <c r="N225" i="26"/>
  <c r="N262" i="26"/>
  <c r="N254" i="26"/>
  <c r="N246" i="26"/>
  <c r="N238" i="26"/>
  <c r="N230" i="26"/>
  <c r="N222" i="26"/>
  <c r="N251" i="26"/>
  <c r="N243" i="26"/>
  <c r="N235" i="26"/>
  <c r="N227" i="26"/>
  <c r="N256" i="26"/>
  <c r="N248" i="26"/>
  <c r="N240" i="26"/>
  <c r="N232" i="26"/>
  <c r="N224" i="26"/>
  <c r="N253" i="26"/>
  <c r="N245" i="26"/>
  <c r="N237" i="26"/>
  <c r="N229" i="26"/>
  <c r="N221" i="26"/>
  <c r="N265" i="26"/>
  <c r="N250" i="26"/>
  <c r="N242" i="26"/>
  <c r="N234" i="26"/>
  <c r="N226" i="26"/>
  <c r="N247" i="26"/>
  <c r="N239" i="26"/>
  <c r="N231" i="26"/>
  <c r="N255" i="26"/>
  <c r="N223" i="26"/>
  <c r="N258" i="26"/>
  <c r="N205" i="26"/>
  <c r="N197" i="26"/>
  <c r="N189" i="26"/>
  <c r="N181" i="26"/>
  <c r="N173" i="26"/>
  <c r="N202" i="26"/>
  <c r="N194" i="26"/>
  <c r="N186" i="26"/>
  <c r="N178" i="26"/>
  <c r="N170" i="26"/>
  <c r="N207" i="26"/>
  <c r="N199" i="26"/>
  <c r="N191" i="26"/>
  <c r="N183" i="26"/>
  <c r="N175" i="26"/>
  <c r="N167" i="26"/>
  <c r="N209" i="26"/>
  <c r="N201" i="26"/>
  <c r="N193" i="26"/>
  <c r="N185" i="26"/>
  <c r="N177" i="26"/>
  <c r="N169" i="26"/>
  <c r="N206" i="26"/>
  <c r="N198" i="26"/>
  <c r="N190" i="26"/>
  <c r="N182" i="26"/>
  <c r="N174" i="26"/>
  <c r="N203" i="26"/>
  <c r="N195" i="26"/>
  <c r="N187" i="26"/>
  <c r="N179" i="26"/>
  <c r="N171" i="26"/>
  <c r="N200" i="26"/>
  <c r="N184" i="26"/>
  <c r="N168" i="26"/>
  <c r="N204" i="26"/>
  <c r="N188" i="26"/>
  <c r="N172" i="26"/>
  <c r="N196" i="26"/>
  <c r="N180" i="26"/>
  <c r="N208" i="26"/>
  <c r="N192" i="26"/>
  <c r="N176" i="26"/>
  <c r="S127" i="38"/>
  <c r="K97" i="72"/>
  <c r="S129" i="38"/>
  <c r="M159" i="59"/>
  <c r="N264" i="41"/>
  <c r="N265" i="41"/>
  <c r="N261" i="41"/>
  <c r="N253" i="41"/>
  <c r="N245" i="41"/>
  <c r="N237" i="41"/>
  <c r="N229" i="41"/>
  <c r="N221" i="41"/>
  <c r="N258" i="41"/>
  <c r="N250" i="41"/>
  <c r="N242" i="41"/>
  <c r="N234" i="41"/>
  <c r="N226" i="41"/>
  <c r="N263" i="41"/>
  <c r="N255" i="41"/>
  <c r="N247" i="41"/>
  <c r="N239" i="41"/>
  <c r="N231" i="41"/>
  <c r="N223" i="41"/>
  <c r="N260" i="41"/>
  <c r="N252" i="41"/>
  <c r="N244" i="41"/>
  <c r="N236" i="41"/>
  <c r="N228" i="41"/>
  <c r="N220" i="41"/>
  <c r="N257" i="41"/>
  <c r="N249" i="41"/>
  <c r="N241" i="41"/>
  <c r="N233" i="41"/>
  <c r="N225" i="41"/>
  <c r="N262" i="41"/>
  <c r="N254" i="41"/>
  <c r="N246" i="41"/>
  <c r="N238" i="41"/>
  <c r="N230" i="41"/>
  <c r="N222" i="41"/>
  <c r="N259" i="41"/>
  <c r="N248" i="41"/>
  <c r="N243" i="41"/>
  <c r="N232" i="41"/>
  <c r="N227" i="41"/>
  <c r="N256" i="41"/>
  <c r="N251" i="41"/>
  <c r="N240" i="41"/>
  <c r="N235" i="41"/>
  <c r="N224" i="41"/>
  <c r="N207" i="41"/>
  <c r="N199" i="41"/>
  <c r="N191" i="41"/>
  <c r="N183" i="41"/>
  <c r="N175" i="41"/>
  <c r="N167" i="41"/>
  <c r="N204" i="41"/>
  <c r="N196" i="41"/>
  <c r="N188" i="41"/>
  <c r="N180" i="41"/>
  <c r="N172" i="41"/>
  <c r="N209" i="41"/>
  <c r="N201" i="41"/>
  <c r="N193" i="41"/>
  <c r="N185" i="41"/>
  <c r="N177" i="41"/>
  <c r="N169" i="41"/>
  <c r="N206" i="41"/>
  <c r="N198" i="41"/>
  <c r="N190" i="41"/>
  <c r="N182" i="41"/>
  <c r="N174" i="41"/>
  <c r="N203" i="41"/>
  <c r="N195" i="41"/>
  <c r="N187" i="41"/>
  <c r="N179" i="41"/>
  <c r="N171" i="41"/>
  <c r="N208" i="41"/>
  <c r="N200" i="41"/>
  <c r="N192" i="41"/>
  <c r="N184" i="41"/>
  <c r="N176" i="41"/>
  <c r="N168" i="41"/>
  <c r="N205" i="41"/>
  <c r="N197" i="41"/>
  <c r="N189" i="41"/>
  <c r="N181" i="41"/>
  <c r="N173" i="41"/>
  <c r="N178" i="41"/>
  <c r="N202" i="41"/>
  <c r="N170" i="41"/>
  <c r="N194" i="41"/>
  <c r="N186" i="41"/>
  <c r="S131" i="41"/>
  <c r="O113" i="72"/>
  <c r="S126" i="47"/>
  <c r="K37" i="49" s="1"/>
  <c r="I59" i="49" s="1"/>
  <c r="S132" i="50"/>
  <c r="O111" i="70"/>
  <c r="S130" i="53"/>
  <c r="M112" i="70"/>
  <c r="S129" i="53"/>
  <c r="M112" i="72"/>
  <c r="S130" i="44"/>
  <c r="K172" i="59"/>
  <c r="P101" i="72"/>
  <c r="I115" i="14"/>
  <c r="I49" i="14" s="1"/>
  <c r="M214" i="41"/>
  <c r="N26" i="59" s="1"/>
  <c r="M267" i="38"/>
  <c r="N39" i="59" s="1"/>
  <c r="I267" i="17"/>
  <c r="J38" i="59" s="1"/>
  <c r="J278" i="59" s="1"/>
  <c r="I12" i="72"/>
  <c r="H39" i="11" s="1"/>
  <c r="I70" i="59"/>
  <c r="I12" i="70"/>
  <c r="M53" i="70"/>
  <c r="M53" i="72"/>
  <c r="L40" i="50" s="1"/>
  <c r="M267" i="53"/>
  <c r="N54" i="59" s="1"/>
  <c r="L214" i="35"/>
  <c r="M19" i="59" s="1"/>
  <c r="M317" i="59" s="1"/>
  <c r="M68" i="59"/>
  <c r="M131" i="72" s="1"/>
  <c r="L41" i="38" s="1"/>
  <c r="M10" i="70"/>
  <c r="M10" i="72"/>
  <c r="L39" i="38" s="1"/>
  <c r="I27" i="59"/>
  <c r="S129" i="41"/>
  <c r="M175" i="59"/>
  <c r="S127" i="47"/>
  <c r="L110" i="72"/>
  <c r="K110" i="70"/>
  <c r="K139" i="70" s="1"/>
  <c r="L172" i="59"/>
  <c r="J262" i="11"/>
  <c r="J254" i="11"/>
  <c r="J246" i="11"/>
  <c r="J238" i="11"/>
  <c r="J230" i="11"/>
  <c r="J222" i="11"/>
  <c r="J259" i="11"/>
  <c r="J251" i="11"/>
  <c r="J243" i="11"/>
  <c r="J235" i="11"/>
  <c r="J227" i="11"/>
  <c r="J264" i="11"/>
  <c r="J256" i="11"/>
  <c r="J248" i="11"/>
  <c r="J240" i="11"/>
  <c r="J232" i="11"/>
  <c r="J224" i="11"/>
  <c r="J261" i="11"/>
  <c r="J253" i="11"/>
  <c r="J245" i="11"/>
  <c r="J237" i="11"/>
  <c r="J229" i="11"/>
  <c r="J221" i="11"/>
  <c r="J258" i="11"/>
  <c r="J250" i="11"/>
  <c r="J242" i="11"/>
  <c r="J234" i="11"/>
  <c r="J226" i="11"/>
  <c r="J263" i="11"/>
  <c r="J255" i="11"/>
  <c r="J247" i="11"/>
  <c r="J239" i="11"/>
  <c r="J231" i="11"/>
  <c r="J223" i="11"/>
  <c r="J260" i="11"/>
  <c r="J252" i="11"/>
  <c r="J244" i="11"/>
  <c r="J236" i="11"/>
  <c r="J228" i="11"/>
  <c r="J220" i="11"/>
  <c r="J241" i="11"/>
  <c r="J265" i="11"/>
  <c r="J233" i="11"/>
  <c r="J257" i="11"/>
  <c r="J225" i="11"/>
  <c r="J249" i="11"/>
  <c r="J209" i="11"/>
  <c r="J201" i="11"/>
  <c r="J193" i="11"/>
  <c r="J185" i="11"/>
  <c r="J177" i="11"/>
  <c r="J169" i="11"/>
  <c r="J206" i="11"/>
  <c r="J198" i="11"/>
  <c r="J190" i="11"/>
  <c r="J182" i="11"/>
  <c r="J174" i="11"/>
  <c r="J203" i="11"/>
  <c r="J195" i="11"/>
  <c r="J187" i="11"/>
  <c r="J179" i="11"/>
  <c r="J171" i="11"/>
  <c r="J208" i="11"/>
  <c r="J200" i="11"/>
  <c r="J192" i="11"/>
  <c r="J184" i="11"/>
  <c r="J176" i="11"/>
  <c r="J168" i="11"/>
  <c r="J205" i="11"/>
  <c r="J197" i="11"/>
  <c r="J189" i="11"/>
  <c r="J181" i="11"/>
  <c r="J173" i="11"/>
  <c r="J207" i="11"/>
  <c r="J199" i="11"/>
  <c r="J191" i="11"/>
  <c r="J183" i="11"/>
  <c r="J175" i="11"/>
  <c r="J167" i="11"/>
  <c r="J202" i="11"/>
  <c r="J186" i="11"/>
  <c r="J170" i="11"/>
  <c r="J178" i="11"/>
  <c r="J194" i="11"/>
  <c r="J204" i="11"/>
  <c r="J188" i="11"/>
  <c r="J172" i="11"/>
  <c r="J196" i="11"/>
  <c r="J180" i="11"/>
  <c r="J75" i="11"/>
  <c r="J70" i="11"/>
  <c r="J72" i="11"/>
  <c r="J77" i="11"/>
  <c r="J69" i="11"/>
  <c r="J74" i="11"/>
  <c r="J71" i="11"/>
  <c r="J76" i="11"/>
  <c r="J73" i="11"/>
  <c r="L115" i="35"/>
  <c r="L49" i="35" s="1"/>
  <c r="S125" i="23"/>
  <c r="J37" i="25" s="1"/>
  <c r="H59" i="25" s="1"/>
  <c r="M261" i="23"/>
  <c r="M253" i="23"/>
  <c r="M245" i="23"/>
  <c r="M237" i="23"/>
  <c r="M229" i="23"/>
  <c r="M221" i="23"/>
  <c r="M258" i="23"/>
  <c r="M250" i="23"/>
  <c r="M242" i="23"/>
  <c r="M234" i="23"/>
  <c r="M226" i="23"/>
  <c r="M263" i="23"/>
  <c r="M255" i="23"/>
  <c r="M247" i="23"/>
  <c r="M239" i="23"/>
  <c r="M231" i="23"/>
  <c r="M223" i="23"/>
  <c r="M260" i="23"/>
  <c r="M252" i="23"/>
  <c r="M244" i="23"/>
  <c r="M236" i="23"/>
  <c r="M228" i="23"/>
  <c r="M220" i="23"/>
  <c r="M265" i="23"/>
  <c r="M257" i="23"/>
  <c r="M249" i="23"/>
  <c r="M241" i="23"/>
  <c r="M233" i="23"/>
  <c r="M225" i="23"/>
  <c r="M262" i="23"/>
  <c r="M254" i="23"/>
  <c r="M246" i="23"/>
  <c r="M238" i="23"/>
  <c r="M230" i="23"/>
  <c r="M222" i="23"/>
  <c r="M259" i="23"/>
  <c r="M251" i="23"/>
  <c r="M243" i="23"/>
  <c r="M235" i="23"/>
  <c r="M227" i="23"/>
  <c r="M264" i="23"/>
  <c r="M232" i="23"/>
  <c r="M256" i="23"/>
  <c r="M224" i="23"/>
  <c r="M248" i="23"/>
  <c r="M240" i="23"/>
  <c r="M206" i="23"/>
  <c r="M208" i="23"/>
  <c r="M207" i="23"/>
  <c r="M204" i="23"/>
  <c r="M198" i="23"/>
  <c r="M190" i="23"/>
  <c r="M182" i="23"/>
  <c r="M174" i="23"/>
  <c r="M205" i="23"/>
  <c r="M200" i="23"/>
  <c r="M192" i="23"/>
  <c r="M184" i="23"/>
  <c r="M176" i="23"/>
  <c r="M168" i="23"/>
  <c r="M197" i="23"/>
  <c r="M189" i="23"/>
  <c r="M181" i="23"/>
  <c r="M173" i="23"/>
  <c r="M209" i="23"/>
  <c r="M202" i="23"/>
  <c r="M194" i="23"/>
  <c r="M186" i="23"/>
  <c r="M178" i="23"/>
  <c r="M170" i="23"/>
  <c r="M199" i="23"/>
  <c r="M191" i="23"/>
  <c r="M183" i="23"/>
  <c r="M175" i="23"/>
  <c r="M167" i="23"/>
  <c r="M196" i="23"/>
  <c r="M188" i="23"/>
  <c r="M180" i="23"/>
  <c r="M201" i="23"/>
  <c r="M185" i="23"/>
  <c r="M203" i="23"/>
  <c r="M187" i="23"/>
  <c r="M193" i="23"/>
  <c r="M171" i="23"/>
  <c r="M172" i="23"/>
  <c r="M195" i="23"/>
  <c r="M179" i="23"/>
  <c r="M169" i="23"/>
  <c r="M177" i="23"/>
  <c r="S131" i="23"/>
  <c r="O102" i="72"/>
  <c r="S132" i="29"/>
  <c r="S130" i="35"/>
  <c r="S126" i="35"/>
  <c r="K37" i="37" s="1"/>
  <c r="I59" i="37" s="1"/>
  <c r="S133" i="41"/>
  <c r="Q113" i="72"/>
  <c r="S133" i="44"/>
  <c r="S127" i="53"/>
  <c r="S128" i="35"/>
  <c r="L106" i="72"/>
  <c r="S129" i="47"/>
  <c r="M163" i="59"/>
  <c r="M172" i="59"/>
  <c r="Q168" i="59"/>
  <c r="S168" i="59" s="1"/>
  <c r="T168" i="59" s="1"/>
  <c r="J110" i="70"/>
  <c r="J139" i="70" s="1"/>
  <c r="M55" i="70"/>
  <c r="M55" i="72"/>
  <c r="L40" i="41" s="1"/>
  <c r="M214" i="29"/>
  <c r="N16" i="59" s="1"/>
  <c r="M25" i="72"/>
  <c r="M83" i="59"/>
  <c r="M146" i="72" s="1"/>
  <c r="M25" i="70"/>
  <c r="I267" i="11"/>
  <c r="J41" i="59" s="1"/>
  <c r="J281" i="59" s="1"/>
  <c r="M72" i="59"/>
  <c r="M135" i="72" s="1"/>
  <c r="L41" i="47" s="1"/>
  <c r="M14" i="70"/>
  <c r="M14" i="72"/>
  <c r="L39" i="47" s="1"/>
  <c r="L214" i="23"/>
  <c r="M15" i="59" s="1"/>
  <c r="S129" i="23"/>
  <c r="S125" i="38"/>
  <c r="J37" i="40" s="1"/>
  <c r="H59" i="40" s="1"/>
  <c r="M264" i="44"/>
  <c r="M256" i="44"/>
  <c r="M261" i="44"/>
  <c r="M253" i="44"/>
  <c r="M258" i="44"/>
  <c r="M260" i="44"/>
  <c r="M265" i="44"/>
  <c r="M257" i="44"/>
  <c r="M262" i="44"/>
  <c r="M254" i="44"/>
  <c r="M250" i="44"/>
  <c r="M242" i="44"/>
  <c r="M234" i="44"/>
  <c r="M226" i="44"/>
  <c r="M247" i="44"/>
  <c r="M239" i="44"/>
  <c r="M231" i="44"/>
  <c r="M223" i="44"/>
  <c r="M252" i="44"/>
  <c r="M244" i="44"/>
  <c r="M236" i="44"/>
  <c r="M228" i="44"/>
  <c r="M220" i="44"/>
  <c r="M255" i="44"/>
  <c r="M249" i="44"/>
  <c r="M241" i="44"/>
  <c r="M233" i="44"/>
  <c r="M225" i="44"/>
  <c r="M246" i="44"/>
  <c r="M238" i="44"/>
  <c r="M230" i="44"/>
  <c r="M222" i="44"/>
  <c r="M259" i="44"/>
  <c r="M251" i="44"/>
  <c r="M243" i="44"/>
  <c r="M235" i="44"/>
  <c r="M227" i="44"/>
  <c r="M248" i="44"/>
  <c r="M240" i="44"/>
  <c r="M232" i="44"/>
  <c r="M224" i="44"/>
  <c r="M221" i="44"/>
  <c r="M245" i="44"/>
  <c r="M263" i="44"/>
  <c r="M237" i="44"/>
  <c r="M229" i="44"/>
  <c r="M208" i="44"/>
  <c r="M200" i="44"/>
  <c r="M192" i="44"/>
  <c r="M184" i="44"/>
  <c r="M176" i="44"/>
  <c r="M168" i="44"/>
  <c r="M205" i="44"/>
  <c r="M197" i="44"/>
  <c r="M189" i="44"/>
  <c r="M181" i="44"/>
  <c r="M173" i="44"/>
  <c r="M202" i="44"/>
  <c r="M194" i="44"/>
  <c r="M186" i="44"/>
  <c r="M178" i="44"/>
  <c r="M170" i="44"/>
  <c r="M207" i="44"/>
  <c r="M199" i="44"/>
  <c r="M191" i="44"/>
  <c r="M183" i="44"/>
  <c r="M175" i="44"/>
  <c r="M167" i="44"/>
  <c r="M204" i="44"/>
  <c r="M196" i="44"/>
  <c r="M188" i="44"/>
  <c r="M180" i="44"/>
  <c r="M172" i="44"/>
  <c r="M206" i="44"/>
  <c r="M198" i="44"/>
  <c r="M190" i="44"/>
  <c r="M182" i="44"/>
  <c r="M174" i="44"/>
  <c r="M203" i="44"/>
  <c r="M187" i="44"/>
  <c r="M171" i="44"/>
  <c r="M195" i="44"/>
  <c r="M179" i="44"/>
  <c r="M209" i="44"/>
  <c r="M193" i="44"/>
  <c r="M177" i="44"/>
  <c r="M201" i="44"/>
  <c r="M185" i="44"/>
  <c r="M169" i="44"/>
  <c r="L34" i="70"/>
  <c r="L34" i="72"/>
  <c r="K40" i="44" s="1"/>
  <c r="S132" i="23"/>
  <c r="S131" i="35"/>
  <c r="O168" i="59"/>
  <c r="L115" i="23"/>
  <c r="L49" i="23" s="1"/>
  <c r="M115" i="26"/>
  <c r="M49" i="26" s="1"/>
  <c r="N262" i="29"/>
  <c r="N254" i="29"/>
  <c r="N246" i="29"/>
  <c r="N238" i="29"/>
  <c r="N230" i="29"/>
  <c r="N222" i="29"/>
  <c r="N259" i="29"/>
  <c r="N251" i="29"/>
  <c r="N243" i="29"/>
  <c r="N235" i="29"/>
  <c r="N227" i="29"/>
  <c r="N264" i="29"/>
  <c r="N256" i="29"/>
  <c r="N248" i="29"/>
  <c r="N240" i="29"/>
  <c r="N232" i="29"/>
  <c r="N224" i="29"/>
  <c r="N261" i="29"/>
  <c r="N253" i="29"/>
  <c r="N245" i="29"/>
  <c r="N237" i="29"/>
  <c r="N229" i="29"/>
  <c r="N221" i="29"/>
  <c r="N258" i="29"/>
  <c r="N250" i="29"/>
  <c r="N242" i="29"/>
  <c r="N234" i="29"/>
  <c r="N226" i="29"/>
  <c r="N241" i="29"/>
  <c r="N239" i="29"/>
  <c r="N244" i="29"/>
  <c r="N249" i="29"/>
  <c r="N247" i="29"/>
  <c r="N252" i="29"/>
  <c r="N220" i="29"/>
  <c r="N257" i="29"/>
  <c r="N255" i="29"/>
  <c r="N225" i="29"/>
  <c r="N223" i="29"/>
  <c r="N260" i="29"/>
  <c r="N228" i="29"/>
  <c r="N265" i="29"/>
  <c r="N263" i="29"/>
  <c r="N233" i="29"/>
  <c r="N231" i="29"/>
  <c r="N236" i="29"/>
  <c r="N205" i="29"/>
  <c r="N197" i="29"/>
  <c r="N189" i="29"/>
  <c r="N181" i="29"/>
  <c r="N173" i="29"/>
  <c r="N207" i="29"/>
  <c r="N199" i="29"/>
  <c r="N191" i="29"/>
  <c r="N183" i="29"/>
  <c r="N175" i="29"/>
  <c r="N167" i="29"/>
  <c r="N204" i="29"/>
  <c r="N196" i="29"/>
  <c r="N188" i="29"/>
  <c r="N209" i="29"/>
  <c r="N201" i="29"/>
  <c r="N193" i="29"/>
  <c r="N185" i="29"/>
  <c r="N177" i="29"/>
  <c r="N169" i="29"/>
  <c r="N206" i="29"/>
  <c r="N198" i="29"/>
  <c r="N190" i="29"/>
  <c r="N182" i="29"/>
  <c r="N174" i="29"/>
  <c r="N202" i="29"/>
  <c r="N195" i="29"/>
  <c r="N192" i="29"/>
  <c r="N180" i="29"/>
  <c r="N172" i="29"/>
  <c r="N203" i="29"/>
  <c r="N200" i="29"/>
  <c r="N184" i="29"/>
  <c r="N176" i="29"/>
  <c r="N168" i="29"/>
  <c r="N208" i="29"/>
  <c r="N194" i="29"/>
  <c r="N186" i="29"/>
  <c r="N178" i="29"/>
  <c r="N170" i="29"/>
  <c r="N179" i="29"/>
  <c r="N171" i="29"/>
  <c r="N187" i="29"/>
  <c r="S127" i="35"/>
  <c r="S131" i="38"/>
  <c r="S130" i="41"/>
  <c r="N113" i="72"/>
  <c r="S125" i="44"/>
  <c r="J37" i="46" s="1"/>
  <c r="H59" i="46" s="1"/>
  <c r="S125" i="47"/>
  <c r="J37" i="49" s="1"/>
  <c r="H59" i="49" s="1"/>
  <c r="S131" i="47"/>
  <c r="N84" i="47"/>
  <c r="N87" i="47"/>
  <c r="N85" i="47"/>
  <c r="N86" i="47"/>
  <c r="N83" i="47"/>
  <c r="N78" i="47"/>
  <c r="N81" i="47"/>
  <c r="N79" i="47"/>
  <c r="N80" i="47"/>
  <c r="N82" i="47"/>
  <c r="N260" i="47"/>
  <c r="N252" i="47"/>
  <c r="N244" i="47"/>
  <c r="N236" i="47"/>
  <c r="N265" i="47"/>
  <c r="N257" i="47"/>
  <c r="N249" i="47"/>
  <c r="N241" i="47"/>
  <c r="N259" i="47"/>
  <c r="N251" i="47"/>
  <c r="N243" i="47"/>
  <c r="N235" i="47"/>
  <c r="N264" i="47"/>
  <c r="N256" i="47"/>
  <c r="N248" i="47"/>
  <c r="N240" i="47"/>
  <c r="N261" i="47"/>
  <c r="N253" i="47"/>
  <c r="N245" i="47"/>
  <c r="N237" i="47"/>
  <c r="N254" i="47"/>
  <c r="N242" i="47"/>
  <c r="N239" i="47"/>
  <c r="N233" i="47"/>
  <c r="N225" i="47"/>
  <c r="N230" i="47"/>
  <c r="N222" i="47"/>
  <c r="N262" i="47"/>
  <c r="N250" i="47"/>
  <c r="N247" i="47"/>
  <c r="N227" i="47"/>
  <c r="N232" i="47"/>
  <c r="N224" i="47"/>
  <c r="N258" i="47"/>
  <c r="N255" i="47"/>
  <c r="N238" i="47"/>
  <c r="N229" i="47"/>
  <c r="N221" i="47"/>
  <c r="N226" i="47"/>
  <c r="N263" i="47"/>
  <c r="N246" i="47"/>
  <c r="N234" i="47"/>
  <c r="N231" i="47"/>
  <c r="N223" i="47"/>
  <c r="N220" i="47"/>
  <c r="N228" i="47"/>
  <c r="N208" i="47"/>
  <c r="N200" i="47"/>
  <c r="N192" i="47"/>
  <c r="N184" i="47"/>
  <c r="N176" i="47"/>
  <c r="N168" i="47"/>
  <c r="N205" i="47"/>
  <c r="N197" i="47"/>
  <c r="N189" i="47"/>
  <c r="N181" i="47"/>
  <c r="N173" i="47"/>
  <c r="N202" i="47"/>
  <c r="N194" i="47"/>
  <c r="N186" i="47"/>
  <c r="N178" i="47"/>
  <c r="N170" i="47"/>
  <c r="N207" i="47"/>
  <c r="N199" i="47"/>
  <c r="N191" i="47"/>
  <c r="N183" i="47"/>
  <c r="N175" i="47"/>
  <c r="N167" i="47"/>
  <c r="N204" i="47"/>
  <c r="N196" i="47"/>
  <c r="N188" i="47"/>
  <c r="N180" i="47"/>
  <c r="N172" i="47"/>
  <c r="N209" i="47"/>
  <c r="N201" i="47"/>
  <c r="N193" i="47"/>
  <c r="N185" i="47"/>
  <c r="N177" i="47"/>
  <c r="N169" i="47"/>
  <c r="N206" i="47"/>
  <c r="N198" i="47"/>
  <c r="N190" i="47"/>
  <c r="N182" i="47"/>
  <c r="N174" i="47"/>
  <c r="N203" i="47"/>
  <c r="N171" i="47"/>
  <c r="N195" i="47"/>
  <c r="N187" i="47"/>
  <c r="N179" i="47"/>
  <c r="S126" i="50"/>
  <c r="K37" i="52" s="1"/>
  <c r="I59" i="52" s="1"/>
  <c r="S128" i="50"/>
  <c r="S131" i="53"/>
  <c r="O174" i="59"/>
  <c r="N81" i="53"/>
  <c r="N80" i="53"/>
  <c r="N84" i="53"/>
  <c r="N87" i="53"/>
  <c r="N82" i="53"/>
  <c r="N79" i="53"/>
  <c r="N85" i="53"/>
  <c r="N88" i="53"/>
  <c r="N83" i="53"/>
  <c r="N78" i="53"/>
  <c r="N86" i="53"/>
  <c r="N262" i="53"/>
  <c r="N254" i="53"/>
  <c r="N246" i="53"/>
  <c r="N238" i="53"/>
  <c r="N230" i="53"/>
  <c r="N222" i="53"/>
  <c r="N259" i="53"/>
  <c r="N251" i="53"/>
  <c r="N243" i="53"/>
  <c r="N235" i="53"/>
  <c r="N227" i="53"/>
  <c r="N264" i="53"/>
  <c r="N256" i="53"/>
  <c r="N248" i="53"/>
  <c r="N240" i="53"/>
  <c r="N232" i="53"/>
  <c r="N224" i="53"/>
  <c r="N261" i="53"/>
  <c r="N253" i="53"/>
  <c r="N245" i="53"/>
  <c r="N237" i="53"/>
  <c r="N229" i="53"/>
  <c r="N221" i="53"/>
  <c r="N258" i="53"/>
  <c r="N250" i="53"/>
  <c r="N242" i="53"/>
  <c r="N234" i="53"/>
  <c r="N226" i="53"/>
  <c r="N263" i="53"/>
  <c r="N255" i="53"/>
  <c r="N247" i="53"/>
  <c r="N239" i="53"/>
  <c r="N231" i="53"/>
  <c r="N223" i="53"/>
  <c r="N260" i="53"/>
  <c r="N252" i="53"/>
  <c r="N244" i="53"/>
  <c r="N236" i="53"/>
  <c r="N228" i="53"/>
  <c r="N220" i="53"/>
  <c r="N241" i="53"/>
  <c r="N265" i="53"/>
  <c r="N233" i="53"/>
  <c r="N257" i="53"/>
  <c r="N225" i="53"/>
  <c r="N249" i="53"/>
  <c r="N206" i="53"/>
  <c r="N198" i="53"/>
  <c r="N190" i="53"/>
  <c r="N182" i="53"/>
  <c r="N174" i="53"/>
  <c r="N203" i="53"/>
  <c r="N195" i="53"/>
  <c r="N187" i="53"/>
  <c r="N179" i="53"/>
  <c r="N171" i="53"/>
  <c r="N208" i="53"/>
  <c r="N200" i="53"/>
  <c r="N192" i="53"/>
  <c r="N184" i="53"/>
  <c r="N176" i="53"/>
  <c r="N168" i="53"/>
  <c r="N205" i="53"/>
  <c r="N197" i="53"/>
  <c r="N189" i="53"/>
  <c r="N181" i="53"/>
  <c r="N173" i="53"/>
  <c r="N202" i="53"/>
  <c r="N194" i="53"/>
  <c r="N186" i="53"/>
  <c r="N178" i="53"/>
  <c r="N170" i="53"/>
  <c r="N207" i="53"/>
  <c r="N199" i="53"/>
  <c r="N191" i="53"/>
  <c r="N183" i="53"/>
  <c r="N175" i="53"/>
  <c r="N167" i="53"/>
  <c r="N204" i="53"/>
  <c r="N196" i="53"/>
  <c r="N188" i="53"/>
  <c r="N180" i="53"/>
  <c r="N172" i="53"/>
  <c r="N209" i="53"/>
  <c r="N177" i="53"/>
  <c r="N201" i="53"/>
  <c r="N169" i="53"/>
  <c r="N193" i="53"/>
  <c r="N185" i="53"/>
  <c r="P106" i="70"/>
  <c r="I267" i="14"/>
  <c r="J42" i="59" s="1"/>
  <c r="J282" i="59" s="1"/>
  <c r="L15" i="70"/>
  <c r="L15" i="72"/>
  <c r="K39" i="23" s="1"/>
  <c r="L73" i="59"/>
  <c r="L136" i="72" s="1"/>
  <c r="M267" i="29"/>
  <c r="N45" i="59" s="1"/>
  <c r="M84" i="59"/>
  <c r="M147" i="72" s="1"/>
  <c r="L41" i="41" s="1"/>
  <c r="J263" i="17"/>
  <c r="J260" i="17"/>
  <c r="J265" i="17"/>
  <c r="J257" i="17"/>
  <c r="J262" i="17"/>
  <c r="J259" i="17"/>
  <c r="J258" i="17"/>
  <c r="J256" i="17"/>
  <c r="J253" i="17"/>
  <c r="J245" i="17"/>
  <c r="J237" i="17"/>
  <c r="J229" i="17"/>
  <c r="J221" i="17"/>
  <c r="J261" i="17"/>
  <c r="J250" i="17"/>
  <c r="J242" i="17"/>
  <c r="J234" i="17"/>
  <c r="J226" i="17"/>
  <c r="J264" i="17"/>
  <c r="J255" i="17"/>
  <c r="J247" i="17"/>
  <c r="J239" i="17"/>
  <c r="J231" i="17"/>
  <c r="J223" i="17"/>
  <c r="J252" i="17"/>
  <c r="J244" i="17"/>
  <c r="J236" i="17"/>
  <c r="J228" i="17"/>
  <c r="J220" i="17"/>
  <c r="J249" i="17"/>
  <c r="J241" i="17"/>
  <c r="J233" i="17"/>
  <c r="J225" i="17"/>
  <c r="J254" i="17"/>
  <c r="J246" i="17"/>
  <c r="J238" i="17"/>
  <c r="J230" i="17"/>
  <c r="J222" i="17"/>
  <c r="J251" i="17"/>
  <c r="J243" i="17"/>
  <c r="J235" i="17"/>
  <c r="J227" i="17"/>
  <c r="J224" i="17"/>
  <c r="J248" i="17"/>
  <c r="J240" i="17"/>
  <c r="J232" i="17"/>
  <c r="J205" i="17"/>
  <c r="J197" i="17"/>
  <c r="J189" i="17"/>
  <c r="J181" i="17"/>
  <c r="J173" i="17"/>
  <c r="J207" i="17"/>
  <c r="J209" i="17"/>
  <c r="J201" i="17"/>
  <c r="J193" i="17"/>
  <c r="J185" i="17"/>
  <c r="J206" i="17"/>
  <c r="J198" i="17"/>
  <c r="J190" i="17"/>
  <c r="J182" i="17"/>
  <c r="J174" i="17"/>
  <c r="J208" i="17"/>
  <c r="J200" i="17"/>
  <c r="J188" i="17"/>
  <c r="J179" i="17"/>
  <c r="J177" i="17"/>
  <c r="J176" i="17"/>
  <c r="J175" i="17"/>
  <c r="J204" i="17"/>
  <c r="J191" i="17"/>
  <c r="J192" i="17"/>
  <c r="J180" i="17"/>
  <c r="J194" i="17"/>
  <c r="J183" i="17"/>
  <c r="J172" i="17"/>
  <c r="J171" i="17"/>
  <c r="J170" i="17"/>
  <c r="J202" i="17"/>
  <c r="J195" i="17"/>
  <c r="J184" i="17"/>
  <c r="J169" i="17"/>
  <c r="J168" i="17"/>
  <c r="J167" i="17"/>
  <c r="J203" i="17"/>
  <c r="J196" i="17"/>
  <c r="J187" i="17"/>
  <c r="J186" i="17"/>
  <c r="J178" i="17"/>
  <c r="J199" i="17"/>
  <c r="J90" i="17"/>
  <c r="J89" i="17"/>
  <c r="J82" i="17"/>
  <c r="J88" i="17"/>
  <c r="J79" i="17"/>
  <c r="J91" i="17"/>
  <c r="J87" i="17"/>
  <c r="J81" i="17"/>
  <c r="J86" i="17"/>
  <c r="J71" i="17"/>
  <c r="J72" i="17"/>
  <c r="J73" i="17"/>
  <c r="J70" i="17"/>
  <c r="J83" i="17"/>
  <c r="J85" i="17"/>
  <c r="J69" i="17"/>
  <c r="J74" i="17"/>
  <c r="J75" i="17"/>
  <c r="J76" i="17"/>
  <c r="J77" i="17"/>
  <c r="J78" i="17"/>
  <c r="J80" i="17"/>
  <c r="J84" i="17"/>
  <c r="M214" i="53"/>
  <c r="N25" i="59" s="1"/>
  <c r="I67" i="59"/>
  <c r="M267" i="26"/>
  <c r="N52" i="59" s="1"/>
  <c r="S133" i="38"/>
  <c r="Q97" i="72"/>
  <c r="S128" i="53"/>
  <c r="L112" i="72"/>
  <c r="S127" i="23"/>
  <c r="S127" i="29"/>
  <c r="K165" i="59"/>
  <c r="S130" i="23"/>
  <c r="N102" i="72"/>
  <c r="S128" i="23"/>
  <c r="K102" i="70"/>
  <c r="S126" i="29"/>
  <c r="K37" i="31" s="1"/>
  <c r="I59" i="31" s="1"/>
  <c r="S130" i="29"/>
  <c r="M103" i="70"/>
  <c r="M261" i="35"/>
  <c r="M253" i="35"/>
  <c r="M245" i="35"/>
  <c r="M237" i="35"/>
  <c r="M229" i="35"/>
  <c r="M221" i="35"/>
  <c r="M258" i="35"/>
  <c r="M250" i="35"/>
  <c r="M242" i="35"/>
  <c r="M234" i="35"/>
  <c r="M226" i="35"/>
  <c r="M263" i="35"/>
  <c r="M255" i="35"/>
  <c r="M247" i="35"/>
  <c r="M239" i="35"/>
  <c r="M231" i="35"/>
  <c r="M223" i="35"/>
  <c r="M260" i="35"/>
  <c r="M252" i="35"/>
  <c r="M244" i="35"/>
  <c r="M236" i="35"/>
  <c r="M228" i="35"/>
  <c r="M220" i="35"/>
  <c r="M265" i="35"/>
  <c r="M257" i="35"/>
  <c r="M249" i="35"/>
  <c r="M241" i="35"/>
  <c r="M233" i="35"/>
  <c r="M225" i="35"/>
  <c r="M262" i="35"/>
  <c r="M254" i="35"/>
  <c r="M246" i="35"/>
  <c r="M238" i="35"/>
  <c r="M230" i="35"/>
  <c r="M222" i="35"/>
  <c r="M259" i="35"/>
  <c r="M264" i="35"/>
  <c r="M240" i="35"/>
  <c r="M224" i="35"/>
  <c r="M251" i="35"/>
  <c r="M235" i="35"/>
  <c r="M256" i="35"/>
  <c r="M248" i="35"/>
  <c r="M232" i="35"/>
  <c r="M243" i="35"/>
  <c r="M227" i="35"/>
  <c r="M207" i="35"/>
  <c r="M199" i="35"/>
  <c r="M191" i="35"/>
  <c r="M204" i="35"/>
  <c r="M196" i="35"/>
  <c r="M188" i="35"/>
  <c r="M209" i="35"/>
  <c r="M201" i="35"/>
  <c r="M193" i="35"/>
  <c r="M203" i="35"/>
  <c r="M195" i="35"/>
  <c r="M208" i="35"/>
  <c r="M200" i="35"/>
  <c r="M192" i="35"/>
  <c r="M205" i="35"/>
  <c r="M197" i="35"/>
  <c r="M189" i="35"/>
  <c r="M180" i="35"/>
  <c r="M172" i="35"/>
  <c r="M194" i="35"/>
  <c r="M185" i="35"/>
  <c r="M177" i="35"/>
  <c r="M169" i="35"/>
  <c r="M182" i="35"/>
  <c r="M174" i="35"/>
  <c r="M198" i="35"/>
  <c r="M187" i="35"/>
  <c r="M179" i="35"/>
  <c r="M171" i="35"/>
  <c r="M184" i="35"/>
  <c r="M176" i="35"/>
  <c r="M168" i="35"/>
  <c r="M202" i="35"/>
  <c r="M181" i="35"/>
  <c r="M173" i="35"/>
  <c r="M186" i="35"/>
  <c r="M178" i="35"/>
  <c r="M170" i="35"/>
  <c r="M206" i="35"/>
  <c r="M183" i="35"/>
  <c r="M175" i="35"/>
  <c r="M190" i="35"/>
  <c r="M167" i="35"/>
  <c r="S132" i="41"/>
  <c r="P175" i="59"/>
  <c r="M115" i="41"/>
  <c r="M49" i="41" s="1"/>
  <c r="S131" i="44"/>
  <c r="S128" i="47"/>
  <c r="K101" i="70"/>
  <c r="K130" i="70" s="1"/>
  <c r="M115" i="47"/>
  <c r="M49" i="47" s="1"/>
  <c r="N260" i="50"/>
  <c r="N252" i="50"/>
  <c r="N265" i="50"/>
  <c r="N257" i="50"/>
  <c r="N249" i="50"/>
  <c r="N262" i="50"/>
  <c r="N254" i="50"/>
  <c r="N246" i="50"/>
  <c r="N259" i="50"/>
  <c r="N251" i="50"/>
  <c r="N264" i="50"/>
  <c r="N256" i="50"/>
  <c r="N248" i="50"/>
  <c r="N261" i="50"/>
  <c r="N253" i="50"/>
  <c r="N258" i="50"/>
  <c r="N250" i="50"/>
  <c r="N255" i="50"/>
  <c r="N238" i="50"/>
  <c r="N230" i="50"/>
  <c r="N222" i="50"/>
  <c r="N243" i="50"/>
  <c r="N235" i="50"/>
  <c r="N227" i="50"/>
  <c r="N247" i="50"/>
  <c r="N240" i="50"/>
  <c r="N232" i="50"/>
  <c r="N224" i="50"/>
  <c r="N245" i="50"/>
  <c r="N237" i="50"/>
  <c r="N229" i="50"/>
  <c r="N221" i="50"/>
  <c r="N242" i="50"/>
  <c r="N234" i="50"/>
  <c r="N226" i="50"/>
  <c r="N239" i="50"/>
  <c r="N231" i="50"/>
  <c r="N223" i="50"/>
  <c r="N263" i="50"/>
  <c r="N244" i="50"/>
  <c r="N236" i="50"/>
  <c r="N241" i="50"/>
  <c r="N233" i="50"/>
  <c r="N228" i="50"/>
  <c r="N225" i="50"/>
  <c r="N220" i="50"/>
  <c r="N204" i="50"/>
  <c r="N196" i="50"/>
  <c r="N188" i="50"/>
  <c r="N180" i="50"/>
  <c r="N209" i="50"/>
  <c r="N201" i="50"/>
  <c r="N193" i="50"/>
  <c r="N185" i="50"/>
  <c r="N177" i="50"/>
  <c r="N206" i="50"/>
  <c r="N198" i="50"/>
  <c r="N190" i="50"/>
  <c r="N182" i="50"/>
  <c r="N208" i="50"/>
  <c r="N200" i="50"/>
  <c r="N192" i="50"/>
  <c r="N184" i="50"/>
  <c r="N176" i="50"/>
  <c r="N205" i="50"/>
  <c r="N197" i="50"/>
  <c r="N189" i="50"/>
  <c r="N181" i="50"/>
  <c r="N202" i="50"/>
  <c r="N194" i="50"/>
  <c r="N186" i="50"/>
  <c r="N178" i="50"/>
  <c r="N195" i="50"/>
  <c r="N179" i="50"/>
  <c r="N170" i="50"/>
  <c r="N167" i="50"/>
  <c r="N199" i="50"/>
  <c r="N183" i="50"/>
  <c r="N172" i="50"/>
  <c r="N169" i="50"/>
  <c r="N203" i="50"/>
  <c r="N187" i="50"/>
  <c r="N174" i="50"/>
  <c r="N171" i="50"/>
  <c r="N191" i="50"/>
  <c r="N175" i="50"/>
  <c r="N168" i="50"/>
  <c r="N207" i="50"/>
  <c r="N173" i="50"/>
  <c r="S127" i="50"/>
  <c r="K173" i="59"/>
  <c r="S133" i="53"/>
  <c r="L267" i="8"/>
  <c r="L63" i="59"/>
  <c r="L126" i="72" s="1"/>
  <c r="K41" i="44" s="1"/>
  <c r="L82" i="70"/>
  <c r="L48" i="72"/>
  <c r="K40" i="35" s="1"/>
  <c r="L48" i="70"/>
  <c r="S124" i="17"/>
  <c r="I37" i="19" s="1"/>
  <c r="G59" i="19" s="1"/>
  <c r="H158" i="59"/>
  <c r="L44" i="70"/>
  <c r="L44" i="72"/>
  <c r="K40" i="23" s="1"/>
  <c r="M267" i="41"/>
  <c r="N55" i="59" s="1"/>
  <c r="N295" i="59" s="1"/>
  <c r="Q103" i="72"/>
  <c r="I214" i="17"/>
  <c r="J9" i="59" s="1"/>
  <c r="K77" i="70"/>
  <c r="I41" i="70"/>
  <c r="I41" i="72"/>
  <c r="H40" i="11" s="1"/>
  <c r="L267" i="44"/>
  <c r="M34" i="59" s="1"/>
  <c r="S129" i="20"/>
  <c r="M167" i="59"/>
  <c r="S130" i="20"/>
  <c r="N167" i="59"/>
  <c r="S127" i="20"/>
  <c r="K167" i="59"/>
  <c r="S126" i="20"/>
  <c r="K37" i="22" s="1"/>
  <c r="I59" i="22" s="1"/>
  <c r="J167" i="59"/>
  <c r="S125" i="20"/>
  <c r="J37" i="22" s="1"/>
  <c r="H59" i="22" s="1"/>
  <c r="I167" i="59"/>
  <c r="S128" i="20"/>
  <c r="L167" i="59"/>
  <c r="M214" i="1"/>
  <c r="N4" i="59" s="1"/>
  <c r="M4" i="72"/>
  <c r="M4" i="70"/>
  <c r="M62" i="59"/>
  <c r="M115" i="1"/>
  <c r="M49" i="1" s="1"/>
  <c r="M33" i="70"/>
  <c r="M33" i="72"/>
  <c r="M267" i="1"/>
  <c r="N33" i="59" s="1"/>
  <c r="N82" i="1"/>
  <c r="N86" i="1"/>
  <c r="N85" i="1"/>
  <c r="N83" i="1"/>
  <c r="N87" i="1"/>
  <c r="N88" i="1"/>
  <c r="N84" i="1"/>
  <c r="N223" i="1"/>
  <c r="N231" i="1"/>
  <c r="N239" i="1"/>
  <c r="N247" i="1"/>
  <c r="N255" i="1"/>
  <c r="N263" i="1"/>
  <c r="N194" i="1"/>
  <c r="N202" i="1"/>
  <c r="N172" i="1"/>
  <c r="N180" i="1"/>
  <c r="N226" i="1"/>
  <c r="N234" i="1"/>
  <c r="N242" i="1"/>
  <c r="N250" i="1"/>
  <c r="N258" i="1"/>
  <c r="N197" i="1"/>
  <c r="N205" i="1"/>
  <c r="N171" i="1"/>
  <c r="N179" i="1"/>
  <c r="N221" i="1"/>
  <c r="N229" i="1"/>
  <c r="N237" i="1"/>
  <c r="N245" i="1"/>
  <c r="N253" i="1"/>
  <c r="N261" i="1"/>
  <c r="N200" i="1"/>
  <c r="N208" i="1"/>
  <c r="N170" i="1"/>
  <c r="N178" i="1"/>
  <c r="N224" i="1"/>
  <c r="N232" i="1"/>
  <c r="N240" i="1"/>
  <c r="N248" i="1"/>
  <c r="N256" i="1"/>
  <c r="N264" i="1"/>
  <c r="N195" i="1"/>
  <c r="N203" i="1"/>
  <c r="N169" i="1"/>
  <c r="N177" i="1"/>
  <c r="N227" i="1"/>
  <c r="N235" i="1"/>
  <c r="N243" i="1"/>
  <c r="N251" i="1"/>
  <c r="N259" i="1"/>
  <c r="N198" i="1"/>
  <c r="N206" i="1"/>
  <c r="N168" i="1"/>
  <c r="N176" i="1"/>
  <c r="N222" i="1"/>
  <c r="N230" i="1"/>
  <c r="N238" i="1"/>
  <c r="N246" i="1"/>
  <c r="N254" i="1"/>
  <c r="N262" i="1"/>
  <c r="N201" i="1"/>
  <c r="N209" i="1"/>
  <c r="N167" i="1"/>
  <c r="N175" i="1"/>
  <c r="N225" i="1"/>
  <c r="N233" i="1"/>
  <c r="N241" i="1"/>
  <c r="N249" i="1"/>
  <c r="N257" i="1"/>
  <c r="N265" i="1"/>
  <c r="N196" i="1"/>
  <c r="N204" i="1"/>
  <c r="N174" i="1"/>
  <c r="N182" i="1"/>
  <c r="N199" i="1"/>
  <c r="N184" i="1"/>
  <c r="N192" i="1"/>
  <c r="N207" i="1"/>
  <c r="N183" i="1"/>
  <c r="N191" i="1"/>
  <c r="N190" i="1"/>
  <c r="N185" i="1"/>
  <c r="N193" i="1"/>
  <c r="N228" i="1"/>
  <c r="N189" i="1"/>
  <c r="N236" i="1"/>
  <c r="N188" i="1"/>
  <c r="N260" i="1"/>
  <c r="N244" i="1"/>
  <c r="N181" i="1"/>
  <c r="N187" i="1"/>
  <c r="N252" i="1"/>
  <c r="N173" i="1"/>
  <c r="N186" i="1"/>
  <c r="N220" i="1"/>
  <c r="N72" i="1"/>
  <c r="N80" i="1"/>
  <c r="N77" i="1"/>
  <c r="N75" i="1"/>
  <c r="N79" i="1"/>
  <c r="N76" i="1"/>
  <c r="N78" i="1"/>
  <c r="N73" i="1"/>
  <c r="N74" i="1"/>
  <c r="N81" i="1"/>
  <c r="N70" i="1"/>
  <c r="N71" i="1"/>
  <c r="AI216" i="20"/>
  <c r="O272" i="20" s="1"/>
  <c r="O56" i="20" s="1"/>
  <c r="N106" i="72"/>
  <c r="M106" i="70"/>
  <c r="N168" i="59"/>
  <c r="P113" i="70"/>
  <c r="Q92" i="72"/>
  <c r="P92" i="70"/>
  <c r="Q154" i="59"/>
  <c r="N92" i="72"/>
  <c r="M92" i="70"/>
  <c r="N154" i="59"/>
  <c r="K106" i="72"/>
  <c r="J106" i="70"/>
  <c r="J135" i="70" s="1"/>
  <c r="K168" i="59"/>
  <c r="O97" i="72"/>
  <c r="N97" i="70"/>
  <c r="O159" i="59"/>
  <c r="M113" i="70"/>
  <c r="N175" i="59"/>
  <c r="L111" i="72"/>
  <c r="K111" i="70"/>
  <c r="L173" i="59"/>
  <c r="I106" i="72"/>
  <c r="H106" i="70"/>
  <c r="H135" i="70" s="1"/>
  <c r="I168" i="59"/>
  <c r="O92" i="72"/>
  <c r="N92" i="70"/>
  <c r="O154" i="59"/>
  <c r="K111" i="72"/>
  <c r="K92" i="72"/>
  <c r="J92" i="70"/>
  <c r="K154" i="59"/>
  <c r="I113" i="72"/>
  <c r="H113" i="70"/>
  <c r="H142" i="70" s="1"/>
  <c r="I175" i="59"/>
  <c r="J110" i="72"/>
  <c r="I110" i="70"/>
  <c r="I139" i="70" s="1"/>
  <c r="J172" i="59"/>
  <c r="L113" i="70"/>
  <c r="L92" i="72"/>
  <c r="K92" i="70"/>
  <c r="L154" i="59"/>
  <c r="I111" i="72"/>
  <c r="H111" i="70"/>
  <c r="H140" i="70" s="1"/>
  <c r="I173" i="59"/>
  <c r="J97" i="72"/>
  <c r="I97" i="70"/>
  <c r="I126" i="70" s="1"/>
  <c r="J159" i="59"/>
  <c r="J92" i="72"/>
  <c r="I92" i="70"/>
  <c r="J154" i="59"/>
  <c r="M102" i="72"/>
  <c r="L102" i="70"/>
  <c r="M164" i="59"/>
  <c r="K102" i="72"/>
  <c r="J102" i="70"/>
  <c r="J131" i="70" s="1"/>
  <c r="K164" i="59"/>
  <c r="P102" i="72"/>
  <c r="O102" i="70"/>
  <c r="P164" i="59"/>
  <c r="N106" i="70"/>
  <c r="L97" i="72"/>
  <c r="K97" i="70"/>
  <c r="K126" i="70" s="1"/>
  <c r="L159" i="59"/>
  <c r="N97" i="72"/>
  <c r="M97" i="70"/>
  <c r="N159" i="59"/>
  <c r="M154" i="59"/>
  <c r="N111" i="72"/>
  <c r="M111" i="70"/>
  <c r="N173" i="59"/>
  <c r="J113" i="72"/>
  <c r="I113" i="70"/>
  <c r="I142" i="70" s="1"/>
  <c r="J175" i="59"/>
  <c r="M115" i="53"/>
  <c r="M49" i="53" s="1"/>
  <c r="L115" i="8"/>
  <c r="L49" i="8" s="1"/>
  <c r="O105" i="72"/>
  <c r="N105" i="70"/>
  <c r="N134" i="70" s="1"/>
  <c r="M105" i="72"/>
  <c r="L105" i="70"/>
  <c r="L134" i="70" s="1"/>
  <c r="P112" i="72"/>
  <c r="H112" i="72"/>
  <c r="G112" i="70"/>
  <c r="S112" i="70" s="1"/>
  <c r="Q112" i="72"/>
  <c r="P112" i="70"/>
  <c r="Q174" i="59"/>
  <c r="S174" i="59" s="1"/>
  <c r="T174" i="59" s="1"/>
  <c r="O112" i="72"/>
  <c r="K112" i="72"/>
  <c r="J112" i="70"/>
  <c r="J141" i="70" s="1"/>
  <c r="K174" i="59"/>
  <c r="K35" i="70"/>
  <c r="K64" i="70" s="1"/>
  <c r="L35" i="70"/>
  <c r="L6" i="70"/>
  <c r="L64" i="59"/>
  <c r="L127" i="72" s="1"/>
  <c r="K41" i="8" s="1"/>
  <c r="K64" i="59"/>
  <c r="K127" i="72" s="1"/>
  <c r="J41" i="8" s="1"/>
  <c r="L214" i="8"/>
  <c r="M6" i="59" s="1"/>
  <c r="M80" i="8"/>
  <c r="M81" i="8"/>
  <c r="M79" i="8"/>
  <c r="M78" i="8"/>
  <c r="M259" i="8"/>
  <c r="M251" i="8"/>
  <c r="M243" i="8"/>
  <c r="M235" i="8"/>
  <c r="M227" i="8"/>
  <c r="M209" i="8"/>
  <c r="M201" i="8"/>
  <c r="M193" i="8"/>
  <c r="M264" i="8"/>
  <c r="M256" i="8"/>
  <c r="M248" i="8"/>
  <c r="M240" i="8"/>
  <c r="M232" i="8"/>
  <c r="M224" i="8"/>
  <c r="M206" i="8"/>
  <c r="M198" i="8"/>
  <c r="M190" i="8"/>
  <c r="M261" i="8"/>
  <c r="M253" i="8"/>
  <c r="M245" i="8"/>
  <c r="M237" i="8"/>
  <c r="M229" i="8"/>
  <c r="M221" i="8"/>
  <c r="M203" i="8"/>
  <c r="M195" i="8"/>
  <c r="M258" i="8"/>
  <c r="M250" i="8"/>
  <c r="M242" i="8"/>
  <c r="M234" i="8"/>
  <c r="M226" i="8"/>
  <c r="M208" i="8"/>
  <c r="M200" i="8"/>
  <c r="M192" i="8"/>
  <c r="M263" i="8"/>
  <c r="M255" i="8"/>
  <c r="M247" i="8"/>
  <c r="M239" i="8"/>
  <c r="M231" i="8"/>
  <c r="M223" i="8"/>
  <c r="M205" i="8"/>
  <c r="M197" i="8"/>
  <c r="M189" i="8"/>
  <c r="M260" i="8"/>
  <c r="M252" i="8"/>
  <c r="M244" i="8"/>
  <c r="M236" i="8"/>
  <c r="M228" i="8"/>
  <c r="M220" i="8"/>
  <c r="M202" i="8"/>
  <c r="M194" i="8"/>
  <c r="M265" i="8"/>
  <c r="M257" i="8"/>
  <c r="M249" i="8"/>
  <c r="M241" i="8"/>
  <c r="M233" i="8"/>
  <c r="M225" i="8"/>
  <c r="M207" i="8"/>
  <c r="M199" i="8"/>
  <c r="M191" i="8"/>
  <c r="M262" i="8"/>
  <c r="M254" i="8"/>
  <c r="M246" i="8"/>
  <c r="M238" i="8"/>
  <c r="M230" i="8"/>
  <c r="M222" i="8"/>
  <c r="M204" i="8"/>
  <c r="M196" i="8"/>
  <c r="M186" i="8"/>
  <c r="M178" i="8"/>
  <c r="M170" i="8"/>
  <c r="M183" i="8"/>
  <c r="M175" i="8"/>
  <c r="M167" i="8"/>
  <c r="M188" i="8"/>
  <c r="M180" i="8"/>
  <c r="M172" i="8"/>
  <c r="M185" i="8"/>
  <c r="M177" i="8"/>
  <c r="M169" i="8"/>
  <c r="M182" i="8"/>
  <c r="M174" i="8"/>
  <c r="M187" i="8"/>
  <c r="M179" i="8"/>
  <c r="M171" i="8"/>
  <c r="M184" i="8"/>
  <c r="M176" i="8"/>
  <c r="M168" i="8"/>
  <c r="M181" i="8"/>
  <c r="M173" i="8"/>
  <c r="M76" i="8"/>
  <c r="M73" i="8"/>
  <c r="M70" i="8"/>
  <c r="M75" i="8"/>
  <c r="M72" i="8"/>
  <c r="M77" i="8"/>
  <c r="M69" i="8"/>
  <c r="M74" i="8"/>
  <c r="M71" i="8"/>
  <c r="Q163" i="59"/>
  <c r="P101" i="70"/>
  <c r="N163" i="59"/>
  <c r="M101" i="70"/>
  <c r="K163" i="59"/>
  <c r="J101" i="70"/>
  <c r="J130" i="70" s="1"/>
  <c r="O163" i="59"/>
  <c r="N101" i="70"/>
  <c r="L103" i="70"/>
  <c r="M165" i="59"/>
  <c r="K103" i="70"/>
  <c r="K132" i="70" s="1"/>
  <c r="O103" i="70"/>
  <c r="P165" i="59"/>
  <c r="J103" i="72"/>
  <c r="I103" i="72"/>
  <c r="N103" i="70"/>
  <c r="O165" i="59"/>
  <c r="J101" i="72"/>
  <c r="I101" i="72"/>
  <c r="S120" i="17"/>
  <c r="F28" i="18" s="1"/>
  <c r="N77" i="53"/>
  <c r="N75" i="53"/>
  <c r="N71" i="53"/>
  <c r="N76" i="53"/>
  <c r="N74" i="53"/>
  <c r="N72" i="53"/>
  <c r="N70" i="53"/>
  <c r="N73" i="53"/>
  <c r="N69" i="53"/>
  <c r="E23" i="54"/>
  <c r="E25" i="54" s="1"/>
  <c r="F21" i="54"/>
  <c r="G21" i="51"/>
  <c r="F23" i="51"/>
  <c r="F25" i="51" s="1"/>
  <c r="N77" i="50"/>
  <c r="N75" i="50"/>
  <c r="N73" i="50"/>
  <c r="N71" i="50"/>
  <c r="N69" i="50"/>
  <c r="N76" i="50"/>
  <c r="N74" i="50"/>
  <c r="N72" i="50"/>
  <c r="N70" i="50"/>
  <c r="E23" i="48"/>
  <c r="E25" i="48" s="1"/>
  <c r="F21" i="48"/>
  <c r="N76" i="47"/>
  <c r="N74" i="47"/>
  <c r="N72" i="47"/>
  <c r="N70" i="47"/>
  <c r="N77" i="47"/>
  <c r="N75" i="47"/>
  <c r="N73" i="47"/>
  <c r="N71" i="47"/>
  <c r="N69" i="47"/>
  <c r="M77" i="44"/>
  <c r="M75" i="44"/>
  <c r="M71" i="44"/>
  <c r="M69" i="44"/>
  <c r="M72" i="44"/>
  <c r="M70" i="44"/>
  <c r="M76" i="44"/>
  <c r="M74" i="44"/>
  <c r="M73" i="44"/>
  <c r="G21" i="45"/>
  <c r="F23" i="45"/>
  <c r="F25" i="45" s="1"/>
  <c r="N77" i="41"/>
  <c r="N75" i="41"/>
  <c r="N73" i="41"/>
  <c r="N71" i="41"/>
  <c r="N69" i="41"/>
  <c r="N70" i="41"/>
  <c r="N76" i="41"/>
  <c r="N74" i="41"/>
  <c r="N72" i="41"/>
  <c r="E23" i="39"/>
  <c r="E25" i="39" s="1"/>
  <c r="F21" i="39"/>
  <c r="N76" i="38"/>
  <c r="N77" i="38"/>
  <c r="N75" i="38"/>
  <c r="N73" i="38"/>
  <c r="N71" i="38"/>
  <c r="N69" i="38"/>
  <c r="N74" i="38"/>
  <c r="N72" i="38"/>
  <c r="N70" i="38"/>
  <c r="M76" i="35"/>
  <c r="M74" i="35"/>
  <c r="M72" i="35"/>
  <c r="M70" i="35"/>
  <c r="M77" i="35"/>
  <c r="M75" i="35"/>
  <c r="M73" i="35"/>
  <c r="M71" i="35"/>
  <c r="M69" i="35"/>
  <c r="M76" i="32"/>
  <c r="M74" i="32"/>
  <c r="M72" i="32"/>
  <c r="M70" i="32"/>
  <c r="M77" i="32"/>
  <c r="M75" i="32"/>
  <c r="M73" i="32"/>
  <c r="M71" i="32"/>
  <c r="M69" i="32"/>
  <c r="E23" i="30"/>
  <c r="E25" i="30" s="1"/>
  <c r="F21" i="30"/>
  <c r="N77" i="29"/>
  <c r="N71" i="29"/>
  <c r="N69" i="29"/>
  <c r="N76" i="29"/>
  <c r="N73" i="29"/>
  <c r="N75" i="29"/>
  <c r="N72" i="29"/>
  <c r="N70" i="29"/>
  <c r="N74" i="29"/>
  <c r="E23" i="27"/>
  <c r="E25" i="27" s="1"/>
  <c r="F21" i="27"/>
  <c r="N76" i="26"/>
  <c r="N74" i="26"/>
  <c r="N72" i="26"/>
  <c r="N70" i="26"/>
  <c r="N77" i="26"/>
  <c r="N75" i="26"/>
  <c r="N73" i="26"/>
  <c r="N71" i="26"/>
  <c r="N69" i="26"/>
  <c r="E23" i="24"/>
  <c r="E25" i="24" s="1"/>
  <c r="F21" i="24"/>
  <c r="M76" i="23"/>
  <c r="M74" i="23"/>
  <c r="M72" i="23"/>
  <c r="M70" i="23"/>
  <c r="M77" i="23"/>
  <c r="M75" i="23"/>
  <c r="M73" i="23"/>
  <c r="M71" i="23"/>
  <c r="M69" i="23"/>
  <c r="M76" i="20"/>
  <c r="M74" i="20"/>
  <c r="M72" i="20"/>
  <c r="M70" i="20"/>
  <c r="M77" i="20"/>
  <c r="M75" i="20"/>
  <c r="M73" i="20"/>
  <c r="M71" i="20"/>
  <c r="M69" i="20"/>
  <c r="E23" i="21"/>
  <c r="E25" i="21" s="1"/>
  <c r="F21" i="21"/>
  <c r="N74" i="5"/>
  <c r="N70" i="5"/>
  <c r="N72" i="5"/>
  <c r="N77" i="5"/>
  <c r="N73" i="5"/>
  <c r="N69" i="5"/>
  <c r="N76" i="5"/>
  <c r="N75" i="5"/>
  <c r="N71" i="5"/>
  <c r="C19" i="18"/>
  <c r="C21" i="18" s="1"/>
  <c r="I38" i="19"/>
  <c r="G62" i="19" s="1"/>
  <c r="BG168" i="17"/>
  <c r="BG171" i="17"/>
  <c r="BG170" i="17"/>
  <c r="S123" i="17"/>
  <c r="H37" i="19" s="1"/>
  <c r="F59" i="19" s="1"/>
  <c r="L23" i="83" l="1"/>
  <c r="L20" i="76"/>
  <c r="L20" i="53"/>
  <c r="N323" i="59"/>
  <c r="M27" i="53"/>
  <c r="M27" i="76"/>
  <c r="M13" i="76"/>
  <c r="M13" i="53"/>
  <c r="N265" i="59"/>
  <c r="M313" i="59"/>
  <c r="L13" i="23"/>
  <c r="L27" i="23"/>
  <c r="M255" i="59"/>
  <c r="L20" i="23" s="1"/>
  <c r="N324" i="59"/>
  <c r="N266" i="59"/>
  <c r="J253" i="59"/>
  <c r="J311" i="59"/>
  <c r="J310" i="59"/>
  <c r="J252" i="59"/>
  <c r="M309" i="59"/>
  <c r="M251" i="59"/>
  <c r="N308" i="59"/>
  <c r="M27" i="38"/>
  <c r="N250" i="59"/>
  <c r="M20" i="38" s="1"/>
  <c r="M6" i="50"/>
  <c r="M7" i="50" s="1"/>
  <c r="N322" i="59"/>
  <c r="M13" i="50"/>
  <c r="M27" i="50"/>
  <c r="J307" i="59"/>
  <c r="J249" i="59"/>
  <c r="N314" i="59"/>
  <c r="M27" i="29"/>
  <c r="M13" i="29"/>
  <c r="N256" i="59"/>
  <c r="M20" i="29" s="1"/>
  <c r="N306" i="59"/>
  <c r="M13" i="5"/>
  <c r="M27" i="5"/>
  <c r="N248" i="59"/>
  <c r="M20" i="5" s="1"/>
  <c r="N321" i="59"/>
  <c r="M27" i="26"/>
  <c r="M13" i="26"/>
  <c r="N263" i="59"/>
  <c r="M20" i="26" s="1"/>
  <c r="M304" i="59"/>
  <c r="L13" i="8"/>
  <c r="L27" i="8"/>
  <c r="M246" i="59"/>
  <c r="L20" i="8" s="1"/>
  <c r="L14" i="76"/>
  <c r="M303" i="59"/>
  <c r="L27" i="44"/>
  <c r="L13" i="44"/>
  <c r="M245" i="59"/>
  <c r="L20" i="44" s="1"/>
  <c r="K26" i="8"/>
  <c r="L26" i="53"/>
  <c r="M133" i="59"/>
  <c r="M198" i="59" s="1"/>
  <c r="M284" i="59"/>
  <c r="L23" i="23" s="1"/>
  <c r="L22" i="23"/>
  <c r="L14" i="23" s="1"/>
  <c r="M8" i="50"/>
  <c r="M9" i="50" s="1"/>
  <c r="M22" i="50"/>
  <c r="M14" i="50" s="1"/>
  <c r="N293" i="59"/>
  <c r="M23" i="50" s="1"/>
  <c r="L23" i="76"/>
  <c r="L23" i="53"/>
  <c r="K26" i="23"/>
  <c r="L26" i="26"/>
  <c r="N141" i="59"/>
  <c r="N206" i="59" s="1"/>
  <c r="N292" i="59"/>
  <c r="M23" i="26" s="1"/>
  <c r="M22" i="26"/>
  <c r="M26" i="26" s="1"/>
  <c r="N134" i="59"/>
  <c r="N199" i="59" s="1"/>
  <c r="N285" i="59"/>
  <c r="M23" i="29" s="1"/>
  <c r="M22" i="29"/>
  <c r="M14" i="29" s="1"/>
  <c r="N126" i="59"/>
  <c r="N191" i="59" s="1"/>
  <c r="N277" i="59"/>
  <c r="M23" i="5" s="1"/>
  <c r="M22" i="5"/>
  <c r="M14" i="5" s="1"/>
  <c r="M18" i="5" s="1"/>
  <c r="N279" i="59"/>
  <c r="M22" i="38"/>
  <c r="L14" i="50"/>
  <c r="L16" i="50" s="1"/>
  <c r="L17" i="50" s="1"/>
  <c r="M123" i="59"/>
  <c r="M188" i="59" s="1"/>
  <c r="M274" i="59"/>
  <c r="L23" i="44" s="1"/>
  <c r="L22" i="44"/>
  <c r="L14" i="44" s="1"/>
  <c r="N143" i="59"/>
  <c r="N208" i="59" s="1"/>
  <c r="N294" i="59"/>
  <c r="M22" i="53"/>
  <c r="M22" i="76"/>
  <c r="M26" i="76" s="1"/>
  <c r="K14" i="23"/>
  <c r="L14" i="26"/>
  <c r="L16" i="26" s="1"/>
  <c r="L17" i="26" s="1"/>
  <c r="K14" i="44"/>
  <c r="L14" i="29"/>
  <c r="L16" i="29" s="1"/>
  <c r="L17" i="29" s="1"/>
  <c r="L14" i="5"/>
  <c r="L18" i="5" s="1"/>
  <c r="J14" i="8"/>
  <c r="J18" i="8" s="1"/>
  <c r="M22" i="1"/>
  <c r="M22" i="83"/>
  <c r="M8" i="83"/>
  <c r="M9" i="83" s="1"/>
  <c r="N273" i="59"/>
  <c r="M23" i="1" s="1"/>
  <c r="K28" i="83"/>
  <c r="L26" i="83"/>
  <c r="L28" i="83" s="1"/>
  <c r="L14" i="83"/>
  <c r="L16" i="83" s="1"/>
  <c r="L17" i="83" s="1"/>
  <c r="L26" i="1"/>
  <c r="L14" i="1"/>
  <c r="L16" i="1" s="1"/>
  <c r="L17" i="1" s="1"/>
  <c r="N302" i="59"/>
  <c r="M21" i="1" s="1"/>
  <c r="M27" i="1"/>
  <c r="M13" i="1"/>
  <c r="M13" i="83"/>
  <c r="M6" i="83"/>
  <c r="M7" i="83" s="1"/>
  <c r="M27" i="83"/>
  <c r="N244" i="59"/>
  <c r="M20" i="1" s="1"/>
  <c r="H50" i="41"/>
  <c r="H51" i="41" s="1"/>
  <c r="M27" i="47"/>
  <c r="N312" i="59"/>
  <c r="M21" i="47" s="1"/>
  <c r="N254" i="59"/>
  <c r="M20" i="47" s="1"/>
  <c r="H39" i="17"/>
  <c r="I27" i="72"/>
  <c r="G50" i="41"/>
  <c r="G51" i="41" s="1"/>
  <c r="G47" i="41"/>
  <c r="I145" i="59"/>
  <c r="I147" i="59" s="1"/>
  <c r="L28" i="38"/>
  <c r="K14" i="35"/>
  <c r="K16" i="35" s="1"/>
  <c r="K17" i="35" s="1"/>
  <c r="N142" i="59"/>
  <c r="N207" i="59" s="1"/>
  <c r="N264" i="59"/>
  <c r="M20" i="50" s="1"/>
  <c r="M137" i="59"/>
  <c r="M202" i="59" s="1"/>
  <c r="L22" i="35"/>
  <c r="L26" i="35" s="1"/>
  <c r="L23" i="35"/>
  <c r="K28" i="35"/>
  <c r="M259" i="59"/>
  <c r="L20" i="35" s="1"/>
  <c r="L27" i="35"/>
  <c r="L13" i="35"/>
  <c r="Q113" i="70"/>
  <c r="R175" i="59"/>
  <c r="R113" i="72"/>
  <c r="S113" i="72" s="1"/>
  <c r="H26" i="17"/>
  <c r="J127" i="59"/>
  <c r="J192" i="59" s="1"/>
  <c r="I22" i="17"/>
  <c r="I26" i="17" s="1"/>
  <c r="I23" i="17"/>
  <c r="I20" i="17"/>
  <c r="I27" i="17"/>
  <c r="I13" i="17"/>
  <c r="N128" i="59"/>
  <c r="N193" i="59" s="1"/>
  <c r="M23" i="38"/>
  <c r="L14" i="38"/>
  <c r="L16" i="38" s="1"/>
  <c r="L17" i="38" s="1"/>
  <c r="M13" i="38"/>
  <c r="H26" i="11"/>
  <c r="J130" i="59"/>
  <c r="J195" i="59" s="1"/>
  <c r="I23" i="11"/>
  <c r="I22" i="11"/>
  <c r="I26" i="11" s="1"/>
  <c r="I13" i="11"/>
  <c r="I27" i="11"/>
  <c r="I20" i="11"/>
  <c r="N144" i="59"/>
  <c r="N209" i="59" s="1"/>
  <c r="M23" i="41"/>
  <c r="M22" i="41"/>
  <c r="L26" i="41"/>
  <c r="L14" i="41"/>
  <c r="L16" i="41" s="1"/>
  <c r="L17" i="41" s="1"/>
  <c r="M27" i="41"/>
  <c r="M20" i="41"/>
  <c r="M13" i="41"/>
  <c r="J131" i="59"/>
  <c r="J196" i="59" s="1"/>
  <c r="I22" i="14"/>
  <c r="I26" i="14" s="1"/>
  <c r="I23" i="14"/>
  <c r="H26" i="14"/>
  <c r="I27" i="14"/>
  <c r="I13" i="14"/>
  <c r="I20" i="14"/>
  <c r="L28" i="47"/>
  <c r="K29" i="83"/>
  <c r="L27" i="32"/>
  <c r="L13" i="32"/>
  <c r="L20" i="32"/>
  <c r="I27" i="70"/>
  <c r="I148" i="59"/>
  <c r="L28" i="1"/>
  <c r="L21" i="76"/>
  <c r="L21" i="53"/>
  <c r="L40" i="1"/>
  <c r="L40" i="83"/>
  <c r="I47" i="1"/>
  <c r="L39" i="1"/>
  <c r="L39" i="83"/>
  <c r="J44" i="1"/>
  <c r="I47" i="44"/>
  <c r="L20" i="83"/>
  <c r="L21" i="83"/>
  <c r="L14" i="47"/>
  <c r="L16" i="47" s="1"/>
  <c r="L17" i="47" s="1"/>
  <c r="I115" i="59"/>
  <c r="J46" i="83"/>
  <c r="J44" i="83"/>
  <c r="K41" i="1"/>
  <c r="K43" i="1" s="1"/>
  <c r="K44" i="1" s="1"/>
  <c r="K41" i="83"/>
  <c r="K43" i="83" s="1"/>
  <c r="I44" i="83"/>
  <c r="I46" i="83"/>
  <c r="N132" i="59"/>
  <c r="N197" i="59" s="1"/>
  <c r="M22" i="47"/>
  <c r="M26" i="47" s="1"/>
  <c r="J47" i="41"/>
  <c r="M94" i="59"/>
  <c r="N102" i="59"/>
  <c r="M23" i="47"/>
  <c r="N113" i="59"/>
  <c r="N112" i="59"/>
  <c r="N96" i="59"/>
  <c r="J101" i="59"/>
  <c r="N111" i="59"/>
  <c r="M107" i="59"/>
  <c r="M99" i="59"/>
  <c r="I296" i="59"/>
  <c r="N122" i="59"/>
  <c r="N187" i="59" s="1"/>
  <c r="J100" i="59"/>
  <c r="S60" i="35"/>
  <c r="Q56" i="35"/>
  <c r="M93" i="59"/>
  <c r="N92" i="59"/>
  <c r="M103" i="59"/>
  <c r="N114" i="59"/>
  <c r="J97" i="59"/>
  <c r="N104" i="59"/>
  <c r="N98" i="59"/>
  <c r="L142" i="70"/>
  <c r="L139" i="70"/>
  <c r="L132" i="70"/>
  <c r="K131" i="70"/>
  <c r="K140" i="70"/>
  <c r="N116" i="5"/>
  <c r="N49" i="5" s="1"/>
  <c r="M84" i="70"/>
  <c r="M142" i="70" s="1"/>
  <c r="I46" i="8"/>
  <c r="I50" i="8" s="1"/>
  <c r="I51" i="8" s="1"/>
  <c r="K46" i="26"/>
  <c r="K47" i="26" s="1"/>
  <c r="I50" i="38"/>
  <c r="I51" i="38" s="1"/>
  <c r="H28" i="14"/>
  <c r="J46" i="53"/>
  <c r="J47" i="53" s="1"/>
  <c r="J47" i="29"/>
  <c r="J28" i="8"/>
  <c r="K46" i="29"/>
  <c r="K47" i="29" s="1"/>
  <c r="K46" i="38"/>
  <c r="K47" i="38" s="1"/>
  <c r="K43" i="53"/>
  <c r="K46" i="53" s="1"/>
  <c r="J46" i="76"/>
  <c r="J47" i="76" s="1"/>
  <c r="J44" i="44"/>
  <c r="I50" i="35"/>
  <c r="I51" i="35" s="1"/>
  <c r="H16" i="14"/>
  <c r="H17" i="14" s="1"/>
  <c r="L16" i="53"/>
  <c r="L17" i="53" s="1"/>
  <c r="J46" i="23"/>
  <c r="J47" i="23" s="1"/>
  <c r="K46" i="5"/>
  <c r="K50" i="5" s="1"/>
  <c r="K51" i="5" s="1"/>
  <c r="I50" i="41"/>
  <c r="I51" i="41" s="1"/>
  <c r="L16" i="76"/>
  <c r="L17" i="76" s="1"/>
  <c r="L40" i="76"/>
  <c r="L40" i="53"/>
  <c r="K28" i="8"/>
  <c r="K16" i="8"/>
  <c r="K17" i="8" s="1"/>
  <c r="M8" i="38"/>
  <c r="M9" i="38" s="1"/>
  <c r="I8" i="14"/>
  <c r="I9" i="14" s="1"/>
  <c r="M48" i="70"/>
  <c r="L8" i="35"/>
  <c r="L9" i="35" s="1"/>
  <c r="M8" i="26"/>
  <c r="M9" i="26" s="1"/>
  <c r="M8" i="76"/>
  <c r="M9" i="76" s="1"/>
  <c r="M8" i="53"/>
  <c r="M9" i="53" s="1"/>
  <c r="J43" i="8"/>
  <c r="J44" i="8" s="1"/>
  <c r="M8" i="41"/>
  <c r="M9" i="41" s="1"/>
  <c r="J50" i="26"/>
  <c r="J46" i="50"/>
  <c r="J50" i="50" s="1"/>
  <c r="L43" i="50"/>
  <c r="L44" i="50" s="1"/>
  <c r="L8" i="44"/>
  <c r="L9" i="44" s="1"/>
  <c r="M8" i="29"/>
  <c r="M9" i="29" s="1"/>
  <c r="K44" i="41"/>
  <c r="L8" i="23"/>
  <c r="L9" i="23" s="1"/>
  <c r="M8" i="5"/>
  <c r="M9" i="5" s="1"/>
  <c r="L28" i="5"/>
  <c r="J44" i="35"/>
  <c r="K16" i="23"/>
  <c r="K17" i="23" s="1"/>
  <c r="L28" i="29"/>
  <c r="J47" i="5"/>
  <c r="I50" i="23"/>
  <c r="I51" i="23" s="1"/>
  <c r="K43" i="76"/>
  <c r="K44" i="76" s="1"/>
  <c r="H47" i="38"/>
  <c r="K43" i="44"/>
  <c r="K44" i="44" s="1"/>
  <c r="I67" i="70"/>
  <c r="K46" i="50"/>
  <c r="K50" i="50" s="1"/>
  <c r="J50" i="38"/>
  <c r="J51" i="38" s="1"/>
  <c r="K43" i="8"/>
  <c r="K44" i="8" s="1"/>
  <c r="H28" i="11"/>
  <c r="K43" i="35"/>
  <c r="K46" i="35" s="1"/>
  <c r="L43" i="29"/>
  <c r="L46" i="29" s="1"/>
  <c r="L28" i="50"/>
  <c r="L43" i="41"/>
  <c r="L44" i="41" s="1"/>
  <c r="H50" i="23"/>
  <c r="H51" i="23" s="1"/>
  <c r="K28" i="53"/>
  <c r="L21" i="8"/>
  <c r="L6" i="8"/>
  <c r="L7" i="8" s="1"/>
  <c r="L10" i="8" s="1"/>
  <c r="L43" i="38"/>
  <c r="L46" i="38" s="1"/>
  <c r="L43" i="5"/>
  <c r="L46" i="5" s="1"/>
  <c r="M21" i="5"/>
  <c r="M6" i="5"/>
  <c r="M7" i="5" s="1"/>
  <c r="M21" i="26"/>
  <c r="M6" i="26"/>
  <c r="M7" i="26" s="1"/>
  <c r="L6" i="35"/>
  <c r="L7" i="35" s="1"/>
  <c r="L21" i="35"/>
  <c r="I21" i="14"/>
  <c r="I6" i="14"/>
  <c r="I7" i="14" s="1"/>
  <c r="L18" i="38"/>
  <c r="L6" i="23"/>
  <c r="L7" i="23" s="1"/>
  <c r="L21" i="23"/>
  <c r="L39" i="53"/>
  <c r="L39" i="76"/>
  <c r="M6" i="41"/>
  <c r="M7" i="41" s="1"/>
  <c r="M21" i="41"/>
  <c r="J28" i="50"/>
  <c r="M21" i="29"/>
  <c r="M6" i="29"/>
  <c r="M7" i="29" s="1"/>
  <c r="K28" i="76"/>
  <c r="M6" i="53"/>
  <c r="M7" i="53" s="1"/>
  <c r="M6" i="76"/>
  <c r="M7" i="76" s="1"/>
  <c r="M21" i="38"/>
  <c r="M6" i="38"/>
  <c r="M7" i="38" s="1"/>
  <c r="L43" i="26"/>
  <c r="L44" i="26" s="1"/>
  <c r="L6" i="44"/>
  <c r="L7" i="44" s="1"/>
  <c r="M21" i="50"/>
  <c r="L28" i="41"/>
  <c r="K28" i="23"/>
  <c r="L28" i="26"/>
  <c r="H47" i="32"/>
  <c r="K41" i="23"/>
  <c r="K43" i="23" s="1"/>
  <c r="K44" i="23" s="1"/>
  <c r="I8" i="11"/>
  <c r="I9" i="11" s="1"/>
  <c r="I21" i="11"/>
  <c r="I6" i="11"/>
  <c r="I7" i="11" s="1"/>
  <c r="H16" i="11"/>
  <c r="H17" i="11" s="1"/>
  <c r="J50" i="47"/>
  <c r="J51" i="47" s="1"/>
  <c r="K46" i="47"/>
  <c r="K47" i="47" s="1"/>
  <c r="M6" i="47"/>
  <c r="M7" i="47" s="1"/>
  <c r="M13" i="47"/>
  <c r="L43" i="47"/>
  <c r="L46" i="47" s="1"/>
  <c r="M8" i="47"/>
  <c r="M9" i="47" s="1"/>
  <c r="I50" i="53"/>
  <c r="I47" i="53"/>
  <c r="J47" i="35"/>
  <c r="J50" i="35"/>
  <c r="J51" i="35" s="1"/>
  <c r="I47" i="76"/>
  <c r="I50" i="76"/>
  <c r="L41" i="53"/>
  <c r="L41" i="76"/>
  <c r="H44" i="76"/>
  <c r="H46" i="76"/>
  <c r="J50" i="44"/>
  <c r="J51" i="44" s="1"/>
  <c r="J47" i="44"/>
  <c r="H47" i="26"/>
  <c r="H50" i="26"/>
  <c r="H46" i="53"/>
  <c r="H44" i="53"/>
  <c r="K47" i="41"/>
  <c r="K50" i="41"/>
  <c r="K51" i="41" s="1"/>
  <c r="H28" i="17"/>
  <c r="I6" i="17"/>
  <c r="I7" i="17" s="1"/>
  <c r="I11" i="17" s="1"/>
  <c r="I21" i="17"/>
  <c r="H16" i="17"/>
  <c r="H17" i="17" s="1"/>
  <c r="I8" i="17"/>
  <c r="I9" i="17" s="1"/>
  <c r="M8" i="1"/>
  <c r="M9" i="1" s="1"/>
  <c r="M6" i="1"/>
  <c r="M7" i="1" s="1"/>
  <c r="J47" i="1"/>
  <c r="J50" i="1"/>
  <c r="J51" i="1" s="1"/>
  <c r="L6" i="32"/>
  <c r="L7" i="32" s="1"/>
  <c r="L21" i="32"/>
  <c r="L21" i="44"/>
  <c r="S163" i="59"/>
  <c r="T163" i="59" s="1"/>
  <c r="M82" i="70"/>
  <c r="M140" i="70" s="1"/>
  <c r="M125" i="72"/>
  <c r="L63" i="70"/>
  <c r="F23" i="42"/>
  <c r="F25" i="42" s="1"/>
  <c r="N72" i="72"/>
  <c r="M76" i="72"/>
  <c r="J70" i="72"/>
  <c r="N82" i="72"/>
  <c r="M69" i="72"/>
  <c r="J71" i="72"/>
  <c r="J67" i="72"/>
  <c r="N74" i="72"/>
  <c r="N84" i="72"/>
  <c r="M63" i="72"/>
  <c r="N66" i="72"/>
  <c r="M64" i="72"/>
  <c r="N81" i="72"/>
  <c r="M77" i="72"/>
  <c r="N68" i="72"/>
  <c r="N83" i="72"/>
  <c r="M73" i="72"/>
  <c r="M6" i="72"/>
  <c r="L39" i="8" s="1"/>
  <c r="S61" i="20"/>
  <c r="S154" i="59"/>
  <c r="T154" i="59" s="1"/>
  <c r="N10" i="70"/>
  <c r="F21" i="33"/>
  <c r="G21" i="33" s="1"/>
  <c r="M81" i="70"/>
  <c r="M139" i="70" s="1"/>
  <c r="O246" i="72"/>
  <c r="N34" i="17" s="1"/>
  <c r="N36" i="17" s="1"/>
  <c r="N37" i="17" s="1"/>
  <c r="P246" i="72"/>
  <c r="O34" i="17" s="1"/>
  <c r="O36" i="17" s="1"/>
  <c r="O37" i="17" s="1"/>
  <c r="I246" i="72"/>
  <c r="H34" i="17" s="1"/>
  <c r="H36" i="17" s="1"/>
  <c r="H37" i="17" s="1"/>
  <c r="Q246" i="72"/>
  <c r="P34" i="17" s="1"/>
  <c r="P36" i="17" s="1"/>
  <c r="P37" i="17" s="1"/>
  <c r="J246" i="72"/>
  <c r="I34" i="17" s="1"/>
  <c r="I36" i="17" s="1"/>
  <c r="I37" i="17" s="1"/>
  <c r="M246" i="72"/>
  <c r="L34" i="17" s="1"/>
  <c r="L36" i="17" s="1"/>
  <c r="L37" i="17" s="1"/>
  <c r="L246" i="72"/>
  <c r="K34" i="17" s="1"/>
  <c r="K36" i="17" s="1"/>
  <c r="K37" i="17" s="1"/>
  <c r="N246" i="72"/>
  <c r="M34" i="17" s="1"/>
  <c r="M36" i="17" s="1"/>
  <c r="M37" i="17" s="1"/>
  <c r="R246" i="72"/>
  <c r="I130" i="72"/>
  <c r="H41" i="17" s="1"/>
  <c r="K246" i="72"/>
  <c r="J34" i="17" s="1"/>
  <c r="J36" i="17" s="1"/>
  <c r="J37" i="17" s="1"/>
  <c r="I249" i="72"/>
  <c r="H34" i="11" s="1"/>
  <c r="H36" i="11" s="1"/>
  <c r="H37" i="11" s="1"/>
  <c r="Q249" i="72"/>
  <c r="P34" i="11" s="1"/>
  <c r="P36" i="11" s="1"/>
  <c r="P37" i="11" s="1"/>
  <c r="J249" i="72"/>
  <c r="I34" i="11" s="1"/>
  <c r="I36" i="11" s="1"/>
  <c r="I37" i="11" s="1"/>
  <c r="R249" i="72"/>
  <c r="K249" i="72"/>
  <c r="J34" i="11" s="1"/>
  <c r="J36" i="11" s="1"/>
  <c r="J37" i="11" s="1"/>
  <c r="I133" i="72"/>
  <c r="H41" i="11" s="1"/>
  <c r="H43" i="11" s="1"/>
  <c r="N249" i="72"/>
  <c r="M34" i="11" s="1"/>
  <c r="M36" i="11" s="1"/>
  <c r="M37" i="11" s="1"/>
  <c r="O249" i="72"/>
  <c r="N34" i="11" s="1"/>
  <c r="N36" i="11" s="1"/>
  <c r="N37" i="11" s="1"/>
  <c r="P249" i="72"/>
  <c r="O34" i="11" s="1"/>
  <c r="O36" i="11" s="1"/>
  <c r="O37" i="11" s="1"/>
  <c r="L249" i="72"/>
  <c r="K34" i="11" s="1"/>
  <c r="K36" i="11" s="1"/>
  <c r="K37" i="11" s="1"/>
  <c r="M249" i="72"/>
  <c r="L34" i="11" s="1"/>
  <c r="L36" i="11" s="1"/>
  <c r="L37" i="11" s="1"/>
  <c r="O250" i="72"/>
  <c r="N34" i="14" s="1"/>
  <c r="N36" i="14" s="1"/>
  <c r="N37" i="14" s="1"/>
  <c r="P250" i="72"/>
  <c r="O34" i="14" s="1"/>
  <c r="O36" i="14" s="1"/>
  <c r="O37" i="14" s="1"/>
  <c r="I250" i="72"/>
  <c r="H34" i="14" s="1"/>
  <c r="H36" i="14" s="1"/>
  <c r="H37" i="14" s="1"/>
  <c r="Q250" i="72"/>
  <c r="P34" i="14" s="1"/>
  <c r="R250" i="72"/>
  <c r="L250" i="72"/>
  <c r="K34" i="14" s="1"/>
  <c r="K36" i="14" s="1"/>
  <c r="K37" i="14" s="1"/>
  <c r="J250" i="72"/>
  <c r="I34" i="14" s="1"/>
  <c r="I36" i="14" s="1"/>
  <c r="I37" i="14" s="1"/>
  <c r="M250" i="72"/>
  <c r="L34" i="14" s="1"/>
  <c r="L36" i="14" s="1"/>
  <c r="L37" i="14" s="1"/>
  <c r="I134" i="72"/>
  <c r="H41" i="14" s="1"/>
  <c r="H43" i="14" s="1"/>
  <c r="K250" i="72"/>
  <c r="J34" i="14" s="1"/>
  <c r="J36" i="14" s="1"/>
  <c r="J37" i="14" s="1"/>
  <c r="N250" i="72"/>
  <c r="M34" i="14" s="1"/>
  <c r="M36" i="14" s="1"/>
  <c r="M37" i="14" s="1"/>
  <c r="M83" i="70"/>
  <c r="M141" i="70" s="1"/>
  <c r="N68" i="59"/>
  <c r="M48" i="72"/>
  <c r="L40" i="35" s="1"/>
  <c r="P105" i="70"/>
  <c r="P134" i="70" s="1"/>
  <c r="S133" i="20"/>
  <c r="S134" i="20" s="1"/>
  <c r="Q167" i="59"/>
  <c r="S167" i="59" s="1"/>
  <c r="T167" i="59" s="1"/>
  <c r="N10" i="72"/>
  <c r="M39" i="38" s="1"/>
  <c r="M74" i="70"/>
  <c r="M132" i="70" s="1"/>
  <c r="N81" i="59"/>
  <c r="N144" i="72" s="1"/>
  <c r="M41" i="26" s="1"/>
  <c r="E23" i="36"/>
  <c r="E25" i="36" s="1"/>
  <c r="F21" i="36"/>
  <c r="M66" i="70"/>
  <c r="M62" i="70"/>
  <c r="G96" i="70"/>
  <c r="S96" i="70" s="1"/>
  <c r="H96" i="72"/>
  <c r="P174" i="59"/>
  <c r="L102" i="72"/>
  <c r="J111" i="70"/>
  <c r="J140" i="70" s="1"/>
  <c r="P111" i="72"/>
  <c r="L164" i="59"/>
  <c r="M115" i="20"/>
  <c r="M49" i="20" s="1"/>
  <c r="M115" i="8"/>
  <c r="M49" i="8" s="1"/>
  <c r="N214" i="38"/>
  <c r="O10" i="59" s="1"/>
  <c r="N23" i="72"/>
  <c r="M39" i="26" s="1"/>
  <c r="M115" i="44"/>
  <c r="M49" i="44" s="1"/>
  <c r="N23" i="70"/>
  <c r="M68" i="70"/>
  <c r="M126" i="70" s="1"/>
  <c r="L101" i="70"/>
  <c r="L130" i="70" s="1"/>
  <c r="L174" i="59"/>
  <c r="O106" i="72"/>
  <c r="O113" i="70"/>
  <c r="K112" i="70"/>
  <c r="K141" i="70" s="1"/>
  <c r="P113" i="72"/>
  <c r="O164" i="59"/>
  <c r="N174" i="59"/>
  <c r="N112" i="72"/>
  <c r="J103" i="70"/>
  <c r="J132" i="70" s="1"/>
  <c r="M173" i="59"/>
  <c r="N102" i="70"/>
  <c r="L111" i="70"/>
  <c r="L140" i="70" s="1"/>
  <c r="Q175" i="59"/>
  <c r="S175" i="59" s="1"/>
  <c r="T175" i="59" s="1"/>
  <c r="L92" i="70"/>
  <c r="M101" i="72"/>
  <c r="N112" i="70"/>
  <c r="K113" i="70"/>
  <c r="K142" i="70" s="1"/>
  <c r="K175" i="59"/>
  <c r="O106" i="70"/>
  <c r="L97" i="70"/>
  <c r="L126" i="70" s="1"/>
  <c r="Q173" i="59"/>
  <c r="L113" i="72"/>
  <c r="N164" i="59"/>
  <c r="P168" i="59"/>
  <c r="J113" i="70"/>
  <c r="J142" i="70" s="1"/>
  <c r="M97" i="72"/>
  <c r="P111" i="70"/>
  <c r="M102" i="70"/>
  <c r="L168" i="59"/>
  <c r="K106" i="70"/>
  <c r="K135" i="70" s="1"/>
  <c r="K159" i="59"/>
  <c r="K101" i="72"/>
  <c r="Q101" i="72"/>
  <c r="Q159" i="59"/>
  <c r="P173" i="59"/>
  <c r="J97" i="70"/>
  <c r="J126" i="70" s="1"/>
  <c r="P103" i="72"/>
  <c r="N101" i="72"/>
  <c r="L163" i="59"/>
  <c r="N55" i="70"/>
  <c r="N55" i="72"/>
  <c r="M40" i="41" s="1"/>
  <c r="I70" i="70"/>
  <c r="N115" i="26"/>
  <c r="N49" i="26" s="1"/>
  <c r="O259" i="29"/>
  <c r="O251" i="29"/>
  <c r="O243" i="29"/>
  <c r="O235" i="29"/>
  <c r="O227" i="29"/>
  <c r="O264" i="29"/>
  <c r="O256" i="29"/>
  <c r="O248" i="29"/>
  <c r="O240" i="29"/>
  <c r="O232" i="29"/>
  <c r="O224" i="29"/>
  <c r="O261" i="29"/>
  <c r="O253" i="29"/>
  <c r="O245" i="29"/>
  <c r="O237" i="29"/>
  <c r="O229" i="29"/>
  <c r="O221" i="29"/>
  <c r="O258" i="29"/>
  <c r="O250" i="29"/>
  <c r="O242" i="29"/>
  <c r="O234" i="29"/>
  <c r="O226" i="29"/>
  <c r="O263" i="29"/>
  <c r="O255" i="29"/>
  <c r="O247" i="29"/>
  <c r="O239" i="29"/>
  <c r="O231" i="29"/>
  <c r="O223" i="29"/>
  <c r="O246" i="29"/>
  <c r="O244" i="29"/>
  <c r="O249" i="29"/>
  <c r="O254" i="29"/>
  <c r="O252" i="29"/>
  <c r="O222" i="29"/>
  <c r="O220" i="29"/>
  <c r="O257" i="29"/>
  <c r="O225" i="29"/>
  <c r="O262" i="29"/>
  <c r="O260" i="29"/>
  <c r="O230" i="29"/>
  <c r="O228" i="29"/>
  <c r="O265" i="29"/>
  <c r="O233" i="29"/>
  <c r="O238" i="29"/>
  <c r="O236" i="29"/>
  <c r="O241" i="29"/>
  <c r="O202" i="29"/>
  <c r="O194" i="29"/>
  <c r="O186" i="29"/>
  <c r="O178" i="29"/>
  <c r="O170" i="29"/>
  <c r="O204" i="29"/>
  <c r="O196" i="29"/>
  <c r="O188" i="29"/>
  <c r="O180" i="29"/>
  <c r="O172" i="29"/>
  <c r="O209" i="29"/>
  <c r="O201" i="29"/>
  <c r="O193" i="29"/>
  <c r="O206" i="29"/>
  <c r="O198" i="29"/>
  <c r="O190" i="29"/>
  <c r="O182" i="29"/>
  <c r="O174" i="29"/>
  <c r="O203" i="29"/>
  <c r="O195" i="29"/>
  <c r="O187" i="29"/>
  <c r="O179" i="29"/>
  <c r="O171" i="29"/>
  <c r="O207" i="29"/>
  <c r="O205" i="29"/>
  <c r="O200" i="29"/>
  <c r="O184" i="29"/>
  <c r="O176" i="29"/>
  <c r="O168" i="29"/>
  <c r="O208" i="29"/>
  <c r="O181" i="29"/>
  <c r="O173" i="29"/>
  <c r="O191" i="29"/>
  <c r="O185" i="29"/>
  <c r="O177" i="29"/>
  <c r="O169" i="29"/>
  <c r="O199" i="29"/>
  <c r="O183" i="29"/>
  <c r="O175" i="29"/>
  <c r="O167" i="29"/>
  <c r="O189" i="29"/>
  <c r="O197" i="29"/>
  <c r="O192" i="29"/>
  <c r="N165" i="59"/>
  <c r="M113" i="72"/>
  <c r="N267" i="50"/>
  <c r="O53" i="59" s="1"/>
  <c r="L101" i="72"/>
  <c r="M267" i="35"/>
  <c r="N48" i="59" s="1"/>
  <c r="N288" i="59" s="1"/>
  <c r="N103" i="72"/>
  <c r="K103" i="72"/>
  <c r="N52" i="70"/>
  <c r="N52" i="72"/>
  <c r="M40" i="26" s="1"/>
  <c r="J267" i="17"/>
  <c r="K38" i="59" s="1"/>
  <c r="K278" i="59" s="1"/>
  <c r="N45" i="70"/>
  <c r="N45" i="72"/>
  <c r="M40" i="29" s="1"/>
  <c r="N214" i="53"/>
  <c r="O25" i="59" s="1"/>
  <c r="M214" i="23"/>
  <c r="N15" i="59" s="1"/>
  <c r="J267" i="11"/>
  <c r="K41" i="59" s="1"/>
  <c r="K281" i="59" s="1"/>
  <c r="N268" i="5"/>
  <c r="O37" i="59" s="1"/>
  <c r="J267" i="14"/>
  <c r="K42" i="59" s="1"/>
  <c r="K282" i="59" s="1"/>
  <c r="M174" i="59"/>
  <c r="P159" i="59"/>
  <c r="I85" i="59"/>
  <c r="J42" i="70"/>
  <c r="J42" i="72"/>
  <c r="I40" i="14" s="1"/>
  <c r="M267" i="44"/>
  <c r="N34" i="59" s="1"/>
  <c r="K259" i="11"/>
  <c r="K251" i="11"/>
  <c r="K243" i="11"/>
  <c r="K235" i="11"/>
  <c r="K227" i="11"/>
  <c r="K264" i="11"/>
  <c r="K256" i="11"/>
  <c r="K248" i="11"/>
  <c r="K240" i="11"/>
  <c r="K232" i="11"/>
  <c r="K224" i="11"/>
  <c r="K261" i="11"/>
  <c r="K253" i="11"/>
  <c r="K245" i="11"/>
  <c r="K237" i="11"/>
  <c r="K229" i="11"/>
  <c r="K221" i="11"/>
  <c r="K258" i="11"/>
  <c r="K250" i="11"/>
  <c r="K242" i="11"/>
  <c r="K234" i="11"/>
  <c r="K226" i="11"/>
  <c r="K263" i="11"/>
  <c r="K255" i="11"/>
  <c r="K247" i="11"/>
  <c r="K239" i="11"/>
  <c r="K231" i="11"/>
  <c r="K223" i="11"/>
  <c r="K260" i="11"/>
  <c r="K252" i="11"/>
  <c r="K244" i="11"/>
  <c r="K236" i="11"/>
  <c r="K228" i="11"/>
  <c r="K220" i="11"/>
  <c r="K265" i="11"/>
  <c r="K257" i="11"/>
  <c r="K249" i="11"/>
  <c r="K241" i="11"/>
  <c r="K233" i="11"/>
  <c r="K225" i="11"/>
  <c r="K238" i="11"/>
  <c r="K262" i="11"/>
  <c r="K230" i="11"/>
  <c r="K254" i="11"/>
  <c r="K222" i="11"/>
  <c r="K246" i="11"/>
  <c r="K206" i="11"/>
  <c r="K198" i="11"/>
  <c r="K190" i="11"/>
  <c r="K182" i="11"/>
  <c r="K174" i="11"/>
  <c r="K203" i="11"/>
  <c r="K195" i="11"/>
  <c r="K187" i="11"/>
  <c r="K179" i="11"/>
  <c r="K171" i="11"/>
  <c r="K208" i="11"/>
  <c r="K200" i="11"/>
  <c r="K192" i="11"/>
  <c r="K184" i="11"/>
  <c r="K176" i="11"/>
  <c r="K168" i="11"/>
  <c r="K205" i="11"/>
  <c r="K197" i="11"/>
  <c r="K189" i="11"/>
  <c r="K181" i="11"/>
  <c r="K173" i="11"/>
  <c r="K202" i="11"/>
  <c r="K194" i="11"/>
  <c r="K186" i="11"/>
  <c r="K178" i="11"/>
  <c r="K170" i="11"/>
  <c r="K204" i="11"/>
  <c r="K196" i="11"/>
  <c r="K188" i="11"/>
  <c r="K180" i="11"/>
  <c r="K172" i="11"/>
  <c r="K207" i="11"/>
  <c r="K191" i="11"/>
  <c r="K175" i="11"/>
  <c r="K209" i="11"/>
  <c r="K193" i="11"/>
  <c r="K177" i="11"/>
  <c r="K169" i="11"/>
  <c r="K185" i="11"/>
  <c r="K201" i="11"/>
  <c r="K199" i="11"/>
  <c r="K183" i="11"/>
  <c r="K167" i="11"/>
  <c r="K72" i="11"/>
  <c r="K77" i="11"/>
  <c r="K69" i="11"/>
  <c r="K74" i="11"/>
  <c r="K75" i="11"/>
  <c r="K71" i="11"/>
  <c r="K76" i="11"/>
  <c r="K73" i="11"/>
  <c r="K70" i="11"/>
  <c r="N267" i="41"/>
  <c r="O55" i="59" s="1"/>
  <c r="O295" i="59" s="1"/>
  <c r="N214" i="26"/>
  <c r="O23" i="59" s="1"/>
  <c r="N215" i="5"/>
  <c r="O8" i="59" s="1"/>
  <c r="N267" i="38"/>
  <c r="O39" i="59" s="1"/>
  <c r="M44" i="70"/>
  <c r="M44" i="72"/>
  <c r="L40" i="23" s="1"/>
  <c r="J214" i="14"/>
  <c r="K13" i="59" s="1"/>
  <c r="K265" i="14"/>
  <c r="K257" i="14"/>
  <c r="K249" i="14"/>
  <c r="K241" i="14"/>
  <c r="K233" i="14"/>
  <c r="K225" i="14"/>
  <c r="K262" i="14"/>
  <c r="K254" i="14"/>
  <c r="K259" i="14"/>
  <c r="K251" i="14"/>
  <c r="K243" i="14"/>
  <c r="K235" i="14"/>
  <c r="K227" i="14"/>
  <c r="K264" i="14"/>
  <c r="K261" i="14"/>
  <c r="K253" i="14"/>
  <c r="K245" i="14"/>
  <c r="K237" i="14"/>
  <c r="K229" i="14"/>
  <c r="K258" i="14"/>
  <c r="K250" i="14"/>
  <c r="K242" i="14"/>
  <c r="K234" i="14"/>
  <c r="K226" i="14"/>
  <c r="K263" i="14"/>
  <c r="K255" i="14"/>
  <c r="K247" i="14"/>
  <c r="K239" i="14"/>
  <c r="K231" i="14"/>
  <c r="K223" i="14"/>
  <c r="K252" i="14"/>
  <c r="K248" i="14"/>
  <c r="K246" i="14"/>
  <c r="K236" i="14"/>
  <c r="K221" i="14"/>
  <c r="K256" i="14"/>
  <c r="K224" i="14"/>
  <c r="K244" i="14"/>
  <c r="K222" i="14"/>
  <c r="K220" i="14"/>
  <c r="K260" i="14"/>
  <c r="K232" i="14"/>
  <c r="K230" i="14"/>
  <c r="K240" i="14"/>
  <c r="K228" i="14"/>
  <c r="K238" i="14"/>
  <c r="K208" i="14"/>
  <c r="K200" i="14"/>
  <c r="K192" i="14"/>
  <c r="K184" i="14"/>
  <c r="K176" i="14"/>
  <c r="K209" i="14"/>
  <c r="K201" i="14"/>
  <c r="K193" i="14"/>
  <c r="K185" i="14"/>
  <c r="K177" i="14"/>
  <c r="K204" i="14"/>
  <c r="K188" i="14"/>
  <c r="K168" i="14"/>
  <c r="K203" i="14"/>
  <c r="K202" i="14"/>
  <c r="K187" i="14"/>
  <c r="K186" i="14"/>
  <c r="K173" i="14"/>
  <c r="K199" i="14"/>
  <c r="K198" i="14"/>
  <c r="K197" i="14"/>
  <c r="K183" i="14"/>
  <c r="K182" i="14"/>
  <c r="K181" i="14"/>
  <c r="K170" i="14"/>
  <c r="K167" i="14"/>
  <c r="K196" i="14"/>
  <c r="K180" i="14"/>
  <c r="K172" i="14"/>
  <c r="K207" i="14"/>
  <c r="K206" i="14"/>
  <c r="K205" i="14"/>
  <c r="K191" i="14"/>
  <c r="K190" i="14"/>
  <c r="K189" i="14"/>
  <c r="K175" i="14"/>
  <c r="K174" i="14"/>
  <c r="K194" i="14"/>
  <c r="K169" i="14"/>
  <c r="K179" i="14"/>
  <c r="K195" i="14"/>
  <c r="K171" i="14"/>
  <c r="K178" i="14"/>
  <c r="K75" i="14"/>
  <c r="K71" i="14"/>
  <c r="K72" i="14"/>
  <c r="K78" i="14"/>
  <c r="K74" i="14"/>
  <c r="K70" i="14"/>
  <c r="K76" i="14"/>
  <c r="K77" i="14"/>
  <c r="K73" i="14"/>
  <c r="K69" i="14"/>
  <c r="M5" i="70"/>
  <c r="M5" i="72"/>
  <c r="L39" i="44" s="1"/>
  <c r="M63" i="59"/>
  <c r="M126" i="72" s="1"/>
  <c r="L41" i="44" s="1"/>
  <c r="I56" i="72"/>
  <c r="I71" i="70"/>
  <c r="S129" i="17"/>
  <c r="M96" i="72"/>
  <c r="N53" i="72"/>
  <c r="M40" i="50" s="1"/>
  <c r="N53" i="70"/>
  <c r="S132" i="17"/>
  <c r="O96" i="70"/>
  <c r="N115" i="41"/>
  <c r="N49" i="41" s="1"/>
  <c r="M115" i="32"/>
  <c r="M49" i="32" s="1"/>
  <c r="L112" i="70"/>
  <c r="L141" i="70" s="1"/>
  <c r="O97" i="70"/>
  <c r="N214" i="50"/>
  <c r="O24" i="59" s="1"/>
  <c r="J214" i="17"/>
  <c r="K9" i="59" s="1"/>
  <c r="N16" i="70"/>
  <c r="N16" i="72"/>
  <c r="M39" i="29" s="1"/>
  <c r="N74" i="59"/>
  <c r="N137" i="72" s="1"/>
  <c r="M41" i="29" s="1"/>
  <c r="J115" i="11"/>
  <c r="J49" i="11" s="1"/>
  <c r="M19" i="72"/>
  <c r="L39" i="35" s="1"/>
  <c r="M77" i="59"/>
  <c r="M140" i="72" s="1"/>
  <c r="L41" i="35" s="1"/>
  <c r="M19" i="70"/>
  <c r="J38" i="70"/>
  <c r="J38" i="72"/>
  <c r="I40" i="17" s="1"/>
  <c r="O264" i="26"/>
  <c r="O261" i="26"/>
  <c r="O258" i="26"/>
  <c r="O263" i="26"/>
  <c r="O260" i="26"/>
  <c r="O265" i="26"/>
  <c r="O257" i="26"/>
  <c r="O249" i="26"/>
  <c r="O241" i="26"/>
  <c r="O233" i="26"/>
  <c r="O225" i="26"/>
  <c r="O262" i="26"/>
  <c r="O254" i="26"/>
  <c r="O246" i="26"/>
  <c r="O238" i="26"/>
  <c r="O230" i="26"/>
  <c r="O222" i="26"/>
  <c r="O251" i="26"/>
  <c r="O243" i="26"/>
  <c r="O235" i="26"/>
  <c r="O227" i="26"/>
  <c r="O256" i="26"/>
  <c r="O248" i="26"/>
  <c r="O240" i="26"/>
  <c r="O232" i="26"/>
  <c r="O224" i="26"/>
  <c r="O259" i="26"/>
  <c r="O253" i="26"/>
  <c r="O245" i="26"/>
  <c r="O237" i="26"/>
  <c r="O229" i="26"/>
  <c r="O221" i="26"/>
  <c r="O250" i="26"/>
  <c r="O242" i="26"/>
  <c r="O234" i="26"/>
  <c r="O226" i="26"/>
  <c r="O255" i="26"/>
  <c r="O247" i="26"/>
  <c r="O239" i="26"/>
  <c r="O231" i="26"/>
  <c r="O223" i="26"/>
  <c r="O236" i="26"/>
  <c r="O228" i="26"/>
  <c r="O252" i="26"/>
  <c r="O220" i="26"/>
  <c r="O244" i="26"/>
  <c r="O202" i="26"/>
  <c r="O194" i="26"/>
  <c r="O186" i="26"/>
  <c r="O178" i="26"/>
  <c r="O170" i="26"/>
  <c r="O207" i="26"/>
  <c r="O199" i="26"/>
  <c r="O191" i="26"/>
  <c r="O183" i="26"/>
  <c r="O175" i="26"/>
  <c r="O167" i="26"/>
  <c r="O204" i="26"/>
  <c r="O196" i="26"/>
  <c r="O188" i="26"/>
  <c r="O180" i="26"/>
  <c r="O172" i="26"/>
  <c r="O206" i="26"/>
  <c r="O198" i="26"/>
  <c r="O190" i="26"/>
  <c r="O182" i="26"/>
  <c r="O174" i="26"/>
  <c r="O203" i="26"/>
  <c r="O195" i="26"/>
  <c r="O187" i="26"/>
  <c r="O179" i="26"/>
  <c r="O171" i="26"/>
  <c r="O208" i="26"/>
  <c r="O200" i="26"/>
  <c r="O192" i="26"/>
  <c r="O184" i="26"/>
  <c r="O176" i="26"/>
  <c r="O168" i="26"/>
  <c r="O201" i="26"/>
  <c r="O185" i="26"/>
  <c r="O169" i="26"/>
  <c r="O205" i="26"/>
  <c r="O189" i="26"/>
  <c r="O173" i="26"/>
  <c r="O209" i="26"/>
  <c r="O193" i="26"/>
  <c r="O177" i="26"/>
  <c r="O197" i="26"/>
  <c r="O181" i="26"/>
  <c r="N261" i="44"/>
  <c r="N253" i="44"/>
  <c r="N258" i="44"/>
  <c r="N263" i="44"/>
  <c r="N255" i="44"/>
  <c r="N265" i="44"/>
  <c r="N257" i="44"/>
  <c r="N262" i="44"/>
  <c r="N254" i="44"/>
  <c r="N259" i="44"/>
  <c r="N247" i="44"/>
  <c r="N239" i="44"/>
  <c r="N231" i="44"/>
  <c r="N223" i="44"/>
  <c r="N260" i="44"/>
  <c r="N252" i="44"/>
  <c r="N244" i="44"/>
  <c r="N236" i="44"/>
  <c r="N228" i="44"/>
  <c r="N220" i="44"/>
  <c r="N249" i="44"/>
  <c r="N241" i="44"/>
  <c r="N233" i="44"/>
  <c r="N225" i="44"/>
  <c r="N264" i="44"/>
  <c r="N246" i="44"/>
  <c r="N238" i="44"/>
  <c r="N230" i="44"/>
  <c r="N222" i="44"/>
  <c r="N251" i="44"/>
  <c r="N243" i="44"/>
  <c r="N235" i="44"/>
  <c r="N227" i="44"/>
  <c r="N248" i="44"/>
  <c r="N240" i="44"/>
  <c r="N232" i="44"/>
  <c r="N224" i="44"/>
  <c r="N245" i="44"/>
  <c r="N237" i="44"/>
  <c r="N229" i="44"/>
  <c r="N221" i="44"/>
  <c r="N250" i="44"/>
  <c r="N242" i="44"/>
  <c r="N234" i="44"/>
  <c r="N256" i="44"/>
  <c r="N226" i="44"/>
  <c r="N205" i="44"/>
  <c r="N197" i="44"/>
  <c r="N189" i="44"/>
  <c r="N181" i="44"/>
  <c r="N173" i="44"/>
  <c r="N202" i="44"/>
  <c r="N194" i="44"/>
  <c r="N186" i="44"/>
  <c r="N178" i="44"/>
  <c r="N170" i="44"/>
  <c r="N207" i="44"/>
  <c r="N199" i="44"/>
  <c r="N191" i="44"/>
  <c r="N183" i="44"/>
  <c r="N175" i="44"/>
  <c r="N167" i="44"/>
  <c r="N204" i="44"/>
  <c r="N196" i="44"/>
  <c r="N188" i="44"/>
  <c r="N180" i="44"/>
  <c r="N172" i="44"/>
  <c r="N209" i="44"/>
  <c r="N201" i="44"/>
  <c r="N193" i="44"/>
  <c r="N185" i="44"/>
  <c r="N177" i="44"/>
  <c r="N169" i="44"/>
  <c r="N203" i="44"/>
  <c r="N195" i="44"/>
  <c r="N187" i="44"/>
  <c r="N179" i="44"/>
  <c r="N171" i="44"/>
  <c r="N198" i="44"/>
  <c r="N182" i="44"/>
  <c r="N200" i="44"/>
  <c r="N184" i="44"/>
  <c r="N168" i="44"/>
  <c r="N206" i="44"/>
  <c r="N190" i="44"/>
  <c r="N174" i="44"/>
  <c r="N208" i="44"/>
  <c r="N192" i="44"/>
  <c r="N176" i="44"/>
  <c r="N115" i="29"/>
  <c r="N49" i="29" s="1"/>
  <c r="N264" i="32"/>
  <c r="N256" i="32"/>
  <c r="N248" i="32"/>
  <c r="N240" i="32"/>
  <c r="N232" i="32"/>
  <c r="N261" i="32"/>
  <c r="N253" i="32"/>
  <c r="N245" i="32"/>
  <c r="N237" i="32"/>
  <c r="N229" i="32"/>
  <c r="N221" i="32"/>
  <c r="N258" i="32"/>
  <c r="N250" i="32"/>
  <c r="N242" i="32"/>
  <c r="N234" i="32"/>
  <c r="N226" i="32"/>
  <c r="N263" i="32"/>
  <c r="N255" i="32"/>
  <c r="N247" i="32"/>
  <c r="N239" i="32"/>
  <c r="N231" i="32"/>
  <c r="N223" i="32"/>
  <c r="N260" i="32"/>
  <c r="N252" i="32"/>
  <c r="N244" i="32"/>
  <c r="N236" i="32"/>
  <c r="N228" i="32"/>
  <c r="N220" i="32"/>
  <c r="N259" i="32"/>
  <c r="N257" i="32"/>
  <c r="N227" i="32"/>
  <c r="N225" i="32"/>
  <c r="N262" i="32"/>
  <c r="N230" i="32"/>
  <c r="N265" i="32"/>
  <c r="N235" i="32"/>
  <c r="N233" i="32"/>
  <c r="N238" i="32"/>
  <c r="N243" i="32"/>
  <c r="N241" i="32"/>
  <c r="N246" i="32"/>
  <c r="N251" i="32"/>
  <c r="N249" i="32"/>
  <c r="N254" i="32"/>
  <c r="N222" i="32"/>
  <c r="N207" i="32"/>
  <c r="N199" i="32"/>
  <c r="N191" i="32"/>
  <c r="N183" i="32"/>
  <c r="N175" i="32"/>
  <c r="N167" i="32"/>
  <c r="N209" i="32"/>
  <c r="N201" i="32"/>
  <c r="N193" i="32"/>
  <c r="N185" i="32"/>
  <c r="N177" i="32"/>
  <c r="N169" i="32"/>
  <c r="N206" i="32"/>
  <c r="N198" i="32"/>
  <c r="N190" i="32"/>
  <c r="N182" i="32"/>
  <c r="N174" i="32"/>
  <c r="N203" i="32"/>
  <c r="N195" i="32"/>
  <c r="N187" i="32"/>
  <c r="N179" i="32"/>
  <c r="N171" i="32"/>
  <c r="N208" i="32"/>
  <c r="N200" i="32"/>
  <c r="N192" i="32"/>
  <c r="N184" i="32"/>
  <c r="N176" i="32"/>
  <c r="N168" i="32"/>
  <c r="N196" i="32"/>
  <c r="N189" i="32"/>
  <c r="N186" i="32"/>
  <c r="N204" i="32"/>
  <c r="N197" i="32"/>
  <c r="N194" i="32"/>
  <c r="N172" i="32"/>
  <c r="N205" i="32"/>
  <c r="N202" i="32"/>
  <c r="N180" i="32"/>
  <c r="N173" i="32"/>
  <c r="N170" i="32"/>
  <c r="N188" i="32"/>
  <c r="N181" i="32"/>
  <c r="N178" i="32"/>
  <c r="N81" i="32"/>
  <c r="N84" i="32"/>
  <c r="N79" i="32"/>
  <c r="N82" i="32"/>
  <c r="N80" i="32"/>
  <c r="N83" i="32"/>
  <c r="N78" i="32"/>
  <c r="O260" i="38"/>
  <c r="O252" i="38"/>
  <c r="O244" i="38"/>
  <c r="O236" i="38"/>
  <c r="O265" i="38"/>
  <c r="O257" i="38"/>
  <c r="O249" i="38"/>
  <c r="O241" i="38"/>
  <c r="O233" i="38"/>
  <c r="O262" i="38"/>
  <c r="O254" i="38"/>
  <c r="O246" i="38"/>
  <c r="O238" i="38"/>
  <c r="O259" i="38"/>
  <c r="O251" i="38"/>
  <c r="O243" i="38"/>
  <c r="O235" i="38"/>
  <c r="O264" i="38"/>
  <c r="O256" i="38"/>
  <c r="O248" i="38"/>
  <c r="O240" i="38"/>
  <c r="O232" i="38"/>
  <c r="O261" i="38"/>
  <c r="O253" i="38"/>
  <c r="O245" i="38"/>
  <c r="O237" i="38"/>
  <c r="O258" i="38"/>
  <c r="O250" i="38"/>
  <c r="O242" i="38"/>
  <c r="O234" i="38"/>
  <c r="O263" i="38"/>
  <c r="O225" i="38"/>
  <c r="O230" i="38"/>
  <c r="O222" i="38"/>
  <c r="O255" i="38"/>
  <c r="O227" i="38"/>
  <c r="O224" i="38"/>
  <c r="O247" i="38"/>
  <c r="O229" i="38"/>
  <c r="O221" i="38"/>
  <c r="O226" i="38"/>
  <c r="O239" i="38"/>
  <c r="O231" i="38"/>
  <c r="O223" i="38"/>
  <c r="O228" i="38"/>
  <c r="O220" i="38"/>
  <c r="O203" i="38"/>
  <c r="O195" i="38"/>
  <c r="O187" i="38"/>
  <c r="O179" i="38"/>
  <c r="O171" i="38"/>
  <c r="O208" i="38"/>
  <c r="O200" i="38"/>
  <c r="O192" i="38"/>
  <c r="O184" i="38"/>
  <c r="O176" i="38"/>
  <c r="O168" i="38"/>
  <c r="O205" i="38"/>
  <c r="O197" i="38"/>
  <c r="O189" i="38"/>
  <c r="O181" i="38"/>
  <c r="O173" i="38"/>
  <c r="O207" i="38"/>
  <c r="O199" i="38"/>
  <c r="O191" i="38"/>
  <c r="O183" i="38"/>
  <c r="O175" i="38"/>
  <c r="O167" i="38"/>
  <c r="O204" i="38"/>
  <c r="O196" i="38"/>
  <c r="O188" i="38"/>
  <c r="O180" i="38"/>
  <c r="O172" i="38"/>
  <c r="O209" i="38"/>
  <c r="O201" i="38"/>
  <c r="O193" i="38"/>
  <c r="O185" i="38"/>
  <c r="O177" i="38"/>
  <c r="O169" i="38"/>
  <c r="O194" i="38"/>
  <c r="O178" i="38"/>
  <c r="O206" i="38"/>
  <c r="O198" i="38"/>
  <c r="O182" i="38"/>
  <c r="O202" i="38"/>
  <c r="O186" i="38"/>
  <c r="O170" i="38"/>
  <c r="O174" i="38"/>
  <c r="O190" i="38"/>
  <c r="M168" i="59"/>
  <c r="P97" i="70"/>
  <c r="O175" i="59"/>
  <c r="N267" i="47"/>
  <c r="O43" i="59" s="1"/>
  <c r="O283" i="59" s="1"/>
  <c r="O101" i="72"/>
  <c r="N54" i="70"/>
  <c r="N54" i="72"/>
  <c r="N39" i="70"/>
  <c r="N39" i="72"/>
  <c r="M40" i="38" s="1"/>
  <c r="J115" i="14"/>
  <c r="J49" i="14" s="1"/>
  <c r="J12" i="70"/>
  <c r="J70" i="59"/>
  <c r="J133" i="72" s="1"/>
  <c r="I41" i="11" s="1"/>
  <c r="J12" i="72"/>
  <c r="I39" i="11" s="1"/>
  <c r="N24" i="70"/>
  <c r="N24" i="72"/>
  <c r="M39" i="50" s="1"/>
  <c r="N82" i="59"/>
  <c r="N145" i="72" s="1"/>
  <c r="M41" i="50" s="1"/>
  <c r="O263" i="5"/>
  <c r="O255" i="5"/>
  <c r="O247" i="5"/>
  <c r="O239" i="5"/>
  <c r="O231" i="5"/>
  <c r="O223" i="5"/>
  <c r="O260" i="5"/>
  <c r="O252" i="5"/>
  <c r="O244" i="5"/>
  <c r="O236" i="5"/>
  <c r="O228" i="5"/>
  <c r="O265" i="5"/>
  <c r="O257" i="5"/>
  <c r="O249" i="5"/>
  <c r="O241" i="5"/>
  <c r="O233" i="5"/>
  <c r="O225" i="5"/>
  <c r="O262" i="5"/>
  <c r="O254" i="5"/>
  <c r="O246" i="5"/>
  <c r="O238" i="5"/>
  <c r="O259" i="5"/>
  <c r="O251" i="5"/>
  <c r="O243" i="5"/>
  <c r="O235" i="5"/>
  <c r="O227" i="5"/>
  <c r="O264" i="5"/>
  <c r="O256" i="5"/>
  <c r="O248" i="5"/>
  <c r="O240" i="5"/>
  <c r="O232" i="5"/>
  <c r="O224" i="5"/>
  <c r="O261" i="5"/>
  <c r="O253" i="5"/>
  <c r="O245" i="5"/>
  <c r="O237" i="5"/>
  <c r="O229" i="5"/>
  <c r="O221" i="5"/>
  <c r="O250" i="5"/>
  <c r="O226" i="5"/>
  <c r="O242" i="5"/>
  <c r="O230" i="5"/>
  <c r="O266" i="5"/>
  <c r="O234" i="5"/>
  <c r="O258" i="5"/>
  <c r="O222" i="5"/>
  <c r="O209" i="5"/>
  <c r="O201" i="5"/>
  <c r="O193" i="5"/>
  <c r="O185" i="5"/>
  <c r="O177" i="5"/>
  <c r="O169" i="5"/>
  <c r="O206" i="5"/>
  <c r="O198" i="5"/>
  <c r="O190" i="5"/>
  <c r="O182" i="5"/>
  <c r="O174" i="5"/>
  <c r="O203" i="5"/>
  <c r="O195" i="5"/>
  <c r="O187" i="5"/>
  <c r="O179" i="5"/>
  <c r="O171" i="5"/>
  <c r="O208" i="5"/>
  <c r="O200" i="5"/>
  <c r="O192" i="5"/>
  <c r="O184" i="5"/>
  <c r="O176" i="5"/>
  <c r="O168" i="5"/>
  <c r="O205" i="5"/>
  <c r="O197" i="5"/>
  <c r="O189" i="5"/>
  <c r="O181" i="5"/>
  <c r="O173" i="5"/>
  <c r="O207" i="5"/>
  <c r="O199" i="5"/>
  <c r="O191" i="5"/>
  <c r="O183" i="5"/>
  <c r="O175" i="5"/>
  <c r="O210" i="5"/>
  <c r="O194" i="5"/>
  <c r="O178" i="5"/>
  <c r="O196" i="5"/>
  <c r="O180" i="5"/>
  <c r="O202" i="5"/>
  <c r="O186" i="5"/>
  <c r="O170" i="5"/>
  <c r="O204" i="5"/>
  <c r="O188" i="5"/>
  <c r="O172" i="5"/>
  <c r="M115" i="23"/>
  <c r="M49" i="23" s="1"/>
  <c r="N258" i="35"/>
  <c r="N250" i="35"/>
  <c r="N242" i="35"/>
  <c r="N234" i="35"/>
  <c r="N226" i="35"/>
  <c r="N263" i="35"/>
  <c r="N255" i="35"/>
  <c r="N247" i="35"/>
  <c r="N239" i="35"/>
  <c r="N231" i="35"/>
  <c r="N223" i="35"/>
  <c r="N260" i="35"/>
  <c r="N252" i="35"/>
  <c r="N244" i="35"/>
  <c r="N236" i="35"/>
  <c r="N228" i="35"/>
  <c r="N220" i="35"/>
  <c r="N265" i="35"/>
  <c r="N257" i="35"/>
  <c r="N249" i="35"/>
  <c r="N241" i="35"/>
  <c r="N233" i="35"/>
  <c r="N225" i="35"/>
  <c r="N262" i="35"/>
  <c r="N254" i="35"/>
  <c r="N246" i="35"/>
  <c r="N238" i="35"/>
  <c r="N230" i="35"/>
  <c r="N222" i="35"/>
  <c r="N259" i="35"/>
  <c r="N251" i="35"/>
  <c r="N243" i="35"/>
  <c r="N235" i="35"/>
  <c r="N227" i="35"/>
  <c r="N264" i="35"/>
  <c r="N256" i="35"/>
  <c r="N261" i="35"/>
  <c r="N245" i="35"/>
  <c r="N240" i="35"/>
  <c r="N229" i="35"/>
  <c r="N224" i="35"/>
  <c r="N253" i="35"/>
  <c r="N248" i="35"/>
  <c r="N237" i="35"/>
  <c r="N232" i="35"/>
  <c r="N221" i="35"/>
  <c r="N204" i="35"/>
  <c r="N196" i="35"/>
  <c r="N188" i="35"/>
  <c r="N209" i="35"/>
  <c r="N201" i="35"/>
  <c r="N193" i="35"/>
  <c r="N206" i="35"/>
  <c r="N198" i="35"/>
  <c r="N190" i="35"/>
  <c r="N208" i="35"/>
  <c r="N200" i="35"/>
  <c r="N192" i="35"/>
  <c r="N205" i="35"/>
  <c r="N197" i="35"/>
  <c r="N189" i="35"/>
  <c r="N202" i="35"/>
  <c r="N194" i="35"/>
  <c r="N185" i="35"/>
  <c r="N177" i="35"/>
  <c r="N169" i="35"/>
  <c r="N203" i="35"/>
  <c r="N182" i="35"/>
  <c r="N174" i="35"/>
  <c r="N187" i="35"/>
  <c r="N179" i="35"/>
  <c r="N171" i="35"/>
  <c r="N207" i="35"/>
  <c r="N191" i="35"/>
  <c r="N184" i="35"/>
  <c r="N176" i="35"/>
  <c r="N168" i="35"/>
  <c r="N181" i="35"/>
  <c r="N173" i="35"/>
  <c r="N195" i="35"/>
  <c r="N186" i="35"/>
  <c r="N178" i="35"/>
  <c r="N170" i="35"/>
  <c r="N183" i="35"/>
  <c r="N175" i="35"/>
  <c r="N167" i="35"/>
  <c r="N180" i="35"/>
  <c r="N199" i="35"/>
  <c r="N172" i="35"/>
  <c r="N115" i="38"/>
  <c r="N49" i="38" s="1"/>
  <c r="O84" i="47"/>
  <c r="O87" i="47"/>
  <c r="O86" i="47"/>
  <c r="O85" i="47"/>
  <c r="O83" i="47"/>
  <c r="O78" i="47"/>
  <c r="O81" i="47"/>
  <c r="O82" i="47"/>
  <c r="O79" i="47"/>
  <c r="O80" i="47"/>
  <c r="O265" i="47"/>
  <c r="O257" i="47"/>
  <c r="O249" i="47"/>
  <c r="O241" i="47"/>
  <c r="O262" i="47"/>
  <c r="O254" i="47"/>
  <c r="O246" i="47"/>
  <c r="O238" i="47"/>
  <c r="O264" i="47"/>
  <c r="O256" i="47"/>
  <c r="O248" i="47"/>
  <c r="O240" i="47"/>
  <c r="O261" i="47"/>
  <c r="O253" i="47"/>
  <c r="O245" i="47"/>
  <c r="O237" i="47"/>
  <c r="O258" i="47"/>
  <c r="O250" i="47"/>
  <c r="O242" i="47"/>
  <c r="O234" i="47"/>
  <c r="O259" i="47"/>
  <c r="O244" i="47"/>
  <c r="O230" i="47"/>
  <c r="O222" i="47"/>
  <c r="O247" i="47"/>
  <c r="O227" i="47"/>
  <c r="O252" i="47"/>
  <c r="O235" i="47"/>
  <c r="O232" i="47"/>
  <c r="O224" i="47"/>
  <c r="O255" i="47"/>
  <c r="O229" i="47"/>
  <c r="O221" i="47"/>
  <c r="O260" i="47"/>
  <c r="O243" i="47"/>
  <c r="O226" i="47"/>
  <c r="O263" i="47"/>
  <c r="O231" i="47"/>
  <c r="O223" i="47"/>
  <c r="O251" i="47"/>
  <c r="O236" i="47"/>
  <c r="O228" i="47"/>
  <c r="O220" i="47"/>
  <c r="O239" i="47"/>
  <c r="O233" i="47"/>
  <c r="O225" i="47"/>
  <c r="O205" i="47"/>
  <c r="O197" i="47"/>
  <c r="O189" i="47"/>
  <c r="O181" i="47"/>
  <c r="O173" i="47"/>
  <c r="O202" i="47"/>
  <c r="O194" i="47"/>
  <c r="O186" i="47"/>
  <c r="O178" i="47"/>
  <c r="O170" i="47"/>
  <c r="O207" i="47"/>
  <c r="O199" i="47"/>
  <c r="O191" i="47"/>
  <c r="O183" i="47"/>
  <c r="O175" i="47"/>
  <c r="O167" i="47"/>
  <c r="O204" i="47"/>
  <c r="O196" i="47"/>
  <c r="O188" i="47"/>
  <c r="O180" i="47"/>
  <c r="O172" i="47"/>
  <c r="O209" i="47"/>
  <c r="O201" i="47"/>
  <c r="O193" i="47"/>
  <c r="O185" i="47"/>
  <c r="O177" i="47"/>
  <c r="O169" i="47"/>
  <c r="O206" i="47"/>
  <c r="O198" i="47"/>
  <c r="O190" i="47"/>
  <c r="O182" i="47"/>
  <c r="O174" i="47"/>
  <c r="O203" i="47"/>
  <c r="O195" i="47"/>
  <c r="O187" i="47"/>
  <c r="O179" i="47"/>
  <c r="O171" i="47"/>
  <c r="O192" i="47"/>
  <c r="O184" i="47"/>
  <c r="O208" i="47"/>
  <c r="O176" i="47"/>
  <c r="O168" i="47"/>
  <c r="O200" i="47"/>
  <c r="O265" i="50"/>
  <c r="O257" i="50"/>
  <c r="O249" i="50"/>
  <c r="O262" i="50"/>
  <c r="O254" i="50"/>
  <c r="O246" i="50"/>
  <c r="O259" i="50"/>
  <c r="O251" i="50"/>
  <c r="O264" i="50"/>
  <c r="O256" i="50"/>
  <c r="O248" i="50"/>
  <c r="O261" i="50"/>
  <c r="O253" i="50"/>
  <c r="O258" i="50"/>
  <c r="O250" i="50"/>
  <c r="O263" i="50"/>
  <c r="O255" i="50"/>
  <c r="O247" i="50"/>
  <c r="O243" i="50"/>
  <c r="O235" i="50"/>
  <c r="O227" i="50"/>
  <c r="O240" i="50"/>
  <c r="O232" i="50"/>
  <c r="O224" i="50"/>
  <c r="O245" i="50"/>
  <c r="O237" i="50"/>
  <c r="O229" i="50"/>
  <c r="O221" i="50"/>
  <c r="O242" i="50"/>
  <c r="O234" i="50"/>
  <c r="O226" i="50"/>
  <c r="O239" i="50"/>
  <c r="O231" i="50"/>
  <c r="O223" i="50"/>
  <c r="O260" i="50"/>
  <c r="O244" i="50"/>
  <c r="O236" i="50"/>
  <c r="O228" i="50"/>
  <c r="O220" i="50"/>
  <c r="O241" i="50"/>
  <c r="O233" i="50"/>
  <c r="O222" i="50"/>
  <c r="O230" i="50"/>
  <c r="O225" i="50"/>
  <c r="O252" i="50"/>
  <c r="O238" i="50"/>
  <c r="O209" i="50"/>
  <c r="O201" i="50"/>
  <c r="O193" i="50"/>
  <c r="O185" i="50"/>
  <c r="O177" i="50"/>
  <c r="O206" i="50"/>
  <c r="O198" i="50"/>
  <c r="O190" i="50"/>
  <c r="O182" i="50"/>
  <c r="O203" i="50"/>
  <c r="O195" i="50"/>
  <c r="O187" i="50"/>
  <c r="O179" i="50"/>
  <c r="O208" i="50"/>
  <c r="O205" i="50"/>
  <c r="O197" i="50"/>
  <c r="O189" i="50"/>
  <c r="O181" i="50"/>
  <c r="O202" i="50"/>
  <c r="O194" i="50"/>
  <c r="O186" i="50"/>
  <c r="O178" i="50"/>
  <c r="O207" i="50"/>
  <c r="O199" i="50"/>
  <c r="O191" i="50"/>
  <c r="O183" i="50"/>
  <c r="O175" i="50"/>
  <c r="O167" i="50"/>
  <c r="O204" i="50"/>
  <c r="O188" i="50"/>
  <c r="O172" i="50"/>
  <c r="O169" i="50"/>
  <c r="O192" i="50"/>
  <c r="O176" i="50"/>
  <c r="O174" i="50"/>
  <c r="O171" i="50"/>
  <c r="O196" i="50"/>
  <c r="O180" i="50"/>
  <c r="O168" i="50"/>
  <c r="O173" i="50"/>
  <c r="O170" i="50"/>
  <c r="O184" i="50"/>
  <c r="O200" i="50"/>
  <c r="O86" i="53"/>
  <c r="O81" i="53"/>
  <c r="O80" i="53"/>
  <c r="O84" i="53"/>
  <c r="O87" i="53"/>
  <c r="O82" i="53"/>
  <c r="O79" i="53"/>
  <c r="O85" i="53"/>
  <c r="O88" i="53"/>
  <c r="O83" i="53"/>
  <c r="O78" i="53"/>
  <c r="O259" i="53"/>
  <c r="O251" i="53"/>
  <c r="O243" i="53"/>
  <c r="O235" i="53"/>
  <c r="O227" i="53"/>
  <c r="O264" i="53"/>
  <c r="O256" i="53"/>
  <c r="O248" i="53"/>
  <c r="O240" i="53"/>
  <c r="O232" i="53"/>
  <c r="O224" i="53"/>
  <c r="O261" i="53"/>
  <c r="O253" i="53"/>
  <c r="O245" i="53"/>
  <c r="O237" i="53"/>
  <c r="O229" i="53"/>
  <c r="O221" i="53"/>
  <c r="O258" i="53"/>
  <c r="O250" i="53"/>
  <c r="O242" i="53"/>
  <c r="O234" i="53"/>
  <c r="O226" i="53"/>
  <c r="O263" i="53"/>
  <c r="O255" i="53"/>
  <c r="O247" i="53"/>
  <c r="O239" i="53"/>
  <c r="O231" i="53"/>
  <c r="O223" i="53"/>
  <c r="O260" i="53"/>
  <c r="O252" i="53"/>
  <c r="O244" i="53"/>
  <c r="O236" i="53"/>
  <c r="O228" i="53"/>
  <c r="O220" i="53"/>
  <c r="O265" i="53"/>
  <c r="O257" i="53"/>
  <c r="O249" i="53"/>
  <c r="O241" i="53"/>
  <c r="O233" i="53"/>
  <c r="O225" i="53"/>
  <c r="O262" i="53"/>
  <c r="O230" i="53"/>
  <c r="O254" i="53"/>
  <c r="O222" i="53"/>
  <c r="O246" i="53"/>
  <c r="O238" i="53"/>
  <c r="O203" i="53"/>
  <c r="O195" i="53"/>
  <c r="O187" i="53"/>
  <c r="O179" i="53"/>
  <c r="O171" i="53"/>
  <c r="O208" i="53"/>
  <c r="O200" i="53"/>
  <c r="O192" i="53"/>
  <c r="O184" i="53"/>
  <c r="O176" i="53"/>
  <c r="O168" i="53"/>
  <c r="O205" i="53"/>
  <c r="O197" i="53"/>
  <c r="O189" i="53"/>
  <c r="O181" i="53"/>
  <c r="O173" i="53"/>
  <c r="O202" i="53"/>
  <c r="O194" i="53"/>
  <c r="O186" i="53"/>
  <c r="O178" i="53"/>
  <c r="O170" i="53"/>
  <c r="O207" i="53"/>
  <c r="O199" i="53"/>
  <c r="O191" i="53"/>
  <c r="O183" i="53"/>
  <c r="O175" i="53"/>
  <c r="O167" i="53"/>
  <c r="O204" i="53"/>
  <c r="O196" i="53"/>
  <c r="O188" i="53"/>
  <c r="O180" i="53"/>
  <c r="O172" i="53"/>
  <c r="O209" i="53"/>
  <c r="O201" i="53"/>
  <c r="O193" i="53"/>
  <c r="O185" i="53"/>
  <c r="O177" i="53"/>
  <c r="O169" i="53"/>
  <c r="O198" i="53"/>
  <c r="O190" i="53"/>
  <c r="O182" i="53"/>
  <c r="O174" i="53"/>
  <c r="O206" i="53"/>
  <c r="Q164" i="59"/>
  <c r="S164" i="59" s="1"/>
  <c r="T164" i="59" s="1"/>
  <c r="L106" i="70"/>
  <c r="N113" i="70"/>
  <c r="N25" i="70"/>
  <c r="N25" i="72"/>
  <c r="N83" i="59"/>
  <c r="N146" i="72" s="1"/>
  <c r="J115" i="17"/>
  <c r="J49" i="17" s="1"/>
  <c r="N214" i="47"/>
  <c r="O14" i="59" s="1"/>
  <c r="N267" i="29"/>
  <c r="O45" i="59" s="1"/>
  <c r="M214" i="44"/>
  <c r="N5" i="59" s="1"/>
  <c r="M267" i="23"/>
  <c r="N44" i="59" s="1"/>
  <c r="J214" i="11"/>
  <c r="K12" i="59" s="1"/>
  <c r="N26" i="70"/>
  <c r="N26" i="72"/>
  <c r="M39" i="41" s="1"/>
  <c r="N84" i="59"/>
  <c r="N147" i="72" s="1"/>
  <c r="M41" i="41" s="1"/>
  <c r="N37" i="72"/>
  <c r="M40" i="5" s="1"/>
  <c r="N37" i="70"/>
  <c r="L77" i="70"/>
  <c r="J71" i="59"/>
  <c r="J134" i="72" s="1"/>
  <c r="I41" i="14" s="1"/>
  <c r="J13" i="72"/>
  <c r="I39" i="14" s="1"/>
  <c r="J13" i="70"/>
  <c r="M103" i="72"/>
  <c r="L103" i="72"/>
  <c r="S131" i="17"/>
  <c r="O158" i="59"/>
  <c r="N258" i="23"/>
  <c r="N250" i="23"/>
  <c r="N242" i="23"/>
  <c r="N234" i="23"/>
  <c r="N226" i="23"/>
  <c r="N263" i="23"/>
  <c r="N255" i="23"/>
  <c r="N247" i="23"/>
  <c r="N239" i="23"/>
  <c r="N231" i="23"/>
  <c r="N223" i="23"/>
  <c r="N260" i="23"/>
  <c r="N252" i="23"/>
  <c r="N244" i="23"/>
  <c r="N236" i="23"/>
  <c r="N228" i="23"/>
  <c r="N220" i="23"/>
  <c r="N265" i="23"/>
  <c r="N257" i="23"/>
  <c r="N249" i="23"/>
  <c r="N241" i="23"/>
  <c r="N233" i="23"/>
  <c r="N225" i="23"/>
  <c r="N262" i="23"/>
  <c r="N254" i="23"/>
  <c r="N246" i="23"/>
  <c r="N238" i="23"/>
  <c r="N230" i="23"/>
  <c r="N222" i="23"/>
  <c r="N259" i="23"/>
  <c r="N251" i="23"/>
  <c r="N243" i="23"/>
  <c r="N235" i="23"/>
  <c r="N227" i="23"/>
  <c r="N264" i="23"/>
  <c r="N256" i="23"/>
  <c r="N248" i="23"/>
  <c r="N240" i="23"/>
  <c r="N232" i="23"/>
  <c r="N224" i="23"/>
  <c r="N261" i="23"/>
  <c r="N229" i="23"/>
  <c r="N253" i="23"/>
  <c r="N221" i="23"/>
  <c r="N245" i="23"/>
  <c r="N237" i="23"/>
  <c r="N208" i="23"/>
  <c r="N205" i="23"/>
  <c r="N207" i="23"/>
  <c r="N204" i="23"/>
  <c r="N209" i="23"/>
  <c r="N203" i="23"/>
  <c r="N195" i="23"/>
  <c r="N187" i="23"/>
  <c r="N179" i="23"/>
  <c r="N171" i="23"/>
  <c r="N197" i="23"/>
  <c r="N189" i="23"/>
  <c r="N181" i="23"/>
  <c r="N173" i="23"/>
  <c r="N202" i="23"/>
  <c r="N194" i="23"/>
  <c r="N186" i="23"/>
  <c r="N178" i="23"/>
  <c r="N170" i="23"/>
  <c r="N199" i="23"/>
  <c r="N191" i="23"/>
  <c r="N183" i="23"/>
  <c r="N175" i="23"/>
  <c r="N167" i="23"/>
  <c r="N196" i="23"/>
  <c r="N188" i="23"/>
  <c r="N180" i="23"/>
  <c r="N172" i="23"/>
  <c r="N206" i="23"/>
  <c r="N201" i="23"/>
  <c r="N193" i="23"/>
  <c r="N185" i="23"/>
  <c r="N190" i="23"/>
  <c r="N192" i="23"/>
  <c r="N168" i="23"/>
  <c r="N198" i="23"/>
  <c r="N182" i="23"/>
  <c r="N176" i="23"/>
  <c r="N169" i="23"/>
  <c r="N200" i="23"/>
  <c r="N177" i="23"/>
  <c r="N174" i="23"/>
  <c r="N184" i="23"/>
  <c r="M115" i="35"/>
  <c r="M49" i="35" s="1"/>
  <c r="O265" i="41"/>
  <c r="O258" i="41"/>
  <c r="O250" i="41"/>
  <c r="O242" i="41"/>
  <c r="O234" i="41"/>
  <c r="O226" i="41"/>
  <c r="O263" i="41"/>
  <c r="O255" i="41"/>
  <c r="O247" i="41"/>
  <c r="O239" i="41"/>
  <c r="O231" i="41"/>
  <c r="O223" i="41"/>
  <c r="O260" i="41"/>
  <c r="O252" i="41"/>
  <c r="O244" i="41"/>
  <c r="O236" i="41"/>
  <c r="O228" i="41"/>
  <c r="O220" i="41"/>
  <c r="O257" i="41"/>
  <c r="O249" i="41"/>
  <c r="O241" i="41"/>
  <c r="O233" i="41"/>
  <c r="O225" i="41"/>
  <c r="O262" i="41"/>
  <c r="O254" i="41"/>
  <c r="O246" i="41"/>
  <c r="O238" i="41"/>
  <c r="O230" i="41"/>
  <c r="O222" i="41"/>
  <c r="O259" i="41"/>
  <c r="O251" i="41"/>
  <c r="O243" i="41"/>
  <c r="O235" i="41"/>
  <c r="O227" i="41"/>
  <c r="O253" i="41"/>
  <c r="O237" i="41"/>
  <c r="O221" i="41"/>
  <c r="O248" i="41"/>
  <c r="O232" i="41"/>
  <c r="O264" i="41"/>
  <c r="O261" i="41"/>
  <c r="O245" i="41"/>
  <c r="O229" i="41"/>
  <c r="O256" i="41"/>
  <c r="O240" i="41"/>
  <c r="O224" i="41"/>
  <c r="O204" i="41"/>
  <c r="O196" i="41"/>
  <c r="O188" i="41"/>
  <c r="O180" i="41"/>
  <c r="O172" i="41"/>
  <c r="O209" i="41"/>
  <c r="O201" i="41"/>
  <c r="O193" i="41"/>
  <c r="O185" i="41"/>
  <c r="O177" i="41"/>
  <c r="O169" i="41"/>
  <c r="O206" i="41"/>
  <c r="O198" i="41"/>
  <c r="O190" i="41"/>
  <c r="O182" i="41"/>
  <c r="O174" i="41"/>
  <c r="O203" i="41"/>
  <c r="O195" i="41"/>
  <c r="O187" i="41"/>
  <c r="O179" i="41"/>
  <c r="O171" i="41"/>
  <c r="O208" i="41"/>
  <c r="O200" i="41"/>
  <c r="O192" i="41"/>
  <c r="O184" i="41"/>
  <c r="O176" i="41"/>
  <c r="O168" i="41"/>
  <c r="O205" i="41"/>
  <c r="O197" i="41"/>
  <c r="O189" i="41"/>
  <c r="O181" i="41"/>
  <c r="O173" i="41"/>
  <c r="O202" i="41"/>
  <c r="O194" i="41"/>
  <c r="O186" i="41"/>
  <c r="O178" i="41"/>
  <c r="O170" i="41"/>
  <c r="O191" i="41"/>
  <c r="O183" i="41"/>
  <c r="O167" i="41"/>
  <c r="O207" i="41"/>
  <c r="O199" i="41"/>
  <c r="O175" i="41"/>
  <c r="N115" i="47"/>
  <c r="N49" i="47" s="1"/>
  <c r="N115" i="50"/>
  <c r="N49" i="50" s="1"/>
  <c r="P102" i="70"/>
  <c r="M34" i="72"/>
  <c r="L40" i="44" s="1"/>
  <c r="M34" i="70"/>
  <c r="J9" i="72"/>
  <c r="J67" i="59"/>
  <c r="J130" i="72" s="1"/>
  <c r="I41" i="17" s="1"/>
  <c r="J9" i="70"/>
  <c r="J27" i="59"/>
  <c r="M15" i="72"/>
  <c r="L39" i="23" s="1"/>
  <c r="M73" i="59"/>
  <c r="M136" i="72" s="1"/>
  <c r="M15" i="70"/>
  <c r="M73" i="70" s="1"/>
  <c r="N267" i="26"/>
  <c r="O52" i="59" s="1"/>
  <c r="M11" i="70"/>
  <c r="M11" i="72"/>
  <c r="L39" i="32" s="1"/>
  <c r="N8" i="70"/>
  <c r="N8" i="72"/>
  <c r="M39" i="5" s="1"/>
  <c r="N66" i="59"/>
  <c r="N129" i="72" s="1"/>
  <c r="M41" i="5" s="1"/>
  <c r="M72" i="70"/>
  <c r="M130" i="70" s="1"/>
  <c r="M214" i="32"/>
  <c r="N11" i="59" s="1"/>
  <c r="M267" i="8"/>
  <c r="M214" i="35"/>
  <c r="N19" i="59" s="1"/>
  <c r="N317" i="59" s="1"/>
  <c r="K260" i="17"/>
  <c r="K265" i="17"/>
  <c r="K257" i="17"/>
  <c r="K262" i="17"/>
  <c r="K259" i="17"/>
  <c r="K264" i="17"/>
  <c r="K256" i="17"/>
  <c r="K263" i="17"/>
  <c r="K261" i="17"/>
  <c r="K250" i="17"/>
  <c r="K242" i="17"/>
  <c r="K234" i="17"/>
  <c r="K226" i="17"/>
  <c r="K255" i="17"/>
  <c r="K247" i="17"/>
  <c r="K239" i="17"/>
  <c r="K231" i="17"/>
  <c r="K223" i="17"/>
  <c r="K252" i="17"/>
  <c r="K244" i="17"/>
  <c r="K236" i="17"/>
  <c r="K228" i="17"/>
  <c r="K220" i="17"/>
  <c r="K249" i="17"/>
  <c r="K241" i="17"/>
  <c r="K233" i="17"/>
  <c r="K225" i="17"/>
  <c r="K254" i="17"/>
  <c r="K246" i="17"/>
  <c r="K238" i="17"/>
  <c r="K230" i="17"/>
  <c r="K222" i="17"/>
  <c r="K251" i="17"/>
  <c r="K243" i="17"/>
  <c r="K235" i="17"/>
  <c r="K227" i="17"/>
  <c r="K248" i="17"/>
  <c r="K240" i="17"/>
  <c r="K232" i="17"/>
  <c r="K224" i="17"/>
  <c r="K245" i="17"/>
  <c r="K237" i="17"/>
  <c r="K258" i="17"/>
  <c r="K229" i="17"/>
  <c r="K253" i="17"/>
  <c r="K221" i="17"/>
  <c r="K202" i="17"/>
  <c r="K194" i="17"/>
  <c r="K186" i="17"/>
  <c r="K178" i="17"/>
  <c r="K170" i="17"/>
  <c r="K204" i="17"/>
  <c r="K206" i="17"/>
  <c r="K198" i="17"/>
  <c r="K190" i="17"/>
  <c r="K182" i="17"/>
  <c r="K203" i="17"/>
  <c r="K195" i="17"/>
  <c r="K187" i="17"/>
  <c r="K179" i="17"/>
  <c r="K171" i="17"/>
  <c r="K191" i="17"/>
  <c r="K189" i="17"/>
  <c r="K192" i="17"/>
  <c r="K180" i="17"/>
  <c r="K174" i="17"/>
  <c r="K209" i="17"/>
  <c r="K201" i="17"/>
  <c r="K183" i="17"/>
  <c r="K181" i="17"/>
  <c r="K173" i="17"/>
  <c r="K172" i="17"/>
  <c r="K205" i="17"/>
  <c r="K193" i="17"/>
  <c r="K184" i="17"/>
  <c r="K169" i="17"/>
  <c r="K168" i="17"/>
  <c r="K167" i="17"/>
  <c r="K207" i="17"/>
  <c r="K199" i="17"/>
  <c r="K197" i="17"/>
  <c r="K175" i="17"/>
  <c r="K208" i="17"/>
  <c r="K176" i="17"/>
  <c r="K200" i="17"/>
  <c r="K188" i="17"/>
  <c r="K185" i="17"/>
  <c r="K196" i="17"/>
  <c r="K177" i="17"/>
  <c r="K91" i="17"/>
  <c r="K72" i="17"/>
  <c r="K90" i="17"/>
  <c r="K89" i="17"/>
  <c r="K88" i="17"/>
  <c r="K87" i="17"/>
  <c r="K86" i="17"/>
  <c r="K71" i="17"/>
  <c r="K73" i="17"/>
  <c r="K70" i="17"/>
  <c r="K74" i="17"/>
  <c r="K75" i="17"/>
  <c r="K76" i="17"/>
  <c r="K77" i="17"/>
  <c r="K78" i="17"/>
  <c r="K79" i="17"/>
  <c r="K80" i="17"/>
  <c r="K81" i="17"/>
  <c r="K82" i="17"/>
  <c r="K83" i="17"/>
  <c r="K84" i="17"/>
  <c r="K85" i="17"/>
  <c r="K69" i="17"/>
  <c r="L73" i="70"/>
  <c r="L131" i="70" s="1"/>
  <c r="N267" i="53"/>
  <c r="O54" i="59" s="1"/>
  <c r="N214" i="29"/>
  <c r="O16" i="59" s="1"/>
  <c r="J41" i="70"/>
  <c r="J41" i="72"/>
  <c r="I40" i="11" s="1"/>
  <c r="N214" i="41"/>
  <c r="O26" i="59" s="1"/>
  <c r="N43" i="72"/>
  <c r="M40" i="47" s="1"/>
  <c r="N43" i="70"/>
  <c r="N14" i="70"/>
  <c r="N14" i="72"/>
  <c r="M39" i="47" s="1"/>
  <c r="N72" i="59"/>
  <c r="N135" i="72" s="1"/>
  <c r="M41" i="47" s="1"/>
  <c r="K105" i="70"/>
  <c r="K134" i="70" s="1"/>
  <c r="L105" i="72"/>
  <c r="J105" i="70"/>
  <c r="J134" i="70" s="1"/>
  <c r="M105" i="70"/>
  <c r="M134" i="70" s="1"/>
  <c r="K105" i="72"/>
  <c r="S132" i="20"/>
  <c r="O105" i="70" s="1"/>
  <c r="O134" i="70" s="1"/>
  <c r="N105" i="72"/>
  <c r="Q105" i="72"/>
  <c r="N115" i="1"/>
  <c r="N49" i="1" s="1"/>
  <c r="N267" i="1"/>
  <c r="O33" i="59" s="1"/>
  <c r="N214" i="1"/>
  <c r="O4" i="59" s="1"/>
  <c r="O84" i="1"/>
  <c r="O82" i="1"/>
  <c r="O85" i="1"/>
  <c r="O87" i="1"/>
  <c r="O83" i="1"/>
  <c r="O86" i="1"/>
  <c r="O88" i="1"/>
  <c r="O228" i="1"/>
  <c r="O236" i="1"/>
  <c r="O244" i="1"/>
  <c r="O252" i="1"/>
  <c r="O260" i="1"/>
  <c r="O220" i="1"/>
  <c r="O199" i="1"/>
  <c r="O207" i="1"/>
  <c r="O173" i="1"/>
  <c r="O181" i="1"/>
  <c r="O223" i="1"/>
  <c r="O231" i="1"/>
  <c r="O239" i="1"/>
  <c r="O247" i="1"/>
  <c r="O255" i="1"/>
  <c r="O263" i="1"/>
  <c r="O194" i="1"/>
  <c r="O202" i="1"/>
  <c r="O172" i="1"/>
  <c r="O180" i="1"/>
  <c r="O226" i="1"/>
  <c r="O234" i="1"/>
  <c r="O242" i="1"/>
  <c r="O250" i="1"/>
  <c r="O258" i="1"/>
  <c r="O197" i="1"/>
  <c r="O205" i="1"/>
  <c r="O171" i="1"/>
  <c r="O179" i="1"/>
  <c r="O221" i="1"/>
  <c r="O229" i="1"/>
  <c r="O237" i="1"/>
  <c r="O245" i="1"/>
  <c r="O253" i="1"/>
  <c r="O261" i="1"/>
  <c r="O200" i="1"/>
  <c r="O208" i="1"/>
  <c r="O170" i="1"/>
  <c r="O178" i="1"/>
  <c r="O224" i="1"/>
  <c r="O232" i="1"/>
  <c r="O240" i="1"/>
  <c r="O248" i="1"/>
  <c r="O256" i="1"/>
  <c r="O264" i="1"/>
  <c r="O195" i="1"/>
  <c r="O203" i="1"/>
  <c r="O169" i="1"/>
  <c r="O177" i="1"/>
  <c r="O227" i="1"/>
  <c r="O235" i="1"/>
  <c r="O243" i="1"/>
  <c r="O251" i="1"/>
  <c r="O259" i="1"/>
  <c r="O198" i="1"/>
  <c r="O206" i="1"/>
  <c r="O168" i="1"/>
  <c r="O176" i="1"/>
  <c r="O222" i="1"/>
  <c r="O230" i="1"/>
  <c r="O238" i="1"/>
  <c r="O246" i="1"/>
  <c r="O254" i="1"/>
  <c r="O262" i="1"/>
  <c r="O201" i="1"/>
  <c r="O209" i="1"/>
  <c r="O167" i="1"/>
  <c r="O175" i="1"/>
  <c r="O185" i="1"/>
  <c r="O193" i="1"/>
  <c r="O186" i="1"/>
  <c r="O225" i="1"/>
  <c r="O184" i="1"/>
  <c r="O192" i="1"/>
  <c r="O233" i="1"/>
  <c r="O183" i="1"/>
  <c r="O191" i="1"/>
  <c r="O204" i="1"/>
  <c r="O241" i="1"/>
  <c r="O190" i="1"/>
  <c r="O249" i="1"/>
  <c r="O189" i="1"/>
  <c r="O174" i="1"/>
  <c r="O257" i="1"/>
  <c r="O188" i="1"/>
  <c r="O265" i="1"/>
  <c r="O196" i="1"/>
  <c r="O182" i="1"/>
  <c r="O187" i="1"/>
  <c r="O74" i="1"/>
  <c r="O72" i="1"/>
  <c r="O77" i="1"/>
  <c r="O80" i="1"/>
  <c r="O73" i="1"/>
  <c r="O79" i="1"/>
  <c r="O71" i="1"/>
  <c r="O78" i="1"/>
  <c r="O81" i="1"/>
  <c r="O75" i="1"/>
  <c r="O70" i="1"/>
  <c r="O76" i="1"/>
  <c r="N33" i="70"/>
  <c r="N33" i="72"/>
  <c r="N4" i="72"/>
  <c r="N4" i="70"/>
  <c r="N62" i="59"/>
  <c r="J102" i="72"/>
  <c r="I102" i="70"/>
  <c r="I131" i="70" s="1"/>
  <c r="J164" i="59"/>
  <c r="I92" i="72"/>
  <c r="H92" i="70"/>
  <c r="I154" i="59"/>
  <c r="I97" i="72"/>
  <c r="H97" i="70"/>
  <c r="H126" i="70" s="1"/>
  <c r="I159" i="59"/>
  <c r="J106" i="72"/>
  <c r="I106" i="70"/>
  <c r="I135" i="70" s="1"/>
  <c r="J168" i="59"/>
  <c r="I102" i="72"/>
  <c r="H102" i="70"/>
  <c r="H131" i="70" s="1"/>
  <c r="I164" i="59"/>
  <c r="J111" i="72"/>
  <c r="I111" i="70"/>
  <c r="I140" i="70" s="1"/>
  <c r="J173" i="59"/>
  <c r="N115" i="53"/>
  <c r="N49" i="53" s="1"/>
  <c r="I105" i="72"/>
  <c r="H105" i="70"/>
  <c r="H134" i="70" s="1"/>
  <c r="J105" i="72"/>
  <c r="I105" i="70"/>
  <c r="I134" i="70" s="1"/>
  <c r="J112" i="72"/>
  <c r="I112" i="70"/>
  <c r="I141" i="70" s="1"/>
  <c r="J174" i="59"/>
  <c r="I112" i="72"/>
  <c r="H112" i="70"/>
  <c r="H141" i="70" s="1"/>
  <c r="I174" i="59"/>
  <c r="L64" i="70"/>
  <c r="M35" i="59"/>
  <c r="N79" i="8"/>
  <c r="N81" i="8"/>
  <c r="N80" i="8"/>
  <c r="N78" i="8"/>
  <c r="N264" i="8"/>
  <c r="N256" i="8"/>
  <c r="N248" i="8"/>
  <c r="N240" i="8"/>
  <c r="N232" i="8"/>
  <c r="N224" i="8"/>
  <c r="N206" i="8"/>
  <c r="N198" i="8"/>
  <c r="N190" i="8"/>
  <c r="N261" i="8"/>
  <c r="N253" i="8"/>
  <c r="N245" i="8"/>
  <c r="N237" i="8"/>
  <c r="N229" i="8"/>
  <c r="N221" i="8"/>
  <c r="N203" i="8"/>
  <c r="N195" i="8"/>
  <c r="N258" i="8"/>
  <c r="N250" i="8"/>
  <c r="N242" i="8"/>
  <c r="N234" i="8"/>
  <c r="N226" i="8"/>
  <c r="N208" i="8"/>
  <c r="N200" i="8"/>
  <c r="N192" i="8"/>
  <c r="N263" i="8"/>
  <c r="N255" i="8"/>
  <c r="N247" i="8"/>
  <c r="N239" i="8"/>
  <c r="N231" i="8"/>
  <c r="N223" i="8"/>
  <c r="N205" i="8"/>
  <c r="N197" i="8"/>
  <c r="N189" i="8"/>
  <c r="N260" i="8"/>
  <c r="N252" i="8"/>
  <c r="N244" i="8"/>
  <c r="N236" i="8"/>
  <c r="N228" i="8"/>
  <c r="N220" i="8"/>
  <c r="N202" i="8"/>
  <c r="N194" i="8"/>
  <c r="N265" i="8"/>
  <c r="N257" i="8"/>
  <c r="N249" i="8"/>
  <c r="N241" i="8"/>
  <c r="N233" i="8"/>
  <c r="N225" i="8"/>
  <c r="N207" i="8"/>
  <c r="N199" i="8"/>
  <c r="N191" i="8"/>
  <c r="N262" i="8"/>
  <c r="N254" i="8"/>
  <c r="N246" i="8"/>
  <c r="N238" i="8"/>
  <c r="N230" i="8"/>
  <c r="N222" i="8"/>
  <c r="N204" i="8"/>
  <c r="N196" i="8"/>
  <c r="N259" i="8"/>
  <c r="N251" i="8"/>
  <c r="N243" i="8"/>
  <c r="N235" i="8"/>
  <c r="N227" i="8"/>
  <c r="N209" i="8"/>
  <c r="N201" i="8"/>
  <c r="N193" i="8"/>
  <c r="N183" i="8"/>
  <c r="N175" i="8"/>
  <c r="N167" i="8"/>
  <c r="N188" i="8"/>
  <c r="N180" i="8"/>
  <c r="N172" i="8"/>
  <c r="N185" i="8"/>
  <c r="N177" i="8"/>
  <c r="N169" i="8"/>
  <c r="N182" i="8"/>
  <c r="N174" i="8"/>
  <c r="N187" i="8"/>
  <c r="N179" i="8"/>
  <c r="N171" i="8"/>
  <c r="N184" i="8"/>
  <c r="N176" i="8"/>
  <c r="N168" i="8"/>
  <c r="N181" i="8"/>
  <c r="N173" i="8"/>
  <c r="N186" i="8"/>
  <c r="N178" i="8"/>
  <c r="N170" i="8"/>
  <c r="N73" i="8"/>
  <c r="N70" i="8"/>
  <c r="N75" i="8"/>
  <c r="N72" i="8"/>
  <c r="N71" i="8"/>
  <c r="N77" i="8"/>
  <c r="N69" i="8"/>
  <c r="N74" i="8"/>
  <c r="N76" i="8"/>
  <c r="M6" i="70"/>
  <c r="M214" i="8"/>
  <c r="N6" i="59" s="1"/>
  <c r="J163" i="59"/>
  <c r="I101" i="70"/>
  <c r="I130" i="70" s="1"/>
  <c r="I163" i="59"/>
  <c r="H101" i="70"/>
  <c r="H130" i="70" s="1"/>
  <c r="H103" i="70"/>
  <c r="H132" i="70" s="1"/>
  <c r="I165" i="59"/>
  <c r="I103" i="70"/>
  <c r="I132" i="70" s="1"/>
  <c r="J165" i="59"/>
  <c r="AL15" i="18"/>
  <c r="AL19" i="18" s="1"/>
  <c r="AP15" i="18"/>
  <c r="AP19" i="18" s="1"/>
  <c r="AM15" i="18"/>
  <c r="AM19" i="18" s="1"/>
  <c r="I15" i="18"/>
  <c r="I19" i="18" s="1"/>
  <c r="H15" i="18"/>
  <c r="H19" i="18" s="1"/>
  <c r="AN15" i="18"/>
  <c r="AN19" i="18" s="1"/>
  <c r="M15" i="18"/>
  <c r="M19" i="18" s="1"/>
  <c r="H27" i="18"/>
  <c r="K15" i="18"/>
  <c r="K19" i="18" s="1"/>
  <c r="T15" i="18"/>
  <c r="T19" i="18" s="1"/>
  <c r="AQ15" i="18"/>
  <c r="AQ19" i="18" s="1"/>
  <c r="X15" i="18"/>
  <c r="X19" i="18" s="1"/>
  <c r="AF15" i="18"/>
  <c r="AF19" i="18" s="1"/>
  <c r="AC15" i="18"/>
  <c r="AC19" i="18" s="1"/>
  <c r="D15" i="18"/>
  <c r="D19" i="18" s="1"/>
  <c r="D21" i="18" s="1"/>
  <c r="D23" i="18" s="1"/>
  <c r="D25" i="18" s="1"/>
  <c r="O15" i="18"/>
  <c r="O19" i="18" s="1"/>
  <c r="F15" i="18"/>
  <c r="F19" i="18" s="1"/>
  <c r="AB15" i="18"/>
  <c r="AB19" i="18" s="1"/>
  <c r="E15" i="18"/>
  <c r="E19" i="18" s="1"/>
  <c r="AD15" i="18"/>
  <c r="AD19" i="18" s="1"/>
  <c r="AO15" i="18"/>
  <c r="AO19" i="18" s="1"/>
  <c r="G15" i="18"/>
  <c r="G19" i="18" s="1"/>
  <c r="Q15" i="18"/>
  <c r="Q19" i="18" s="1"/>
  <c r="Y15" i="18"/>
  <c r="Y19" i="18" s="1"/>
  <c r="V15" i="18"/>
  <c r="V19" i="18" s="1"/>
  <c r="AE15" i="18"/>
  <c r="AE19" i="18" s="1"/>
  <c r="AG15" i="18"/>
  <c r="AG19" i="18" s="1"/>
  <c r="J15" i="18"/>
  <c r="J19" i="18" s="1"/>
  <c r="U15" i="18"/>
  <c r="U19" i="18" s="1"/>
  <c r="S15" i="18"/>
  <c r="S19" i="18" s="1"/>
  <c r="L15" i="18"/>
  <c r="L19" i="18" s="1"/>
  <c r="R15" i="18"/>
  <c r="R19" i="18" s="1"/>
  <c r="N15" i="18"/>
  <c r="N19" i="18" s="1"/>
  <c r="W15" i="18"/>
  <c r="W19" i="18" s="1"/>
  <c r="Z15" i="18"/>
  <c r="Z19" i="18" s="1"/>
  <c r="AA15" i="18"/>
  <c r="AA19" i="18" s="1"/>
  <c r="AJ15" i="18"/>
  <c r="AJ19" i="18" s="1"/>
  <c r="AH15" i="18"/>
  <c r="AH19" i="18" s="1"/>
  <c r="AI15" i="18"/>
  <c r="AI19" i="18" s="1"/>
  <c r="P15" i="18"/>
  <c r="P19" i="18" s="1"/>
  <c r="AK15" i="18"/>
  <c r="AK19" i="18" s="1"/>
  <c r="G21" i="54"/>
  <c r="F23" i="54"/>
  <c r="F25" i="54" s="1"/>
  <c r="O76" i="53"/>
  <c r="O74" i="53"/>
  <c r="O72" i="53"/>
  <c r="O70" i="53"/>
  <c r="O77" i="53"/>
  <c r="O75" i="53"/>
  <c r="O73" i="53"/>
  <c r="O71" i="53"/>
  <c r="O69" i="53"/>
  <c r="G23" i="51"/>
  <c r="G25" i="51" s="1"/>
  <c r="H21" i="51"/>
  <c r="O76" i="50"/>
  <c r="O74" i="50"/>
  <c r="O72" i="50"/>
  <c r="O70" i="50"/>
  <c r="O77" i="50"/>
  <c r="O75" i="50"/>
  <c r="O73" i="50"/>
  <c r="O71" i="50"/>
  <c r="O69" i="50"/>
  <c r="O77" i="47"/>
  <c r="O75" i="47"/>
  <c r="O73" i="47"/>
  <c r="O71" i="47"/>
  <c r="O69" i="47"/>
  <c r="O74" i="47"/>
  <c r="O70" i="47"/>
  <c r="O76" i="47"/>
  <c r="O72" i="47"/>
  <c r="G21" i="48"/>
  <c r="F23" i="48"/>
  <c r="F25" i="48" s="1"/>
  <c r="G23" i="45"/>
  <c r="G25" i="45" s="1"/>
  <c r="H21" i="45"/>
  <c r="N76" i="44"/>
  <c r="N74" i="44"/>
  <c r="N75" i="44"/>
  <c r="N69" i="44"/>
  <c r="N73" i="44"/>
  <c r="N72" i="44"/>
  <c r="N70" i="44"/>
  <c r="N71" i="44"/>
  <c r="N77" i="44"/>
  <c r="O77" i="41"/>
  <c r="O75" i="41"/>
  <c r="O73" i="41"/>
  <c r="O71" i="41"/>
  <c r="O69" i="41"/>
  <c r="O76" i="41"/>
  <c r="O74" i="41"/>
  <c r="O72" i="41"/>
  <c r="O70" i="41"/>
  <c r="G23" i="42"/>
  <c r="G25" i="42" s="1"/>
  <c r="H21" i="42"/>
  <c r="G21" i="39"/>
  <c r="F23" i="39"/>
  <c r="F25" i="39" s="1"/>
  <c r="O77" i="38"/>
  <c r="O75" i="38"/>
  <c r="O73" i="38"/>
  <c r="O71" i="38"/>
  <c r="O69" i="38"/>
  <c r="O76" i="38"/>
  <c r="O74" i="38"/>
  <c r="O72" i="38"/>
  <c r="O70" i="38"/>
  <c r="N77" i="35"/>
  <c r="N75" i="35"/>
  <c r="N73" i="35"/>
  <c r="N71" i="35"/>
  <c r="N69" i="35"/>
  <c r="N76" i="35"/>
  <c r="N74" i="35"/>
  <c r="N72" i="35"/>
  <c r="N70" i="35"/>
  <c r="N75" i="32"/>
  <c r="N73" i="32"/>
  <c r="N71" i="32"/>
  <c r="N69" i="32"/>
  <c r="N76" i="32"/>
  <c r="N74" i="32"/>
  <c r="N72" i="32"/>
  <c r="N70" i="32"/>
  <c r="N77" i="32"/>
  <c r="O76" i="29"/>
  <c r="O73" i="29"/>
  <c r="O71" i="29"/>
  <c r="O69" i="29"/>
  <c r="O75" i="29"/>
  <c r="O72" i="29"/>
  <c r="O70" i="29"/>
  <c r="O77" i="29"/>
  <c r="O74" i="29"/>
  <c r="G21" i="30"/>
  <c r="F23" i="30"/>
  <c r="F25" i="30" s="1"/>
  <c r="O76" i="26"/>
  <c r="O74" i="26"/>
  <c r="O72" i="26"/>
  <c r="O70" i="26"/>
  <c r="O77" i="26"/>
  <c r="O75" i="26"/>
  <c r="O73" i="26"/>
  <c r="O71" i="26"/>
  <c r="O69" i="26"/>
  <c r="G21" i="27"/>
  <c r="F23" i="27"/>
  <c r="F25" i="27" s="1"/>
  <c r="N76" i="23"/>
  <c r="N74" i="23"/>
  <c r="N72" i="23"/>
  <c r="N70" i="23"/>
  <c r="N77" i="23"/>
  <c r="N75" i="23"/>
  <c r="N73" i="23"/>
  <c r="N71" i="23"/>
  <c r="N69" i="23"/>
  <c r="F23" i="24"/>
  <c r="F25" i="24" s="1"/>
  <c r="G21" i="24"/>
  <c r="N70" i="20"/>
  <c r="N72" i="20"/>
  <c r="N77" i="20"/>
  <c r="N75" i="20"/>
  <c r="N73" i="20"/>
  <c r="N71" i="20"/>
  <c r="N69" i="20"/>
  <c r="N76" i="20"/>
  <c r="N74" i="20"/>
  <c r="G21" i="21"/>
  <c r="F23" i="21"/>
  <c r="F25" i="21" s="1"/>
  <c r="O71" i="5"/>
  <c r="O77" i="5"/>
  <c r="O73" i="5"/>
  <c r="O69" i="5"/>
  <c r="O75" i="5"/>
  <c r="O76" i="5"/>
  <c r="O72" i="5"/>
  <c r="O74" i="5"/>
  <c r="O70" i="5"/>
  <c r="BG175" i="17"/>
  <c r="C25" i="18"/>
  <c r="BG173" i="17"/>
  <c r="BG176" i="17"/>
  <c r="BG172" i="17"/>
  <c r="BG174" i="17"/>
  <c r="BG169" i="17"/>
  <c r="L16" i="5" l="1"/>
  <c r="L17" i="5" s="1"/>
  <c r="M26" i="50"/>
  <c r="J16" i="8"/>
  <c r="J17" i="8" s="1"/>
  <c r="M20" i="53"/>
  <c r="M20" i="76"/>
  <c r="O323" i="59"/>
  <c r="N13" i="76"/>
  <c r="N27" i="76"/>
  <c r="N13" i="53"/>
  <c r="N27" i="53"/>
  <c r="O265" i="59"/>
  <c r="N313" i="59"/>
  <c r="M27" i="23"/>
  <c r="M13" i="23"/>
  <c r="N255" i="59"/>
  <c r="M20" i="23" s="1"/>
  <c r="O324" i="59"/>
  <c r="O266" i="59"/>
  <c r="K253" i="59"/>
  <c r="K311" i="59"/>
  <c r="K310" i="59"/>
  <c r="K252" i="59"/>
  <c r="N309" i="59"/>
  <c r="N251" i="59"/>
  <c r="O308" i="59"/>
  <c r="N27" i="38"/>
  <c r="O250" i="59"/>
  <c r="N20" i="38" s="1"/>
  <c r="L26" i="23"/>
  <c r="O322" i="59"/>
  <c r="N6" i="50"/>
  <c r="N7" i="50" s="1"/>
  <c r="N13" i="50"/>
  <c r="N27" i="50"/>
  <c r="K307" i="59"/>
  <c r="K249" i="59"/>
  <c r="O314" i="59"/>
  <c r="N13" i="29"/>
  <c r="N27" i="29"/>
  <c r="O256" i="59"/>
  <c r="N20" i="29" s="1"/>
  <c r="O306" i="59"/>
  <c r="N27" i="5"/>
  <c r="N13" i="5"/>
  <c r="O248" i="59"/>
  <c r="N20" i="5" s="1"/>
  <c r="O321" i="59"/>
  <c r="N13" i="26"/>
  <c r="N27" i="26"/>
  <c r="O263" i="59"/>
  <c r="N20" i="26" s="1"/>
  <c r="N304" i="59"/>
  <c r="M27" i="8"/>
  <c r="M13" i="8"/>
  <c r="N246" i="59"/>
  <c r="M20" i="8" s="1"/>
  <c r="N303" i="59"/>
  <c r="M27" i="44"/>
  <c r="M13" i="44"/>
  <c r="N245" i="59"/>
  <c r="M20" i="44" s="1"/>
  <c r="O141" i="59"/>
  <c r="O206" i="59" s="1"/>
  <c r="O292" i="59"/>
  <c r="N23" i="26" s="1"/>
  <c r="N22" i="26"/>
  <c r="N26" i="26" s="1"/>
  <c r="O134" i="59"/>
  <c r="O199" i="59" s="1"/>
  <c r="O285" i="59"/>
  <c r="N23" i="29" s="1"/>
  <c r="N22" i="29"/>
  <c r="N26" i="29" s="1"/>
  <c r="O279" i="59"/>
  <c r="N22" i="38"/>
  <c r="N26" i="38" s="1"/>
  <c r="L26" i="44"/>
  <c r="M14" i="26"/>
  <c r="M16" i="26" s="1"/>
  <c r="M17" i="26" s="1"/>
  <c r="M124" i="59"/>
  <c r="M189" i="59" s="1"/>
  <c r="M275" i="59"/>
  <c r="L23" i="8" s="1"/>
  <c r="L22" i="8"/>
  <c r="L26" i="8" s="1"/>
  <c r="O143" i="59"/>
  <c r="O208" i="59" s="1"/>
  <c r="O294" i="59"/>
  <c r="N22" i="76"/>
  <c r="N26" i="76" s="1"/>
  <c r="N22" i="53"/>
  <c r="N26" i="53" s="1"/>
  <c r="O126" i="59"/>
  <c r="O191" i="59" s="1"/>
  <c r="O277" i="59"/>
  <c r="N23" i="5" s="1"/>
  <c r="N22" i="5"/>
  <c r="N26" i="5" s="1"/>
  <c r="M26" i="53"/>
  <c r="M26" i="5"/>
  <c r="M26" i="29"/>
  <c r="N133" i="59"/>
  <c r="N198" i="59" s="1"/>
  <c r="N284" i="59"/>
  <c r="M23" i="23" s="1"/>
  <c r="M22" i="23"/>
  <c r="M26" i="23" s="1"/>
  <c r="N123" i="59"/>
  <c r="N188" i="59" s="1"/>
  <c r="N274" i="59"/>
  <c r="M23" i="44" s="1"/>
  <c r="M22" i="44"/>
  <c r="M26" i="44" s="1"/>
  <c r="N8" i="50"/>
  <c r="N9" i="50" s="1"/>
  <c r="O293" i="59"/>
  <c r="N23" i="50" s="1"/>
  <c r="N22" i="50"/>
  <c r="N14" i="50" s="1"/>
  <c r="M14" i="53"/>
  <c r="M23" i="76"/>
  <c r="M23" i="53"/>
  <c r="M14" i="76"/>
  <c r="M16" i="76" s="1"/>
  <c r="M17" i="76" s="1"/>
  <c r="M26" i="38"/>
  <c r="M23" i="83"/>
  <c r="N22" i="1"/>
  <c r="N22" i="83"/>
  <c r="N8" i="83"/>
  <c r="N9" i="83" s="1"/>
  <c r="O273" i="59"/>
  <c r="N23" i="1" s="1"/>
  <c r="M14" i="83"/>
  <c r="M16" i="83" s="1"/>
  <c r="M17" i="83" s="1"/>
  <c r="M26" i="83"/>
  <c r="M28" i="83" s="1"/>
  <c r="O302" i="59"/>
  <c r="N21" i="1" s="1"/>
  <c r="N27" i="1"/>
  <c r="N13" i="1"/>
  <c r="N6" i="83"/>
  <c r="N7" i="83" s="1"/>
  <c r="N27" i="83"/>
  <c r="N13" i="83"/>
  <c r="O244" i="59"/>
  <c r="N20" i="1" s="1"/>
  <c r="M26" i="1"/>
  <c r="M14" i="1"/>
  <c r="M16" i="1" s="1"/>
  <c r="M17" i="1" s="1"/>
  <c r="H43" i="17"/>
  <c r="H44" i="17" s="1"/>
  <c r="N27" i="47"/>
  <c r="O312" i="59"/>
  <c r="O254" i="59"/>
  <c r="N20" i="47" s="1"/>
  <c r="I39" i="17"/>
  <c r="I43" i="17" s="1"/>
  <c r="I44" i="17" s="1"/>
  <c r="J27" i="72"/>
  <c r="S173" i="59"/>
  <c r="T173" i="59" s="1"/>
  <c r="O142" i="59"/>
  <c r="O207" i="59" s="1"/>
  <c r="L14" i="35"/>
  <c r="L16" i="35" s="1"/>
  <c r="L17" i="35" s="1"/>
  <c r="M16" i="50"/>
  <c r="M17" i="50" s="1"/>
  <c r="O264" i="59"/>
  <c r="N20" i="50" s="1"/>
  <c r="N259" i="59"/>
  <c r="M20" i="35" s="1"/>
  <c r="M27" i="35"/>
  <c r="M13" i="35"/>
  <c r="M28" i="38"/>
  <c r="N137" i="59"/>
  <c r="N202" i="59" s="1"/>
  <c r="M22" i="35"/>
  <c r="M14" i="35" s="1"/>
  <c r="M23" i="35"/>
  <c r="L28" i="35"/>
  <c r="I14" i="17"/>
  <c r="I16" i="17" s="1"/>
  <c r="I17" i="17" s="1"/>
  <c r="M131" i="70"/>
  <c r="J20" i="17"/>
  <c r="J27" i="17"/>
  <c r="J13" i="17"/>
  <c r="K127" i="59"/>
  <c r="K192" i="59" s="1"/>
  <c r="J22" i="17"/>
  <c r="J26" i="17" s="1"/>
  <c r="J23" i="17"/>
  <c r="M14" i="38"/>
  <c r="M16" i="38" s="1"/>
  <c r="M17" i="38" s="1"/>
  <c r="O128" i="59"/>
  <c r="O193" i="59" s="1"/>
  <c r="N23" i="38"/>
  <c r="N13" i="38"/>
  <c r="I14" i="11"/>
  <c r="I16" i="11" s="1"/>
  <c r="I17" i="11" s="1"/>
  <c r="J27" i="11"/>
  <c r="J20" i="11"/>
  <c r="J13" i="11"/>
  <c r="K130" i="59"/>
  <c r="K195" i="59" s="1"/>
  <c r="J22" i="11"/>
  <c r="J26" i="11" s="1"/>
  <c r="J23" i="11"/>
  <c r="M26" i="41"/>
  <c r="M14" i="41"/>
  <c r="M16" i="41" s="1"/>
  <c r="M17" i="41" s="1"/>
  <c r="O144" i="59"/>
  <c r="O209" i="59" s="1"/>
  <c r="N23" i="41"/>
  <c r="N22" i="41"/>
  <c r="N20" i="41"/>
  <c r="N13" i="41"/>
  <c r="N27" i="41"/>
  <c r="I14" i="14"/>
  <c r="I18" i="14" s="1"/>
  <c r="K131" i="59"/>
  <c r="K196" i="59" s="1"/>
  <c r="J22" i="14"/>
  <c r="J14" i="14" s="1"/>
  <c r="J18" i="14" s="1"/>
  <c r="J23" i="14"/>
  <c r="J27" i="14"/>
  <c r="J13" i="14"/>
  <c r="J20" i="14"/>
  <c r="M28" i="47"/>
  <c r="M27" i="32"/>
  <c r="M13" i="32"/>
  <c r="M20" i="32"/>
  <c r="P36" i="14"/>
  <c r="J27" i="70"/>
  <c r="J148" i="59"/>
  <c r="M20" i="83"/>
  <c r="M21" i="76"/>
  <c r="M21" i="53"/>
  <c r="I85" i="70"/>
  <c r="I87" i="59"/>
  <c r="M40" i="1"/>
  <c r="M40" i="83"/>
  <c r="M39" i="1"/>
  <c r="M39" i="83"/>
  <c r="M14" i="47"/>
  <c r="M16" i="47" s="1"/>
  <c r="M17" i="47" s="1"/>
  <c r="M21" i="83"/>
  <c r="L29" i="83"/>
  <c r="J115" i="59"/>
  <c r="K46" i="1"/>
  <c r="K47" i="1" s="1"/>
  <c r="I50" i="83"/>
  <c r="I47" i="83"/>
  <c r="K44" i="83"/>
  <c r="K46" i="83"/>
  <c r="L41" i="1"/>
  <c r="L43" i="1" s="1"/>
  <c r="L44" i="1" s="1"/>
  <c r="L41" i="83"/>
  <c r="J50" i="83"/>
  <c r="J47" i="83"/>
  <c r="O132" i="59"/>
  <c r="O197" i="59" s="1"/>
  <c r="N22" i="47"/>
  <c r="N26" i="47" s="1"/>
  <c r="N94" i="59"/>
  <c r="K97" i="59"/>
  <c r="N93" i="59"/>
  <c r="O112" i="59"/>
  <c r="O96" i="59"/>
  <c r="O92" i="59"/>
  <c r="O102" i="59"/>
  <c r="N23" i="47"/>
  <c r="N103" i="59"/>
  <c r="N107" i="59"/>
  <c r="O122" i="59"/>
  <c r="O187" i="59" s="1"/>
  <c r="O114" i="59"/>
  <c r="N99" i="59"/>
  <c r="O111" i="59"/>
  <c r="K101" i="59"/>
  <c r="O113" i="59"/>
  <c r="O98" i="59"/>
  <c r="O104" i="59"/>
  <c r="K100" i="59"/>
  <c r="L135" i="70"/>
  <c r="I47" i="8"/>
  <c r="K50" i="26"/>
  <c r="S159" i="59"/>
  <c r="T159" i="59" s="1"/>
  <c r="J50" i="53"/>
  <c r="L44" i="5"/>
  <c r="K50" i="29"/>
  <c r="K51" i="29" s="1"/>
  <c r="M28" i="5"/>
  <c r="K44" i="35"/>
  <c r="J50" i="23"/>
  <c r="J51" i="23" s="1"/>
  <c r="K47" i="5"/>
  <c r="K50" i="38"/>
  <c r="K51" i="38" s="1"/>
  <c r="K44" i="53"/>
  <c r="L44" i="29"/>
  <c r="J47" i="50"/>
  <c r="K46" i="44"/>
  <c r="K50" i="44" s="1"/>
  <c r="K51" i="44" s="1"/>
  <c r="M77" i="70"/>
  <c r="M135" i="70" s="1"/>
  <c r="J50" i="76"/>
  <c r="L44" i="38"/>
  <c r="L46" i="50"/>
  <c r="N8" i="53"/>
  <c r="N9" i="53" s="1"/>
  <c r="N8" i="76"/>
  <c r="N9" i="76" s="1"/>
  <c r="N8" i="38"/>
  <c r="N9" i="38" s="1"/>
  <c r="M40" i="76"/>
  <c r="M40" i="53"/>
  <c r="L46" i="26"/>
  <c r="L47" i="26" s="1"/>
  <c r="M16" i="53"/>
  <c r="M17" i="53" s="1"/>
  <c r="M8" i="23"/>
  <c r="M9" i="23" s="1"/>
  <c r="L8" i="8"/>
  <c r="L9" i="8" s="1"/>
  <c r="N8" i="29"/>
  <c r="N9" i="29" s="1"/>
  <c r="N8" i="41"/>
  <c r="N9" i="41" s="1"/>
  <c r="K46" i="8"/>
  <c r="K50" i="8" s="1"/>
  <c r="K51" i="8" s="1"/>
  <c r="J8" i="14"/>
  <c r="J9" i="14" s="1"/>
  <c r="M16" i="29"/>
  <c r="M17" i="29" s="1"/>
  <c r="J46" i="8"/>
  <c r="J47" i="8" s="1"/>
  <c r="K46" i="76"/>
  <c r="K47" i="76" s="1"/>
  <c r="L16" i="23"/>
  <c r="L17" i="23" s="1"/>
  <c r="M8" i="44"/>
  <c r="M9" i="44" s="1"/>
  <c r="N8" i="5"/>
  <c r="N9" i="5" s="1"/>
  <c r="N8" i="26"/>
  <c r="N9" i="26" s="1"/>
  <c r="M8" i="35"/>
  <c r="M9" i="35" s="1"/>
  <c r="M16" i="5"/>
  <c r="M17" i="5" s="1"/>
  <c r="K47" i="50"/>
  <c r="I28" i="14"/>
  <c r="M28" i="29"/>
  <c r="L46" i="41"/>
  <c r="L47" i="41" s="1"/>
  <c r="M43" i="29"/>
  <c r="M46" i="29" s="1"/>
  <c r="L43" i="53"/>
  <c r="L44" i="53" s="1"/>
  <c r="L28" i="76"/>
  <c r="M43" i="26"/>
  <c r="M44" i="26" s="1"/>
  <c r="I43" i="14"/>
  <c r="I44" i="14" s="1"/>
  <c r="M43" i="50"/>
  <c r="M44" i="50" s="1"/>
  <c r="L43" i="44"/>
  <c r="L44" i="44" s="1"/>
  <c r="M28" i="26"/>
  <c r="M6" i="35"/>
  <c r="M7" i="35" s="1"/>
  <c r="M21" i="35"/>
  <c r="M43" i="41"/>
  <c r="M44" i="41" s="1"/>
  <c r="N21" i="50"/>
  <c r="N6" i="5"/>
  <c r="N7" i="5" s="1"/>
  <c r="N21" i="5"/>
  <c r="L43" i="35"/>
  <c r="L44" i="35" s="1"/>
  <c r="N21" i="26"/>
  <c r="N6" i="26"/>
  <c r="N7" i="26" s="1"/>
  <c r="M6" i="23"/>
  <c r="M7" i="23" s="1"/>
  <c r="M21" i="23"/>
  <c r="L28" i="23"/>
  <c r="J21" i="14"/>
  <c r="J6" i="14"/>
  <c r="J7" i="14" s="1"/>
  <c r="N6" i="53"/>
  <c r="N7" i="53" s="1"/>
  <c r="N6" i="76"/>
  <c r="N7" i="76" s="1"/>
  <c r="N21" i="38"/>
  <c r="N6" i="38"/>
  <c r="N7" i="38" s="1"/>
  <c r="M18" i="38"/>
  <c r="N6" i="41"/>
  <c r="N7" i="41" s="1"/>
  <c r="N21" i="41"/>
  <c r="N6" i="29"/>
  <c r="N7" i="29" s="1"/>
  <c r="N21" i="29"/>
  <c r="M43" i="5"/>
  <c r="M44" i="5" s="1"/>
  <c r="M39" i="53"/>
  <c r="M39" i="76"/>
  <c r="M28" i="41"/>
  <c r="M21" i="8"/>
  <c r="M6" i="8"/>
  <c r="M7" i="8" s="1"/>
  <c r="M10" i="8" s="1"/>
  <c r="M6" i="44"/>
  <c r="M7" i="44" s="1"/>
  <c r="L28" i="53"/>
  <c r="K46" i="23"/>
  <c r="K47" i="23" s="1"/>
  <c r="L41" i="23"/>
  <c r="L43" i="23" s="1"/>
  <c r="L44" i="23" s="1"/>
  <c r="I28" i="11"/>
  <c r="J6" i="11"/>
  <c r="J7" i="11" s="1"/>
  <c r="J21" i="11"/>
  <c r="J8" i="11"/>
  <c r="J9" i="11" s="1"/>
  <c r="I43" i="11"/>
  <c r="I46" i="11" s="1"/>
  <c r="K50" i="47"/>
  <c r="K51" i="47" s="1"/>
  <c r="L44" i="47"/>
  <c r="N6" i="47"/>
  <c r="N7" i="47" s="1"/>
  <c r="N13" i="47"/>
  <c r="N21" i="47"/>
  <c r="M43" i="47"/>
  <c r="M44" i="47" s="1"/>
  <c r="N8" i="47"/>
  <c r="N9" i="47" s="1"/>
  <c r="H46" i="14"/>
  <c r="H44" i="14"/>
  <c r="H47" i="53"/>
  <c r="H50" i="53"/>
  <c r="K50" i="53"/>
  <c r="K47" i="53"/>
  <c r="L47" i="38"/>
  <c r="L50" i="38"/>
  <c r="L51" i="38" s="1"/>
  <c r="L47" i="29"/>
  <c r="L50" i="29"/>
  <c r="L51" i="29" s="1"/>
  <c r="K47" i="35"/>
  <c r="K50" i="35"/>
  <c r="K51" i="35" s="1"/>
  <c r="M41" i="53"/>
  <c r="M41" i="76"/>
  <c r="H46" i="11"/>
  <c r="H44" i="11"/>
  <c r="H50" i="76"/>
  <c r="H47" i="76"/>
  <c r="L43" i="76"/>
  <c r="L47" i="5"/>
  <c r="L50" i="5"/>
  <c r="L51" i="5" s="1"/>
  <c r="L47" i="47"/>
  <c r="L50" i="47"/>
  <c r="L51" i="47" s="1"/>
  <c r="J6" i="17"/>
  <c r="J7" i="17" s="1"/>
  <c r="J11" i="17" s="1"/>
  <c r="J21" i="17"/>
  <c r="J8" i="17"/>
  <c r="J9" i="17" s="1"/>
  <c r="I28" i="17"/>
  <c r="N8" i="1"/>
  <c r="N9" i="1" s="1"/>
  <c r="N6" i="1"/>
  <c r="N7" i="1" s="1"/>
  <c r="F23" i="33"/>
  <c r="F25" i="33" s="1"/>
  <c r="M6" i="32"/>
  <c r="M7" i="32" s="1"/>
  <c r="M21" i="32"/>
  <c r="M21" i="44"/>
  <c r="N125" i="72"/>
  <c r="O68" i="72"/>
  <c r="N77" i="72"/>
  <c r="K67" i="72"/>
  <c r="K70" i="72"/>
  <c r="N69" i="72"/>
  <c r="O81" i="72"/>
  <c r="O84" i="72"/>
  <c r="O83" i="72"/>
  <c r="N73" i="72"/>
  <c r="N64" i="72"/>
  <c r="K71" i="72"/>
  <c r="N76" i="72"/>
  <c r="O66" i="72"/>
  <c r="O82" i="72"/>
  <c r="N68" i="70"/>
  <c r="N126" i="70" s="1"/>
  <c r="O72" i="72"/>
  <c r="O74" i="72"/>
  <c r="N81" i="70"/>
  <c r="N139" i="70" s="1"/>
  <c r="N63" i="72"/>
  <c r="Q34" i="17"/>
  <c r="Q36" i="17" s="1"/>
  <c r="M35" i="72"/>
  <c r="L40" i="8" s="1"/>
  <c r="Q34" i="14"/>
  <c r="Q36" i="14" s="1"/>
  <c r="N6" i="72"/>
  <c r="M39" i="8" s="1"/>
  <c r="O10" i="72"/>
  <c r="N39" i="38" s="1"/>
  <c r="Q34" i="11"/>
  <c r="Q36" i="11" s="1"/>
  <c r="K264" i="72"/>
  <c r="Q264" i="72"/>
  <c r="J264" i="72"/>
  <c r="S249" i="72"/>
  <c r="I264" i="72"/>
  <c r="S246" i="72"/>
  <c r="P264" i="72"/>
  <c r="R264" i="72"/>
  <c r="O264" i="72"/>
  <c r="M264" i="72"/>
  <c r="S250" i="72"/>
  <c r="N264" i="72"/>
  <c r="N131" i="72"/>
  <c r="M41" i="38" s="1"/>
  <c r="M43" i="38" s="1"/>
  <c r="L264" i="72"/>
  <c r="M63" i="70"/>
  <c r="J71" i="70"/>
  <c r="N83" i="70"/>
  <c r="N141" i="70" s="1"/>
  <c r="O10" i="70"/>
  <c r="N82" i="70"/>
  <c r="N140" i="70" s="1"/>
  <c r="J67" i="70"/>
  <c r="G21" i="36"/>
  <c r="F23" i="36"/>
  <c r="F25" i="36" s="1"/>
  <c r="P96" i="72"/>
  <c r="P158" i="59"/>
  <c r="N96" i="70"/>
  <c r="O96" i="72"/>
  <c r="M158" i="59"/>
  <c r="L96" i="70"/>
  <c r="N74" i="70"/>
  <c r="N132" i="70" s="1"/>
  <c r="K214" i="17"/>
  <c r="L9" i="59" s="1"/>
  <c r="O267" i="38"/>
  <c r="P39" i="59" s="1"/>
  <c r="I148" i="72"/>
  <c r="N115" i="23"/>
  <c r="N49" i="23" s="1"/>
  <c r="O267" i="53"/>
  <c r="P54" i="59" s="1"/>
  <c r="K115" i="14"/>
  <c r="K49" i="14" s="1"/>
  <c r="N115" i="20"/>
  <c r="N49" i="20" s="1"/>
  <c r="N19" i="70"/>
  <c r="N19" i="72"/>
  <c r="M39" i="35" s="1"/>
  <c r="N77" i="59"/>
  <c r="N140" i="72" s="1"/>
  <c r="M41" i="35" s="1"/>
  <c r="K41" i="70"/>
  <c r="K41" i="72"/>
  <c r="J40" i="11" s="1"/>
  <c r="K38" i="70"/>
  <c r="K38" i="72"/>
  <c r="J40" i="17" s="1"/>
  <c r="O214" i="53"/>
  <c r="P25" i="59" s="1"/>
  <c r="O214" i="47"/>
  <c r="P14" i="59" s="1"/>
  <c r="O215" i="5"/>
  <c r="P8" i="59" s="1"/>
  <c r="O43" i="70"/>
  <c r="O43" i="72"/>
  <c r="N40" i="47" s="1"/>
  <c r="O214" i="26"/>
  <c r="P23" i="59" s="1"/>
  <c r="K267" i="11"/>
  <c r="L41" i="59" s="1"/>
  <c r="L281" i="59" s="1"/>
  <c r="K42" i="70"/>
  <c r="K42" i="72"/>
  <c r="J40" i="14" s="1"/>
  <c r="N15" i="70"/>
  <c r="N15" i="72"/>
  <c r="M39" i="23" s="1"/>
  <c r="N73" i="59"/>
  <c r="N136" i="72" s="1"/>
  <c r="N267" i="23"/>
  <c r="O44" i="59" s="1"/>
  <c r="N267" i="35"/>
  <c r="O48" i="59" s="1"/>
  <c r="O288" i="59" s="1"/>
  <c r="O214" i="38"/>
  <c r="P10" i="59" s="1"/>
  <c r="N214" i="32"/>
  <c r="O11" i="59" s="1"/>
  <c r="N214" i="44"/>
  <c r="O5" i="59" s="1"/>
  <c r="O39" i="70"/>
  <c r="O39" i="72"/>
  <c r="N40" i="38" s="1"/>
  <c r="K214" i="11"/>
  <c r="L12" i="59" s="1"/>
  <c r="O267" i="29"/>
  <c r="P45" i="59" s="1"/>
  <c r="N84" i="70"/>
  <c r="N142" i="70" s="1"/>
  <c r="P262" i="50"/>
  <c r="P254" i="50"/>
  <c r="P246" i="50"/>
  <c r="P259" i="50"/>
  <c r="P251" i="50"/>
  <c r="P264" i="50"/>
  <c r="P256" i="50"/>
  <c r="P248" i="50"/>
  <c r="P261" i="50"/>
  <c r="P253" i="50"/>
  <c r="P258" i="50"/>
  <c r="P250" i="50"/>
  <c r="P263" i="50"/>
  <c r="P255" i="50"/>
  <c r="P247" i="50"/>
  <c r="P260" i="50"/>
  <c r="P252" i="50"/>
  <c r="P240" i="50"/>
  <c r="P232" i="50"/>
  <c r="P224" i="50"/>
  <c r="P265" i="50"/>
  <c r="P245" i="50"/>
  <c r="P237" i="50"/>
  <c r="P229" i="50"/>
  <c r="P221" i="50"/>
  <c r="P242" i="50"/>
  <c r="P234" i="50"/>
  <c r="P226" i="50"/>
  <c r="P257" i="50"/>
  <c r="P239" i="50"/>
  <c r="P231" i="50"/>
  <c r="P223" i="50"/>
  <c r="P244" i="50"/>
  <c r="P236" i="50"/>
  <c r="P228" i="50"/>
  <c r="P220" i="50"/>
  <c r="P249" i="50"/>
  <c r="P241" i="50"/>
  <c r="P233" i="50"/>
  <c r="P225" i="50"/>
  <c r="P238" i="50"/>
  <c r="P243" i="50"/>
  <c r="P230" i="50"/>
  <c r="P235" i="50"/>
  <c r="P227" i="50"/>
  <c r="P222" i="50"/>
  <c r="P206" i="50"/>
  <c r="P198" i="50"/>
  <c r="P190" i="50"/>
  <c r="P182" i="50"/>
  <c r="P174" i="50"/>
  <c r="P203" i="50"/>
  <c r="P195" i="50"/>
  <c r="P187" i="50"/>
  <c r="P179" i="50"/>
  <c r="P208" i="50"/>
  <c r="P200" i="50"/>
  <c r="P192" i="50"/>
  <c r="P184" i="50"/>
  <c r="P176" i="50"/>
  <c r="P202" i="50"/>
  <c r="P194" i="50"/>
  <c r="P186" i="50"/>
  <c r="P178" i="50"/>
  <c r="P207" i="50"/>
  <c r="P199" i="50"/>
  <c r="P191" i="50"/>
  <c r="P183" i="50"/>
  <c r="P175" i="50"/>
  <c r="P204" i="50"/>
  <c r="P196" i="50"/>
  <c r="P188" i="50"/>
  <c r="P180" i="50"/>
  <c r="P172" i="50"/>
  <c r="P197" i="50"/>
  <c r="P181" i="50"/>
  <c r="P169" i="50"/>
  <c r="P209" i="50"/>
  <c r="P201" i="50"/>
  <c r="P185" i="50"/>
  <c r="P171" i="50"/>
  <c r="P168" i="50"/>
  <c r="P205" i="50"/>
  <c r="P189" i="50"/>
  <c r="P173" i="50"/>
  <c r="P170" i="50"/>
  <c r="P177" i="50"/>
  <c r="P193" i="50"/>
  <c r="P167" i="50"/>
  <c r="N267" i="8"/>
  <c r="O16" i="70"/>
  <c r="O16" i="72"/>
  <c r="N39" i="29" s="1"/>
  <c r="O74" i="59"/>
  <c r="O137" i="72" s="1"/>
  <c r="N41" i="29" s="1"/>
  <c r="N11" i="70"/>
  <c r="N11" i="72"/>
  <c r="M39" i="32" s="1"/>
  <c r="O214" i="41"/>
  <c r="P26" i="59" s="1"/>
  <c r="K70" i="59"/>
  <c r="K133" i="72" s="1"/>
  <c r="J41" i="11" s="1"/>
  <c r="K12" i="70"/>
  <c r="K12" i="72"/>
  <c r="J39" i="11" s="1"/>
  <c r="O66" i="59"/>
  <c r="O129" i="72" s="1"/>
  <c r="N41" i="5" s="1"/>
  <c r="O8" i="70"/>
  <c r="O8" i="72"/>
  <c r="N39" i="5" s="1"/>
  <c r="I210" i="59"/>
  <c r="O52" i="72"/>
  <c r="N40" i="26" s="1"/>
  <c r="O52" i="70"/>
  <c r="O115" i="26"/>
  <c r="O49" i="26" s="1"/>
  <c r="O263" i="35"/>
  <c r="O255" i="35"/>
  <c r="O247" i="35"/>
  <c r="O239" i="35"/>
  <c r="O231" i="35"/>
  <c r="O223" i="35"/>
  <c r="O260" i="35"/>
  <c r="O252" i="35"/>
  <c r="O244" i="35"/>
  <c r="O236" i="35"/>
  <c r="O228" i="35"/>
  <c r="O220" i="35"/>
  <c r="O265" i="35"/>
  <c r="O257" i="35"/>
  <c r="O249" i="35"/>
  <c r="O241" i="35"/>
  <c r="O233" i="35"/>
  <c r="O225" i="35"/>
  <c r="O262" i="35"/>
  <c r="O254" i="35"/>
  <c r="O246" i="35"/>
  <c r="O238" i="35"/>
  <c r="O230" i="35"/>
  <c r="O222" i="35"/>
  <c r="O259" i="35"/>
  <c r="O251" i="35"/>
  <c r="O243" i="35"/>
  <c r="O235" i="35"/>
  <c r="O227" i="35"/>
  <c r="O264" i="35"/>
  <c r="O256" i="35"/>
  <c r="O248" i="35"/>
  <c r="O240" i="35"/>
  <c r="O232" i="35"/>
  <c r="O224" i="35"/>
  <c r="O261" i="35"/>
  <c r="O242" i="35"/>
  <c r="O226" i="35"/>
  <c r="O253" i="35"/>
  <c r="O237" i="35"/>
  <c r="O221" i="35"/>
  <c r="O258" i="35"/>
  <c r="O250" i="35"/>
  <c r="O245" i="35"/>
  <c r="O229" i="35"/>
  <c r="O234" i="35"/>
  <c r="O209" i="35"/>
  <c r="O201" i="35"/>
  <c r="O193" i="35"/>
  <c r="O206" i="35"/>
  <c r="O198" i="35"/>
  <c r="O190" i="35"/>
  <c r="O203" i="35"/>
  <c r="O195" i="35"/>
  <c r="O205" i="35"/>
  <c r="O197" i="35"/>
  <c r="O189" i="35"/>
  <c r="O202" i="35"/>
  <c r="O194" i="35"/>
  <c r="O207" i="35"/>
  <c r="O199" i="35"/>
  <c r="O191" i="35"/>
  <c r="O208" i="35"/>
  <c r="O192" i="35"/>
  <c r="O182" i="35"/>
  <c r="O174" i="35"/>
  <c r="O187" i="35"/>
  <c r="O179" i="35"/>
  <c r="O171" i="35"/>
  <c r="O196" i="35"/>
  <c r="O184" i="35"/>
  <c r="O176" i="35"/>
  <c r="O168" i="35"/>
  <c r="O181" i="35"/>
  <c r="O173" i="35"/>
  <c r="O200" i="35"/>
  <c r="O186" i="35"/>
  <c r="O178" i="35"/>
  <c r="O170" i="35"/>
  <c r="O183" i="35"/>
  <c r="O175" i="35"/>
  <c r="O167" i="35"/>
  <c r="O204" i="35"/>
  <c r="O188" i="35"/>
  <c r="O180" i="35"/>
  <c r="O172" i="35"/>
  <c r="O169" i="35"/>
  <c r="O177" i="35"/>
  <c r="O185" i="35"/>
  <c r="P265" i="41"/>
  <c r="P263" i="41"/>
  <c r="P255" i="41"/>
  <c r="P247" i="41"/>
  <c r="P239" i="41"/>
  <c r="P231" i="41"/>
  <c r="P223" i="41"/>
  <c r="P260" i="41"/>
  <c r="P252" i="41"/>
  <c r="P244" i="41"/>
  <c r="P236" i="41"/>
  <c r="P228" i="41"/>
  <c r="P220" i="41"/>
  <c r="P257" i="41"/>
  <c r="P249" i="41"/>
  <c r="P241" i="41"/>
  <c r="P233" i="41"/>
  <c r="P225" i="41"/>
  <c r="P262" i="41"/>
  <c r="P254" i="41"/>
  <c r="P246" i="41"/>
  <c r="P238" i="41"/>
  <c r="P230" i="41"/>
  <c r="P222" i="41"/>
  <c r="P259" i="41"/>
  <c r="P251" i="41"/>
  <c r="P243" i="41"/>
  <c r="P235" i="41"/>
  <c r="P227" i="41"/>
  <c r="P256" i="41"/>
  <c r="P248" i="41"/>
  <c r="P240" i="41"/>
  <c r="P232" i="41"/>
  <c r="P224" i="41"/>
  <c r="P264" i="41"/>
  <c r="P250" i="41"/>
  <c r="P234" i="41"/>
  <c r="P261" i="41"/>
  <c r="P245" i="41"/>
  <c r="P229" i="41"/>
  <c r="P258" i="41"/>
  <c r="P242" i="41"/>
  <c r="P226" i="41"/>
  <c r="P253" i="41"/>
  <c r="P221" i="41"/>
  <c r="P237" i="41"/>
  <c r="P209" i="41"/>
  <c r="P201" i="41"/>
  <c r="P193" i="41"/>
  <c r="P185" i="41"/>
  <c r="P177" i="41"/>
  <c r="P169" i="41"/>
  <c r="P206" i="41"/>
  <c r="P198" i="41"/>
  <c r="P190" i="41"/>
  <c r="P182" i="41"/>
  <c r="P174" i="41"/>
  <c r="P203" i="41"/>
  <c r="P195" i="41"/>
  <c r="P187" i="41"/>
  <c r="P179" i="41"/>
  <c r="P171" i="41"/>
  <c r="P208" i="41"/>
  <c r="P200" i="41"/>
  <c r="P192" i="41"/>
  <c r="P184" i="41"/>
  <c r="P176" i="41"/>
  <c r="P168" i="41"/>
  <c r="P205" i="41"/>
  <c r="P197" i="41"/>
  <c r="P189" i="41"/>
  <c r="P181" i="41"/>
  <c r="P173" i="41"/>
  <c r="P202" i="41"/>
  <c r="P194" i="41"/>
  <c r="P186" i="41"/>
  <c r="P178" i="41"/>
  <c r="P170" i="41"/>
  <c r="P207" i="41"/>
  <c r="P199" i="41"/>
  <c r="P191" i="41"/>
  <c r="P183" i="41"/>
  <c r="P175" i="41"/>
  <c r="P167" i="41"/>
  <c r="P180" i="41"/>
  <c r="P204" i="41"/>
  <c r="P172" i="41"/>
  <c r="P196" i="41"/>
  <c r="P188" i="41"/>
  <c r="P86" i="47"/>
  <c r="P85" i="47"/>
  <c r="P87" i="47"/>
  <c r="P83" i="47"/>
  <c r="P84" i="47"/>
  <c r="P80" i="47"/>
  <c r="P79" i="47"/>
  <c r="P82" i="47"/>
  <c r="P78" i="47"/>
  <c r="P81" i="47"/>
  <c r="P262" i="47"/>
  <c r="P254" i="47"/>
  <c r="P246" i="47"/>
  <c r="P238" i="47"/>
  <c r="P259" i="47"/>
  <c r="P251" i="47"/>
  <c r="P243" i="47"/>
  <c r="P235" i="47"/>
  <c r="P261" i="47"/>
  <c r="P253" i="47"/>
  <c r="P245" i="47"/>
  <c r="P237" i="47"/>
  <c r="P258" i="47"/>
  <c r="P250" i="47"/>
  <c r="P242" i="47"/>
  <c r="P234" i="47"/>
  <c r="P263" i="47"/>
  <c r="P255" i="47"/>
  <c r="P247" i="47"/>
  <c r="P239" i="47"/>
  <c r="P264" i="47"/>
  <c r="P227" i="47"/>
  <c r="P257" i="47"/>
  <c r="P252" i="47"/>
  <c r="P232" i="47"/>
  <c r="P224" i="47"/>
  <c r="P240" i="47"/>
  <c r="P229" i="47"/>
  <c r="P221" i="47"/>
  <c r="P265" i="47"/>
  <c r="P260" i="47"/>
  <c r="P226" i="47"/>
  <c r="P248" i="47"/>
  <c r="P231" i="47"/>
  <c r="P223" i="47"/>
  <c r="P241" i="47"/>
  <c r="P236" i="47"/>
  <c r="P228" i="47"/>
  <c r="P220" i="47"/>
  <c r="P256" i="47"/>
  <c r="P233" i="47"/>
  <c r="P225" i="47"/>
  <c r="P230" i="47"/>
  <c r="P249" i="47"/>
  <c r="P244" i="47"/>
  <c r="P222" i="47"/>
  <c r="P202" i="47"/>
  <c r="P194" i="47"/>
  <c r="P186" i="47"/>
  <c r="P178" i="47"/>
  <c r="P170" i="47"/>
  <c r="P207" i="47"/>
  <c r="P199" i="47"/>
  <c r="P191" i="47"/>
  <c r="P183" i="47"/>
  <c r="P175" i="47"/>
  <c r="P167" i="47"/>
  <c r="P204" i="47"/>
  <c r="P196" i="47"/>
  <c r="P188" i="47"/>
  <c r="P180" i="47"/>
  <c r="P172" i="47"/>
  <c r="P209" i="47"/>
  <c r="P201" i="47"/>
  <c r="P193" i="47"/>
  <c r="P185" i="47"/>
  <c r="P177" i="47"/>
  <c r="P169" i="47"/>
  <c r="P206" i="47"/>
  <c r="P198" i="47"/>
  <c r="P190" i="47"/>
  <c r="P182" i="47"/>
  <c r="P174" i="47"/>
  <c r="P203" i="47"/>
  <c r="P195" i="47"/>
  <c r="P187" i="47"/>
  <c r="P179" i="47"/>
  <c r="P171" i="47"/>
  <c r="P208" i="47"/>
  <c r="P200" i="47"/>
  <c r="P192" i="47"/>
  <c r="P184" i="47"/>
  <c r="P176" i="47"/>
  <c r="P168" i="47"/>
  <c r="P181" i="47"/>
  <c r="P205" i="47"/>
  <c r="P173" i="47"/>
  <c r="P197" i="47"/>
  <c r="P189" i="47"/>
  <c r="N115" i="8"/>
  <c r="N49" i="8" s="1"/>
  <c r="O54" i="70"/>
  <c r="O54" i="72"/>
  <c r="N66" i="70"/>
  <c r="N44" i="70"/>
  <c r="N44" i="72"/>
  <c r="M40" i="23" s="1"/>
  <c r="O214" i="50"/>
  <c r="P24" i="59" s="1"/>
  <c r="O267" i="47"/>
  <c r="P43" i="59" s="1"/>
  <c r="P283" i="59" s="1"/>
  <c r="N267" i="44"/>
  <c r="O34" i="59" s="1"/>
  <c r="O68" i="59"/>
  <c r="O131" i="72" s="1"/>
  <c r="N41" i="38" s="1"/>
  <c r="O81" i="59"/>
  <c r="O144" i="72" s="1"/>
  <c r="N41" i="26" s="1"/>
  <c r="O23" i="70"/>
  <c r="O23" i="72"/>
  <c r="N39" i="26" s="1"/>
  <c r="L264" i="11"/>
  <c r="L256" i="11"/>
  <c r="L248" i="11"/>
  <c r="L240" i="11"/>
  <c r="L232" i="11"/>
  <c r="L224" i="11"/>
  <c r="L261" i="11"/>
  <c r="L253" i="11"/>
  <c r="L245" i="11"/>
  <c r="L237" i="11"/>
  <c r="L229" i="11"/>
  <c r="L221" i="11"/>
  <c r="L258" i="11"/>
  <c r="L250" i="11"/>
  <c r="L242" i="11"/>
  <c r="L234" i="11"/>
  <c r="L226" i="11"/>
  <c r="L263" i="11"/>
  <c r="L255" i="11"/>
  <c r="L247" i="11"/>
  <c r="L239" i="11"/>
  <c r="L231" i="11"/>
  <c r="L223" i="11"/>
  <c r="L260" i="11"/>
  <c r="L252" i="11"/>
  <c r="L244" i="11"/>
  <c r="L236" i="11"/>
  <c r="L228" i="11"/>
  <c r="L220" i="11"/>
  <c r="L265" i="11"/>
  <c r="L257" i="11"/>
  <c r="L249" i="11"/>
  <c r="L241" i="11"/>
  <c r="L233" i="11"/>
  <c r="L225" i="11"/>
  <c r="L262" i="11"/>
  <c r="L254" i="11"/>
  <c r="L246" i="11"/>
  <c r="L238" i="11"/>
  <c r="L230" i="11"/>
  <c r="L222" i="11"/>
  <c r="L259" i="11"/>
  <c r="L227" i="11"/>
  <c r="L251" i="11"/>
  <c r="L243" i="11"/>
  <c r="L235" i="11"/>
  <c r="L203" i="11"/>
  <c r="L195" i="11"/>
  <c r="L187" i="11"/>
  <c r="L179" i="11"/>
  <c r="L171" i="11"/>
  <c r="L208" i="11"/>
  <c r="L200" i="11"/>
  <c r="L192" i="11"/>
  <c r="L184" i="11"/>
  <c r="L176" i="11"/>
  <c r="L168" i="11"/>
  <c r="L205" i="11"/>
  <c r="L197" i="11"/>
  <c r="L189" i="11"/>
  <c r="L181" i="11"/>
  <c r="L173" i="11"/>
  <c r="L202" i="11"/>
  <c r="L194" i="11"/>
  <c r="L186" i="11"/>
  <c r="L178" i="11"/>
  <c r="L170" i="11"/>
  <c r="L207" i="11"/>
  <c r="L199" i="11"/>
  <c r="L191" i="11"/>
  <c r="L183" i="11"/>
  <c r="L175" i="11"/>
  <c r="L167" i="11"/>
  <c r="L209" i="11"/>
  <c r="L201" i="11"/>
  <c r="L193" i="11"/>
  <c r="L185" i="11"/>
  <c r="L177" i="11"/>
  <c r="L169" i="11"/>
  <c r="L198" i="11"/>
  <c r="L182" i="11"/>
  <c r="L204" i="11"/>
  <c r="L188" i="11"/>
  <c r="L172" i="11"/>
  <c r="L206" i="11"/>
  <c r="L190" i="11"/>
  <c r="L174" i="11"/>
  <c r="L196" i="11"/>
  <c r="L180" i="11"/>
  <c r="L77" i="11"/>
  <c r="L69" i="11"/>
  <c r="L74" i="11"/>
  <c r="L71" i="11"/>
  <c r="L72" i="11"/>
  <c r="L76" i="11"/>
  <c r="L73" i="11"/>
  <c r="L70" i="11"/>
  <c r="L75" i="11"/>
  <c r="O37" i="70"/>
  <c r="O37" i="72"/>
  <c r="N40" i="5" s="1"/>
  <c r="S130" i="17"/>
  <c r="N96" i="72"/>
  <c r="O261" i="32"/>
  <c r="O253" i="32"/>
  <c r="O245" i="32"/>
  <c r="O237" i="32"/>
  <c r="O229" i="32"/>
  <c r="O221" i="32"/>
  <c r="O258" i="32"/>
  <c r="O250" i="32"/>
  <c r="O242" i="32"/>
  <c r="O234" i="32"/>
  <c r="O226" i="32"/>
  <c r="O263" i="32"/>
  <c r="O255" i="32"/>
  <c r="O247" i="32"/>
  <c r="O239" i="32"/>
  <c r="O231" i="32"/>
  <c r="O223" i="32"/>
  <c r="O260" i="32"/>
  <c r="O252" i="32"/>
  <c r="O244" i="32"/>
  <c r="O236" i="32"/>
  <c r="O228" i="32"/>
  <c r="O220" i="32"/>
  <c r="O265" i="32"/>
  <c r="O257" i="32"/>
  <c r="O249" i="32"/>
  <c r="O241" i="32"/>
  <c r="O233" i="32"/>
  <c r="O225" i="32"/>
  <c r="O264" i="32"/>
  <c r="O262" i="32"/>
  <c r="O232" i="32"/>
  <c r="O230" i="32"/>
  <c r="O235" i="32"/>
  <c r="O240" i="32"/>
  <c r="O238" i="32"/>
  <c r="O243" i="32"/>
  <c r="O248" i="32"/>
  <c r="O246" i="32"/>
  <c r="O251" i="32"/>
  <c r="O256" i="32"/>
  <c r="O254" i="32"/>
  <c r="O222" i="32"/>
  <c r="O259" i="32"/>
  <c r="O227" i="32"/>
  <c r="O204" i="32"/>
  <c r="O196" i="32"/>
  <c r="O188" i="32"/>
  <c r="O180" i="32"/>
  <c r="O172" i="32"/>
  <c r="O206" i="32"/>
  <c r="O198" i="32"/>
  <c r="O190" i="32"/>
  <c r="O182" i="32"/>
  <c r="O174" i="32"/>
  <c r="O203" i="32"/>
  <c r="O195" i="32"/>
  <c r="O187" i="32"/>
  <c r="O179" i="32"/>
  <c r="O171" i="32"/>
  <c r="O208" i="32"/>
  <c r="O200" i="32"/>
  <c r="O192" i="32"/>
  <c r="O184" i="32"/>
  <c r="O176" i="32"/>
  <c r="O168" i="32"/>
  <c r="O205" i="32"/>
  <c r="O197" i="32"/>
  <c r="O189" i="32"/>
  <c r="O181" i="32"/>
  <c r="O173" i="32"/>
  <c r="O201" i="32"/>
  <c r="O169" i="32"/>
  <c r="O199" i="32"/>
  <c r="O194" i="32"/>
  <c r="O167" i="32"/>
  <c r="O209" i="32"/>
  <c r="O177" i="32"/>
  <c r="O207" i="32"/>
  <c r="O202" i="32"/>
  <c r="O175" i="32"/>
  <c r="O170" i="32"/>
  <c r="O185" i="32"/>
  <c r="O193" i="32"/>
  <c r="O186" i="32"/>
  <c r="O183" i="32"/>
  <c r="O191" i="32"/>
  <c r="O178" i="32"/>
  <c r="O78" i="32"/>
  <c r="O82" i="32"/>
  <c r="O81" i="32"/>
  <c r="O79" i="32"/>
  <c r="O84" i="32"/>
  <c r="O80" i="32"/>
  <c r="O83" i="32"/>
  <c r="S128" i="17"/>
  <c r="L96" i="72"/>
  <c r="M27" i="19"/>
  <c r="M31" i="19" s="1"/>
  <c r="M32" i="19" s="1"/>
  <c r="O116" i="5"/>
  <c r="O49" i="5" s="1"/>
  <c r="O263" i="23"/>
  <c r="O255" i="23"/>
  <c r="O247" i="23"/>
  <c r="O239" i="23"/>
  <c r="O231" i="23"/>
  <c r="O223" i="23"/>
  <c r="O260" i="23"/>
  <c r="O252" i="23"/>
  <c r="O244" i="23"/>
  <c r="O236" i="23"/>
  <c r="O228" i="23"/>
  <c r="O220" i="23"/>
  <c r="O265" i="23"/>
  <c r="O257" i="23"/>
  <c r="O249" i="23"/>
  <c r="O241" i="23"/>
  <c r="O233" i="23"/>
  <c r="O225" i="23"/>
  <c r="O262" i="23"/>
  <c r="O254" i="23"/>
  <c r="O246" i="23"/>
  <c r="O238" i="23"/>
  <c r="O230" i="23"/>
  <c r="O222" i="23"/>
  <c r="O259" i="23"/>
  <c r="O251" i="23"/>
  <c r="O243" i="23"/>
  <c r="O235" i="23"/>
  <c r="O227" i="23"/>
  <c r="O264" i="23"/>
  <c r="O256" i="23"/>
  <c r="O248" i="23"/>
  <c r="O240" i="23"/>
  <c r="O232" i="23"/>
  <c r="O224" i="23"/>
  <c r="O261" i="23"/>
  <c r="O253" i="23"/>
  <c r="O245" i="23"/>
  <c r="O237" i="23"/>
  <c r="O229" i="23"/>
  <c r="O221" i="23"/>
  <c r="O250" i="23"/>
  <c r="O242" i="23"/>
  <c r="O234" i="23"/>
  <c r="O258" i="23"/>
  <c r="O226" i="23"/>
  <c r="O208" i="23"/>
  <c r="O205" i="23"/>
  <c r="O204" i="23"/>
  <c r="O209" i="23"/>
  <c r="O206" i="23"/>
  <c r="O200" i="23"/>
  <c r="O192" i="23"/>
  <c r="O184" i="23"/>
  <c r="O176" i="23"/>
  <c r="O168" i="23"/>
  <c r="O202" i="23"/>
  <c r="O194" i="23"/>
  <c r="O186" i="23"/>
  <c r="O178" i="23"/>
  <c r="O170" i="23"/>
  <c r="O207" i="23"/>
  <c r="O199" i="23"/>
  <c r="O191" i="23"/>
  <c r="O183" i="23"/>
  <c r="O175" i="23"/>
  <c r="O167" i="23"/>
  <c r="O196" i="23"/>
  <c r="O188" i="23"/>
  <c r="O180" i="23"/>
  <c r="O172" i="23"/>
  <c r="O201" i="23"/>
  <c r="O193" i="23"/>
  <c r="O185" i="23"/>
  <c r="O177" i="23"/>
  <c r="O169" i="23"/>
  <c r="O198" i="23"/>
  <c r="O190" i="23"/>
  <c r="O182" i="23"/>
  <c r="O197" i="23"/>
  <c r="O181" i="23"/>
  <c r="O203" i="23"/>
  <c r="O187" i="23"/>
  <c r="O173" i="23"/>
  <c r="O171" i="23"/>
  <c r="O189" i="23"/>
  <c r="O195" i="23"/>
  <c r="O179" i="23"/>
  <c r="O174" i="23"/>
  <c r="P261" i="26"/>
  <c r="P258" i="26"/>
  <c r="P263" i="26"/>
  <c r="P260" i="26"/>
  <c r="P265" i="26"/>
  <c r="P262" i="26"/>
  <c r="P254" i="26"/>
  <c r="P246" i="26"/>
  <c r="P238" i="26"/>
  <c r="P230" i="26"/>
  <c r="P222" i="26"/>
  <c r="P251" i="26"/>
  <c r="P243" i="26"/>
  <c r="P235" i="26"/>
  <c r="P227" i="26"/>
  <c r="P264" i="26"/>
  <c r="P256" i="26"/>
  <c r="P248" i="26"/>
  <c r="P240" i="26"/>
  <c r="P232" i="26"/>
  <c r="P224" i="26"/>
  <c r="P259" i="26"/>
  <c r="P253" i="26"/>
  <c r="P245" i="26"/>
  <c r="P237" i="26"/>
  <c r="P229" i="26"/>
  <c r="P221" i="26"/>
  <c r="P250" i="26"/>
  <c r="P242" i="26"/>
  <c r="P234" i="26"/>
  <c r="P226" i="26"/>
  <c r="P255" i="26"/>
  <c r="P247" i="26"/>
  <c r="P239" i="26"/>
  <c r="P231" i="26"/>
  <c r="P223" i="26"/>
  <c r="P252" i="26"/>
  <c r="P244" i="26"/>
  <c r="P236" i="26"/>
  <c r="P228" i="26"/>
  <c r="P220" i="26"/>
  <c r="P257" i="26"/>
  <c r="P225" i="26"/>
  <c r="P249" i="26"/>
  <c r="P241" i="26"/>
  <c r="P233" i="26"/>
  <c r="P207" i="26"/>
  <c r="P199" i="26"/>
  <c r="P191" i="26"/>
  <c r="P183" i="26"/>
  <c r="P175" i="26"/>
  <c r="P167" i="26"/>
  <c r="P204" i="26"/>
  <c r="P196" i="26"/>
  <c r="P188" i="26"/>
  <c r="P180" i="26"/>
  <c r="P172" i="26"/>
  <c r="P209" i="26"/>
  <c r="P201" i="26"/>
  <c r="P193" i="26"/>
  <c r="P185" i="26"/>
  <c r="P177" i="26"/>
  <c r="P169" i="26"/>
  <c r="P203" i="26"/>
  <c r="P195" i="26"/>
  <c r="P187" i="26"/>
  <c r="P179" i="26"/>
  <c r="P171" i="26"/>
  <c r="P208" i="26"/>
  <c r="P200" i="26"/>
  <c r="P192" i="26"/>
  <c r="P184" i="26"/>
  <c r="P176" i="26"/>
  <c r="P168" i="26"/>
  <c r="P205" i="26"/>
  <c r="P197" i="26"/>
  <c r="P189" i="26"/>
  <c r="P181" i="26"/>
  <c r="P173" i="26"/>
  <c r="P194" i="26"/>
  <c r="P178" i="26"/>
  <c r="P198" i="26"/>
  <c r="P182" i="26"/>
  <c r="P202" i="26"/>
  <c r="P186" i="26"/>
  <c r="P170" i="26"/>
  <c r="P206" i="26"/>
  <c r="P190" i="26"/>
  <c r="P174" i="26"/>
  <c r="P264" i="29"/>
  <c r="P256" i="29"/>
  <c r="P248" i="29"/>
  <c r="P240" i="29"/>
  <c r="P232" i="29"/>
  <c r="P224" i="29"/>
  <c r="P261" i="29"/>
  <c r="P253" i="29"/>
  <c r="P245" i="29"/>
  <c r="P237" i="29"/>
  <c r="P229" i="29"/>
  <c r="P221" i="29"/>
  <c r="P258" i="29"/>
  <c r="P250" i="29"/>
  <c r="P242" i="29"/>
  <c r="P234" i="29"/>
  <c r="P226" i="29"/>
  <c r="P263" i="29"/>
  <c r="P255" i="29"/>
  <c r="P247" i="29"/>
  <c r="P239" i="29"/>
  <c r="P231" i="29"/>
  <c r="P223" i="29"/>
  <c r="P260" i="29"/>
  <c r="P252" i="29"/>
  <c r="P244" i="29"/>
  <c r="P236" i="29"/>
  <c r="P228" i="29"/>
  <c r="P220" i="29"/>
  <c r="P249" i="29"/>
  <c r="P259" i="29"/>
  <c r="P254" i="29"/>
  <c r="P227" i="29"/>
  <c r="P222" i="29"/>
  <c r="P257" i="29"/>
  <c r="P225" i="29"/>
  <c r="P262" i="29"/>
  <c r="P235" i="29"/>
  <c r="P230" i="29"/>
  <c r="P265" i="29"/>
  <c r="P233" i="29"/>
  <c r="P243" i="29"/>
  <c r="P238" i="29"/>
  <c r="P241" i="29"/>
  <c r="P246" i="29"/>
  <c r="P251" i="29"/>
  <c r="P207" i="29"/>
  <c r="P199" i="29"/>
  <c r="P191" i="29"/>
  <c r="P183" i="29"/>
  <c r="P175" i="29"/>
  <c r="P167" i="29"/>
  <c r="P209" i="29"/>
  <c r="P201" i="29"/>
  <c r="P193" i="29"/>
  <c r="P185" i="29"/>
  <c r="P177" i="29"/>
  <c r="P169" i="29"/>
  <c r="P206" i="29"/>
  <c r="P198" i="29"/>
  <c r="P190" i="29"/>
  <c r="P203" i="29"/>
  <c r="P195" i="29"/>
  <c r="P187" i="29"/>
  <c r="P179" i="29"/>
  <c r="P171" i="29"/>
  <c r="P208" i="29"/>
  <c r="P200" i="29"/>
  <c r="P192" i="29"/>
  <c r="P184" i="29"/>
  <c r="P176" i="29"/>
  <c r="P168" i="29"/>
  <c r="P205" i="29"/>
  <c r="P180" i="29"/>
  <c r="P172" i="29"/>
  <c r="P188" i="29"/>
  <c r="P181" i="29"/>
  <c r="P173" i="29"/>
  <c r="P196" i="29"/>
  <c r="P189" i="29"/>
  <c r="P182" i="29"/>
  <c r="P174" i="29"/>
  <c r="P197" i="29"/>
  <c r="P194" i="29"/>
  <c r="P186" i="29"/>
  <c r="P202" i="29"/>
  <c r="P178" i="29"/>
  <c r="P170" i="29"/>
  <c r="P204" i="29"/>
  <c r="N115" i="35"/>
  <c r="N49" i="35" s="1"/>
  <c r="O115" i="41"/>
  <c r="O49" i="41" s="1"/>
  <c r="O115" i="47"/>
  <c r="O49" i="47" s="1"/>
  <c r="N214" i="23"/>
  <c r="O15" i="59" s="1"/>
  <c r="N5" i="70"/>
  <c r="N5" i="72"/>
  <c r="M39" i="44" s="1"/>
  <c r="N63" i="59"/>
  <c r="N126" i="72" s="1"/>
  <c r="M41" i="44" s="1"/>
  <c r="N214" i="35"/>
  <c r="O19" i="59" s="1"/>
  <c r="O317" i="59" s="1"/>
  <c r="J70" i="70"/>
  <c r="O267" i="26"/>
  <c r="P52" i="59" s="1"/>
  <c r="K9" i="70"/>
  <c r="K9" i="72"/>
  <c r="K67" i="59"/>
  <c r="K130" i="72" s="1"/>
  <c r="J41" i="17" s="1"/>
  <c r="K27" i="59"/>
  <c r="K214" i="14"/>
  <c r="L13" i="59" s="1"/>
  <c r="K267" i="14"/>
  <c r="L42" i="59" s="1"/>
  <c r="L282" i="59" s="1"/>
  <c r="O55" i="72"/>
  <c r="N40" i="41" s="1"/>
  <c r="O55" i="70"/>
  <c r="O83" i="59"/>
  <c r="O146" i="72" s="1"/>
  <c r="O25" i="70"/>
  <c r="O25" i="72"/>
  <c r="N48" i="72"/>
  <c r="M40" i="35" s="1"/>
  <c r="N48" i="70"/>
  <c r="P260" i="5"/>
  <c r="P252" i="5"/>
  <c r="P244" i="5"/>
  <c r="P236" i="5"/>
  <c r="P228" i="5"/>
  <c r="P265" i="5"/>
  <c r="P257" i="5"/>
  <c r="P249" i="5"/>
  <c r="P241" i="5"/>
  <c r="P233" i="5"/>
  <c r="P225" i="5"/>
  <c r="P262" i="5"/>
  <c r="P254" i="5"/>
  <c r="P246" i="5"/>
  <c r="P238" i="5"/>
  <c r="P230" i="5"/>
  <c r="P222" i="5"/>
  <c r="P259" i="5"/>
  <c r="P251" i="5"/>
  <c r="P243" i="5"/>
  <c r="P235" i="5"/>
  <c r="P264" i="5"/>
  <c r="P256" i="5"/>
  <c r="P248" i="5"/>
  <c r="P240" i="5"/>
  <c r="P232" i="5"/>
  <c r="P224" i="5"/>
  <c r="P261" i="5"/>
  <c r="P253" i="5"/>
  <c r="P245" i="5"/>
  <c r="P237" i="5"/>
  <c r="P229" i="5"/>
  <c r="P221" i="5"/>
  <c r="P266" i="5"/>
  <c r="P258" i="5"/>
  <c r="P250" i="5"/>
  <c r="P242" i="5"/>
  <c r="P234" i="5"/>
  <c r="P226" i="5"/>
  <c r="P239" i="5"/>
  <c r="P263" i="5"/>
  <c r="P223" i="5"/>
  <c r="P255" i="5"/>
  <c r="P227" i="5"/>
  <c r="P231" i="5"/>
  <c r="P247" i="5"/>
  <c r="P206" i="5"/>
  <c r="P198" i="5"/>
  <c r="P190" i="5"/>
  <c r="P182" i="5"/>
  <c r="P174" i="5"/>
  <c r="P203" i="5"/>
  <c r="P195" i="5"/>
  <c r="P187" i="5"/>
  <c r="P179" i="5"/>
  <c r="P171" i="5"/>
  <c r="P208" i="5"/>
  <c r="P200" i="5"/>
  <c r="P192" i="5"/>
  <c r="P184" i="5"/>
  <c r="P176" i="5"/>
  <c r="P168" i="5"/>
  <c r="P205" i="5"/>
  <c r="P197" i="5"/>
  <c r="P189" i="5"/>
  <c r="P181" i="5"/>
  <c r="P173" i="5"/>
  <c r="P210" i="5"/>
  <c r="P202" i="5"/>
  <c r="P194" i="5"/>
  <c r="P186" i="5"/>
  <c r="P178" i="5"/>
  <c r="P170" i="5"/>
  <c r="P204" i="5"/>
  <c r="P196" i="5"/>
  <c r="P188" i="5"/>
  <c r="P180" i="5"/>
  <c r="P172" i="5"/>
  <c r="P207" i="5"/>
  <c r="P191" i="5"/>
  <c r="P175" i="5"/>
  <c r="P209" i="5"/>
  <c r="P193" i="5"/>
  <c r="P177" i="5"/>
  <c r="P199" i="5"/>
  <c r="P183" i="5"/>
  <c r="P201" i="5"/>
  <c r="P185" i="5"/>
  <c r="P169" i="5"/>
  <c r="O115" i="50"/>
  <c r="O49" i="50" s="1"/>
  <c r="S133" i="17"/>
  <c r="S134" i="17" s="1"/>
  <c r="U134" i="17" s="1"/>
  <c r="P96" i="70"/>
  <c r="O115" i="29"/>
  <c r="O49" i="29" s="1"/>
  <c r="P265" i="38"/>
  <c r="P257" i="38"/>
  <c r="P249" i="38"/>
  <c r="P241" i="38"/>
  <c r="P233" i="38"/>
  <c r="P262" i="38"/>
  <c r="P254" i="38"/>
  <c r="P246" i="38"/>
  <c r="P238" i="38"/>
  <c r="P259" i="38"/>
  <c r="P251" i="38"/>
  <c r="P243" i="38"/>
  <c r="P235" i="38"/>
  <c r="P264" i="38"/>
  <c r="P256" i="38"/>
  <c r="P248" i="38"/>
  <c r="P240" i="38"/>
  <c r="P232" i="38"/>
  <c r="P261" i="38"/>
  <c r="P253" i="38"/>
  <c r="P245" i="38"/>
  <c r="P237" i="38"/>
  <c r="P258" i="38"/>
  <c r="P250" i="38"/>
  <c r="P242" i="38"/>
  <c r="P234" i="38"/>
  <c r="P263" i="38"/>
  <c r="P255" i="38"/>
  <c r="P247" i="38"/>
  <c r="P239" i="38"/>
  <c r="P252" i="38"/>
  <c r="P230" i="38"/>
  <c r="P222" i="38"/>
  <c r="P227" i="38"/>
  <c r="P244" i="38"/>
  <c r="P224" i="38"/>
  <c r="P229" i="38"/>
  <c r="P221" i="38"/>
  <c r="P236" i="38"/>
  <c r="P226" i="38"/>
  <c r="P231" i="38"/>
  <c r="P223" i="38"/>
  <c r="P260" i="38"/>
  <c r="P228" i="38"/>
  <c r="P220" i="38"/>
  <c r="P225" i="38"/>
  <c r="P208" i="38"/>
  <c r="P200" i="38"/>
  <c r="P192" i="38"/>
  <c r="P184" i="38"/>
  <c r="P176" i="38"/>
  <c r="P168" i="38"/>
  <c r="P205" i="38"/>
  <c r="P197" i="38"/>
  <c r="P189" i="38"/>
  <c r="P181" i="38"/>
  <c r="P173" i="38"/>
  <c r="P202" i="38"/>
  <c r="P194" i="38"/>
  <c r="P186" i="38"/>
  <c r="P178" i="38"/>
  <c r="P170" i="38"/>
  <c r="P207" i="38"/>
  <c r="P204" i="38"/>
  <c r="P196" i="38"/>
  <c r="P188" i="38"/>
  <c r="P180" i="38"/>
  <c r="P172" i="38"/>
  <c r="P209" i="38"/>
  <c r="P201" i="38"/>
  <c r="P193" i="38"/>
  <c r="P185" i="38"/>
  <c r="P177" i="38"/>
  <c r="P169" i="38"/>
  <c r="P206" i="38"/>
  <c r="P198" i="38"/>
  <c r="P190" i="38"/>
  <c r="P182" i="38"/>
  <c r="P174" i="38"/>
  <c r="P203" i="38"/>
  <c r="P187" i="38"/>
  <c r="P171" i="38"/>
  <c r="P191" i="38"/>
  <c r="P175" i="38"/>
  <c r="P195" i="38"/>
  <c r="P179" i="38"/>
  <c r="P199" i="38"/>
  <c r="P167" i="38"/>
  <c r="P183" i="38"/>
  <c r="N72" i="70"/>
  <c r="N130" i="70" s="1"/>
  <c r="O26" i="70"/>
  <c r="O26" i="72"/>
  <c r="N39" i="41" s="1"/>
  <c r="O84" i="59"/>
  <c r="O147" i="72" s="1"/>
  <c r="N41" i="41" s="1"/>
  <c r="K115" i="17"/>
  <c r="K49" i="17" s="1"/>
  <c r="O45" i="70"/>
  <c r="O45" i="72"/>
  <c r="N40" i="29" s="1"/>
  <c r="O82" i="59"/>
  <c r="O145" i="72" s="1"/>
  <c r="N41" i="50" s="1"/>
  <c r="O24" i="72"/>
  <c r="N39" i="50" s="1"/>
  <c r="O24" i="70"/>
  <c r="L262" i="14"/>
  <c r="L254" i="14"/>
  <c r="L246" i="14"/>
  <c r="L238" i="14"/>
  <c r="L230" i="14"/>
  <c r="L222" i="14"/>
  <c r="L259" i="14"/>
  <c r="L251" i="14"/>
  <c r="L264" i="14"/>
  <c r="L256" i="14"/>
  <c r="L248" i="14"/>
  <c r="L240" i="14"/>
  <c r="L232" i="14"/>
  <c r="L224" i="14"/>
  <c r="L258" i="14"/>
  <c r="L250" i="14"/>
  <c r="L242" i="14"/>
  <c r="L234" i="14"/>
  <c r="L226" i="14"/>
  <c r="L263" i="14"/>
  <c r="L255" i="14"/>
  <c r="L247" i="14"/>
  <c r="L239" i="14"/>
  <c r="L231" i="14"/>
  <c r="L223" i="14"/>
  <c r="L260" i="14"/>
  <c r="L252" i="14"/>
  <c r="L244" i="14"/>
  <c r="L236" i="14"/>
  <c r="L228" i="14"/>
  <c r="L261" i="14"/>
  <c r="L241" i="14"/>
  <c r="L221" i="14"/>
  <c r="L249" i="14"/>
  <c r="L229" i="14"/>
  <c r="L220" i="14"/>
  <c r="L227" i="14"/>
  <c r="L253" i="14"/>
  <c r="L237" i="14"/>
  <c r="L225" i="14"/>
  <c r="L235" i="14"/>
  <c r="L265" i="14"/>
  <c r="L257" i="14"/>
  <c r="L245" i="14"/>
  <c r="L233" i="14"/>
  <c r="L243" i="14"/>
  <c r="L205" i="14"/>
  <c r="L197" i="14"/>
  <c r="L189" i="14"/>
  <c r="L181" i="14"/>
  <c r="L206" i="14"/>
  <c r="L198" i="14"/>
  <c r="L190" i="14"/>
  <c r="L182" i="14"/>
  <c r="L174" i="14"/>
  <c r="L203" i="14"/>
  <c r="L202" i="14"/>
  <c r="L187" i="14"/>
  <c r="L186" i="14"/>
  <c r="L173" i="14"/>
  <c r="L201" i="14"/>
  <c r="L200" i="14"/>
  <c r="L199" i="14"/>
  <c r="L185" i="14"/>
  <c r="L184" i="14"/>
  <c r="L183" i="14"/>
  <c r="L170" i="14"/>
  <c r="L167" i="14"/>
  <c r="L196" i="14"/>
  <c r="L180" i="14"/>
  <c r="L172" i="14"/>
  <c r="L195" i="14"/>
  <c r="L194" i="14"/>
  <c r="L179" i="14"/>
  <c r="L178" i="14"/>
  <c r="L169" i="14"/>
  <c r="L171" i="14"/>
  <c r="L175" i="14"/>
  <c r="L208" i="14"/>
  <c r="L168" i="14"/>
  <c r="L191" i="14"/>
  <c r="L177" i="14"/>
  <c r="L176" i="14"/>
  <c r="L207" i="14"/>
  <c r="L193" i="14"/>
  <c r="L188" i="14"/>
  <c r="L209" i="14"/>
  <c r="L204" i="14"/>
  <c r="L192" i="14"/>
  <c r="L75" i="14"/>
  <c r="L71" i="14"/>
  <c r="L78" i="14"/>
  <c r="L74" i="14"/>
  <c r="L70" i="14"/>
  <c r="L77" i="14"/>
  <c r="L73" i="14"/>
  <c r="L69" i="14"/>
  <c r="L76" i="14"/>
  <c r="L72" i="14"/>
  <c r="N34" i="70"/>
  <c r="N34" i="72"/>
  <c r="M40" i="44" s="1"/>
  <c r="O258" i="44"/>
  <c r="O263" i="44"/>
  <c r="O255" i="44"/>
  <c r="O260" i="44"/>
  <c r="O262" i="44"/>
  <c r="O254" i="44"/>
  <c r="O259" i="44"/>
  <c r="O264" i="44"/>
  <c r="O256" i="44"/>
  <c r="O265" i="44"/>
  <c r="O252" i="44"/>
  <c r="O244" i="44"/>
  <c r="O236" i="44"/>
  <c r="O228" i="44"/>
  <c r="O220" i="44"/>
  <c r="O249" i="44"/>
  <c r="O241" i="44"/>
  <c r="O233" i="44"/>
  <c r="O225" i="44"/>
  <c r="O253" i="44"/>
  <c r="O246" i="44"/>
  <c r="O238" i="44"/>
  <c r="O230" i="44"/>
  <c r="O222" i="44"/>
  <c r="O251" i="44"/>
  <c r="O243" i="44"/>
  <c r="O235" i="44"/>
  <c r="O227" i="44"/>
  <c r="O257" i="44"/>
  <c r="O248" i="44"/>
  <c r="O240" i="44"/>
  <c r="O232" i="44"/>
  <c r="O224" i="44"/>
  <c r="O245" i="44"/>
  <c r="O237" i="44"/>
  <c r="O229" i="44"/>
  <c r="O221" i="44"/>
  <c r="O261" i="44"/>
  <c r="O250" i="44"/>
  <c r="O242" i="44"/>
  <c r="O234" i="44"/>
  <c r="O226" i="44"/>
  <c r="O239" i="44"/>
  <c r="O231" i="44"/>
  <c r="O223" i="44"/>
  <c r="O247" i="44"/>
  <c r="O202" i="44"/>
  <c r="O194" i="44"/>
  <c r="O186" i="44"/>
  <c r="O178" i="44"/>
  <c r="O170" i="44"/>
  <c r="O207" i="44"/>
  <c r="O199" i="44"/>
  <c r="O191" i="44"/>
  <c r="O183" i="44"/>
  <c r="O175" i="44"/>
  <c r="O167" i="44"/>
  <c r="O204" i="44"/>
  <c r="O196" i="44"/>
  <c r="O188" i="44"/>
  <c r="O180" i="44"/>
  <c r="O172" i="44"/>
  <c r="O209" i="44"/>
  <c r="O201" i="44"/>
  <c r="O193" i="44"/>
  <c r="O185" i="44"/>
  <c r="O177" i="44"/>
  <c r="O169" i="44"/>
  <c r="O206" i="44"/>
  <c r="O198" i="44"/>
  <c r="O190" i="44"/>
  <c r="O182" i="44"/>
  <c r="O174" i="44"/>
  <c r="O208" i="44"/>
  <c r="O200" i="44"/>
  <c r="O192" i="44"/>
  <c r="O184" i="44"/>
  <c r="O176" i="44"/>
  <c r="O168" i="44"/>
  <c r="O203" i="44"/>
  <c r="O187" i="44"/>
  <c r="O171" i="44"/>
  <c r="O205" i="44"/>
  <c r="O189" i="44"/>
  <c r="O173" i="44"/>
  <c r="O195" i="44"/>
  <c r="O179" i="44"/>
  <c r="O197" i="44"/>
  <c r="O181" i="44"/>
  <c r="S126" i="17"/>
  <c r="K37" i="19" s="1"/>
  <c r="I59" i="19" s="1"/>
  <c r="S125" i="17"/>
  <c r="J37" i="19" s="1"/>
  <c r="H59" i="19" s="1"/>
  <c r="S127" i="17"/>
  <c r="K96" i="72"/>
  <c r="E27" i="19"/>
  <c r="E31" i="19" s="1"/>
  <c r="E32" i="19" s="1"/>
  <c r="N115" i="32"/>
  <c r="N49" i="32" s="1"/>
  <c r="O115" i="38"/>
  <c r="O49" i="38" s="1"/>
  <c r="N115" i="44"/>
  <c r="N49" i="44" s="1"/>
  <c r="P83" i="53"/>
  <c r="P78" i="53"/>
  <c r="P86" i="53"/>
  <c r="P81" i="53"/>
  <c r="P80" i="53"/>
  <c r="P84" i="53"/>
  <c r="P87" i="53"/>
  <c r="P82" i="53"/>
  <c r="P79" i="53"/>
  <c r="P85" i="53"/>
  <c r="P88" i="53"/>
  <c r="P264" i="53"/>
  <c r="P256" i="53"/>
  <c r="P248" i="53"/>
  <c r="P240" i="53"/>
  <c r="P232" i="53"/>
  <c r="P224" i="53"/>
  <c r="P261" i="53"/>
  <c r="P253" i="53"/>
  <c r="P245" i="53"/>
  <c r="P237" i="53"/>
  <c r="P229" i="53"/>
  <c r="P221" i="53"/>
  <c r="P258" i="53"/>
  <c r="P250" i="53"/>
  <c r="P242" i="53"/>
  <c r="P234" i="53"/>
  <c r="P226" i="53"/>
  <c r="P263" i="53"/>
  <c r="P255" i="53"/>
  <c r="P247" i="53"/>
  <c r="P239" i="53"/>
  <c r="P231" i="53"/>
  <c r="P223" i="53"/>
  <c r="P260" i="53"/>
  <c r="P252" i="53"/>
  <c r="P244" i="53"/>
  <c r="P236" i="53"/>
  <c r="P228" i="53"/>
  <c r="P220" i="53"/>
  <c r="P265" i="53"/>
  <c r="P257" i="53"/>
  <c r="P249" i="53"/>
  <c r="P241" i="53"/>
  <c r="P233" i="53"/>
  <c r="P225" i="53"/>
  <c r="P262" i="53"/>
  <c r="P254" i="53"/>
  <c r="P246" i="53"/>
  <c r="P238" i="53"/>
  <c r="P230" i="53"/>
  <c r="P222" i="53"/>
  <c r="P251" i="53"/>
  <c r="P243" i="53"/>
  <c r="P235" i="53"/>
  <c r="P259" i="53"/>
  <c r="P227" i="53"/>
  <c r="P208" i="53"/>
  <c r="P200" i="53"/>
  <c r="P192" i="53"/>
  <c r="P184" i="53"/>
  <c r="P176" i="53"/>
  <c r="P168" i="53"/>
  <c r="P205" i="53"/>
  <c r="P197" i="53"/>
  <c r="P189" i="53"/>
  <c r="P181" i="53"/>
  <c r="P173" i="53"/>
  <c r="P202" i="53"/>
  <c r="P194" i="53"/>
  <c r="P186" i="53"/>
  <c r="P178" i="53"/>
  <c r="P170" i="53"/>
  <c r="P207" i="53"/>
  <c r="P199" i="53"/>
  <c r="P191" i="53"/>
  <c r="P183" i="53"/>
  <c r="P175" i="53"/>
  <c r="P167" i="53"/>
  <c r="P204" i="53"/>
  <c r="P196" i="53"/>
  <c r="P188" i="53"/>
  <c r="P180" i="53"/>
  <c r="P172" i="53"/>
  <c r="P209" i="53"/>
  <c r="P201" i="53"/>
  <c r="P193" i="53"/>
  <c r="P185" i="53"/>
  <c r="P177" i="53"/>
  <c r="P169" i="53"/>
  <c r="P206" i="53"/>
  <c r="P198" i="53"/>
  <c r="P190" i="53"/>
  <c r="P182" i="53"/>
  <c r="P174" i="53"/>
  <c r="P187" i="53"/>
  <c r="P179" i="53"/>
  <c r="P203" i="53"/>
  <c r="P171" i="53"/>
  <c r="P195" i="53"/>
  <c r="M64" i="59"/>
  <c r="M127" i="72" s="1"/>
  <c r="L41" i="8" s="1"/>
  <c r="K267" i="17"/>
  <c r="L38" i="59" s="1"/>
  <c r="L278" i="59" s="1"/>
  <c r="L265" i="17"/>
  <c r="L257" i="17"/>
  <c r="L262" i="17"/>
  <c r="L259" i="17"/>
  <c r="L264" i="17"/>
  <c r="L256" i="17"/>
  <c r="L261" i="17"/>
  <c r="L255" i="17"/>
  <c r="L247" i="17"/>
  <c r="L239" i="17"/>
  <c r="L231" i="17"/>
  <c r="L223" i="17"/>
  <c r="L252" i="17"/>
  <c r="L244" i="17"/>
  <c r="L236" i="17"/>
  <c r="L228" i="17"/>
  <c r="L220" i="17"/>
  <c r="L249" i="17"/>
  <c r="L241" i="17"/>
  <c r="L233" i="17"/>
  <c r="L225" i="17"/>
  <c r="L254" i="17"/>
  <c r="L246" i="17"/>
  <c r="L238" i="17"/>
  <c r="L230" i="17"/>
  <c r="L222" i="17"/>
  <c r="L251" i="17"/>
  <c r="L243" i="17"/>
  <c r="L235" i="17"/>
  <c r="L227" i="17"/>
  <c r="L248" i="17"/>
  <c r="L240" i="17"/>
  <c r="L232" i="17"/>
  <c r="L224" i="17"/>
  <c r="L260" i="17"/>
  <c r="L258" i="17"/>
  <c r="L253" i="17"/>
  <c r="L245" i="17"/>
  <c r="L237" i="17"/>
  <c r="L229" i="17"/>
  <c r="L221" i="17"/>
  <c r="L242" i="17"/>
  <c r="L234" i="17"/>
  <c r="L226" i="17"/>
  <c r="L263" i="17"/>
  <c r="L250" i="17"/>
  <c r="L207" i="17"/>
  <c r="L199" i="17"/>
  <c r="L191" i="17"/>
  <c r="L183" i="17"/>
  <c r="L175" i="17"/>
  <c r="L167" i="17"/>
  <c r="L209" i="17"/>
  <c r="L201" i="17"/>
  <c r="L203" i="17"/>
  <c r="L195" i="17"/>
  <c r="L187" i="17"/>
  <c r="L179" i="17"/>
  <c r="L208" i="17"/>
  <c r="L200" i="17"/>
  <c r="L192" i="17"/>
  <c r="L184" i="17"/>
  <c r="L176" i="17"/>
  <c r="L168" i="17"/>
  <c r="L204" i="17"/>
  <c r="L190" i="17"/>
  <c r="L180" i="17"/>
  <c r="L174" i="17"/>
  <c r="L181" i="17"/>
  <c r="L173" i="17"/>
  <c r="L172" i="17"/>
  <c r="L205" i="17"/>
  <c r="L194" i="17"/>
  <c r="L193" i="17"/>
  <c r="L182" i="17"/>
  <c r="L171" i="17"/>
  <c r="L170" i="17"/>
  <c r="L169" i="17"/>
  <c r="L202" i="17"/>
  <c r="L206" i="17"/>
  <c r="L196" i="17"/>
  <c r="L186" i="17"/>
  <c r="L185" i="17"/>
  <c r="L198" i="17"/>
  <c r="L188" i="17"/>
  <c r="L178" i="17"/>
  <c r="L177" i="17"/>
  <c r="L189" i="17"/>
  <c r="L197" i="17"/>
  <c r="L77" i="17"/>
  <c r="L84" i="17"/>
  <c r="L91" i="17"/>
  <c r="L78" i="17"/>
  <c r="L83" i="17"/>
  <c r="L69" i="17"/>
  <c r="L90" i="17"/>
  <c r="L75" i="17"/>
  <c r="L81" i="17"/>
  <c r="L89" i="17"/>
  <c r="L76" i="17"/>
  <c r="L82" i="17"/>
  <c r="L88" i="17"/>
  <c r="L74" i="17"/>
  <c r="L79" i="17"/>
  <c r="L85" i="17"/>
  <c r="L87" i="17"/>
  <c r="L86" i="17"/>
  <c r="L71" i="17"/>
  <c r="L72" i="17"/>
  <c r="L73" i="17"/>
  <c r="L70" i="17"/>
  <c r="L80" i="17"/>
  <c r="O267" i="41"/>
  <c r="P55" i="59" s="1"/>
  <c r="P295" i="59" s="1"/>
  <c r="O14" i="70"/>
  <c r="O14" i="72"/>
  <c r="N39" i="47" s="1"/>
  <c r="O72" i="59"/>
  <c r="O135" i="72" s="1"/>
  <c r="N41" i="47" s="1"/>
  <c r="O267" i="50"/>
  <c r="P53" i="59" s="1"/>
  <c r="O268" i="5"/>
  <c r="P37" i="59" s="1"/>
  <c r="K13" i="70"/>
  <c r="K13" i="72"/>
  <c r="J39" i="14" s="1"/>
  <c r="K71" i="59"/>
  <c r="K134" i="72" s="1"/>
  <c r="J41" i="14" s="1"/>
  <c r="K115" i="11"/>
  <c r="K49" i="11" s="1"/>
  <c r="O53" i="70"/>
  <c r="O53" i="72"/>
  <c r="N40" i="50" s="1"/>
  <c r="O214" i="29"/>
  <c r="P16" i="59" s="1"/>
  <c r="P167" i="59"/>
  <c r="P105" i="72"/>
  <c r="O214" i="1"/>
  <c r="P4" i="59" s="1"/>
  <c r="N62" i="70"/>
  <c r="O115" i="1"/>
  <c r="O49" i="1" s="1"/>
  <c r="P88" i="1"/>
  <c r="P84" i="1"/>
  <c r="P87" i="1"/>
  <c r="P82" i="1"/>
  <c r="P85" i="1"/>
  <c r="P83" i="1"/>
  <c r="P86" i="1"/>
  <c r="P225" i="1"/>
  <c r="P233" i="1"/>
  <c r="P241" i="1"/>
  <c r="P249" i="1"/>
  <c r="P257" i="1"/>
  <c r="P265" i="1"/>
  <c r="P196" i="1"/>
  <c r="P204" i="1"/>
  <c r="P174" i="1"/>
  <c r="P182" i="1"/>
  <c r="P228" i="1"/>
  <c r="P236" i="1"/>
  <c r="P244" i="1"/>
  <c r="P252" i="1"/>
  <c r="P260" i="1"/>
  <c r="P220" i="1"/>
  <c r="P199" i="1"/>
  <c r="P207" i="1"/>
  <c r="P173" i="1"/>
  <c r="P181" i="1"/>
  <c r="P223" i="1"/>
  <c r="P231" i="1"/>
  <c r="P239" i="1"/>
  <c r="P247" i="1"/>
  <c r="P255" i="1"/>
  <c r="P263" i="1"/>
  <c r="P194" i="1"/>
  <c r="P202" i="1"/>
  <c r="P172" i="1"/>
  <c r="P180" i="1"/>
  <c r="P226" i="1"/>
  <c r="P234" i="1"/>
  <c r="P242" i="1"/>
  <c r="P250" i="1"/>
  <c r="P258" i="1"/>
  <c r="P197" i="1"/>
  <c r="P205" i="1"/>
  <c r="P171" i="1"/>
  <c r="P179" i="1"/>
  <c r="P221" i="1"/>
  <c r="P229" i="1"/>
  <c r="P237" i="1"/>
  <c r="P245" i="1"/>
  <c r="P253" i="1"/>
  <c r="P261" i="1"/>
  <c r="P200" i="1"/>
  <c r="P208" i="1"/>
  <c r="P170" i="1"/>
  <c r="P178" i="1"/>
  <c r="P224" i="1"/>
  <c r="P232" i="1"/>
  <c r="P240" i="1"/>
  <c r="P248" i="1"/>
  <c r="P256" i="1"/>
  <c r="P264" i="1"/>
  <c r="P195" i="1"/>
  <c r="P203" i="1"/>
  <c r="P169" i="1"/>
  <c r="P177" i="1"/>
  <c r="P227" i="1"/>
  <c r="P235" i="1"/>
  <c r="P243" i="1"/>
  <c r="P251" i="1"/>
  <c r="P259" i="1"/>
  <c r="P198" i="1"/>
  <c r="P206" i="1"/>
  <c r="P168" i="1"/>
  <c r="P176" i="1"/>
  <c r="P222" i="1"/>
  <c r="P175" i="1"/>
  <c r="P186" i="1"/>
  <c r="P230" i="1"/>
  <c r="P167" i="1"/>
  <c r="P185" i="1"/>
  <c r="P193" i="1"/>
  <c r="P209" i="1"/>
  <c r="P238" i="1"/>
  <c r="P184" i="1"/>
  <c r="P192" i="1"/>
  <c r="P246" i="1"/>
  <c r="P183" i="1"/>
  <c r="P191" i="1"/>
  <c r="P254" i="1"/>
  <c r="P190" i="1"/>
  <c r="P262" i="1"/>
  <c r="P189" i="1"/>
  <c r="P201" i="1"/>
  <c r="P188" i="1"/>
  <c r="P187" i="1"/>
  <c r="P71" i="1"/>
  <c r="P79" i="1"/>
  <c r="P74" i="1"/>
  <c r="P77" i="1"/>
  <c r="P72" i="1"/>
  <c r="P78" i="1"/>
  <c r="P80" i="1"/>
  <c r="P73" i="1"/>
  <c r="P75" i="1"/>
  <c r="P81" i="1"/>
  <c r="P70" i="1"/>
  <c r="P76" i="1"/>
  <c r="O4" i="72"/>
  <c r="O4" i="70"/>
  <c r="O62" i="59"/>
  <c r="O267" i="1"/>
  <c r="P33" i="59" s="1"/>
  <c r="O33" i="72"/>
  <c r="O33" i="70"/>
  <c r="O115" i="53"/>
  <c r="O49" i="53" s="1"/>
  <c r="N214" i="8"/>
  <c r="O6" i="59" s="1"/>
  <c r="N6" i="70"/>
  <c r="O79" i="8"/>
  <c r="O81" i="8"/>
  <c r="O80" i="8"/>
  <c r="O78" i="8"/>
  <c r="O261" i="8"/>
  <c r="O253" i="8"/>
  <c r="O245" i="8"/>
  <c r="O237" i="8"/>
  <c r="O229" i="8"/>
  <c r="O221" i="8"/>
  <c r="O203" i="8"/>
  <c r="O195" i="8"/>
  <c r="O258" i="8"/>
  <c r="O250" i="8"/>
  <c r="O242" i="8"/>
  <c r="O234" i="8"/>
  <c r="O226" i="8"/>
  <c r="O208" i="8"/>
  <c r="O200" i="8"/>
  <c r="O192" i="8"/>
  <c r="O263" i="8"/>
  <c r="O255" i="8"/>
  <c r="O247" i="8"/>
  <c r="O239" i="8"/>
  <c r="O231" i="8"/>
  <c r="O223" i="8"/>
  <c r="O205" i="8"/>
  <c r="O197" i="8"/>
  <c r="O189" i="8"/>
  <c r="O260" i="8"/>
  <c r="O252" i="8"/>
  <c r="O244" i="8"/>
  <c r="O236" i="8"/>
  <c r="O228" i="8"/>
  <c r="O220" i="8"/>
  <c r="O202" i="8"/>
  <c r="O194" i="8"/>
  <c r="O265" i="8"/>
  <c r="O257" i="8"/>
  <c r="O249" i="8"/>
  <c r="O241" i="8"/>
  <c r="O233" i="8"/>
  <c r="O225" i="8"/>
  <c r="O207" i="8"/>
  <c r="O199" i="8"/>
  <c r="O191" i="8"/>
  <c r="O262" i="8"/>
  <c r="O254" i="8"/>
  <c r="O246" i="8"/>
  <c r="O238" i="8"/>
  <c r="O230" i="8"/>
  <c r="O222" i="8"/>
  <c r="O204" i="8"/>
  <c r="O196" i="8"/>
  <c r="O259" i="8"/>
  <c r="O251" i="8"/>
  <c r="O243" i="8"/>
  <c r="O235" i="8"/>
  <c r="O227" i="8"/>
  <c r="O209" i="8"/>
  <c r="O201" i="8"/>
  <c r="O193" i="8"/>
  <c r="O264" i="8"/>
  <c r="O256" i="8"/>
  <c r="O248" i="8"/>
  <c r="O240" i="8"/>
  <c r="O232" i="8"/>
  <c r="O224" i="8"/>
  <c r="O206" i="8"/>
  <c r="O198" i="8"/>
  <c r="O190" i="8"/>
  <c r="O188" i="8"/>
  <c r="O180" i="8"/>
  <c r="O172" i="8"/>
  <c r="O185" i="8"/>
  <c r="O177" i="8"/>
  <c r="O169" i="8"/>
  <c r="O182" i="8"/>
  <c r="O174" i="8"/>
  <c r="O187" i="8"/>
  <c r="O179" i="8"/>
  <c r="O171" i="8"/>
  <c r="O184" i="8"/>
  <c r="O176" i="8"/>
  <c r="O168" i="8"/>
  <c r="O181" i="8"/>
  <c r="O173" i="8"/>
  <c r="O186" i="8"/>
  <c r="O178" i="8"/>
  <c r="O170" i="8"/>
  <c r="O183" i="8"/>
  <c r="O175" i="8"/>
  <c r="O167" i="8"/>
  <c r="O70" i="8"/>
  <c r="O75" i="8"/>
  <c r="O72" i="8"/>
  <c r="O77" i="8"/>
  <c r="O69" i="8"/>
  <c r="O74" i="8"/>
  <c r="O71" i="8"/>
  <c r="O76" i="8"/>
  <c r="O73" i="8"/>
  <c r="M35" i="70"/>
  <c r="M64" i="70" s="1"/>
  <c r="N35" i="59"/>
  <c r="Q96" i="72"/>
  <c r="Q158" i="59"/>
  <c r="J27" i="19"/>
  <c r="J31" i="19" s="1"/>
  <c r="J32" i="19" s="1"/>
  <c r="H27" i="19"/>
  <c r="H31" i="19" s="1"/>
  <c r="H32" i="19" s="1"/>
  <c r="I27" i="19"/>
  <c r="I31" i="19" s="1"/>
  <c r="I32" i="19" s="1"/>
  <c r="D27" i="19"/>
  <c r="D31" i="19" s="1"/>
  <c r="F27" i="19"/>
  <c r="F31" i="19" s="1"/>
  <c r="F32" i="19" s="1"/>
  <c r="K27" i="19"/>
  <c r="K31" i="19" s="1"/>
  <c r="K32" i="19" s="1"/>
  <c r="G27" i="19"/>
  <c r="G31" i="19" s="1"/>
  <c r="G32" i="19" s="1"/>
  <c r="L27" i="19"/>
  <c r="L31" i="19" s="1"/>
  <c r="L32" i="19" s="1"/>
  <c r="P76" i="53"/>
  <c r="P74" i="53"/>
  <c r="P72" i="53"/>
  <c r="P70" i="53"/>
  <c r="P77" i="53"/>
  <c r="P75" i="53"/>
  <c r="P73" i="53"/>
  <c r="P71" i="53"/>
  <c r="P69" i="53"/>
  <c r="G23" i="54"/>
  <c r="G25" i="54" s="1"/>
  <c r="H21" i="54"/>
  <c r="P76" i="50"/>
  <c r="P74" i="50"/>
  <c r="P72" i="50"/>
  <c r="P70" i="50"/>
  <c r="P77" i="50"/>
  <c r="P75" i="50"/>
  <c r="P73" i="50"/>
  <c r="P71" i="50"/>
  <c r="P69" i="50"/>
  <c r="I21" i="51"/>
  <c r="H23" i="51"/>
  <c r="H25" i="51" s="1"/>
  <c r="P77" i="47"/>
  <c r="P75" i="47"/>
  <c r="P73" i="47"/>
  <c r="P71" i="47"/>
  <c r="P69" i="47"/>
  <c r="P76" i="47"/>
  <c r="P74" i="47"/>
  <c r="P72" i="47"/>
  <c r="P70" i="47"/>
  <c r="G23" i="48"/>
  <c r="G25" i="48" s="1"/>
  <c r="H21" i="48"/>
  <c r="I21" i="45"/>
  <c r="H23" i="45"/>
  <c r="H25" i="45" s="1"/>
  <c r="O72" i="44"/>
  <c r="O70" i="44"/>
  <c r="O77" i="44"/>
  <c r="O74" i="44"/>
  <c r="O73" i="44"/>
  <c r="O76" i="44"/>
  <c r="O71" i="44"/>
  <c r="O69" i="44"/>
  <c r="O75" i="44"/>
  <c r="P77" i="41"/>
  <c r="P71" i="41"/>
  <c r="P69" i="41"/>
  <c r="P76" i="41"/>
  <c r="P74" i="41"/>
  <c r="P72" i="41"/>
  <c r="P70" i="41"/>
  <c r="P75" i="41"/>
  <c r="P73" i="41"/>
  <c r="H23" i="42"/>
  <c r="H25" i="42" s="1"/>
  <c r="I21" i="42"/>
  <c r="G23" i="39"/>
  <c r="G25" i="39" s="1"/>
  <c r="H21" i="39"/>
  <c r="P76" i="38"/>
  <c r="P74" i="38"/>
  <c r="P72" i="38"/>
  <c r="P70" i="38"/>
  <c r="P77" i="38"/>
  <c r="P75" i="38"/>
  <c r="P73" i="38"/>
  <c r="P71" i="38"/>
  <c r="P69" i="38"/>
  <c r="O77" i="35"/>
  <c r="O75" i="35"/>
  <c r="O73" i="35"/>
  <c r="O71" i="35"/>
  <c r="O69" i="35"/>
  <c r="O76" i="35"/>
  <c r="O74" i="35"/>
  <c r="O72" i="35"/>
  <c r="O70" i="35"/>
  <c r="O76" i="32"/>
  <c r="O74" i="32"/>
  <c r="O72" i="32"/>
  <c r="O70" i="32"/>
  <c r="O77" i="32"/>
  <c r="O75" i="32"/>
  <c r="O73" i="32"/>
  <c r="O71" i="32"/>
  <c r="O69" i="32"/>
  <c r="G23" i="33"/>
  <c r="G25" i="33" s="1"/>
  <c r="H21" i="33"/>
  <c r="P77" i="29"/>
  <c r="P76" i="29"/>
  <c r="P73" i="29"/>
  <c r="P75" i="29"/>
  <c r="P72" i="29"/>
  <c r="P70" i="29"/>
  <c r="P74" i="29"/>
  <c r="P71" i="29"/>
  <c r="P69" i="29"/>
  <c r="H21" i="30"/>
  <c r="G23" i="30"/>
  <c r="G25" i="30" s="1"/>
  <c r="G23" i="27"/>
  <c r="G25" i="27" s="1"/>
  <c r="H21" i="27"/>
  <c r="P76" i="26"/>
  <c r="P74" i="26"/>
  <c r="P72" i="26"/>
  <c r="P70" i="26"/>
  <c r="P77" i="26"/>
  <c r="P75" i="26"/>
  <c r="P73" i="26"/>
  <c r="P71" i="26"/>
  <c r="P69" i="26"/>
  <c r="O76" i="23"/>
  <c r="O72" i="23"/>
  <c r="O77" i="23"/>
  <c r="O75" i="23"/>
  <c r="O73" i="23"/>
  <c r="O71" i="23"/>
  <c r="O69" i="23"/>
  <c r="O74" i="23"/>
  <c r="O70" i="23"/>
  <c r="H21" i="24"/>
  <c r="G23" i="24"/>
  <c r="G25" i="24" s="1"/>
  <c r="O77" i="20"/>
  <c r="O75" i="20"/>
  <c r="O73" i="20"/>
  <c r="O71" i="20"/>
  <c r="O69" i="20"/>
  <c r="O76" i="20"/>
  <c r="O74" i="20"/>
  <c r="O72" i="20"/>
  <c r="O70" i="20"/>
  <c r="G23" i="21"/>
  <c r="G25" i="21" s="1"/>
  <c r="H21" i="21"/>
  <c r="P77" i="5"/>
  <c r="P73" i="5"/>
  <c r="P69" i="5"/>
  <c r="P75" i="5"/>
  <c r="P76" i="5"/>
  <c r="P72" i="5"/>
  <c r="P71" i="5"/>
  <c r="P74" i="5"/>
  <c r="P70" i="5"/>
  <c r="E21" i="18"/>
  <c r="E23" i="18" s="1"/>
  <c r="E25" i="18" s="1"/>
  <c r="N23" i="83" l="1"/>
  <c r="P323" i="59"/>
  <c r="O27" i="76"/>
  <c r="O27" i="53"/>
  <c r="O13" i="53"/>
  <c r="O13" i="76"/>
  <c r="P265" i="59"/>
  <c r="N20" i="76"/>
  <c r="N20" i="53"/>
  <c r="O313" i="59"/>
  <c r="N13" i="23"/>
  <c r="N27" i="23"/>
  <c r="O255" i="59"/>
  <c r="N20" i="23" s="1"/>
  <c r="P324" i="59"/>
  <c r="P266" i="59"/>
  <c r="L253" i="59"/>
  <c r="L311" i="59"/>
  <c r="L310" i="59"/>
  <c r="L252" i="59"/>
  <c r="O309" i="59"/>
  <c r="O251" i="59"/>
  <c r="P308" i="59"/>
  <c r="O27" i="38"/>
  <c r="P250" i="59"/>
  <c r="O20" i="38" s="1"/>
  <c r="O6" i="50"/>
  <c r="O7" i="50" s="1"/>
  <c r="P322" i="59"/>
  <c r="O13" i="50"/>
  <c r="O27" i="50"/>
  <c r="L307" i="59"/>
  <c r="L249" i="59"/>
  <c r="P314" i="59"/>
  <c r="O27" i="29"/>
  <c r="O13" i="29"/>
  <c r="P256" i="59"/>
  <c r="O20" i="29" s="1"/>
  <c r="P306" i="59"/>
  <c r="O27" i="5"/>
  <c r="O13" i="5"/>
  <c r="P248" i="59"/>
  <c r="O20" i="5" s="1"/>
  <c r="P321" i="59"/>
  <c r="O27" i="26"/>
  <c r="O13" i="26"/>
  <c r="P263" i="59"/>
  <c r="O20" i="26" s="1"/>
  <c r="O304" i="59"/>
  <c r="N13" i="8"/>
  <c r="N27" i="8"/>
  <c r="O246" i="59"/>
  <c r="N20" i="8" s="1"/>
  <c r="O303" i="59"/>
  <c r="N27" i="44"/>
  <c r="N13" i="44"/>
  <c r="O245" i="59"/>
  <c r="N20" i="44" s="1"/>
  <c r="N14" i="76"/>
  <c r="N16" i="76" s="1"/>
  <c r="N17" i="76" s="1"/>
  <c r="N14" i="38"/>
  <c r="N16" i="38" s="1"/>
  <c r="N17" i="38" s="1"/>
  <c r="N26" i="50"/>
  <c r="N14" i="5"/>
  <c r="N18" i="5" s="1"/>
  <c r="N14" i="53"/>
  <c r="N16" i="53" s="1"/>
  <c r="N17" i="53" s="1"/>
  <c r="P126" i="59"/>
  <c r="P191" i="59" s="1"/>
  <c r="P277" i="59"/>
  <c r="O23" i="5" s="1"/>
  <c r="O22" i="5"/>
  <c r="O26" i="5" s="1"/>
  <c r="P143" i="59"/>
  <c r="P208" i="59" s="1"/>
  <c r="P294" i="59"/>
  <c r="O22" i="76"/>
  <c r="O26" i="76" s="1"/>
  <c r="O22" i="53"/>
  <c r="O14" i="53" s="1"/>
  <c r="N23" i="53"/>
  <c r="N23" i="76"/>
  <c r="O8" i="50"/>
  <c r="O9" i="50" s="1"/>
  <c r="O22" i="50"/>
  <c r="O14" i="50" s="1"/>
  <c r="P293" i="59"/>
  <c r="O23" i="50" s="1"/>
  <c r="O123" i="59"/>
  <c r="O188" i="59" s="1"/>
  <c r="O274" i="59"/>
  <c r="N23" i="44" s="1"/>
  <c r="N22" i="44"/>
  <c r="N26" i="44" s="1"/>
  <c r="P134" i="59"/>
  <c r="P199" i="59" s="1"/>
  <c r="P285" i="59"/>
  <c r="O23" i="29" s="1"/>
  <c r="O22" i="29"/>
  <c r="O26" i="29" s="1"/>
  <c r="O133" i="59"/>
  <c r="O198" i="59" s="1"/>
  <c r="O284" i="59"/>
  <c r="N23" i="23" s="1"/>
  <c r="N22" i="23"/>
  <c r="N26" i="23" s="1"/>
  <c r="M14" i="44"/>
  <c r="M14" i="23"/>
  <c r="M16" i="23" s="1"/>
  <c r="M17" i="23" s="1"/>
  <c r="N124" i="59"/>
  <c r="N189" i="59" s="1"/>
  <c r="N275" i="59"/>
  <c r="M23" i="8" s="1"/>
  <c r="M22" i="8"/>
  <c r="M26" i="8" s="1"/>
  <c r="P141" i="59"/>
  <c r="P206" i="59" s="1"/>
  <c r="P292" i="59"/>
  <c r="O23" i="26" s="1"/>
  <c r="O22" i="26"/>
  <c r="O26" i="26" s="1"/>
  <c r="P279" i="59"/>
  <c r="O23" i="38" s="1"/>
  <c r="O22" i="38"/>
  <c r="O26" i="38" s="1"/>
  <c r="L14" i="8"/>
  <c r="L18" i="8" s="1"/>
  <c r="N14" i="29"/>
  <c r="N14" i="26"/>
  <c r="N16" i="26" s="1"/>
  <c r="N17" i="26" s="1"/>
  <c r="H46" i="17"/>
  <c r="H50" i="17" s="1"/>
  <c r="H51" i="17" s="1"/>
  <c r="O22" i="1"/>
  <c r="O22" i="83"/>
  <c r="O8" i="83"/>
  <c r="O9" i="83" s="1"/>
  <c r="P273" i="59"/>
  <c r="O23" i="1" s="1"/>
  <c r="N14" i="83"/>
  <c r="N16" i="83" s="1"/>
  <c r="N17" i="83" s="1"/>
  <c r="N26" i="83"/>
  <c r="N28" i="83" s="1"/>
  <c r="P302" i="59"/>
  <c r="O27" i="1"/>
  <c r="O13" i="1"/>
  <c r="O6" i="83"/>
  <c r="O7" i="83" s="1"/>
  <c r="O27" i="83"/>
  <c r="O13" i="83"/>
  <c r="P244" i="59"/>
  <c r="O20" i="1" s="1"/>
  <c r="N26" i="1"/>
  <c r="N14" i="1"/>
  <c r="N16" i="1" s="1"/>
  <c r="N17" i="1" s="1"/>
  <c r="O27" i="47"/>
  <c r="P312" i="59"/>
  <c r="P254" i="59"/>
  <c r="O20" i="47" s="1"/>
  <c r="J39" i="17"/>
  <c r="J43" i="17" s="1"/>
  <c r="K27" i="72"/>
  <c r="N28" i="38"/>
  <c r="P142" i="59"/>
  <c r="P207" i="59" s="1"/>
  <c r="N16" i="50"/>
  <c r="N17" i="50" s="1"/>
  <c r="P264" i="59"/>
  <c r="O20" i="50" s="1"/>
  <c r="O137" i="59"/>
  <c r="O202" i="59" s="1"/>
  <c r="N22" i="35"/>
  <c r="N26" i="35" s="1"/>
  <c r="N23" i="35"/>
  <c r="N27" i="35"/>
  <c r="O259" i="59"/>
  <c r="N20" i="35" s="1"/>
  <c r="N13" i="35"/>
  <c r="M26" i="35"/>
  <c r="M28" i="35"/>
  <c r="L127" i="59"/>
  <c r="L192" i="59" s="1"/>
  <c r="K22" i="17"/>
  <c r="K14" i="17" s="1"/>
  <c r="K23" i="17"/>
  <c r="K20" i="17"/>
  <c r="K27" i="17"/>
  <c r="K13" i="17"/>
  <c r="J14" i="17"/>
  <c r="J16" i="17" s="1"/>
  <c r="J17" i="17" s="1"/>
  <c r="P128" i="59"/>
  <c r="P193" i="59" s="1"/>
  <c r="O13" i="38"/>
  <c r="K20" i="11"/>
  <c r="K27" i="11"/>
  <c r="K13" i="11"/>
  <c r="L130" i="59"/>
  <c r="L195" i="59" s="1"/>
  <c r="K23" i="11"/>
  <c r="K22" i="11"/>
  <c r="K26" i="11" s="1"/>
  <c r="J14" i="11"/>
  <c r="J16" i="11" s="1"/>
  <c r="J17" i="11" s="1"/>
  <c r="N26" i="41"/>
  <c r="N14" i="41"/>
  <c r="N16" i="41" s="1"/>
  <c r="N17" i="41" s="1"/>
  <c r="P144" i="59"/>
  <c r="P209" i="59" s="1"/>
  <c r="O23" i="41"/>
  <c r="O22" i="41"/>
  <c r="O20" i="41"/>
  <c r="O13" i="41"/>
  <c r="O27" i="41"/>
  <c r="I16" i="14"/>
  <c r="I17" i="14" s="1"/>
  <c r="J26" i="14"/>
  <c r="L131" i="59"/>
  <c r="L196" i="59" s="1"/>
  <c r="K22" i="14"/>
  <c r="K26" i="14" s="1"/>
  <c r="K23" i="14"/>
  <c r="K27" i="14"/>
  <c r="K13" i="14"/>
  <c r="K20" i="14"/>
  <c r="N28" i="47"/>
  <c r="N27" i="32"/>
  <c r="N13" i="32"/>
  <c r="N20" i="32"/>
  <c r="K27" i="70"/>
  <c r="K148" i="59"/>
  <c r="P37" i="14"/>
  <c r="M29" i="83"/>
  <c r="M28" i="1"/>
  <c r="N20" i="83"/>
  <c r="N28" i="1"/>
  <c r="N21" i="53"/>
  <c r="N21" i="76"/>
  <c r="N40" i="1"/>
  <c r="N40" i="83"/>
  <c r="N39" i="1"/>
  <c r="N39" i="83"/>
  <c r="K50" i="1"/>
  <c r="K51" i="1" s="1"/>
  <c r="N21" i="83"/>
  <c r="K115" i="59"/>
  <c r="L46" i="1"/>
  <c r="L47" i="1" s="1"/>
  <c r="L43" i="83"/>
  <c r="K47" i="83"/>
  <c r="K50" i="83"/>
  <c r="M41" i="1"/>
  <c r="M43" i="1" s="1"/>
  <c r="M46" i="1" s="1"/>
  <c r="M41" i="83"/>
  <c r="M43" i="83" s="1"/>
  <c r="N14" i="47"/>
  <c r="N16" i="47" s="1"/>
  <c r="N17" i="47" s="1"/>
  <c r="P132" i="59"/>
  <c r="P197" i="59" s="1"/>
  <c r="O22" i="47"/>
  <c r="O26" i="47" s="1"/>
  <c r="L101" i="59"/>
  <c r="O107" i="59"/>
  <c r="P114" i="59"/>
  <c r="O99" i="59"/>
  <c r="P96" i="59"/>
  <c r="P104" i="59"/>
  <c r="P98" i="59"/>
  <c r="P102" i="59"/>
  <c r="O23" i="47"/>
  <c r="P113" i="59"/>
  <c r="P122" i="59"/>
  <c r="P187" i="59" s="1"/>
  <c r="L100" i="59"/>
  <c r="P111" i="59"/>
  <c r="L97" i="59"/>
  <c r="P112" i="59"/>
  <c r="O103" i="59"/>
  <c r="P92" i="59"/>
  <c r="O94" i="59"/>
  <c r="O93" i="59"/>
  <c r="L43" i="8"/>
  <c r="L44" i="8" s="1"/>
  <c r="N16" i="29"/>
  <c r="N17" i="29" s="1"/>
  <c r="M16" i="35"/>
  <c r="M17" i="35" s="1"/>
  <c r="L50" i="26"/>
  <c r="L50" i="41"/>
  <c r="L51" i="41" s="1"/>
  <c r="K47" i="44"/>
  <c r="N28" i="50"/>
  <c r="J16" i="14"/>
  <c r="J17" i="14" s="1"/>
  <c r="L46" i="44"/>
  <c r="L50" i="44" s="1"/>
  <c r="L51" i="44" s="1"/>
  <c r="J50" i="8"/>
  <c r="J51" i="8" s="1"/>
  <c r="L46" i="35"/>
  <c r="L47" i="35" s="1"/>
  <c r="K50" i="76"/>
  <c r="M44" i="29"/>
  <c r="K50" i="23"/>
  <c r="K51" i="23" s="1"/>
  <c r="M46" i="50"/>
  <c r="M50" i="50" s="1"/>
  <c r="L50" i="50"/>
  <c r="L47" i="50"/>
  <c r="O8" i="5"/>
  <c r="O9" i="5" s="1"/>
  <c r="L28" i="8"/>
  <c r="O8" i="38"/>
  <c r="O9" i="38" s="1"/>
  <c r="N8" i="44"/>
  <c r="N9" i="44" s="1"/>
  <c r="O8" i="29"/>
  <c r="O9" i="29" s="1"/>
  <c r="O8" i="41"/>
  <c r="O9" i="41" s="1"/>
  <c r="K47" i="8"/>
  <c r="N8" i="35"/>
  <c r="N9" i="35" s="1"/>
  <c r="N40" i="76"/>
  <c r="N40" i="53"/>
  <c r="M8" i="8"/>
  <c r="M9" i="8" s="1"/>
  <c r="O8" i="26"/>
  <c r="O9" i="26" s="1"/>
  <c r="L46" i="53"/>
  <c r="L47" i="53" s="1"/>
  <c r="I46" i="14"/>
  <c r="I47" i="14" s="1"/>
  <c r="M46" i="41"/>
  <c r="M50" i="41" s="1"/>
  <c r="M51" i="41" s="1"/>
  <c r="N8" i="23"/>
  <c r="N9" i="23" s="1"/>
  <c r="M43" i="76"/>
  <c r="M46" i="76" s="1"/>
  <c r="K8" i="14"/>
  <c r="K9" i="14" s="1"/>
  <c r="P54" i="70"/>
  <c r="O8" i="53"/>
  <c r="O9" i="53" s="1"/>
  <c r="O8" i="76"/>
  <c r="O9" i="76" s="1"/>
  <c r="N43" i="38"/>
  <c r="N46" i="38" s="1"/>
  <c r="M46" i="5"/>
  <c r="M50" i="5" s="1"/>
  <c r="M51" i="5" s="1"/>
  <c r="J28" i="14"/>
  <c r="M43" i="44"/>
  <c r="M44" i="44" s="1"/>
  <c r="N28" i="5"/>
  <c r="M46" i="26"/>
  <c r="M47" i="26" s="1"/>
  <c r="N43" i="26"/>
  <c r="N46" i="26" s="1"/>
  <c r="J43" i="14"/>
  <c r="J46" i="14" s="1"/>
  <c r="N43" i="41"/>
  <c r="N44" i="41" s="1"/>
  <c r="N6" i="8"/>
  <c r="N7" i="8" s="1"/>
  <c r="N10" i="8" s="1"/>
  <c r="N21" i="8"/>
  <c r="O6" i="29"/>
  <c r="O7" i="29" s="1"/>
  <c r="O21" i="29"/>
  <c r="O21" i="38"/>
  <c r="O6" i="38"/>
  <c r="O7" i="38" s="1"/>
  <c r="N18" i="38"/>
  <c r="M28" i="76"/>
  <c r="N39" i="76"/>
  <c r="N39" i="53"/>
  <c r="N43" i="5"/>
  <c r="N44" i="5" s="1"/>
  <c r="O6" i="53"/>
  <c r="O7" i="53" s="1"/>
  <c r="O6" i="76"/>
  <c r="O7" i="76" s="1"/>
  <c r="M43" i="35"/>
  <c r="M44" i="35" s="1"/>
  <c r="M28" i="53"/>
  <c r="N28" i="41"/>
  <c r="N28" i="29"/>
  <c r="N43" i="50"/>
  <c r="N44" i="50" s="1"/>
  <c r="N21" i="23"/>
  <c r="N6" i="23"/>
  <c r="N7" i="23" s="1"/>
  <c r="N43" i="29"/>
  <c r="N46" i="29" s="1"/>
  <c r="O6" i="26"/>
  <c r="O7" i="26" s="1"/>
  <c r="O21" i="26"/>
  <c r="O21" i="50"/>
  <c r="N6" i="44"/>
  <c r="N7" i="44" s="1"/>
  <c r="K6" i="14"/>
  <c r="K7" i="14" s="1"/>
  <c r="K21" i="14"/>
  <c r="N6" i="35"/>
  <c r="N7" i="35" s="1"/>
  <c r="N21" i="35"/>
  <c r="O6" i="41"/>
  <c r="O7" i="41" s="1"/>
  <c r="O21" i="41"/>
  <c r="O6" i="5"/>
  <c r="O7" i="5" s="1"/>
  <c r="O21" i="5"/>
  <c r="M28" i="50"/>
  <c r="J43" i="11"/>
  <c r="J44" i="11" s="1"/>
  <c r="I44" i="11"/>
  <c r="L46" i="23"/>
  <c r="L50" i="23" s="1"/>
  <c r="L51" i="23" s="1"/>
  <c r="M41" i="23"/>
  <c r="M43" i="23" s="1"/>
  <c r="M44" i="23" s="1"/>
  <c r="J28" i="11"/>
  <c r="K6" i="11"/>
  <c r="K7" i="11" s="1"/>
  <c r="K21" i="11"/>
  <c r="K8" i="11"/>
  <c r="K9" i="11" s="1"/>
  <c r="S158" i="59"/>
  <c r="T158" i="59" s="1"/>
  <c r="M46" i="47"/>
  <c r="M47" i="47" s="1"/>
  <c r="N43" i="47"/>
  <c r="N46" i="47" s="1"/>
  <c r="O8" i="47"/>
  <c r="O9" i="47" s="1"/>
  <c r="O6" i="47"/>
  <c r="O7" i="47" s="1"/>
  <c r="O13" i="47"/>
  <c r="O21" i="47"/>
  <c r="M43" i="53"/>
  <c r="H50" i="14"/>
  <c r="H51" i="14" s="1"/>
  <c r="H47" i="14"/>
  <c r="N41" i="53"/>
  <c r="N41" i="76"/>
  <c r="I50" i="11"/>
  <c r="I51" i="11" s="1"/>
  <c r="I47" i="11"/>
  <c r="M46" i="38"/>
  <c r="M44" i="38"/>
  <c r="H50" i="11"/>
  <c r="H51" i="11" s="1"/>
  <c r="H47" i="11"/>
  <c r="L44" i="76"/>
  <c r="L46" i="76"/>
  <c r="M47" i="29"/>
  <c r="M50" i="29"/>
  <c r="M51" i="29" s="1"/>
  <c r="I46" i="17"/>
  <c r="I47" i="17" s="1"/>
  <c r="J28" i="17"/>
  <c r="K8" i="17"/>
  <c r="K9" i="17" s="1"/>
  <c r="K6" i="17"/>
  <c r="K7" i="17" s="1"/>
  <c r="K11" i="17" s="1"/>
  <c r="K21" i="17"/>
  <c r="H47" i="17"/>
  <c r="O8" i="1"/>
  <c r="O9" i="1" s="1"/>
  <c r="O21" i="1"/>
  <c r="O6" i="1"/>
  <c r="O7" i="1" s="1"/>
  <c r="N6" i="32"/>
  <c r="N7" i="32" s="1"/>
  <c r="N21" i="32"/>
  <c r="N21" i="44"/>
  <c r="O125" i="72"/>
  <c r="K71" i="70"/>
  <c r="P74" i="72"/>
  <c r="O73" i="72"/>
  <c r="L67" i="72"/>
  <c r="P66" i="72"/>
  <c r="P81" i="72"/>
  <c r="O77" i="72"/>
  <c r="O63" i="72"/>
  <c r="P68" i="72"/>
  <c r="P82" i="72"/>
  <c r="O76" i="72"/>
  <c r="L70" i="72"/>
  <c r="O69" i="72"/>
  <c r="P72" i="72"/>
  <c r="O64" i="72"/>
  <c r="L71" i="72"/>
  <c r="P83" i="72"/>
  <c r="P84" i="72"/>
  <c r="O6" i="72"/>
  <c r="N39" i="8" s="1"/>
  <c r="P39" i="72"/>
  <c r="O40" i="38" s="1"/>
  <c r="L9" i="72"/>
  <c r="S264" i="72"/>
  <c r="O83" i="70"/>
  <c r="O141" i="70" s="1"/>
  <c r="P4" i="70"/>
  <c r="O68" i="70"/>
  <c r="O126" i="70" s="1"/>
  <c r="P4" i="72"/>
  <c r="L9" i="70"/>
  <c r="O74" i="70"/>
  <c r="O132" i="70" s="1"/>
  <c r="P39" i="70"/>
  <c r="O66" i="70"/>
  <c r="L27" i="59"/>
  <c r="P54" i="72"/>
  <c r="O81" i="70"/>
  <c r="O139" i="70" s="1"/>
  <c r="O115" i="20"/>
  <c r="O49" i="20" s="1"/>
  <c r="G23" i="36"/>
  <c r="G25" i="36" s="1"/>
  <c r="H21" i="36"/>
  <c r="J96" i="70"/>
  <c r="M96" i="70"/>
  <c r="K67" i="70"/>
  <c r="P214" i="41"/>
  <c r="Q26" i="59" s="1"/>
  <c r="P267" i="38"/>
  <c r="Q39" i="59" s="1"/>
  <c r="O84" i="70"/>
  <c r="O142" i="70" s="1"/>
  <c r="P116" i="5"/>
  <c r="P49" i="5" s="1"/>
  <c r="P115" i="41"/>
  <c r="P49" i="41" s="1"/>
  <c r="N158" i="59"/>
  <c r="K158" i="59"/>
  <c r="K96" i="70"/>
  <c r="L158" i="59"/>
  <c r="P260" i="23"/>
  <c r="P252" i="23"/>
  <c r="P244" i="23"/>
  <c r="P236" i="23"/>
  <c r="P228" i="23"/>
  <c r="P220" i="23"/>
  <c r="P265" i="23"/>
  <c r="P257" i="23"/>
  <c r="P249" i="23"/>
  <c r="P241" i="23"/>
  <c r="P233" i="23"/>
  <c r="P225" i="23"/>
  <c r="P262" i="23"/>
  <c r="P254" i="23"/>
  <c r="P246" i="23"/>
  <c r="P238" i="23"/>
  <c r="P230" i="23"/>
  <c r="P222" i="23"/>
  <c r="P259" i="23"/>
  <c r="P251" i="23"/>
  <c r="P243" i="23"/>
  <c r="P235" i="23"/>
  <c r="P227" i="23"/>
  <c r="P264" i="23"/>
  <c r="P256" i="23"/>
  <c r="P248" i="23"/>
  <c r="P240" i="23"/>
  <c r="P232" i="23"/>
  <c r="P224" i="23"/>
  <c r="P261" i="23"/>
  <c r="P253" i="23"/>
  <c r="P245" i="23"/>
  <c r="P237" i="23"/>
  <c r="P229" i="23"/>
  <c r="P221" i="23"/>
  <c r="P258" i="23"/>
  <c r="P250" i="23"/>
  <c r="P242" i="23"/>
  <c r="P234" i="23"/>
  <c r="P226" i="23"/>
  <c r="P239" i="23"/>
  <c r="P263" i="23"/>
  <c r="P231" i="23"/>
  <c r="P255" i="23"/>
  <c r="P223" i="23"/>
  <c r="P247" i="23"/>
  <c r="P205" i="23"/>
  <c r="P207" i="23"/>
  <c r="P209" i="23"/>
  <c r="P206" i="23"/>
  <c r="P197" i="23"/>
  <c r="P189" i="23"/>
  <c r="P181" i="23"/>
  <c r="P173" i="23"/>
  <c r="P199" i="23"/>
  <c r="P191" i="23"/>
  <c r="P183" i="23"/>
  <c r="P175" i="23"/>
  <c r="P167" i="23"/>
  <c r="P196" i="23"/>
  <c r="P188" i="23"/>
  <c r="P180" i="23"/>
  <c r="P172" i="23"/>
  <c r="P201" i="23"/>
  <c r="P193" i="23"/>
  <c r="P185" i="23"/>
  <c r="P177" i="23"/>
  <c r="P169" i="23"/>
  <c r="P198" i="23"/>
  <c r="P190" i="23"/>
  <c r="P182" i="23"/>
  <c r="P174" i="23"/>
  <c r="P204" i="23"/>
  <c r="P203" i="23"/>
  <c r="P195" i="23"/>
  <c r="P187" i="23"/>
  <c r="P179" i="23"/>
  <c r="P192" i="23"/>
  <c r="P194" i="23"/>
  <c r="P178" i="23"/>
  <c r="P168" i="23"/>
  <c r="P171" i="23"/>
  <c r="P176" i="23"/>
  <c r="P202" i="23"/>
  <c r="P200" i="23"/>
  <c r="P184" i="23"/>
  <c r="P208" i="23"/>
  <c r="P170" i="23"/>
  <c r="P186" i="23"/>
  <c r="P267" i="53"/>
  <c r="Q54" i="59" s="1"/>
  <c r="O82" i="70"/>
  <c r="O140" i="70" s="1"/>
  <c r="L13" i="70"/>
  <c r="L13" i="72"/>
  <c r="K39" i="14" s="1"/>
  <c r="L71" i="59"/>
  <c r="L134" i="72" s="1"/>
  <c r="K41" i="14" s="1"/>
  <c r="P267" i="29"/>
  <c r="Q45" i="59" s="1"/>
  <c r="L214" i="11"/>
  <c r="M12" i="59" s="1"/>
  <c r="O267" i="35"/>
  <c r="P48" i="59" s="1"/>
  <c r="P288" i="59" s="1"/>
  <c r="O63" i="59"/>
  <c r="O126" i="72" s="1"/>
  <c r="N41" i="44" s="1"/>
  <c r="O5" i="72"/>
  <c r="N39" i="44" s="1"/>
  <c r="O5" i="70"/>
  <c r="P23" i="70"/>
  <c r="P23" i="72"/>
  <c r="O39" i="26" s="1"/>
  <c r="P81" i="59"/>
  <c r="P144" i="72" s="1"/>
  <c r="O41" i="26" s="1"/>
  <c r="L214" i="14"/>
  <c r="M13" i="59" s="1"/>
  <c r="L267" i="14"/>
  <c r="M42" i="59" s="1"/>
  <c r="M282" i="59" s="1"/>
  <c r="P215" i="5"/>
  <c r="Q8" i="59" s="1"/>
  <c r="O77" i="59"/>
  <c r="O140" i="72" s="1"/>
  <c r="N41" i="35" s="1"/>
  <c r="O19" i="72"/>
  <c r="N39" i="35" s="1"/>
  <c r="O19" i="70"/>
  <c r="P267" i="47"/>
  <c r="Q43" i="59" s="1"/>
  <c r="Q283" i="59" s="1"/>
  <c r="K70" i="70"/>
  <c r="P45" i="70"/>
  <c r="P45" i="72"/>
  <c r="O40" i="29" s="1"/>
  <c r="O11" i="70"/>
  <c r="O11" i="72"/>
  <c r="N39" i="32" s="1"/>
  <c r="L41" i="72"/>
  <c r="K40" i="11" s="1"/>
  <c r="L41" i="70"/>
  <c r="P115" i="29"/>
  <c r="P49" i="29" s="1"/>
  <c r="P214" i="53"/>
  <c r="Q25" i="59" s="1"/>
  <c r="Q265" i="5"/>
  <c r="Q257" i="5"/>
  <c r="Q249" i="5"/>
  <c r="Q241" i="5"/>
  <c r="Q233" i="5"/>
  <c r="Q225" i="5"/>
  <c r="Q262" i="5"/>
  <c r="Q254" i="5"/>
  <c r="Q246" i="5"/>
  <c r="Q238" i="5"/>
  <c r="Q230" i="5"/>
  <c r="Q222" i="5"/>
  <c r="Q259" i="5"/>
  <c r="Q251" i="5"/>
  <c r="Q243" i="5"/>
  <c r="Q235" i="5"/>
  <c r="Q227" i="5"/>
  <c r="Q264" i="5"/>
  <c r="Q256" i="5"/>
  <c r="Q248" i="5"/>
  <c r="Q240" i="5"/>
  <c r="Q261" i="5"/>
  <c r="Q253" i="5"/>
  <c r="Q245" i="5"/>
  <c r="Q237" i="5"/>
  <c r="Q229" i="5"/>
  <c r="Q221" i="5"/>
  <c r="Q266" i="5"/>
  <c r="Q258" i="5"/>
  <c r="Q250" i="5"/>
  <c r="Q242" i="5"/>
  <c r="Q234" i="5"/>
  <c r="Q226" i="5"/>
  <c r="Q263" i="5"/>
  <c r="Q255" i="5"/>
  <c r="Q247" i="5"/>
  <c r="Q239" i="5"/>
  <c r="Q231" i="5"/>
  <c r="Q223" i="5"/>
  <c r="Q236" i="5"/>
  <c r="Q228" i="5"/>
  <c r="Q260" i="5"/>
  <c r="Q232" i="5"/>
  <c r="Q252" i="5"/>
  <c r="Q244" i="5"/>
  <c r="Q224" i="5"/>
  <c r="Q203" i="5"/>
  <c r="Q195" i="5"/>
  <c r="Q187" i="5"/>
  <c r="Q179" i="5"/>
  <c r="Q171" i="5"/>
  <c r="Q208" i="5"/>
  <c r="Q200" i="5"/>
  <c r="Q192" i="5"/>
  <c r="Q184" i="5"/>
  <c r="Q176" i="5"/>
  <c r="Q168" i="5"/>
  <c r="Q205" i="5"/>
  <c r="Q197" i="5"/>
  <c r="Q189" i="5"/>
  <c r="Q181" i="5"/>
  <c r="Q173" i="5"/>
  <c r="Q210" i="5"/>
  <c r="Q202" i="5"/>
  <c r="Q194" i="5"/>
  <c r="Q186" i="5"/>
  <c r="Q178" i="5"/>
  <c r="Q170" i="5"/>
  <c r="Q207" i="5"/>
  <c r="Q199" i="5"/>
  <c r="Q191" i="5"/>
  <c r="Q183" i="5"/>
  <c r="Q175" i="5"/>
  <c r="Q209" i="5"/>
  <c r="Q201" i="5"/>
  <c r="Q193" i="5"/>
  <c r="Q185" i="5"/>
  <c r="Q177" i="5"/>
  <c r="Q169" i="5"/>
  <c r="Q196" i="5"/>
  <c r="Q180" i="5"/>
  <c r="Q198" i="5"/>
  <c r="Q182" i="5"/>
  <c r="Q204" i="5"/>
  <c r="Q188" i="5"/>
  <c r="Q172" i="5"/>
  <c r="Q206" i="5"/>
  <c r="Q190" i="5"/>
  <c r="Q174" i="5"/>
  <c r="P53" i="70"/>
  <c r="P53" i="72"/>
  <c r="O40" i="50" s="1"/>
  <c r="L38" i="70"/>
  <c r="L38" i="72"/>
  <c r="K40" i="17" s="1"/>
  <c r="O214" i="44"/>
  <c r="P5" i="59" s="1"/>
  <c r="P214" i="26"/>
  <c r="Q23" i="59" s="1"/>
  <c r="M261" i="11"/>
  <c r="M253" i="11"/>
  <c r="M245" i="11"/>
  <c r="M237" i="11"/>
  <c r="M229" i="11"/>
  <c r="M221" i="11"/>
  <c r="M258" i="11"/>
  <c r="M250" i="11"/>
  <c r="M242" i="11"/>
  <c r="M234" i="11"/>
  <c r="M226" i="11"/>
  <c r="M263" i="11"/>
  <c r="M255" i="11"/>
  <c r="M247" i="11"/>
  <c r="M239" i="11"/>
  <c r="M231" i="11"/>
  <c r="M223" i="11"/>
  <c r="M260" i="11"/>
  <c r="M252" i="11"/>
  <c r="M244" i="11"/>
  <c r="M236" i="11"/>
  <c r="M228" i="11"/>
  <c r="M220" i="11"/>
  <c r="M265" i="11"/>
  <c r="M257" i="11"/>
  <c r="M249" i="11"/>
  <c r="M241" i="11"/>
  <c r="M233" i="11"/>
  <c r="M225" i="11"/>
  <c r="M262" i="11"/>
  <c r="M254" i="11"/>
  <c r="M246" i="11"/>
  <c r="M238" i="11"/>
  <c r="M230" i="11"/>
  <c r="M222" i="11"/>
  <c r="M259" i="11"/>
  <c r="M251" i="11"/>
  <c r="M243" i="11"/>
  <c r="M235" i="11"/>
  <c r="M227" i="11"/>
  <c r="M248" i="11"/>
  <c r="M240" i="11"/>
  <c r="M264" i="11"/>
  <c r="M232" i="11"/>
  <c r="M224" i="11"/>
  <c r="M256" i="11"/>
  <c r="M208" i="11"/>
  <c r="M200" i="11"/>
  <c r="M192" i="11"/>
  <c r="M184" i="11"/>
  <c r="M176" i="11"/>
  <c r="M168" i="11"/>
  <c r="M205" i="11"/>
  <c r="M197" i="11"/>
  <c r="M189" i="11"/>
  <c r="M181" i="11"/>
  <c r="M173" i="11"/>
  <c r="M202" i="11"/>
  <c r="M194" i="11"/>
  <c r="M186" i="11"/>
  <c r="M178" i="11"/>
  <c r="M170" i="11"/>
  <c r="M207" i="11"/>
  <c r="M199" i="11"/>
  <c r="M191" i="11"/>
  <c r="M183" i="11"/>
  <c r="M175" i="11"/>
  <c r="M167" i="11"/>
  <c r="M204" i="11"/>
  <c r="M196" i="11"/>
  <c r="M188" i="11"/>
  <c r="M180" i="11"/>
  <c r="M172" i="11"/>
  <c r="M206" i="11"/>
  <c r="M198" i="11"/>
  <c r="M190" i="11"/>
  <c r="M182" i="11"/>
  <c r="M174" i="11"/>
  <c r="M209" i="11"/>
  <c r="M193" i="11"/>
  <c r="M177" i="11"/>
  <c r="M195" i="11"/>
  <c r="M179" i="11"/>
  <c r="M201" i="11"/>
  <c r="M185" i="11"/>
  <c r="M169" i="11"/>
  <c r="M203" i="11"/>
  <c r="M187" i="11"/>
  <c r="M171" i="11"/>
  <c r="M74" i="11"/>
  <c r="M71" i="11"/>
  <c r="M76" i="11"/>
  <c r="M73" i="11"/>
  <c r="M77" i="11"/>
  <c r="M70" i="11"/>
  <c r="M69" i="11"/>
  <c r="M75" i="11"/>
  <c r="M72" i="11"/>
  <c r="P43" i="72"/>
  <c r="O40" i="47" s="1"/>
  <c r="P43" i="70"/>
  <c r="O214" i="35"/>
  <c r="P19" i="59" s="1"/>
  <c r="P317" i="59" s="1"/>
  <c r="P267" i="50"/>
  <c r="Q53" i="59" s="1"/>
  <c r="L12" i="72"/>
  <c r="K39" i="11" s="1"/>
  <c r="L12" i="70"/>
  <c r="L70" i="59"/>
  <c r="L133" i="72" s="1"/>
  <c r="K41" i="11" s="1"/>
  <c r="P10" i="70"/>
  <c r="P10" i="72"/>
  <c r="O39" i="38" s="1"/>
  <c r="P68" i="59"/>
  <c r="P131" i="72" s="1"/>
  <c r="O41" i="38" s="1"/>
  <c r="L267" i="17"/>
  <c r="M38" i="59" s="1"/>
  <c r="M278" i="59" s="1"/>
  <c r="O34" i="72"/>
  <c r="N40" i="44" s="1"/>
  <c r="O34" i="70"/>
  <c r="Q261" i="29"/>
  <c r="Q253" i="29"/>
  <c r="Q245" i="29"/>
  <c r="Q237" i="29"/>
  <c r="Q229" i="29"/>
  <c r="Q221" i="29"/>
  <c r="Q258" i="29"/>
  <c r="Q250" i="29"/>
  <c r="Q242" i="29"/>
  <c r="Q234" i="29"/>
  <c r="Q226" i="29"/>
  <c r="Q263" i="29"/>
  <c r="Q255" i="29"/>
  <c r="Q247" i="29"/>
  <c r="Q239" i="29"/>
  <c r="Q231" i="29"/>
  <c r="Q223" i="29"/>
  <c r="Q260" i="29"/>
  <c r="Q252" i="29"/>
  <c r="Q244" i="29"/>
  <c r="Q236" i="29"/>
  <c r="Q228" i="29"/>
  <c r="Q220" i="29"/>
  <c r="Q265" i="29"/>
  <c r="Q257" i="29"/>
  <c r="Q249" i="29"/>
  <c r="Q241" i="29"/>
  <c r="Q233" i="29"/>
  <c r="Q225" i="29"/>
  <c r="Q259" i="29"/>
  <c r="Q254" i="29"/>
  <c r="Q227" i="29"/>
  <c r="Q222" i="29"/>
  <c r="Q264" i="29"/>
  <c r="Q232" i="29"/>
  <c r="Q262" i="29"/>
  <c r="Q235" i="29"/>
  <c r="Q230" i="29"/>
  <c r="Q240" i="29"/>
  <c r="Q243" i="29"/>
  <c r="Q238" i="29"/>
  <c r="Q248" i="29"/>
  <c r="Q251" i="29"/>
  <c r="Q246" i="29"/>
  <c r="Q224" i="29"/>
  <c r="Q256" i="29"/>
  <c r="Q204" i="29"/>
  <c r="Q196" i="29"/>
  <c r="Q188" i="29"/>
  <c r="Q180" i="29"/>
  <c r="Q172" i="29"/>
  <c r="Q206" i="29"/>
  <c r="Q198" i="29"/>
  <c r="Q190" i="29"/>
  <c r="Q182" i="29"/>
  <c r="Q174" i="29"/>
  <c r="Q203" i="29"/>
  <c r="Q195" i="29"/>
  <c r="Q208" i="29"/>
  <c r="Q200" i="29"/>
  <c r="Q192" i="29"/>
  <c r="Q184" i="29"/>
  <c r="Q176" i="29"/>
  <c r="Q168" i="29"/>
  <c r="Q205" i="29"/>
  <c r="Q197" i="29"/>
  <c r="Q189" i="29"/>
  <c r="Q181" i="29"/>
  <c r="Q173" i="29"/>
  <c r="Q193" i="29"/>
  <c r="Q191" i="29"/>
  <c r="Q185" i="29"/>
  <c r="Q177" i="29"/>
  <c r="Q169" i="29"/>
  <c r="Q201" i="29"/>
  <c r="Q194" i="29"/>
  <c r="Q186" i="29"/>
  <c r="Q178" i="29"/>
  <c r="Q170" i="29"/>
  <c r="Q209" i="29"/>
  <c r="Q202" i="29"/>
  <c r="Q187" i="29"/>
  <c r="Q183" i="29"/>
  <c r="Q179" i="29"/>
  <c r="Q175" i="29"/>
  <c r="Q171" i="29"/>
  <c r="Q167" i="29"/>
  <c r="Q199" i="29"/>
  <c r="Q207" i="29"/>
  <c r="M262" i="17"/>
  <c r="M259" i="17"/>
  <c r="M264" i="17"/>
  <c r="M256" i="17"/>
  <c r="M261" i="17"/>
  <c r="M258" i="17"/>
  <c r="M252" i="17"/>
  <c r="M244" i="17"/>
  <c r="M236" i="17"/>
  <c r="M228" i="17"/>
  <c r="M220" i="17"/>
  <c r="M249" i="17"/>
  <c r="M241" i="17"/>
  <c r="M233" i="17"/>
  <c r="M225" i="17"/>
  <c r="M254" i="17"/>
  <c r="M246" i="17"/>
  <c r="M238" i="17"/>
  <c r="M230" i="17"/>
  <c r="M222" i="17"/>
  <c r="M251" i="17"/>
  <c r="M243" i="17"/>
  <c r="M235" i="17"/>
  <c r="M227" i="17"/>
  <c r="M257" i="17"/>
  <c r="M248" i="17"/>
  <c r="M240" i="17"/>
  <c r="M232" i="17"/>
  <c r="M224" i="17"/>
  <c r="M260" i="17"/>
  <c r="M253" i="17"/>
  <c r="M245" i="17"/>
  <c r="M237" i="17"/>
  <c r="M229" i="17"/>
  <c r="M221" i="17"/>
  <c r="M265" i="17"/>
  <c r="M263" i="17"/>
  <c r="M250" i="17"/>
  <c r="M242" i="17"/>
  <c r="M234" i="17"/>
  <c r="M226" i="17"/>
  <c r="M231" i="17"/>
  <c r="M255" i="17"/>
  <c r="M223" i="17"/>
  <c r="M247" i="17"/>
  <c r="M239" i="17"/>
  <c r="M204" i="17"/>
  <c r="M196" i="17"/>
  <c r="M188" i="17"/>
  <c r="M180" i="17"/>
  <c r="M172" i="17"/>
  <c r="M206" i="17"/>
  <c r="M208" i="17"/>
  <c r="M200" i="17"/>
  <c r="M192" i="17"/>
  <c r="M184" i="17"/>
  <c r="M205" i="17"/>
  <c r="M197" i="17"/>
  <c r="M189" i="17"/>
  <c r="M181" i="17"/>
  <c r="M173" i="17"/>
  <c r="M209" i="17"/>
  <c r="M201" i="17"/>
  <c r="M194" i="17"/>
  <c r="M193" i="17"/>
  <c r="M183" i="17"/>
  <c r="M182" i="17"/>
  <c r="M171" i="17"/>
  <c r="M170" i="17"/>
  <c r="M169" i="17"/>
  <c r="M202" i="17"/>
  <c r="M168" i="17"/>
  <c r="M167" i="17"/>
  <c r="M195" i="17"/>
  <c r="M186" i="17"/>
  <c r="M185" i="17"/>
  <c r="M176" i="17"/>
  <c r="M175" i="17"/>
  <c r="M174" i="17"/>
  <c r="M198" i="17"/>
  <c r="M179" i="17"/>
  <c r="M191" i="17"/>
  <c r="M178" i="17"/>
  <c r="M207" i="17"/>
  <c r="M203" i="17"/>
  <c r="M199" i="17"/>
  <c r="M190" i="17"/>
  <c r="M187" i="17"/>
  <c r="M177" i="17"/>
  <c r="M74" i="17"/>
  <c r="M75" i="17"/>
  <c r="M76" i="17"/>
  <c r="M77" i="17"/>
  <c r="M78" i="17"/>
  <c r="M79" i="17"/>
  <c r="M80" i="17"/>
  <c r="M81" i="17"/>
  <c r="M82" i="17"/>
  <c r="M83" i="17"/>
  <c r="M84" i="17"/>
  <c r="M85" i="17"/>
  <c r="M69" i="17"/>
  <c r="M72" i="17"/>
  <c r="M91" i="17"/>
  <c r="M90" i="17"/>
  <c r="M71" i="17"/>
  <c r="M89" i="17"/>
  <c r="M86" i="17"/>
  <c r="M88" i="17"/>
  <c r="M87" i="17"/>
  <c r="M73" i="17"/>
  <c r="M70" i="17"/>
  <c r="L214" i="17"/>
  <c r="M9" i="59" s="1"/>
  <c r="L115" i="14"/>
  <c r="L49" i="14" s="1"/>
  <c r="O267" i="23"/>
  <c r="P44" i="59" s="1"/>
  <c r="P24" i="70"/>
  <c r="P24" i="72"/>
  <c r="O39" i="50" s="1"/>
  <c r="P82" i="59"/>
  <c r="P145" i="72" s="1"/>
  <c r="O41" i="50" s="1"/>
  <c r="P26" i="70"/>
  <c r="P84" i="59"/>
  <c r="P147" i="72" s="1"/>
  <c r="O41" i="41" s="1"/>
  <c r="P26" i="72"/>
  <c r="O39" i="41" s="1"/>
  <c r="O48" i="70"/>
  <c r="O48" i="72"/>
  <c r="N40" i="35" s="1"/>
  <c r="O72" i="70"/>
  <c r="O130" i="70" s="1"/>
  <c r="O267" i="8"/>
  <c r="L42" i="70"/>
  <c r="L42" i="72"/>
  <c r="K40" i="14" s="1"/>
  <c r="P260" i="35"/>
  <c r="P252" i="35"/>
  <c r="P244" i="35"/>
  <c r="P236" i="35"/>
  <c r="P228" i="35"/>
  <c r="P220" i="35"/>
  <c r="P265" i="35"/>
  <c r="P257" i="35"/>
  <c r="P249" i="35"/>
  <c r="P241" i="35"/>
  <c r="P233" i="35"/>
  <c r="P225" i="35"/>
  <c r="P262" i="35"/>
  <c r="P254" i="35"/>
  <c r="P246" i="35"/>
  <c r="P238" i="35"/>
  <c r="P230" i="35"/>
  <c r="P222" i="35"/>
  <c r="P259" i="35"/>
  <c r="P251" i="35"/>
  <c r="P243" i="35"/>
  <c r="P235" i="35"/>
  <c r="P227" i="35"/>
  <c r="P264" i="35"/>
  <c r="P256" i="35"/>
  <c r="P248" i="35"/>
  <c r="P240" i="35"/>
  <c r="P232" i="35"/>
  <c r="P224" i="35"/>
  <c r="P261" i="35"/>
  <c r="P253" i="35"/>
  <c r="P245" i="35"/>
  <c r="P237" i="35"/>
  <c r="P229" i="35"/>
  <c r="P221" i="35"/>
  <c r="P258" i="35"/>
  <c r="P247" i="35"/>
  <c r="P231" i="35"/>
  <c r="P242" i="35"/>
  <c r="P226" i="35"/>
  <c r="P263" i="35"/>
  <c r="P239" i="35"/>
  <c r="P223" i="35"/>
  <c r="P255" i="35"/>
  <c r="P250" i="35"/>
  <c r="P234" i="35"/>
  <c r="P206" i="35"/>
  <c r="P198" i="35"/>
  <c r="P190" i="35"/>
  <c r="P203" i="35"/>
  <c r="P195" i="35"/>
  <c r="P187" i="35"/>
  <c r="P208" i="35"/>
  <c r="P200" i="35"/>
  <c r="P192" i="35"/>
  <c r="P202" i="35"/>
  <c r="P194" i="35"/>
  <c r="P207" i="35"/>
  <c r="P199" i="35"/>
  <c r="P191" i="35"/>
  <c r="P204" i="35"/>
  <c r="P196" i="35"/>
  <c r="P188" i="35"/>
  <c r="P201" i="35"/>
  <c r="P179" i="35"/>
  <c r="P171" i="35"/>
  <c r="P184" i="35"/>
  <c r="P176" i="35"/>
  <c r="P168" i="35"/>
  <c r="P205" i="35"/>
  <c r="P189" i="35"/>
  <c r="P181" i="35"/>
  <c r="P173" i="35"/>
  <c r="P186" i="35"/>
  <c r="P178" i="35"/>
  <c r="P170" i="35"/>
  <c r="P209" i="35"/>
  <c r="P193" i="35"/>
  <c r="P183" i="35"/>
  <c r="P175" i="35"/>
  <c r="P167" i="35"/>
  <c r="P180" i="35"/>
  <c r="P172" i="35"/>
  <c r="P197" i="35"/>
  <c r="P185" i="35"/>
  <c r="P177" i="35"/>
  <c r="P169" i="35"/>
  <c r="P182" i="35"/>
  <c r="P174" i="35"/>
  <c r="P115" i="38"/>
  <c r="P49" i="38" s="1"/>
  <c r="Q262" i="38"/>
  <c r="Q254" i="38"/>
  <c r="Q246" i="38"/>
  <c r="Q238" i="38"/>
  <c r="Q259" i="38"/>
  <c r="Q251" i="38"/>
  <c r="Q243" i="38"/>
  <c r="Q235" i="38"/>
  <c r="Q264" i="38"/>
  <c r="Q256" i="38"/>
  <c r="Q248" i="38"/>
  <c r="Q240" i="38"/>
  <c r="Q232" i="38"/>
  <c r="Q261" i="38"/>
  <c r="Q253" i="38"/>
  <c r="Q245" i="38"/>
  <c r="Q237" i="38"/>
  <c r="Q258" i="38"/>
  <c r="Q250" i="38"/>
  <c r="Q242" i="38"/>
  <c r="Q234" i="38"/>
  <c r="Q263" i="38"/>
  <c r="Q255" i="38"/>
  <c r="Q247" i="38"/>
  <c r="Q239" i="38"/>
  <c r="Q260" i="38"/>
  <c r="Q252" i="38"/>
  <c r="Q244" i="38"/>
  <c r="Q236" i="38"/>
  <c r="Q227" i="38"/>
  <c r="Q241" i="38"/>
  <c r="Q224" i="38"/>
  <c r="Q229" i="38"/>
  <c r="Q221" i="38"/>
  <c r="Q265" i="38"/>
  <c r="Q226" i="38"/>
  <c r="Q233" i="38"/>
  <c r="Q231" i="38"/>
  <c r="Q223" i="38"/>
  <c r="Q257" i="38"/>
  <c r="Q228" i="38"/>
  <c r="Q220" i="38"/>
  <c r="Q225" i="38"/>
  <c r="Q222" i="38"/>
  <c r="Q230" i="38"/>
  <c r="Q249" i="38"/>
  <c r="Q205" i="38"/>
  <c r="Q197" i="38"/>
  <c r="Q189" i="38"/>
  <c r="Q181" i="38"/>
  <c r="Q173" i="38"/>
  <c r="Q202" i="38"/>
  <c r="Q194" i="38"/>
  <c r="Q186" i="38"/>
  <c r="Q178" i="38"/>
  <c r="Q170" i="38"/>
  <c r="Q207" i="38"/>
  <c r="Q199" i="38"/>
  <c r="Q191" i="38"/>
  <c r="Q183" i="38"/>
  <c r="Q175" i="38"/>
  <c r="Q167" i="38"/>
  <c r="Q204" i="38"/>
  <c r="Q209" i="38"/>
  <c r="Q201" i="38"/>
  <c r="Q193" i="38"/>
  <c r="Q185" i="38"/>
  <c r="Q177" i="38"/>
  <c r="Q169" i="38"/>
  <c r="Q206" i="38"/>
  <c r="Q198" i="38"/>
  <c r="Q190" i="38"/>
  <c r="Q182" i="38"/>
  <c r="Q174" i="38"/>
  <c r="Q203" i="38"/>
  <c r="Q195" i="38"/>
  <c r="Q187" i="38"/>
  <c r="Q179" i="38"/>
  <c r="Q171" i="38"/>
  <c r="Q196" i="38"/>
  <c r="Q180" i="38"/>
  <c r="Q200" i="38"/>
  <c r="Q184" i="38"/>
  <c r="Q168" i="38"/>
  <c r="Q188" i="38"/>
  <c r="Q172" i="38"/>
  <c r="Q208" i="38"/>
  <c r="Q176" i="38"/>
  <c r="Q192" i="38"/>
  <c r="P263" i="44"/>
  <c r="P255" i="44"/>
  <c r="P260" i="44"/>
  <c r="P265" i="44"/>
  <c r="P257" i="44"/>
  <c r="P259" i="44"/>
  <c r="P264" i="44"/>
  <c r="P256" i="44"/>
  <c r="P261" i="44"/>
  <c r="P253" i="44"/>
  <c r="P258" i="44"/>
  <c r="P249" i="44"/>
  <c r="P241" i="44"/>
  <c r="P233" i="44"/>
  <c r="P225" i="44"/>
  <c r="P246" i="44"/>
  <c r="P238" i="44"/>
  <c r="P230" i="44"/>
  <c r="P222" i="44"/>
  <c r="P262" i="44"/>
  <c r="P251" i="44"/>
  <c r="P243" i="44"/>
  <c r="P235" i="44"/>
  <c r="P227" i="44"/>
  <c r="P248" i="44"/>
  <c r="P240" i="44"/>
  <c r="P232" i="44"/>
  <c r="P224" i="44"/>
  <c r="P245" i="44"/>
  <c r="P237" i="44"/>
  <c r="P229" i="44"/>
  <c r="P221" i="44"/>
  <c r="P250" i="44"/>
  <c r="P242" i="44"/>
  <c r="P234" i="44"/>
  <c r="P226" i="44"/>
  <c r="P254" i="44"/>
  <c r="P247" i="44"/>
  <c r="P239" i="44"/>
  <c r="P231" i="44"/>
  <c r="P223" i="44"/>
  <c r="P228" i="44"/>
  <c r="P252" i="44"/>
  <c r="P220" i="44"/>
  <c r="P244" i="44"/>
  <c r="P236" i="44"/>
  <c r="P207" i="44"/>
  <c r="P199" i="44"/>
  <c r="P191" i="44"/>
  <c r="P183" i="44"/>
  <c r="P175" i="44"/>
  <c r="P167" i="44"/>
  <c r="P204" i="44"/>
  <c r="P196" i="44"/>
  <c r="P188" i="44"/>
  <c r="P180" i="44"/>
  <c r="P172" i="44"/>
  <c r="P209" i="44"/>
  <c r="P201" i="44"/>
  <c r="P193" i="44"/>
  <c r="P185" i="44"/>
  <c r="P177" i="44"/>
  <c r="P169" i="44"/>
  <c r="P206" i="44"/>
  <c r="P198" i="44"/>
  <c r="P190" i="44"/>
  <c r="P182" i="44"/>
  <c r="P174" i="44"/>
  <c r="P203" i="44"/>
  <c r="P195" i="44"/>
  <c r="P187" i="44"/>
  <c r="P179" i="44"/>
  <c r="P171" i="44"/>
  <c r="P205" i="44"/>
  <c r="P197" i="44"/>
  <c r="P189" i="44"/>
  <c r="P181" i="44"/>
  <c r="P173" i="44"/>
  <c r="P200" i="44"/>
  <c r="P184" i="44"/>
  <c r="P168" i="44"/>
  <c r="P202" i="44"/>
  <c r="P186" i="44"/>
  <c r="P170" i="44"/>
  <c r="P208" i="44"/>
  <c r="P192" i="44"/>
  <c r="P176" i="44"/>
  <c r="P194" i="44"/>
  <c r="P178" i="44"/>
  <c r="O267" i="44"/>
  <c r="P34" i="59" s="1"/>
  <c r="P214" i="38"/>
  <c r="Q10" i="59" s="1"/>
  <c r="L67" i="59"/>
  <c r="L130" i="72" s="1"/>
  <c r="K41" i="17" s="1"/>
  <c r="N63" i="70"/>
  <c r="O214" i="23"/>
  <c r="P15" i="59" s="1"/>
  <c r="L267" i="11"/>
  <c r="M41" i="59" s="1"/>
  <c r="M281" i="59" s="1"/>
  <c r="P214" i="50"/>
  <c r="Q24" i="59" s="1"/>
  <c r="N73" i="70"/>
  <c r="N131" i="70" s="1"/>
  <c r="P8" i="72"/>
  <c r="O39" i="5" s="1"/>
  <c r="P66" i="59"/>
  <c r="P129" i="72" s="1"/>
  <c r="O41" i="5" s="1"/>
  <c r="P8" i="70"/>
  <c r="N77" i="70"/>
  <c r="N135" i="70" s="1"/>
  <c r="P55" i="70"/>
  <c r="P55" i="72"/>
  <c r="O40" i="41" s="1"/>
  <c r="P52" i="70"/>
  <c r="P52" i="72"/>
  <c r="O40" i="26" s="1"/>
  <c r="P37" i="70"/>
  <c r="P37" i="72"/>
  <c r="O40" i="5" s="1"/>
  <c r="Q258" i="26"/>
  <c r="Q263" i="26"/>
  <c r="Q260" i="26"/>
  <c r="Q265" i="26"/>
  <c r="Q262" i="26"/>
  <c r="Q259" i="26"/>
  <c r="Q251" i="26"/>
  <c r="Q243" i="26"/>
  <c r="Q235" i="26"/>
  <c r="Q227" i="26"/>
  <c r="Q264" i="26"/>
  <c r="Q256" i="26"/>
  <c r="Q248" i="26"/>
  <c r="Q240" i="26"/>
  <c r="Q232" i="26"/>
  <c r="Q224" i="26"/>
  <c r="Q253" i="26"/>
  <c r="Q245" i="26"/>
  <c r="Q237" i="26"/>
  <c r="Q229" i="26"/>
  <c r="Q221" i="26"/>
  <c r="Q250" i="26"/>
  <c r="Q242" i="26"/>
  <c r="Q234" i="26"/>
  <c r="Q226" i="26"/>
  <c r="Q261" i="26"/>
  <c r="Q255" i="26"/>
  <c r="Q247" i="26"/>
  <c r="Q239" i="26"/>
  <c r="Q231" i="26"/>
  <c r="Q223" i="26"/>
  <c r="Q252" i="26"/>
  <c r="Q244" i="26"/>
  <c r="Q236" i="26"/>
  <c r="Q228" i="26"/>
  <c r="Q220" i="26"/>
  <c r="Q257" i="26"/>
  <c r="Q249" i="26"/>
  <c r="Q241" i="26"/>
  <c r="Q233" i="26"/>
  <c r="Q225" i="26"/>
  <c r="Q254" i="26"/>
  <c r="Q222" i="26"/>
  <c r="Q246" i="26"/>
  <c r="Q238" i="26"/>
  <c r="Q230" i="26"/>
  <c r="Q204" i="26"/>
  <c r="Q196" i="26"/>
  <c r="Q188" i="26"/>
  <c r="Q180" i="26"/>
  <c r="Q172" i="26"/>
  <c r="Q209" i="26"/>
  <c r="Q201" i="26"/>
  <c r="Q193" i="26"/>
  <c r="Q185" i="26"/>
  <c r="Q177" i="26"/>
  <c r="Q169" i="26"/>
  <c r="Q206" i="26"/>
  <c r="Q198" i="26"/>
  <c r="Q190" i="26"/>
  <c r="Q182" i="26"/>
  <c r="Q174" i="26"/>
  <c r="Q208" i="26"/>
  <c r="Q200" i="26"/>
  <c r="Q192" i="26"/>
  <c r="Q184" i="26"/>
  <c r="Q176" i="26"/>
  <c r="Q168" i="26"/>
  <c r="Q205" i="26"/>
  <c r="Q197" i="26"/>
  <c r="Q189" i="26"/>
  <c r="Q181" i="26"/>
  <c r="Q173" i="26"/>
  <c r="Q202" i="26"/>
  <c r="Q194" i="26"/>
  <c r="Q186" i="26"/>
  <c r="Q178" i="26"/>
  <c r="Q170" i="26"/>
  <c r="Q203" i="26"/>
  <c r="Q187" i="26"/>
  <c r="Q171" i="26"/>
  <c r="Q207" i="26"/>
  <c r="Q191" i="26"/>
  <c r="Q175" i="26"/>
  <c r="Q195" i="26"/>
  <c r="Q179" i="26"/>
  <c r="Q199" i="26"/>
  <c r="Q183" i="26"/>
  <c r="Q167" i="26"/>
  <c r="P115" i="26"/>
  <c r="P49" i="26" s="1"/>
  <c r="P258" i="32"/>
  <c r="P250" i="32"/>
  <c r="P242" i="32"/>
  <c r="P234" i="32"/>
  <c r="P226" i="32"/>
  <c r="P263" i="32"/>
  <c r="P255" i="32"/>
  <c r="P247" i="32"/>
  <c r="P239" i="32"/>
  <c r="P231" i="32"/>
  <c r="P223" i="32"/>
  <c r="P260" i="32"/>
  <c r="P252" i="32"/>
  <c r="P244" i="32"/>
  <c r="P236" i="32"/>
  <c r="P228" i="32"/>
  <c r="P220" i="32"/>
  <c r="P265" i="32"/>
  <c r="P257" i="32"/>
  <c r="P249" i="32"/>
  <c r="P241" i="32"/>
  <c r="P233" i="32"/>
  <c r="P225" i="32"/>
  <c r="P262" i="32"/>
  <c r="P254" i="32"/>
  <c r="P246" i="32"/>
  <c r="P238" i="32"/>
  <c r="P230" i="32"/>
  <c r="P222" i="32"/>
  <c r="P235" i="32"/>
  <c r="P245" i="32"/>
  <c r="P240" i="32"/>
  <c r="P243" i="32"/>
  <c r="P253" i="32"/>
  <c r="P248" i="32"/>
  <c r="P221" i="32"/>
  <c r="P251" i="32"/>
  <c r="P261" i="32"/>
  <c r="P256" i="32"/>
  <c r="P229" i="32"/>
  <c r="P259" i="32"/>
  <c r="P227" i="32"/>
  <c r="P232" i="32"/>
  <c r="P237" i="32"/>
  <c r="P264" i="32"/>
  <c r="P209" i="32"/>
  <c r="P201" i="32"/>
  <c r="P193" i="32"/>
  <c r="P185" i="32"/>
  <c r="P177" i="32"/>
  <c r="P169" i="32"/>
  <c r="P203" i="32"/>
  <c r="P195" i="32"/>
  <c r="P187" i="32"/>
  <c r="P179" i="32"/>
  <c r="P171" i="32"/>
  <c r="P208" i="32"/>
  <c r="P200" i="32"/>
  <c r="P192" i="32"/>
  <c r="P184" i="32"/>
  <c r="P176" i="32"/>
  <c r="P168" i="32"/>
  <c r="P205" i="32"/>
  <c r="P197" i="32"/>
  <c r="P189" i="32"/>
  <c r="P181" i="32"/>
  <c r="P173" i="32"/>
  <c r="P202" i="32"/>
  <c r="P194" i="32"/>
  <c r="P186" i="32"/>
  <c r="P178" i="32"/>
  <c r="P170" i="32"/>
  <c r="P199" i="32"/>
  <c r="P167" i="32"/>
  <c r="P204" i="32"/>
  <c r="P182" i="32"/>
  <c r="P172" i="32"/>
  <c r="P207" i="32"/>
  <c r="P175" i="32"/>
  <c r="P190" i="32"/>
  <c r="P180" i="32"/>
  <c r="P183" i="32"/>
  <c r="P191" i="32"/>
  <c r="P198" i="32"/>
  <c r="P206" i="32"/>
  <c r="P188" i="32"/>
  <c r="P196" i="32"/>
  <c r="P174" i="32"/>
  <c r="P83" i="32"/>
  <c r="P84" i="32"/>
  <c r="P79" i="32"/>
  <c r="P78" i="32"/>
  <c r="P82" i="32"/>
  <c r="P81" i="32"/>
  <c r="P80" i="32"/>
  <c r="O115" i="35"/>
  <c r="O49" i="35" s="1"/>
  <c r="O115" i="44"/>
  <c r="O49" i="44" s="1"/>
  <c r="Q83" i="47"/>
  <c r="Q86" i="47"/>
  <c r="Q87" i="47"/>
  <c r="Q85" i="47"/>
  <c r="Q84" i="47"/>
  <c r="Q80" i="47"/>
  <c r="Q78" i="47"/>
  <c r="Q81" i="47"/>
  <c r="Q82" i="47"/>
  <c r="Q79" i="47"/>
  <c r="Q259" i="47"/>
  <c r="Q251" i="47"/>
  <c r="Q243" i="47"/>
  <c r="Q235" i="47"/>
  <c r="Q264" i="47"/>
  <c r="Q256" i="47"/>
  <c r="Q248" i="47"/>
  <c r="Q240" i="47"/>
  <c r="Q258" i="47"/>
  <c r="Q250" i="47"/>
  <c r="Q242" i="47"/>
  <c r="Q234" i="47"/>
  <c r="Q263" i="47"/>
  <c r="Q255" i="47"/>
  <c r="Q247" i="47"/>
  <c r="Q239" i="47"/>
  <c r="Q260" i="47"/>
  <c r="Q252" i="47"/>
  <c r="Q244" i="47"/>
  <c r="Q236" i="47"/>
  <c r="Q257" i="47"/>
  <c r="Q237" i="47"/>
  <c r="Q232" i="47"/>
  <c r="Q224" i="47"/>
  <c r="Q262" i="47"/>
  <c r="Q229" i="47"/>
  <c r="Q221" i="47"/>
  <c r="Q265" i="47"/>
  <c r="Q245" i="47"/>
  <c r="Q226" i="47"/>
  <c r="Q238" i="47"/>
  <c r="Q231" i="47"/>
  <c r="Q223" i="47"/>
  <c r="Q253" i="47"/>
  <c r="Q241" i="47"/>
  <c r="Q228" i="47"/>
  <c r="Q220" i="47"/>
  <c r="Q246" i="47"/>
  <c r="Q233" i="47"/>
  <c r="Q225" i="47"/>
  <c r="Q261" i="47"/>
  <c r="Q249" i="47"/>
  <c r="Q230" i="47"/>
  <c r="Q222" i="47"/>
  <c r="Q227" i="47"/>
  <c r="Q254" i="47"/>
  <c r="Q207" i="47"/>
  <c r="Q199" i="47"/>
  <c r="Q191" i="47"/>
  <c r="Q183" i="47"/>
  <c r="Q175" i="47"/>
  <c r="Q167" i="47"/>
  <c r="Q204" i="47"/>
  <c r="Q196" i="47"/>
  <c r="Q188" i="47"/>
  <c r="Q180" i="47"/>
  <c r="Q172" i="47"/>
  <c r="Q209" i="47"/>
  <c r="Q201" i="47"/>
  <c r="Q193" i="47"/>
  <c r="Q185" i="47"/>
  <c r="Q177" i="47"/>
  <c r="Q169" i="47"/>
  <c r="Q206" i="47"/>
  <c r="Q198" i="47"/>
  <c r="Q190" i="47"/>
  <c r="Q182" i="47"/>
  <c r="Q174" i="47"/>
  <c r="Q203" i="47"/>
  <c r="Q195" i="47"/>
  <c r="Q187" i="47"/>
  <c r="Q179" i="47"/>
  <c r="Q171" i="47"/>
  <c r="Q208" i="47"/>
  <c r="Q200" i="47"/>
  <c r="Q192" i="47"/>
  <c r="Q184" i="47"/>
  <c r="Q176" i="47"/>
  <c r="Q168" i="47"/>
  <c r="Q205" i="47"/>
  <c r="Q197" i="47"/>
  <c r="Q189" i="47"/>
  <c r="Q181" i="47"/>
  <c r="Q173" i="47"/>
  <c r="Q178" i="47"/>
  <c r="Q202" i="47"/>
  <c r="Q170" i="47"/>
  <c r="Q194" i="47"/>
  <c r="Q186" i="47"/>
  <c r="P115" i="50"/>
  <c r="P49" i="50" s="1"/>
  <c r="O73" i="59"/>
  <c r="O136" i="72" s="1"/>
  <c r="O15" i="72"/>
  <c r="N39" i="23" s="1"/>
  <c r="O15" i="70"/>
  <c r="P214" i="29"/>
  <c r="Q16" i="59" s="1"/>
  <c r="P267" i="26"/>
  <c r="Q52" i="59" s="1"/>
  <c r="P14" i="70"/>
  <c r="P14" i="72"/>
  <c r="O39" i="47" s="1"/>
  <c r="P72" i="59"/>
  <c r="P135" i="72" s="1"/>
  <c r="O41" i="47" s="1"/>
  <c r="P16" i="70"/>
  <c r="P74" i="59"/>
  <c r="P137" i="72" s="1"/>
  <c r="O41" i="29" s="1"/>
  <c r="P16" i="72"/>
  <c r="O39" i="29" s="1"/>
  <c r="P214" i="47"/>
  <c r="Q14" i="59" s="1"/>
  <c r="Q265" i="41"/>
  <c r="Q264" i="41"/>
  <c r="Q260" i="41"/>
  <c r="Q252" i="41"/>
  <c r="Q244" i="41"/>
  <c r="Q236" i="41"/>
  <c r="Q228" i="41"/>
  <c r="Q220" i="41"/>
  <c r="Q257" i="41"/>
  <c r="Q249" i="41"/>
  <c r="Q241" i="41"/>
  <c r="Q233" i="41"/>
  <c r="Q225" i="41"/>
  <c r="Q262" i="41"/>
  <c r="Q254" i="41"/>
  <c r="Q246" i="41"/>
  <c r="Q238" i="41"/>
  <c r="Q230" i="41"/>
  <c r="Q222" i="41"/>
  <c r="Q259" i="41"/>
  <c r="Q251" i="41"/>
  <c r="Q243" i="41"/>
  <c r="Q235" i="41"/>
  <c r="Q227" i="41"/>
  <c r="Q256" i="41"/>
  <c r="Q248" i="41"/>
  <c r="Q240" i="41"/>
  <c r="Q232" i="41"/>
  <c r="Q224" i="41"/>
  <c r="Q261" i="41"/>
  <c r="Q253" i="41"/>
  <c r="Q245" i="41"/>
  <c r="Q237" i="41"/>
  <c r="Q229" i="41"/>
  <c r="Q221" i="41"/>
  <c r="Q255" i="41"/>
  <c r="Q239" i="41"/>
  <c r="Q223" i="41"/>
  <c r="Q250" i="41"/>
  <c r="Q234" i="41"/>
  <c r="Q263" i="41"/>
  <c r="Q247" i="41"/>
  <c r="Q231" i="41"/>
  <c r="Q258" i="41"/>
  <c r="Q242" i="41"/>
  <c r="Q226" i="41"/>
  <c r="Q206" i="41"/>
  <c r="Q198" i="41"/>
  <c r="Q190" i="41"/>
  <c r="Q182" i="41"/>
  <c r="Q174" i="41"/>
  <c r="Q203" i="41"/>
  <c r="Q195" i="41"/>
  <c r="Q187" i="41"/>
  <c r="Q179" i="41"/>
  <c r="Q171" i="41"/>
  <c r="Q208" i="41"/>
  <c r="Q200" i="41"/>
  <c r="Q192" i="41"/>
  <c r="Q184" i="41"/>
  <c r="Q176" i="41"/>
  <c r="Q168" i="41"/>
  <c r="Q205" i="41"/>
  <c r="Q197" i="41"/>
  <c r="Q189" i="41"/>
  <c r="Q181" i="41"/>
  <c r="Q173" i="41"/>
  <c r="Q202" i="41"/>
  <c r="Q194" i="41"/>
  <c r="Q186" i="41"/>
  <c r="Q178" i="41"/>
  <c r="Q170" i="41"/>
  <c r="Q207" i="41"/>
  <c r="Q199" i="41"/>
  <c r="Q191" i="41"/>
  <c r="Q183" i="41"/>
  <c r="Q175" i="41"/>
  <c r="Q167" i="41"/>
  <c r="Q204" i="41"/>
  <c r="Q196" i="41"/>
  <c r="Q188" i="41"/>
  <c r="Q180" i="41"/>
  <c r="Q172" i="41"/>
  <c r="Q185" i="41"/>
  <c r="Q209" i="41"/>
  <c r="Q177" i="41"/>
  <c r="Q201" i="41"/>
  <c r="Q169" i="41"/>
  <c r="Q193" i="41"/>
  <c r="L115" i="17"/>
  <c r="L49" i="17" s="1"/>
  <c r="O115" i="23"/>
  <c r="O49" i="23" s="1"/>
  <c r="O115" i="32"/>
  <c r="O49" i="32" s="1"/>
  <c r="P115" i="47"/>
  <c r="P49" i="47" s="1"/>
  <c r="Q259" i="50"/>
  <c r="Q251" i="50"/>
  <c r="Q264" i="50"/>
  <c r="Q256" i="50"/>
  <c r="Q248" i="50"/>
  <c r="Q261" i="50"/>
  <c r="Q253" i="50"/>
  <c r="Q258" i="50"/>
  <c r="Q250" i="50"/>
  <c r="Q263" i="50"/>
  <c r="Q255" i="50"/>
  <c r="Q247" i="50"/>
  <c r="Q260" i="50"/>
  <c r="Q252" i="50"/>
  <c r="Q265" i="50"/>
  <c r="Q257" i="50"/>
  <c r="Q249" i="50"/>
  <c r="Q262" i="50"/>
  <c r="Q245" i="50"/>
  <c r="Q237" i="50"/>
  <c r="Q229" i="50"/>
  <c r="Q221" i="50"/>
  <c r="Q242" i="50"/>
  <c r="Q234" i="50"/>
  <c r="Q226" i="50"/>
  <c r="Q254" i="50"/>
  <c r="Q239" i="50"/>
  <c r="Q231" i="50"/>
  <c r="Q223" i="50"/>
  <c r="Q244" i="50"/>
  <c r="Q236" i="50"/>
  <c r="Q228" i="50"/>
  <c r="Q220" i="50"/>
  <c r="Q246" i="50"/>
  <c r="Q241" i="50"/>
  <c r="Q233" i="50"/>
  <c r="Q225" i="50"/>
  <c r="Q238" i="50"/>
  <c r="Q230" i="50"/>
  <c r="Q222" i="50"/>
  <c r="Q243" i="50"/>
  <c r="Q235" i="50"/>
  <c r="Q224" i="50"/>
  <c r="Q240" i="50"/>
  <c r="Q232" i="50"/>
  <c r="Q227" i="50"/>
  <c r="Q203" i="50"/>
  <c r="Q195" i="50"/>
  <c r="Q187" i="50"/>
  <c r="Q179" i="50"/>
  <c r="Q208" i="50"/>
  <c r="Q200" i="50"/>
  <c r="Q192" i="50"/>
  <c r="Q184" i="50"/>
  <c r="Q176" i="50"/>
  <c r="Q205" i="50"/>
  <c r="Q197" i="50"/>
  <c r="Q189" i="50"/>
  <c r="Q181" i="50"/>
  <c r="Q207" i="50"/>
  <c r="Q199" i="50"/>
  <c r="Q191" i="50"/>
  <c r="Q183" i="50"/>
  <c r="Q175" i="50"/>
  <c r="Q204" i="50"/>
  <c r="Q196" i="50"/>
  <c r="Q188" i="50"/>
  <c r="Q180" i="50"/>
  <c r="Q209" i="50"/>
  <c r="Q201" i="50"/>
  <c r="Q193" i="50"/>
  <c r="Q185" i="50"/>
  <c r="Q177" i="50"/>
  <c r="Q169" i="50"/>
  <c r="Q206" i="50"/>
  <c r="Q190" i="50"/>
  <c r="Q174" i="50"/>
  <c r="Q171" i="50"/>
  <c r="Q194" i="50"/>
  <c r="Q178" i="50"/>
  <c r="Q168" i="50"/>
  <c r="Q173" i="50"/>
  <c r="Q198" i="50"/>
  <c r="Q182" i="50"/>
  <c r="Q170" i="50"/>
  <c r="Q167" i="50"/>
  <c r="Q202" i="50"/>
  <c r="Q172" i="50"/>
  <c r="Q186" i="50"/>
  <c r="Q88" i="53"/>
  <c r="Q83" i="53"/>
  <c r="Q78" i="53"/>
  <c r="Q86" i="53"/>
  <c r="Q81" i="53"/>
  <c r="Q80" i="53"/>
  <c r="Q84" i="53"/>
  <c r="Q87" i="53"/>
  <c r="Q82" i="53"/>
  <c r="Q79" i="53"/>
  <c r="Q85" i="53"/>
  <c r="Q261" i="53"/>
  <c r="Q253" i="53"/>
  <c r="Q245" i="53"/>
  <c r="Q237" i="53"/>
  <c r="Q229" i="53"/>
  <c r="Q221" i="53"/>
  <c r="Q258" i="53"/>
  <c r="Q250" i="53"/>
  <c r="Q242" i="53"/>
  <c r="Q234" i="53"/>
  <c r="Q226" i="53"/>
  <c r="Q263" i="53"/>
  <c r="Q255" i="53"/>
  <c r="Q247" i="53"/>
  <c r="Q239" i="53"/>
  <c r="Q231" i="53"/>
  <c r="Q223" i="53"/>
  <c r="Q260" i="53"/>
  <c r="Q252" i="53"/>
  <c r="Q244" i="53"/>
  <c r="Q236" i="53"/>
  <c r="Q228" i="53"/>
  <c r="Q220" i="53"/>
  <c r="Q265" i="53"/>
  <c r="Q257" i="53"/>
  <c r="Q249" i="53"/>
  <c r="Q241" i="53"/>
  <c r="Q233" i="53"/>
  <c r="Q225" i="53"/>
  <c r="Q262" i="53"/>
  <c r="Q254" i="53"/>
  <c r="Q246" i="53"/>
  <c r="Q238" i="53"/>
  <c r="Q230" i="53"/>
  <c r="Q222" i="53"/>
  <c r="Q259" i="53"/>
  <c r="Q251" i="53"/>
  <c r="Q243" i="53"/>
  <c r="Q235" i="53"/>
  <c r="Q227" i="53"/>
  <c r="Q248" i="53"/>
  <c r="Q240" i="53"/>
  <c r="Q264" i="53"/>
  <c r="Q232" i="53"/>
  <c r="Q256" i="53"/>
  <c r="Q224" i="53"/>
  <c r="Q205" i="53"/>
  <c r="Q197" i="53"/>
  <c r="Q189" i="53"/>
  <c r="Q181" i="53"/>
  <c r="Q173" i="53"/>
  <c r="Q202" i="53"/>
  <c r="Q194" i="53"/>
  <c r="Q186" i="53"/>
  <c r="Q178" i="53"/>
  <c r="Q170" i="53"/>
  <c r="Q207" i="53"/>
  <c r="Q199" i="53"/>
  <c r="Q191" i="53"/>
  <c r="Q183" i="53"/>
  <c r="Q175" i="53"/>
  <c r="Q167" i="53"/>
  <c r="Q204" i="53"/>
  <c r="Q196" i="53"/>
  <c r="Q188" i="53"/>
  <c r="Q180" i="53"/>
  <c r="Q172" i="53"/>
  <c r="Q209" i="53"/>
  <c r="Q201" i="53"/>
  <c r="Q193" i="53"/>
  <c r="Q185" i="53"/>
  <c r="Q177" i="53"/>
  <c r="Q169" i="53"/>
  <c r="Q206" i="53"/>
  <c r="Q198" i="53"/>
  <c r="Q190" i="53"/>
  <c r="Q182" i="53"/>
  <c r="Q174" i="53"/>
  <c r="Q203" i="53"/>
  <c r="Q195" i="53"/>
  <c r="Q187" i="53"/>
  <c r="Q179" i="53"/>
  <c r="Q171" i="53"/>
  <c r="Q184" i="53"/>
  <c r="Q208" i="53"/>
  <c r="Q176" i="53"/>
  <c r="Q200" i="53"/>
  <c r="Q168" i="53"/>
  <c r="Q192" i="53"/>
  <c r="M259" i="14"/>
  <c r="M251" i="14"/>
  <c r="M243" i="14"/>
  <c r="M235" i="14"/>
  <c r="M227" i="14"/>
  <c r="M264" i="14"/>
  <c r="M256" i="14"/>
  <c r="M261" i="14"/>
  <c r="M253" i="14"/>
  <c r="M245" i="14"/>
  <c r="M237" i="14"/>
  <c r="M229" i="14"/>
  <c r="M221" i="14"/>
  <c r="M263" i="14"/>
  <c r="M255" i="14"/>
  <c r="M247" i="14"/>
  <c r="M239" i="14"/>
  <c r="M231" i="14"/>
  <c r="M223" i="14"/>
  <c r="M260" i="14"/>
  <c r="M252" i="14"/>
  <c r="M244" i="14"/>
  <c r="M236" i="14"/>
  <c r="M228" i="14"/>
  <c r="M265" i="14"/>
  <c r="M257" i="14"/>
  <c r="M249" i="14"/>
  <c r="M241" i="14"/>
  <c r="M233" i="14"/>
  <c r="M225" i="14"/>
  <c r="M254" i="14"/>
  <c r="M246" i="14"/>
  <c r="M226" i="14"/>
  <c r="M224" i="14"/>
  <c r="M220" i="14"/>
  <c r="M258" i="14"/>
  <c r="M234" i="14"/>
  <c r="M222" i="14"/>
  <c r="M232" i="14"/>
  <c r="M262" i="14"/>
  <c r="M242" i="14"/>
  <c r="M230" i="14"/>
  <c r="M240" i="14"/>
  <c r="M250" i="14"/>
  <c r="M238" i="14"/>
  <c r="M248" i="14"/>
  <c r="M202" i="14"/>
  <c r="M194" i="14"/>
  <c r="M186" i="14"/>
  <c r="M178" i="14"/>
  <c r="M203" i="14"/>
  <c r="M195" i="14"/>
  <c r="M187" i="14"/>
  <c r="M179" i="14"/>
  <c r="M201" i="14"/>
  <c r="M200" i="14"/>
  <c r="M199" i="14"/>
  <c r="M185" i="14"/>
  <c r="M184" i="14"/>
  <c r="M183" i="14"/>
  <c r="M170" i="14"/>
  <c r="M198" i="14"/>
  <c r="M197" i="14"/>
  <c r="M182" i="14"/>
  <c r="M181" i="14"/>
  <c r="M167" i="14"/>
  <c r="M196" i="14"/>
  <c r="M180" i="14"/>
  <c r="M172" i="14"/>
  <c r="M169" i="14"/>
  <c r="M209" i="14"/>
  <c r="M208" i="14"/>
  <c r="M207" i="14"/>
  <c r="M193" i="14"/>
  <c r="M192" i="14"/>
  <c r="M191" i="14"/>
  <c r="M177" i="14"/>
  <c r="M176" i="14"/>
  <c r="M175" i="14"/>
  <c r="M204" i="14"/>
  <c r="M188" i="14"/>
  <c r="M168" i="14"/>
  <c r="M189" i="14"/>
  <c r="M190" i="14"/>
  <c r="M205" i="14"/>
  <c r="M174" i="14"/>
  <c r="M171" i="14"/>
  <c r="M206" i="14"/>
  <c r="M173" i="14"/>
  <c r="M78" i="14"/>
  <c r="M74" i="14"/>
  <c r="M70" i="14"/>
  <c r="M77" i="14"/>
  <c r="M73" i="14"/>
  <c r="M69" i="14"/>
  <c r="M75" i="14"/>
  <c r="M71" i="14"/>
  <c r="M76" i="14"/>
  <c r="M72" i="14"/>
  <c r="P268" i="5"/>
  <c r="Q37" i="59" s="1"/>
  <c r="O214" i="32"/>
  <c r="P11" i="59" s="1"/>
  <c r="L115" i="11"/>
  <c r="L49" i="11" s="1"/>
  <c r="P267" i="41"/>
  <c r="Q55" i="59" s="1"/>
  <c r="Q295" i="59" s="1"/>
  <c r="O44" i="72"/>
  <c r="N40" i="23" s="1"/>
  <c r="O44" i="70"/>
  <c r="P83" i="59"/>
  <c r="P146" i="72" s="1"/>
  <c r="P25" i="70"/>
  <c r="P25" i="72"/>
  <c r="P62" i="59"/>
  <c r="P33" i="70"/>
  <c r="P33" i="72"/>
  <c r="P115" i="1"/>
  <c r="P49" i="1" s="1"/>
  <c r="P267" i="1"/>
  <c r="Q33" i="59" s="1"/>
  <c r="Q81" i="1"/>
  <c r="Q86" i="1"/>
  <c r="Q88" i="1"/>
  <c r="Q84" i="1"/>
  <c r="Q82" i="1"/>
  <c r="Q85" i="1"/>
  <c r="Q87" i="1"/>
  <c r="Q83" i="1"/>
  <c r="Q222" i="1"/>
  <c r="Q230" i="1"/>
  <c r="Q238" i="1"/>
  <c r="Q246" i="1"/>
  <c r="Q254" i="1"/>
  <c r="Q262" i="1"/>
  <c r="Q201" i="1"/>
  <c r="Q209" i="1"/>
  <c r="Q167" i="1"/>
  <c r="Q175" i="1"/>
  <c r="Q225" i="1"/>
  <c r="Q233" i="1"/>
  <c r="Q241" i="1"/>
  <c r="Q249" i="1"/>
  <c r="Q257" i="1"/>
  <c r="Q265" i="1"/>
  <c r="Q196" i="1"/>
  <c r="Q204" i="1"/>
  <c r="Q174" i="1"/>
  <c r="Q182" i="1"/>
  <c r="Q228" i="1"/>
  <c r="Q236" i="1"/>
  <c r="Q244" i="1"/>
  <c r="Q252" i="1"/>
  <c r="Q260" i="1"/>
  <c r="Q220" i="1"/>
  <c r="Q199" i="1"/>
  <c r="Q207" i="1"/>
  <c r="Q173" i="1"/>
  <c r="Q181" i="1"/>
  <c r="Q223" i="1"/>
  <c r="Q231" i="1"/>
  <c r="Q239" i="1"/>
  <c r="Q247" i="1"/>
  <c r="Q255" i="1"/>
  <c r="Q263" i="1"/>
  <c r="Q194" i="1"/>
  <c r="Q202" i="1"/>
  <c r="Q172" i="1"/>
  <c r="Q180" i="1"/>
  <c r="Q226" i="1"/>
  <c r="Q234" i="1"/>
  <c r="Q242" i="1"/>
  <c r="Q250" i="1"/>
  <c r="Q258" i="1"/>
  <c r="Q197" i="1"/>
  <c r="Q205" i="1"/>
  <c r="Q171" i="1"/>
  <c r="Q179" i="1"/>
  <c r="Q221" i="1"/>
  <c r="Q229" i="1"/>
  <c r="Q237" i="1"/>
  <c r="Q245" i="1"/>
  <c r="Q253" i="1"/>
  <c r="Q261" i="1"/>
  <c r="Q200" i="1"/>
  <c r="Q208" i="1"/>
  <c r="Q170" i="1"/>
  <c r="Q178" i="1"/>
  <c r="Q224" i="1"/>
  <c r="Q232" i="1"/>
  <c r="Q240" i="1"/>
  <c r="Q248" i="1"/>
  <c r="Q256" i="1"/>
  <c r="Q264" i="1"/>
  <c r="Q195" i="1"/>
  <c r="Q203" i="1"/>
  <c r="Q169" i="1"/>
  <c r="Q177" i="1"/>
  <c r="Q227" i="1"/>
  <c r="Q187" i="1"/>
  <c r="Q235" i="1"/>
  <c r="Q176" i="1"/>
  <c r="Q186" i="1"/>
  <c r="Q243" i="1"/>
  <c r="Q168" i="1"/>
  <c r="Q185" i="1"/>
  <c r="Q193" i="1"/>
  <c r="Q188" i="1"/>
  <c r="Q251" i="1"/>
  <c r="Q184" i="1"/>
  <c r="Q192" i="1"/>
  <c r="Q259" i="1"/>
  <c r="Q183" i="1"/>
  <c r="Q191" i="1"/>
  <c r="Q198" i="1"/>
  <c r="Q190" i="1"/>
  <c r="Q206" i="1"/>
  <c r="Q189" i="1"/>
  <c r="Q71" i="1"/>
  <c r="Q76" i="1"/>
  <c r="Q79" i="1"/>
  <c r="Q74" i="1"/>
  <c r="Q72" i="1"/>
  <c r="Q78" i="1"/>
  <c r="Q80" i="1"/>
  <c r="Q73" i="1"/>
  <c r="Q69" i="1"/>
  <c r="Q75" i="1"/>
  <c r="Q77" i="1"/>
  <c r="Q70" i="1"/>
  <c r="P214" i="1"/>
  <c r="Q4" i="59" s="1"/>
  <c r="O62" i="70"/>
  <c r="P115" i="53"/>
  <c r="P49" i="53" s="1"/>
  <c r="O115" i="8"/>
  <c r="O49" i="8" s="1"/>
  <c r="N64" i="59"/>
  <c r="N127" i="72" s="1"/>
  <c r="M41" i="8" s="1"/>
  <c r="N35" i="72"/>
  <c r="M40" i="8" s="1"/>
  <c r="P81" i="8"/>
  <c r="P79" i="8"/>
  <c r="P78" i="8"/>
  <c r="P80" i="8"/>
  <c r="P258" i="8"/>
  <c r="P250" i="8"/>
  <c r="P242" i="8"/>
  <c r="P234" i="8"/>
  <c r="P226" i="8"/>
  <c r="P208" i="8"/>
  <c r="P200" i="8"/>
  <c r="P192" i="8"/>
  <c r="P263" i="8"/>
  <c r="P255" i="8"/>
  <c r="P247" i="8"/>
  <c r="P239" i="8"/>
  <c r="P231" i="8"/>
  <c r="P223" i="8"/>
  <c r="P205" i="8"/>
  <c r="P197" i="8"/>
  <c r="P189" i="8"/>
  <c r="P260" i="8"/>
  <c r="P252" i="8"/>
  <c r="P244" i="8"/>
  <c r="P236" i="8"/>
  <c r="P228" i="8"/>
  <c r="P220" i="8"/>
  <c r="P202" i="8"/>
  <c r="P194" i="8"/>
  <c r="P265" i="8"/>
  <c r="P257" i="8"/>
  <c r="P249" i="8"/>
  <c r="P241" i="8"/>
  <c r="P233" i="8"/>
  <c r="P225" i="8"/>
  <c r="P207" i="8"/>
  <c r="P199" i="8"/>
  <c r="P191" i="8"/>
  <c r="P262" i="8"/>
  <c r="P254" i="8"/>
  <c r="P246" i="8"/>
  <c r="P238" i="8"/>
  <c r="P230" i="8"/>
  <c r="P222" i="8"/>
  <c r="P204" i="8"/>
  <c r="P196" i="8"/>
  <c r="P259" i="8"/>
  <c r="P251" i="8"/>
  <c r="P243" i="8"/>
  <c r="P235" i="8"/>
  <c r="P227" i="8"/>
  <c r="P209" i="8"/>
  <c r="P201" i="8"/>
  <c r="P193" i="8"/>
  <c r="P264" i="8"/>
  <c r="P256" i="8"/>
  <c r="P248" i="8"/>
  <c r="P240" i="8"/>
  <c r="P232" i="8"/>
  <c r="P224" i="8"/>
  <c r="P206" i="8"/>
  <c r="P198" i="8"/>
  <c r="P190" i="8"/>
  <c r="P261" i="8"/>
  <c r="P253" i="8"/>
  <c r="P245" i="8"/>
  <c r="P237" i="8"/>
  <c r="P229" i="8"/>
  <c r="P221" i="8"/>
  <c r="P203" i="8"/>
  <c r="P195" i="8"/>
  <c r="P185" i="8"/>
  <c r="P177" i="8"/>
  <c r="P169" i="8"/>
  <c r="P182" i="8"/>
  <c r="P174" i="8"/>
  <c r="P187" i="8"/>
  <c r="P179" i="8"/>
  <c r="P171" i="8"/>
  <c r="P184" i="8"/>
  <c r="P176" i="8"/>
  <c r="P168" i="8"/>
  <c r="P181" i="8"/>
  <c r="P173" i="8"/>
  <c r="P186" i="8"/>
  <c r="P178" i="8"/>
  <c r="P170" i="8"/>
  <c r="P183" i="8"/>
  <c r="P175" i="8"/>
  <c r="P167" i="8"/>
  <c r="P188" i="8"/>
  <c r="P180" i="8"/>
  <c r="P172" i="8"/>
  <c r="P75" i="8"/>
  <c r="P72" i="8"/>
  <c r="P77" i="8"/>
  <c r="P69" i="8"/>
  <c r="P74" i="8"/>
  <c r="P76" i="8"/>
  <c r="P71" i="8"/>
  <c r="P73" i="8"/>
  <c r="P70" i="8"/>
  <c r="O6" i="70"/>
  <c r="O35" i="59"/>
  <c r="O214" i="8"/>
  <c r="P6" i="59" s="1"/>
  <c r="N35" i="70"/>
  <c r="N64" i="70" s="1"/>
  <c r="I96" i="72"/>
  <c r="H96" i="70"/>
  <c r="I158" i="59"/>
  <c r="J96" i="72"/>
  <c r="I96" i="70"/>
  <c r="J158" i="59"/>
  <c r="D32" i="19"/>
  <c r="B43" i="19"/>
  <c r="I40" i="19" s="1"/>
  <c r="G64" i="19" s="1"/>
  <c r="I39" i="19"/>
  <c r="G63" i="19" s="1"/>
  <c r="Q76" i="53"/>
  <c r="Q74" i="53"/>
  <c r="Q70" i="53"/>
  <c r="Q77" i="53"/>
  <c r="Q75" i="53"/>
  <c r="Q73" i="53"/>
  <c r="Q71" i="53"/>
  <c r="Q69" i="53"/>
  <c r="Q72" i="53"/>
  <c r="I21" i="54"/>
  <c r="H23" i="54"/>
  <c r="H25" i="54" s="1"/>
  <c r="J21" i="51"/>
  <c r="I23" i="51"/>
  <c r="I25" i="51" s="1"/>
  <c r="Q76" i="50"/>
  <c r="Q74" i="50"/>
  <c r="Q72" i="50"/>
  <c r="Q70" i="50"/>
  <c r="Q77" i="50"/>
  <c r="Q73" i="50"/>
  <c r="Q71" i="50"/>
  <c r="Q75" i="50"/>
  <c r="Q69" i="50"/>
  <c r="Q77" i="47"/>
  <c r="Q75" i="47"/>
  <c r="Q73" i="47"/>
  <c r="Q71" i="47"/>
  <c r="Q69" i="47"/>
  <c r="Q76" i="47"/>
  <c r="Q74" i="47"/>
  <c r="Q70" i="47"/>
  <c r="Q72" i="47"/>
  <c r="I21" i="48"/>
  <c r="H23" i="48"/>
  <c r="H25" i="48" s="1"/>
  <c r="P75" i="44"/>
  <c r="P77" i="44"/>
  <c r="P74" i="44"/>
  <c r="P76" i="44"/>
  <c r="P71" i="44"/>
  <c r="P69" i="44"/>
  <c r="P73" i="44"/>
  <c r="P70" i="44"/>
  <c r="P72" i="44"/>
  <c r="I23" i="45"/>
  <c r="I25" i="45" s="1"/>
  <c r="J21" i="45"/>
  <c r="J21" i="42"/>
  <c r="I23" i="42"/>
  <c r="I25" i="42" s="1"/>
  <c r="Q77" i="41"/>
  <c r="Q75" i="41"/>
  <c r="Q73" i="41"/>
  <c r="Q71" i="41"/>
  <c r="Q69" i="41"/>
  <c r="Q76" i="41"/>
  <c r="Q74" i="41"/>
  <c r="Q72" i="41"/>
  <c r="Q70" i="41"/>
  <c r="Q76" i="38"/>
  <c r="Q74" i="38"/>
  <c r="Q72" i="38"/>
  <c r="Q70" i="38"/>
  <c r="Q77" i="38"/>
  <c r="Q75" i="38"/>
  <c r="Q73" i="38"/>
  <c r="Q71" i="38"/>
  <c r="Q69" i="38"/>
  <c r="I21" i="39"/>
  <c r="H23" i="39"/>
  <c r="H25" i="39" s="1"/>
  <c r="P76" i="35"/>
  <c r="P74" i="35"/>
  <c r="P72" i="35"/>
  <c r="P77" i="35"/>
  <c r="P75" i="35"/>
  <c r="P73" i="35"/>
  <c r="P71" i="35"/>
  <c r="P69" i="35"/>
  <c r="P70" i="35"/>
  <c r="I21" i="33"/>
  <c r="H23" i="33"/>
  <c r="H25" i="33" s="1"/>
  <c r="P77" i="32"/>
  <c r="P75" i="32"/>
  <c r="P73" i="32"/>
  <c r="P71" i="32"/>
  <c r="P69" i="32"/>
  <c r="P76" i="32"/>
  <c r="P74" i="32"/>
  <c r="P72" i="32"/>
  <c r="P70" i="32"/>
  <c r="I21" i="30"/>
  <c r="H23" i="30"/>
  <c r="H25" i="30" s="1"/>
  <c r="Q76" i="29"/>
  <c r="Q74" i="29"/>
  <c r="Q75" i="29"/>
  <c r="Q72" i="29"/>
  <c r="Q70" i="29"/>
  <c r="Q71" i="29"/>
  <c r="Q69" i="29"/>
  <c r="Q77" i="29"/>
  <c r="Q73" i="29"/>
  <c r="Q70" i="26"/>
  <c r="Q72" i="26"/>
  <c r="Q77" i="26"/>
  <c r="Q75" i="26"/>
  <c r="Q73" i="26"/>
  <c r="Q71" i="26"/>
  <c r="Q69" i="26"/>
  <c r="Q76" i="26"/>
  <c r="Q74" i="26"/>
  <c r="H23" i="27"/>
  <c r="H25" i="27" s="1"/>
  <c r="I21" i="27"/>
  <c r="I21" i="24"/>
  <c r="H23" i="24"/>
  <c r="H25" i="24" s="1"/>
  <c r="P76" i="23"/>
  <c r="P77" i="23"/>
  <c r="P75" i="23"/>
  <c r="P73" i="23"/>
  <c r="P71" i="23"/>
  <c r="P69" i="23"/>
  <c r="P70" i="23"/>
  <c r="P74" i="23"/>
  <c r="P72" i="23"/>
  <c r="I21" i="21"/>
  <c r="H23" i="21"/>
  <c r="H25" i="21" s="1"/>
  <c r="P77" i="20"/>
  <c r="P75" i="20"/>
  <c r="P73" i="20"/>
  <c r="P71" i="20"/>
  <c r="P69" i="20"/>
  <c r="P74" i="20"/>
  <c r="P76" i="20"/>
  <c r="P70" i="20"/>
  <c r="P72" i="20"/>
  <c r="Q75" i="5"/>
  <c r="Q76" i="5"/>
  <c r="Q69" i="5"/>
  <c r="Q77" i="5"/>
  <c r="Q70" i="5"/>
  <c r="Q71" i="5"/>
  <c r="Q72" i="5"/>
  <c r="Q73" i="5"/>
  <c r="Q74" i="5"/>
  <c r="F21" i="18"/>
  <c r="G21" i="18" s="1"/>
  <c r="N16" i="5" l="1"/>
  <c r="N17" i="5" s="1"/>
  <c r="Q323" i="59"/>
  <c r="P27" i="53"/>
  <c r="Q27" i="53" s="1"/>
  <c r="P13" i="53"/>
  <c r="P13" i="76"/>
  <c r="P27" i="76"/>
  <c r="Q27" i="76" s="1"/>
  <c r="Q265" i="59"/>
  <c r="O20" i="76"/>
  <c r="O20" i="53"/>
  <c r="P313" i="59"/>
  <c r="O13" i="23"/>
  <c r="O27" i="23"/>
  <c r="P255" i="59"/>
  <c r="O20" i="23" s="1"/>
  <c r="Q324" i="59"/>
  <c r="Q266" i="59"/>
  <c r="M253" i="59"/>
  <c r="M311" i="59"/>
  <c r="M310" i="59"/>
  <c r="M252" i="59"/>
  <c r="P309" i="59"/>
  <c r="P251" i="59"/>
  <c r="Q308" i="59"/>
  <c r="P27" i="38"/>
  <c r="Q27" i="38" s="1"/>
  <c r="Q250" i="59"/>
  <c r="P20" i="38" s="1"/>
  <c r="Q20" i="38" s="1"/>
  <c r="P6" i="50"/>
  <c r="P7" i="50" s="1"/>
  <c r="Q322" i="59"/>
  <c r="P13" i="50"/>
  <c r="P27" i="50"/>
  <c r="Q27" i="50" s="1"/>
  <c r="M307" i="59"/>
  <c r="M249" i="59"/>
  <c r="L16" i="8"/>
  <c r="L17" i="8" s="1"/>
  <c r="Q314" i="59"/>
  <c r="P27" i="29"/>
  <c r="Q27" i="29" s="1"/>
  <c r="P13" i="29"/>
  <c r="Q256" i="59"/>
  <c r="P20" i="29" s="1"/>
  <c r="Q20" i="29" s="1"/>
  <c r="Q306" i="59"/>
  <c r="P27" i="5"/>
  <c r="Q27" i="5" s="1"/>
  <c r="P13" i="5"/>
  <c r="Q248" i="59"/>
  <c r="P20" i="5" s="1"/>
  <c r="Q20" i="5" s="1"/>
  <c r="Q321" i="59"/>
  <c r="P13" i="26"/>
  <c r="P27" i="26"/>
  <c r="Q27" i="26" s="1"/>
  <c r="Q263" i="59"/>
  <c r="P20" i="26" s="1"/>
  <c r="Q20" i="26" s="1"/>
  <c r="P304" i="59"/>
  <c r="O13" i="8"/>
  <c r="O27" i="8"/>
  <c r="P246" i="59"/>
  <c r="O20" i="8" s="1"/>
  <c r="P303" i="59"/>
  <c r="O27" i="44"/>
  <c r="O13" i="44"/>
  <c r="P245" i="59"/>
  <c r="O20" i="44" s="1"/>
  <c r="O14" i="5"/>
  <c r="O18" i="5" s="1"/>
  <c r="O23" i="83"/>
  <c r="O26" i="50"/>
  <c r="Q141" i="59"/>
  <c r="Q206" i="59" s="1"/>
  <c r="Q292" i="59"/>
  <c r="P23" i="26" s="1"/>
  <c r="Q23" i="26" s="1"/>
  <c r="P22" i="26"/>
  <c r="P14" i="26" s="1"/>
  <c r="Q14" i="26" s="1"/>
  <c r="Q134" i="59"/>
  <c r="Q199" i="59" s="1"/>
  <c r="Q285" i="59"/>
  <c r="P23" i="29" s="1"/>
  <c r="Q23" i="29" s="1"/>
  <c r="P22" i="29"/>
  <c r="P14" i="29" s="1"/>
  <c r="P123" i="59"/>
  <c r="P188" i="59" s="1"/>
  <c r="P274" i="59"/>
  <c r="O23" i="44" s="1"/>
  <c r="O22" i="44"/>
  <c r="O26" i="44" s="1"/>
  <c r="Q143" i="59"/>
  <c r="Q208" i="59" s="1"/>
  <c r="Q294" i="59"/>
  <c r="P22" i="76"/>
  <c r="P14" i="76" s="1"/>
  <c r="Q14" i="76" s="1"/>
  <c r="P22" i="53"/>
  <c r="P26" i="53" s="1"/>
  <c r="O23" i="53"/>
  <c r="O23" i="76"/>
  <c r="P133" i="59"/>
  <c r="P198" i="59" s="1"/>
  <c r="P284" i="59"/>
  <c r="O23" i="23" s="1"/>
  <c r="O22" i="23"/>
  <c r="O26" i="23" s="1"/>
  <c r="Q279" i="59"/>
  <c r="P22" i="38"/>
  <c r="P14" i="38" s="1"/>
  <c r="O14" i="76"/>
  <c r="O16" i="76" s="1"/>
  <c r="O17" i="76" s="1"/>
  <c r="O124" i="59"/>
  <c r="O189" i="59" s="1"/>
  <c r="O275" i="59"/>
  <c r="N23" i="8" s="1"/>
  <c r="N22" i="8"/>
  <c r="N26" i="8" s="1"/>
  <c r="Q126" i="59"/>
  <c r="Q191" i="59" s="1"/>
  <c r="Q277" i="59"/>
  <c r="P23" i="5" s="1"/>
  <c r="Q23" i="5" s="1"/>
  <c r="P22" i="5"/>
  <c r="P14" i="5" s="1"/>
  <c r="P18" i="5" s="1"/>
  <c r="P8" i="50"/>
  <c r="P9" i="50" s="1"/>
  <c r="Q293" i="59"/>
  <c r="P23" i="50" s="1"/>
  <c r="Q23" i="50" s="1"/>
  <c r="P22" i="50"/>
  <c r="P26" i="50" s="1"/>
  <c r="Q26" i="50" s="1"/>
  <c r="O14" i="26"/>
  <c r="O16" i="26" s="1"/>
  <c r="O17" i="26" s="1"/>
  <c r="M14" i="8"/>
  <c r="M18" i="8" s="1"/>
  <c r="N14" i="23"/>
  <c r="N16" i="23" s="1"/>
  <c r="N17" i="23" s="1"/>
  <c r="O14" i="29"/>
  <c r="O16" i="29" s="1"/>
  <c r="O17" i="29" s="1"/>
  <c r="N14" i="44"/>
  <c r="O26" i="53"/>
  <c r="Q22" i="53"/>
  <c r="P22" i="1"/>
  <c r="P22" i="83"/>
  <c r="P8" i="83"/>
  <c r="Q273" i="59"/>
  <c r="P23" i="1" s="1"/>
  <c r="Q23" i="1" s="1"/>
  <c r="Q302" i="59"/>
  <c r="P21" i="1" s="1"/>
  <c r="Q21" i="1" s="1"/>
  <c r="P13" i="1"/>
  <c r="P27" i="1"/>
  <c r="Q27" i="1" s="1"/>
  <c r="P13" i="83"/>
  <c r="P6" i="83"/>
  <c r="P27" i="83"/>
  <c r="Q27" i="83" s="1"/>
  <c r="Q244" i="59"/>
  <c r="P20" i="1" s="1"/>
  <c r="O26" i="83"/>
  <c r="O28" i="83" s="1"/>
  <c r="O14" i="83"/>
  <c r="O16" i="83" s="1"/>
  <c r="O17" i="83" s="1"/>
  <c r="Q22" i="83"/>
  <c r="O14" i="1"/>
  <c r="O16" i="1" s="1"/>
  <c r="O17" i="1" s="1"/>
  <c r="O26" i="1"/>
  <c r="Q22" i="1"/>
  <c r="P27" i="47"/>
  <c r="Q27" i="47" s="1"/>
  <c r="Q312" i="59"/>
  <c r="P21" i="47" s="1"/>
  <c r="Q21" i="47" s="1"/>
  <c r="Q254" i="59"/>
  <c r="P20" i="47" s="1"/>
  <c r="K39" i="17"/>
  <c r="K43" i="17" s="1"/>
  <c r="L27" i="72"/>
  <c r="O28" i="38"/>
  <c r="N14" i="35"/>
  <c r="N16" i="35" s="1"/>
  <c r="N17" i="35" s="1"/>
  <c r="Q142" i="59"/>
  <c r="Q207" i="59" s="1"/>
  <c r="O16" i="50"/>
  <c r="O17" i="50" s="1"/>
  <c r="Q264" i="59"/>
  <c r="P20" i="50" s="1"/>
  <c r="Q20" i="50" s="1"/>
  <c r="K26" i="17"/>
  <c r="N28" i="35"/>
  <c r="P259" i="59"/>
  <c r="O20" i="35" s="1"/>
  <c r="O27" i="35"/>
  <c r="O13" i="35"/>
  <c r="P137" i="59"/>
  <c r="P202" i="59" s="1"/>
  <c r="O22" i="35"/>
  <c r="O26" i="35" s="1"/>
  <c r="O23" i="35"/>
  <c r="L20" i="17"/>
  <c r="L27" i="17"/>
  <c r="L13" i="17"/>
  <c r="M127" i="59"/>
  <c r="M192" i="59" s="1"/>
  <c r="L22" i="17"/>
  <c r="L14" i="17" s="1"/>
  <c r="L23" i="17"/>
  <c r="O14" i="38"/>
  <c r="O16" i="38" s="1"/>
  <c r="O17" i="38" s="1"/>
  <c r="Q128" i="59"/>
  <c r="Q193" i="59" s="1"/>
  <c r="P23" i="38"/>
  <c r="Q23" i="38" s="1"/>
  <c r="P13" i="38"/>
  <c r="K14" i="11"/>
  <c r="K16" i="11" s="1"/>
  <c r="K17" i="11" s="1"/>
  <c r="L13" i="11"/>
  <c r="L20" i="11"/>
  <c r="L27" i="11"/>
  <c r="M130" i="59"/>
  <c r="M195" i="59" s="1"/>
  <c r="L23" i="11"/>
  <c r="L22" i="11"/>
  <c r="L14" i="11" s="1"/>
  <c r="O26" i="41"/>
  <c r="O14" i="41"/>
  <c r="O16" i="41" s="1"/>
  <c r="O17" i="41" s="1"/>
  <c r="Q144" i="59"/>
  <c r="Q209" i="59" s="1"/>
  <c r="P22" i="41"/>
  <c r="P23" i="41"/>
  <c r="Q23" i="41" s="1"/>
  <c r="P13" i="41"/>
  <c r="P20" i="41"/>
  <c r="Q20" i="41" s="1"/>
  <c r="P27" i="41"/>
  <c r="Q27" i="41" s="1"/>
  <c r="M131" i="59"/>
  <c r="M196" i="59" s="1"/>
  <c r="L22" i="14"/>
  <c r="L26" i="14" s="1"/>
  <c r="L23" i="14"/>
  <c r="K14" i="14"/>
  <c r="K18" i="14" s="1"/>
  <c r="L13" i="14"/>
  <c r="L27" i="14"/>
  <c r="L20" i="14"/>
  <c r="O28" i="47"/>
  <c r="O14" i="47"/>
  <c r="O16" i="47" s="1"/>
  <c r="O17" i="47" s="1"/>
  <c r="O27" i="32"/>
  <c r="O13" i="32"/>
  <c r="O20" i="32"/>
  <c r="L27" i="70"/>
  <c r="L148" i="59"/>
  <c r="N29" i="83"/>
  <c r="O20" i="83"/>
  <c r="O28" i="1"/>
  <c r="O21" i="53"/>
  <c r="O21" i="76"/>
  <c r="O40" i="1"/>
  <c r="O40" i="83"/>
  <c r="O39" i="1"/>
  <c r="O39" i="83"/>
  <c r="L50" i="1"/>
  <c r="L51" i="1" s="1"/>
  <c r="M44" i="1"/>
  <c r="O21" i="83"/>
  <c r="L115" i="59"/>
  <c r="L46" i="8"/>
  <c r="L50" i="8" s="1"/>
  <c r="L51" i="8" s="1"/>
  <c r="M44" i="83"/>
  <c r="M46" i="83"/>
  <c r="N41" i="1"/>
  <c r="N43" i="1" s="1"/>
  <c r="N46" i="1" s="1"/>
  <c r="N41" i="83"/>
  <c r="N43" i="83" s="1"/>
  <c r="L44" i="83"/>
  <c r="L46" i="83"/>
  <c r="L47" i="44"/>
  <c r="Q132" i="59"/>
  <c r="Q197" i="59" s="1"/>
  <c r="P22" i="47"/>
  <c r="P14" i="47" s="1"/>
  <c r="P103" i="59"/>
  <c r="Q111" i="59"/>
  <c r="Q114" i="59"/>
  <c r="Q113" i="59"/>
  <c r="P99" i="59"/>
  <c r="Q102" i="59"/>
  <c r="P23" i="47"/>
  <c r="Q23" i="47" s="1"/>
  <c r="M97" i="59"/>
  <c r="Q96" i="59"/>
  <c r="Q122" i="59"/>
  <c r="Q187" i="59" s="1"/>
  <c r="Q104" i="59"/>
  <c r="P107" i="59"/>
  <c r="P93" i="59"/>
  <c r="P94" i="59"/>
  <c r="Q112" i="59"/>
  <c r="M101" i="59"/>
  <c r="Q92" i="59"/>
  <c r="Q98" i="59"/>
  <c r="M100" i="59"/>
  <c r="P21" i="29"/>
  <c r="Q21" i="29" s="1"/>
  <c r="Q13" i="29"/>
  <c r="P6" i="29"/>
  <c r="P7" i="29" s="1"/>
  <c r="O28" i="5"/>
  <c r="M47" i="41"/>
  <c r="M47" i="50"/>
  <c r="N43" i="53"/>
  <c r="N46" i="53" s="1"/>
  <c r="N28" i="26"/>
  <c r="I50" i="14"/>
  <c r="I51" i="14" s="1"/>
  <c r="N44" i="29"/>
  <c r="K28" i="14"/>
  <c r="L50" i="53"/>
  <c r="M47" i="5"/>
  <c r="L50" i="35"/>
  <c r="L51" i="35" s="1"/>
  <c r="P83" i="70"/>
  <c r="P141" i="70" s="1"/>
  <c r="M46" i="44"/>
  <c r="M47" i="44" s="1"/>
  <c r="N44" i="38"/>
  <c r="M43" i="8"/>
  <c r="M44" i="8" s="1"/>
  <c r="O16" i="53"/>
  <c r="O17" i="53" s="1"/>
  <c r="M44" i="76"/>
  <c r="L8" i="14"/>
  <c r="L9" i="14" s="1"/>
  <c r="N46" i="41"/>
  <c r="N47" i="41" s="1"/>
  <c r="P8" i="5"/>
  <c r="P9" i="5" s="1"/>
  <c r="P68" i="70"/>
  <c r="P126" i="70" s="1"/>
  <c r="P8" i="53"/>
  <c r="P8" i="76"/>
  <c r="J44" i="14"/>
  <c r="M50" i="26"/>
  <c r="N8" i="8"/>
  <c r="N9" i="8" s="1"/>
  <c r="O40" i="76"/>
  <c r="O40" i="53"/>
  <c r="P8" i="26"/>
  <c r="M16" i="8"/>
  <c r="M17" i="8" s="1"/>
  <c r="M28" i="8"/>
  <c r="O8" i="35"/>
  <c r="O9" i="35" s="1"/>
  <c r="N46" i="50"/>
  <c r="N47" i="50" s="1"/>
  <c r="O8" i="23"/>
  <c r="O9" i="23" s="1"/>
  <c r="P8" i="29"/>
  <c r="P9" i="29" s="1"/>
  <c r="P8" i="38"/>
  <c r="P9" i="38" s="1"/>
  <c r="P8" i="41"/>
  <c r="P9" i="41" s="1"/>
  <c r="O8" i="44"/>
  <c r="O9" i="44" s="1"/>
  <c r="N44" i="26"/>
  <c r="N43" i="44"/>
  <c r="N44" i="44" s="1"/>
  <c r="O28" i="29"/>
  <c r="M46" i="35"/>
  <c r="M47" i="35" s="1"/>
  <c r="J46" i="11"/>
  <c r="J47" i="11" s="1"/>
  <c r="N43" i="76"/>
  <c r="N44" i="76" s="1"/>
  <c r="L47" i="23"/>
  <c r="N43" i="35"/>
  <c r="N44" i="35" s="1"/>
  <c r="O43" i="38"/>
  <c r="O46" i="38" s="1"/>
  <c r="O43" i="50"/>
  <c r="O46" i="50" s="1"/>
  <c r="O43" i="26"/>
  <c r="O44" i="26" s="1"/>
  <c r="N46" i="5"/>
  <c r="N50" i="5" s="1"/>
  <c r="N51" i="5" s="1"/>
  <c r="N28" i="53"/>
  <c r="O43" i="41"/>
  <c r="O44" i="41" s="1"/>
  <c r="O6" i="35"/>
  <c r="O7" i="35" s="1"/>
  <c r="O21" i="35"/>
  <c r="O6" i="44"/>
  <c r="O7" i="44" s="1"/>
  <c r="P6" i="5"/>
  <c r="P7" i="5" s="1"/>
  <c r="P21" i="5"/>
  <c r="Q21" i="5" s="1"/>
  <c r="Q13" i="5"/>
  <c r="N28" i="76"/>
  <c r="O28" i="26"/>
  <c r="O43" i="29"/>
  <c r="O46" i="29" s="1"/>
  <c r="P21" i="50"/>
  <c r="Q21" i="50" s="1"/>
  <c r="L6" i="14"/>
  <c r="L7" i="14" s="1"/>
  <c r="L21" i="14"/>
  <c r="P6" i="38"/>
  <c r="P7" i="38" s="1"/>
  <c r="P21" i="38"/>
  <c r="Q21" i="38" s="1"/>
  <c r="M28" i="23"/>
  <c r="O21" i="8"/>
  <c r="O6" i="8"/>
  <c r="O7" i="8" s="1"/>
  <c r="O10" i="8" s="1"/>
  <c r="O6" i="23"/>
  <c r="O7" i="23" s="1"/>
  <c r="O21" i="23"/>
  <c r="P6" i="26"/>
  <c r="P21" i="26"/>
  <c r="Q21" i="26" s="1"/>
  <c r="O28" i="41"/>
  <c r="N28" i="23"/>
  <c r="O39" i="76"/>
  <c r="O39" i="53"/>
  <c r="O43" i="5"/>
  <c r="O46" i="5" s="1"/>
  <c r="K43" i="14"/>
  <c r="K44" i="14" s="1"/>
  <c r="P6" i="41"/>
  <c r="P7" i="41" s="1"/>
  <c r="P21" i="41"/>
  <c r="Q21" i="41" s="1"/>
  <c r="O18" i="38"/>
  <c r="P6" i="76"/>
  <c r="P6" i="53"/>
  <c r="M50" i="47"/>
  <c r="M51" i="47" s="1"/>
  <c r="N44" i="47"/>
  <c r="M46" i="23"/>
  <c r="M50" i="23" s="1"/>
  <c r="M51" i="23" s="1"/>
  <c r="N41" i="23"/>
  <c r="N43" i="23" s="1"/>
  <c r="N44" i="23" s="1"/>
  <c r="K28" i="11"/>
  <c r="L8" i="11"/>
  <c r="L9" i="11" s="1"/>
  <c r="K43" i="11"/>
  <c r="K44" i="11" s="1"/>
  <c r="L6" i="11"/>
  <c r="L7" i="11" s="1"/>
  <c r="L21" i="11"/>
  <c r="O43" i="47"/>
  <c r="O46" i="47" s="1"/>
  <c r="P8" i="47"/>
  <c r="P9" i="47" s="1"/>
  <c r="P6" i="47"/>
  <c r="P7" i="47" s="1"/>
  <c r="P13" i="47"/>
  <c r="I50" i="17"/>
  <c r="I51" i="17" s="1"/>
  <c r="O41" i="53"/>
  <c r="O41" i="76"/>
  <c r="M44" i="53"/>
  <c r="M46" i="53"/>
  <c r="J47" i="14"/>
  <c r="J50" i="14"/>
  <c r="J51" i="14" s="1"/>
  <c r="M47" i="76"/>
  <c r="M50" i="76"/>
  <c r="N47" i="29"/>
  <c r="N50" i="29"/>
  <c r="N51" i="29" s="1"/>
  <c r="N50" i="47"/>
  <c r="N51" i="47" s="1"/>
  <c r="N47" i="47"/>
  <c r="L47" i="76"/>
  <c r="L50" i="76"/>
  <c r="N50" i="26"/>
  <c r="N47" i="26"/>
  <c r="N50" i="38"/>
  <c r="N51" i="38" s="1"/>
  <c r="N47" i="38"/>
  <c r="M47" i="38"/>
  <c r="M50" i="38"/>
  <c r="M51" i="38" s="1"/>
  <c r="K16" i="17"/>
  <c r="K17" i="17" s="1"/>
  <c r="K28" i="17"/>
  <c r="L6" i="17"/>
  <c r="L7" i="17" s="1"/>
  <c r="L11" i="17" s="1"/>
  <c r="L21" i="17"/>
  <c r="J44" i="17"/>
  <c r="J46" i="17"/>
  <c r="L8" i="17"/>
  <c r="L9" i="17" s="1"/>
  <c r="P8" i="1"/>
  <c r="P9" i="1" s="1"/>
  <c r="P6" i="1"/>
  <c r="M47" i="1"/>
  <c r="M50" i="1"/>
  <c r="M51" i="1" s="1"/>
  <c r="O6" i="32"/>
  <c r="O7" i="32" s="1"/>
  <c r="O21" i="32"/>
  <c r="O21" i="44"/>
  <c r="Q62" i="72"/>
  <c r="Q49" i="1"/>
  <c r="Q72" i="72"/>
  <c r="Q49" i="47"/>
  <c r="P63" i="72"/>
  <c r="Q84" i="72"/>
  <c r="Q49" i="41"/>
  <c r="P69" i="72"/>
  <c r="P77" i="72"/>
  <c r="P73" i="72"/>
  <c r="Q81" i="72"/>
  <c r="Q49" i="26"/>
  <c r="Q66" i="72"/>
  <c r="Q49" i="5"/>
  <c r="M67" i="72"/>
  <c r="P76" i="72"/>
  <c r="M70" i="72"/>
  <c r="Q82" i="72"/>
  <c r="Q49" i="50"/>
  <c r="M71" i="72"/>
  <c r="Q68" i="72"/>
  <c r="Q49" i="38"/>
  <c r="P64" i="72"/>
  <c r="Q83" i="72"/>
  <c r="Q49" i="53"/>
  <c r="Q74" i="72"/>
  <c r="Q49" i="29"/>
  <c r="Q13" i="56"/>
  <c r="Q39" i="70"/>
  <c r="Q26" i="72"/>
  <c r="P39" i="41" s="1"/>
  <c r="P6" i="72"/>
  <c r="O39" i="8" s="1"/>
  <c r="O35" i="72"/>
  <c r="N40" i="8" s="1"/>
  <c r="P82" i="70"/>
  <c r="P140" i="70" s="1"/>
  <c r="P62" i="70"/>
  <c r="P125" i="72"/>
  <c r="L67" i="70"/>
  <c r="Q84" i="59"/>
  <c r="P74" i="70"/>
  <c r="P132" i="70" s="1"/>
  <c r="Q39" i="72"/>
  <c r="H23" i="36"/>
  <c r="H25" i="36" s="1"/>
  <c r="I21" i="36"/>
  <c r="Q26" i="70"/>
  <c r="Q116" i="5"/>
  <c r="R66" i="72" s="1"/>
  <c r="O73" i="70"/>
  <c r="O131" i="70" s="1"/>
  <c r="O63" i="70"/>
  <c r="M214" i="14"/>
  <c r="N13" i="59" s="1"/>
  <c r="Q115" i="41"/>
  <c r="R84" i="72" s="1"/>
  <c r="Q115" i="29"/>
  <c r="R74" i="72" s="1"/>
  <c r="Q214" i="47"/>
  <c r="R14" i="59" s="1"/>
  <c r="P115" i="20"/>
  <c r="P49" i="20" s="1"/>
  <c r="P66" i="70"/>
  <c r="P84" i="70"/>
  <c r="P142" i="70" s="1"/>
  <c r="P63" i="59"/>
  <c r="P126" i="72" s="1"/>
  <c r="O41" i="44" s="1"/>
  <c r="P5" i="70"/>
  <c r="P5" i="72"/>
  <c r="O39" i="44" s="1"/>
  <c r="Q25" i="70"/>
  <c r="Q25" i="72"/>
  <c r="Q83" i="59"/>
  <c r="M13" i="70"/>
  <c r="M13" i="72"/>
  <c r="L39" i="14" s="1"/>
  <c r="M71" i="59"/>
  <c r="M134" i="72" s="1"/>
  <c r="L41" i="14" s="1"/>
  <c r="P267" i="23"/>
  <c r="Q44" i="59" s="1"/>
  <c r="Q265" i="23"/>
  <c r="Q257" i="23"/>
  <c r="Q249" i="23"/>
  <c r="Q241" i="23"/>
  <c r="Q233" i="23"/>
  <c r="Q225" i="23"/>
  <c r="Q262" i="23"/>
  <c r="Q254" i="23"/>
  <c r="Q246" i="23"/>
  <c r="Q238" i="23"/>
  <c r="Q230" i="23"/>
  <c r="Q222" i="23"/>
  <c r="Q259" i="23"/>
  <c r="Q251" i="23"/>
  <c r="Q243" i="23"/>
  <c r="Q235" i="23"/>
  <c r="Q227" i="23"/>
  <c r="Q264" i="23"/>
  <c r="Q256" i="23"/>
  <c r="Q248" i="23"/>
  <c r="Q240" i="23"/>
  <c r="Q232" i="23"/>
  <c r="Q224" i="23"/>
  <c r="Q261" i="23"/>
  <c r="Q253" i="23"/>
  <c r="Q245" i="23"/>
  <c r="Q237" i="23"/>
  <c r="Q229" i="23"/>
  <c r="Q221" i="23"/>
  <c r="Q258" i="23"/>
  <c r="Q250" i="23"/>
  <c r="Q242" i="23"/>
  <c r="Q234" i="23"/>
  <c r="Q226" i="23"/>
  <c r="Q263" i="23"/>
  <c r="Q255" i="23"/>
  <c r="Q247" i="23"/>
  <c r="Q239" i="23"/>
  <c r="Q231" i="23"/>
  <c r="Q223" i="23"/>
  <c r="Q236" i="23"/>
  <c r="Q260" i="23"/>
  <c r="Q228" i="23"/>
  <c r="Q252" i="23"/>
  <c r="Q220" i="23"/>
  <c r="Q244" i="23"/>
  <c r="Q207" i="23"/>
  <c r="Q206" i="23"/>
  <c r="Q208" i="23"/>
  <c r="Q202" i="23"/>
  <c r="Q194" i="23"/>
  <c r="Q186" i="23"/>
  <c r="Q178" i="23"/>
  <c r="Q170" i="23"/>
  <c r="Q196" i="23"/>
  <c r="Q188" i="23"/>
  <c r="Q180" i="23"/>
  <c r="Q172" i="23"/>
  <c r="Q209" i="23"/>
  <c r="Q201" i="23"/>
  <c r="Q193" i="23"/>
  <c r="Q185" i="23"/>
  <c r="Q177" i="23"/>
  <c r="Q169" i="23"/>
  <c r="Q198" i="23"/>
  <c r="Q190" i="23"/>
  <c r="Q182" i="23"/>
  <c r="Q174" i="23"/>
  <c r="Q204" i="23"/>
  <c r="Q203" i="23"/>
  <c r="Q195" i="23"/>
  <c r="Q187" i="23"/>
  <c r="Q179" i="23"/>
  <c r="Q171" i="23"/>
  <c r="Q200" i="23"/>
  <c r="Q192" i="23"/>
  <c r="Q184" i="23"/>
  <c r="Q199" i="23"/>
  <c r="Q183" i="23"/>
  <c r="Q175" i="23"/>
  <c r="Q168" i="23"/>
  <c r="Q173" i="23"/>
  <c r="Q205" i="23"/>
  <c r="Q176" i="23"/>
  <c r="Q189" i="23"/>
  <c r="Q191" i="23"/>
  <c r="Q167" i="23"/>
  <c r="Q197" i="23"/>
  <c r="Q181" i="23"/>
  <c r="Q260" i="44"/>
  <c r="Q252" i="44"/>
  <c r="Q265" i="44"/>
  <c r="Q257" i="44"/>
  <c r="Q262" i="44"/>
  <c r="Q254" i="44"/>
  <c r="Q264" i="44"/>
  <c r="Q256" i="44"/>
  <c r="Q261" i="44"/>
  <c r="Q253" i="44"/>
  <c r="Q258" i="44"/>
  <c r="Q246" i="44"/>
  <c r="Q238" i="44"/>
  <c r="Q230" i="44"/>
  <c r="Q222" i="44"/>
  <c r="Q251" i="44"/>
  <c r="Q243" i="44"/>
  <c r="Q235" i="44"/>
  <c r="Q227" i="44"/>
  <c r="Q255" i="44"/>
  <c r="Q248" i="44"/>
  <c r="Q240" i="44"/>
  <c r="Q232" i="44"/>
  <c r="Q224" i="44"/>
  <c r="Q245" i="44"/>
  <c r="Q237" i="44"/>
  <c r="Q229" i="44"/>
  <c r="Q221" i="44"/>
  <c r="Q259" i="44"/>
  <c r="Q250" i="44"/>
  <c r="Q242" i="44"/>
  <c r="Q234" i="44"/>
  <c r="Q226" i="44"/>
  <c r="Q247" i="44"/>
  <c r="Q239" i="44"/>
  <c r="Q231" i="44"/>
  <c r="Q223" i="44"/>
  <c r="Q263" i="44"/>
  <c r="Q244" i="44"/>
  <c r="Q236" i="44"/>
  <c r="Q228" i="44"/>
  <c r="Q220" i="44"/>
  <c r="Q225" i="44"/>
  <c r="Q249" i="44"/>
  <c r="Q241" i="44"/>
  <c r="Q233" i="44"/>
  <c r="Q204" i="44"/>
  <c r="Q196" i="44"/>
  <c r="Q188" i="44"/>
  <c r="Q180" i="44"/>
  <c r="Q172" i="44"/>
  <c r="Q209" i="44"/>
  <c r="Q201" i="44"/>
  <c r="Q193" i="44"/>
  <c r="Q185" i="44"/>
  <c r="Q177" i="44"/>
  <c r="Q169" i="44"/>
  <c r="Q206" i="44"/>
  <c r="Q198" i="44"/>
  <c r="Q190" i="44"/>
  <c r="Q182" i="44"/>
  <c r="Q174" i="44"/>
  <c r="Q203" i="44"/>
  <c r="Q195" i="44"/>
  <c r="Q187" i="44"/>
  <c r="Q179" i="44"/>
  <c r="Q171" i="44"/>
  <c r="Q208" i="44"/>
  <c r="Q200" i="44"/>
  <c r="Q192" i="44"/>
  <c r="Q184" i="44"/>
  <c r="Q176" i="44"/>
  <c r="Q168" i="44"/>
  <c r="Q202" i="44"/>
  <c r="Q194" i="44"/>
  <c r="Q186" i="44"/>
  <c r="Q178" i="44"/>
  <c r="Q170" i="44"/>
  <c r="Q197" i="44"/>
  <c r="Q205" i="44"/>
  <c r="Q189" i="44"/>
  <c r="Q173" i="44"/>
  <c r="Q207" i="44"/>
  <c r="Q191" i="44"/>
  <c r="Q175" i="44"/>
  <c r="Q181" i="44"/>
  <c r="Q199" i="44"/>
  <c r="Q183" i="44"/>
  <c r="Q167" i="44"/>
  <c r="Q115" i="47"/>
  <c r="R72" i="72" s="1"/>
  <c r="P267" i="8"/>
  <c r="P11" i="72"/>
  <c r="O39" i="32" s="1"/>
  <c r="P11" i="70"/>
  <c r="Q267" i="50"/>
  <c r="R53" i="59" s="1"/>
  <c r="R293" i="59" s="1"/>
  <c r="S293" i="59" s="1"/>
  <c r="Q214" i="41"/>
  <c r="R26" i="59" s="1"/>
  <c r="Q52" i="70"/>
  <c r="Q52" i="72"/>
  <c r="P40" i="26" s="1"/>
  <c r="Q40" i="26" s="1"/>
  <c r="Q214" i="26"/>
  <c r="R23" i="59" s="1"/>
  <c r="M41" i="70"/>
  <c r="M41" i="72"/>
  <c r="L40" i="11" s="1"/>
  <c r="P214" i="35"/>
  <c r="Q19" i="59" s="1"/>
  <c r="Q317" i="59" s="1"/>
  <c r="Q214" i="29"/>
  <c r="R16" i="59" s="1"/>
  <c r="Q267" i="29"/>
  <c r="R45" i="59" s="1"/>
  <c r="Q53" i="70"/>
  <c r="Q53" i="72"/>
  <c r="P40" i="50" s="1"/>
  <c r="M115" i="11"/>
  <c r="M49" i="11" s="1"/>
  <c r="L71" i="70"/>
  <c r="Q214" i="53"/>
  <c r="R25" i="59" s="1"/>
  <c r="Q16" i="70"/>
  <c r="Q74" i="59"/>
  <c r="Q16" i="72"/>
  <c r="P39" i="29" s="1"/>
  <c r="P267" i="44"/>
  <c r="Q34" i="59" s="1"/>
  <c r="M267" i="11"/>
  <c r="N41" i="59" s="1"/>
  <c r="N281" i="59" s="1"/>
  <c r="P115" i="23"/>
  <c r="P49" i="23" s="1"/>
  <c r="Q115" i="38"/>
  <c r="R68" i="72" s="1"/>
  <c r="N264" i="14"/>
  <c r="N256" i="14"/>
  <c r="N248" i="14"/>
  <c r="N240" i="14"/>
  <c r="N232" i="14"/>
  <c r="N224" i="14"/>
  <c r="N261" i="14"/>
  <c r="N253" i="14"/>
  <c r="N258" i="14"/>
  <c r="N250" i="14"/>
  <c r="N242" i="14"/>
  <c r="N234" i="14"/>
  <c r="N226" i="14"/>
  <c r="N263" i="14"/>
  <c r="N260" i="14"/>
  <c r="N252" i="14"/>
  <c r="N244" i="14"/>
  <c r="N236" i="14"/>
  <c r="N228" i="14"/>
  <c r="N265" i="14"/>
  <c r="N257" i="14"/>
  <c r="N249" i="14"/>
  <c r="N241" i="14"/>
  <c r="N233" i="14"/>
  <c r="N225" i="14"/>
  <c r="N262" i="14"/>
  <c r="N254" i="14"/>
  <c r="N246" i="14"/>
  <c r="N238" i="14"/>
  <c r="N230" i="14"/>
  <c r="N222" i="14"/>
  <c r="N220" i="14"/>
  <c r="N239" i="14"/>
  <c r="N229" i="14"/>
  <c r="N251" i="14"/>
  <c r="N227" i="14"/>
  <c r="N247" i="14"/>
  <c r="N237" i="14"/>
  <c r="N255" i="14"/>
  <c r="N235" i="14"/>
  <c r="N245" i="14"/>
  <c r="N223" i="14"/>
  <c r="N259" i="14"/>
  <c r="N243" i="14"/>
  <c r="N231" i="14"/>
  <c r="N221" i="14"/>
  <c r="N207" i="14"/>
  <c r="N199" i="14"/>
  <c r="N191" i="14"/>
  <c r="N183" i="14"/>
  <c r="N175" i="14"/>
  <c r="N208" i="14"/>
  <c r="N200" i="14"/>
  <c r="N192" i="14"/>
  <c r="N184" i="14"/>
  <c r="N176" i="14"/>
  <c r="N198" i="14"/>
  <c r="N197" i="14"/>
  <c r="N182" i="14"/>
  <c r="N181" i="14"/>
  <c r="N167" i="14"/>
  <c r="N196" i="14"/>
  <c r="N180" i="14"/>
  <c r="N172" i="14"/>
  <c r="N169" i="14"/>
  <c r="N209" i="14"/>
  <c r="N195" i="14"/>
  <c r="N194" i="14"/>
  <c r="N193" i="14"/>
  <c r="N179" i="14"/>
  <c r="N178" i="14"/>
  <c r="N177" i="14"/>
  <c r="N206" i="14"/>
  <c r="N205" i="14"/>
  <c r="N190" i="14"/>
  <c r="N189" i="14"/>
  <c r="N174" i="14"/>
  <c r="N171" i="14"/>
  <c r="N173" i="14"/>
  <c r="N168" i="14"/>
  <c r="N203" i="14"/>
  <c r="N170" i="14"/>
  <c r="N204" i="14"/>
  <c r="N186" i="14"/>
  <c r="N188" i="14"/>
  <c r="N202" i="14"/>
  <c r="N185" i="14"/>
  <c r="N201" i="14"/>
  <c r="N187" i="14"/>
  <c r="N78" i="14"/>
  <c r="N74" i="14"/>
  <c r="N70" i="14"/>
  <c r="N77" i="14"/>
  <c r="N73" i="14"/>
  <c r="N69" i="14"/>
  <c r="N76" i="14"/>
  <c r="N72" i="14"/>
  <c r="N75" i="14"/>
  <c r="N71" i="14"/>
  <c r="P15" i="72"/>
  <c r="O39" i="23" s="1"/>
  <c r="P73" i="59"/>
  <c r="P136" i="72" s="1"/>
  <c r="P15" i="70"/>
  <c r="Q68" i="59"/>
  <c r="Q10" i="70"/>
  <c r="Q10" i="72"/>
  <c r="P39" i="38" s="1"/>
  <c r="Q23" i="70"/>
  <c r="Q23" i="72"/>
  <c r="P39" i="26" s="1"/>
  <c r="Q39" i="26" s="1"/>
  <c r="Q81" i="59"/>
  <c r="P48" i="72"/>
  <c r="O40" i="35" s="1"/>
  <c r="P48" i="70"/>
  <c r="P214" i="44"/>
  <c r="Q5" i="59" s="1"/>
  <c r="M267" i="17"/>
  <c r="N38" i="59" s="1"/>
  <c r="N278" i="59" s="1"/>
  <c r="P115" i="44"/>
  <c r="P49" i="44" s="1"/>
  <c r="P115" i="8"/>
  <c r="P49" i="8" s="1"/>
  <c r="Q214" i="50"/>
  <c r="R24" i="59" s="1"/>
  <c r="P34" i="72"/>
  <c r="O40" i="44" s="1"/>
  <c r="P34" i="70"/>
  <c r="P267" i="35"/>
  <c r="Q48" i="59" s="1"/>
  <c r="Q288" i="59" s="1"/>
  <c r="M214" i="17"/>
  <c r="N9" i="59" s="1"/>
  <c r="P77" i="59"/>
  <c r="P140" i="72" s="1"/>
  <c r="O41" i="35" s="1"/>
  <c r="P19" i="70"/>
  <c r="P19" i="72"/>
  <c r="O39" i="35" s="1"/>
  <c r="Q268" i="5"/>
  <c r="R37" i="59" s="1"/>
  <c r="Q54" i="70"/>
  <c r="Q54" i="72"/>
  <c r="Q214" i="38"/>
  <c r="R10" i="59" s="1"/>
  <c r="Q37" i="70"/>
  <c r="Q37" i="72"/>
  <c r="P40" i="5" s="1"/>
  <c r="Q55" i="72"/>
  <c r="Q55" i="70"/>
  <c r="P214" i="32"/>
  <c r="Q11" i="59" s="1"/>
  <c r="Q24" i="72"/>
  <c r="P39" i="50" s="1"/>
  <c r="Q24" i="70"/>
  <c r="Q82" i="59"/>
  <c r="M38" i="72"/>
  <c r="L40" i="17" s="1"/>
  <c r="M38" i="70"/>
  <c r="P72" i="70"/>
  <c r="P130" i="70" s="1"/>
  <c r="M214" i="11"/>
  <c r="N12" i="59" s="1"/>
  <c r="Q8" i="72"/>
  <c r="P39" i="5" s="1"/>
  <c r="Q8" i="70"/>
  <c r="Q66" i="59"/>
  <c r="P81" i="70"/>
  <c r="P139" i="70" s="1"/>
  <c r="M12" i="72"/>
  <c r="L39" i="11" s="1"/>
  <c r="M12" i="70"/>
  <c r="M70" i="59"/>
  <c r="M133" i="72" s="1"/>
  <c r="L41" i="11" s="1"/>
  <c r="P214" i="23"/>
  <c r="Q15" i="59" s="1"/>
  <c r="M115" i="14"/>
  <c r="M49" i="14" s="1"/>
  <c r="M9" i="70"/>
  <c r="M9" i="72"/>
  <c r="M67" i="59"/>
  <c r="M130" i="72" s="1"/>
  <c r="L41" i="17" s="1"/>
  <c r="M27" i="59"/>
  <c r="N258" i="11"/>
  <c r="N250" i="11"/>
  <c r="N242" i="11"/>
  <c r="N234" i="11"/>
  <c r="N226" i="11"/>
  <c r="N263" i="11"/>
  <c r="N255" i="11"/>
  <c r="N247" i="11"/>
  <c r="N239" i="11"/>
  <c r="N231" i="11"/>
  <c r="N223" i="11"/>
  <c r="N260" i="11"/>
  <c r="N252" i="11"/>
  <c r="N244" i="11"/>
  <c r="N236" i="11"/>
  <c r="N228" i="11"/>
  <c r="N220" i="11"/>
  <c r="N265" i="11"/>
  <c r="N257" i="11"/>
  <c r="N249" i="11"/>
  <c r="N241" i="11"/>
  <c r="N233" i="11"/>
  <c r="N225" i="11"/>
  <c r="N262" i="11"/>
  <c r="N254" i="11"/>
  <c r="N246" i="11"/>
  <c r="N238" i="11"/>
  <c r="N230" i="11"/>
  <c r="N222" i="11"/>
  <c r="N259" i="11"/>
  <c r="N251" i="11"/>
  <c r="N243" i="11"/>
  <c r="N235" i="11"/>
  <c r="N227" i="11"/>
  <c r="N264" i="11"/>
  <c r="N256" i="11"/>
  <c r="N248" i="11"/>
  <c r="N240" i="11"/>
  <c r="N232" i="11"/>
  <c r="N224" i="11"/>
  <c r="N245" i="11"/>
  <c r="N237" i="11"/>
  <c r="N261" i="11"/>
  <c r="N229" i="11"/>
  <c r="N253" i="11"/>
  <c r="N221" i="11"/>
  <c r="N205" i="11"/>
  <c r="N197" i="11"/>
  <c r="N189" i="11"/>
  <c r="N181" i="11"/>
  <c r="N173" i="11"/>
  <c r="N202" i="11"/>
  <c r="N194" i="11"/>
  <c r="N186" i="11"/>
  <c r="N178" i="11"/>
  <c r="N170" i="11"/>
  <c r="N207" i="11"/>
  <c r="N199" i="11"/>
  <c r="N191" i="11"/>
  <c r="N183" i="11"/>
  <c r="N175" i="11"/>
  <c r="N167" i="11"/>
  <c r="N204" i="11"/>
  <c r="N196" i="11"/>
  <c r="N188" i="11"/>
  <c r="N180" i="11"/>
  <c r="N172" i="11"/>
  <c r="N209" i="11"/>
  <c r="N201" i="11"/>
  <c r="N193" i="11"/>
  <c r="N185" i="11"/>
  <c r="N177" i="11"/>
  <c r="N169" i="11"/>
  <c r="N203" i="11"/>
  <c r="N195" i="11"/>
  <c r="N187" i="11"/>
  <c r="N179" i="11"/>
  <c r="N171" i="11"/>
  <c r="N200" i="11"/>
  <c r="N184" i="11"/>
  <c r="N168" i="11"/>
  <c r="N206" i="11"/>
  <c r="N190" i="11"/>
  <c r="N174" i="11"/>
  <c r="N208" i="11"/>
  <c r="N192" i="11"/>
  <c r="N176" i="11"/>
  <c r="N198" i="11"/>
  <c r="N182" i="11"/>
  <c r="N71" i="11"/>
  <c r="N74" i="11"/>
  <c r="N76" i="11"/>
  <c r="N73" i="11"/>
  <c r="N70" i="11"/>
  <c r="N75" i="11"/>
  <c r="N72" i="11"/>
  <c r="N77" i="11"/>
  <c r="N69" i="11"/>
  <c r="Q263" i="32"/>
  <c r="Q255" i="32"/>
  <c r="Q247" i="32"/>
  <c r="Q239" i="32"/>
  <c r="Q231" i="32"/>
  <c r="Q223" i="32"/>
  <c r="Q260" i="32"/>
  <c r="Q252" i="32"/>
  <c r="Q244" i="32"/>
  <c r="Q236" i="32"/>
  <c r="Q228" i="32"/>
  <c r="Q220" i="32"/>
  <c r="Q265" i="32"/>
  <c r="Q257" i="32"/>
  <c r="Q249" i="32"/>
  <c r="Q241" i="32"/>
  <c r="Q233" i="32"/>
  <c r="Q225" i="32"/>
  <c r="Q262" i="32"/>
  <c r="Q254" i="32"/>
  <c r="Q246" i="32"/>
  <c r="Q238" i="32"/>
  <c r="Q230" i="32"/>
  <c r="Q222" i="32"/>
  <c r="Q259" i="32"/>
  <c r="Q251" i="32"/>
  <c r="Q243" i="32"/>
  <c r="Q235" i="32"/>
  <c r="Q227" i="32"/>
  <c r="Q245" i="32"/>
  <c r="Q240" i="32"/>
  <c r="Q250" i="32"/>
  <c r="Q253" i="32"/>
  <c r="Q248" i="32"/>
  <c r="Q221" i="32"/>
  <c r="Q258" i="32"/>
  <c r="Q226" i="32"/>
  <c r="Q261" i="32"/>
  <c r="Q256" i="32"/>
  <c r="Q229" i="32"/>
  <c r="Q234" i="32"/>
  <c r="Q264" i="32"/>
  <c r="Q237" i="32"/>
  <c r="Q232" i="32"/>
  <c r="Q242" i="32"/>
  <c r="Q206" i="32"/>
  <c r="Q198" i="32"/>
  <c r="Q190" i="32"/>
  <c r="Q182" i="32"/>
  <c r="Q174" i="32"/>
  <c r="Q208" i="32"/>
  <c r="Q200" i="32"/>
  <c r="Q192" i="32"/>
  <c r="Q184" i="32"/>
  <c r="Q176" i="32"/>
  <c r="Q168" i="32"/>
  <c r="Q205" i="32"/>
  <c r="Q197" i="32"/>
  <c r="Q189" i="32"/>
  <c r="Q181" i="32"/>
  <c r="Q173" i="32"/>
  <c r="Q202" i="32"/>
  <c r="Q194" i="32"/>
  <c r="Q186" i="32"/>
  <c r="Q178" i="32"/>
  <c r="Q170" i="32"/>
  <c r="Q207" i="32"/>
  <c r="Q199" i="32"/>
  <c r="Q191" i="32"/>
  <c r="Q183" i="32"/>
  <c r="Q175" i="32"/>
  <c r="Q167" i="32"/>
  <c r="Q204" i="32"/>
  <c r="Q179" i="32"/>
  <c r="Q172" i="32"/>
  <c r="Q209" i="32"/>
  <c r="Q177" i="32"/>
  <c r="Q187" i="32"/>
  <c r="Q180" i="32"/>
  <c r="Q185" i="32"/>
  <c r="Q195" i="32"/>
  <c r="Q188" i="32"/>
  <c r="Q203" i="32"/>
  <c r="Q196" i="32"/>
  <c r="Q171" i="32"/>
  <c r="Q193" i="32"/>
  <c r="Q201" i="32"/>
  <c r="Q169" i="32"/>
  <c r="Q80" i="32"/>
  <c r="Q83" i="32"/>
  <c r="Q81" i="32"/>
  <c r="Q78" i="32"/>
  <c r="Q84" i="32"/>
  <c r="Q79" i="32"/>
  <c r="Q82" i="32"/>
  <c r="P115" i="32"/>
  <c r="P49" i="32" s="1"/>
  <c r="Q115" i="50"/>
  <c r="R82" i="72" s="1"/>
  <c r="Q267" i="26"/>
  <c r="R52" i="59" s="1"/>
  <c r="Q267" i="38"/>
  <c r="R39" i="59" s="1"/>
  <c r="R279" i="59" s="1"/>
  <c r="N259" i="17"/>
  <c r="N264" i="17"/>
  <c r="N256" i="17"/>
  <c r="N261" i="17"/>
  <c r="N258" i="17"/>
  <c r="N263" i="17"/>
  <c r="N249" i="17"/>
  <c r="N241" i="17"/>
  <c r="N233" i="17"/>
  <c r="N225" i="17"/>
  <c r="N254" i="17"/>
  <c r="N246" i="17"/>
  <c r="N238" i="17"/>
  <c r="N230" i="17"/>
  <c r="N222" i="17"/>
  <c r="N251" i="17"/>
  <c r="N243" i="17"/>
  <c r="N235" i="17"/>
  <c r="N227" i="17"/>
  <c r="N257" i="17"/>
  <c r="N248" i="17"/>
  <c r="N240" i="17"/>
  <c r="N232" i="17"/>
  <c r="N224" i="17"/>
  <c r="N262" i="17"/>
  <c r="N260" i="17"/>
  <c r="N253" i="17"/>
  <c r="N245" i="17"/>
  <c r="N237" i="17"/>
  <c r="N229" i="17"/>
  <c r="N221" i="17"/>
  <c r="N265" i="17"/>
  <c r="N250" i="17"/>
  <c r="N242" i="17"/>
  <c r="N234" i="17"/>
  <c r="N226" i="17"/>
  <c r="N255" i="17"/>
  <c r="N247" i="17"/>
  <c r="N239" i="17"/>
  <c r="N231" i="17"/>
  <c r="N223" i="17"/>
  <c r="N252" i="17"/>
  <c r="N220" i="17"/>
  <c r="N244" i="17"/>
  <c r="N236" i="17"/>
  <c r="N228" i="17"/>
  <c r="N209" i="17"/>
  <c r="N201" i="17"/>
  <c r="N193" i="17"/>
  <c r="N185" i="17"/>
  <c r="N177" i="17"/>
  <c r="N169" i="17"/>
  <c r="N203" i="17"/>
  <c r="N205" i="17"/>
  <c r="N197" i="17"/>
  <c r="N189" i="17"/>
  <c r="N181" i="17"/>
  <c r="N202" i="17"/>
  <c r="N194" i="17"/>
  <c r="N186" i="17"/>
  <c r="N178" i="17"/>
  <c r="N170" i="17"/>
  <c r="N192" i="17"/>
  <c r="N183" i="17"/>
  <c r="N182" i="17"/>
  <c r="N173" i="17"/>
  <c r="N172" i="17"/>
  <c r="N171" i="17"/>
  <c r="N168" i="17"/>
  <c r="N167" i="17"/>
  <c r="N195" i="17"/>
  <c r="N184" i="17"/>
  <c r="N206" i="17"/>
  <c r="N196" i="17"/>
  <c r="N207" i="17"/>
  <c r="N199" i="17"/>
  <c r="N198" i="17"/>
  <c r="N187" i="17"/>
  <c r="N208" i="17"/>
  <c r="N200" i="17"/>
  <c r="N191" i="17"/>
  <c r="N190" i="17"/>
  <c r="N179" i="17"/>
  <c r="N174" i="17"/>
  <c r="N176" i="17"/>
  <c r="N204" i="17"/>
  <c r="N188" i="17"/>
  <c r="N175" i="17"/>
  <c r="N180" i="17"/>
  <c r="N86" i="17"/>
  <c r="N71" i="17"/>
  <c r="N72" i="17"/>
  <c r="N73" i="17"/>
  <c r="N70" i="17"/>
  <c r="N74" i="17"/>
  <c r="N75" i="17"/>
  <c r="N76" i="17"/>
  <c r="N77" i="17"/>
  <c r="N78" i="17"/>
  <c r="N79" i="17"/>
  <c r="N80" i="17"/>
  <c r="N81" i="17"/>
  <c r="N82" i="17"/>
  <c r="N83" i="17"/>
  <c r="N84" i="17"/>
  <c r="N85" i="17"/>
  <c r="N69" i="17"/>
  <c r="N91" i="17"/>
  <c r="N87" i="17"/>
  <c r="N90" i="17"/>
  <c r="N89" i="17"/>
  <c r="N88" i="17"/>
  <c r="Q215" i="5"/>
  <c r="R8" i="59" s="1"/>
  <c r="Q45" i="70"/>
  <c r="Q45" i="72"/>
  <c r="P40" i="29" s="1"/>
  <c r="Q265" i="35"/>
  <c r="Q257" i="35"/>
  <c r="Q249" i="35"/>
  <c r="Q241" i="35"/>
  <c r="Q233" i="35"/>
  <c r="Q225" i="35"/>
  <c r="Q262" i="35"/>
  <c r="Q254" i="35"/>
  <c r="Q246" i="35"/>
  <c r="Q238" i="35"/>
  <c r="Q230" i="35"/>
  <c r="Q222" i="35"/>
  <c r="Q259" i="35"/>
  <c r="Q251" i="35"/>
  <c r="Q243" i="35"/>
  <c r="Q235" i="35"/>
  <c r="Q227" i="35"/>
  <c r="Q264" i="35"/>
  <c r="Q256" i="35"/>
  <c r="Q248" i="35"/>
  <c r="Q240" i="35"/>
  <c r="Q232" i="35"/>
  <c r="Q224" i="35"/>
  <c r="Q261" i="35"/>
  <c r="Q253" i="35"/>
  <c r="Q245" i="35"/>
  <c r="Q237" i="35"/>
  <c r="Q229" i="35"/>
  <c r="Q221" i="35"/>
  <c r="Q258" i="35"/>
  <c r="Q250" i="35"/>
  <c r="Q242" i="35"/>
  <c r="Q234" i="35"/>
  <c r="Q226" i="35"/>
  <c r="Q263" i="35"/>
  <c r="Q255" i="35"/>
  <c r="Q260" i="35"/>
  <c r="Q244" i="35"/>
  <c r="Q228" i="35"/>
  <c r="Q239" i="35"/>
  <c r="Q223" i="35"/>
  <c r="Q252" i="35"/>
  <c r="Q247" i="35"/>
  <c r="Q236" i="35"/>
  <c r="Q231" i="35"/>
  <c r="Q220" i="35"/>
  <c r="Q203" i="35"/>
  <c r="Q195" i="35"/>
  <c r="Q187" i="35"/>
  <c r="Q208" i="35"/>
  <c r="Q200" i="35"/>
  <c r="Q192" i="35"/>
  <c r="Q205" i="35"/>
  <c r="Q197" i="35"/>
  <c r="Q189" i="35"/>
  <c r="Q207" i="35"/>
  <c r="Q199" i="35"/>
  <c r="Q191" i="35"/>
  <c r="Q204" i="35"/>
  <c r="Q196" i="35"/>
  <c r="Q188" i="35"/>
  <c r="Q209" i="35"/>
  <c r="Q201" i="35"/>
  <c r="Q193" i="35"/>
  <c r="Q194" i="35"/>
  <c r="Q184" i="35"/>
  <c r="Q176" i="35"/>
  <c r="Q168" i="35"/>
  <c r="Q181" i="35"/>
  <c r="Q173" i="35"/>
  <c r="Q198" i="35"/>
  <c r="Q186" i="35"/>
  <c r="Q178" i="35"/>
  <c r="Q170" i="35"/>
  <c r="Q183" i="35"/>
  <c r="Q175" i="35"/>
  <c r="Q167" i="35"/>
  <c r="Q202" i="35"/>
  <c r="Q180" i="35"/>
  <c r="Q172" i="35"/>
  <c r="Q185" i="35"/>
  <c r="Q177" i="35"/>
  <c r="Q169" i="35"/>
  <c r="Q206" i="35"/>
  <c r="Q190" i="35"/>
  <c r="Q182" i="35"/>
  <c r="Q174" i="35"/>
  <c r="Q179" i="35"/>
  <c r="Q171" i="35"/>
  <c r="Q115" i="26"/>
  <c r="R81" i="72" s="1"/>
  <c r="P115" i="35"/>
  <c r="P49" i="35" s="1"/>
  <c r="M267" i="14"/>
  <c r="N42" i="59" s="1"/>
  <c r="N282" i="59" s="1"/>
  <c r="Q267" i="53"/>
  <c r="R54" i="59" s="1"/>
  <c r="Q267" i="41"/>
  <c r="R55" i="59" s="1"/>
  <c r="R295" i="59" s="1"/>
  <c r="Q14" i="70"/>
  <c r="Q72" i="59"/>
  <c r="Q14" i="72"/>
  <c r="P39" i="47" s="1"/>
  <c r="Q267" i="47"/>
  <c r="R43" i="59" s="1"/>
  <c r="O77" i="70"/>
  <c r="O135" i="70" s="1"/>
  <c r="P44" i="70"/>
  <c r="P44" i="72"/>
  <c r="O40" i="23" s="1"/>
  <c r="M115" i="17"/>
  <c r="M49" i="17" s="1"/>
  <c r="L70" i="70"/>
  <c r="Q43" i="70"/>
  <c r="Q43" i="72"/>
  <c r="P40" i="47" s="1"/>
  <c r="M42" i="70"/>
  <c r="M42" i="72"/>
  <c r="L40" i="14" s="1"/>
  <c r="Q115" i="1"/>
  <c r="R62" i="72" s="1"/>
  <c r="Q267" i="1"/>
  <c r="R33" i="59" s="1"/>
  <c r="R273" i="59" s="1"/>
  <c r="Q214" i="1"/>
  <c r="R4" i="59" s="1"/>
  <c r="Q4" i="72"/>
  <c r="Q62" i="59"/>
  <c r="Q4" i="70"/>
  <c r="Q33" i="72"/>
  <c r="Q33" i="70"/>
  <c r="Q115" i="53"/>
  <c r="R83" i="72" s="1"/>
  <c r="P214" i="8"/>
  <c r="Q6" i="59" s="1"/>
  <c r="Q78" i="8"/>
  <c r="Q81" i="8"/>
  <c r="Q80" i="8"/>
  <c r="Q79" i="8"/>
  <c r="Q263" i="8"/>
  <c r="Q255" i="8"/>
  <c r="Q247" i="8"/>
  <c r="Q239" i="8"/>
  <c r="Q231" i="8"/>
  <c r="Q223" i="8"/>
  <c r="Q205" i="8"/>
  <c r="Q197" i="8"/>
  <c r="Q189" i="8"/>
  <c r="Q260" i="8"/>
  <c r="Q252" i="8"/>
  <c r="Q244" i="8"/>
  <c r="Q236" i="8"/>
  <c r="Q228" i="8"/>
  <c r="Q220" i="8"/>
  <c r="Q202" i="8"/>
  <c r="Q194" i="8"/>
  <c r="Q265" i="8"/>
  <c r="Q257" i="8"/>
  <c r="Q249" i="8"/>
  <c r="Q241" i="8"/>
  <c r="Q233" i="8"/>
  <c r="Q225" i="8"/>
  <c r="Q207" i="8"/>
  <c r="Q199" i="8"/>
  <c r="Q191" i="8"/>
  <c r="Q262" i="8"/>
  <c r="Q254" i="8"/>
  <c r="Q246" i="8"/>
  <c r="Q238" i="8"/>
  <c r="Q230" i="8"/>
  <c r="Q222" i="8"/>
  <c r="Q204" i="8"/>
  <c r="Q196" i="8"/>
  <c r="Q259" i="8"/>
  <c r="Q251" i="8"/>
  <c r="Q243" i="8"/>
  <c r="Q235" i="8"/>
  <c r="Q227" i="8"/>
  <c r="Q209" i="8"/>
  <c r="Q201" i="8"/>
  <c r="Q193" i="8"/>
  <c r="Q264" i="8"/>
  <c r="Q256" i="8"/>
  <c r="Q248" i="8"/>
  <c r="Q240" i="8"/>
  <c r="Q232" i="8"/>
  <c r="Q224" i="8"/>
  <c r="Q206" i="8"/>
  <c r="Q198" i="8"/>
  <c r="Q190" i="8"/>
  <c r="Q261" i="8"/>
  <c r="Q253" i="8"/>
  <c r="Q245" i="8"/>
  <c r="Q237" i="8"/>
  <c r="Q229" i="8"/>
  <c r="Q221" i="8"/>
  <c r="Q203" i="8"/>
  <c r="Q195" i="8"/>
  <c r="Q258" i="8"/>
  <c r="Q250" i="8"/>
  <c r="Q242" i="8"/>
  <c r="Q234" i="8"/>
  <c r="Q226" i="8"/>
  <c r="Q208" i="8"/>
  <c r="Q200" i="8"/>
  <c r="Q192" i="8"/>
  <c r="Q182" i="8"/>
  <c r="Q174" i="8"/>
  <c r="Q187" i="8"/>
  <c r="Q179" i="8"/>
  <c r="Q171" i="8"/>
  <c r="Q184" i="8"/>
  <c r="Q176" i="8"/>
  <c r="Q168" i="8"/>
  <c r="Q181" i="8"/>
  <c r="Q173" i="8"/>
  <c r="Q186" i="8"/>
  <c r="Q178" i="8"/>
  <c r="Q170" i="8"/>
  <c r="Q183" i="8"/>
  <c r="Q175" i="8"/>
  <c r="Q167" i="8"/>
  <c r="Q188" i="8"/>
  <c r="Q180" i="8"/>
  <c r="Q172" i="8"/>
  <c r="Q185" i="8"/>
  <c r="Q177" i="8"/>
  <c r="Q169" i="8"/>
  <c r="Q72" i="8"/>
  <c r="Q77" i="8"/>
  <c r="Q69" i="8"/>
  <c r="Q74" i="8"/>
  <c r="Q71" i="8"/>
  <c r="Q73" i="8"/>
  <c r="Q76" i="8"/>
  <c r="Q70" i="8"/>
  <c r="Q75" i="8"/>
  <c r="P6" i="70"/>
  <c r="O35" i="70"/>
  <c r="O64" i="70" s="1"/>
  <c r="P35" i="59"/>
  <c r="O64" i="59"/>
  <c r="O127" i="72" s="1"/>
  <c r="N41" i="8" s="1"/>
  <c r="J21" i="54"/>
  <c r="I23" i="54"/>
  <c r="I25" i="54" s="1"/>
  <c r="K21" i="51"/>
  <c r="J23" i="51"/>
  <c r="J25" i="51" s="1"/>
  <c r="J21" i="48"/>
  <c r="I23" i="48"/>
  <c r="I25" i="48" s="1"/>
  <c r="K21" i="45"/>
  <c r="J23" i="45"/>
  <c r="J25" i="45" s="1"/>
  <c r="Q77" i="44"/>
  <c r="Q74" i="44"/>
  <c r="Q75" i="44"/>
  <c r="Q72" i="44"/>
  <c r="Q70" i="44"/>
  <c r="Q76" i="44"/>
  <c r="Q71" i="44"/>
  <c r="Q69" i="44"/>
  <c r="Q73" i="44"/>
  <c r="K21" i="42"/>
  <c r="J23" i="42"/>
  <c r="J25" i="42" s="1"/>
  <c r="J21" i="39"/>
  <c r="I23" i="39"/>
  <c r="I25" i="39" s="1"/>
  <c r="Q77" i="35"/>
  <c r="Q75" i="35"/>
  <c r="Q73" i="35"/>
  <c r="Q71" i="35"/>
  <c r="Q69" i="35"/>
  <c r="Q76" i="35"/>
  <c r="Q74" i="35"/>
  <c r="Q72" i="35"/>
  <c r="Q70" i="35"/>
  <c r="Q77" i="32"/>
  <c r="Q75" i="32"/>
  <c r="Q73" i="32"/>
  <c r="Q71" i="32"/>
  <c r="Q69" i="32"/>
  <c r="Q76" i="32"/>
  <c r="Q74" i="32"/>
  <c r="Q72" i="32"/>
  <c r="Q70" i="32"/>
  <c r="J21" i="33"/>
  <c r="I23" i="33"/>
  <c r="I25" i="33" s="1"/>
  <c r="J21" i="30"/>
  <c r="I23" i="30"/>
  <c r="I25" i="30" s="1"/>
  <c r="J21" i="27"/>
  <c r="I23" i="27"/>
  <c r="I25" i="27" s="1"/>
  <c r="Q77" i="23"/>
  <c r="Q75" i="23"/>
  <c r="Q73" i="23"/>
  <c r="Q71" i="23"/>
  <c r="Q69" i="23"/>
  <c r="Q76" i="23"/>
  <c r="Q74" i="23"/>
  <c r="Q72" i="23"/>
  <c r="Q70" i="23"/>
  <c r="J21" i="24"/>
  <c r="I23" i="24"/>
  <c r="I25" i="24" s="1"/>
  <c r="Q77" i="20"/>
  <c r="Q75" i="20"/>
  <c r="Q73" i="20"/>
  <c r="Q71" i="20"/>
  <c r="Q69" i="20"/>
  <c r="Q76" i="20"/>
  <c r="Q74" i="20"/>
  <c r="Q72" i="20"/>
  <c r="Q70" i="20"/>
  <c r="J21" i="21"/>
  <c r="I23" i="21"/>
  <c r="I25" i="21" s="1"/>
  <c r="F23" i="18"/>
  <c r="F25" i="18" s="1"/>
  <c r="H21" i="18"/>
  <c r="G23" i="18"/>
  <c r="G25" i="18" s="1"/>
  <c r="O16" i="5" l="1"/>
  <c r="O17" i="5" s="1"/>
  <c r="P20" i="76"/>
  <c r="Q20" i="76" s="1"/>
  <c r="P20" i="53"/>
  <c r="Q20" i="53" s="1"/>
  <c r="R323" i="59"/>
  <c r="R265" i="59"/>
  <c r="Q313" i="59"/>
  <c r="P13" i="23"/>
  <c r="Q13" i="23" s="1"/>
  <c r="P27" i="23"/>
  <c r="Q27" i="23" s="1"/>
  <c r="Q255" i="59"/>
  <c r="P20" i="23" s="1"/>
  <c r="Q20" i="23" s="1"/>
  <c r="R324" i="59"/>
  <c r="R266" i="59"/>
  <c r="N253" i="59"/>
  <c r="N311" i="59"/>
  <c r="N310" i="59"/>
  <c r="N252" i="59"/>
  <c r="Q309" i="59"/>
  <c r="Q251" i="59"/>
  <c r="R308" i="59"/>
  <c r="R250" i="59"/>
  <c r="R264" i="59"/>
  <c r="R322" i="59"/>
  <c r="S82" i="72"/>
  <c r="N307" i="59"/>
  <c r="N249" i="59"/>
  <c r="R314" i="59"/>
  <c r="R256" i="59"/>
  <c r="O14" i="44"/>
  <c r="R306" i="59"/>
  <c r="R248" i="59"/>
  <c r="S66" i="72"/>
  <c r="R321" i="59"/>
  <c r="R263" i="59"/>
  <c r="Q304" i="59"/>
  <c r="P13" i="8"/>
  <c r="P27" i="8"/>
  <c r="Q27" i="8" s="1"/>
  <c r="Q246" i="59"/>
  <c r="P20" i="8" s="1"/>
  <c r="Q20" i="8" s="1"/>
  <c r="Q303" i="59"/>
  <c r="P27" i="44"/>
  <c r="Q27" i="44" s="1"/>
  <c r="P13" i="44"/>
  <c r="Q245" i="59"/>
  <c r="P20" i="44" s="1"/>
  <c r="Q20" i="44" s="1"/>
  <c r="O14" i="23"/>
  <c r="O16" i="23" s="1"/>
  <c r="O17" i="23" s="1"/>
  <c r="N14" i="8"/>
  <c r="N18" i="8" s="1"/>
  <c r="R143" i="59"/>
  <c r="R208" i="59" s="1"/>
  <c r="R294" i="59"/>
  <c r="R134" i="59"/>
  <c r="R199" i="59" s="1"/>
  <c r="R285" i="59"/>
  <c r="Q133" i="59"/>
  <c r="Q198" i="59" s="1"/>
  <c r="Q284" i="59"/>
  <c r="P23" i="23" s="1"/>
  <c r="Q23" i="23" s="1"/>
  <c r="P22" i="23"/>
  <c r="P14" i="23" s="1"/>
  <c r="Q26" i="53"/>
  <c r="R141" i="59"/>
  <c r="R206" i="59" s="1"/>
  <c r="R292" i="59"/>
  <c r="S292" i="59" s="1"/>
  <c r="R126" i="59"/>
  <c r="R191" i="59" s="1"/>
  <c r="R277" i="59"/>
  <c r="P14" i="50"/>
  <c r="P16" i="50" s="1"/>
  <c r="P17" i="50" s="1"/>
  <c r="Q22" i="50"/>
  <c r="Q28" i="50" s="1"/>
  <c r="P26" i="5"/>
  <c r="Q26" i="5" s="1"/>
  <c r="Q22" i="5"/>
  <c r="Q28" i="5" s="1"/>
  <c r="P26" i="76"/>
  <c r="Q26" i="76" s="1"/>
  <c r="Q22" i="76"/>
  <c r="P26" i="29"/>
  <c r="Q26" i="29" s="1"/>
  <c r="Q22" i="29"/>
  <c r="Q28" i="29" s="1"/>
  <c r="P26" i="26"/>
  <c r="Q26" i="26" s="1"/>
  <c r="Q22" i="26"/>
  <c r="Q28" i="26" s="1"/>
  <c r="P26" i="38"/>
  <c r="Q26" i="38" s="1"/>
  <c r="Q22" i="38"/>
  <c r="Q28" i="38" s="1"/>
  <c r="P23" i="76"/>
  <c r="Q23" i="76" s="1"/>
  <c r="P23" i="53"/>
  <c r="Q23" i="53" s="1"/>
  <c r="P124" i="59"/>
  <c r="P189" i="59" s="1"/>
  <c r="P275" i="59"/>
  <c r="O23" i="8" s="1"/>
  <c r="O22" i="8"/>
  <c r="O26" i="8" s="1"/>
  <c r="Q123" i="59"/>
  <c r="Q188" i="59" s="1"/>
  <c r="Q274" i="59"/>
  <c r="P23" i="44" s="1"/>
  <c r="Q23" i="44" s="1"/>
  <c r="P22" i="44"/>
  <c r="P14" i="44" s="1"/>
  <c r="P14" i="53"/>
  <c r="Q14" i="53" s="1"/>
  <c r="P23" i="83"/>
  <c r="Q23" i="83" s="1"/>
  <c r="R302" i="59"/>
  <c r="R244" i="59"/>
  <c r="S244" i="59" s="1"/>
  <c r="Q13" i="1"/>
  <c r="Q8" i="83"/>
  <c r="P9" i="83"/>
  <c r="Q9" i="83" s="1"/>
  <c r="P7" i="1"/>
  <c r="Q7" i="1" s="1"/>
  <c r="Y8" i="1"/>
  <c r="P7" i="83"/>
  <c r="Q7" i="83" s="1"/>
  <c r="Q6" i="83"/>
  <c r="P14" i="83"/>
  <c r="Q14" i="83" s="1"/>
  <c r="P26" i="83"/>
  <c r="Q13" i="83"/>
  <c r="P26" i="1"/>
  <c r="Q26" i="1" s="1"/>
  <c r="P14" i="1"/>
  <c r="Q14" i="1" s="1"/>
  <c r="R312" i="59"/>
  <c r="R254" i="59"/>
  <c r="R132" i="59"/>
  <c r="R197" i="59" s="1"/>
  <c r="R283" i="59"/>
  <c r="L39" i="17"/>
  <c r="L43" i="17" s="1"/>
  <c r="L46" i="17" s="1"/>
  <c r="M27" i="72"/>
  <c r="R142" i="59"/>
  <c r="R207" i="59" s="1"/>
  <c r="O14" i="35"/>
  <c r="O16" i="35" s="1"/>
  <c r="O17" i="35" s="1"/>
  <c r="Q137" i="59"/>
  <c r="Q202" i="59" s="1"/>
  <c r="P22" i="35"/>
  <c r="P14" i="35" s="1"/>
  <c r="Q14" i="35" s="1"/>
  <c r="P23" i="35"/>
  <c r="Q23" i="35" s="1"/>
  <c r="P27" i="35"/>
  <c r="Q27" i="35" s="1"/>
  <c r="Q259" i="59"/>
  <c r="P20" i="35" s="1"/>
  <c r="P13" i="35"/>
  <c r="O28" i="35"/>
  <c r="P28" i="38"/>
  <c r="N127" i="59"/>
  <c r="N192" i="59" s="1"/>
  <c r="M23" i="17"/>
  <c r="M22" i="17"/>
  <c r="M14" i="17" s="1"/>
  <c r="L26" i="17"/>
  <c r="M20" i="17"/>
  <c r="M27" i="17"/>
  <c r="M13" i="17"/>
  <c r="R128" i="59"/>
  <c r="R193" i="59" s="1"/>
  <c r="S279" i="59"/>
  <c r="L26" i="11"/>
  <c r="M20" i="11"/>
  <c r="M27" i="11"/>
  <c r="M13" i="11"/>
  <c r="L14" i="14"/>
  <c r="L18" i="14" s="1"/>
  <c r="N130" i="59"/>
  <c r="N195" i="59" s="1"/>
  <c r="M23" i="11"/>
  <c r="M22" i="11"/>
  <c r="M26" i="11" s="1"/>
  <c r="P26" i="41"/>
  <c r="Q26" i="41" s="1"/>
  <c r="P14" i="41"/>
  <c r="P16" i="41" s="1"/>
  <c r="P17" i="41" s="1"/>
  <c r="Q22" i="41"/>
  <c r="Q28" i="41" s="1"/>
  <c r="R144" i="59"/>
  <c r="R209" i="59" s="1"/>
  <c r="S295" i="59"/>
  <c r="N131" i="59"/>
  <c r="N196" i="59" s="1"/>
  <c r="M22" i="14"/>
  <c r="M14" i="14" s="1"/>
  <c r="M18" i="14" s="1"/>
  <c r="M23" i="14"/>
  <c r="K16" i="14"/>
  <c r="K17" i="14" s="1"/>
  <c r="M27" i="14"/>
  <c r="M13" i="14"/>
  <c r="M20" i="14"/>
  <c r="P27" i="32"/>
  <c r="Q27" i="32" s="1"/>
  <c r="P13" i="32"/>
  <c r="Q13" i="32" s="1"/>
  <c r="P20" i="32"/>
  <c r="Q20" i="32" s="1"/>
  <c r="M27" i="70"/>
  <c r="M148" i="59"/>
  <c r="O29" i="83"/>
  <c r="P20" i="83"/>
  <c r="Q20" i="83" s="1"/>
  <c r="P21" i="53"/>
  <c r="Q21" i="53" s="1"/>
  <c r="P21" i="76"/>
  <c r="Q21" i="76" s="1"/>
  <c r="Q20" i="47"/>
  <c r="P28" i="47"/>
  <c r="P40" i="1"/>
  <c r="Q40" i="1" s="1"/>
  <c r="P40" i="83"/>
  <c r="Q40" i="83" s="1"/>
  <c r="P39" i="1"/>
  <c r="Q39" i="1" s="1"/>
  <c r="P39" i="83"/>
  <c r="Q39" i="83" s="1"/>
  <c r="L47" i="8"/>
  <c r="N44" i="1"/>
  <c r="S277" i="59"/>
  <c r="P21" i="83"/>
  <c r="Q21" i="83" s="1"/>
  <c r="M115" i="59"/>
  <c r="M50" i="44"/>
  <c r="M51" i="44" s="1"/>
  <c r="L47" i="83"/>
  <c r="L50" i="83"/>
  <c r="N46" i="83"/>
  <c r="N44" i="83"/>
  <c r="M47" i="83"/>
  <c r="M50" i="83"/>
  <c r="O41" i="1"/>
  <c r="O43" i="1" s="1"/>
  <c r="O44" i="1" s="1"/>
  <c r="O41" i="83"/>
  <c r="O43" i="83" s="1"/>
  <c r="P26" i="47"/>
  <c r="Q22" i="47"/>
  <c r="N97" i="59"/>
  <c r="R111" i="59"/>
  <c r="R92" i="59"/>
  <c r="R98" i="59"/>
  <c r="Q93" i="59"/>
  <c r="Q103" i="59"/>
  <c r="N100" i="59"/>
  <c r="Q94" i="59"/>
  <c r="Q99" i="59"/>
  <c r="R104" i="59"/>
  <c r="S285" i="59"/>
  <c r="S283" i="59"/>
  <c r="R112" i="59"/>
  <c r="R114" i="59"/>
  <c r="R122" i="59"/>
  <c r="R187" i="59" s="1"/>
  <c r="R113" i="59"/>
  <c r="S294" i="59"/>
  <c r="Q107" i="59"/>
  <c r="N101" i="59"/>
  <c r="N50" i="50"/>
  <c r="S306" i="59"/>
  <c r="R96" i="59"/>
  <c r="S312" i="59"/>
  <c r="R102" i="59"/>
  <c r="P16" i="29"/>
  <c r="P17" i="29" s="1"/>
  <c r="O46" i="26"/>
  <c r="O50" i="26" s="1"/>
  <c r="S84" i="72"/>
  <c r="N44" i="53"/>
  <c r="J50" i="11"/>
  <c r="J51" i="11" s="1"/>
  <c r="L28" i="14"/>
  <c r="N50" i="41"/>
  <c r="N51" i="41" s="1"/>
  <c r="N47" i="5"/>
  <c r="M46" i="8"/>
  <c r="M50" i="8" s="1"/>
  <c r="M51" i="8" s="1"/>
  <c r="K46" i="11"/>
  <c r="K50" i="11" s="1"/>
  <c r="K51" i="11" s="1"/>
  <c r="O44" i="38"/>
  <c r="O44" i="5"/>
  <c r="P28" i="50"/>
  <c r="P16" i="5"/>
  <c r="P17" i="5" s="1"/>
  <c r="O28" i="23"/>
  <c r="P28" i="29"/>
  <c r="O44" i="50"/>
  <c r="N46" i="35"/>
  <c r="N50" i="35" s="1"/>
  <c r="N51" i="35" s="1"/>
  <c r="P8" i="23"/>
  <c r="P9" i="23" s="1"/>
  <c r="Q40" i="64"/>
  <c r="P40" i="41"/>
  <c r="O8" i="8"/>
  <c r="O9" i="8" s="1"/>
  <c r="M50" i="35"/>
  <c r="M51" i="35" s="1"/>
  <c r="O44" i="29"/>
  <c r="P8" i="35"/>
  <c r="P9" i="35" s="1"/>
  <c r="Q9" i="35" s="1"/>
  <c r="P8" i="44"/>
  <c r="P9" i="44" s="1"/>
  <c r="N46" i="44"/>
  <c r="N47" i="44" s="1"/>
  <c r="N28" i="8"/>
  <c r="P9" i="53"/>
  <c r="Q9" i="53" s="1"/>
  <c r="Q8" i="53"/>
  <c r="N43" i="8"/>
  <c r="N46" i="8" s="1"/>
  <c r="P40" i="53"/>
  <c r="Q40" i="53" s="1"/>
  <c r="P40" i="76"/>
  <c r="Q40" i="76" s="1"/>
  <c r="Q8" i="26"/>
  <c r="P9" i="26"/>
  <c r="Q9" i="26" s="1"/>
  <c r="M8" i="14"/>
  <c r="M9" i="14" s="1"/>
  <c r="P40" i="38"/>
  <c r="Q40" i="38" s="1"/>
  <c r="N16" i="8"/>
  <c r="N17" i="8" s="1"/>
  <c r="P9" i="76"/>
  <c r="Q9" i="76" s="1"/>
  <c r="Q8" i="76"/>
  <c r="M47" i="23"/>
  <c r="K46" i="14"/>
  <c r="K47" i="14" s="1"/>
  <c r="N46" i="76"/>
  <c r="N47" i="76" s="1"/>
  <c r="O46" i="41"/>
  <c r="O50" i="41" s="1"/>
  <c r="O51" i="41" s="1"/>
  <c r="P28" i="5"/>
  <c r="P28" i="41"/>
  <c r="O43" i="35"/>
  <c r="O46" i="35" s="1"/>
  <c r="O43" i="44"/>
  <c r="O44" i="44" s="1"/>
  <c r="P16" i="76"/>
  <c r="Q13" i="76"/>
  <c r="S314" i="59"/>
  <c r="S16" i="59"/>
  <c r="P39" i="76"/>
  <c r="Q39" i="76" s="1"/>
  <c r="P39" i="53"/>
  <c r="Q39" i="53" s="1"/>
  <c r="P16" i="38"/>
  <c r="P17" i="38" s="1"/>
  <c r="P18" i="38"/>
  <c r="S322" i="59"/>
  <c r="S264" i="59"/>
  <c r="S324" i="59"/>
  <c r="S266" i="59"/>
  <c r="P7" i="53"/>
  <c r="Q7" i="53" s="1"/>
  <c r="Q6" i="53"/>
  <c r="S323" i="59"/>
  <c r="S265" i="59"/>
  <c r="P6" i="35"/>
  <c r="P7" i="35" s="1"/>
  <c r="Q7" i="35" s="1"/>
  <c r="P21" i="35"/>
  <c r="Q21" i="35" s="1"/>
  <c r="P16" i="26"/>
  <c r="Q13" i="26"/>
  <c r="P6" i="8"/>
  <c r="P7" i="8" s="1"/>
  <c r="P10" i="8" s="1"/>
  <c r="P21" i="8"/>
  <c r="Q21" i="8" s="1"/>
  <c r="Q13" i="8"/>
  <c r="M6" i="14"/>
  <c r="M7" i="14" s="1"/>
  <c r="M21" i="14"/>
  <c r="P7" i="76"/>
  <c r="Q7" i="76" s="1"/>
  <c r="Q6" i="76"/>
  <c r="P28" i="26"/>
  <c r="O28" i="50"/>
  <c r="L43" i="14"/>
  <c r="L46" i="14" s="1"/>
  <c r="S321" i="59"/>
  <c r="S263" i="59"/>
  <c r="P7" i="26"/>
  <c r="Q7" i="26" s="1"/>
  <c r="Q6" i="26"/>
  <c r="O28" i="76"/>
  <c r="P6" i="23"/>
  <c r="P7" i="23" s="1"/>
  <c r="P21" i="23"/>
  <c r="Q21" i="23" s="1"/>
  <c r="S308" i="59"/>
  <c r="S250" i="59"/>
  <c r="P6" i="44"/>
  <c r="P7" i="44" s="1"/>
  <c r="Q13" i="53"/>
  <c r="O28" i="53"/>
  <c r="O44" i="47"/>
  <c r="L16" i="11"/>
  <c r="L17" i="11" s="1"/>
  <c r="N46" i="23"/>
  <c r="N50" i="23" s="1"/>
  <c r="N51" i="23" s="1"/>
  <c r="O41" i="23"/>
  <c r="O43" i="23" s="1"/>
  <c r="O44" i="23" s="1"/>
  <c r="M21" i="11"/>
  <c r="M6" i="11"/>
  <c r="M7" i="11" s="1"/>
  <c r="M8" i="11"/>
  <c r="M9" i="11" s="1"/>
  <c r="L43" i="11"/>
  <c r="L46" i="11" s="1"/>
  <c r="L28" i="11"/>
  <c r="P16" i="47"/>
  <c r="P17" i="47" s="1"/>
  <c r="O50" i="29"/>
  <c r="O51" i="29" s="1"/>
  <c r="O47" i="29"/>
  <c r="O47" i="50"/>
  <c r="O50" i="50"/>
  <c r="M47" i="53"/>
  <c r="M50" i="53"/>
  <c r="O43" i="76"/>
  <c r="N47" i="53"/>
  <c r="N50" i="53"/>
  <c r="O50" i="5"/>
  <c r="O51" i="5" s="1"/>
  <c r="O47" i="5"/>
  <c r="O43" i="53"/>
  <c r="O50" i="47"/>
  <c r="O51" i="47" s="1"/>
  <c r="O47" i="47"/>
  <c r="O47" i="38"/>
  <c r="O50" i="38"/>
  <c r="O51" i="38" s="1"/>
  <c r="Q8" i="1"/>
  <c r="K44" i="17"/>
  <c r="K46" i="17"/>
  <c r="J50" i="17"/>
  <c r="J51" i="17" s="1"/>
  <c r="J47" i="17"/>
  <c r="M8" i="17"/>
  <c r="M9" i="17" s="1"/>
  <c r="M21" i="17"/>
  <c r="M6" i="17"/>
  <c r="M7" i="17" s="1"/>
  <c r="M11" i="17" s="1"/>
  <c r="L28" i="17"/>
  <c r="L16" i="17"/>
  <c r="L17" i="17" s="1"/>
  <c r="S4" i="59"/>
  <c r="N47" i="1"/>
  <c r="N50" i="1"/>
  <c r="N51" i="1" s="1"/>
  <c r="P21" i="32"/>
  <c r="Q21" i="32" s="1"/>
  <c r="P6" i="32"/>
  <c r="P7" i="32" s="1"/>
  <c r="P21" i="44"/>
  <c r="Q21" i="44" s="1"/>
  <c r="S256" i="59"/>
  <c r="S248" i="59"/>
  <c r="R14" i="70"/>
  <c r="S14" i="70" s="1"/>
  <c r="S254" i="59"/>
  <c r="N13" i="70"/>
  <c r="Q135" i="72"/>
  <c r="Q146" i="72"/>
  <c r="Q137" i="72"/>
  <c r="P41" i="29" s="1"/>
  <c r="P43" i="29" s="1"/>
  <c r="Q129" i="72"/>
  <c r="P41" i="5" s="1"/>
  <c r="P43" i="5" s="1"/>
  <c r="Q131" i="72"/>
  <c r="Q145" i="72"/>
  <c r="P41" i="50" s="1"/>
  <c r="P43" i="50" s="1"/>
  <c r="Q147" i="72"/>
  <c r="Q144" i="72"/>
  <c r="P41" i="26" s="1"/>
  <c r="Q14" i="29"/>
  <c r="Q14" i="20"/>
  <c r="Q14" i="47"/>
  <c r="Q14" i="5"/>
  <c r="Q14" i="56"/>
  <c r="Q14" i="64"/>
  <c r="Q14" i="61"/>
  <c r="Q125" i="72"/>
  <c r="S68" i="72"/>
  <c r="S72" i="72"/>
  <c r="S74" i="72"/>
  <c r="N13" i="72"/>
  <c r="M39" i="14" s="1"/>
  <c r="Q39" i="38"/>
  <c r="Q40" i="50"/>
  <c r="Q40" i="47"/>
  <c r="Q39" i="64"/>
  <c r="Q77" i="72"/>
  <c r="Q49" i="35"/>
  <c r="Q69" i="72"/>
  <c r="Q49" i="32"/>
  <c r="Q39" i="41"/>
  <c r="S81" i="72"/>
  <c r="Q41" i="20"/>
  <c r="Q63" i="72"/>
  <c r="Q49" i="44"/>
  <c r="Q76" i="72"/>
  <c r="Q49" i="20"/>
  <c r="Q64" i="72"/>
  <c r="Q49" i="8"/>
  <c r="N67" i="72"/>
  <c r="N71" i="72"/>
  <c r="Q40" i="29"/>
  <c r="Q40" i="5"/>
  <c r="Q40" i="20"/>
  <c r="Q73" i="72"/>
  <c r="Q49" i="23"/>
  <c r="N70" i="72"/>
  <c r="S83" i="72"/>
  <c r="Q40" i="56"/>
  <c r="Q40" i="61"/>
  <c r="Q16" i="56"/>
  <c r="Q68" i="70"/>
  <c r="Q126" i="70" s="1"/>
  <c r="Q16" i="61"/>
  <c r="Q8" i="56"/>
  <c r="Q9" i="56"/>
  <c r="Q7" i="56"/>
  <c r="Q6" i="56"/>
  <c r="Q8" i="61"/>
  <c r="Q9" i="61"/>
  <c r="Q6" i="61"/>
  <c r="Q7" i="61"/>
  <c r="Q9" i="5"/>
  <c r="Q8" i="5"/>
  <c r="P35" i="72"/>
  <c r="O40" i="8" s="1"/>
  <c r="Q8" i="64"/>
  <c r="Q9" i="64"/>
  <c r="Q7" i="50"/>
  <c r="Q6" i="50"/>
  <c r="Q6" i="29"/>
  <c r="Q7" i="29"/>
  <c r="Q8" i="38"/>
  <c r="Q9" i="38"/>
  <c r="Q16" i="64"/>
  <c r="Q7" i="47"/>
  <c r="Q6" i="47"/>
  <c r="Q6" i="64"/>
  <c r="Q7" i="64"/>
  <c r="Q6" i="72"/>
  <c r="P39" i="8" s="1"/>
  <c r="Q7" i="41"/>
  <c r="Q6" i="41"/>
  <c r="Q6" i="20"/>
  <c r="Q7" i="20"/>
  <c r="Q9" i="29"/>
  <c r="Q8" i="29"/>
  <c r="Q8" i="41"/>
  <c r="Q9" i="41"/>
  <c r="Q13" i="38"/>
  <c r="Q13" i="20"/>
  <c r="Q13" i="47"/>
  <c r="Q6" i="38"/>
  <c r="Q7" i="38"/>
  <c r="Q13" i="50"/>
  <c r="Q6" i="5"/>
  <c r="Q7" i="5"/>
  <c r="Q8" i="20"/>
  <c r="Q9" i="20"/>
  <c r="Q9" i="47"/>
  <c r="Q8" i="47"/>
  <c r="N71" i="59"/>
  <c r="N134" i="72" s="1"/>
  <c r="M41" i="14" s="1"/>
  <c r="Q8" i="50"/>
  <c r="Q9" i="50"/>
  <c r="Q13" i="41"/>
  <c r="P77" i="70"/>
  <c r="P135" i="70" s="1"/>
  <c r="Q6" i="1"/>
  <c r="AB8" i="1" s="1"/>
  <c r="Q9" i="1"/>
  <c r="Q84" i="70"/>
  <c r="Q142" i="70" s="1"/>
  <c r="R72" i="59"/>
  <c r="Q81" i="70"/>
  <c r="Q139" i="70" s="1"/>
  <c r="Q74" i="70"/>
  <c r="Q132" i="70" s="1"/>
  <c r="M71" i="70"/>
  <c r="Q214" i="44"/>
  <c r="R5" i="59" s="1"/>
  <c r="I23" i="36"/>
  <c r="I25" i="36" s="1"/>
  <c r="J21" i="36"/>
  <c r="Q115" i="20"/>
  <c r="R76" i="72" s="1"/>
  <c r="S14" i="59"/>
  <c r="M67" i="70"/>
  <c r="Q115" i="23"/>
  <c r="R73" i="72" s="1"/>
  <c r="S73" i="72" s="1"/>
  <c r="Q115" i="35"/>
  <c r="R77" i="72" s="1"/>
  <c r="Q82" i="70"/>
  <c r="Q140" i="70" s="1"/>
  <c r="R14" i="72"/>
  <c r="S14" i="72" s="1"/>
  <c r="Q72" i="70"/>
  <c r="Q130" i="70" s="1"/>
  <c r="Q48" i="72"/>
  <c r="P40" i="35" s="1"/>
  <c r="Q40" i="35" s="1"/>
  <c r="Q48" i="70"/>
  <c r="N267" i="14"/>
  <c r="O42" i="59" s="1"/>
  <c r="O282" i="59" s="1"/>
  <c r="Q77" i="59"/>
  <c r="Q19" i="72"/>
  <c r="P39" i="35" s="1"/>
  <c r="Q19" i="70"/>
  <c r="O264" i="17"/>
  <c r="O256" i="17"/>
  <c r="O261" i="17"/>
  <c r="O258" i="17"/>
  <c r="O263" i="17"/>
  <c r="O260" i="17"/>
  <c r="O254" i="17"/>
  <c r="O246" i="17"/>
  <c r="O238" i="17"/>
  <c r="O230" i="17"/>
  <c r="O222" i="17"/>
  <c r="O251" i="17"/>
  <c r="O243" i="17"/>
  <c r="O235" i="17"/>
  <c r="O227" i="17"/>
  <c r="O259" i="17"/>
  <c r="O257" i="17"/>
  <c r="O248" i="17"/>
  <c r="O240" i="17"/>
  <c r="O232" i="17"/>
  <c r="O224" i="17"/>
  <c r="O262" i="17"/>
  <c r="O253" i="17"/>
  <c r="O245" i="17"/>
  <c r="O237" i="17"/>
  <c r="O229" i="17"/>
  <c r="O221" i="17"/>
  <c r="O265" i="17"/>
  <c r="O250" i="17"/>
  <c r="O242" i="17"/>
  <c r="O234" i="17"/>
  <c r="O226" i="17"/>
  <c r="O255" i="17"/>
  <c r="O247" i="17"/>
  <c r="O239" i="17"/>
  <c r="O231" i="17"/>
  <c r="O223" i="17"/>
  <c r="O252" i="17"/>
  <c r="O244" i="17"/>
  <c r="O236" i="17"/>
  <c r="O228" i="17"/>
  <c r="O220" i="17"/>
  <c r="O249" i="17"/>
  <c r="O241" i="17"/>
  <c r="O233" i="17"/>
  <c r="O225" i="17"/>
  <c r="O206" i="17"/>
  <c r="O198" i="17"/>
  <c r="O190" i="17"/>
  <c r="O182" i="17"/>
  <c r="O174" i="17"/>
  <c r="O208" i="17"/>
  <c r="O200" i="17"/>
  <c r="O202" i="17"/>
  <c r="O194" i="17"/>
  <c r="O186" i="17"/>
  <c r="O178" i="17"/>
  <c r="O207" i="17"/>
  <c r="O199" i="17"/>
  <c r="O191" i="17"/>
  <c r="O183" i="17"/>
  <c r="O175" i="17"/>
  <c r="O167" i="17"/>
  <c r="O209" i="17"/>
  <c r="O201" i="17"/>
  <c r="O193" i="17"/>
  <c r="O181" i="17"/>
  <c r="O170" i="17"/>
  <c r="O169" i="17"/>
  <c r="O168" i="17"/>
  <c r="O205" i="17"/>
  <c r="O195" i="17"/>
  <c r="O184" i="17"/>
  <c r="O196" i="17"/>
  <c r="O185" i="17"/>
  <c r="O187" i="17"/>
  <c r="O203" i="17"/>
  <c r="O197" i="17"/>
  <c r="O188" i="17"/>
  <c r="O177" i="17"/>
  <c r="O176" i="17"/>
  <c r="O204" i="17"/>
  <c r="O189" i="17"/>
  <c r="O180" i="17"/>
  <c r="O192" i="17"/>
  <c r="O179" i="17"/>
  <c r="O172" i="17"/>
  <c r="O173" i="17"/>
  <c r="O171" i="17"/>
  <c r="O87" i="17"/>
  <c r="O88" i="17"/>
  <c r="O86" i="17"/>
  <c r="O71" i="17"/>
  <c r="O72" i="17"/>
  <c r="O73" i="17"/>
  <c r="O70" i="17"/>
  <c r="O74" i="17"/>
  <c r="O75" i="17"/>
  <c r="O76" i="17"/>
  <c r="O77" i="17"/>
  <c r="O78" i="17"/>
  <c r="O79" i="17"/>
  <c r="O80" i="17"/>
  <c r="O81" i="17"/>
  <c r="O82" i="17"/>
  <c r="O83" i="17"/>
  <c r="O84" i="17"/>
  <c r="O85" i="17"/>
  <c r="O69" i="17"/>
  <c r="O91" i="17"/>
  <c r="O90" i="17"/>
  <c r="O89" i="17"/>
  <c r="R65" i="17"/>
  <c r="M70" i="70"/>
  <c r="Q11" i="70"/>
  <c r="Q11" i="72"/>
  <c r="P39" i="32" s="1"/>
  <c r="N38" i="72"/>
  <c r="M40" i="17" s="1"/>
  <c r="N38" i="70"/>
  <c r="N115" i="14"/>
  <c r="N49" i="14" s="1"/>
  <c r="O261" i="14"/>
  <c r="O253" i="14"/>
  <c r="O245" i="14"/>
  <c r="O237" i="14"/>
  <c r="O229" i="14"/>
  <c r="O221" i="14"/>
  <c r="O258" i="14"/>
  <c r="O250" i="14"/>
  <c r="O263" i="14"/>
  <c r="O255" i="14"/>
  <c r="O247" i="14"/>
  <c r="O239" i="14"/>
  <c r="O231" i="14"/>
  <c r="O223" i="14"/>
  <c r="O265" i="14"/>
  <c r="O257" i="14"/>
  <c r="O249" i="14"/>
  <c r="O241" i="14"/>
  <c r="O233" i="14"/>
  <c r="O225" i="14"/>
  <c r="O262" i="14"/>
  <c r="O254" i="14"/>
  <c r="O246" i="14"/>
  <c r="O238" i="14"/>
  <c r="O230" i="14"/>
  <c r="O222" i="14"/>
  <c r="O259" i="14"/>
  <c r="O251" i="14"/>
  <c r="O243" i="14"/>
  <c r="O235" i="14"/>
  <c r="O227" i="14"/>
  <c r="O264" i="14"/>
  <c r="O236" i="14"/>
  <c r="O224" i="14"/>
  <c r="O256" i="14"/>
  <c r="O234" i="14"/>
  <c r="O244" i="14"/>
  <c r="O232" i="14"/>
  <c r="O260" i="14"/>
  <c r="O242" i="14"/>
  <c r="O240" i="14"/>
  <c r="O248" i="14"/>
  <c r="O228" i="14"/>
  <c r="O226" i="14"/>
  <c r="O220" i="14"/>
  <c r="O252" i="14"/>
  <c r="O204" i="14"/>
  <c r="O196" i="14"/>
  <c r="O188" i="14"/>
  <c r="O180" i="14"/>
  <c r="O205" i="14"/>
  <c r="O197" i="14"/>
  <c r="O189" i="14"/>
  <c r="O181" i="14"/>
  <c r="O172" i="14"/>
  <c r="O169" i="14"/>
  <c r="O209" i="14"/>
  <c r="O195" i="14"/>
  <c r="O194" i="14"/>
  <c r="O193" i="14"/>
  <c r="O179" i="14"/>
  <c r="O178" i="14"/>
  <c r="O177" i="14"/>
  <c r="O208" i="14"/>
  <c r="O207" i="14"/>
  <c r="O206" i="14"/>
  <c r="O192" i="14"/>
  <c r="O191" i="14"/>
  <c r="O190" i="14"/>
  <c r="O176" i="14"/>
  <c r="O175" i="14"/>
  <c r="O174" i="14"/>
  <c r="O171" i="14"/>
  <c r="O168" i="14"/>
  <c r="O203" i="14"/>
  <c r="O202" i="14"/>
  <c r="O201" i="14"/>
  <c r="O187" i="14"/>
  <c r="O186" i="14"/>
  <c r="O185" i="14"/>
  <c r="O170" i="14"/>
  <c r="O184" i="14"/>
  <c r="O200" i="14"/>
  <c r="O183" i="14"/>
  <c r="O199" i="14"/>
  <c r="O182" i="14"/>
  <c r="O167" i="14"/>
  <c r="O198" i="14"/>
  <c r="O173" i="14"/>
  <c r="O77" i="14"/>
  <c r="O73" i="14"/>
  <c r="O69" i="14"/>
  <c r="O78" i="14"/>
  <c r="O74" i="14"/>
  <c r="O76" i="14"/>
  <c r="O72" i="14"/>
  <c r="O70" i="14"/>
  <c r="O75" i="14"/>
  <c r="O71" i="14"/>
  <c r="R26" i="70"/>
  <c r="R26" i="72"/>
  <c r="S26" i="72" s="1"/>
  <c r="R84" i="59"/>
  <c r="S26" i="59"/>
  <c r="N214" i="17"/>
  <c r="O9" i="59" s="1"/>
  <c r="R55" i="72"/>
  <c r="S55" i="72" s="1"/>
  <c r="S55" i="59"/>
  <c r="R55" i="70"/>
  <c r="S55" i="70" s="1"/>
  <c r="N267" i="11"/>
  <c r="O41" i="59" s="1"/>
  <c r="O281" i="59" s="1"/>
  <c r="R37" i="72"/>
  <c r="S37" i="72" s="1"/>
  <c r="S37" i="59"/>
  <c r="R37" i="70"/>
  <c r="S37" i="70" s="1"/>
  <c r="R24" i="70"/>
  <c r="R24" i="72"/>
  <c r="S24" i="72" s="1"/>
  <c r="R82" i="59"/>
  <c r="S24" i="59"/>
  <c r="N214" i="14"/>
  <c r="O13" i="59" s="1"/>
  <c r="R81" i="59"/>
  <c r="S23" i="59"/>
  <c r="R23" i="70"/>
  <c r="R23" i="72"/>
  <c r="S23" i="72" s="1"/>
  <c r="Q44" i="70"/>
  <c r="Q44" i="72"/>
  <c r="P40" i="23" s="1"/>
  <c r="Q83" i="70"/>
  <c r="Q141" i="70" s="1"/>
  <c r="R10" i="70"/>
  <c r="S10" i="70" s="1"/>
  <c r="R10" i="72"/>
  <c r="S10" i="72" s="1"/>
  <c r="R68" i="59"/>
  <c r="S10" i="59"/>
  <c r="N115" i="11"/>
  <c r="N49" i="11" s="1"/>
  <c r="Q63" i="59"/>
  <c r="Q5" i="70"/>
  <c r="Q5" i="72"/>
  <c r="P39" i="44" s="1"/>
  <c r="R53" i="72"/>
  <c r="S53" i="72" s="1"/>
  <c r="S53" i="59"/>
  <c r="R53" i="70"/>
  <c r="S53" i="70" s="1"/>
  <c r="Q115" i="44"/>
  <c r="R63" i="72" s="1"/>
  <c r="R54" i="72"/>
  <c r="S54" i="72" s="1"/>
  <c r="S54" i="59"/>
  <c r="R54" i="70"/>
  <c r="S54" i="70" s="1"/>
  <c r="Q267" i="35"/>
  <c r="R48" i="59" s="1"/>
  <c r="R288" i="59" s="1"/>
  <c r="R52" i="70"/>
  <c r="R52" i="72"/>
  <c r="S52" i="72" s="1"/>
  <c r="R45" i="72"/>
  <c r="S45" i="72" s="1"/>
  <c r="S45" i="59"/>
  <c r="R45" i="70"/>
  <c r="S45" i="70" s="1"/>
  <c r="Q214" i="23"/>
  <c r="R15" i="59" s="1"/>
  <c r="N42" i="70"/>
  <c r="N71" i="70" s="1"/>
  <c r="N42" i="72"/>
  <c r="M40" i="14" s="1"/>
  <c r="Q214" i="35"/>
  <c r="R19" i="59" s="1"/>
  <c r="R8" i="70"/>
  <c r="R8" i="72"/>
  <c r="S8" i="72" s="1"/>
  <c r="R66" i="59"/>
  <c r="S8" i="59"/>
  <c r="N115" i="17"/>
  <c r="N49" i="17" s="1"/>
  <c r="N267" i="17"/>
  <c r="O38" i="59" s="1"/>
  <c r="O278" i="59" s="1"/>
  <c r="O263" i="11"/>
  <c r="O255" i="11"/>
  <c r="O247" i="11"/>
  <c r="O239" i="11"/>
  <c r="O231" i="11"/>
  <c r="O223" i="11"/>
  <c r="O260" i="11"/>
  <c r="O252" i="11"/>
  <c r="O244" i="11"/>
  <c r="O236" i="11"/>
  <c r="O228" i="11"/>
  <c r="O220" i="11"/>
  <c r="O265" i="11"/>
  <c r="O257" i="11"/>
  <c r="O249" i="11"/>
  <c r="O241" i="11"/>
  <c r="O233" i="11"/>
  <c r="O225" i="11"/>
  <c r="O262" i="11"/>
  <c r="O254" i="11"/>
  <c r="O246" i="11"/>
  <c r="O238" i="11"/>
  <c r="O230" i="11"/>
  <c r="O222" i="11"/>
  <c r="O259" i="11"/>
  <c r="O251" i="11"/>
  <c r="O243" i="11"/>
  <c r="O235" i="11"/>
  <c r="O227" i="11"/>
  <c r="O264" i="11"/>
  <c r="O256" i="11"/>
  <c r="O248" i="11"/>
  <c r="O240" i="11"/>
  <c r="O232" i="11"/>
  <c r="O224" i="11"/>
  <c r="O261" i="11"/>
  <c r="O253" i="11"/>
  <c r="O245" i="11"/>
  <c r="O237" i="11"/>
  <c r="O229" i="11"/>
  <c r="O221" i="11"/>
  <c r="O234" i="11"/>
  <c r="O258" i="11"/>
  <c r="O226" i="11"/>
  <c r="O250" i="11"/>
  <c r="O242" i="11"/>
  <c r="O202" i="11"/>
  <c r="O194" i="11"/>
  <c r="O186" i="11"/>
  <c r="O178" i="11"/>
  <c r="O170" i="11"/>
  <c r="O207" i="11"/>
  <c r="O199" i="11"/>
  <c r="O191" i="11"/>
  <c r="O183" i="11"/>
  <c r="O175" i="11"/>
  <c r="O167" i="11"/>
  <c r="O204" i="11"/>
  <c r="O196" i="11"/>
  <c r="O188" i="11"/>
  <c r="O180" i="11"/>
  <c r="O172" i="11"/>
  <c r="O209" i="11"/>
  <c r="O201" i="11"/>
  <c r="O193" i="11"/>
  <c r="O185" i="11"/>
  <c r="O177" i="11"/>
  <c r="O169" i="11"/>
  <c r="O206" i="11"/>
  <c r="O198" i="11"/>
  <c r="O190" i="11"/>
  <c r="O182" i="11"/>
  <c r="O174" i="11"/>
  <c r="O208" i="11"/>
  <c r="O200" i="11"/>
  <c r="O192" i="11"/>
  <c r="O184" i="11"/>
  <c r="O176" i="11"/>
  <c r="O168" i="11"/>
  <c r="O203" i="11"/>
  <c r="O195" i="11"/>
  <c r="O179" i="11"/>
  <c r="O197" i="11"/>
  <c r="O181" i="11"/>
  <c r="O187" i="11"/>
  <c r="O171" i="11"/>
  <c r="O205" i="11"/>
  <c r="O189" i="11"/>
  <c r="O173" i="11"/>
  <c r="O76" i="11"/>
  <c r="O73" i="11"/>
  <c r="O70" i="11"/>
  <c r="O75" i="11"/>
  <c r="O72" i="11"/>
  <c r="O77" i="11"/>
  <c r="O69" i="11"/>
  <c r="O71" i="11"/>
  <c r="O74" i="11"/>
  <c r="N41" i="70"/>
  <c r="N41" i="72"/>
  <c r="M40" i="11" s="1"/>
  <c r="R16" i="70"/>
  <c r="R16" i="72"/>
  <c r="S16" i="72" s="1"/>
  <c r="R74" i="59"/>
  <c r="P63" i="70"/>
  <c r="Q267" i="8"/>
  <c r="N214" i="11"/>
  <c r="O12" i="59" s="1"/>
  <c r="P73" i="70"/>
  <c r="P131" i="70" s="1"/>
  <c r="Q267" i="23"/>
  <c r="R44" i="59" s="1"/>
  <c r="R39" i="70"/>
  <c r="R39" i="72"/>
  <c r="S39" i="72" s="1"/>
  <c r="Q115" i="32"/>
  <c r="R69" i="72" s="1"/>
  <c r="R43" i="72"/>
  <c r="S43" i="72" s="1"/>
  <c r="S43" i="59"/>
  <c r="R43" i="70"/>
  <c r="S43" i="70" s="1"/>
  <c r="Q214" i="32"/>
  <c r="R11" i="59" s="1"/>
  <c r="Q15" i="70"/>
  <c r="Q15" i="72"/>
  <c r="Q73" i="59"/>
  <c r="N12" i="70"/>
  <c r="N12" i="72"/>
  <c r="M39" i="11" s="1"/>
  <c r="N70" i="59"/>
  <c r="N133" i="72" s="1"/>
  <c r="M41" i="11" s="1"/>
  <c r="Q66" i="70"/>
  <c r="N9" i="70"/>
  <c r="N9" i="72"/>
  <c r="N67" i="59"/>
  <c r="N130" i="72" s="1"/>
  <c r="M41" i="17" s="1"/>
  <c r="N27" i="59"/>
  <c r="Q34" i="72"/>
  <c r="Q34" i="70"/>
  <c r="R83" i="59"/>
  <c r="S25" i="59"/>
  <c r="R25" i="70"/>
  <c r="R25" i="72"/>
  <c r="S25" i="72" s="1"/>
  <c r="Q267" i="44"/>
  <c r="R34" i="59" s="1"/>
  <c r="Q62" i="70"/>
  <c r="R4" i="72"/>
  <c r="R62" i="59"/>
  <c r="R4" i="70"/>
  <c r="S33" i="59"/>
  <c r="R33" i="70"/>
  <c r="S33" i="70" s="1"/>
  <c r="R33" i="72"/>
  <c r="S33" i="72" s="1"/>
  <c r="Q115" i="8"/>
  <c r="R64" i="72" s="1"/>
  <c r="S64" i="72" s="1"/>
  <c r="P64" i="59"/>
  <c r="P127" i="72" s="1"/>
  <c r="O41" i="8" s="1"/>
  <c r="Q35" i="59"/>
  <c r="P35" i="70"/>
  <c r="P64" i="70" s="1"/>
  <c r="Q214" i="8"/>
  <c r="R6" i="59" s="1"/>
  <c r="Q6" i="70"/>
  <c r="K21" i="54"/>
  <c r="J23" i="54"/>
  <c r="J25" i="54" s="1"/>
  <c r="L21" i="51"/>
  <c r="K23" i="51"/>
  <c r="K25" i="51" s="1"/>
  <c r="K21" i="48"/>
  <c r="J23" i="48"/>
  <c r="J25" i="48" s="1"/>
  <c r="L21" i="45"/>
  <c r="K23" i="45"/>
  <c r="K25" i="45" s="1"/>
  <c r="L21" i="42"/>
  <c r="K23" i="42"/>
  <c r="K25" i="42" s="1"/>
  <c r="K21" i="39"/>
  <c r="J23" i="39"/>
  <c r="J25" i="39" s="1"/>
  <c r="K21" i="33"/>
  <c r="J23" i="33"/>
  <c r="J25" i="33" s="1"/>
  <c r="K21" i="30"/>
  <c r="J23" i="30"/>
  <c r="J25" i="30" s="1"/>
  <c r="K21" i="27"/>
  <c r="J23" i="27"/>
  <c r="J25" i="27" s="1"/>
  <c r="K21" i="24"/>
  <c r="J23" i="24"/>
  <c r="J25" i="24" s="1"/>
  <c r="K21" i="21"/>
  <c r="J23" i="21"/>
  <c r="J25" i="21" s="1"/>
  <c r="I21" i="18"/>
  <c r="H23" i="18"/>
  <c r="H25" i="18" s="1"/>
  <c r="Q14" i="50" l="1"/>
  <c r="R313" i="59"/>
  <c r="R255" i="59"/>
  <c r="O253" i="59"/>
  <c r="O311" i="59"/>
  <c r="O310" i="59"/>
  <c r="O252" i="59"/>
  <c r="Q28" i="76"/>
  <c r="O14" i="8"/>
  <c r="O18" i="8" s="1"/>
  <c r="R309" i="59"/>
  <c r="R251" i="59"/>
  <c r="P16" i="53"/>
  <c r="P17" i="53" s="1"/>
  <c r="Q28" i="53"/>
  <c r="O307" i="59"/>
  <c r="O249" i="59"/>
  <c r="R259" i="59"/>
  <c r="R317" i="59"/>
  <c r="R304" i="59"/>
  <c r="R246" i="59"/>
  <c r="R303" i="59"/>
  <c r="R245" i="59"/>
  <c r="Q124" i="59"/>
  <c r="Q189" i="59" s="1"/>
  <c r="Q275" i="59"/>
  <c r="P23" i="8" s="1"/>
  <c r="Q23" i="8" s="1"/>
  <c r="P22" i="8"/>
  <c r="P14" i="8" s="1"/>
  <c r="P18" i="8" s="1"/>
  <c r="P26" i="23"/>
  <c r="Q26" i="23" s="1"/>
  <c r="Q22" i="23"/>
  <c r="Q28" i="23" s="1"/>
  <c r="R123" i="59"/>
  <c r="R188" i="59" s="1"/>
  <c r="R274" i="59"/>
  <c r="R133" i="59"/>
  <c r="R198" i="59" s="1"/>
  <c r="R284" i="59"/>
  <c r="P26" i="44"/>
  <c r="Q26" i="44" s="1"/>
  <c r="Q22" i="44"/>
  <c r="Q28" i="44" s="1"/>
  <c r="S187" i="59"/>
  <c r="P16" i="1"/>
  <c r="P28" i="83"/>
  <c r="Q26" i="83"/>
  <c r="P16" i="83"/>
  <c r="S4" i="72"/>
  <c r="M39" i="17"/>
  <c r="M43" i="17" s="1"/>
  <c r="N27" i="72"/>
  <c r="N28" i="72" s="1"/>
  <c r="P28" i="35"/>
  <c r="R137" i="59"/>
  <c r="R202" i="59" s="1"/>
  <c r="P26" i="35"/>
  <c r="Q26" i="35" s="1"/>
  <c r="Q22" i="35"/>
  <c r="Q20" i="35"/>
  <c r="M26" i="17"/>
  <c r="O127" i="59"/>
  <c r="O192" i="59" s="1"/>
  <c r="N22" i="17"/>
  <c r="N26" i="17" s="1"/>
  <c r="N23" i="17"/>
  <c r="N20" i="17"/>
  <c r="N27" i="17"/>
  <c r="N13" i="17"/>
  <c r="Q14" i="41"/>
  <c r="L16" i="14"/>
  <c r="L17" i="14" s="1"/>
  <c r="M14" i="11"/>
  <c r="M16" i="11" s="1"/>
  <c r="M17" i="11" s="1"/>
  <c r="N27" i="11"/>
  <c r="N20" i="11"/>
  <c r="N13" i="11"/>
  <c r="O130" i="59"/>
  <c r="O195" i="59" s="1"/>
  <c r="N22" i="11"/>
  <c r="N26" i="11" s="1"/>
  <c r="N23" i="11"/>
  <c r="O131" i="59"/>
  <c r="O196" i="59" s="1"/>
  <c r="N22" i="14"/>
  <c r="N26" i="14" s="1"/>
  <c r="N23" i="14"/>
  <c r="M26" i="14"/>
  <c r="N13" i="14"/>
  <c r="N27" i="14"/>
  <c r="N20" i="14"/>
  <c r="N27" i="70"/>
  <c r="N148" i="59"/>
  <c r="P28" i="1"/>
  <c r="Q20" i="1"/>
  <c r="Q28" i="1" s="1"/>
  <c r="Q28" i="47"/>
  <c r="N115" i="59"/>
  <c r="O46" i="1"/>
  <c r="O50" i="1" s="1"/>
  <c r="O51" i="1" s="1"/>
  <c r="Q28" i="83"/>
  <c r="P29" i="83"/>
  <c r="Q26" i="47"/>
  <c r="P41" i="1"/>
  <c r="P43" i="1" s="1"/>
  <c r="P46" i="1" s="1"/>
  <c r="P41" i="83"/>
  <c r="N47" i="83"/>
  <c r="N50" i="83"/>
  <c r="O44" i="83"/>
  <c r="O46" i="83"/>
  <c r="O47" i="26"/>
  <c r="R99" i="59"/>
  <c r="R107" i="59"/>
  <c r="S288" i="59"/>
  <c r="S273" i="59"/>
  <c r="R103" i="59"/>
  <c r="S284" i="59"/>
  <c r="O97" i="59"/>
  <c r="S274" i="59"/>
  <c r="O100" i="59"/>
  <c r="O101" i="59"/>
  <c r="K47" i="11"/>
  <c r="S304" i="59"/>
  <c r="R94" i="59"/>
  <c r="S303" i="59"/>
  <c r="R93" i="59"/>
  <c r="P16" i="35"/>
  <c r="P17" i="35" s="1"/>
  <c r="Q6" i="35"/>
  <c r="M47" i="8"/>
  <c r="N50" i="76"/>
  <c r="N47" i="35"/>
  <c r="O47" i="41"/>
  <c r="N47" i="23"/>
  <c r="K50" i="14"/>
  <c r="K51" i="14" s="1"/>
  <c r="O46" i="23"/>
  <c r="O47" i="23" s="1"/>
  <c r="N44" i="8"/>
  <c r="P28" i="23"/>
  <c r="Q16" i="5"/>
  <c r="M16" i="14"/>
  <c r="M17" i="14" s="1"/>
  <c r="Q13" i="35"/>
  <c r="N50" i="44"/>
  <c r="N51" i="44" s="1"/>
  <c r="Q8" i="35"/>
  <c r="M28" i="14"/>
  <c r="P16" i="23"/>
  <c r="P17" i="23" s="1"/>
  <c r="O46" i="44"/>
  <c r="O47" i="44" s="1"/>
  <c r="O28" i="8"/>
  <c r="N8" i="14"/>
  <c r="N9" i="14" s="1"/>
  <c r="P8" i="8"/>
  <c r="P9" i="8" s="1"/>
  <c r="P40" i="44"/>
  <c r="Q40" i="44" s="1"/>
  <c r="O43" i="8"/>
  <c r="O46" i="8" s="1"/>
  <c r="M43" i="14"/>
  <c r="M44" i="14" s="1"/>
  <c r="O44" i="35"/>
  <c r="L44" i="14"/>
  <c r="P28" i="53"/>
  <c r="N6" i="14"/>
  <c r="N7" i="14" s="1"/>
  <c r="N21" i="14"/>
  <c r="P39" i="23"/>
  <c r="Q39" i="23" s="1"/>
  <c r="S313" i="59"/>
  <c r="S255" i="59"/>
  <c r="S317" i="59"/>
  <c r="S259" i="59"/>
  <c r="P17" i="26"/>
  <c r="Q16" i="26"/>
  <c r="P28" i="76"/>
  <c r="P17" i="76"/>
  <c r="Q16" i="76"/>
  <c r="L44" i="11"/>
  <c r="M28" i="11"/>
  <c r="N6" i="11"/>
  <c r="N7" i="11" s="1"/>
  <c r="N21" i="11"/>
  <c r="N8" i="11"/>
  <c r="N9" i="11" s="1"/>
  <c r="M43" i="11"/>
  <c r="M46" i="11" s="1"/>
  <c r="Q41" i="29"/>
  <c r="Q41" i="5"/>
  <c r="P41" i="38"/>
  <c r="P43" i="38" s="1"/>
  <c r="Q41" i="50"/>
  <c r="P41" i="47"/>
  <c r="P43" i="47" s="1"/>
  <c r="L47" i="11"/>
  <c r="L50" i="11"/>
  <c r="L51" i="11" s="1"/>
  <c r="P43" i="26"/>
  <c r="Q41" i="26"/>
  <c r="Q43" i="26" s="1"/>
  <c r="Q44" i="26" s="1"/>
  <c r="P46" i="5"/>
  <c r="P44" i="5"/>
  <c r="N50" i="8"/>
  <c r="N51" i="8" s="1"/>
  <c r="N47" i="8"/>
  <c r="L50" i="14"/>
  <c r="L51" i="14" s="1"/>
  <c r="L47" i="14"/>
  <c r="Q41" i="64"/>
  <c r="Q43" i="64" s="1"/>
  <c r="Q44" i="64" s="1"/>
  <c r="P41" i="41"/>
  <c r="P43" i="41" s="1"/>
  <c r="P46" i="29"/>
  <c r="P44" i="29"/>
  <c r="L44" i="17"/>
  <c r="O44" i="76"/>
  <c r="O46" i="76"/>
  <c r="P44" i="50"/>
  <c r="P46" i="50"/>
  <c r="P41" i="76"/>
  <c r="P41" i="53"/>
  <c r="O46" i="53"/>
  <c r="O44" i="53"/>
  <c r="O50" i="35"/>
  <c r="O51" i="35" s="1"/>
  <c r="O47" i="35"/>
  <c r="N6" i="17"/>
  <c r="N7" i="17" s="1"/>
  <c r="N11" i="17" s="1"/>
  <c r="N21" i="17"/>
  <c r="M28" i="17"/>
  <c r="L50" i="17"/>
  <c r="L51" i="17" s="1"/>
  <c r="L47" i="17"/>
  <c r="N8" i="17"/>
  <c r="N9" i="17" s="1"/>
  <c r="M16" i="17"/>
  <c r="M17" i="17" s="1"/>
  <c r="K50" i="17"/>
  <c r="K51" i="17" s="1"/>
  <c r="K47" i="17"/>
  <c r="S309" i="59"/>
  <c r="S251" i="59"/>
  <c r="S197" i="59"/>
  <c r="R5" i="70"/>
  <c r="S5" i="70" s="1"/>
  <c r="S245" i="59"/>
  <c r="R6" i="72"/>
  <c r="R147" i="72"/>
  <c r="S147" i="72" s="1"/>
  <c r="S209" i="59"/>
  <c r="Q126" i="72"/>
  <c r="R145" i="72"/>
  <c r="S145" i="72" s="1"/>
  <c r="S207" i="59"/>
  <c r="Q140" i="72"/>
  <c r="P41" i="35" s="1"/>
  <c r="Q136" i="72"/>
  <c r="R146" i="72"/>
  <c r="S146" i="72" s="1"/>
  <c r="S208" i="59"/>
  <c r="R131" i="72"/>
  <c r="S131" i="72" s="1"/>
  <c r="S193" i="59"/>
  <c r="R137" i="72"/>
  <c r="S137" i="72" s="1"/>
  <c r="S199" i="59"/>
  <c r="R129" i="72"/>
  <c r="S129" i="72" s="1"/>
  <c r="S191" i="59"/>
  <c r="R144" i="72"/>
  <c r="S144" i="72" s="1"/>
  <c r="S206" i="59"/>
  <c r="Q14" i="23"/>
  <c r="R125" i="72"/>
  <c r="S125" i="72" s="1"/>
  <c r="S77" i="72"/>
  <c r="S69" i="72"/>
  <c r="Q16" i="29"/>
  <c r="Q41" i="56"/>
  <c r="S76" i="72"/>
  <c r="Q39" i="35"/>
  <c r="S63" i="72"/>
  <c r="Q39" i="29"/>
  <c r="Q39" i="20"/>
  <c r="Q43" i="20" s="1"/>
  <c r="Q44" i="20" s="1"/>
  <c r="O67" i="72"/>
  <c r="Q40" i="41"/>
  <c r="O71" i="72"/>
  <c r="Q39" i="44"/>
  <c r="Q39" i="8"/>
  <c r="O70" i="72"/>
  <c r="Q39" i="50"/>
  <c r="Q40" i="23"/>
  <c r="Q39" i="5"/>
  <c r="Q39" i="47"/>
  <c r="Q39" i="61"/>
  <c r="Q39" i="56"/>
  <c r="Q7" i="32"/>
  <c r="Q6" i="32"/>
  <c r="Q16" i="50"/>
  <c r="Q8" i="44"/>
  <c r="Q9" i="44"/>
  <c r="Q16" i="41"/>
  <c r="Q13" i="44"/>
  <c r="Q6" i="8"/>
  <c r="Q7" i="8"/>
  <c r="Q35" i="72"/>
  <c r="Q6" i="44"/>
  <c r="Q7" i="44"/>
  <c r="Q6" i="23"/>
  <c r="Q7" i="23"/>
  <c r="Q16" i="20"/>
  <c r="Q16" i="38"/>
  <c r="Q16" i="47"/>
  <c r="Q9" i="23"/>
  <c r="Q8" i="23"/>
  <c r="R135" i="72"/>
  <c r="S135" i="72" s="1"/>
  <c r="S72" i="59"/>
  <c r="R68" i="70"/>
  <c r="S5" i="59"/>
  <c r="R5" i="72"/>
  <c r="S5" i="72" s="1"/>
  <c r="K21" i="36"/>
  <c r="J23" i="36"/>
  <c r="J25" i="36" s="1"/>
  <c r="Q63" i="70"/>
  <c r="Q73" i="70"/>
  <c r="Q131" i="70" s="1"/>
  <c r="N67" i="70"/>
  <c r="R72" i="70"/>
  <c r="O115" i="17"/>
  <c r="O49" i="17" s="1"/>
  <c r="Q77" i="70"/>
  <c r="Q135" i="70" s="1"/>
  <c r="S16" i="70"/>
  <c r="R74" i="70"/>
  <c r="O38" i="70"/>
  <c r="O38" i="72"/>
  <c r="N40" i="17" s="1"/>
  <c r="S82" i="59"/>
  <c r="O41" i="72"/>
  <c r="N40" i="11" s="1"/>
  <c r="O41" i="70"/>
  <c r="S84" i="59"/>
  <c r="R44" i="72"/>
  <c r="S44" i="72" s="1"/>
  <c r="S44" i="59"/>
  <c r="R44" i="70"/>
  <c r="S44" i="70" s="1"/>
  <c r="O12" i="70"/>
  <c r="O12" i="72"/>
  <c r="N39" i="11" s="1"/>
  <c r="O70" i="59"/>
  <c r="O133" i="72" s="1"/>
  <c r="N41" i="11" s="1"/>
  <c r="O267" i="11"/>
  <c r="P41" i="59" s="1"/>
  <c r="P281" i="59" s="1"/>
  <c r="S24" i="70"/>
  <c r="R82" i="70"/>
  <c r="S26" i="70"/>
  <c r="R84" i="70"/>
  <c r="P258" i="14"/>
  <c r="P250" i="14"/>
  <c r="P242" i="14"/>
  <c r="P234" i="14"/>
  <c r="P226" i="14"/>
  <c r="P263" i="14"/>
  <c r="P255" i="14"/>
  <c r="P260" i="14"/>
  <c r="P252" i="14"/>
  <c r="P244" i="14"/>
  <c r="P236" i="14"/>
  <c r="P228" i="14"/>
  <c r="P265" i="14"/>
  <c r="P262" i="14"/>
  <c r="P254" i="14"/>
  <c r="P246" i="14"/>
  <c r="P238" i="14"/>
  <c r="P230" i="14"/>
  <c r="P222" i="14"/>
  <c r="P259" i="14"/>
  <c r="P251" i="14"/>
  <c r="P243" i="14"/>
  <c r="P235" i="14"/>
  <c r="P227" i="14"/>
  <c r="P264" i="14"/>
  <c r="P256" i="14"/>
  <c r="P248" i="14"/>
  <c r="P240" i="14"/>
  <c r="P232" i="14"/>
  <c r="P224" i="14"/>
  <c r="P239" i="14"/>
  <c r="P229" i="14"/>
  <c r="P249" i="14"/>
  <c r="P247" i="14"/>
  <c r="P237" i="14"/>
  <c r="P253" i="14"/>
  <c r="P225" i="14"/>
  <c r="P245" i="14"/>
  <c r="P223" i="14"/>
  <c r="P257" i="14"/>
  <c r="P233" i="14"/>
  <c r="P231" i="14"/>
  <c r="P221" i="14"/>
  <c r="P220" i="14"/>
  <c r="P241" i="14"/>
  <c r="P261" i="14"/>
  <c r="P209" i="14"/>
  <c r="P201" i="14"/>
  <c r="P193" i="14"/>
  <c r="P185" i="14"/>
  <c r="P177" i="14"/>
  <c r="P202" i="14"/>
  <c r="P194" i="14"/>
  <c r="P186" i="14"/>
  <c r="P178" i="14"/>
  <c r="P196" i="14"/>
  <c r="P180" i="14"/>
  <c r="P169" i="14"/>
  <c r="P195" i="14"/>
  <c r="P179" i="14"/>
  <c r="P208" i="14"/>
  <c r="P207" i="14"/>
  <c r="P206" i="14"/>
  <c r="P192" i="14"/>
  <c r="P191" i="14"/>
  <c r="P190" i="14"/>
  <c r="P176" i="14"/>
  <c r="P175" i="14"/>
  <c r="P174" i="14"/>
  <c r="P171" i="14"/>
  <c r="P205" i="14"/>
  <c r="P189" i="14"/>
  <c r="P168" i="14"/>
  <c r="P204" i="14"/>
  <c r="P188" i="14"/>
  <c r="P173" i="14"/>
  <c r="P200" i="14"/>
  <c r="P199" i="14"/>
  <c r="P198" i="14"/>
  <c r="P184" i="14"/>
  <c r="P183" i="14"/>
  <c r="P182" i="14"/>
  <c r="P167" i="14"/>
  <c r="P203" i="14"/>
  <c r="P197" i="14"/>
  <c r="P170" i="14"/>
  <c r="P172" i="14"/>
  <c r="P187" i="14"/>
  <c r="P181" i="14"/>
  <c r="P77" i="14"/>
  <c r="P73" i="14"/>
  <c r="P69" i="14"/>
  <c r="P76" i="14"/>
  <c r="P72" i="14"/>
  <c r="P75" i="14"/>
  <c r="P71" i="14"/>
  <c r="P78" i="14"/>
  <c r="P74" i="14"/>
  <c r="P70" i="14"/>
  <c r="O214" i="14"/>
  <c r="P13" i="59" s="1"/>
  <c r="P261" i="17"/>
  <c r="P258" i="17"/>
  <c r="P263" i="17"/>
  <c r="P260" i="17"/>
  <c r="P265" i="17"/>
  <c r="P257" i="17"/>
  <c r="P251" i="17"/>
  <c r="P243" i="17"/>
  <c r="P235" i="17"/>
  <c r="P227" i="17"/>
  <c r="P264" i="17"/>
  <c r="P259" i="17"/>
  <c r="P248" i="17"/>
  <c r="P240" i="17"/>
  <c r="P232" i="17"/>
  <c r="P224" i="17"/>
  <c r="P262" i="17"/>
  <c r="P253" i="17"/>
  <c r="P245" i="17"/>
  <c r="P237" i="17"/>
  <c r="P229" i="17"/>
  <c r="P221" i="17"/>
  <c r="P250" i="17"/>
  <c r="P242" i="17"/>
  <c r="P234" i="17"/>
  <c r="P226" i="17"/>
  <c r="P255" i="17"/>
  <c r="P247" i="17"/>
  <c r="P239" i="17"/>
  <c r="P231" i="17"/>
  <c r="P223" i="17"/>
  <c r="P252" i="17"/>
  <c r="P244" i="17"/>
  <c r="P236" i="17"/>
  <c r="P228" i="17"/>
  <c r="P220" i="17"/>
  <c r="P249" i="17"/>
  <c r="P241" i="17"/>
  <c r="P233" i="17"/>
  <c r="P225" i="17"/>
  <c r="P256" i="17"/>
  <c r="P238" i="17"/>
  <c r="P230" i="17"/>
  <c r="P254" i="17"/>
  <c r="P222" i="17"/>
  <c r="P246" i="17"/>
  <c r="P203" i="17"/>
  <c r="P195" i="17"/>
  <c r="P187" i="17"/>
  <c r="P179" i="17"/>
  <c r="P171" i="17"/>
  <c r="P205" i="17"/>
  <c r="P207" i="17"/>
  <c r="P199" i="17"/>
  <c r="P191" i="17"/>
  <c r="P183" i="17"/>
  <c r="P204" i="17"/>
  <c r="P196" i="17"/>
  <c r="P188" i="17"/>
  <c r="P180" i="17"/>
  <c r="P172" i="17"/>
  <c r="P194" i="17"/>
  <c r="P184" i="17"/>
  <c r="P167" i="17"/>
  <c r="P202" i="17"/>
  <c r="P185" i="17"/>
  <c r="P206" i="17"/>
  <c r="P186" i="17"/>
  <c r="P198" i="17"/>
  <c r="P197" i="17"/>
  <c r="P177" i="17"/>
  <c r="P176" i="17"/>
  <c r="P178" i="17"/>
  <c r="P175" i="17"/>
  <c r="P192" i="17"/>
  <c r="P173" i="17"/>
  <c r="P189" i="17"/>
  <c r="P208" i="17"/>
  <c r="P201" i="17"/>
  <c r="P170" i="17"/>
  <c r="P182" i="17"/>
  <c r="P200" i="17"/>
  <c r="P190" i="17"/>
  <c r="P181" i="17"/>
  <c r="P169" i="17"/>
  <c r="P193" i="17"/>
  <c r="P209" i="17"/>
  <c r="P174" i="17"/>
  <c r="P168" i="17"/>
  <c r="P72" i="17"/>
  <c r="P80" i="17"/>
  <c r="P88" i="17"/>
  <c r="P79" i="17"/>
  <c r="P73" i="17"/>
  <c r="P81" i="17"/>
  <c r="P89" i="17"/>
  <c r="P74" i="17"/>
  <c r="P82" i="17"/>
  <c r="P90" i="17"/>
  <c r="P75" i="17"/>
  <c r="P83" i="17"/>
  <c r="P91" i="17"/>
  <c r="P71" i="17"/>
  <c r="P76" i="17"/>
  <c r="P84" i="17"/>
  <c r="P87" i="17"/>
  <c r="P69" i="17"/>
  <c r="P77" i="17"/>
  <c r="P85" i="17"/>
  <c r="P70" i="17"/>
  <c r="P78" i="17"/>
  <c r="P86" i="17"/>
  <c r="O267" i="17"/>
  <c r="P38" i="59" s="1"/>
  <c r="P278" i="59" s="1"/>
  <c r="S66" i="59"/>
  <c r="S68" i="59"/>
  <c r="R81" i="70"/>
  <c r="S23" i="70"/>
  <c r="R11" i="70"/>
  <c r="R11" i="72"/>
  <c r="S11" i="72" s="1"/>
  <c r="S11" i="59"/>
  <c r="S15" i="59"/>
  <c r="R73" i="59"/>
  <c r="R15" i="72"/>
  <c r="S15" i="72" s="1"/>
  <c r="R15" i="70"/>
  <c r="O267" i="14"/>
  <c r="P42" i="59" s="1"/>
  <c r="P282" i="59" s="1"/>
  <c r="O42" i="70"/>
  <c r="O42" i="72"/>
  <c r="N40" i="14" s="1"/>
  <c r="P260" i="11"/>
  <c r="P252" i="11"/>
  <c r="P244" i="11"/>
  <c r="P236" i="11"/>
  <c r="P228" i="11"/>
  <c r="P220" i="11"/>
  <c r="P265" i="11"/>
  <c r="P257" i="11"/>
  <c r="P249" i="11"/>
  <c r="P241" i="11"/>
  <c r="P233" i="11"/>
  <c r="P225" i="11"/>
  <c r="P262" i="11"/>
  <c r="P254" i="11"/>
  <c r="P246" i="11"/>
  <c r="P238" i="11"/>
  <c r="P230" i="11"/>
  <c r="P222" i="11"/>
  <c r="P259" i="11"/>
  <c r="P251" i="11"/>
  <c r="P243" i="11"/>
  <c r="P235" i="11"/>
  <c r="P227" i="11"/>
  <c r="P264" i="11"/>
  <c r="P256" i="11"/>
  <c r="P248" i="11"/>
  <c r="P240" i="11"/>
  <c r="P232" i="11"/>
  <c r="P224" i="11"/>
  <c r="P261" i="11"/>
  <c r="P253" i="11"/>
  <c r="P245" i="11"/>
  <c r="P237" i="11"/>
  <c r="P229" i="11"/>
  <c r="P221" i="11"/>
  <c r="P258" i="11"/>
  <c r="P250" i="11"/>
  <c r="P242" i="11"/>
  <c r="P234" i="11"/>
  <c r="P226" i="11"/>
  <c r="P255" i="11"/>
  <c r="P223" i="11"/>
  <c r="P247" i="11"/>
  <c r="P239" i="11"/>
  <c r="P231" i="11"/>
  <c r="P263" i="11"/>
  <c r="P207" i="11"/>
  <c r="P199" i="11"/>
  <c r="P191" i="11"/>
  <c r="P183" i="11"/>
  <c r="P175" i="11"/>
  <c r="P167" i="11"/>
  <c r="P204" i="11"/>
  <c r="P196" i="11"/>
  <c r="P188" i="11"/>
  <c r="P180" i="11"/>
  <c r="P172" i="11"/>
  <c r="P209" i="11"/>
  <c r="P201" i="11"/>
  <c r="P193" i="11"/>
  <c r="P185" i="11"/>
  <c r="P177" i="11"/>
  <c r="P169" i="11"/>
  <c r="P206" i="11"/>
  <c r="P198" i="11"/>
  <c r="P190" i="11"/>
  <c r="P182" i="11"/>
  <c r="P174" i="11"/>
  <c r="P203" i="11"/>
  <c r="P195" i="11"/>
  <c r="P187" i="11"/>
  <c r="P179" i="11"/>
  <c r="P171" i="11"/>
  <c r="P205" i="11"/>
  <c r="P197" i="11"/>
  <c r="P189" i="11"/>
  <c r="P181" i="11"/>
  <c r="P173" i="11"/>
  <c r="P202" i="11"/>
  <c r="P186" i="11"/>
  <c r="P170" i="11"/>
  <c r="P208" i="11"/>
  <c r="P192" i="11"/>
  <c r="P176" i="11"/>
  <c r="P194" i="11"/>
  <c r="P178" i="11"/>
  <c r="P200" i="11"/>
  <c r="P184" i="11"/>
  <c r="P168" i="11"/>
  <c r="P73" i="11"/>
  <c r="P70" i="11"/>
  <c r="P75" i="11"/>
  <c r="P72" i="11"/>
  <c r="P77" i="11"/>
  <c r="P69" i="11"/>
  <c r="P74" i="11"/>
  <c r="P71" i="11"/>
  <c r="P76" i="11"/>
  <c r="S83" i="59"/>
  <c r="R34" i="72"/>
  <c r="S34" i="72" s="1"/>
  <c r="S34" i="59"/>
  <c r="R34" i="70"/>
  <c r="S34" i="70" s="1"/>
  <c r="N70" i="70"/>
  <c r="O214" i="11"/>
  <c r="P12" i="59" s="1"/>
  <c r="S8" i="70"/>
  <c r="R66" i="70"/>
  <c r="S66" i="70" s="1"/>
  <c r="S81" i="59"/>
  <c r="O115" i="14"/>
  <c r="O49" i="14" s="1"/>
  <c r="O214" i="17"/>
  <c r="P9" i="59" s="1"/>
  <c r="R63" i="59"/>
  <c r="S25" i="70"/>
  <c r="R83" i="70"/>
  <c r="R19" i="72"/>
  <c r="S19" i="72" s="1"/>
  <c r="S19" i="59"/>
  <c r="R19" i="70"/>
  <c r="R77" i="59"/>
  <c r="S74" i="59"/>
  <c r="O115" i="11"/>
  <c r="O49" i="11" s="1"/>
  <c r="R48" i="70"/>
  <c r="R48" i="72"/>
  <c r="S48" i="72" s="1"/>
  <c r="O13" i="70"/>
  <c r="O13" i="72"/>
  <c r="N39" i="14" s="1"/>
  <c r="O71" i="59"/>
  <c r="O134" i="72" s="1"/>
  <c r="N41" i="14" s="1"/>
  <c r="O9" i="70"/>
  <c r="O9" i="72"/>
  <c r="O67" i="59"/>
  <c r="O130" i="72" s="1"/>
  <c r="N41" i="17" s="1"/>
  <c r="O27" i="59"/>
  <c r="S4" i="70"/>
  <c r="R62" i="70"/>
  <c r="S62" i="70" s="1"/>
  <c r="S62" i="59"/>
  <c r="Q64" i="59"/>
  <c r="R6" i="70"/>
  <c r="S6" i="59"/>
  <c r="Q35" i="70"/>
  <c r="Q64" i="70" s="1"/>
  <c r="R35" i="59"/>
  <c r="L21" i="54"/>
  <c r="K23" i="54"/>
  <c r="K25" i="54" s="1"/>
  <c r="M21" i="51"/>
  <c r="L23" i="51"/>
  <c r="L25" i="51" s="1"/>
  <c r="L21" i="48"/>
  <c r="K23" i="48"/>
  <c r="K25" i="48" s="1"/>
  <c r="M21" i="45"/>
  <c r="L23" i="45"/>
  <c r="L25" i="45" s="1"/>
  <c r="M21" i="42"/>
  <c r="L23" i="42"/>
  <c r="L25" i="42" s="1"/>
  <c r="L21" i="39"/>
  <c r="K23" i="39"/>
  <c r="K25" i="39" s="1"/>
  <c r="L21" i="33"/>
  <c r="K23" i="33"/>
  <c r="K25" i="33" s="1"/>
  <c r="L21" i="30"/>
  <c r="K23" i="30"/>
  <c r="K25" i="30" s="1"/>
  <c r="L21" i="27"/>
  <c r="K23" i="27"/>
  <c r="K25" i="27" s="1"/>
  <c r="L21" i="24"/>
  <c r="K23" i="24"/>
  <c r="K25" i="24" s="1"/>
  <c r="L21" i="21"/>
  <c r="K23" i="21"/>
  <c r="K25" i="21" s="1"/>
  <c r="J21" i="18"/>
  <c r="I23" i="18"/>
  <c r="I25" i="18" s="1"/>
  <c r="Q16" i="53" l="1"/>
  <c r="O16" i="8"/>
  <c r="O17" i="8" s="1"/>
  <c r="P253" i="59"/>
  <c r="P311" i="59"/>
  <c r="P310" i="59"/>
  <c r="P252" i="59"/>
  <c r="P307" i="59"/>
  <c r="P249" i="59"/>
  <c r="R124" i="59"/>
  <c r="R189" i="59" s="1"/>
  <c r="R275" i="59"/>
  <c r="P26" i="8"/>
  <c r="Q26" i="8" s="1"/>
  <c r="Q22" i="8"/>
  <c r="Q28" i="8" s="1"/>
  <c r="P17" i="83"/>
  <c r="Q16" i="83"/>
  <c r="P17" i="1"/>
  <c r="Q16" i="1"/>
  <c r="N39" i="17"/>
  <c r="N43" i="17" s="1"/>
  <c r="N44" i="17" s="1"/>
  <c r="O27" i="72"/>
  <c r="Q28" i="35"/>
  <c r="N14" i="17"/>
  <c r="N16" i="17" s="1"/>
  <c r="N17" i="17" s="1"/>
  <c r="P127" i="59"/>
  <c r="P192" i="59" s="1"/>
  <c r="O23" i="17"/>
  <c r="O22" i="17"/>
  <c r="O26" i="17" s="1"/>
  <c r="O20" i="17"/>
  <c r="O13" i="17"/>
  <c r="O27" i="17"/>
  <c r="N14" i="11"/>
  <c r="N16" i="11" s="1"/>
  <c r="N17" i="11" s="1"/>
  <c r="P130" i="59"/>
  <c r="P195" i="59" s="1"/>
  <c r="O23" i="11"/>
  <c r="O22" i="11"/>
  <c r="O26" i="11" s="1"/>
  <c r="O20" i="11"/>
  <c r="O27" i="11"/>
  <c r="O13" i="11"/>
  <c r="N14" i="14"/>
  <c r="N18" i="14" s="1"/>
  <c r="P131" i="59"/>
  <c r="P196" i="59" s="1"/>
  <c r="O22" i="14"/>
  <c r="O26" i="14" s="1"/>
  <c r="O23" i="14"/>
  <c r="O13" i="14"/>
  <c r="O27" i="14"/>
  <c r="O20" i="14"/>
  <c r="O27" i="70"/>
  <c r="O148" i="59"/>
  <c r="O47" i="1"/>
  <c r="P44" i="1"/>
  <c r="Q44" i="1" s="1"/>
  <c r="O115" i="59"/>
  <c r="Q41" i="1"/>
  <c r="Q43" i="1" s="1"/>
  <c r="O50" i="83"/>
  <c r="O47" i="83"/>
  <c r="P43" i="83"/>
  <c r="Q41" i="83"/>
  <c r="Q43" i="83" s="1"/>
  <c r="Q44" i="83" s="1"/>
  <c r="P101" i="59"/>
  <c r="P100" i="59"/>
  <c r="P97" i="59"/>
  <c r="Q16" i="35"/>
  <c r="S72" i="70"/>
  <c r="R130" i="70"/>
  <c r="S130" i="70" s="1"/>
  <c r="S68" i="70"/>
  <c r="R126" i="70"/>
  <c r="S126" i="70" s="1"/>
  <c r="S83" i="70"/>
  <c r="R141" i="70"/>
  <c r="S141" i="70" s="1"/>
  <c r="S81" i="70"/>
  <c r="R139" i="70"/>
  <c r="S74" i="70"/>
  <c r="R132" i="70"/>
  <c r="S132" i="70" s="1"/>
  <c r="S82" i="70"/>
  <c r="R140" i="70"/>
  <c r="S140" i="70" s="1"/>
  <c r="S84" i="70"/>
  <c r="R142" i="70"/>
  <c r="O50" i="23"/>
  <c r="O51" i="23" s="1"/>
  <c r="O44" i="8"/>
  <c r="P28" i="8"/>
  <c r="S246" i="59"/>
  <c r="M46" i="14"/>
  <c r="M47" i="14" s="1"/>
  <c r="O50" i="44"/>
  <c r="O51" i="44" s="1"/>
  <c r="N28" i="14"/>
  <c r="P40" i="8"/>
  <c r="Q40" i="8" s="1"/>
  <c r="O8" i="14"/>
  <c r="O9" i="14" s="1"/>
  <c r="P16" i="8"/>
  <c r="P17" i="8" s="1"/>
  <c r="N43" i="14"/>
  <c r="N46" i="14" s="1"/>
  <c r="O21" i="14"/>
  <c r="O6" i="14"/>
  <c r="O7" i="14" s="1"/>
  <c r="N43" i="11"/>
  <c r="N46" i="11" s="1"/>
  <c r="Q43" i="29"/>
  <c r="Q44" i="29" s="1"/>
  <c r="M44" i="11"/>
  <c r="O8" i="11"/>
  <c r="O9" i="11" s="1"/>
  <c r="N28" i="11"/>
  <c r="O21" i="11"/>
  <c r="O6" i="11"/>
  <c r="O7" i="11" s="1"/>
  <c r="Q43" i="5"/>
  <c r="Q44" i="5" s="1"/>
  <c r="Q41" i="41"/>
  <c r="Q43" i="41" s="1"/>
  <c r="Q44" i="41" s="1"/>
  <c r="Q43" i="50"/>
  <c r="Q44" i="50" s="1"/>
  <c r="Q41" i="47"/>
  <c r="Q43" i="47" s="1"/>
  <c r="Q44" i="47" s="1"/>
  <c r="P43" i="53"/>
  <c r="Q41" i="53"/>
  <c r="Q43" i="53" s="1"/>
  <c r="Q44" i="53" s="1"/>
  <c r="P43" i="76"/>
  <c r="Q41" i="76"/>
  <c r="Q43" i="76" s="1"/>
  <c r="Q44" i="76" s="1"/>
  <c r="P41" i="44"/>
  <c r="P43" i="44" s="1"/>
  <c r="P50" i="50"/>
  <c r="P47" i="50"/>
  <c r="P44" i="47"/>
  <c r="P46" i="47"/>
  <c r="O50" i="8"/>
  <c r="O51" i="8" s="1"/>
  <c r="O47" i="8"/>
  <c r="M47" i="11"/>
  <c r="M50" i="11"/>
  <c r="M51" i="11" s="1"/>
  <c r="P50" i="29"/>
  <c r="P51" i="29" s="1"/>
  <c r="P47" i="29"/>
  <c r="P50" i="5"/>
  <c r="P51" i="5" s="1"/>
  <c r="P47" i="5"/>
  <c r="P41" i="23"/>
  <c r="P43" i="23" s="1"/>
  <c r="P44" i="41"/>
  <c r="P46" i="41"/>
  <c r="P44" i="38"/>
  <c r="P46" i="38"/>
  <c r="P44" i="26"/>
  <c r="P46" i="26"/>
  <c r="Q41" i="38"/>
  <c r="Q43" i="38" s="1"/>
  <c r="Q44" i="38" s="1"/>
  <c r="P43" i="35"/>
  <c r="Q41" i="35"/>
  <c r="Q43" i="35" s="1"/>
  <c r="Q44" i="35" s="1"/>
  <c r="O47" i="76"/>
  <c r="O50" i="76"/>
  <c r="O50" i="53"/>
  <c r="O47" i="53"/>
  <c r="O6" i="17"/>
  <c r="O7" i="17" s="1"/>
  <c r="O11" i="17" s="1"/>
  <c r="O21" i="17"/>
  <c r="N28" i="17"/>
  <c r="M44" i="17"/>
  <c r="M46" i="17"/>
  <c r="O8" i="17"/>
  <c r="O9" i="17" s="1"/>
  <c r="P50" i="1"/>
  <c r="P51" i="1" s="1"/>
  <c r="Y3" i="1" s="1"/>
  <c r="P47" i="1"/>
  <c r="Q46" i="64"/>
  <c r="Q41" i="61"/>
  <c r="Q43" i="61" s="1"/>
  <c r="Q44" i="61" s="1"/>
  <c r="R136" i="72"/>
  <c r="S136" i="72" s="1"/>
  <c r="S198" i="59"/>
  <c r="Q127" i="72"/>
  <c r="R126" i="72"/>
  <c r="S126" i="72" s="1"/>
  <c r="S188" i="59"/>
  <c r="R140" i="72"/>
  <c r="S140" i="72" s="1"/>
  <c r="S202" i="59"/>
  <c r="Q14" i="8"/>
  <c r="S302" i="59"/>
  <c r="Q43" i="56"/>
  <c r="Q44" i="56" s="1"/>
  <c r="P71" i="72"/>
  <c r="P67" i="72"/>
  <c r="Q46" i="5"/>
  <c r="P70" i="72"/>
  <c r="Q39" i="32"/>
  <c r="Q16" i="23"/>
  <c r="Q9" i="8"/>
  <c r="Q8" i="8"/>
  <c r="O70" i="70"/>
  <c r="O67" i="70"/>
  <c r="L21" i="36"/>
  <c r="K23" i="36"/>
  <c r="K25" i="36" s="1"/>
  <c r="S15" i="70"/>
  <c r="R73" i="70"/>
  <c r="P214" i="17"/>
  <c r="Q9" i="59" s="1"/>
  <c r="Q258" i="17"/>
  <c r="Q263" i="17"/>
  <c r="Q255" i="17"/>
  <c r="Q260" i="17"/>
  <c r="Q265" i="17"/>
  <c r="Q257" i="17"/>
  <c r="Q262" i="17"/>
  <c r="Q264" i="17"/>
  <c r="Q259" i="17"/>
  <c r="Q248" i="17"/>
  <c r="Q240" i="17"/>
  <c r="Q232" i="17"/>
  <c r="Q224" i="17"/>
  <c r="Q253" i="17"/>
  <c r="Q245" i="17"/>
  <c r="Q237" i="17"/>
  <c r="Q229" i="17"/>
  <c r="Q221" i="17"/>
  <c r="Q250" i="17"/>
  <c r="Q242" i="17"/>
  <c r="Q234" i="17"/>
  <c r="Q226" i="17"/>
  <c r="Q247" i="17"/>
  <c r="Q239" i="17"/>
  <c r="Q231" i="17"/>
  <c r="Q223" i="17"/>
  <c r="Q252" i="17"/>
  <c r="Q244" i="17"/>
  <c r="Q236" i="17"/>
  <c r="Q228" i="17"/>
  <c r="Q220" i="17"/>
  <c r="Q249" i="17"/>
  <c r="Q241" i="17"/>
  <c r="Q233" i="17"/>
  <c r="Q225" i="17"/>
  <c r="Q256" i="17"/>
  <c r="Q254" i="17"/>
  <c r="Q246" i="17"/>
  <c r="Q238" i="17"/>
  <c r="Q230" i="17"/>
  <c r="Q222" i="17"/>
  <c r="Q261" i="17"/>
  <c r="Q227" i="17"/>
  <c r="Q251" i="17"/>
  <c r="Q243" i="17"/>
  <c r="Q235" i="17"/>
  <c r="Q208" i="17"/>
  <c r="Q200" i="17"/>
  <c r="Q192" i="17"/>
  <c r="Q184" i="17"/>
  <c r="Q176" i="17"/>
  <c r="Q168" i="17"/>
  <c r="Q202" i="17"/>
  <c r="Q204" i="17"/>
  <c r="Q196" i="17"/>
  <c r="Q188" i="17"/>
  <c r="Q180" i="17"/>
  <c r="Q209" i="17"/>
  <c r="Q201" i="17"/>
  <c r="Q193" i="17"/>
  <c r="Q185" i="17"/>
  <c r="Q177" i="17"/>
  <c r="Q169" i="17"/>
  <c r="Q205" i="17"/>
  <c r="Q195" i="17"/>
  <c r="Q206" i="17"/>
  <c r="Q186" i="17"/>
  <c r="Q198" i="17"/>
  <c r="Q197" i="17"/>
  <c r="Q187" i="17"/>
  <c r="Q207" i="17"/>
  <c r="Q203" i="17"/>
  <c r="Q199" i="17"/>
  <c r="Q178" i="17"/>
  <c r="Q175" i="17"/>
  <c r="Q190" i="17"/>
  <c r="Q189" i="17"/>
  <c r="Q179" i="17"/>
  <c r="Q174" i="17"/>
  <c r="Q182" i="17"/>
  <c r="Q181" i="17"/>
  <c r="Q172" i="17"/>
  <c r="Q171" i="17"/>
  <c r="Q170" i="17"/>
  <c r="Q183" i="17"/>
  <c r="Q191" i="17"/>
  <c r="Q173" i="17"/>
  <c r="Q167" i="17"/>
  <c r="Q194" i="17"/>
  <c r="Q71" i="17"/>
  <c r="Q79" i="17"/>
  <c r="Q87" i="17"/>
  <c r="Q72" i="17"/>
  <c r="Q80" i="17"/>
  <c r="Q88" i="17"/>
  <c r="Q86" i="17"/>
  <c r="Q73" i="17"/>
  <c r="Q81" i="17"/>
  <c r="Q89" i="17"/>
  <c r="Q70" i="17"/>
  <c r="Q74" i="17"/>
  <c r="Q82" i="17"/>
  <c r="Q90" i="17"/>
  <c r="Q78" i="17"/>
  <c r="Q75" i="17"/>
  <c r="Q83" i="17"/>
  <c r="Q91" i="17"/>
  <c r="Q76" i="17"/>
  <c r="Q84" i="17"/>
  <c r="Q69" i="17"/>
  <c r="Q77" i="17"/>
  <c r="Q85" i="17"/>
  <c r="Q263" i="14"/>
  <c r="Q255" i="14"/>
  <c r="Q247" i="14"/>
  <c r="Q239" i="14"/>
  <c r="Q231" i="14"/>
  <c r="Q223" i="14"/>
  <c r="Q260" i="14"/>
  <c r="Q252" i="14"/>
  <c r="Q265" i="14"/>
  <c r="Q257" i="14"/>
  <c r="Q249" i="14"/>
  <c r="Q241" i="14"/>
  <c r="Q233" i="14"/>
  <c r="Q225" i="14"/>
  <c r="Q262" i="14"/>
  <c r="Q259" i="14"/>
  <c r="Q251" i="14"/>
  <c r="Q243" i="14"/>
  <c r="Q235" i="14"/>
  <c r="Q227" i="14"/>
  <c r="Q264" i="14"/>
  <c r="Q256" i="14"/>
  <c r="Q248" i="14"/>
  <c r="Q240" i="14"/>
  <c r="Q232" i="14"/>
  <c r="Q224" i="14"/>
  <c r="Q261" i="14"/>
  <c r="Q253" i="14"/>
  <c r="Q245" i="14"/>
  <c r="Q237" i="14"/>
  <c r="Q229" i="14"/>
  <c r="Q221" i="14"/>
  <c r="Q234" i="14"/>
  <c r="Q258" i="14"/>
  <c r="Q244" i="14"/>
  <c r="Q222" i="14"/>
  <c r="Q242" i="14"/>
  <c r="Q230" i="14"/>
  <c r="Q250" i="14"/>
  <c r="Q238" i="14"/>
  <c r="Q228" i="14"/>
  <c r="Q220" i="14"/>
  <c r="Q226" i="14"/>
  <c r="Q236" i="14"/>
  <c r="Q246" i="14"/>
  <c r="Q254" i="14"/>
  <c r="Q206" i="14"/>
  <c r="Q198" i="14"/>
  <c r="Q190" i="14"/>
  <c r="Q182" i="14"/>
  <c r="Q174" i="14"/>
  <c r="Q207" i="14"/>
  <c r="Q199" i="14"/>
  <c r="Q191" i="14"/>
  <c r="Q183" i="14"/>
  <c r="Q175" i="14"/>
  <c r="Q195" i="14"/>
  <c r="Q179" i="14"/>
  <c r="Q209" i="14"/>
  <c r="Q208" i="14"/>
  <c r="Q194" i="14"/>
  <c r="Q193" i="14"/>
  <c r="Q192" i="14"/>
  <c r="Q178" i="14"/>
  <c r="Q177" i="14"/>
  <c r="Q176" i="14"/>
  <c r="Q171" i="14"/>
  <c r="Q205" i="14"/>
  <c r="Q189" i="14"/>
  <c r="Q168" i="14"/>
  <c r="Q204" i="14"/>
  <c r="Q188" i="14"/>
  <c r="Q173" i="14"/>
  <c r="Q203" i="14"/>
  <c r="Q187" i="14"/>
  <c r="Q170" i="14"/>
  <c r="Q197" i="14"/>
  <c r="Q181" i="14"/>
  <c r="Q172" i="14"/>
  <c r="Q200" i="14"/>
  <c r="Q186" i="14"/>
  <c r="Q180" i="14"/>
  <c r="Q202" i="14"/>
  <c r="Q196" i="14"/>
  <c r="Q167" i="14"/>
  <c r="Q185" i="14"/>
  <c r="Q169" i="14"/>
  <c r="Q201" i="14"/>
  <c r="Q184" i="14"/>
  <c r="Q71" i="14"/>
  <c r="Q70" i="14"/>
  <c r="Q72" i="14"/>
  <c r="Q73" i="14"/>
  <c r="Q74" i="14"/>
  <c r="Q75" i="14"/>
  <c r="Q78" i="14"/>
  <c r="Q76" i="14"/>
  <c r="Q69" i="14"/>
  <c r="Q77" i="14"/>
  <c r="P41" i="70"/>
  <c r="P41" i="72"/>
  <c r="O40" i="11" s="1"/>
  <c r="P42" i="70"/>
  <c r="P42" i="72"/>
  <c r="O40" i="14" s="1"/>
  <c r="P13" i="72"/>
  <c r="O39" i="14" s="1"/>
  <c r="P71" i="59"/>
  <c r="P134" i="72" s="1"/>
  <c r="O41" i="14" s="1"/>
  <c r="P13" i="70"/>
  <c r="R63" i="70"/>
  <c r="S63" i="70" s="1"/>
  <c r="S73" i="59"/>
  <c r="P267" i="11"/>
  <c r="Q41" i="59" s="1"/>
  <c r="Q281" i="59" s="1"/>
  <c r="R77" i="70"/>
  <c r="S19" i="70"/>
  <c r="Q265" i="11"/>
  <c r="Q257" i="11"/>
  <c r="Q249" i="11"/>
  <c r="Q241" i="11"/>
  <c r="Q233" i="11"/>
  <c r="Q225" i="11"/>
  <c r="Q262" i="11"/>
  <c r="Q254" i="11"/>
  <c r="Q246" i="11"/>
  <c r="Q238" i="11"/>
  <c r="Q230" i="11"/>
  <c r="Q222" i="11"/>
  <c r="Q259" i="11"/>
  <c r="Q251" i="11"/>
  <c r="Q243" i="11"/>
  <c r="Q235" i="11"/>
  <c r="Q227" i="11"/>
  <c r="Q264" i="11"/>
  <c r="Q256" i="11"/>
  <c r="Q248" i="11"/>
  <c r="Q240" i="11"/>
  <c r="Q232" i="11"/>
  <c r="Q224" i="11"/>
  <c r="Q261" i="11"/>
  <c r="Q253" i="11"/>
  <c r="Q245" i="11"/>
  <c r="Q237" i="11"/>
  <c r="Q229" i="11"/>
  <c r="Q221" i="11"/>
  <c r="Q258" i="11"/>
  <c r="Q250" i="11"/>
  <c r="Q242" i="11"/>
  <c r="Q234" i="11"/>
  <c r="Q226" i="11"/>
  <c r="Q263" i="11"/>
  <c r="Q255" i="11"/>
  <c r="Q247" i="11"/>
  <c r="Q239" i="11"/>
  <c r="Q231" i="11"/>
  <c r="Q223" i="11"/>
  <c r="Q252" i="11"/>
  <c r="Q220" i="11"/>
  <c r="Q244" i="11"/>
  <c r="Q236" i="11"/>
  <c r="Q260" i="11"/>
  <c r="Q228" i="11"/>
  <c r="Q204" i="11"/>
  <c r="Q196" i="11"/>
  <c r="Q188" i="11"/>
  <c r="Q180" i="11"/>
  <c r="Q172" i="11"/>
  <c r="Q209" i="11"/>
  <c r="Q201" i="11"/>
  <c r="Q193" i="11"/>
  <c r="Q185" i="11"/>
  <c r="Q177" i="11"/>
  <c r="Q169" i="11"/>
  <c r="Q206" i="11"/>
  <c r="Q198" i="11"/>
  <c r="Q190" i="11"/>
  <c r="Q182" i="11"/>
  <c r="Q174" i="11"/>
  <c r="Q203" i="11"/>
  <c r="Q195" i="11"/>
  <c r="Q187" i="11"/>
  <c r="Q179" i="11"/>
  <c r="Q171" i="11"/>
  <c r="Q208" i="11"/>
  <c r="Q200" i="11"/>
  <c r="Q192" i="11"/>
  <c r="Q184" i="11"/>
  <c r="Q176" i="11"/>
  <c r="Q168" i="11"/>
  <c r="Q202" i="11"/>
  <c r="Q194" i="11"/>
  <c r="Q186" i="11"/>
  <c r="Q178" i="11"/>
  <c r="Q170" i="11"/>
  <c r="Q197" i="11"/>
  <c r="Q181" i="11"/>
  <c r="Q199" i="11"/>
  <c r="Q183" i="11"/>
  <c r="Q167" i="11"/>
  <c r="Q205" i="11"/>
  <c r="Q189" i="11"/>
  <c r="Q173" i="11"/>
  <c r="Q207" i="11"/>
  <c r="Q191" i="11"/>
  <c r="Q175" i="11"/>
  <c r="Q70" i="11"/>
  <c r="Q75" i="11"/>
  <c r="Q73" i="11"/>
  <c r="Q72" i="11"/>
  <c r="Q77" i="11"/>
  <c r="Q69" i="11"/>
  <c r="Q74" i="11"/>
  <c r="Q71" i="11"/>
  <c r="Q76" i="11"/>
  <c r="S63" i="59"/>
  <c r="O71" i="70"/>
  <c r="P267" i="17"/>
  <c r="Q38" i="59" s="1"/>
  <c r="Q278" i="59" s="1"/>
  <c r="P38" i="72"/>
  <c r="O40" i="17" s="1"/>
  <c r="P38" i="70"/>
  <c r="P67" i="59"/>
  <c r="P130" i="72" s="1"/>
  <c r="O41" i="17" s="1"/>
  <c r="P9" i="70"/>
  <c r="P9" i="72"/>
  <c r="P27" i="59"/>
  <c r="P214" i="11"/>
  <c r="Q12" i="59" s="1"/>
  <c r="AA225" i="17"/>
  <c r="AA226" i="17" s="1"/>
  <c r="P115" i="17"/>
  <c r="P49" i="17" s="1"/>
  <c r="P115" i="14"/>
  <c r="P49" i="14" s="1"/>
  <c r="P267" i="14"/>
  <c r="Q42" i="59" s="1"/>
  <c r="Q282" i="59" s="1"/>
  <c r="S11" i="70"/>
  <c r="P115" i="11"/>
  <c r="P49" i="11" s="1"/>
  <c r="S77" i="59"/>
  <c r="P12" i="72"/>
  <c r="O39" i="11" s="1"/>
  <c r="P70" i="59"/>
  <c r="P133" i="72" s="1"/>
  <c r="O41" i="11" s="1"/>
  <c r="P12" i="70"/>
  <c r="AB225" i="17"/>
  <c r="AB226" i="17" s="1"/>
  <c r="P214" i="14"/>
  <c r="Q13" i="59" s="1"/>
  <c r="R64" i="59"/>
  <c r="R35" i="72"/>
  <c r="S6" i="72"/>
  <c r="S6" i="70"/>
  <c r="S35" i="59"/>
  <c r="R35" i="70"/>
  <c r="S35" i="70" s="1"/>
  <c r="M21" i="54"/>
  <c r="L23" i="54"/>
  <c r="L25" i="54" s="1"/>
  <c r="M23" i="51"/>
  <c r="M25" i="51" s="1"/>
  <c r="N21" i="51"/>
  <c r="M21" i="48"/>
  <c r="L23" i="48"/>
  <c r="L25" i="48" s="1"/>
  <c r="M23" i="45"/>
  <c r="M25" i="45" s="1"/>
  <c r="N21" i="45"/>
  <c r="M23" i="42"/>
  <c r="M25" i="42" s="1"/>
  <c r="N21" i="42"/>
  <c r="M21" i="39"/>
  <c r="L23" i="39"/>
  <c r="L25" i="39" s="1"/>
  <c r="M21" i="33"/>
  <c r="L23" i="33"/>
  <c r="L25" i="33" s="1"/>
  <c r="M21" i="30"/>
  <c r="L23" i="30"/>
  <c r="L25" i="30" s="1"/>
  <c r="M21" i="27"/>
  <c r="L23" i="27"/>
  <c r="L25" i="27" s="1"/>
  <c r="M21" i="24"/>
  <c r="L23" i="24"/>
  <c r="L25" i="24" s="1"/>
  <c r="M21" i="21"/>
  <c r="L23" i="21"/>
  <c r="L25" i="21" s="1"/>
  <c r="K21" i="18"/>
  <c r="J23" i="18"/>
  <c r="J25" i="18" s="1"/>
  <c r="Q253" i="59" l="1"/>
  <c r="Q311" i="59"/>
  <c r="Q310" i="59"/>
  <c r="Q252" i="59"/>
  <c r="Q307" i="59"/>
  <c r="Q249" i="59"/>
  <c r="O39" i="17"/>
  <c r="O43" i="17" s="1"/>
  <c r="P27" i="72"/>
  <c r="P13" i="17"/>
  <c r="Q13" i="17" s="1"/>
  <c r="P27" i="17"/>
  <c r="Q27" i="17" s="1"/>
  <c r="O14" i="17"/>
  <c r="O16" i="17" s="1"/>
  <c r="O17" i="17" s="1"/>
  <c r="Q127" i="59"/>
  <c r="Q192" i="59" s="1"/>
  <c r="P22" i="17"/>
  <c r="P14" i="17" s="1"/>
  <c r="P23" i="17"/>
  <c r="Q23" i="17" s="1"/>
  <c r="O14" i="11"/>
  <c r="O16" i="11" s="1"/>
  <c r="O17" i="11" s="1"/>
  <c r="Q130" i="59"/>
  <c r="Q195" i="59" s="1"/>
  <c r="P22" i="11"/>
  <c r="P14" i="11" s="1"/>
  <c r="P23" i="11"/>
  <c r="Q23" i="11" s="1"/>
  <c r="P27" i="11"/>
  <c r="Q27" i="11" s="1"/>
  <c r="P20" i="11"/>
  <c r="Q20" i="11" s="1"/>
  <c r="P13" i="11"/>
  <c r="Q13" i="11" s="1"/>
  <c r="N16" i="14"/>
  <c r="N17" i="14" s="1"/>
  <c r="Q131" i="59"/>
  <c r="Q196" i="59" s="1"/>
  <c r="P22" i="14"/>
  <c r="P14" i="14" s="1"/>
  <c r="P18" i="14" s="1"/>
  <c r="P23" i="14"/>
  <c r="Q23" i="14" s="1"/>
  <c r="O14" i="14"/>
  <c r="O18" i="14" s="1"/>
  <c r="P27" i="14"/>
  <c r="Q27" i="14" s="1"/>
  <c r="P13" i="14"/>
  <c r="Q13" i="14" s="1"/>
  <c r="P20" i="14"/>
  <c r="Q20" i="14" s="1"/>
  <c r="P27" i="70"/>
  <c r="P148" i="59"/>
  <c r="Q47" i="64"/>
  <c r="Q51" i="64"/>
  <c r="P115" i="59"/>
  <c r="P46" i="83"/>
  <c r="P44" i="83"/>
  <c r="Q101" i="59"/>
  <c r="Q100" i="59"/>
  <c r="S275" i="59"/>
  <c r="Q97" i="59"/>
  <c r="S77" i="70"/>
  <c r="R135" i="70"/>
  <c r="S135" i="70" s="1"/>
  <c r="S73" i="70"/>
  <c r="R131" i="70"/>
  <c r="S131" i="70" s="1"/>
  <c r="N44" i="11"/>
  <c r="M50" i="14"/>
  <c r="M51" i="14" s="1"/>
  <c r="O28" i="14"/>
  <c r="P8" i="14"/>
  <c r="P9" i="14" s="1"/>
  <c r="N44" i="14"/>
  <c r="Q16" i="8"/>
  <c r="O43" i="14"/>
  <c r="O46" i="14" s="1"/>
  <c r="P21" i="14"/>
  <c r="Q21" i="14" s="1"/>
  <c r="P6" i="14"/>
  <c r="P7" i="14" s="1"/>
  <c r="O43" i="11"/>
  <c r="O44" i="11" s="1"/>
  <c r="O28" i="11"/>
  <c r="P8" i="11"/>
  <c r="P9" i="11" s="1"/>
  <c r="P6" i="11"/>
  <c r="P7" i="11" s="1"/>
  <c r="P21" i="11"/>
  <c r="Q21" i="11" s="1"/>
  <c r="Q41" i="44"/>
  <c r="Q43" i="44" s="1"/>
  <c r="Q44" i="44" s="1"/>
  <c r="P44" i="23"/>
  <c r="P46" i="23"/>
  <c r="Q46" i="23" s="1"/>
  <c r="P50" i="26"/>
  <c r="P47" i="26"/>
  <c r="Q46" i="26"/>
  <c r="Q41" i="23"/>
  <c r="Q43" i="23" s="1"/>
  <c r="Q44" i="23" s="1"/>
  <c r="P41" i="8"/>
  <c r="P43" i="8" s="1"/>
  <c r="N50" i="14"/>
  <c r="N51" i="14" s="1"/>
  <c r="N47" i="14"/>
  <c r="P50" i="47"/>
  <c r="P51" i="47" s="1"/>
  <c r="P47" i="47"/>
  <c r="P44" i="76"/>
  <c r="P46" i="76"/>
  <c r="P50" i="38"/>
  <c r="P51" i="38" s="1"/>
  <c r="P47" i="38"/>
  <c r="N50" i="11"/>
  <c r="N51" i="11" s="1"/>
  <c r="N47" i="11"/>
  <c r="P44" i="35"/>
  <c r="P46" i="35"/>
  <c r="Q46" i="35" s="1"/>
  <c r="P50" i="41"/>
  <c r="P51" i="41" s="1"/>
  <c r="P47" i="41"/>
  <c r="P44" i="44"/>
  <c r="P46" i="44"/>
  <c r="Q46" i="44" s="1"/>
  <c r="Q51" i="44" s="1"/>
  <c r="P44" i="53"/>
  <c r="P46" i="53"/>
  <c r="O28" i="17"/>
  <c r="N46" i="17"/>
  <c r="N47" i="17" s="1"/>
  <c r="M47" i="17"/>
  <c r="M50" i="17"/>
  <c r="M51" i="17" s="1"/>
  <c r="P8" i="17"/>
  <c r="P9" i="17" s="1"/>
  <c r="P21" i="17"/>
  <c r="Q21" i="17" s="1"/>
  <c r="P6" i="17"/>
  <c r="P7" i="17" s="1"/>
  <c r="P11" i="17" s="1"/>
  <c r="Q46" i="47"/>
  <c r="Q50" i="47" s="1"/>
  <c r="Q46" i="41"/>
  <c r="Q47" i="41" s="1"/>
  <c r="Q50" i="64"/>
  <c r="Q46" i="38"/>
  <c r="Q47" i="38" s="1"/>
  <c r="S189" i="59"/>
  <c r="Q46" i="1"/>
  <c r="Q51" i="1" s="1"/>
  <c r="Q70" i="72"/>
  <c r="Q49" i="11"/>
  <c r="Q46" i="50"/>
  <c r="Q46" i="29"/>
  <c r="Q47" i="5"/>
  <c r="Q50" i="5"/>
  <c r="Q71" i="72"/>
  <c r="Q49" i="14"/>
  <c r="Q46" i="20"/>
  <c r="Q67" i="72"/>
  <c r="Q49" i="17"/>
  <c r="Q46" i="56"/>
  <c r="Q46" i="61"/>
  <c r="S64" i="59"/>
  <c r="R127" i="72"/>
  <c r="S127" i="72" s="1"/>
  <c r="P71" i="70"/>
  <c r="L23" i="36"/>
  <c r="L25" i="36" s="1"/>
  <c r="M21" i="36"/>
  <c r="Q115" i="17"/>
  <c r="R67" i="72" s="1"/>
  <c r="P70" i="70"/>
  <c r="Q214" i="14"/>
  <c r="R13" i="59" s="1"/>
  <c r="Q13" i="72"/>
  <c r="P39" i="14" s="1"/>
  <c r="Q13" i="70"/>
  <c r="Q71" i="59"/>
  <c r="Q38" i="72"/>
  <c r="Q38" i="70"/>
  <c r="Q214" i="17"/>
  <c r="R9" i="59" s="1"/>
  <c r="Q267" i="17"/>
  <c r="R38" i="59" s="1"/>
  <c r="R278" i="59" s="1"/>
  <c r="Q214" i="11"/>
  <c r="R12" i="59" s="1"/>
  <c r="Q115" i="14"/>
  <c r="R71" i="72" s="1"/>
  <c r="Q12" i="72"/>
  <c r="P39" i="11" s="1"/>
  <c r="Q70" i="59"/>
  <c r="Q12" i="70"/>
  <c r="Q267" i="11"/>
  <c r="R41" i="59" s="1"/>
  <c r="R281" i="59" s="1"/>
  <c r="Q9" i="70"/>
  <c r="Q67" i="59"/>
  <c r="Q9" i="72"/>
  <c r="Q27" i="59"/>
  <c r="Q41" i="70"/>
  <c r="Q41" i="72"/>
  <c r="Q267" i="14"/>
  <c r="R42" i="59" s="1"/>
  <c r="R282" i="59" s="1"/>
  <c r="Q42" i="70"/>
  <c r="Q42" i="72"/>
  <c r="P67" i="70"/>
  <c r="Q115" i="11"/>
  <c r="R70" i="72" s="1"/>
  <c r="S35" i="72"/>
  <c r="R64" i="70"/>
  <c r="S64" i="70" s="1"/>
  <c r="M23" i="54"/>
  <c r="M25" i="54" s="1"/>
  <c r="N21" i="54"/>
  <c r="O21" i="51"/>
  <c r="N23" i="51"/>
  <c r="N25" i="51" s="1"/>
  <c r="M23" i="48"/>
  <c r="M25" i="48" s="1"/>
  <c r="N21" i="48"/>
  <c r="O21" i="45"/>
  <c r="N23" i="45"/>
  <c r="N25" i="45" s="1"/>
  <c r="O21" i="42"/>
  <c r="N23" i="42"/>
  <c r="N25" i="42" s="1"/>
  <c r="M23" i="39"/>
  <c r="M25" i="39" s="1"/>
  <c r="N21" i="39"/>
  <c r="M23" i="33"/>
  <c r="M25" i="33" s="1"/>
  <c r="N21" i="33"/>
  <c r="M23" i="30"/>
  <c r="M25" i="30" s="1"/>
  <c r="N21" i="30"/>
  <c r="M23" i="27"/>
  <c r="M25" i="27" s="1"/>
  <c r="N21" i="27"/>
  <c r="M23" i="24"/>
  <c r="M25" i="24" s="1"/>
  <c r="N21" i="24"/>
  <c r="M23" i="21"/>
  <c r="M25" i="21" s="1"/>
  <c r="N21" i="21"/>
  <c r="L21" i="18"/>
  <c r="K23" i="18"/>
  <c r="K25" i="18" s="1"/>
  <c r="R253" i="59" l="1"/>
  <c r="R311" i="59"/>
  <c r="R310" i="59"/>
  <c r="R252" i="59"/>
  <c r="R307" i="59"/>
  <c r="R249" i="59"/>
  <c r="P39" i="17"/>
  <c r="Q39" i="17" s="1"/>
  <c r="Q27" i="72"/>
  <c r="P20" i="17"/>
  <c r="Q20" i="17" s="1"/>
  <c r="P26" i="17"/>
  <c r="Q26" i="17" s="1"/>
  <c r="Q22" i="17"/>
  <c r="R127" i="59"/>
  <c r="R192" i="59" s="1"/>
  <c r="R130" i="59"/>
  <c r="R195" i="59" s="1"/>
  <c r="P26" i="11"/>
  <c r="Q26" i="11" s="1"/>
  <c r="Q22" i="11"/>
  <c r="Q28" i="11" s="1"/>
  <c r="R131" i="59"/>
  <c r="R196" i="59" s="1"/>
  <c r="S282" i="59"/>
  <c r="O16" i="14"/>
  <c r="O17" i="14" s="1"/>
  <c r="P26" i="14"/>
  <c r="Q26" i="14" s="1"/>
  <c r="Q22" i="14"/>
  <c r="Q28" i="14" s="1"/>
  <c r="Q27" i="70"/>
  <c r="Q148" i="59"/>
  <c r="Q115" i="59"/>
  <c r="P47" i="83"/>
  <c r="P50" i="83"/>
  <c r="Q46" i="83"/>
  <c r="S281" i="59"/>
  <c r="R101" i="59"/>
  <c r="S310" i="59"/>
  <c r="R100" i="59"/>
  <c r="S307" i="59"/>
  <c r="R97" i="59"/>
  <c r="O46" i="11"/>
  <c r="O50" i="11" s="1"/>
  <c r="O51" i="11" s="1"/>
  <c r="P40" i="14"/>
  <c r="Q40" i="14" s="1"/>
  <c r="P16" i="14"/>
  <c r="P17" i="14" s="1"/>
  <c r="O44" i="14"/>
  <c r="P28" i="14"/>
  <c r="P28" i="11"/>
  <c r="P16" i="11"/>
  <c r="P17" i="11" s="1"/>
  <c r="P40" i="11"/>
  <c r="Q40" i="11" s="1"/>
  <c r="Q50" i="1"/>
  <c r="P47" i="35"/>
  <c r="P50" i="35"/>
  <c r="P51" i="35" s="1"/>
  <c r="P47" i="76"/>
  <c r="P50" i="76"/>
  <c r="Q46" i="76"/>
  <c r="Q50" i="26"/>
  <c r="Q47" i="26"/>
  <c r="P50" i="23"/>
  <c r="P51" i="23" s="1"/>
  <c r="P47" i="23"/>
  <c r="P47" i="53"/>
  <c r="P50" i="53"/>
  <c r="Q46" i="53"/>
  <c r="N50" i="17"/>
  <c r="N51" i="17" s="1"/>
  <c r="P44" i="8"/>
  <c r="P46" i="8"/>
  <c r="P47" i="44"/>
  <c r="P50" i="44"/>
  <c r="P51" i="44" s="1"/>
  <c r="O50" i="14"/>
  <c r="O51" i="14" s="1"/>
  <c r="O47" i="14"/>
  <c r="Q41" i="8"/>
  <c r="Q43" i="8" s="1"/>
  <c r="Q44" i="8" s="1"/>
  <c r="P40" i="17"/>
  <c r="O44" i="17"/>
  <c r="O46" i="17"/>
  <c r="P16" i="17"/>
  <c r="P17" i="17" s="1"/>
  <c r="Q50" i="41"/>
  <c r="S252" i="59"/>
  <c r="S249" i="59"/>
  <c r="Q50" i="38"/>
  <c r="Q85" i="72"/>
  <c r="Q87" i="72" s="1"/>
  <c r="R13" i="70"/>
  <c r="S13" i="70" s="1"/>
  <c r="Q133" i="72"/>
  <c r="Q134" i="72"/>
  <c r="Q130" i="72"/>
  <c r="Q14" i="11"/>
  <c r="Q14" i="14"/>
  <c r="Q14" i="17"/>
  <c r="S71" i="72"/>
  <c r="S67" i="72"/>
  <c r="S70" i="72"/>
  <c r="Q50" i="35"/>
  <c r="Q47" i="35"/>
  <c r="Q47" i="20"/>
  <c r="Q50" i="20"/>
  <c r="Q47" i="29"/>
  <c r="Q50" i="29"/>
  <c r="Q39" i="14"/>
  <c r="Q47" i="47"/>
  <c r="Q47" i="44"/>
  <c r="Q50" i="44"/>
  <c r="Q47" i="23"/>
  <c r="Q50" i="23"/>
  <c r="Q50" i="50"/>
  <c r="Q47" i="50"/>
  <c r="Q39" i="11"/>
  <c r="Q47" i="61"/>
  <c r="Q50" i="61"/>
  <c r="Q50" i="56"/>
  <c r="Q47" i="56"/>
  <c r="Q6" i="17"/>
  <c r="Q7" i="17"/>
  <c r="Q7" i="11"/>
  <c r="Q6" i="11"/>
  <c r="Q9" i="11"/>
  <c r="Q8" i="11"/>
  <c r="Q9" i="17"/>
  <c r="Q8" i="17"/>
  <c r="Q6" i="14"/>
  <c r="Q7" i="14"/>
  <c r="Q8" i="14"/>
  <c r="Q9" i="14"/>
  <c r="R71" i="59"/>
  <c r="Q67" i="70"/>
  <c r="S13" i="59"/>
  <c r="N21" i="36"/>
  <c r="M23" i="36"/>
  <c r="M25" i="36" s="1"/>
  <c r="R13" i="72"/>
  <c r="S13" i="72" s="1"/>
  <c r="Q71" i="70"/>
  <c r="Q129" i="70" s="1"/>
  <c r="R41" i="72"/>
  <c r="S41" i="72" s="1"/>
  <c r="R41" i="70"/>
  <c r="S41" i="70" s="1"/>
  <c r="S41" i="59"/>
  <c r="S12" i="59"/>
  <c r="R12" i="72"/>
  <c r="S12" i="72" s="1"/>
  <c r="R70" i="59"/>
  <c r="R12" i="70"/>
  <c r="R9" i="70"/>
  <c r="S9" i="59"/>
  <c r="R9" i="72"/>
  <c r="R67" i="59"/>
  <c r="R27" i="59"/>
  <c r="R148" i="59" s="1"/>
  <c r="R38" i="70"/>
  <c r="S38" i="70" s="1"/>
  <c r="S38" i="59"/>
  <c r="R38" i="72"/>
  <c r="R42" i="72"/>
  <c r="S42" i="72" s="1"/>
  <c r="S42" i="59"/>
  <c r="R42" i="70"/>
  <c r="S42" i="70" s="1"/>
  <c r="Q70" i="70"/>
  <c r="R85" i="72"/>
  <c r="R87" i="72" s="1"/>
  <c r="O21" i="54"/>
  <c r="N23" i="54"/>
  <c r="N25" i="54" s="1"/>
  <c r="O23" i="51"/>
  <c r="O25" i="51" s="1"/>
  <c r="P21" i="51"/>
  <c r="O21" i="48"/>
  <c r="N23" i="48"/>
  <c r="N25" i="48" s="1"/>
  <c r="O23" i="45"/>
  <c r="O25" i="45" s="1"/>
  <c r="P21" i="45"/>
  <c r="O23" i="42"/>
  <c r="O25" i="42" s="1"/>
  <c r="P21" i="42"/>
  <c r="O21" i="39"/>
  <c r="N23" i="39"/>
  <c r="N25" i="39" s="1"/>
  <c r="O21" i="33"/>
  <c r="N23" i="33"/>
  <c r="N25" i="33" s="1"/>
  <c r="O21" i="30"/>
  <c r="N23" i="30"/>
  <c r="N25" i="30" s="1"/>
  <c r="O21" i="27"/>
  <c r="N23" i="27"/>
  <c r="N25" i="27" s="1"/>
  <c r="O21" i="24"/>
  <c r="N23" i="24"/>
  <c r="N25" i="24" s="1"/>
  <c r="O21" i="21"/>
  <c r="N23" i="21"/>
  <c r="N25" i="21" s="1"/>
  <c r="M21" i="18"/>
  <c r="L23" i="18"/>
  <c r="L25" i="18" s="1"/>
  <c r="R27" i="72" l="1"/>
  <c r="P28" i="17"/>
  <c r="Q28" i="17"/>
  <c r="Q47" i="83"/>
  <c r="Q50" i="83"/>
  <c r="Q51" i="83"/>
  <c r="S278" i="59"/>
  <c r="R115" i="59"/>
  <c r="S115" i="59" s="1"/>
  <c r="Q16" i="14"/>
  <c r="O47" i="11"/>
  <c r="Q16" i="11"/>
  <c r="Q50" i="53"/>
  <c r="Q47" i="53"/>
  <c r="P41" i="14"/>
  <c r="P43" i="14" s="1"/>
  <c r="P46" i="14" s="1"/>
  <c r="Q47" i="76"/>
  <c r="Q50" i="76"/>
  <c r="P41" i="11"/>
  <c r="P43" i="11" s="1"/>
  <c r="P50" i="8"/>
  <c r="P51" i="8" s="1"/>
  <c r="P47" i="8"/>
  <c r="O50" i="17"/>
  <c r="O51" i="17" s="1"/>
  <c r="O47" i="17"/>
  <c r="Q40" i="17"/>
  <c r="P41" i="17"/>
  <c r="P43" i="17" s="1"/>
  <c r="Q16" i="17"/>
  <c r="Q46" i="8"/>
  <c r="Q50" i="8" s="1"/>
  <c r="S253" i="59"/>
  <c r="S311" i="59"/>
  <c r="R130" i="72"/>
  <c r="R134" i="72"/>
  <c r="S134" i="72" s="1"/>
  <c r="S196" i="59"/>
  <c r="R133" i="72"/>
  <c r="S133" i="72" s="1"/>
  <c r="S195" i="59"/>
  <c r="S71" i="59"/>
  <c r="R71" i="70"/>
  <c r="O21" i="36"/>
  <c r="N23" i="36"/>
  <c r="N25" i="36" s="1"/>
  <c r="S9" i="72"/>
  <c r="S27" i="72" s="1"/>
  <c r="S9" i="70"/>
  <c r="R67" i="70"/>
  <c r="S67" i="70" s="1"/>
  <c r="S12" i="70"/>
  <c r="R70" i="70"/>
  <c r="S70" i="59"/>
  <c r="R27" i="70"/>
  <c r="S27" i="70" s="1"/>
  <c r="S27" i="59"/>
  <c r="S67" i="59"/>
  <c r="S38" i="72"/>
  <c r="O23" i="54"/>
  <c r="O25" i="54" s="1"/>
  <c r="P21" i="54"/>
  <c r="Q21" i="51"/>
  <c r="P23" i="51"/>
  <c r="P25" i="51" s="1"/>
  <c r="P21" i="48"/>
  <c r="O23" i="48"/>
  <c r="O25" i="48" s="1"/>
  <c r="Q21" i="45"/>
  <c r="P23" i="45"/>
  <c r="P25" i="45" s="1"/>
  <c r="P23" i="42"/>
  <c r="P25" i="42" s="1"/>
  <c r="Q21" i="42"/>
  <c r="O23" i="39"/>
  <c r="O25" i="39" s="1"/>
  <c r="P21" i="39"/>
  <c r="O23" i="33"/>
  <c r="O25" i="33" s="1"/>
  <c r="P21" i="33"/>
  <c r="P21" i="30"/>
  <c r="O23" i="30"/>
  <c r="O25" i="30" s="1"/>
  <c r="O23" i="27"/>
  <c r="O25" i="27" s="1"/>
  <c r="P21" i="27"/>
  <c r="P21" i="24"/>
  <c r="O23" i="24"/>
  <c r="O25" i="24" s="1"/>
  <c r="O23" i="21"/>
  <c r="O25" i="21" s="1"/>
  <c r="P21" i="21"/>
  <c r="M23" i="18"/>
  <c r="M25" i="18" s="1"/>
  <c r="N21" i="18"/>
  <c r="S70" i="70" l="1"/>
  <c r="R128" i="70"/>
  <c r="S128" i="70" s="1"/>
  <c r="S71" i="70"/>
  <c r="R129" i="70"/>
  <c r="S129" i="70" s="1"/>
  <c r="P44" i="11"/>
  <c r="P46" i="11"/>
  <c r="Q46" i="11" s="1"/>
  <c r="Q41" i="11"/>
  <c r="Q43" i="11" s="1"/>
  <c r="Q44" i="11" s="1"/>
  <c r="P44" i="14"/>
  <c r="Q46" i="14"/>
  <c r="Q41" i="14"/>
  <c r="Q43" i="14" s="1"/>
  <c r="Q44" i="14" s="1"/>
  <c r="P44" i="17"/>
  <c r="P46" i="17"/>
  <c r="Q41" i="17"/>
  <c r="Q43" i="17" s="1"/>
  <c r="Q44" i="17" s="1"/>
  <c r="Q47" i="8"/>
  <c r="S192" i="59"/>
  <c r="O23" i="36"/>
  <c r="O25" i="36" s="1"/>
  <c r="P21" i="36"/>
  <c r="S130" i="72"/>
  <c r="Q21" i="54"/>
  <c r="P23" i="54"/>
  <c r="P25" i="54" s="1"/>
  <c r="R21" i="51"/>
  <c r="Q23" i="51"/>
  <c r="Q25" i="51" s="1"/>
  <c r="Q21" i="48"/>
  <c r="P23" i="48"/>
  <c r="P25" i="48" s="1"/>
  <c r="Q23" i="45"/>
  <c r="Q25" i="45" s="1"/>
  <c r="R21" i="45"/>
  <c r="R21" i="42"/>
  <c r="Q23" i="42"/>
  <c r="Q25" i="42" s="1"/>
  <c r="Q21" i="39"/>
  <c r="P23" i="39"/>
  <c r="P25" i="39" s="1"/>
  <c r="Q21" i="33"/>
  <c r="P23" i="33"/>
  <c r="P25" i="33" s="1"/>
  <c r="Q21" i="30"/>
  <c r="P23" i="30"/>
  <c r="P25" i="30" s="1"/>
  <c r="P23" i="27"/>
  <c r="P25" i="27" s="1"/>
  <c r="Q21" i="27"/>
  <c r="Q21" i="24"/>
  <c r="P23" i="24"/>
  <c r="P25" i="24" s="1"/>
  <c r="Q21" i="21"/>
  <c r="P23" i="21"/>
  <c r="P25" i="21" s="1"/>
  <c r="O21" i="18"/>
  <c r="N23" i="18"/>
  <c r="N25" i="18" s="1"/>
  <c r="P50" i="14" l="1"/>
  <c r="P51" i="14" s="1"/>
  <c r="P47" i="14"/>
  <c r="P50" i="11"/>
  <c r="P51" i="11" s="1"/>
  <c r="P47" i="11"/>
  <c r="P50" i="17"/>
  <c r="P51" i="17" s="1"/>
  <c r="P47" i="17"/>
  <c r="Q46" i="17"/>
  <c r="Q47" i="14"/>
  <c r="Q50" i="14"/>
  <c r="Q47" i="11"/>
  <c r="Q50" i="11"/>
  <c r="Q21" i="36"/>
  <c r="P23" i="36"/>
  <c r="P25" i="36" s="1"/>
  <c r="R21" i="54"/>
  <c r="Q23" i="54"/>
  <c r="Q25" i="54" s="1"/>
  <c r="S21" i="51"/>
  <c r="R23" i="51"/>
  <c r="R25" i="51" s="1"/>
  <c r="R21" i="48"/>
  <c r="Q23" i="48"/>
  <c r="Q25" i="48" s="1"/>
  <c r="S21" i="45"/>
  <c r="R23" i="45"/>
  <c r="R25" i="45" s="1"/>
  <c r="S21" i="42"/>
  <c r="R23" i="42"/>
  <c r="R25" i="42" s="1"/>
  <c r="R21" i="39"/>
  <c r="Q23" i="39"/>
  <c r="Q25" i="39" s="1"/>
  <c r="R21" i="33"/>
  <c r="Q23" i="33"/>
  <c r="Q25" i="33" s="1"/>
  <c r="R21" i="30"/>
  <c r="Q23" i="30"/>
  <c r="Q25" i="30" s="1"/>
  <c r="R21" i="27"/>
  <c r="Q23" i="27"/>
  <c r="Q25" i="27" s="1"/>
  <c r="R21" i="24"/>
  <c r="Q23" i="24"/>
  <c r="Q25" i="24" s="1"/>
  <c r="R21" i="21"/>
  <c r="Q23" i="21"/>
  <c r="Q25" i="21" s="1"/>
  <c r="P21" i="18"/>
  <c r="O23" i="18"/>
  <c r="O25" i="18" s="1"/>
  <c r="Q47" i="17" l="1"/>
  <c r="Q51" i="17"/>
  <c r="Q50" i="17"/>
  <c r="R21" i="36"/>
  <c r="Q23" i="36"/>
  <c r="Q25" i="36" s="1"/>
  <c r="S21" i="54"/>
  <c r="R23" i="54"/>
  <c r="R25" i="54" s="1"/>
  <c r="T21" i="51"/>
  <c r="S23" i="51"/>
  <c r="S25" i="51" s="1"/>
  <c r="S21" i="48"/>
  <c r="R23" i="48"/>
  <c r="R25" i="48" s="1"/>
  <c r="T21" i="45"/>
  <c r="S23" i="45"/>
  <c r="S25" i="45" s="1"/>
  <c r="T21" i="42"/>
  <c r="S23" i="42"/>
  <c r="S25" i="42" s="1"/>
  <c r="S21" i="39"/>
  <c r="R23" i="39"/>
  <c r="R25" i="39" s="1"/>
  <c r="S21" i="33"/>
  <c r="R23" i="33"/>
  <c r="R25" i="33" s="1"/>
  <c r="S21" i="30"/>
  <c r="R23" i="30"/>
  <c r="R25" i="30" s="1"/>
  <c r="S21" i="27"/>
  <c r="R23" i="27"/>
  <c r="R25" i="27" s="1"/>
  <c r="S21" i="24"/>
  <c r="R23" i="24"/>
  <c r="R25" i="24" s="1"/>
  <c r="S21" i="21"/>
  <c r="R23" i="21"/>
  <c r="R25" i="21" s="1"/>
  <c r="Q21" i="18"/>
  <c r="P23" i="18"/>
  <c r="P25" i="18" s="1"/>
  <c r="S21" i="36" l="1"/>
  <c r="R23" i="36"/>
  <c r="R25" i="36" s="1"/>
  <c r="T21" i="54"/>
  <c r="S23" i="54"/>
  <c r="S25" i="54" s="1"/>
  <c r="U21" i="51"/>
  <c r="T23" i="51"/>
  <c r="T25" i="51" s="1"/>
  <c r="T21" i="48"/>
  <c r="S23" i="48"/>
  <c r="S25" i="48" s="1"/>
  <c r="U21" i="45"/>
  <c r="T23" i="45"/>
  <c r="T25" i="45" s="1"/>
  <c r="U21" i="42"/>
  <c r="T23" i="42"/>
  <c r="T25" i="42" s="1"/>
  <c r="T21" i="39"/>
  <c r="S23" i="39"/>
  <c r="S25" i="39" s="1"/>
  <c r="T21" i="33"/>
  <c r="S23" i="33"/>
  <c r="S25" i="33" s="1"/>
  <c r="T21" i="30"/>
  <c r="S23" i="30"/>
  <c r="S25" i="30" s="1"/>
  <c r="T21" i="27"/>
  <c r="S23" i="27"/>
  <c r="S25" i="27" s="1"/>
  <c r="T21" i="24"/>
  <c r="S23" i="24"/>
  <c r="S25" i="24" s="1"/>
  <c r="T21" i="21"/>
  <c r="S23" i="21"/>
  <c r="S25" i="21" s="1"/>
  <c r="R21" i="18"/>
  <c r="Q23" i="18"/>
  <c r="Q25" i="18" s="1"/>
  <c r="I62" i="16"/>
  <c r="H62" i="16"/>
  <c r="M36" i="16"/>
  <c r="L36" i="16"/>
  <c r="K36" i="16"/>
  <c r="I58" i="16" s="1"/>
  <c r="J36" i="16"/>
  <c r="H58" i="16" s="1"/>
  <c r="I36" i="16"/>
  <c r="G58" i="16" s="1"/>
  <c r="M29" i="16"/>
  <c r="L29" i="16"/>
  <c r="K29" i="16"/>
  <c r="J29" i="16"/>
  <c r="I29" i="16"/>
  <c r="H29" i="16"/>
  <c r="G29" i="16"/>
  <c r="F29" i="16"/>
  <c r="E29" i="16"/>
  <c r="D29" i="16"/>
  <c r="M28" i="16"/>
  <c r="L28" i="16"/>
  <c r="K28" i="16"/>
  <c r="J28" i="16"/>
  <c r="I28" i="16"/>
  <c r="H28" i="16"/>
  <c r="G28" i="16"/>
  <c r="F28" i="16"/>
  <c r="E28" i="16"/>
  <c r="D28" i="16"/>
  <c r="M26" i="16"/>
  <c r="L26" i="16"/>
  <c r="K26" i="16"/>
  <c r="J26" i="16"/>
  <c r="I26" i="16"/>
  <c r="H26" i="16"/>
  <c r="G26" i="16"/>
  <c r="F26" i="16"/>
  <c r="E26" i="16"/>
  <c r="D26" i="16"/>
  <c r="M25" i="16"/>
  <c r="L25" i="16"/>
  <c r="K25" i="16"/>
  <c r="J25" i="16"/>
  <c r="I25" i="16"/>
  <c r="H25" i="16"/>
  <c r="G25" i="16"/>
  <c r="F25" i="16"/>
  <c r="E25" i="16"/>
  <c r="D25" i="16"/>
  <c r="B11" i="16"/>
  <c r="I9" i="16"/>
  <c r="D101" i="15"/>
  <c r="C101" i="15"/>
  <c r="D100" i="15"/>
  <c r="C100" i="15"/>
  <c r="D99" i="15"/>
  <c r="C99" i="15"/>
  <c r="D98" i="15"/>
  <c r="C98" i="15"/>
  <c r="D97" i="15"/>
  <c r="C97" i="15"/>
  <c r="K29" i="15"/>
  <c r="L29" i="15" s="1"/>
  <c r="M29" i="15" s="1"/>
  <c r="N29" i="15" s="1"/>
  <c r="O29" i="15" s="1"/>
  <c r="P29" i="15" s="1"/>
  <c r="Q29" i="15" s="1"/>
  <c r="R29" i="15" s="1"/>
  <c r="S29" i="15" s="1"/>
  <c r="BE176" i="14"/>
  <c r="BE175" i="14"/>
  <c r="BE174" i="14"/>
  <c r="BE173" i="14"/>
  <c r="BE172" i="14"/>
  <c r="BE171" i="14"/>
  <c r="BE170" i="14"/>
  <c r="BE169" i="14"/>
  <c r="CF168" i="14"/>
  <c r="CE168" i="14"/>
  <c r="CJ177" i="14" s="1"/>
  <c r="CF169" i="14" s="1"/>
  <c r="BF168" i="14"/>
  <c r="BF169" i="14" s="1"/>
  <c r="BF170" i="14" s="1"/>
  <c r="BF171" i="14" s="1"/>
  <c r="BF172" i="14" s="1"/>
  <c r="BF173" i="14" s="1"/>
  <c r="BF174" i="14" s="1"/>
  <c r="BF175" i="14" s="1"/>
  <c r="BF176" i="14" s="1"/>
  <c r="BE168" i="14"/>
  <c r="BE167" i="14"/>
  <c r="BE166" i="14"/>
  <c r="W210" i="14"/>
  <c r="X210" i="14" s="1"/>
  <c r="R133" i="14"/>
  <c r="R132" i="14"/>
  <c r="R131" i="14"/>
  <c r="R130" i="14"/>
  <c r="R129" i="14"/>
  <c r="R128" i="14"/>
  <c r="R127" i="14"/>
  <c r="AE126" i="14"/>
  <c r="AD126" i="14"/>
  <c r="AC126" i="14"/>
  <c r="AB126" i="14"/>
  <c r="AA126" i="14"/>
  <c r="R126" i="14"/>
  <c r="R125" i="14"/>
  <c r="R124" i="14"/>
  <c r="I62" i="13"/>
  <c r="H62" i="13"/>
  <c r="M36" i="13"/>
  <c r="L36" i="13"/>
  <c r="K36" i="13"/>
  <c r="I58" i="13" s="1"/>
  <c r="J36" i="13"/>
  <c r="H58" i="13" s="1"/>
  <c r="I36" i="13"/>
  <c r="G58" i="13" s="1"/>
  <c r="M29" i="13"/>
  <c r="L29" i="13"/>
  <c r="K29" i="13"/>
  <c r="J29" i="13"/>
  <c r="I29" i="13"/>
  <c r="H29" i="13"/>
  <c r="G29" i="13"/>
  <c r="F29" i="13"/>
  <c r="E29" i="13"/>
  <c r="D29" i="13"/>
  <c r="M28" i="13"/>
  <c r="L28" i="13"/>
  <c r="K28" i="13"/>
  <c r="J28" i="13"/>
  <c r="I28" i="13"/>
  <c r="H28" i="13"/>
  <c r="G28" i="13"/>
  <c r="F28" i="13"/>
  <c r="E28" i="13"/>
  <c r="D28" i="13"/>
  <c r="M26" i="13"/>
  <c r="L26" i="13"/>
  <c r="K26" i="13"/>
  <c r="J26" i="13"/>
  <c r="I26" i="13"/>
  <c r="H26" i="13"/>
  <c r="G26" i="13"/>
  <c r="F26" i="13"/>
  <c r="E26" i="13"/>
  <c r="D26" i="13"/>
  <c r="M25" i="13"/>
  <c r="L25" i="13"/>
  <c r="K25" i="13"/>
  <c r="J25" i="13"/>
  <c r="I25" i="13"/>
  <c r="H25" i="13"/>
  <c r="G25" i="13"/>
  <c r="F25" i="13"/>
  <c r="E25" i="13"/>
  <c r="D25" i="13"/>
  <c r="B11" i="13"/>
  <c r="I9" i="13"/>
  <c r="D101" i="12"/>
  <c r="C101" i="12"/>
  <c r="D100" i="12"/>
  <c r="C100" i="12"/>
  <c r="D99" i="12"/>
  <c r="C99" i="12"/>
  <c r="D98" i="12"/>
  <c r="C98" i="12"/>
  <c r="D97" i="12"/>
  <c r="C97" i="12"/>
  <c r="K29" i="12"/>
  <c r="L29" i="12" s="1"/>
  <c r="M29" i="12" s="1"/>
  <c r="N29" i="12" s="1"/>
  <c r="O29" i="12" s="1"/>
  <c r="P29" i="12" s="1"/>
  <c r="Q29" i="12" s="1"/>
  <c r="R29" i="12" s="1"/>
  <c r="S29" i="12" s="1"/>
  <c r="BE176" i="11"/>
  <c r="BE175" i="11"/>
  <c r="BE174" i="11"/>
  <c r="BE173" i="11"/>
  <c r="BE172" i="11"/>
  <c r="BE171" i="11"/>
  <c r="BE170" i="11"/>
  <c r="BE169" i="11"/>
  <c r="CF168" i="11"/>
  <c r="CE168" i="11"/>
  <c r="CJ170" i="11" s="1"/>
  <c r="CF176" i="11" s="1"/>
  <c r="BF168" i="11"/>
  <c r="BF169" i="11" s="1"/>
  <c r="BF170" i="11" s="1"/>
  <c r="BF171" i="11" s="1"/>
  <c r="BF172" i="11" s="1"/>
  <c r="BF173" i="11" s="1"/>
  <c r="BF174" i="11" s="1"/>
  <c r="BF175" i="11" s="1"/>
  <c r="BF176" i="11" s="1"/>
  <c r="BE168" i="11"/>
  <c r="BE167" i="11"/>
  <c r="BE166" i="11"/>
  <c r="BV161" i="11"/>
  <c r="BN157" i="11" s="1"/>
  <c r="BN160" i="11"/>
  <c r="W181" i="11" s="1"/>
  <c r="X181" i="11" s="1"/>
  <c r="BV156" i="11"/>
  <c r="BY156" i="11" s="1"/>
  <c r="BG166" i="11"/>
  <c r="R133" i="11"/>
  <c r="R132" i="11"/>
  <c r="R131" i="11"/>
  <c r="R130" i="11"/>
  <c r="R129" i="11"/>
  <c r="R128" i="11"/>
  <c r="R127" i="11"/>
  <c r="R126" i="11"/>
  <c r="R125" i="11"/>
  <c r="R124" i="11"/>
  <c r="AA170" i="11" l="1"/>
  <c r="AA214" i="11" s="1"/>
  <c r="AA215" i="11" s="1"/>
  <c r="AA216" i="11" s="1"/>
  <c r="G272" i="11" s="1"/>
  <c r="G56" i="11" s="1"/>
  <c r="AA171" i="11"/>
  <c r="AC172" i="11"/>
  <c r="AD174" i="11"/>
  <c r="AG173" i="11"/>
  <c r="AH175" i="11"/>
  <c r="AI176" i="11"/>
  <c r="AK174" i="11"/>
  <c r="AK175" i="11"/>
  <c r="AK171" i="11"/>
  <c r="AK173" i="11"/>
  <c r="AK176" i="11"/>
  <c r="AK169" i="11"/>
  <c r="AK170" i="11"/>
  <c r="AK172" i="11"/>
  <c r="Z210" i="11"/>
  <c r="Z206" i="11"/>
  <c r="Z202" i="11"/>
  <c r="Z198" i="11"/>
  <c r="Z194" i="11"/>
  <c r="Z190" i="11"/>
  <c r="Z186" i="11"/>
  <c r="Z182" i="11"/>
  <c r="Z178" i="11"/>
  <c r="Z169" i="11"/>
  <c r="Z211" i="11"/>
  <c r="Z207" i="11"/>
  <c r="Z203" i="11"/>
  <c r="Z199" i="11"/>
  <c r="Z195" i="11"/>
  <c r="Z191" i="11"/>
  <c r="Z187" i="11"/>
  <c r="Z183" i="11"/>
  <c r="Z179" i="11"/>
  <c r="Z176" i="11"/>
  <c r="Z174" i="11"/>
  <c r="Z172" i="11"/>
  <c r="Z170" i="11"/>
  <c r="Z212" i="11"/>
  <c r="Z208" i="11"/>
  <c r="Z204" i="11"/>
  <c r="Z200" i="11"/>
  <c r="Z196" i="11"/>
  <c r="Z192" i="11"/>
  <c r="Z188" i="11"/>
  <c r="Z184" i="11"/>
  <c r="Z180" i="11"/>
  <c r="Z167" i="11"/>
  <c r="Z213" i="11"/>
  <c r="Z209" i="11"/>
  <c r="Z205" i="11"/>
  <c r="Z201" i="11"/>
  <c r="Z197" i="11"/>
  <c r="Z193" i="11"/>
  <c r="Z189" i="11"/>
  <c r="Z185" i="11"/>
  <c r="Z181" i="11"/>
  <c r="Z177" i="11"/>
  <c r="Z175" i="11"/>
  <c r="Z173" i="11"/>
  <c r="Z171" i="11"/>
  <c r="Z168" i="11"/>
  <c r="AB170" i="11"/>
  <c r="AB171" i="11"/>
  <c r="AC171" i="11"/>
  <c r="AC170" i="11"/>
  <c r="AC169" i="11"/>
  <c r="AD171" i="11"/>
  <c r="AD170" i="11"/>
  <c r="AD169" i="11"/>
  <c r="AD172" i="11"/>
  <c r="AE174" i="11"/>
  <c r="AE172" i="11"/>
  <c r="AE171" i="11"/>
  <c r="AE170" i="11"/>
  <c r="AE169" i="11"/>
  <c r="AF174" i="11"/>
  <c r="AF172" i="11"/>
  <c r="AF171" i="11"/>
  <c r="AF170" i="11"/>
  <c r="AF169" i="11"/>
  <c r="AG169" i="11"/>
  <c r="AG174" i="11"/>
  <c r="AG172" i="11"/>
  <c r="AG170" i="11"/>
  <c r="AG171" i="11"/>
  <c r="AH174" i="11"/>
  <c r="AH171" i="11"/>
  <c r="AH173" i="11"/>
  <c r="AH172" i="11"/>
  <c r="AH170" i="11"/>
  <c r="AH169" i="11"/>
  <c r="AI169" i="11"/>
  <c r="AI170" i="11"/>
  <c r="AI171" i="11"/>
  <c r="AI175" i="11"/>
  <c r="AI174" i="11"/>
  <c r="AI173" i="11"/>
  <c r="AI172" i="11"/>
  <c r="AJ176" i="11"/>
  <c r="AJ175" i="11"/>
  <c r="AJ173" i="11"/>
  <c r="AJ169" i="11"/>
  <c r="AJ174" i="11"/>
  <c r="AJ172" i="11"/>
  <c r="AJ171" i="11"/>
  <c r="AJ170" i="11"/>
  <c r="T21" i="36"/>
  <c r="S23" i="36"/>
  <c r="S25" i="36" s="1"/>
  <c r="CJ176" i="11"/>
  <c r="CF170" i="11" s="1"/>
  <c r="CJ171" i="14"/>
  <c r="CF175" i="14" s="1"/>
  <c r="CJ173" i="14"/>
  <c r="CF173" i="14" s="1"/>
  <c r="BL166" i="11"/>
  <c r="BG166" i="14"/>
  <c r="F27" i="12"/>
  <c r="C12" i="12" s="1"/>
  <c r="C19" i="12" s="1"/>
  <c r="F27" i="15"/>
  <c r="C12" i="15" s="1"/>
  <c r="C19" i="15" s="1"/>
  <c r="U21" i="54"/>
  <c r="T23" i="54"/>
  <c r="T25" i="54" s="1"/>
  <c r="U23" i="51"/>
  <c r="U25" i="51" s="1"/>
  <c r="V21" i="51"/>
  <c r="U21" i="48"/>
  <c r="T23" i="48"/>
  <c r="T25" i="48" s="1"/>
  <c r="U23" i="45"/>
  <c r="U25" i="45" s="1"/>
  <c r="V21" i="45"/>
  <c r="U23" i="42"/>
  <c r="U25" i="42" s="1"/>
  <c r="V21" i="42"/>
  <c r="U21" i="39"/>
  <c r="T23" i="39"/>
  <c r="T25" i="39" s="1"/>
  <c r="U21" i="33"/>
  <c r="T23" i="33"/>
  <c r="T25" i="33" s="1"/>
  <c r="U21" i="30"/>
  <c r="T23" i="30"/>
  <c r="T25" i="30" s="1"/>
  <c r="U21" i="27"/>
  <c r="T23" i="27"/>
  <c r="T25" i="27" s="1"/>
  <c r="U21" i="24"/>
  <c r="T23" i="24"/>
  <c r="T25" i="24" s="1"/>
  <c r="U21" i="21"/>
  <c r="T23" i="21"/>
  <c r="T25" i="21" s="1"/>
  <c r="BM166" i="11"/>
  <c r="BN166" i="11"/>
  <c r="CI173" i="11"/>
  <c r="CE173" i="11" s="1"/>
  <c r="CI169" i="11"/>
  <c r="CE177" i="11" s="1"/>
  <c r="CJ172" i="11"/>
  <c r="CF174" i="11" s="1"/>
  <c r="CJ173" i="11"/>
  <c r="CF173" i="11" s="1"/>
  <c r="AB225" i="11"/>
  <c r="AB226" i="11" s="1"/>
  <c r="CJ169" i="11"/>
  <c r="CF177" i="11" s="1"/>
  <c r="BK166" i="11"/>
  <c r="W179" i="14"/>
  <c r="X179" i="14" s="1"/>
  <c r="BL166" i="14"/>
  <c r="CJ172" i="14"/>
  <c r="CF174" i="14" s="1"/>
  <c r="CJ170" i="14"/>
  <c r="CF176" i="14" s="1"/>
  <c r="W187" i="14"/>
  <c r="X187" i="14" s="1"/>
  <c r="W188" i="14"/>
  <c r="X188" i="14" s="1"/>
  <c r="CJ169" i="14"/>
  <c r="CF177" i="14" s="1"/>
  <c r="W167" i="14"/>
  <c r="X167" i="14" s="1"/>
  <c r="CJ176" i="14"/>
  <c r="CF170" i="14" s="1"/>
  <c r="W196" i="14"/>
  <c r="X196" i="14" s="1"/>
  <c r="CJ175" i="14"/>
  <c r="CF171" i="14" s="1"/>
  <c r="W195" i="14"/>
  <c r="X195" i="14" s="1"/>
  <c r="W204" i="14"/>
  <c r="X204" i="14" s="1"/>
  <c r="BN166" i="14"/>
  <c r="S120" i="14"/>
  <c r="F28" i="15" s="1"/>
  <c r="AG15" i="15" s="1"/>
  <c r="AG19" i="15" s="1"/>
  <c r="CJ174" i="14"/>
  <c r="CF172" i="14" s="1"/>
  <c r="W180" i="14"/>
  <c r="X180" i="14" s="1"/>
  <c r="S21" i="18"/>
  <c r="R23" i="18"/>
  <c r="R25" i="18" s="1"/>
  <c r="BK166" i="14"/>
  <c r="BH166" i="14"/>
  <c r="BO166" i="14"/>
  <c r="AB225" i="14"/>
  <c r="AB226" i="14" s="1"/>
  <c r="AA225" i="14"/>
  <c r="AA226" i="14" s="1"/>
  <c r="BM166" i="14"/>
  <c r="BI166" i="14"/>
  <c r="BJ166" i="14"/>
  <c r="CI169" i="14"/>
  <c r="CE177" i="14" s="1"/>
  <c r="CI170" i="14"/>
  <c r="CE176" i="14" s="1"/>
  <c r="CI171" i="14"/>
  <c r="CE175" i="14" s="1"/>
  <c r="CI172" i="14"/>
  <c r="CE174" i="14" s="1"/>
  <c r="CI173" i="14"/>
  <c r="CE173" i="14" s="1"/>
  <c r="CI174" i="14"/>
  <c r="CE172" i="14" s="1"/>
  <c r="CI175" i="14"/>
  <c r="CE171" i="14" s="1"/>
  <c r="CI176" i="14"/>
  <c r="CE170" i="14" s="1"/>
  <c r="W203" i="14"/>
  <c r="X203" i="14" s="1"/>
  <c r="W211" i="14"/>
  <c r="X211" i="14" s="1"/>
  <c r="I38" i="16"/>
  <c r="G62" i="16" s="1"/>
  <c r="W169" i="14"/>
  <c r="X169" i="14" s="1"/>
  <c r="W170" i="14"/>
  <c r="X170" i="14" s="1"/>
  <c r="W171" i="14"/>
  <c r="X171" i="14" s="1"/>
  <c r="W172" i="14"/>
  <c r="X172" i="14" s="1"/>
  <c r="W173" i="14"/>
  <c r="X173" i="14" s="1"/>
  <c r="W174" i="14"/>
  <c r="X174" i="14" s="1"/>
  <c r="W175" i="14"/>
  <c r="X175" i="14" s="1"/>
  <c r="W176" i="14"/>
  <c r="X176" i="14" s="1"/>
  <c r="W177" i="14"/>
  <c r="X177" i="14" s="1"/>
  <c r="W181" i="14"/>
  <c r="X181" i="14" s="1"/>
  <c r="W189" i="14"/>
  <c r="X189" i="14" s="1"/>
  <c r="W197" i="14"/>
  <c r="X197" i="14" s="1"/>
  <c r="W205" i="14"/>
  <c r="X205" i="14" s="1"/>
  <c r="W182" i="14"/>
  <c r="X182" i="14" s="1"/>
  <c r="W190" i="14"/>
  <c r="X190" i="14" s="1"/>
  <c r="W198" i="14"/>
  <c r="X198" i="14" s="1"/>
  <c r="W206" i="14"/>
  <c r="X206" i="14" s="1"/>
  <c r="W168" i="14"/>
  <c r="X168" i="14" s="1"/>
  <c r="X214" i="14" s="1"/>
  <c r="W183" i="14"/>
  <c r="X183" i="14" s="1"/>
  <c r="W191" i="14"/>
  <c r="X191" i="14" s="1"/>
  <c r="W199" i="14"/>
  <c r="X199" i="14" s="1"/>
  <c r="W207" i="14"/>
  <c r="X207" i="14" s="1"/>
  <c r="CI177" i="14"/>
  <c r="CE169" i="14" s="1"/>
  <c r="W184" i="14"/>
  <c r="X184" i="14" s="1"/>
  <c r="W192" i="14"/>
  <c r="X192" i="14" s="1"/>
  <c r="W200" i="14"/>
  <c r="X200" i="14" s="1"/>
  <c r="W208" i="14"/>
  <c r="X208" i="14" s="1"/>
  <c r="W185" i="14"/>
  <c r="X185" i="14" s="1"/>
  <c r="W193" i="14"/>
  <c r="X193" i="14" s="1"/>
  <c r="W201" i="14"/>
  <c r="X201" i="14" s="1"/>
  <c r="W209" i="14"/>
  <c r="X209" i="14" s="1"/>
  <c r="W178" i="14"/>
  <c r="X178" i="14" s="1"/>
  <c r="W186" i="14"/>
  <c r="X186" i="14" s="1"/>
  <c r="W194" i="14"/>
  <c r="X194" i="14" s="1"/>
  <c r="W202" i="14"/>
  <c r="X202" i="14" s="1"/>
  <c r="BI166" i="11"/>
  <c r="I38" i="13"/>
  <c r="G62" i="13" s="1"/>
  <c r="S120" i="11"/>
  <c r="F28" i="12" s="1"/>
  <c r="AM15" i="12" s="1"/>
  <c r="AM19" i="12" s="1"/>
  <c r="W171" i="11"/>
  <c r="X171" i="11" s="1"/>
  <c r="W177" i="11"/>
  <c r="X177" i="11" s="1"/>
  <c r="W179" i="11"/>
  <c r="X179" i="11" s="1"/>
  <c r="W170" i="11"/>
  <c r="X170" i="11" s="1"/>
  <c r="W204" i="11"/>
  <c r="X204" i="11" s="1"/>
  <c r="CJ177" i="11"/>
  <c r="CF169" i="11" s="1"/>
  <c r="CI177" i="11"/>
  <c r="CE169" i="11" s="1"/>
  <c r="W210" i="11"/>
  <c r="X210" i="11" s="1"/>
  <c r="W202" i="11"/>
  <c r="X202" i="11" s="1"/>
  <c r="W194" i="11"/>
  <c r="X194" i="11" s="1"/>
  <c r="W186" i="11"/>
  <c r="X186" i="11" s="1"/>
  <c r="W178" i="11"/>
  <c r="X178" i="11" s="1"/>
  <c r="W209" i="11"/>
  <c r="X209" i="11" s="1"/>
  <c r="W201" i="11"/>
  <c r="X201" i="11" s="1"/>
  <c r="W193" i="11"/>
  <c r="X193" i="11" s="1"/>
  <c r="W185" i="11"/>
  <c r="X185" i="11" s="1"/>
  <c r="W208" i="11"/>
  <c r="X208" i="11" s="1"/>
  <c r="W200" i="11"/>
  <c r="X200" i="11" s="1"/>
  <c r="W192" i="11"/>
  <c r="X192" i="11" s="1"/>
  <c r="W184" i="11"/>
  <c r="X184" i="11" s="1"/>
  <c r="W207" i="11"/>
  <c r="X207" i="11" s="1"/>
  <c r="W199" i="11"/>
  <c r="X199" i="11" s="1"/>
  <c r="W191" i="11"/>
  <c r="X191" i="11" s="1"/>
  <c r="W183" i="11"/>
  <c r="X183" i="11" s="1"/>
  <c r="W168" i="11"/>
  <c r="X168" i="11" s="1"/>
  <c r="W206" i="11"/>
  <c r="X206" i="11" s="1"/>
  <c r="W198" i="11"/>
  <c r="X198" i="11" s="1"/>
  <c r="W190" i="11"/>
  <c r="X190" i="11" s="1"/>
  <c r="W173" i="11"/>
  <c r="X173" i="11" s="1"/>
  <c r="BJ166" i="11"/>
  <c r="W180" i="11"/>
  <c r="X180" i="11" s="1"/>
  <c r="W188" i="11"/>
  <c r="X188" i="11" s="1"/>
  <c r="W203" i="11"/>
  <c r="X203" i="11" s="1"/>
  <c r="AA225" i="11"/>
  <c r="AA226" i="11" s="1"/>
  <c r="BO166" i="11"/>
  <c r="W169" i="11"/>
  <c r="X169" i="11" s="1"/>
  <c r="CI171" i="11"/>
  <c r="CE175" i="11" s="1"/>
  <c r="W175" i="11"/>
  <c r="X175" i="11" s="1"/>
  <c r="CI175" i="11"/>
  <c r="CE171" i="11" s="1"/>
  <c r="W187" i="11"/>
  <c r="X187" i="11" s="1"/>
  <c r="W189" i="11"/>
  <c r="X189" i="11" s="1"/>
  <c r="W174" i="11"/>
  <c r="X174" i="11" s="1"/>
  <c r="W167" i="11"/>
  <c r="X167" i="11" s="1"/>
  <c r="CJ171" i="11"/>
  <c r="CF175" i="11" s="1"/>
  <c r="CJ175" i="11"/>
  <c r="CF171" i="11" s="1"/>
  <c r="W197" i="11"/>
  <c r="X197" i="11" s="1"/>
  <c r="W182" i="11"/>
  <c r="X182" i="11" s="1"/>
  <c r="W205" i="11"/>
  <c r="X205" i="11" s="1"/>
  <c r="CI174" i="11"/>
  <c r="CE172" i="11" s="1"/>
  <c r="CJ174" i="11"/>
  <c r="CF172" i="11" s="1"/>
  <c r="CI170" i="11"/>
  <c r="CE176" i="11" s="1"/>
  <c r="W172" i="11"/>
  <c r="X172" i="11" s="1"/>
  <c r="CI172" i="11"/>
  <c r="CE174" i="11" s="1"/>
  <c r="W176" i="11"/>
  <c r="X176" i="11" s="1"/>
  <c r="CI176" i="11"/>
  <c r="CE170" i="11" s="1"/>
  <c r="W195" i="11"/>
  <c r="X195" i="11" s="1"/>
  <c r="W196" i="11"/>
  <c r="X196" i="11" s="1"/>
  <c r="W211" i="11"/>
  <c r="X211" i="11" s="1"/>
  <c r="I62" i="10"/>
  <c r="H62" i="10"/>
  <c r="M36" i="10"/>
  <c r="L36" i="10"/>
  <c r="K36" i="10"/>
  <c r="I58" i="10" s="1"/>
  <c r="J36" i="10"/>
  <c r="H58" i="10" s="1"/>
  <c r="I36" i="10"/>
  <c r="G58" i="10" s="1"/>
  <c r="M29" i="10"/>
  <c r="L29" i="10"/>
  <c r="K29" i="10"/>
  <c r="J29" i="10"/>
  <c r="I29" i="10"/>
  <c r="H29" i="10"/>
  <c r="G29" i="10"/>
  <c r="F29" i="10"/>
  <c r="E29" i="10"/>
  <c r="D29" i="10"/>
  <c r="M28" i="10"/>
  <c r="L28" i="10"/>
  <c r="K28" i="10"/>
  <c r="J28" i="10"/>
  <c r="I28" i="10"/>
  <c r="H28" i="10"/>
  <c r="G28" i="10"/>
  <c r="F28" i="10"/>
  <c r="E28" i="10"/>
  <c r="D28" i="10"/>
  <c r="M26" i="10"/>
  <c r="L26" i="10"/>
  <c r="K26" i="10"/>
  <c r="J26" i="10"/>
  <c r="I26" i="10"/>
  <c r="H26" i="10"/>
  <c r="G26" i="10"/>
  <c r="F26" i="10"/>
  <c r="E26" i="10"/>
  <c r="D26" i="10"/>
  <c r="M25" i="10"/>
  <c r="L25" i="10"/>
  <c r="K25" i="10"/>
  <c r="J25" i="10"/>
  <c r="I25" i="10"/>
  <c r="H25" i="10"/>
  <c r="G25" i="10"/>
  <c r="F25" i="10"/>
  <c r="E25" i="10"/>
  <c r="D25" i="10"/>
  <c r="B11" i="10"/>
  <c r="I9" i="10"/>
  <c r="D101" i="9"/>
  <c r="C101" i="9"/>
  <c r="D100" i="9"/>
  <c r="C100" i="9"/>
  <c r="D99" i="9"/>
  <c r="C99" i="9"/>
  <c r="D98" i="9"/>
  <c r="C98" i="9"/>
  <c r="D97" i="9"/>
  <c r="C97" i="9"/>
  <c r="L29" i="9"/>
  <c r="M29" i="9" s="1"/>
  <c r="N29" i="9" s="1"/>
  <c r="O29" i="9" s="1"/>
  <c r="P29" i="9" s="1"/>
  <c r="Q29" i="9" s="1"/>
  <c r="R29" i="9" s="1"/>
  <c r="S29" i="9" s="1"/>
  <c r="K29" i="9"/>
  <c r="BE176" i="8"/>
  <c r="BE175" i="8"/>
  <c r="BE174" i="8"/>
  <c r="BE173" i="8"/>
  <c r="BE172" i="8"/>
  <c r="BE171" i="8"/>
  <c r="BE170" i="8"/>
  <c r="BE169" i="8"/>
  <c r="CF168" i="8"/>
  <c r="CE168" i="8"/>
  <c r="CI172" i="8" s="1"/>
  <c r="CE174" i="8" s="1"/>
  <c r="BF168" i="8"/>
  <c r="BF169" i="8" s="1"/>
  <c r="BF170" i="8" s="1"/>
  <c r="BF171" i="8" s="1"/>
  <c r="BF172" i="8" s="1"/>
  <c r="BF173" i="8" s="1"/>
  <c r="BF174" i="8" s="1"/>
  <c r="BF175" i="8" s="1"/>
  <c r="BF176" i="8" s="1"/>
  <c r="BE168" i="8"/>
  <c r="BE167" i="8"/>
  <c r="BE166" i="8"/>
  <c r="W211" i="8"/>
  <c r="X211" i="8" s="1"/>
  <c r="BG166" i="8"/>
  <c r="R133" i="8"/>
  <c r="R132" i="8"/>
  <c r="R131" i="8"/>
  <c r="R130" i="8"/>
  <c r="R129" i="8"/>
  <c r="R128" i="8"/>
  <c r="R127" i="8"/>
  <c r="AE126" i="8"/>
  <c r="AD126" i="8"/>
  <c r="AC126" i="8"/>
  <c r="AB126" i="8"/>
  <c r="AA126" i="8"/>
  <c r="R126" i="8"/>
  <c r="R125" i="8"/>
  <c r="R124" i="8"/>
  <c r="V115" i="8"/>
  <c r="S59" i="8" s="1"/>
  <c r="AB214" i="11" l="1"/>
  <c r="AB215" i="11" s="1"/>
  <c r="AB216" i="11" s="1"/>
  <c r="H272" i="11" s="1"/>
  <c r="H56" i="11" s="1"/>
  <c r="AC214" i="11"/>
  <c r="AC215" i="11" s="1"/>
  <c r="AK214" i="11"/>
  <c r="AK215" i="11" s="1"/>
  <c r="AK216" i="11" s="1"/>
  <c r="C25" i="16"/>
  <c r="C31" i="16" s="1"/>
  <c r="BZ161" i="14"/>
  <c r="Y168" i="14"/>
  <c r="BV157" i="14"/>
  <c r="AJ214" i="11"/>
  <c r="AJ215" i="11" s="1"/>
  <c r="AJ216" i="11" s="1"/>
  <c r="AD214" i="11"/>
  <c r="AD215" i="11" s="1"/>
  <c r="AD216" i="11" s="1"/>
  <c r="AI214" i="11"/>
  <c r="AI215" i="11" s="1"/>
  <c r="AI216" i="11" s="1"/>
  <c r="U21" i="36"/>
  <c r="T23" i="36"/>
  <c r="T25" i="36" s="1"/>
  <c r="AH214" i="11"/>
  <c r="AH215" i="11" s="1"/>
  <c r="AH216" i="11" s="1"/>
  <c r="AE214" i="11"/>
  <c r="AE215" i="11" s="1"/>
  <c r="AE216" i="11" s="1"/>
  <c r="AG214" i="11"/>
  <c r="AG215" i="11" s="1"/>
  <c r="AG216" i="11" s="1"/>
  <c r="AF214" i="11"/>
  <c r="AF215" i="11" s="1"/>
  <c r="AF216" i="11" s="1"/>
  <c r="BZ161" i="11"/>
  <c r="S123" i="11" s="1"/>
  <c r="H37" i="13" s="1"/>
  <c r="F59" i="13" s="1"/>
  <c r="BH166" i="11"/>
  <c r="Y180" i="11" s="1"/>
  <c r="C25" i="13"/>
  <c r="C31" i="13" s="1"/>
  <c r="F27" i="9"/>
  <c r="C12" i="9" s="1"/>
  <c r="C25" i="10" s="1"/>
  <c r="C31" i="10" s="1"/>
  <c r="AC15" i="15"/>
  <c r="AC19" i="15" s="1"/>
  <c r="AK15" i="15"/>
  <c r="AK19" i="15" s="1"/>
  <c r="G15" i="15"/>
  <c r="G19" i="15" s="1"/>
  <c r="Z15" i="15"/>
  <c r="Z19" i="15" s="1"/>
  <c r="P15" i="15"/>
  <c r="P19" i="15" s="1"/>
  <c r="R15" i="15"/>
  <c r="R19" i="15" s="1"/>
  <c r="U23" i="54"/>
  <c r="U25" i="54" s="1"/>
  <c r="V21" i="54"/>
  <c r="W21" i="51"/>
  <c r="V23" i="51"/>
  <c r="V25" i="51" s="1"/>
  <c r="U23" i="48"/>
  <c r="U25" i="48" s="1"/>
  <c r="V21" i="48"/>
  <c r="W21" i="45"/>
  <c r="V23" i="45"/>
  <c r="V25" i="45" s="1"/>
  <c r="W21" i="42"/>
  <c r="V23" i="42"/>
  <c r="V25" i="42" s="1"/>
  <c r="U23" i="39"/>
  <c r="U25" i="39" s="1"/>
  <c r="V21" i="39"/>
  <c r="U23" i="33"/>
  <c r="U25" i="33" s="1"/>
  <c r="V21" i="33"/>
  <c r="U23" i="30"/>
  <c r="U25" i="30" s="1"/>
  <c r="V21" i="30"/>
  <c r="U23" i="27"/>
  <c r="U25" i="27" s="1"/>
  <c r="V21" i="27"/>
  <c r="U23" i="24"/>
  <c r="U25" i="24" s="1"/>
  <c r="V21" i="24"/>
  <c r="U23" i="21"/>
  <c r="U25" i="21" s="1"/>
  <c r="V21" i="21"/>
  <c r="BK166" i="8"/>
  <c r="BI166" i="8"/>
  <c r="BL166" i="8"/>
  <c r="W167" i="8"/>
  <c r="X167" i="8" s="1"/>
  <c r="BO166" i="8"/>
  <c r="AN15" i="12"/>
  <c r="AN19" i="12" s="1"/>
  <c r="AK15" i="12"/>
  <c r="AK19" i="12" s="1"/>
  <c r="J15" i="12"/>
  <c r="J19" i="12" s="1"/>
  <c r="P15" i="12"/>
  <c r="P19" i="12" s="1"/>
  <c r="AH15" i="15"/>
  <c r="AH19" i="15" s="1"/>
  <c r="O15" i="15"/>
  <c r="O19" i="15" s="1"/>
  <c r="AQ15" i="15"/>
  <c r="AQ19" i="15" s="1"/>
  <c r="W15" i="15"/>
  <c r="W19" i="15" s="1"/>
  <c r="D15" i="15"/>
  <c r="D19" i="15" s="1"/>
  <c r="AO15" i="15"/>
  <c r="AO19" i="15" s="1"/>
  <c r="L15" i="15"/>
  <c r="L19" i="15" s="1"/>
  <c r="Q15" i="15"/>
  <c r="Q19" i="15" s="1"/>
  <c r="H15" i="15"/>
  <c r="H19" i="15" s="1"/>
  <c r="U15" i="15"/>
  <c r="U19" i="15" s="1"/>
  <c r="I15" i="15"/>
  <c r="I19" i="15" s="1"/>
  <c r="X15" i="15"/>
  <c r="X19" i="15" s="1"/>
  <c r="AP15" i="15"/>
  <c r="AP19" i="15" s="1"/>
  <c r="T15" i="15"/>
  <c r="T19" i="15" s="1"/>
  <c r="F15" i="15"/>
  <c r="F19" i="15" s="1"/>
  <c r="AE15" i="15"/>
  <c r="AE19" i="15" s="1"/>
  <c r="AF15" i="15"/>
  <c r="AF19" i="15" s="1"/>
  <c r="K15" i="15"/>
  <c r="K19" i="15" s="1"/>
  <c r="AB15" i="15"/>
  <c r="AB19" i="15" s="1"/>
  <c r="N15" i="15"/>
  <c r="N19" i="15" s="1"/>
  <c r="AM15" i="15"/>
  <c r="AM19" i="15" s="1"/>
  <c r="Y15" i="15"/>
  <c r="Y19" i="15" s="1"/>
  <c r="AN15" i="15"/>
  <c r="S15" i="15"/>
  <c r="S19" i="15" s="1"/>
  <c r="AJ15" i="15"/>
  <c r="AJ19" i="15" s="1"/>
  <c r="V15" i="15"/>
  <c r="V19" i="15" s="1"/>
  <c r="H27" i="15"/>
  <c r="AA15" i="15"/>
  <c r="AA19" i="15" s="1"/>
  <c r="E15" i="15"/>
  <c r="E19" i="15" s="1"/>
  <c r="AD15" i="15"/>
  <c r="AD19" i="15" s="1"/>
  <c r="J15" i="15"/>
  <c r="J19" i="15" s="1"/>
  <c r="AI15" i="15"/>
  <c r="AI19" i="15" s="1"/>
  <c r="M15" i="15"/>
  <c r="M19" i="15" s="1"/>
  <c r="AL15" i="15"/>
  <c r="AL19" i="15" s="1"/>
  <c r="T21" i="18"/>
  <c r="S23" i="18"/>
  <c r="S25" i="18" s="1"/>
  <c r="BG168" i="14"/>
  <c r="BG169" i="14"/>
  <c r="BG167" i="14"/>
  <c r="C25" i="15"/>
  <c r="C21" i="15"/>
  <c r="I15" i="12"/>
  <c r="I19" i="12" s="1"/>
  <c r="V15" i="12"/>
  <c r="V19" i="12" s="1"/>
  <c r="AL15" i="12"/>
  <c r="AL19" i="12" s="1"/>
  <c r="H27" i="12"/>
  <c r="AA15" i="12"/>
  <c r="AA19" i="12" s="1"/>
  <c r="L15" i="12"/>
  <c r="L19" i="12" s="1"/>
  <c r="H15" i="12"/>
  <c r="H19" i="12" s="1"/>
  <c r="E15" i="12"/>
  <c r="E19" i="12" s="1"/>
  <c r="AG15" i="12"/>
  <c r="AG19" i="12" s="1"/>
  <c r="T15" i="12"/>
  <c r="T19" i="12" s="1"/>
  <c r="O15" i="12"/>
  <c r="O19" i="12" s="1"/>
  <c r="AO15" i="12"/>
  <c r="AO19" i="12" s="1"/>
  <c r="AJ15" i="12"/>
  <c r="AJ19" i="12" s="1"/>
  <c r="AE15" i="12"/>
  <c r="AE19" i="12" s="1"/>
  <c r="Z15" i="12"/>
  <c r="Z19" i="12" s="1"/>
  <c r="AH15" i="12"/>
  <c r="AH19" i="12" s="1"/>
  <c r="AC15" i="12"/>
  <c r="AC19" i="12" s="1"/>
  <c r="Q15" i="12"/>
  <c r="Q19" i="12" s="1"/>
  <c r="AI15" i="12"/>
  <c r="AI19" i="12" s="1"/>
  <c r="AD15" i="12"/>
  <c r="AD19" i="12" s="1"/>
  <c r="AF15" i="12"/>
  <c r="AF19" i="12" s="1"/>
  <c r="S15" i="12"/>
  <c r="S19" i="12" s="1"/>
  <c r="M15" i="12"/>
  <c r="M19" i="12" s="1"/>
  <c r="W15" i="12"/>
  <c r="W19" i="12" s="1"/>
  <c r="D15" i="12"/>
  <c r="D19" i="12" s="1"/>
  <c r="F15" i="12"/>
  <c r="F19" i="12" s="1"/>
  <c r="AP15" i="12"/>
  <c r="AP19" i="12" s="1"/>
  <c r="Y15" i="12"/>
  <c r="Y19" i="12" s="1"/>
  <c r="AQ15" i="12"/>
  <c r="AQ19" i="12" s="1"/>
  <c r="U15" i="12"/>
  <c r="U19" i="12" s="1"/>
  <c r="G15" i="12"/>
  <c r="G19" i="12" s="1"/>
  <c r="R15" i="12"/>
  <c r="R19" i="12" s="1"/>
  <c r="X15" i="12"/>
  <c r="X19" i="12" s="1"/>
  <c r="K15" i="12"/>
  <c r="K19" i="12" s="1"/>
  <c r="AB15" i="12"/>
  <c r="AB19" i="12" s="1"/>
  <c r="N15" i="12"/>
  <c r="N19" i="12" s="1"/>
  <c r="BG167" i="11"/>
  <c r="C25" i="12"/>
  <c r="C21" i="12"/>
  <c r="X214" i="11"/>
  <c r="BJ166" i="8"/>
  <c r="BM166" i="8"/>
  <c r="BN166" i="8"/>
  <c r="CJ177" i="8"/>
  <c r="CF169" i="8" s="1"/>
  <c r="CI177" i="8"/>
  <c r="CE169" i="8" s="1"/>
  <c r="CJ176" i="8"/>
  <c r="CF170" i="8" s="1"/>
  <c r="CJ175" i="8"/>
  <c r="CF171" i="8" s="1"/>
  <c r="CJ174" i="8"/>
  <c r="CF172" i="8" s="1"/>
  <c r="CJ173" i="8"/>
  <c r="CF173" i="8" s="1"/>
  <c r="CJ172" i="8"/>
  <c r="CF174" i="8" s="1"/>
  <c r="CJ171" i="8"/>
  <c r="CF175" i="8" s="1"/>
  <c r="CJ170" i="8"/>
  <c r="CF176" i="8" s="1"/>
  <c r="CJ169" i="8"/>
  <c r="CF177" i="8" s="1"/>
  <c r="CI176" i="8"/>
  <c r="CE170" i="8" s="1"/>
  <c r="I38" i="10"/>
  <c r="G62" i="10" s="1"/>
  <c r="CI173" i="8"/>
  <c r="CE173" i="8" s="1"/>
  <c r="W179" i="8"/>
  <c r="X179" i="8" s="1"/>
  <c r="W195" i="8"/>
  <c r="X195" i="8" s="1"/>
  <c r="W210" i="8"/>
  <c r="X210" i="8" s="1"/>
  <c r="W202" i="8"/>
  <c r="X202" i="8" s="1"/>
  <c r="W194" i="8"/>
  <c r="X194" i="8" s="1"/>
  <c r="W186" i="8"/>
  <c r="X186" i="8" s="1"/>
  <c r="W178" i="8"/>
  <c r="X178" i="8" s="1"/>
  <c r="W209" i="8"/>
  <c r="X209" i="8" s="1"/>
  <c r="W201" i="8"/>
  <c r="X201" i="8" s="1"/>
  <c r="W193" i="8"/>
  <c r="X193" i="8" s="1"/>
  <c r="W185" i="8"/>
  <c r="X185" i="8" s="1"/>
  <c r="W208" i="8"/>
  <c r="X208" i="8" s="1"/>
  <c r="W200" i="8"/>
  <c r="X200" i="8" s="1"/>
  <c r="W192" i="8"/>
  <c r="X192" i="8" s="1"/>
  <c r="W184" i="8"/>
  <c r="X184" i="8" s="1"/>
  <c r="W207" i="8"/>
  <c r="X207" i="8" s="1"/>
  <c r="W199" i="8"/>
  <c r="X199" i="8" s="1"/>
  <c r="W191" i="8"/>
  <c r="X191" i="8" s="1"/>
  <c r="W183" i="8"/>
  <c r="X183" i="8" s="1"/>
  <c r="W168" i="8"/>
  <c r="X168" i="8" s="1"/>
  <c r="W206" i="8"/>
  <c r="X206" i="8" s="1"/>
  <c r="W198" i="8"/>
  <c r="X198" i="8" s="1"/>
  <c r="W190" i="8"/>
  <c r="X190" i="8" s="1"/>
  <c r="W182" i="8"/>
  <c r="X182" i="8" s="1"/>
  <c r="W205" i="8"/>
  <c r="X205" i="8" s="1"/>
  <c r="W197" i="8"/>
  <c r="X197" i="8" s="1"/>
  <c r="W189" i="8"/>
  <c r="X189" i="8" s="1"/>
  <c r="W181" i="8"/>
  <c r="X181" i="8" s="1"/>
  <c r="W177" i="8"/>
  <c r="X177" i="8" s="1"/>
  <c r="W176" i="8"/>
  <c r="X176" i="8" s="1"/>
  <c r="W175" i="8"/>
  <c r="X175" i="8" s="1"/>
  <c r="W174" i="8"/>
  <c r="X174" i="8" s="1"/>
  <c r="W173" i="8"/>
  <c r="X173" i="8" s="1"/>
  <c r="W172" i="8"/>
  <c r="X172" i="8" s="1"/>
  <c r="W171" i="8"/>
  <c r="X171" i="8" s="1"/>
  <c r="W170" i="8"/>
  <c r="X170" i="8" s="1"/>
  <c r="W169" i="8"/>
  <c r="X169" i="8" s="1"/>
  <c r="W204" i="8"/>
  <c r="X204" i="8" s="1"/>
  <c r="W196" i="8"/>
  <c r="X196" i="8" s="1"/>
  <c r="W188" i="8"/>
  <c r="X188" i="8" s="1"/>
  <c r="W180" i="8"/>
  <c r="X180" i="8" s="1"/>
  <c r="CI169" i="8"/>
  <c r="CE177" i="8" s="1"/>
  <c r="CI170" i="8"/>
  <c r="CE176" i="8" s="1"/>
  <c r="CI174" i="8"/>
  <c r="CE172" i="8" s="1"/>
  <c r="CI171" i="8"/>
  <c r="CE175" i="8" s="1"/>
  <c r="CI175" i="8"/>
  <c r="CE171" i="8" s="1"/>
  <c r="W187" i="8"/>
  <c r="X187" i="8" s="1"/>
  <c r="W203" i="8"/>
  <c r="X203" i="8" s="1"/>
  <c r="AC216" i="11" l="1"/>
  <c r="I272" i="11" s="1"/>
  <c r="I56" i="11" s="1"/>
  <c r="N272" i="11"/>
  <c r="N56" i="11" s="1"/>
  <c r="Q272" i="11"/>
  <c r="O272" i="11"/>
  <c r="O56" i="11" s="1"/>
  <c r="J272" i="11"/>
  <c r="J56" i="11" s="1"/>
  <c r="K272" i="11"/>
  <c r="K56" i="11" s="1"/>
  <c r="L272" i="11"/>
  <c r="L56" i="11" s="1"/>
  <c r="P272" i="11"/>
  <c r="M272" i="11"/>
  <c r="M56" i="11" s="1"/>
  <c r="D64" i="11"/>
  <c r="Y192" i="11"/>
  <c r="Y202" i="11"/>
  <c r="Y173" i="11"/>
  <c r="Y199" i="11"/>
  <c r="Y212" i="11"/>
  <c r="Y178" i="11"/>
  <c r="Y179" i="11"/>
  <c r="Y171" i="11"/>
  <c r="Y208" i="11"/>
  <c r="Y185" i="11"/>
  <c r="Y191" i="11"/>
  <c r="Y169" i="11"/>
  <c r="Y207" i="11"/>
  <c r="Y195" i="11"/>
  <c r="Y209" i="11"/>
  <c r="Y204" i="11"/>
  <c r="Y196" i="11"/>
  <c r="Y189" i="11"/>
  <c r="Y168" i="11"/>
  <c r="Y181" i="11"/>
  <c r="Y175" i="11"/>
  <c r="Y187" i="11"/>
  <c r="Y213" i="11"/>
  <c r="Y177" i="11"/>
  <c r="Y194" i="11"/>
  <c r="Y172" i="11"/>
  <c r="Y170" i="11"/>
  <c r="Z211" i="14"/>
  <c r="Y211" i="14" s="1"/>
  <c r="Z203" i="14"/>
  <c r="Y203" i="14" s="1"/>
  <c r="Z195" i="14"/>
  <c r="Y195" i="14" s="1"/>
  <c r="Z191" i="14"/>
  <c r="Y191" i="14" s="1"/>
  <c r="Z187" i="14"/>
  <c r="Y187" i="14" s="1"/>
  <c r="Z183" i="14"/>
  <c r="Y183" i="14" s="1"/>
  <c r="Z179" i="14"/>
  <c r="Y179" i="14" s="1"/>
  <c r="Z170" i="14"/>
  <c r="Y170" i="14" s="1"/>
  <c r="Z206" i="14"/>
  <c r="Y206" i="14" s="1"/>
  <c r="Z198" i="14"/>
  <c r="Y198" i="14" s="1"/>
  <c r="Z209" i="14"/>
  <c r="Y209" i="14" s="1"/>
  <c r="Z201" i="14"/>
  <c r="Y201" i="14" s="1"/>
  <c r="Z192" i="14"/>
  <c r="Y192" i="14" s="1"/>
  <c r="Z188" i="14"/>
  <c r="Y188" i="14" s="1"/>
  <c r="Z184" i="14"/>
  <c r="Y184" i="14" s="1"/>
  <c r="Z180" i="14"/>
  <c r="Y180" i="14" s="1"/>
  <c r="Z177" i="14"/>
  <c r="Y177" i="14" s="1"/>
  <c r="Z212" i="14"/>
  <c r="Y212" i="14" s="1"/>
  <c r="Z204" i="14"/>
  <c r="Y204" i="14" s="1"/>
  <c r="Z196" i="14"/>
  <c r="Y196" i="14" s="1"/>
  <c r="Z175" i="14"/>
  <c r="Y175" i="14" s="1"/>
  <c r="Z173" i="14"/>
  <c r="Y173" i="14" s="1"/>
  <c r="Z207" i="14"/>
  <c r="Y207" i="14" s="1"/>
  <c r="Z199" i="14"/>
  <c r="Y199" i="14" s="1"/>
  <c r="Z193" i="14"/>
  <c r="Y193" i="14" s="1"/>
  <c r="Z189" i="14"/>
  <c r="Y189" i="14" s="1"/>
  <c r="Z185" i="14"/>
  <c r="Y185" i="14" s="1"/>
  <c r="Z181" i="14"/>
  <c r="Y181" i="14" s="1"/>
  <c r="Z171" i="14"/>
  <c r="Y171" i="14" s="1"/>
  <c r="Z169" i="14"/>
  <c r="Y169" i="14" s="1"/>
  <c r="Z210" i="14"/>
  <c r="Y210" i="14" s="1"/>
  <c r="Z202" i="14"/>
  <c r="Y202" i="14" s="1"/>
  <c r="Z213" i="14"/>
  <c r="Y213" i="14" s="1"/>
  <c r="Z205" i="14"/>
  <c r="Y205" i="14" s="1"/>
  <c r="Z197" i="14"/>
  <c r="Y197" i="14" s="1"/>
  <c r="Z194" i="14"/>
  <c r="Y194" i="14" s="1"/>
  <c r="Z190" i="14"/>
  <c r="Y190" i="14" s="1"/>
  <c r="Z186" i="14"/>
  <c r="Y186" i="14" s="1"/>
  <c r="Z182" i="14"/>
  <c r="Y182" i="14" s="1"/>
  <c r="Z178" i="14"/>
  <c r="Y178" i="14" s="1"/>
  <c r="Z172" i="14"/>
  <c r="Y172" i="14" s="1"/>
  <c r="Z208" i="14"/>
  <c r="Y208" i="14" s="1"/>
  <c r="Z200" i="14"/>
  <c r="Y200" i="14" s="1"/>
  <c r="Z176" i="14"/>
  <c r="Y176" i="14" s="1"/>
  <c r="Z167" i="14"/>
  <c r="Y167" i="14" s="1"/>
  <c r="Z174" i="14"/>
  <c r="Y174" i="14" s="1"/>
  <c r="AD170" i="14"/>
  <c r="AD169" i="14"/>
  <c r="AD168" i="14"/>
  <c r="AE171" i="14"/>
  <c r="AE170" i="14"/>
  <c r="AE168" i="14"/>
  <c r="AE172" i="14"/>
  <c r="AE169" i="14"/>
  <c r="AF168" i="14"/>
  <c r="AF169" i="14"/>
  <c r="AF172" i="14"/>
  <c r="AF171" i="14"/>
  <c r="AF170" i="14"/>
  <c r="AG171" i="14"/>
  <c r="AG168" i="14"/>
  <c r="AG170" i="14"/>
  <c r="AG169" i="14"/>
  <c r="AG172" i="14"/>
  <c r="AH173" i="14"/>
  <c r="AH172" i="14"/>
  <c r="AH171" i="14"/>
  <c r="AH170" i="14"/>
  <c r="AH169" i="14"/>
  <c r="AH168" i="14"/>
  <c r="AI172" i="14"/>
  <c r="AI170" i="14"/>
  <c r="AI169" i="14"/>
  <c r="AI173" i="14"/>
  <c r="AI174" i="14"/>
  <c r="AI171" i="14"/>
  <c r="AI168" i="14"/>
  <c r="AJ174" i="14"/>
  <c r="AJ171" i="14"/>
  <c r="AJ168" i="14"/>
  <c r="AJ173" i="14"/>
  <c r="AJ172" i="14"/>
  <c r="AJ170" i="14"/>
  <c r="AJ169" i="14"/>
  <c r="AJ175" i="14"/>
  <c r="Y203" i="11"/>
  <c r="U23" i="36"/>
  <c r="U25" i="36" s="1"/>
  <c r="V21" i="36"/>
  <c r="Y188" i="11"/>
  <c r="Y184" i="11"/>
  <c r="Y167" i="11"/>
  <c r="Y198" i="11"/>
  <c r="Y174" i="11"/>
  <c r="Y182" i="11"/>
  <c r="Y197" i="11"/>
  <c r="Y193" i="11"/>
  <c r="Y206" i="11"/>
  <c r="Y211" i="11"/>
  <c r="Y176" i="11"/>
  <c r="Y201" i="11"/>
  <c r="Y210" i="11"/>
  <c r="Y183" i="11"/>
  <c r="Y200" i="11"/>
  <c r="Y205" i="11"/>
  <c r="Y190" i="11"/>
  <c r="Y186" i="11"/>
  <c r="S124" i="14"/>
  <c r="I37" i="16" s="1"/>
  <c r="G59" i="16" s="1"/>
  <c r="H162" i="59"/>
  <c r="S124" i="11"/>
  <c r="I37" i="13" s="1"/>
  <c r="G59" i="13" s="1"/>
  <c r="H161" i="59"/>
  <c r="S126" i="14"/>
  <c r="K37" i="16" s="1"/>
  <c r="I59" i="16" s="1"/>
  <c r="S125" i="14"/>
  <c r="J37" i="16" s="1"/>
  <c r="H59" i="16" s="1"/>
  <c r="I100" i="72"/>
  <c r="BV157" i="11"/>
  <c r="S120" i="8"/>
  <c r="F28" i="9" s="1"/>
  <c r="BZ161" i="8"/>
  <c r="C19" i="9"/>
  <c r="C25" i="9" s="1"/>
  <c r="F27" i="16"/>
  <c r="F31" i="16" s="1"/>
  <c r="F32" i="16" s="1"/>
  <c r="W21" i="54"/>
  <c r="V23" i="54"/>
  <c r="V25" i="54" s="1"/>
  <c r="W23" i="51"/>
  <c r="W25" i="51" s="1"/>
  <c r="X21" i="51"/>
  <c r="V23" i="48"/>
  <c r="V25" i="48" s="1"/>
  <c r="W21" i="48"/>
  <c r="W23" i="45"/>
  <c r="W25" i="45" s="1"/>
  <c r="X21" i="45"/>
  <c r="W23" i="42"/>
  <c r="W25" i="42" s="1"/>
  <c r="X21" i="42"/>
  <c r="W21" i="39"/>
  <c r="V23" i="39"/>
  <c r="V25" i="39" s="1"/>
  <c r="W21" i="33"/>
  <c r="V23" i="33"/>
  <c r="V25" i="33" s="1"/>
  <c r="W21" i="30"/>
  <c r="V23" i="30"/>
  <c r="V25" i="30" s="1"/>
  <c r="W21" i="27"/>
  <c r="V23" i="27"/>
  <c r="V25" i="27" s="1"/>
  <c r="V23" i="24"/>
  <c r="V25" i="24" s="1"/>
  <c r="W21" i="24"/>
  <c r="W21" i="21"/>
  <c r="V23" i="21"/>
  <c r="V25" i="21" s="1"/>
  <c r="BH166" i="8"/>
  <c r="L27" i="13"/>
  <c r="L31" i="13" s="1"/>
  <c r="L32" i="13" s="1"/>
  <c r="E27" i="13"/>
  <c r="E31" i="13" s="1"/>
  <c r="E32" i="13" s="1"/>
  <c r="M27" i="16"/>
  <c r="M31" i="16" s="1"/>
  <c r="M32" i="16" s="1"/>
  <c r="H27" i="16"/>
  <c r="H31" i="16" s="1"/>
  <c r="H32" i="16" s="1"/>
  <c r="AN19" i="15"/>
  <c r="G27" i="16"/>
  <c r="G31" i="16" s="1"/>
  <c r="G32" i="16" s="1"/>
  <c r="K27" i="16"/>
  <c r="K31" i="16" s="1"/>
  <c r="K32" i="16" s="1"/>
  <c r="I27" i="16"/>
  <c r="I31" i="16" s="1"/>
  <c r="I32" i="16" s="1"/>
  <c r="D27" i="16"/>
  <c r="D31" i="16" s="1"/>
  <c r="D32" i="16" s="1"/>
  <c r="D21" i="15"/>
  <c r="E21" i="15" s="1"/>
  <c r="L27" i="16"/>
  <c r="L31" i="16" s="1"/>
  <c r="L32" i="16" s="1"/>
  <c r="J27" i="16"/>
  <c r="J31" i="16" s="1"/>
  <c r="J32" i="16" s="1"/>
  <c r="E27" i="16"/>
  <c r="E31" i="16" s="1"/>
  <c r="E32" i="16" s="1"/>
  <c r="U21" i="18"/>
  <c r="T23" i="18"/>
  <c r="T25" i="18" s="1"/>
  <c r="S123" i="14"/>
  <c r="H37" i="16" s="1"/>
  <c r="F59" i="16" s="1"/>
  <c r="D27" i="13"/>
  <c r="D31" i="13" s="1"/>
  <c r="D32" i="13" s="1"/>
  <c r="K27" i="13"/>
  <c r="K31" i="13" s="1"/>
  <c r="K32" i="13" s="1"/>
  <c r="J27" i="13"/>
  <c r="J31" i="13" s="1"/>
  <c r="J32" i="13" s="1"/>
  <c r="G27" i="13"/>
  <c r="G31" i="13" s="1"/>
  <c r="G32" i="13" s="1"/>
  <c r="H27" i="13"/>
  <c r="H31" i="13" s="1"/>
  <c r="H32" i="13" s="1"/>
  <c r="I27" i="13"/>
  <c r="I31" i="13" s="1"/>
  <c r="I32" i="13" s="1"/>
  <c r="F27" i="13"/>
  <c r="F31" i="13" s="1"/>
  <c r="F32" i="13" s="1"/>
  <c r="M27" i="13"/>
  <c r="M31" i="13" s="1"/>
  <c r="M32" i="13" s="1"/>
  <c r="D21" i="12"/>
  <c r="X214" i="8"/>
  <c r="BG167" i="8"/>
  <c r="P56" i="11" l="1"/>
  <c r="Q56" i="11" s="1"/>
  <c r="S61" i="11"/>
  <c r="S62" i="11"/>
  <c r="R161" i="59"/>
  <c r="Q99" i="70"/>
  <c r="R99" i="72"/>
  <c r="S99" i="72" s="1"/>
  <c r="AD214" i="14"/>
  <c r="AD215" i="14" s="1"/>
  <c r="AE214" i="14"/>
  <c r="AE215" i="14" s="1"/>
  <c r="AI214" i="14"/>
  <c r="AI215" i="14" s="1"/>
  <c r="AG214" i="14"/>
  <c r="AG215" i="14" s="1"/>
  <c r="AJ214" i="14"/>
  <c r="AJ215" i="14" s="1"/>
  <c r="AF214" i="14"/>
  <c r="AF215" i="14" s="1"/>
  <c r="AH214" i="14"/>
  <c r="AH215" i="14" s="1"/>
  <c r="V23" i="36"/>
  <c r="V25" i="36" s="1"/>
  <c r="W21" i="36"/>
  <c r="BV157" i="8"/>
  <c r="Y182" i="8"/>
  <c r="Y191" i="8"/>
  <c r="Y199" i="8"/>
  <c r="Y205" i="8"/>
  <c r="Y170" i="8"/>
  <c r="J272" i="8"/>
  <c r="J56" i="8" s="1"/>
  <c r="Y203" i="8"/>
  <c r="Y188" i="8"/>
  <c r="Y180" i="8"/>
  <c r="Y176" i="8"/>
  <c r="Y185" i="8"/>
  <c r="Y193" i="8"/>
  <c r="Y210" i="8"/>
  <c r="Y195" i="8"/>
  <c r="Y181" i="8"/>
  <c r="Y179" i="8"/>
  <c r="Y189" i="8"/>
  <c r="Y190" i="8"/>
  <c r="Y198" i="8"/>
  <c r="Y186" i="8"/>
  <c r="Y171" i="8"/>
  <c r="Y212" i="8"/>
  <c r="Y184" i="8"/>
  <c r="Y192" i="8"/>
  <c r="Y209" i="8"/>
  <c r="G272" i="8"/>
  <c r="G56" i="8" s="1"/>
  <c r="Y204" i="8"/>
  <c r="Y174" i="8"/>
  <c r="Y197" i="8"/>
  <c r="Y208" i="8"/>
  <c r="Y201" i="8"/>
  <c r="Y194" i="8"/>
  <c r="Y178" i="8"/>
  <c r="Y202" i="8"/>
  <c r="Y177" i="8"/>
  <c r="Y211" i="8"/>
  <c r="Y173" i="8"/>
  <c r="Y172" i="8"/>
  <c r="Y169" i="8"/>
  <c r="Y175" i="8"/>
  <c r="Y207" i="8"/>
  <c r="Y183" i="8"/>
  <c r="Y200" i="8"/>
  <c r="Y168" i="8"/>
  <c r="Y206" i="8"/>
  <c r="Y167" i="8"/>
  <c r="Y196" i="8"/>
  <c r="Y213" i="8"/>
  <c r="Y187" i="8"/>
  <c r="H272" i="8"/>
  <c r="H56" i="8" s="1"/>
  <c r="L272" i="8"/>
  <c r="L56" i="8" s="1"/>
  <c r="I272" i="8"/>
  <c r="I56" i="8" s="1"/>
  <c r="K272" i="8"/>
  <c r="K56" i="8" s="1"/>
  <c r="H99" i="72"/>
  <c r="B43" i="16"/>
  <c r="I40" i="16" s="1"/>
  <c r="G64" i="16" s="1"/>
  <c r="I162" i="59"/>
  <c r="H100" i="70"/>
  <c r="H129" i="70" s="1"/>
  <c r="C21" i="9"/>
  <c r="AL15" i="9"/>
  <c r="AL19" i="9" s="1"/>
  <c r="M15" i="9"/>
  <c r="M19" i="9" s="1"/>
  <c r="AI15" i="9"/>
  <c r="AI19" i="9" s="1"/>
  <c r="J15" i="9"/>
  <c r="J19" i="9" s="1"/>
  <c r="X15" i="9"/>
  <c r="X19" i="9" s="1"/>
  <c r="E15" i="9"/>
  <c r="E19" i="9" s="1"/>
  <c r="AA15" i="9"/>
  <c r="AA19" i="9" s="1"/>
  <c r="AO15" i="9"/>
  <c r="AO19" i="9" s="1"/>
  <c r="H27" i="9"/>
  <c r="Z15" i="9"/>
  <c r="Z19" i="9" s="1"/>
  <c r="G15" i="9"/>
  <c r="G19" i="9" s="1"/>
  <c r="AD15" i="9"/>
  <c r="AD19" i="9" s="1"/>
  <c r="V15" i="9"/>
  <c r="V19" i="9" s="1"/>
  <c r="AJ15" i="9"/>
  <c r="S15" i="9"/>
  <c r="S19" i="9" s="1"/>
  <c r="AG15" i="9"/>
  <c r="AG19" i="9" s="1"/>
  <c r="P15" i="9"/>
  <c r="P19" i="9" s="1"/>
  <c r="T15" i="9"/>
  <c r="T19" i="9" s="1"/>
  <c r="Q15" i="9"/>
  <c r="Q19" i="9" s="1"/>
  <c r="W15" i="9"/>
  <c r="W19" i="9" s="1"/>
  <c r="AH15" i="9"/>
  <c r="AH19" i="9" s="1"/>
  <c r="D15" i="9"/>
  <c r="D19" i="9" s="1"/>
  <c r="AN15" i="9"/>
  <c r="R15" i="9"/>
  <c r="R19" i="9" s="1"/>
  <c r="AM15" i="9"/>
  <c r="AM19" i="9" s="1"/>
  <c r="N15" i="9"/>
  <c r="N19" i="9" s="1"/>
  <c r="AB15" i="9"/>
  <c r="AB19" i="9" s="1"/>
  <c r="K15" i="9"/>
  <c r="K19" i="9" s="1"/>
  <c r="Y15" i="9"/>
  <c r="Y19" i="9" s="1"/>
  <c r="H15" i="9"/>
  <c r="H19" i="9" s="1"/>
  <c r="F15" i="9"/>
  <c r="F19" i="9" s="1"/>
  <c r="AP15" i="9"/>
  <c r="AP19" i="9" s="1"/>
  <c r="AK15" i="9"/>
  <c r="AK19" i="9" s="1"/>
  <c r="I15" i="9"/>
  <c r="I19" i="9" s="1"/>
  <c r="AC15" i="9"/>
  <c r="AC19" i="9" s="1"/>
  <c r="AQ15" i="9"/>
  <c r="AQ19" i="9" s="1"/>
  <c r="AE15" i="9"/>
  <c r="AE19" i="9" s="1"/>
  <c r="L15" i="9"/>
  <c r="U15" i="9"/>
  <c r="U19" i="9" s="1"/>
  <c r="AF15" i="9"/>
  <c r="O15" i="9"/>
  <c r="O19" i="9" s="1"/>
  <c r="D23" i="15"/>
  <c r="D25" i="15" s="1"/>
  <c r="I39" i="16"/>
  <c r="G63" i="16" s="1"/>
  <c r="J100" i="72"/>
  <c r="I100" i="70"/>
  <c r="I129" i="70" s="1"/>
  <c r="J162" i="59"/>
  <c r="H100" i="72"/>
  <c r="G100" i="70"/>
  <c r="S100" i="70" s="1"/>
  <c r="G99" i="70"/>
  <c r="W23" i="54"/>
  <c r="W25" i="54" s="1"/>
  <c r="X21" i="54"/>
  <c r="Y21" i="51"/>
  <c r="X23" i="51"/>
  <c r="X25" i="51" s="1"/>
  <c r="X21" i="48"/>
  <c r="W23" i="48"/>
  <c r="W25" i="48" s="1"/>
  <c r="Y21" i="45"/>
  <c r="X23" i="45"/>
  <c r="X25" i="45" s="1"/>
  <c r="X23" i="42"/>
  <c r="X25" i="42" s="1"/>
  <c r="Y21" i="42"/>
  <c r="W23" i="39"/>
  <c r="W25" i="39" s="1"/>
  <c r="X21" i="39"/>
  <c r="W23" i="33"/>
  <c r="W25" i="33" s="1"/>
  <c r="X21" i="33"/>
  <c r="X21" i="30"/>
  <c r="W23" i="30"/>
  <c r="W25" i="30" s="1"/>
  <c r="W23" i="27"/>
  <c r="W25" i="27" s="1"/>
  <c r="X21" i="27"/>
  <c r="W23" i="24"/>
  <c r="W25" i="24" s="1"/>
  <c r="X21" i="24"/>
  <c r="W23" i="21"/>
  <c r="W25" i="21" s="1"/>
  <c r="X21" i="21"/>
  <c r="B43" i="13"/>
  <c r="I40" i="13" s="1"/>
  <c r="G64" i="13" s="1"/>
  <c r="U23" i="18"/>
  <c r="U25" i="18" s="1"/>
  <c r="V21" i="18"/>
  <c r="E23" i="15"/>
  <c r="E25" i="15" s="1"/>
  <c r="F21" i="15"/>
  <c r="BG176" i="14"/>
  <c r="I39" i="13"/>
  <c r="G63" i="13" s="1"/>
  <c r="E21" i="12"/>
  <c r="D23" i="12"/>
  <c r="D25" i="12" s="1"/>
  <c r="S123" i="8"/>
  <c r="H37" i="10" s="1"/>
  <c r="F59" i="10" s="1"/>
  <c r="BG175" i="14" l="1"/>
  <c r="BG170" i="14"/>
  <c r="BG171" i="14"/>
  <c r="BG173" i="14"/>
  <c r="AH216" i="14"/>
  <c r="N272" i="14" s="1"/>
  <c r="AF216" i="14"/>
  <c r="L272" i="14" s="1"/>
  <c r="D64" i="14"/>
  <c r="AJ216" i="14"/>
  <c r="P272" i="14" s="1"/>
  <c r="P56" i="14" s="1"/>
  <c r="Q56" i="14" s="1"/>
  <c r="Q128" i="70"/>
  <c r="AG216" i="14"/>
  <c r="M272" i="14" s="1"/>
  <c r="AI216" i="14"/>
  <c r="O272" i="14" s="1"/>
  <c r="AE216" i="14"/>
  <c r="K272" i="14" s="1"/>
  <c r="AD216" i="14"/>
  <c r="J272" i="14" s="1"/>
  <c r="BG172" i="14"/>
  <c r="BG174" i="14"/>
  <c r="F272" i="8"/>
  <c r="F56" i="8" s="1"/>
  <c r="Q56" i="8" s="1"/>
  <c r="C65" i="8"/>
  <c r="W23" i="36"/>
  <c r="W25" i="36" s="1"/>
  <c r="X21" i="36"/>
  <c r="S126" i="11"/>
  <c r="K37" i="13" s="1"/>
  <c r="I59" i="13" s="1"/>
  <c r="S128" i="11"/>
  <c r="K99" i="70"/>
  <c r="K128" i="70" s="1"/>
  <c r="S127" i="11"/>
  <c r="M27" i="10"/>
  <c r="M31" i="10" s="1"/>
  <c r="M32" i="10" s="1"/>
  <c r="F27" i="10"/>
  <c r="F31" i="10" s="1"/>
  <c r="F32" i="10" s="1"/>
  <c r="D21" i="9"/>
  <c r="E21" i="9" s="1"/>
  <c r="L27" i="10"/>
  <c r="L31" i="10" s="1"/>
  <c r="L32" i="10" s="1"/>
  <c r="S125" i="11"/>
  <c r="J37" i="13" s="1"/>
  <c r="H59" i="13" s="1"/>
  <c r="S131" i="14"/>
  <c r="AJ19" i="9"/>
  <c r="J27" i="10"/>
  <c r="J31" i="10" s="1"/>
  <c r="J32" i="10" s="1"/>
  <c r="E27" i="10"/>
  <c r="E31" i="10" s="1"/>
  <c r="E32" i="10" s="1"/>
  <c r="L19" i="9"/>
  <c r="D27" i="10"/>
  <c r="D31" i="10" s="1"/>
  <c r="I27" i="10"/>
  <c r="I31" i="10" s="1"/>
  <c r="I32" i="10" s="1"/>
  <c r="K27" i="10"/>
  <c r="K31" i="10" s="1"/>
  <c r="K32" i="10" s="1"/>
  <c r="AF19" i="9"/>
  <c r="AN19" i="9"/>
  <c r="H27" i="10"/>
  <c r="H31" i="10" s="1"/>
  <c r="H32" i="10" s="1"/>
  <c r="G27" i="10"/>
  <c r="G31" i="10" s="1"/>
  <c r="G32" i="10" s="1"/>
  <c r="J99" i="72"/>
  <c r="I99" i="72"/>
  <c r="J99" i="70"/>
  <c r="J128" i="70" s="1"/>
  <c r="K161" i="59"/>
  <c r="S99" i="70"/>
  <c r="Y21" i="54"/>
  <c r="X23" i="54"/>
  <c r="X25" i="54" s="1"/>
  <c r="Z21" i="51"/>
  <c r="Y23" i="51"/>
  <c r="Y25" i="51" s="1"/>
  <c r="Y21" i="48"/>
  <c r="X23" i="48"/>
  <c r="X25" i="48" s="1"/>
  <c r="Y23" i="45"/>
  <c r="Y25" i="45" s="1"/>
  <c r="Z21" i="45"/>
  <c r="Z21" i="42"/>
  <c r="Y23" i="42"/>
  <c r="Y25" i="42" s="1"/>
  <c r="Y21" i="39"/>
  <c r="X23" i="39"/>
  <c r="X25" i="39" s="1"/>
  <c r="Y21" i="33"/>
  <c r="X23" i="33"/>
  <c r="X25" i="33" s="1"/>
  <c r="Y21" i="30"/>
  <c r="X23" i="30"/>
  <c r="X25" i="30" s="1"/>
  <c r="X23" i="27"/>
  <c r="X25" i="27" s="1"/>
  <c r="Y21" i="27"/>
  <c r="Y21" i="24"/>
  <c r="X23" i="24"/>
  <c r="X25" i="24" s="1"/>
  <c r="Y21" i="21"/>
  <c r="X23" i="21"/>
  <c r="X25" i="21" s="1"/>
  <c r="BG169" i="11"/>
  <c r="BG168" i="11"/>
  <c r="BG172" i="11"/>
  <c r="W21" i="18"/>
  <c r="V23" i="18"/>
  <c r="V25" i="18" s="1"/>
  <c r="F23" i="15"/>
  <c r="F25" i="15" s="1"/>
  <c r="G21" i="15"/>
  <c r="BG175" i="11"/>
  <c r="BG176" i="11"/>
  <c r="BG170" i="11"/>
  <c r="BG171" i="11"/>
  <c r="BG174" i="11"/>
  <c r="E23" i="12"/>
  <c r="E25" i="12" s="1"/>
  <c r="F21" i="12"/>
  <c r="BG173" i="11"/>
  <c r="S128" i="14" l="1"/>
  <c r="S129" i="14"/>
  <c r="S132" i="14"/>
  <c r="S130" i="14"/>
  <c r="J56" i="14"/>
  <c r="K100" i="72"/>
  <c r="K162" i="59"/>
  <c r="J100" i="70"/>
  <c r="J129" i="70" s="1"/>
  <c r="S127" i="14"/>
  <c r="M56" i="14"/>
  <c r="N100" i="72"/>
  <c r="L56" i="14"/>
  <c r="L100" i="70"/>
  <c r="L129" i="70" s="1"/>
  <c r="M100" i="72"/>
  <c r="O56" i="14"/>
  <c r="P100" i="72"/>
  <c r="K56" i="14"/>
  <c r="K100" i="70"/>
  <c r="K129" i="70" s="1"/>
  <c r="N56" i="14"/>
  <c r="O100" i="72"/>
  <c r="S61" i="14"/>
  <c r="Q100" i="72"/>
  <c r="S133" i="14"/>
  <c r="G93" i="72"/>
  <c r="S93" i="72" s="1"/>
  <c r="G155" i="59"/>
  <c r="Y21" i="36"/>
  <c r="X23" i="36"/>
  <c r="X25" i="36" s="1"/>
  <c r="L100" i="72"/>
  <c r="Q162" i="59"/>
  <c r="S162" i="59" s="1"/>
  <c r="T162" i="59" s="1"/>
  <c r="P100" i="70"/>
  <c r="P129" i="70" s="1"/>
  <c r="B43" i="10"/>
  <c r="I40" i="10" s="1"/>
  <c r="G64" i="10" s="1"/>
  <c r="D23" i="9"/>
  <c r="D25" i="9" s="1"/>
  <c r="M162" i="59"/>
  <c r="N162" i="59"/>
  <c r="M100" i="70"/>
  <c r="M129" i="70" s="1"/>
  <c r="I39" i="10"/>
  <c r="G63" i="10" s="1"/>
  <c r="L99" i="72"/>
  <c r="P162" i="59"/>
  <c r="O100" i="70"/>
  <c r="O129" i="70" s="1"/>
  <c r="S131" i="11"/>
  <c r="O161" i="59"/>
  <c r="S130" i="11"/>
  <c r="M99" i="70"/>
  <c r="M128" i="70" s="1"/>
  <c r="O162" i="59"/>
  <c r="S132" i="11"/>
  <c r="O99" i="70"/>
  <c r="O128" i="70" s="1"/>
  <c r="S129" i="11"/>
  <c r="L99" i="70"/>
  <c r="L128" i="70" s="1"/>
  <c r="L161" i="59"/>
  <c r="L162" i="59"/>
  <c r="N100" i="70"/>
  <c r="N129" i="70" s="1"/>
  <c r="S133" i="11"/>
  <c r="S125" i="8"/>
  <c r="J37" i="10" s="1"/>
  <c r="H59" i="10" s="1"/>
  <c r="K99" i="72"/>
  <c r="D32" i="10"/>
  <c r="H99" i="70"/>
  <c r="H128" i="70" s="1"/>
  <c r="I161" i="59"/>
  <c r="P99" i="70"/>
  <c r="P128" i="70" s="1"/>
  <c r="Q161" i="59"/>
  <c r="S161" i="59" s="1"/>
  <c r="T161" i="59" s="1"/>
  <c r="I99" i="70"/>
  <c r="I128" i="70" s="1"/>
  <c r="J161" i="59"/>
  <c r="Z21" i="54"/>
  <c r="Y23" i="54"/>
  <c r="Y25" i="54" s="1"/>
  <c r="AA21" i="51"/>
  <c r="Z23" i="51"/>
  <c r="Z25" i="51" s="1"/>
  <c r="Z21" i="48"/>
  <c r="Y23" i="48"/>
  <c r="Y25" i="48" s="1"/>
  <c r="AA21" i="45"/>
  <c r="Z23" i="45"/>
  <c r="Z25" i="45" s="1"/>
  <c r="AA21" i="42"/>
  <c r="Z23" i="42"/>
  <c r="Z25" i="42" s="1"/>
  <c r="Z21" i="39"/>
  <c r="Y23" i="39"/>
  <c r="Y25" i="39" s="1"/>
  <c r="Z21" i="33"/>
  <c r="Y23" i="33"/>
  <c r="Y25" i="33" s="1"/>
  <c r="Z21" i="30"/>
  <c r="Y23" i="30"/>
  <c r="Y25" i="30" s="1"/>
  <c r="Z21" i="27"/>
  <c r="Y23" i="27"/>
  <c r="Y25" i="27" s="1"/>
  <c r="Z21" i="24"/>
  <c r="Y23" i="24"/>
  <c r="Y25" i="24" s="1"/>
  <c r="Z21" i="21"/>
  <c r="Y23" i="21"/>
  <c r="Y25" i="21" s="1"/>
  <c r="BG168" i="8"/>
  <c r="X21" i="18"/>
  <c r="W23" i="18"/>
  <c r="W25" i="18" s="1"/>
  <c r="G23" i="15"/>
  <c r="G25" i="15" s="1"/>
  <c r="H21" i="15"/>
  <c r="G21" i="12"/>
  <c r="F23" i="12"/>
  <c r="F25" i="12" s="1"/>
  <c r="BG174" i="8"/>
  <c r="BG176" i="8"/>
  <c r="BG175" i="8"/>
  <c r="BG173" i="8"/>
  <c r="E23" i="9"/>
  <c r="E25" i="9" s="1"/>
  <c r="F21" i="9"/>
  <c r="BG169" i="8"/>
  <c r="BG172" i="8"/>
  <c r="BG170" i="8"/>
  <c r="BG171" i="8"/>
  <c r="Z21" i="36" l="1"/>
  <c r="Y23" i="36"/>
  <c r="Y25" i="36" s="1"/>
  <c r="M161" i="59"/>
  <c r="P161" i="59"/>
  <c r="Q99" i="72"/>
  <c r="N99" i="70"/>
  <c r="N128" i="70" s="1"/>
  <c r="S128" i="8"/>
  <c r="L93" i="72"/>
  <c r="N99" i="72"/>
  <c r="S132" i="8"/>
  <c r="O93" i="70"/>
  <c r="N161" i="59"/>
  <c r="O99" i="72"/>
  <c r="S126" i="8"/>
  <c r="K37" i="10" s="1"/>
  <c r="I59" i="10" s="1"/>
  <c r="M99" i="72"/>
  <c r="S127" i="8"/>
  <c r="K93" i="72"/>
  <c r="S133" i="8"/>
  <c r="S134" i="8" s="1"/>
  <c r="Q93" i="72"/>
  <c r="P99" i="72"/>
  <c r="S131" i="8"/>
  <c r="O93" i="72"/>
  <c r="S129" i="8"/>
  <c r="M93" i="72"/>
  <c r="S130" i="8"/>
  <c r="N93" i="72"/>
  <c r="S124" i="8"/>
  <c r="I37" i="10" s="1"/>
  <c r="G59" i="10" s="1"/>
  <c r="H155" i="59"/>
  <c r="M93" i="70"/>
  <c r="N155" i="59"/>
  <c r="P93" i="72"/>
  <c r="P93" i="70"/>
  <c r="Q155" i="59"/>
  <c r="I93" i="72"/>
  <c r="H93" i="70"/>
  <c r="I155" i="59"/>
  <c r="AA21" i="54"/>
  <c r="Z23" i="54"/>
  <c r="Z25" i="54" s="1"/>
  <c r="AB21" i="51"/>
  <c r="AA23" i="51"/>
  <c r="AA25" i="51" s="1"/>
  <c r="AA21" i="48"/>
  <c r="Z23" i="48"/>
  <c r="Z25" i="48" s="1"/>
  <c r="AB21" i="45"/>
  <c r="AA23" i="45"/>
  <c r="AA25" i="45" s="1"/>
  <c r="AB21" i="42"/>
  <c r="AA23" i="42"/>
  <c r="AA25" i="42" s="1"/>
  <c r="AA21" i="39"/>
  <c r="Z23" i="39"/>
  <c r="Z25" i="39" s="1"/>
  <c r="AA21" i="33"/>
  <c r="Z23" i="33"/>
  <c r="Z25" i="33" s="1"/>
  <c r="AA21" i="30"/>
  <c r="Z23" i="30"/>
  <c r="Z25" i="30" s="1"/>
  <c r="AA21" i="27"/>
  <c r="Z23" i="27"/>
  <c r="Z25" i="27" s="1"/>
  <c r="AA21" i="24"/>
  <c r="Z23" i="24"/>
  <c r="Z25" i="24" s="1"/>
  <c r="AA21" i="21"/>
  <c r="Z23" i="21"/>
  <c r="Z25" i="21" s="1"/>
  <c r="Y21" i="18"/>
  <c r="X23" i="18"/>
  <c r="X25" i="18" s="1"/>
  <c r="I21" i="15"/>
  <c r="H23" i="15"/>
  <c r="H25" i="15" s="1"/>
  <c r="H21" i="12"/>
  <c r="G23" i="12"/>
  <c r="G25" i="12" s="1"/>
  <c r="G21" i="9"/>
  <c r="F23" i="9"/>
  <c r="F25" i="9" s="1"/>
  <c r="S155" i="59" l="1"/>
  <c r="T155" i="59" s="1"/>
  <c r="AA21" i="36"/>
  <c r="Z23" i="36"/>
  <c r="Z25" i="36" s="1"/>
  <c r="L155" i="59"/>
  <c r="K155" i="59"/>
  <c r="M155" i="59"/>
  <c r="L93" i="70"/>
  <c r="K93" i="70"/>
  <c r="O155" i="59"/>
  <c r="N93" i="70"/>
  <c r="J93" i="70"/>
  <c r="P155" i="59"/>
  <c r="J93" i="72"/>
  <c r="I93" i="70"/>
  <c r="J155" i="59"/>
  <c r="H93" i="72"/>
  <c r="G93" i="70"/>
  <c r="AB21" i="54"/>
  <c r="AA23" i="54"/>
  <c r="AA25" i="54" s="1"/>
  <c r="AC21" i="51"/>
  <c r="AB23" i="51"/>
  <c r="AB25" i="51" s="1"/>
  <c r="AB21" i="48"/>
  <c r="AA23" i="48"/>
  <c r="AA25" i="48" s="1"/>
  <c r="AC21" i="45"/>
  <c r="AB23" i="45"/>
  <c r="AB25" i="45" s="1"/>
  <c r="AC21" i="42"/>
  <c r="AB23" i="42"/>
  <c r="AB25" i="42" s="1"/>
  <c r="AB21" i="39"/>
  <c r="AA23" i="39"/>
  <c r="AA25" i="39" s="1"/>
  <c r="AB21" i="33"/>
  <c r="AA23" i="33"/>
  <c r="AA25" i="33" s="1"/>
  <c r="AB21" i="30"/>
  <c r="AA23" i="30"/>
  <c r="AA25" i="30" s="1"/>
  <c r="AB21" i="27"/>
  <c r="AA23" i="27"/>
  <c r="AA25" i="27" s="1"/>
  <c r="AB21" i="24"/>
  <c r="AA23" i="24"/>
  <c r="AA25" i="24" s="1"/>
  <c r="AB21" i="21"/>
  <c r="AA23" i="21"/>
  <c r="AA25" i="21" s="1"/>
  <c r="Z21" i="18"/>
  <c r="Y23" i="18"/>
  <c r="Y25" i="18" s="1"/>
  <c r="J21" i="15"/>
  <c r="I23" i="15"/>
  <c r="I25" i="15" s="1"/>
  <c r="I21" i="12"/>
  <c r="H23" i="12"/>
  <c r="H25" i="12" s="1"/>
  <c r="H21" i="9"/>
  <c r="G23" i="9"/>
  <c r="G25" i="9" s="1"/>
  <c r="AB21" i="36" l="1"/>
  <c r="AA23" i="36"/>
  <c r="AA25" i="36" s="1"/>
  <c r="S93" i="70"/>
  <c r="AC21" i="54"/>
  <c r="AB23" i="54"/>
  <c r="AB25" i="54" s="1"/>
  <c r="AC23" i="51"/>
  <c r="AC25" i="51" s="1"/>
  <c r="AD21" i="51"/>
  <c r="AC21" i="48"/>
  <c r="AB23" i="48"/>
  <c r="AB25" i="48" s="1"/>
  <c r="AC23" i="45"/>
  <c r="AC25" i="45" s="1"/>
  <c r="AD21" i="45"/>
  <c r="AC23" i="42"/>
  <c r="AC25" i="42" s="1"/>
  <c r="AD21" i="42"/>
  <c r="AC21" i="39"/>
  <c r="AB23" i="39"/>
  <c r="AB25" i="39" s="1"/>
  <c r="AC21" i="33"/>
  <c r="AB23" i="33"/>
  <c r="AB25" i="33" s="1"/>
  <c r="AC21" i="30"/>
  <c r="AB23" i="30"/>
  <c r="AB25" i="30" s="1"/>
  <c r="AC21" i="27"/>
  <c r="AB23" i="27"/>
  <c r="AB25" i="27" s="1"/>
  <c r="AC21" i="24"/>
  <c r="AB23" i="24"/>
  <c r="AB25" i="24" s="1"/>
  <c r="AC21" i="21"/>
  <c r="AB23" i="21"/>
  <c r="AB25" i="21" s="1"/>
  <c r="AA21" i="18"/>
  <c r="Z23" i="18"/>
  <c r="Z25" i="18" s="1"/>
  <c r="K21" i="15"/>
  <c r="J23" i="15"/>
  <c r="J25" i="15" s="1"/>
  <c r="J21" i="12"/>
  <c r="I23" i="12"/>
  <c r="I25" i="12" s="1"/>
  <c r="I21" i="9"/>
  <c r="H23" i="9"/>
  <c r="H25" i="9" s="1"/>
  <c r="AC21" i="36" l="1"/>
  <c r="AB23" i="36"/>
  <c r="AB25" i="36" s="1"/>
  <c r="AC23" i="54"/>
  <c r="AC25" i="54" s="1"/>
  <c r="AD21" i="54"/>
  <c r="AE21" i="51"/>
  <c r="AD23" i="51"/>
  <c r="AD25" i="51" s="1"/>
  <c r="AC23" i="48"/>
  <c r="AC25" i="48" s="1"/>
  <c r="AD21" i="48"/>
  <c r="AE21" i="45"/>
  <c r="AD23" i="45"/>
  <c r="AD25" i="45" s="1"/>
  <c r="AE21" i="42"/>
  <c r="AD23" i="42"/>
  <c r="AD25" i="42" s="1"/>
  <c r="AC23" i="39"/>
  <c r="AC25" i="39" s="1"/>
  <c r="AD21" i="39"/>
  <c r="AC23" i="33"/>
  <c r="AC25" i="33" s="1"/>
  <c r="AD21" i="33"/>
  <c r="AC23" i="30"/>
  <c r="AC25" i="30" s="1"/>
  <c r="AD21" i="30"/>
  <c r="AC23" i="27"/>
  <c r="AC25" i="27" s="1"/>
  <c r="AD21" i="27"/>
  <c r="AC23" i="24"/>
  <c r="AC25" i="24" s="1"/>
  <c r="AD21" i="24"/>
  <c r="AC23" i="21"/>
  <c r="AC25" i="21" s="1"/>
  <c r="AD21" i="21"/>
  <c r="AB21" i="18"/>
  <c r="AA23" i="18"/>
  <c r="AA25" i="18" s="1"/>
  <c r="L21" i="15"/>
  <c r="K23" i="15"/>
  <c r="K25" i="15" s="1"/>
  <c r="K21" i="12"/>
  <c r="J23" i="12"/>
  <c r="J25" i="12" s="1"/>
  <c r="J21" i="9"/>
  <c r="I23" i="9"/>
  <c r="I25" i="9" s="1"/>
  <c r="AD21" i="36" l="1"/>
  <c r="AC23" i="36"/>
  <c r="AC25" i="36" s="1"/>
  <c r="AE21" i="54"/>
  <c r="AD23" i="54"/>
  <c r="AD25" i="54" s="1"/>
  <c r="AE23" i="51"/>
  <c r="AE25" i="51" s="1"/>
  <c r="AF21" i="51"/>
  <c r="AD23" i="48"/>
  <c r="AD25" i="48" s="1"/>
  <c r="AE21" i="48"/>
  <c r="AE23" i="45"/>
  <c r="AE25" i="45" s="1"/>
  <c r="AF21" i="45"/>
  <c r="AE23" i="42"/>
  <c r="AE25" i="42" s="1"/>
  <c r="AF21" i="42"/>
  <c r="AE21" i="39"/>
  <c r="AD23" i="39"/>
  <c r="AD25" i="39" s="1"/>
  <c r="AE21" i="33"/>
  <c r="AD23" i="33"/>
  <c r="AD25" i="33" s="1"/>
  <c r="AE21" i="30"/>
  <c r="AD23" i="30"/>
  <c r="AD25" i="30" s="1"/>
  <c r="AE21" i="27"/>
  <c r="AD23" i="27"/>
  <c r="AD25" i="27" s="1"/>
  <c r="AE21" i="24"/>
  <c r="AD23" i="24"/>
  <c r="AD25" i="24" s="1"/>
  <c r="AE21" i="21"/>
  <c r="AD23" i="21"/>
  <c r="AD25" i="21" s="1"/>
  <c r="AC21" i="18"/>
  <c r="AB23" i="18"/>
  <c r="AB25" i="18" s="1"/>
  <c r="M21" i="15"/>
  <c r="L23" i="15"/>
  <c r="L25" i="15" s="1"/>
  <c r="L21" i="12"/>
  <c r="K23" i="12"/>
  <c r="K25" i="12" s="1"/>
  <c r="K21" i="9"/>
  <c r="J23" i="9"/>
  <c r="J25" i="9" s="1"/>
  <c r="AE21" i="36" l="1"/>
  <c r="AD23" i="36"/>
  <c r="AD25" i="36" s="1"/>
  <c r="AE23" i="54"/>
  <c r="AE25" i="54" s="1"/>
  <c r="AF21" i="54"/>
  <c r="AG21" i="51"/>
  <c r="AF23" i="51"/>
  <c r="AF25" i="51" s="1"/>
  <c r="AF21" i="48"/>
  <c r="AE23" i="48"/>
  <c r="AE25" i="48" s="1"/>
  <c r="AG21" i="45"/>
  <c r="AF23" i="45"/>
  <c r="AF25" i="45" s="1"/>
  <c r="AG21" i="42"/>
  <c r="AF23" i="42"/>
  <c r="AF25" i="42" s="1"/>
  <c r="AE23" i="39"/>
  <c r="AE25" i="39" s="1"/>
  <c r="AF21" i="39"/>
  <c r="AE23" i="33"/>
  <c r="AE25" i="33" s="1"/>
  <c r="AF21" i="33"/>
  <c r="AF21" i="30"/>
  <c r="AE23" i="30"/>
  <c r="AE25" i="30" s="1"/>
  <c r="AE23" i="27"/>
  <c r="AE25" i="27" s="1"/>
  <c r="AF21" i="27"/>
  <c r="AF21" i="24"/>
  <c r="AE23" i="24"/>
  <c r="AE25" i="24" s="1"/>
  <c r="AE23" i="21"/>
  <c r="AE25" i="21" s="1"/>
  <c r="AF21" i="21"/>
  <c r="AC23" i="18"/>
  <c r="AC25" i="18" s="1"/>
  <c r="AD21" i="18"/>
  <c r="M23" i="15"/>
  <c r="M25" i="15" s="1"/>
  <c r="N21" i="15"/>
  <c r="M21" i="12"/>
  <c r="L23" i="12"/>
  <c r="L25" i="12" s="1"/>
  <c r="L21" i="9"/>
  <c r="K23" i="9"/>
  <c r="K25" i="9" s="1"/>
  <c r="AF21" i="36" l="1"/>
  <c r="AE23" i="36"/>
  <c r="AE25" i="36" s="1"/>
  <c r="AG21" i="54"/>
  <c r="AF23" i="54"/>
  <c r="AF25" i="54" s="1"/>
  <c r="AH21" i="51"/>
  <c r="AG23" i="51"/>
  <c r="AG25" i="51" s="1"/>
  <c r="AG21" i="48"/>
  <c r="AF23" i="48"/>
  <c r="AF25" i="48" s="1"/>
  <c r="AG23" i="45"/>
  <c r="AG25" i="45" s="1"/>
  <c r="AH21" i="45"/>
  <c r="AH21" i="42"/>
  <c r="AG23" i="42"/>
  <c r="AG25" i="42" s="1"/>
  <c r="AG21" i="39"/>
  <c r="AF23" i="39"/>
  <c r="AF25" i="39" s="1"/>
  <c r="AG21" i="33"/>
  <c r="AF23" i="33"/>
  <c r="AF25" i="33" s="1"/>
  <c r="AG21" i="30"/>
  <c r="AF23" i="30"/>
  <c r="AF25" i="30" s="1"/>
  <c r="AG21" i="27"/>
  <c r="AF23" i="27"/>
  <c r="AF25" i="27" s="1"/>
  <c r="AG21" i="24"/>
  <c r="AF23" i="24"/>
  <c r="AF25" i="24" s="1"/>
  <c r="AG21" i="21"/>
  <c r="AF23" i="21"/>
  <c r="AF25" i="21" s="1"/>
  <c r="AE21" i="18"/>
  <c r="AD23" i="18"/>
  <c r="AD25" i="18" s="1"/>
  <c r="N23" i="15"/>
  <c r="N25" i="15" s="1"/>
  <c r="O21" i="15"/>
  <c r="M23" i="12"/>
  <c r="M25" i="12" s="1"/>
  <c r="N21" i="12"/>
  <c r="M21" i="9"/>
  <c r="L23" i="9"/>
  <c r="L25" i="9" s="1"/>
  <c r="AG21" i="36" l="1"/>
  <c r="AF23" i="36"/>
  <c r="AF25" i="36" s="1"/>
  <c r="AH21" i="54"/>
  <c r="AG23" i="54"/>
  <c r="AG25" i="54" s="1"/>
  <c r="AI21" i="51"/>
  <c r="AH23" i="51"/>
  <c r="AH25" i="51" s="1"/>
  <c r="AH21" i="48"/>
  <c r="AG23" i="48"/>
  <c r="AG25" i="48" s="1"/>
  <c r="AI21" i="45"/>
  <c r="AH23" i="45"/>
  <c r="AH25" i="45" s="1"/>
  <c r="AI21" i="42"/>
  <c r="AH23" i="42"/>
  <c r="AH25" i="42" s="1"/>
  <c r="AH21" i="39"/>
  <c r="AG23" i="39"/>
  <c r="AG25" i="39" s="1"/>
  <c r="AH21" i="33"/>
  <c r="AG23" i="33"/>
  <c r="AG25" i="33" s="1"/>
  <c r="AH21" i="30"/>
  <c r="AG23" i="30"/>
  <c r="AG25" i="30" s="1"/>
  <c r="AH21" i="27"/>
  <c r="AG23" i="27"/>
  <c r="AG25" i="27" s="1"/>
  <c r="AH21" i="24"/>
  <c r="AG23" i="24"/>
  <c r="AG25" i="24" s="1"/>
  <c r="AH21" i="21"/>
  <c r="AG23" i="21"/>
  <c r="AG25" i="21" s="1"/>
  <c r="AF21" i="18"/>
  <c r="AE23" i="18"/>
  <c r="AE25" i="18" s="1"/>
  <c r="O23" i="15"/>
  <c r="O25" i="15" s="1"/>
  <c r="P21" i="15"/>
  <c r="O21" i="12"/>
  <c r="N23" i="12"/>
  <c r="N25" i="12" s="1"/>
  <c r="M23" i="9"/>
  <c r="M25" i="9" s="1"/>
  <c r="N21" i="9"/>
  <c r="AH21" i="36" l="1"/>
  <c r="AG23" i="36"/>
  <c r="AG25" i="36" s="1"/>
  <c r="AI21" i="54"/>
  <c r="AH23" i="54"/>
  <c r="AH25" i="54" s="1"/>
  <c r="AJ21" i="51"/>
  <c r="AI23" i="51"/>
  <c r="AI25" i="51" s="1"/>
  <c r="AI21" i="48"/>
  <c r="AH23" i="48"/>
  <c r="AH25" i="48" s="1"/>
  <c r="AJ21" i="45"/>
  <c r="AI23" i="45"/>
  <c r="AI25" i="45" s="1"/>
  <c r="AJ21" i="42"/>
  <c r="AI23" i="42"/>
  <c r="AI25" i="42" s="1"/>
  <c r="AI21" i="39"/>
  <c r="AH23" i="39"/>
  <c r="AH25" i="39" s="1"/>
  <c r="AI21" i="33"/>
  <c r="AH23" i="33"/>
  <c r="AH25" i="33" s="1"/>
  <c r="AI21" i="30"/>
  <c r="AH23" i="30"/>
  <c r="AH25" i="30" s="1"/>
  <c r="AI21" i="27"/>
  <c r="AH23" i="27"/>
  <c r="AH25" i="27" s="1"/>
  <c r="AI21" i="24"/>
  <c r="AH23" i="24"/>
  <c r="AH25" i="24" s="1"/>
  <c r="AI21" i="21"/>
  <c r="AH23" i="21"/>
  <c r="AH25" i="21" s="1"/>
  <c r="AG21" i="18"/>
  <c r="AF23" i="18"/>
  <c r="AF25" i="18" s="1"/>
  <c r="Q21" i="15"/>
  <c r="P23" i="15"/>
  <c r="P25" i="15" s="1"/>
  <c r="P21" i="12"/>
  <c r="O23" i="12"/>
  <c r="O25" i="12" s="1"/>
  <c r="O21" i="9"/>
  <c r="N23" i="9"/>
  <c r="N25" i="9" s="1"/>
  <c r="AI21" i="36" l="1"/>
  <c r="AH23" i="36"/>
  <c r="AH25" i="36" s="1"/>
  <c r="AJ21" i="54"/>
  <c r="AI23" i="54"/>
  <c r="AI25" i="54" s="1"/>
  <c r="AK21" i="51"/>
  <c r="AJ23" i="51"/>
  <c r="AJ25" i="51" s="1"/>
  <c r="AJ21" i="48"/>
  <c r="AI23" i="48"/>
  <c r="AI25" i="48" s="1"/>
  <c r="AK21" i="45"/>
  <c r="AJ23" i="45"/>
  <c r="AJ25" i="45" s="1"/>
  <c r="AK21" i="42"/>
  <c r="AJ23" i="42"/>
  <c r="AJ25" i="42" s="1"/>
  <c r="AJ21" i="39"/>
  <c r="AI23" i="39"/>
  <c r="AI25" i="39" s="1"/>
  <c r="AJ21" i="33"/>
  <c r="AI23" i="33"/>
  <c r="AI25" i="33" s="1"/>
  <c r="AJ21" i="30"/>
  <c r="AI23" i="30"/>
  <c r="AI25" i="30" s="1"/>
  <c r="AJ21" i="27"/>
  <c r="AI23" i="27"/>
  <c r="AI25" i="27" s="1"/>
  <c r="AJ21" i="24"/>
  <c r="AI23" i="24"/>
  <c r="AI25" i="24" s="1"/>
  <c r="AJ21" i="21"/>
  <c r="AI23" i="21"/>
  <c r="AI25" i="21" s="1"/>
  <c r="AH21" i="18"/>
  <c r="AG23" i="18"/>
  <c r="AG25" i="18" s="1"/>
  <c r="R21" i="15"/>
  <c r="Q23" i="15"/>
  <c r="Q25" i="15" s="1"/>
  <c r="Q21" i="12"/>
  <c r="P23" i="12"/>
  <c r="P25" i="12" s="1"/>
  <c r="P21" i="9"/>
  <c r="O23" i="9"/>
  <c r="O25" i="9" s="1"/>
  <c r="AJ21" i="36" l="1"/>
  <c r="AI23" i="36"/>
  <c r="AI25" i="36" s="1"/>
  <c r="AK21" i="54"/>
  <c r="AJ23" i="54"/>
  <c r="AJ25" i="54" s="1"/>
  <c r="AK23" i="51"/>
  <c r="AK25" i="51" s="1"/>
  <c r="AL21" i="51"/>
  <c r="AK21" i="48"/>
  <c r="AJ23" i="48"/>
  <c r="AJ25" i="48" s="1"/>
  <c r="AK23" i="45"/>
  <c r="AK25" i="45" s="1"/>
  <c r="AL21" i="45"/>
  <c r="AK23" i="42"/>
  <c r="AK25" i="42" s="1"/>
  <c r="AL21" i="42"/>
  <c r="AK21" i="39"/>
  <c r="AJ23" i="39"/>
  <c r="AJ25" i="39" s="1"/>
  <c r="AK21" i="33"/>
  <c r="AJ23" i="33"/>
  <c r="AJ25" i="33" s="1"/>
  <c r="AK21" i="30"/>
  <c r="AJ23" i="30"/>
  <c r="AJ25" i="30" s="1"/>
  <c r="AK21" i="27"/>
  <c r="AJ23" i="27"/>
  <c r="AJ25" i="27" s="1"/>
  <c r="AK21" i="24"/>
  <c r="AJ23" i="24"/>
  <c r="AJ25" i="24" s="1"/>
  <c r="AK21" i="21"/>
  <c r="AJ23" i="21"/>
  <c r="AJ25" i="21" s="1"/>
  <c r="AI21" i="18"/>
  <c r="AH23" i="18"/>
  <c r="AH25" i="18" s="1"/>
  <c r="S21" i="15"/>
  <c r="R23" i="15"/>
  <c r="R25" i="15" s="1"/>
  <c r="R21" i="12"/>
  <c r="Q23" i="12"/>
  <c r="Q25" i="12" s="1"/>
  <c r="Q21" i="9"/>
  <c r="P23" i="9"/>
  <c r="P25" i="9" s="1"/>
  <c r="AK21" i="36" l="1"/>
  <c r="AJ23" i="36"/>
  <c r="AJ25" i="36" s="1"/>
  <c r="AK23" i="54"/>
  <c r="AK25" i="54" s="1"/>
  <c r="AL21" i="54"/>
  <c r="AM21" i="51"/>
  <c r="AL23" i="51"/>
  <c r="AL25" i="51" s="1"/>
  <c r="AK23" i="48"/>
  <c r="AK25" i="48" s="1"/>
  <c r="AL21" i="48"/>
  <c r="AM21" i="45"/>
  <c r="AL23" i="45"/>
  <c r="AL25" i="45" s="1"/>
  <c r="AM21" i="42"/>
  <c r="AL23" i="42"/>
  <c r="AL25" i="42" s="1"/>
  <c r="AK23" i="39"/>
  <c r="AK25" i="39" s="1"/>
  <c r="AL21" i="39"/>
  <c r="AK23" i="33"/>
  <c r="AK25" i="33" s="1"/>
  <c r="AL21" i="33"/>
  <c r="AK23" i="30"/>
  <c r="AK25" i="30" s="1"/>
  <c r="AL21" i="30"/>
  <c r="AK23" i="27"/>
  <c r="AK25" i="27" s="1"/>
  <c r="AL21" i="27"/>
  <c r="AK23" i="24"/>
  <c r="AK25" i="24" s="1"/>
  <c r="AL21" i="24"/>
  <c r="AK23" i="21"/>
  <c r="AK25" i="21" s="1"/>
  <c r="AL21" i="21"/>
  <c r="AJ21" i="18"/>
  <c r="AI23" i="18"/>
  <c r="AI25" i="18" s="1"/>
  <c r="T21" i="15"/>
  <c r="S23" i="15"/>
  <c r="S25" i="15" s="1"/>
  <c r="S21" i="12"/>
  <c r="R23" i="12"/>
  <c r="R25" i="12" s="1"/>
  <c r="R21" i="9"/>
  <c r="Q23" i="9"/>
  <c r="Q25" i="9" s="1"/>
  <c r="AL21" i="36" l="1"/>
  <c r="AK23" i="36"/>
  <c r="AK25" i="36" s="1"/>
  <c r="AM21" i="54"/>
  <c r="AL23" i="54"/>
  <c r="AL25" i="54" s="1"/>
  <c r="AM23" i="51"/>
  <c r="AM25" i="51" s="1"/>
  <c r="AN21" i="51"/>
  <c r="AM21" i="48"/>
  <c r="AL23" i="48"/>
  <c r="AL25" i="48" s="1"/>
  <c r="AM23" i="45"/>
  <c r="AM25" i="45" s="1"/>
  <c r="AN21" i="45"/>
  <c r="AM23" i="42"/>
  <c r="AM25" i="42" s="1"/>
  <c r="AN21" i="42"/>
  <c r="AM21" i="39"/>
  <c r="AL23" i="39"/>
  <c r="AL25" i="39" s="1"/>
  <c r="AM21" i="33"/>
  <c r="AL23" i="33"/>
  <c r="AL25" i="33" s="1"/>
  <c r="AM21" i="30"/>
  <c r="AL23" i="30"/>
  <c r="AL25" i="30" s="1"/>
  <c r="AM21" i="27"/>
  <c r="AL23" i="27"/>
  <c r="AL25" i="27" s="1"/>
  <c r="AM21" i="24"/>
  <c r="AL23" i="24"/>
  <c r="AL25" i="24" s="1"/>
  <c r="AM21" i="21"/>
  <c r="AL23" i="21"/>
  <c r="AL25" i="21" s="1"/>
  <c r="AK21" i="18"/>
  <c r="AJ23" i="18"/>
  <c r="AJ25" i="18" s="1"/>
  <c r="U21" i="15"/>
  <c r="T23" i="15"/>
  <c r="T25" i="15" s="1"/>
  <c r="T21" i="12"/>
  <c r="S23" i="12"/>
  <c r="S25" i="12" s="1"/>
  <c r="S21" i="9"/>
  <c r="R23" i="9"/>
  <c r="R25" i="9" s="1"/>
  <c r="AL23" i="36" l="1"/>
  <c r="AL25" i="36" s="1"/>
  <c r="AM21" i="36"/>
  <c r="AM23" i="54"/>
  <c r="AM25" i="54" s="1"/>
  <c r="AN21" i="54"/>
  <c r="AO21" i="51"/>
  <c r="AN23" i="51"/>
  <c r="AN25" i="51" s="1"/>
  <c r="AM23" i="48"/>
  <c r="AM25" i="48" s="1"/>
  <c r="AN21" i="48"/>
  <c r="AO21" i="45"/>
  <c r="AN23" i="45"/>
  <c r="AN25" i="45" s="1"/>
  <c r="AO21" i="42"/>
  <c r="AN23" i="42"/>
  <c r="AN25" i="42" s="1"/>
  <c r="AM23" i="39"/>
  <c r="AM25" i="39" s="1"/>
  <c r="AN21" i="39"/>
  <c r="AM23" i="33"/>
  <c r="AM25" i="33" s="1"/>
  <c r="AN21" i="33"/>
  <c r="AN21" i="30"/>
  <c r="AM23" i="30"/>
  <c r="AM25" i="30" s="1"/>
  <c r="AM23" i="27"/>
  <c r="AM25" i="27" s="1"/>
  <c r="AN21" i="27"/>
  <c r="AM23" i="24"/>
  <c r="AM25" i="24" s="1"/>
  <c r="AN21" i="24"/>
  <c r="AM23" i="21"/>
  <c r="AM25" i="21" s="1"/>
  <c r="AN21" i="21"/>
  <c r="AK23" i="18"/>
  <c r="AK25" i="18" s="1"/>
  <c r="AL21" i="18"/>
  <c r="U23" i="15"/>
  <c r="U25" i="15" s="1"/>
  <c r="V21" i="15"/>
  <c r="U21" i="12"/>
  <c r="T23" i="12"/>
  <c r="T25" i="12" s="1"/>
  <c r="T21" i="9"/>
  <c r="S23" i="9"/>
  <c r="S25" i="9" s="1"/>
  <c r="AM23" i="36" l="1"/>
  <c r="AM25" i="36" s="1"/>
  <c r="AN21" i="36"/>
  <c r="AO21" i="54"/>
  <c r="AN23" i="54"/>
  <c r="AN25" i="54" s="1"/>
  <c r="AP21" i="51"/>
  <c r="AO23" i="51"/>
  <c r="AO25" i="51" s="1"/>
  <c r="AO21" i="48"/>
  <c r="AN23" i="48"/>
  <c r="AN25" i="48" s="1"/>
  <c r="AO23" i="45"/>
  <c r="AO25" i="45" s="1"/>
  <c r="AP21" i="45"/>
  <c r="AP21" i="42"/>
  <c r="AO23" i="42"/>
  <c r="AO25" i="42" s="1"/>
  <c r="AO21" i="39"/>
  <c r="AN23" i="39"/>
  <c r="AN25" i="39" s="1"/>
  <c r="AO21" i="33"/>
  <c r="AN23" i="33"/>
  <c r="AN25" i="33" s="1"/>
  <c r="AO21" i="30"/>
  <c r="AN23" i="30"/>
  <c r="AN25" i="30" s="1"/>
  <c r="AN23" i="27"/>
  <c r="AN25" i="27" s="1"/>
  <c r="AO21" i="27"/>
  <c r="AO21" i="24"/>
  <c r="AN23" i="24"/>
  <c r="AN25" i="24" s="1"/>
  <c r="AO21" i="21"/>
  <c r="AN23" i="21"/>
  <c r="AN25" i="21" s="1"/>
  <c r="AM21" i="18"/>
  <c r="AL23" i="18"/>
  <c r="AL25" i="18" s="1"/>
  <c r="V23" i="15"/>
  <c r="V25" i="15" s="1"/>
  <c r="W21" i="15"/>
  <c r="U23" i="12"/>
  <c r="U25" i="12" s="1"/>
  <c r="V21" i="12"/>
  <c r="U21" i="9"/>
  <c r="T23" i="9"/>
  <c r="T25" i="9" s="1"/>
  <c r="AO21" i="36" l="1"/>
  <c r="AN23" i="36"/>
  <c r="AN25" i="36" s="1"/>
  <c r="AP21" i="54"/>
  <c r="AO23" i="54"/>
  <c r="AO25" i="54" s="1"/>
  <c r="AQ21" i="51"/>
  <c r="AQ23" i="51" s="1"/>
  <c r="AQ25" i="51" s="1"/>
  <c r="AP23" i="51"/>
  <c r="AP25" i="51" s="1"/>
  <c r="AP21" i="48"/>
  <c r="AO23" i="48"/>
  <c r="AO25" i="48" s="1"/>
  <c r="AQ21" i="45"/>
  <c r="AQ23" i="45" s="1"/>
  <c r="AQ25" i="45" s="1"/>
  <c r="AP23" i="45"/>
  <c r="AP25" i="45" s="1"/>
  <c r="AQ21" i="42"/>
  <c r="AQ23" i="42" s="1"/>
  <c r="AQ25" i="42" s="1"/>
  <c r="AP23" i="42"/>
  <c r="AP25" i="42" s="1"/>
  <c r="AP21" i="39"/>
  <c r="AO23" i="39"/>
  <c r="AO25" i="39" s="1"/>
  <c r="AP21" i="33"/>
  <c r="AO23" i="33"/>
  <c r="AO25" i="33" s="1"/>
  <c r="AP21" i="30"/>
  <c r="AO23" i="30"/>
  <c r="AO25" i="30" s="1"/>
  <c r="AP21" i="27"/>
  <c r="AO23" i="27"/>
  <c r="AO25" i="27" s="1"/>
  <c r="AP21" i="24"/>
  <c r="AO23" i="24"/>
  <c r="AO25" i="24" s="1"/>
  <c r="AP21" i="21"/>
  <c r="AO23" i="21"/>
  <c r="AO25" i="21" s="1"/>
  <c r="AN21" i="18"/>
  <c r="AM23" i="18"/>
  <c r="AM25" i="18" s="1"/>
  <c r="X21" i="15"/>
  <c r="W23" i="15"/>
  <c r="W25" i="15" s="1"/>
  <c r="V23" i="12"/>
  <c r="V25" i="12" s="1"/>
  <c r="W21" i="12"/>
  <c r="U23" i="9"/>
  <c r="U25" i="9" s="1"/>
  <c r="V21" i="9"/>
  <c r="AP21" i="36" l="1"/>
  <c r="AO23" i="36"/>
  <c r="AO25" i="36" s="1"/>
  <c r="AQ21" i="54"/>
  <c r="AQ23" i="54" s="1"/>
  <c r="AQ25" i="54" s="1"/>
  <c r="AP23" i="54"/>
  <c r="AP25" i="54" s="1"/>
  <c r="AQ21" i="48"/>
  <c r="AQ23" i="48" s="1"/>
  <c r="AQ25" i="48" s="1"/>
  <c r="AP23" i="48"/>
  <c r="AP25" i="48" s="1"/>
  <c r="AQ21" i="39"/>
  <c r="AQ23" i="39" s="1"/>
  <c r="AQ25" i="39" s="1"/>
  <c r="AP23" i="39"/>
  <c r="AP25" i="39" s="1"/>
  <c r="AQ21" i="33"/>
  <c r="AQ23" i="33" s="1"/>
  <c r="AQ25" i="33" s="1"/>
  <c r="AP23" i="33"/>
  <c r="AP25" i="33" s="1"/>
  <c r="AQ21" i="30"/>
  <c r="AQ23" i="30" s="1"/>
  <c r="AQ25" i="30" s="1"/>
  <c r="AP23" i="30"/>
  <c r="AP25" i="30" s="1"/>
  <c r="AQ21" i="27"/>
  <c r="AQ23" i="27" s="1"/>
  <c r="AQ25" i="27" s="1"/>
  <c r="AP23" i="27"/>
  <c r="AP25" i="27" s="1"/>
  <c r="AQ21" i="24"/>
  <c r="AQ23" i="24" s="1"/>
  <c r="AQ25" i="24" s="1"/>
  <c r="AP23" i="24"/>
  <c r="AP25" i="24" s="1"/>
  <c r="AQ21" i="21"/>
  <c r="AQ23" i="21" s="1"/>
  <c r="AQ25" i="21" s="1"/>
  <c r="AP23" i="21"/>
  <c r="AP25" i="21" s="1"/>
  <c r="AO21" i="18"/>
  <c r="AN23" i="18"/>
  <c r="AN25" i="18" s="1"/>
  <c r="Y21" i="15"/>
  <c r="X23" i="15"/>
  <c r="X25" i="15" s="1"/>
  <c r="X21" i="12"/>
  <c r="W23" i="12"/>
  <c r="W25" i="12" s="1"/>
  <c r="W21" i="9"/>
  <c r="V23" i="9"/>
  <c r="V25" i="9" s="1"/>
  <c r="AQ21" i="36" l="1"/>
  <c r="AQ23" i="36" s="1"/>
  <c r="AQ25" i="36" s="1"/>
  <c r="AP23" i="36"/>
  <c r="AP25" i="36" s="1"/>
  <c r="AP21" i="18"/>
  <c r="AO23" i="18"/>
  <c r="AO25" i="18" s="1"/>
  <c r="Z21" i="15"/>
  <c r="Y23" i="15"/>
  <c r="Y25" i="15" s="1"/>
  <c r="Y21" i="12"/>
  <c r="X23" i="12"/>
  <c r="X25" i="12" s="1"/>
  <c r="X21" i="9"/>
  <c r="W23" i="9"/>
  <c r="W25" i="9" s="1"/>
  <c r="AQ21" i="18" l="1"/>
  <c r="AQ23" i="18" s="1"/>
  <c r="AQ25" i="18" s="1"/>
  <c r="AP23" i="18"/>
  <c r="AP25" i="18" s="1"/>
  <c r="AA21" i="15"/>
  <c r="Z23" i="15"/>
  <c r="Z25" i="15" s="1"/>
  <c r="Z21" i="12"/>
  <c r="Y23" i="12"/>
  <c r="Y25" i="12" s="1"/>
  <c r="Y21" i="9"/>
  <c r="X23" i="9"/>
  <c r="X25" i="9" s="1"/>
  <c r="AB21" i="15" l="1"/>
  <c r="AA23" i="15"/>
  <c r="AA25" i="15" s="1"/>
  <c r="AA21" i="12"/>
  <c r="Z23" i="12"/>
  <c r="Z25" i="12" s="1"/>
  <c r="Z21" i="9"/>
  <c r="Y23" i="9"/>
  <c r="Y25" i="9" s="1"/>
  <c r="AC21" i="15" l="1"/>
  <c r="AB23" i="15"/>
  <c r="AB25" i="15" s="1"/>
  <c r="AB21" i="12"/>
  <c r="AA23" i="12"/>
  <c r="AA25" i="12" s="1"/>
  <c r="AA21" i="9"/>
  <c r="Z23" i="9"/>
  <c r="Z25" i="9" s="1"/>
  <c r="AC23" i="15" l="1"/>
  <c r="AC25" i="15" s="1"/>
  <c r="AD21" i="15"/>
  <c r="AC21" i="12"/>
  <c r="AB23" i="12"/>
  <c r="AB25" i="12" s="1"/>
  <c r="AB21" i="9"/>
  <c r="AA23" i="9"/>
  <c r="AA25" i="9" s="1"/>
  <c r="AD23" i="15" l="1"/>
  <c r="AD25" i="15" s="1"/>
  <c r="AE21" i="15"/>
  <c r="AC23" i="12"/>
  <c r="AC25" i="12" s="1"/>
  <c r="AD21" i="12"/>
  <c r="AC21" i="9"/>
  <c r="AB23" i="9"/>
  <c r="AB25" i="9" s="1"/>
  <c r="AE23" i="15" l="1"/>
  <c r="AE25" i="15" s="1"/>
  <c r="AF21" i="15"/>
  <c r="AD23" i="12"/>
  <c r="AD25" i="12" s="1"/>
  <c r="AE21" i="12"/>
  <c r="AC23" i="9"/>
  <c r="AC25" i="9" s="1"/>
  <c r="AD21" i="9"/>
  <c r="AG21" i="15" l="1"/>
  <c r="AF23" i="15"/>
  <c r="AF25" i="15" s="1"/>
  <c r="AF21" i="12"/>
  <c r="AE23" i="12"/>
  <c r="AE25" i="12" s="1"/>
  <c r="AE21" i="9"/>
  <c r="AD23" i="9"/>
  <c r="AD25" i="9" s="1"/>
  <c r="AH21" i="15" l="1"/>
  <c r="AG23" i="15"/>
  <c r="AG25" i="15" s="1"/>
  <c r="AG21" i="12"/>
  <c r="AF23" i="12"/>
  <c r="AF25" i="12" s="1"/>
  <c r="AF21" i="9"/>
  <c r="AE23" i="9"/>
  <c r="AE25" i="9" s="1"/>
  <c r="AI21" i="15" l="1"/>
  <c r="AH23" i="15"/>
  <c r="AH25" i="15" s="1"/>
  <c r="AH21" i="12"/>
  <c r="AG23" i="12"/>
  <c r="AG25" i="12" s="1"/>
  <c r="AG21" i="9"/>
  <c r="AF23" i="9"/>
  <c r="AF25" i="9" s="1"/>
  <c r="AJ21" i="15" l="1"/>
  <c r="AI23" i="15"/>
  <c r="AI25" i="15" s="1"/>
  <c r="AI21" i="12"/>
  <c r="AH23" i="12"/>
  <c r="AH25" i="12" s="1"/>
  <c r="AH21" i="9"/>
  <c r="AG23" i="9"/>
  <c r="AG25" i="9" s="1"/>
  <c r="AK21" i="15" l="1"/>
  <c r="AJ23" i="15"/>
  <c r="AJ25" i="15" s="1"/>
  <c r="AJ21" i="12"/>
  <c r="AI23" i="12"/>
  <c r="AI25" i="12" s="1"/>
  <c r="AI21" i="9"/>
  <c r="AH23" i="9"/>
  <c r="AH25" i="9" s="1"/>
  <c r="AK23" i="15" l="1"/>
  <c r="AK25" i="15" s="1"/>
  <c r="AL21" i="15"/>
  <c r="AK21" i="12"/>
  <c r="AJ23" i="12"/>
  <c r="AJ25" i="12" s="1"/>
  <c r="AJ21" i="9"/>
  <c r="AI23" i="9"/>
  <c r="AI25" i="9" s="1"/>
  <c r="AM21" i="15" l="1"/>
  <c r="AL23" i="15"/>
  <c r="AL25" i="15" s="1"/>
  <c r="AK23" i="12"/>
  <c r="AK25" i="12" s="1"/>
  <c r="AL21" i="12"/>
  <c r="AK21" i="9"/>
  <c r="AJ23" i="9"/>
  <c r="AJ25" i="9" s="1"/>
  <c r="AM23" i="15" l="1"/>
  <c r="AM25" i="15" s="1"/>
  <c r="AN21" i="15"/>
  <c r="AM21" i="12"/>
  <c r="AL23" i="12"/>
  <c r="AL25" i="12" s="1"/>
  <c r="AK23" i="9"/>
  <c r="AK25" i="9" s="1"/>
  <c r="AL21" i="9"/>
  <c r="AO21" i="15" l="1"/>
  <c r="AN23" i="15"/>
  <c r="AN25" i="15" s="1"/>
  <c r="AM23" i="12"/>
  <c r="AM25" i="12" s="1"/>
  <c r="AN21" i="12"/>
  <c r="AM21" i="9"/>
  <c r="AL23" i="9"/>
  <c r="AL25" i="9" s="1"/>
  <c r="AP21" i="15" l="1"/>
  <c r="AO23" i="15"/>
  <c r="AO25" i="15" s="1"/>
  <c r="AO21" i="12"/>
  <c r="AN23" i="12"/>
  <c r="AN25" i="12" s="1"/>
  <c r="AN21" i="9"/>
  <c r="AM23" i="9"/>
  <c r="AM25" i="9" s="1"/>
  <c r="AQ21" i="15" l="1"/>
  <c r="AQ23" i="15" s="1"/>
  <c r="AQ25" i="15" s="1"/>
  <c r="AP23" i="15"/>
  <c r="AP25" i="15" s="1"/>
  <c r="AP21" i="12"/>
  <c r="AO23" i="12"/>
  <c r="AO25" i="12" s="1"/>
  <c r="AO21" i="9"/>
  <c r="AN23" i="9"/>
  <c r="AN25" i="9" s="1"/>
  <c r="AQ21" i="12" l="1"/>
  <c r="AQ23" i="12" s="1"/>
  <c r="AQ25" i="12" s="1"/>
  <c r="AP23" i="12"/>
  <c r="AP25" i="12" s="1"/>
  <c r="AP21" i="9"/>
  <c r="AO23" i="9"/>
  <c r="AO25" i="9" s="1"/>
  <c r="AQ21" i="9" l="1"/>
  <c r="AQ23" i="9" s="1"/>
  <c r="AQ25" i="9" s="1"/>
  <c r="AP23" i="9"/>
  <c r="AP25" i="9" s="1"/>
  <c r="I62" i="7" l="1"/>
  <c r="H62" i="7"/>
  <c r="M36" i="7"/>
  <c r="L36" i="7"/>
  <c r="K36" i="7"/>
  <c r="I58" i="7" s="1"/>
  <c r="J36" i="7"/>
  <c r="H58" i="7" s="1"/>
  <c r="I36" i="7"/>
  <c r="G58" i="7" s="1"/>
  <c r="M29" i="7"/>
  <c r="L29" i="7"/>
  <c r="K29" i="7"/>
  <c r="J29" i="7"/>
  <c r="I29" i="7"/>
  <c r="H29" i="7"/>
  <c r="G29" i="7"/>
  <c r="F29" i="7"/>
  <c r="E29" i="7"/>
  <c r="D29" i="7"/>
  <c r="M28" i="7"/>
  <c r="L28" i="7"/>
  <c r="K28" i="7"/>
  <c r="J28" i="7"/>
  <c r="I28" i="7"/>
  <c r="H28" i="7"/>
  <c r="G28" i="7"/>
  <c r="F28" i="7"/>
  <c r="E28" i="7"/>
  <c r="D28" i="7"/>
  <c r="M26" i="7"/>
  <c r="L26" i="7"/>
  <c r="K26" i="7"/>
  <c r="J26" i="7"/>
  <c r="I26" i="7"/>
  <c r="H26" i="7"/>
  <c r="G26" i="7"/>
  <c r="F26" i="7"/>
  <c r="E26" i="7"/>
  <c r="D26" i="7"/>
  <c r="M25" i="7"/>
  <c r="L25" i="7"/>
  <c r="K25" i="7"/>
  <c r="J25" i="7"/>
  <c r="I25" i="7"/>
  <c r="H25" i="7"/>
  <c r="G25" i="7"/>
  <c r="F25" i="7"/>
  <c r="E25" i="7"/>
  <c r="D25" i="7"/>
  <c r="B11" i="7"/>
  <c r="I9" i="7"/>
  <c r="D101" i="6"/>
  <c r="C101" i="6"/>
  <c r="D100" i="6"/>
  <c r="C100" i="6"/>
  <c r="D99" i="6"/>
  <c r="C99" i="6"/>
  <c r="D98" i="6"/>
  <c r="C98" i="6"/>
  <c r="D97" i="6"/>
  <c r="C97" i="6"/>
  <c r="R29" i="6"/>
  <c r="S29" i="6" s="1"/>
  <c r="L29" i="6"/>
  <c r="M29" i="6" s="1"/>
  <c r="N29" i="6" s="1"/>
  <c r="O29" i="6" s="1"/>
  <c r="P29" i="6" s="1"/>
  <c r="Q29" i="6" s="1"/>
  <c r="K29" i="6"/>
  <c r="BE177" i="5"/>
  <c r="BE176" i="5"/>
  <c r="BE175" i="5"/>
  <c r="BE174" i="5"/>
  <c r="BE173" i="5"/>
  <c r="BE172" i="5"/>
  <c r="BE171" i="5"/>
  <c r="BE170" i="5"/>
  <c r="CF169" i="5"/>
  <c r="CE169" i="5"/>
  <c r="BF169" i="5"/>
  <c r="BF170" i="5" s="1"/>
  <c r="BF171" i="5" s="1"/>
  <c r="BF172" i="5" s="1"/>
  <c r="BF173" i="5" s="1"/>
  <c r="BF174" i="5" s="1"/>
  <c r="BF175" i="5" s="1"/>
  <c r="BF176" i="5" s="1"/>
  <c r="BF177" i="5" s="1"/>
  <c r="BE169" i="5"/>
  <c r="BE168" i="5"/>
  <c r="BE167" i="5"/>
  <c r="W205" i="5"/>
  <c r="X205" i="5" s="1"/>
  <c r="BG167" i="5"/>
  <c r="R134" i="5"/>
  <c r="R133" i="5"/>
  <c r="R132" i="5"/>
  <c r="R131" i="5"/>
  <c r="R130" i="5"/>
  <c r="R129" i="5"/>
  <c r="R128" i="5"/>
  <c r="AE127" i="5"/>
  <c r="AD127" i="5"/>
  <c r="AC127" i="5"/>
  <c r="AB127" i="5"/>
  <c r="AA127" i="5"/>
  <c r="R127" i="5"/>
  <c r="R126" i="5"/>
  <c r="R125" i="5"/>
  <c r="M36" i="4"/>
  <c r="L36" i="4"/>
  <c r="K36" i="4"/>
  <c r="I58" i="4" s="1"/>
  <c r="J36" i="4"/>
  <c r="H58" i="4" s="1"/>
  <c r="I36" i="4"/>
  <c r="G58" i="4" s="1"/>
  <c r="BF168" i="1"/>
  <c r="BF169" i="1" s="1"/>
  <c r="BE176" i="1"/>
  <c r="BE175" i="1"/>
  <c r="BE174" i="1"/>
  <c r="BE173" i="1"/>
  <c r="BE172" i="1"/>
  <c r="BE171" i="1"/>
  <c r="BE170" i="1"/>
  <c r="R133" i="1"/>
  <c r="R132" i="1"/>
  <c r="R131" i="1"/>
  <c r="R130" i="1"/>
  <c r="R129" i="1"/>
  <c r="R128" i="1"/>
  <c r="R127" i="1"/>
  <c r="R126" i="1"/>
  <c r="I62" i="72"/>
  <c r="J62" i="72"/>
  <c r="K62" i="72"/>
  <c r="L62" i="72"/>
  <c r="M62" i="72"/>
  <c r="N62" i="72"/>
  <c r="O62" i="72"/>
  <c r="P62" i="72"/>
  <c r="P85" i="72" s="1"/>
  <c r="P87" i="72" s="1"/>
  <c r="I85" i="72" l="1"/>
  <c r="I87" i="72" s="1"/>
  <c r="J85" i="72"/>
  <c r="J87" i="72" s="1"/>
  <c r="K85" i="72"/>
  <c r="K87" i="72" s="1"/>
  <c r="L85" i="72"/>
  <c r="L87" i="72" s="1"/>
  <c r="M85" i="72"/>
  <c r="M87" i="72" s="1"/>
  <c r="N85" i="72"/>
  <c r="N87" i="72" s="1"/>
  <c r="O85" i="72"/>
  <c r="O87" i="72" s="1"/>
  <c r="BO167" i="5"/>
  <c r="W181" i="5"/>
  <c r="X181" i="5" s="1"/>
  <c r="BK167" i="5"/>
  <c r="W189" i="5"/>
  <c r="X189" i="5" s="1"/>
  <c r="W197" i="5"/>
  <c r="X197" i="5" s="1"/>
  <c r="W179" i="5"/>
  <c r="X179" i="5" s="1"/>
  <c r="BN167" i="5"/>
  <c r="BJ167" i="5"/>
  <c r="BI167" i="5"/>
  <c r="BG168" i="5"/>
  <c r="BL167" i="5"/>
  <c r="BM167" i="5"/>
  <c r="W211" i="5"/>
  <c r="X211" i="5" s="1"/>
  <c r="W203" i="5"/>
  <c r="X203" i="5" s="1"/>
  <c r="W195" i="5"/>
  <c r="X195" i="5" s="1"/>
  <c r="W187" i="5"/>
  <c r="X187" i="5" s="1"/>
  <c r="W210" i="5"/>
  <c r="X210" i="5" s="1"/>
  <c r="W202" i="5"/>
  <c r="X202" i="5" s="1"/>
  <c r="W194" i="5"/>
  <c r="X194" i="5" s="1"/>
  <c r="W186" i="5"/>
  <c r="X186" i="5" s="1"/>
  <c r="W209" i="5"/>
  <c r="X209" i="5" s="1"/>
  <c r="W201" i="5"/>
  <c r="X201" i="5" s="1"/>
  <c r="W193" i="5"/>
  <c r="X193" i="5" s="1"/>
  <c r="W185" i="5"/>
  <c r="X185" i="5" s="1"/>
  <c r="W208" i="5"/>
  <c r="X208" i="5" s="1"/>
  <c r="W200" i="5"/>
  <c r="X200" i="5" s="1"/>
  <c r="W192" i="5"/>
  <c r="X192" i="5" s="1"/>
  <c r="W184" i="5"/>
  <c r="X184" i="5" s="1"/>
  <c r="W169" i="5"/>
  <c r="X169" i="5" s="1"/>
  <c r="W206" i="5"/>
  <c r="X206" i="5" s="1"/>
  <c r="W198" i="5"/>
  <c r="X198" i="5" s="1"/>
  <c r="W190" i="5"/>
  <c r="X190" i="5" s="1"/>
  <c r="W182" i="5"/>
  <c r="X182" i="5" s="1"/>
  <c r="W178" i="5"/>
  <c r="X178" i="5" s="1"/>
  <c r="W177" i="5"/>
  <c r="X177" i="5" s="1"/>
  <c r="W176" i="5"/>
  <c r="X176" i="5" s="1"/>
  <c r="W175" i="5"/>
  <c r="X175" i="5" s="1"/>
  <c r="W174" i="5"/>
  <c r="X174" i="5" s="1"/>
  <c r="W173" i="5"/>
  <c r="X173" i="5" s="1"/>
  <c r="W172" i="5"/>
  <c r="X172" i="5" s="1"/>
  <c r="W171" i="5"/>
  <c r="X171" i="5" s="1"/>
  <c r="W170" i="5"/>
  <c r="X170" i="5" s="1"/>
  <c r="W212" i="5"/>
  <c r="X212" i="5" s="1"/>
  <c r="W204" i="5"/>
  <c r="X204" i="5" s="1"/>
  <c r="W196" i="5"/>
  <c r="X196" i="5" s="1"/>
  <c r="W188" i="5"/>
  <c r="X188" i="5" s="1"/>
  <c r="W180" i="5"/>
  <c r="X180" i="5" s="1"/>
  <c r="CJ178" i="5"/>
  <c r="CF170" i="5" s="1"/>
  <c r="CI178" i="5"/>
  <c r="CE170" i="5" s="1"/>
  <c r="CI177" i="5"/>
  <c r="CE171" i="5" s="1"/>
  <c r="CI176" i="5"/>
  <c r="CE172" i="5" s="1"/>
  <c r="CI175" i="5"/>
  <c r="CE173" i="5" s="1"/>
  <c r="CI174" i="5"/>
  <c r="CE174" i="5" s="1"/>
  <c r="CI173" i="5"/>
  <c r="CE175" i="5" s="1"/>
  <c r="CI172" i="5"/>
  <c r="CE176" i="5" s="1"/>
  <c r="CI171" i="5"/>
  <c r="CE177" i="5" s="1"/>
  <c r="F27" i="6"/>
  <c r="C12" i="6" s="1"/>
  <c r="I38" i="7"/>
  <c r="G62" i="7" s="1"/>
  <c r="S121" i="5"/>
  <c r="F28" i="6" s="1"/>
  <c r="CJ171" i="5"/>
  <c r="CF177" i="5" s="1"/>
  <c r="CJ173" i="5"/>
  <c r="CF175" i="5" s="1"/>
  <c r="CJ175" i="5"/>
  <c r="CF173" i="5" s="1"/>
  <c r="CJ177" i="5"/>
  <c r="CF171" i="5" s="1"/>
  <c r="AA226" i="5"/>
  <c r="AA227" i="5" s="1"/>
  <c r="AB226" i="5"/>
  <c r="AB227" i="5" s="1"/>
  <c r="CI170" i="5"/>
  <c r="CE178" i="5" s="1"/>
  <c r="W168" i="5"/>
  <c r="X168" i="5" s="1"/>
  <c r="CJ170" i="5"/>
  <c r="CF178" i="5" s="1"/>
  <c r="CJ172" i="5"/>
  <c r="CF176" i="5" s="1"/>
  <c r="CJ174" i="5"/>
  <c r="CF174" i="5" s="1"/>
  <c r="CJ176" i="5"/>
  <c r="CF172" i="5" s="1"/>
  <c r="W183" i="5"/>
  <c r="X183" i="5" s="1"/>
  <c r="W191" i="5"/>
  <c r="X191" i="5" s="1"/>
  <c r="W199" i="5"/>
  <c r="X199" i="5" s="1"/>
  <c r="W207" i="5"/>
  <c r="X207" i="5" s="1"/>
  <c r="I9" i="4"/>
  <c r="B11" i="4"/>
  <c r="H62" i="72"/>
  <c r="S62" i="72" s="1"/>
  <c r="D25" i="4"/>
  <c r="D26" i="4"/>
  <c r="D28" i="4"/>
  <c r="D29" i="4"/>
  <c r="E25" i="4"/>
  <c r="E26" i="4"/>
  <c r="K29" i="3"/>
  <c r="L29" i="3" s="1"/>
  <c r="M29" i="3" s="1"/>
  <c r="N29" i="3" s="1"/>
  <c r="O29" i="3" s="1"/>
  <c r="E28" i="4"/>
  <c r="E29" i="4"/>
  <c r="F25" i="4"/>
  <c r="F26" i="4"/>
  <c r="F28" i="4"/>
  <c r="F29" i="4"/>
  <c r="G25" i="4"/>
  <c r="G26" i="4"/>
  <c r="G28" i="4"/>
  <c r="G29" i="4"/>
  <c r="H25" i="4"/>
  <c r="H26" i="4"/>
  <c r="H28" i="4"/>
  <c r="H29" i="4"/>
  <c r="I25" i="4"/>
  <c r="I26" i="4"/>
  <c r="I28" i="4"/>
  <c r="I29" i="4"/>
  <c r="J25" i="4"/>
  <c r="J26" i="4"/>
  <c r="J28" i="4"/>
  <c r="J29" i="4"/>
  <c r="K25" i="4"/>
  <c r="K26" i="4"/>
  <c r="K28" i="4"/>
  <c r="K29" i="4"/>
  <c r="L25" i="4"/>
  <c r="L26" i="4"/>
  <c r="L28" i="4"/>
  <c r="L29" i="4"/>
  <c r="M25" i="4"/>
  <c r="M26" i="4"/>
  <c r="M28" i="4"/>
  <c r="M29" i="4"/>
  <c r="I62" i="4"/>
  <c r="H62" i="4"/>
  <c r="D101" i="3"/>
  <c r="C101" i="3"/>
  <c r="D100" i="3"/>
  <c r="C100" i="3"/>
  <c r="D99" i="3"/>
  <c r="C99" i="3"/>
  <c r="D98" i="3"/>
  <c r="C98" i="3"/>
  <c r="D97" i="3"/>
  <c r="C97" i="3"/>
  <c r="CE168" i="1"/>
  <c r="CI176" i="1" s="1"/>
  <c r="CE170" i="1" s="1"/>
  <c r="BE169" i="1"/>
  <c r="CF168" i="1"/>
  <c r="BF170" i="1"/>
  <c r="BF171" i="1" s="1"/>
  <c r="BF172" i="1" s="1"/>
  <c r="BF173" i="1" s="1"/>
  <c r="BF174" i="1" s="1"/>
  <c r="BF175" i="1" s="1"/>
  <c r="BF176" i="1" s="1"/>
  <c r="BE168" i="1"/>
  <c r="BE167" i="1"/>
  <c r="BE166" i="1"/>
  <c r="W198" i="1"/>
  <c r="X198" i="1" s="1"/>
  <c r="R125" i="1"/>
  <c r="R124" i="1"/>
  <c r="W188" i="1"/>
  <c r="X188" i="1" s="1"/>
  <c r="W200" i="1"/>
  <c r="X200" i="1" s="1"/>
  <c r="W191" i="1"/>
  <c r="X191" i="1" s="1"/>
  <c r="P29" i="3"/>
  <c r="Q29" i="3"/>
  <c r="R29" i="3" s="1"/>
  <c r="S29" i="3" s="1"/>
  <c r="CI173" i="1" l="1"/>
  <c r="CE173" i="1" s="1"/>
  <c r="BI166" i="1"/>
  <c r="BZ162" i="5"/>
  <c r="S124" i="5" s="1"/>
  <c r="H37" i="7" s="1"/>
  <c r="F59" i="7" s="1"/>
  <c r="I38" i="4"/>
  <c r="G62" i="4" s="1"/>
  <c r="CJ174" i="1"/>
  <c r="CF172" i="1" s="1"/>
  <c r="CJ175" i="1"/>
  <c r="CF171" i="1" s="1"/>
  <c r="CJ171" i="1"/>
  <c r="CF175" i="1" s="1"/>
  <c r="W193" i="1"/>
  <c r="X193" i="1" s="1"/>
  <c r="BH167" i="5"/>
  <c r="C25" i="7"/>
  <c r="C31" i="7" s="1"/>
  <c r="C19" i="6"/>
  <c r="AM15" i="6"/>
  <c r="AM19" i="6" s="1"/>
  <c r="AE15" i="6"/>
  <c r="AE19" i="6" s="1"/>
  <c r="W15" i="6"/>
  <c r="W19" i="6" s="1"/>
  <c r="O15" i="6"/>
  <c r="O19" i="6" s="1"/>
  <c r="G15" i="6"/>
  <c r="G19" i="6" s="1"/>
  <c r="AL15" i="6"/>
  <c r="AL19" i="6" s="1"/>
  <c r="AD15" i="6"/>
  <c r="AD19" i="6" s="1"/>
  <c r="V15" i="6"/>
  <c r="V19" i="6" s="1"/>
  <c r="N15" i="6"/>
  <c r="N19" i="6" s="1"/>
  <c r="F15" i="6"/>
  <c r="F19" i="6" s="1"/>
  <c r="AK15" i="6"/>
  <c r="AK19" i="6" s="1"/>
  <c r="AC15" i="6"/>
  <c r="AC19" i="6" s="1"/>
  <c r="U15" i="6"/>
  <c r="U19" i="6" s="1"/>
  <c r="M15" i="6"/>
  <c r="M19" i="6" s="1"/>
  <c r="E15" i="6"/>
  <c r="E19" i="6" s="1"/>
  <c r="AJ15" i="6"/>
  <c r="AB15" i="6"/>
  <c r="T15" i="6"/>
  <c r="L15" i="6"/>
  <c r="D15" i="6"/>
  <c r="AP15" i="6"/>
  <c r="AP19" i="6" s="1"/>
  <c r="AH15" i="6"/>
  <c r="AH19" i="6" s="1"/>
  <c r="Z15" i="6"/>
  <c r="Z19" i="6" s="1"/>
  <c r="R15" i="6"/>
  <c r="R19" i="6" s="1"/>
  <c r="J15" i="6"/>
  <c r="J19" i="6" s="1"/>
  <c r="H27" i="6"/>
  <c r="AN15" i="6"/>
  <c r="AF15" i="6"/>
  <c r="X15" i="6"/>
  <c r="P15" i="6"/>
  <c r="H15" i="6"/>
  <c r="AI15" i="6"/>
  <c r="AI19" i="6" s="1"/>
  <c r="AG15" i="6"/>
  <c r="AG19" i="6" s="1"/>
  <c r="AA15" i="6"/>
  <c r="AA19" i="6" s="1"/>
  <c r="Y15" i="6"/>
  <c r="Y19" i="6" s="1"/>
  <c r="S15" i="6"/>
  <c r="S19" i="6" s="1"/>
  <c r="Q15" i="6"/>
  <c r="Q19" i="6" s="1"/>
  <c r="AQ15" i="6"/>
  <c r="AQ19" i="6" s="1"/>
  <c r="K15" i="6"/>
  <c r="K19" i="6" s="1"/>
  <c r="AO15" i="6"/>
  <c r="AO19" i="6" s="1"/>
  <c r="I15" i="6"/>
  <c r="I19" i="6" s="1"/>
  <c r="X215" i="5"/>
  <c r="AA225" i="1"/>
  <c r="AA226" i="1" s="1"/>
  <c r="S120" i="1"/>
  <c r="F28" i="3" s="1"/>
  <c r="H27" i="3" s="1"/>
  <c r="BG166" i="1"/>
  <c r="CJ173" i="1"/>
  <c r="CF173" i="1" s="1"/>
  <c r="CI171" i="1"/>
  <c r="CE175" i="1" s="1"/>
  <c r="CI174" i="1"/>
  <c r="CE172" i="1" s="1"/>
  <c r="CI169" i="1"/>
  <c r="CE177" i="1" s="1"/>
  <c r="CJ170" i="1"/>
  <c r="CF176" i="1" s="1"/>
  <c r="CI172" i="1"/>
  <c r="CE174" i="1" s="1"/>
  <c r="CI170" i="1"/>
  <c r="CE176" i="1" s="1"/>
  <c r="CJ169" i="1"/>
  <c r="CF177" i="1" s="1"/>
  <c r="CI177" i="1"/>
  <c r="CE169" i="1" s="1"/>
  <c r="CJ177" i="1"/>
  <c r="CF169" i="1" s="1"/>
  <c r="CI175" i="1"/>
  <c r="CE171" i="1" s="1"/>
  <c r="W189" i="1"/>
  <c r="X189" i="1" s="1"/>
  <c r="W185" i="1"/>
  <c r="X185" i="1" s="1"/>
  <c r="W176" i="1"/>
  <c r="X176" i="1" s="1"/>
  <c r="W181" i="1"/>
  <c r="X181" i="1" s="1"/>
  <c r="W174" i="1"/>
  <c r="X174" i="1" s="1"/>
  <c r="W207" i="1"/>
  <c r="X207" i="1" s="1"/>
  <c r="W204" i="1"/>
  <c r="X204" i="1" s="1"/>
  <c r="W205" i="1"/>
  <c r="X205" i="1" s="1"/>
  <c r="W202" i="1"/>
  <c r="X202" i="1" s="1"/>
  <c r="W173" i="1"/>
  <c r="X173" i="1" s="1"/>
  <c r="BN166" i="1"/>
  <c r="CJ172" i="1"/>
  <c r="CF174" i="1" s="1"/>
  <c r="W203" i="1"/>
  <c r="X203" i="1" s="1"/>
  <c r="F27" i="3"/>
  <c r="C12" i="3" s="1"/>
  <c r="C25" i="4" s="1"/>
  <c r="C31" i="4" s="1"/>
  <c r="W171" i="1"/>
  <c r="X171" i="1" s="1"/>
  <c r="W170" i="1"/>
  <c r="X170" i="1" s="1"/>
  <c r="W184" i="1"/>
  <c r="X184" i="1" s="1"/>
  <c r="W196" i="1"/>
  <c r="X196" i="1" s="1"/>
  <c r="W208" i="1"/>
  <c r="X208" i="1" s="1"/>
  <c r="W179" i="1"/>
  <c r="X179" i="1" s="1"/>
  <c r="BL166" i="1"/>
  <c r="W201" i="1"/>
  <c r="X201" i="1" s="1"/>
  <c r="W172" i="1"/>
  <c r="X172" i="1" s="1"/>
  <c r="W197" i="1"/>
  <c r="X197" i="1" s="1"/>
  <c r="W182" i="1"/>
  <c r="X182" i="1" s="1"/>
  <c r="W194" i="1"/>
  <c r="X194" i="1" s="1"/>
  <c r="W177" i="1"/>
  <c r="X177" i="1" s="1"/>
  <c r="X167" i="1"/>
  <c r="W180" i="1"/>
  <c r="X180" i="1" s="1"/>
  <c r="W192" i="1"/>
  <c r="X192" i="1" s="1"/>
  <c r="W209" i="1"/>
  <c r="X209" i="1" s="1"/>
  <c r="W195" i="1"/>
  <c r="X195" i="1" s="1"/>
  <c r="W178" i="1"/>
  <c r="X178" i="1" s="1"/>
  <c r="W169" i="1"/>
  <c r="X169" i="1" s="1"/>
  <c r="W206" i="1"/>
  <c r="X206" i="1" s="1"/>
  <c r="W190" i="1"/>
  <c r="X190" i="1" s="1"/>
  <c r="W175" i="1"/>
  <c r="X175" i="1" s="1"/>
  <c r="BM166" i="1"/>
  <c r="BJ166" i="1"/>
  <c r="BO166" i="1"/>
  <c r="BK166" i="1"/>
  <c r="W199" i="1"/>
  <c r="X199" i="1" s="1"/>
  <c r="W187" i="1"/>
  <c r="X187" i="1" s="1"/>
  <c r="W210" i="1"/>
  <c r="X210" i="1" s="1"/>
  <c r="CJ176" i="1"/>
  <c r="CF170" i="1" s="1"/>
  <c r="AB225" i="1"/>
  <c r="AB226" i="1" s="1"/>
  <c r="BG167" i="1"/>
  <c r="W183" i="1"/>
  <c r="X183" i="1" s="1"/>
  <c r="W186" i="1"/>
  <c r="X186" i="1" s="1"/>
  <c r="W211" i="1"/>
  <c r="X211" i="1" s="1"/>
  <c r="W168" i="1"/>
  <c r="X168" i="1" s="1"/>
  <c r="BH166" i="1"/>
  <c r="Y213" i="5" l="1"/>
  <c r="Y173" i="5"/>
  <c r="Y171" i="5"/>
  <c r="Y206" i="5"/>
  <c r="Y197" i="5"/>
  <c r="Y184" i="5"/>
  <c r="Y170" i="5"/>
  <c r="Y199" i="5"/>
  <c r="Y183" i="5"/>
  <c r="Y191" i="5"/>
  <c r="Y212" i="5"/>
  <c r="Y198" i="5"/>
  <c r="Y211" i="5"/>
  <c r="Y202" i="5"/>
  <c r="Y205" i="5"/>
  <c r="Y207" i="5"/>
  <c r="Y185" i="5"/>
  <c r="Y196" i="5"/>
  <c r="Y204" i="5"/>
  <c r="Y190" i="5"/>
  <c r="Y203" i="5"/>
  <c r="Y189" i="5"/>
  <c r="Y209" i="5"/>
  <c r="Y210" i="5"/>
  <c r="Y168" i="5"/>
  <c r="Y169" i="5"/>
  <c r="Y174" i="5"/>
  <c r="Y182" i="5"/>
  <c r="Y195" i="5"/>
  <c r="Y181" i="5"/>
  <c r="Y194" i="5"/>
  <c r="Y188" i="5"/>
  <c r="Y192" i="5"/>
  <c r="Y179" i="5"/>
  <c r="Y187" i="5"/>
  <c r="Y175" i="5"/>
  <c r="Y186" i="5"/>
  <c r="Y176" i="5"/>
  <c r="Y201" i="5"/>
  <c r="Y200" i="5"/>
  <c r="Y208" i="5"/>
  <c r="Y178" i="5"/>
  <c r="Y177" i="5"/>
  <c r="Y193" i="5"/>
  <c r="Y180" i="5"/>
  <c r="Y214" i="5"/>
  <c r="Y172" i="5"/>
  <c r="BV157" i="1"/>
  <c r="C65" i="1"/>
  <c r="G272" i="1"/>
  <c r="G56" i="1" s="1"/>
  <c r="Y201" i="1"/>
  <c r="Y185" i="1"/>
  <c r="Y209" i="1"/>
  <c r="Y192" i="1"/>
  <c r="Y204" i="1"/>
  <c r="Y195" i="1"/>
  <c r="Y167" i="1"/>
  <c r="Y205" i="1"/>
  <c r="Y193" i="1"/>
  <c r="Y178" i="1"/>
  <c r="Y186" i="1"/>
  <c r="Y187" i="1"/>
  <c r="Y176" i="1"/>
  <c r="Y179" i="1"/>
  <c r="Y194" i="1"/>
  <c r="Y206" i="1"/>
  <c r="Y168" i="1"/>
  <c r="Y172" i="1"/>
  <c r="Y175" i="1"/>
  <c r="Y170" i="1"/>
  <c r="Y174" i="1"/>
  <c r="Y212" i="1"/>
  <c r="Y177" i="1"/>
  <c r="Y199" i="1"/>
  <c r="Y208" i="1"/>
  <c r="Y181" i="1"/>
  <c r="Y207" i="1"/>
  <c r="Y182" i="1"/>
  <c r="Y184" i="1"/>
  <c r="Y196" i="1"/>
  <c r="Y213" i="1"/>
  <c r="Y203" i="1"/>
  <c r="Y190" i="1"/>
  <c r="Y188" i="1"/>
  <c r="Y210" i="1"/>
  <c r="Y171" i="1"/>
  <c r="Y189" i="1"/>
  <c r="Y191" i="1"/>
  <c r="Y211" i="1"/>
  <c r="Y173" i="1"/>
  <c r="Y183" i="1"/>
  <c r="Y180" i="1"/>
  <c r="Y202" i="1"/>
  <c r="Y197" i="1"/>
  <c r="Y169" i="1"/>
  <c r="Y200" i="1"/>
  <c r="Y198" i="1"/>
  <c r="BV158" i="5"/>
  <c r="S85" i="72"/>
  <c r="H85" i="72"/>
  <c r="H87" i="72" s="1"/>
  <c r="S87" i="72" s="1"/>
  <c r="BZ161" i="1"/>
  <c r="S123" i="1" s="1"/>
  <c r="H37" i="4" s="1"/>
  <c r="F59" i="4" s="1"/>
  <c r="BG169" i="5"/>
  <c r="M27" i="7"/>
  <c r="M31" i="7" s="1"/>
  <c r="M32" i="7" s="1"/>
  <c r="AN19" i="6"/>
  <c r="F27" i="7"/>
  <c r="F31" i="7" s="1"/>
  <c r="F32" i="7" s="1"/>
  <c r="L19" i="6"/>
  <c r="K27" i="7"/>
  <c r="K31" i="7" s="1"/>
  <c r="K32" i="7" s="1"/>
  <c r="AF19" i="6"/>
  <c r="AB19" i="6"/>
  <c r="J27" i="7"/>
  <c r="J31" i="7" s="1"/>
  <c r="J32" i="7" s="1"/>
  <c r="I27" i="7"/>
  <c r="I31" i="7" s="1"/>
  <c r="I32" i="7" s="1"/>
  <c r="X19" i="6"/>
  <c r="D19" i="6"/>
  <c r="D27" i="7"/>
  <c r="D31" i="7" s="1"/>
  <c r="T19" i="6"/>
  <c r="H27" i="7"/>
  <c r="H31" i="7" s="1"/>
  <c r="H32" i="7" s="1"/>
  <c r="AJ19" i="6"/>
  <c r="L27" i="7"/>
  <c r="L31" i="7" s="1"/>
  <c r="L32" i="7" s="1"/>
  <c r="E27" i="7"/>
  <c r="E31" i="7" s="1"/>
  <c r="E32" i="7" s="1"/>
  <c r="H19" i="6"/>
  <c r="G27" i="7"/>
  <c r="G31" i="7" s="1"/>
  <c r="G32" i="7" s="1"/>
  <c r="P19" i="6"/>
  <c r="C25" i="6"/>
  <c r="C21" i="6"/>
  <c r="C19" i="3"/>
  <c r="C21" i="3" s="1"/>
  <c r="X214" i="1"/>
  <c r="AD15" i="3"/>
  <c r="AD19" i="3" s="1"/>
  <c r="AM15" i="3"/>
  <c r="AM19" i="3" s="1"/>
  <c r="S15" i="3"/>
  <c r="S19" i="3" s="1"/>
  <c r="V15" i="3"/>
  <c r="V19" i="3" s="1"/>
  <c r="AH15" i="3"/>
  <c r="AH19" i="3" s="1"/>
  <c r="U15" i="3"/>
  <c r="U19" i="3" s="1"/>
  <c r="G15" i="3"/>
  <c r="G19" i="3" s="1"/>
  <c r="J15" i="3"/>
  <c r="J19" i="3" s="1"/>
  <c r="AE15" i="3"/>
  <c r="AE19" i="3" s="1"/>
  <c r="I15" i="3"/>
  <c r="I19" i="3" s="1"/>
  <c r="E15" i="3"/>
  <c r="E19" i="3" s="1"/>
  <c r="R15" i="3"/>
  <c r="R19" i="3" s="1"/>
  <c r="AJ15" i="3"/>
  <c r="W15" i="3"/>
  <c r="W19" i="3" s="1"/>
  <c r="AQ15" i="3"/>
  <c r="AQ19" i="3" s="1"/>
  <c r="AP15" i="3"/>
  <c r="AP19" i="3" s="1"/>
  <c r="K15" i="3"/>
  <c r="K19" i="3" s="1"/>
  <c r="AO15" i="3"/>
  <c r="AO19" i="3" s="1"/>
  <c r="M15" i="3"/>
  <c r="M19" i="3" s="1"/>
  <c r="AG15" i="3"/>
  <c r="AG19" i="3" s="1"/>
  <c r="X15" i="3"/>
  <c r="X19" i="3" s="1"/>
  <c r="AB15" i="3"/>
  <c r="AB19" i="3" s="1"/>
  <c r="P15" i="3"/>
  <c r="P19" i="3" s="1"/>
  <c r="AK15" i="3"/>
  <c r="AK19" i="3" s="1"/>
  <c r="Q15" i="3"/>
  <c r="Q19" i="3" s="1"/>
  <c r="AN15" i="3"/>
  <c r="AN19" i="3" s="1"/>
  <c r="AF15" i="3"/>
  <c r="AF19" i="3" s="1"/>
  <c r="AC15" i="3"/>
  <c r="AC19" i="3" s="1"/>
  <c r="AI15" i="3"/>
  <c r="AI19" i="3" s="1"/>
  <c r="F15" i="3"/>
  <c r="F19" i="3" s="1"/>
  <c r="AL15" i="3"/>
  <c r="AL19" i="3" s="1"/>
  <c r="H15" i="3"/>
  <c r="H19" i="3" s="1"/>
  <c r="N15" i="3"/>
  <c r="N19" i="3" s="1"/>
  <c r="Z15" i="3"/>
  <c r="Z19" i="3" s="1"/>
  <c r="L15" i="3"/>
  <c r="L19" i="3" s="1"/>
  <c r="AA15" i="3"/>
  <c r="AA19" i="3" s="1"/>
  <c r="T15" i="3"/>
  <c r="T19" i="3" s="1"/>
  <c r="O15" i="3"/>
  <c r="O19" i="3" s="1"/>
  <c r="D15" i="3"/>
  <c r="Y15" i="3"/>
  <c r="Y19" i="3" s="1"/>
  <c r="F272" i="1" l="1"/>
  <c r="F56" i="1" s="1"/>
  <c r="D21" i="6"/>
  <c r="E21" i="6" s="1"/>
  <c r="BG172" i="5"/>
  <c r="BG173" i="5"/>
  <c r="BG175" i="5"/>
  <c r="BG177" i="5"/>
  <c r="BG174" i="5"/>
  <c r="BG170" i="5"/>
  <c r="D32" i="7"/>
  <c r="B43" i="7"/>
  <c r="I40" i="7" s="1"/>
  <c r="G64" i="7" s="1"/>
  <c r="BG176" i="5"/>
  <c r="BG171" i="5"/>
  <c r="I39" i="7"/>
  <c r="G63" i="7" s="1"/>
  <c r="C25" i="3"/>
  <c r="D27" i="4"/>
  <c r="D31" i="4" s="1"/>
  <c r="D32" i="4" s="1"/>
  <c r="D19" i="3"/>
  <c r="D21" i="3" s="1"/>
  <c r="M27" i="4"/>
  <c r="M31" i="4" s="1"/>
  <c r="M32" i="4" s="1"/>
  <c r="I27" i="4"/>
  <c r="I31" i="4" s="1"/>
  <c r="I32" i="4" s="1"/>
  <c r="H27" i="4"/>
  <c r="H31" i="4" s="1"/>
  <c r="H32" i="4" s="1"/>
  <c r="J27" i="4"/>
  <c r="J31" i="4" s="1"/>
  <c r="J32" i="4" s="1"/>
  <c r="L27" i="4"/>
  <c r="L31" i="4" s="1"/>
  <c r="L32" i="4" s="1"/>
  <c r="AJ19" i="3"/>
  <c r="F27" i="4"/>
  <c r="F31" i="4" s="1"/>
  <c r="F32" i="4" s="1"/>
  <c r="G27" i="4"/>
  <c r="G31" i="4" s="1"/>
  <c r="G32" i="4" s="1"/>
  <c r="K27" i="4"/>
  <c r="K31" i="4" s="1"/>
  <c r="K32" i="4" s="1"/>
  <c r="E27" i="4"/>
  <c r="E31" i="4" s="1"/>
  <c r="E32" i="4" s="1"/>
  <c r="G91" i="72" l="1"/>
  <c r="G153" i="59"/>
  <c r="S128" i="5"/>
  <c r="J95" i="70"/>
  <c r="S127" i="5"/>
  <c r="K37" i="7" s="1"/>
  <c r="I59" i="7" s="1"/>
  <c r="S134" i="5"/>
  <c r="U117" i="5" s="1"/>
  <c r="P95" i="70"/>
  <c r="S132" i="5"/>
  <c r="O95" i="72"/>
  <c r="S126" i="5"/>
  <c r="J37" i="7" s="1"/>
  <c r="H59" i="7" s="1"/>
  <c r="S125" i="5"/>
  <c r="I37" i="7" s="1"/>
  <c r="G59" i="7" s="1"/>
  <c r="H157" i="59"/>
  <c r="S129" i="5"/>
  <c r="L95" i="72"/>
  <c r="S133" i="5"/>
  <c r="P95" i="72"/>
  <c r="S131" i="5"/>
  <c r="N157" i="59"/>
  <c r="S130" i="5"/>
  <c r="L95" i="70"/>
  <c r="Q95" i="72"/>
  <c r="K95" i="72"/>
  <c r="K157" i="59"/>
  <c r="N95" i="72"/>
  <c r="M95" i="70"/>
  <c r="D23" i="6"/>
  <c r="D25" i="6" s="1"/>
  <c r="E23" i="6"/>
  <c r="E25" i="6" s="1"/>
  <c r="F21" i="6"/>
  <c r="BG173" i="1"/>
  <c r="BG174" i="1"/>
  <c r="BG168" i="1"/>
  <c r="B43" i="4"/>
  <c r="I40" i="4" s="1"/>
  <c r="G64" i="4" s="1"/>
  <c r="I39" i="4"/>
  <c r="G63" i="4" s="1"/>
  <c r="E21" i="3"/>
  <c r="D23" i="3"/>
  <c r="D25" i="3" s="1"/>
  <c r="F59" i="1" l="1"/>
  <c r="F59" i="84"/>
  <c r="F57" i="50"/>
  <c r="F57" i="83"/>
  <c r="F59" i="61"/>
  <c r="F57" i="64"/>
  <c r="G120" i="72"/>
  <c r="G122" i="72" s="1"/>
  <c r="S91" i="72"/>
  <c r="G179" i="59"/>
  <c r="G181" i="59"/>
  <c r="G180" i="59"/>
  <c r="F57" i="38"/>
  <c r="F57" i="47"/>
  <c r="F59" i="32"/>
  <c r="F58" i="76"/>
  <c r="F57" i="8"/>
  <c r="F57" i="23"/>
  <c r="F58" i="38"/>
  <c r="F58" i="61"/>
  <c r="F57" i="5"/>
  <c r="F58" i="53"/>
  <c r="F57" i="1"/>
  <c r="F57" i="14"/>
  <c r="F57" i="56"/>
  <c r="F58" i="8"/>
  <c r="F58" i="20"/>
  <c r="F59" i="29"/>
  <c r="F59" i="8"/>
  <c r="F59" i="47"/>
  <c r="F57" i="17"/>
  <c r="F58" i="5"/>
  <c r="F58" i="56"/>
  <c r="F58" i="35"/>
  <c r="F58" i="32"/>
  <c r="F58" i="47"/>
  <c r="F58" i="50"/>
  <c r="F57" i="44"/>
  <c r="F58" i="29"/>
  <c r="F58" i="14"/>
  <c r="F58" i="23"/>
  <c r="F58" i="17"/>
  <c r="F57" i="11"/>
  <c r="F58" i="41"/>
  <c r="F58" i="26"/>
  <c r="G176" i="59"/>
  <c r="G118" i="72"/>
  <c r="G119" i="72"/>
  <c r="G114" i="72"/>
  <c r="G117" i="72"/>
  <c r="L157" i="59"/>
  <c r="K95" i="70"/>
  <c r="M157" i="59"/>
  <c r="M95" i="72"/>
  <c r="Q157" i="59"/>
  <c r="P157" i="59"/>
  <c r="O95" i="70"/>
  <c r="O157" i="59"/>
  <c r="N95" i="70"/>
  <c r="BG169" i="1"/>
  <c r="I272" i="1"/>
  <c r="I56" i="1" s="1"/>
  <c r="I95" i="72"/>
  <c r="H95" i="70"/>
  <c r="I157" i="59"/>
  <c r="J95" i="72"/>
  <c r="I95" i="70"/>
  <c r="J157" i="59"/>
  <c r="H95" i="72"/>
  <c r="G95" i="70"/>
  <c r="F23" i="6"/>
  <c r="F25" i="6" s="1"/>
  <c r="G21" i="6"/>
  <c r="BG171" i="1"/>
  <c r="BG176" i="1"/>
  <c r="BG170" i="1"/>
  <c r="BG175" i="1"/>
  <c r="BG172" i="1"/>
  <c r="E23" i="3"/>
  <c r="E25" i="3" s="1"/>
  <c r="F21" i="3"/>
  <c r="H153" i="59" l="1"/>
  <c r="S157" i="59"/>
  <c r="T157" i="59" s="1"/>
  <c r="S126" i="1"/>
  <c r="K37" i="4" s="1"/>
  <c r="I59" i="4" s="1"/>
  <c r="S133" i="1"/>
  <c r="S135" i="1" s="1"/>
  <c r="G282" i="1" s="1"/>
  <c r="P272" i="1"/>
  <c r="P56" i="1" s="1"/>
  <c r="S128" i="1"/>
  <c r="K272" i="1"/>
  <c r="K56" i="1" s="1"/>
  <c r="S132" i="1"/>
  <c r="O272" i="1"/>
  <c r="O56" i="1" s="1"/>
  <c r="S130" i="1"/>
  <c r="M272" i="1"/>
  <c r="M56" i="1" s="1"/>
  <c r="S125" i="1"/>
  <c r="J37" i="4" s="1"/>
  <c r="H59" i="4" s="1"/>
  <c r="H272" i="1"/>
  <c r="H56" i="1" s="1"/>
  <c r="S127" i="1"/>
  <c r="J272" i="1"/>
  <c r="J56" i="1" s="1"/>
  <c r="S129" i="1"/>
  <c r="L272" i="1"/>
  <c r="L56" i="1" s="1"/>
  <c r="S131" i="1"/>
  <c r="N272" i="1"/>
  <c r="N56" i="1" s="1"/>
  <c r="S95" i="70"/>
  <c r="H21" i="6"/>
  <c r="G23" i="6"/>
  <c r="G25" i="6" s="1"/>
  <c r="G21" i="3"/>
  <c r="F23" i="3"/>
  <c r="F25" i="3" s="1"/>
  <c r="Q56" i="1" l="1"/>
  <c r="AB31" i="1" s="1"/>
  <c r="Y31" i="1"/>
  <c r="G59" i="1"/>
  <c r="G59" i="61"/>
  <c r="G59" i="84"/>
  <c r="G57" i="83"/>
  <c r="G57" i="50"/>
  <c r="G58" i="76"/>
  <c r="G57" i="64"/>
  <c r="H179" i="59"/>
  <c r="H181" i="59"/>
  <c r="H180" i="59"/>
  <c r="G57" i="23"/>
  <c r="G57" i="5"/>
  <c r="G58" i="29"/>
  <c r="G59" i="32"/>
  <c r="G58" i="61"/>
  <c r="G58" i="35"/>
  <c r="G58" i="8"/>
  <c r="G58" i="56"/>
  <c r="G57" i="47"/>
  <c r="G57" i="14"/>
  <c r="G58" i="17"/>
  <c r="G57" i="38"/>
  <c r="G57" i="1"/>
  <c r="G58" i="53"/>
  <c r="G59" i="29"/>
  <c r="G59" i="47"/>
  <c r="G57" i="56"/>
  <c r="G57" i="44"/>
  <c r="G58" i="14"/>
  <c r="G58" i="32"/>
  <c r="G58" i="41"/>
  <c r="G57" i="17"/>
  <c r="G58" i="50"/>
  <c r="G58" i="5"/>
  <c r="G57" i="11"/>
  <c r="G58" i="47"/>
  <c r="G58" i="20"/>
  <c r="G58" i="38"/>
  <c r="G57" i="8"/>
  <c r="G58" i="26"/>
  <c r="G58" i="23"/>
  <c r="G59" i="8"/>
  <c r="H176" i="59"/>
  <c r="L91" i="70"/>
  <c r="P91" i="72"/>
  <c r="K91" i="72"/>
  <c r="L91" i="72"/>
  <c r="P91" i="70"/>
  <c r="J91" i="70"/>
  <c r="O91" i="72"/>
  <c r="N91" i="72"/>
  <c r="Q91" i="72"/>
  <c r="S61" i="1"/>
  <c r="L153" i="59"/>
  <c r="Q153" i="59"/>
  <c r="K91" i="70"/>
  <c r="M153" i="59"/>
  <c r="M91" i="72"/>
  <c r="K153" i="59"/>
  <c r="P153" i="59"/>
  <c r="O91" i="70"/>
  <c r="N153" i="59"/>
  <c r="M91" i="70"/>
  <c r="N91" i="70"/>
  <c r="O153" i="59"/>
  <c r="H91" i="72"/>
  <c r="H117" i="72" s="1"/>
  <c r="G91" i="70"/>
  <c r="I37" i="4"/>
  <c r="G59" i="4" s="1"/>
  <c r="J91" i="72"/>
  <c r="I91" i="70"/>
  <c r="J153" i="59"/>
  <c r="I91" i="72"/>
  <c r="H91" i="70"/>
  <c r="I153" i="59"/>
  <c r="H23" i="6"/>
  <c r="H25" i="6" s="1"/>
  <c r="I21" i="6"/>
  <c r="H21" i="3"/>
  <c r="G23" i="3"/>
  <c r="G25" i="3" s="1"/>
  <c r="S153" i="59" l="1"/>
  <c r="S91" i="70"/>
  <c r="G119" i="70"/>
  <c r="G117" i="70"/>
  <c r="S117" i="70" s="1"/>
  <c r="G118" i="70"/>
  <c r="G114" i="70"/>
  <c r="S114" i="70" s="1"/>
  <c r="H114" i="72"/>
  <c r="H119" i="72"/>
  <c r="H118" i="72"/>
  <c r="J21" i="6"/>
  <c r="I23" i="6"/>
  <c r="I25" i="6" s="1"/>
  <c r="H23" i="3"/>
  <c r="H25" i="3" s="1"/>
  <c r="I21" i="3"/>
  <c r="T153" i="59" l="1"/>
  <c r="K21" i="6"/>
  <c r="J23" i="6"/>
  <c r="J25" i="6" s="1"/>
  <c r="J21" i="3"/>
  <c r="I23" i="3"/>
  <c r="I25" i="3" s="1"/>
  <c r="U153" i="59" l="1"/>
  <c r="L21" i="6"/>
  <c r="K23" i="6"/>
  <c r="K25" i="6" s="1"/>
  <c r="K21" i="3"/>
  <c r="J23" i="3"/>
  <c r="J25" i="3" s="1"/>
  <c r="M21" i="6" l="1"/>
  <c r="L23" i="6"/>
  <c r="L25" i="6" s="1"/>
  <c r="K23" i="3"/>
  <c r="K25" i="3" s="1"/>
  <c r="L21" i="3"/>
  <c r="M23" i="6" l="1"/>
  <c r="M25" i="6" s="1"/>
  <c r="N21" i="6"/>
  <c r="L23" i="3"/>
  <c r="L25" i="3" s="1"/>
  <c r="M21" i="3"/>
  <c r="N23" i="6" l="1"/>
  <c r="N25" i="6" s="1"/>
  <c r="O21" i="6"/>
  <c r="N21" i="3"/>
  <c r="M23" i="3"/>
  <c r="M25" i="3" s="1"/>
  <c r="P21" i="6" l="1"/>
  <c r="O23" i="6"/>
  <c r="O25" i="6" s="1"/>
  <c r="N23" i="3"/>
  <c r="N25" i="3" s="1"/>
  <c r="O21" i="3"/>
  <c r="P23" i="6" l="1"/>
  <c r="P25" i="6" s="1"/>
  <c r="Q21" i="6"/>
  <c r="P21" i="3"/>
  <c r="O23" i="3"/>
  <c r="O25" i="3" s="1"/>
  <c r="R21" i="6" l="1"/>
  <c r="Q23" i="6"/>
  <c r="Q25" i="6" s="1"/>
  <c r="P23" i="3"/>
  <c r="P25" i="3" s="1"/>
  <c r="Q21" i="3"/>
  <c r="S21" i="6" l="1"/>
  <c r="R23" i="6"/>
  <c r="R25" i="6" s="1"/>
  <c r="R21" i="3"/>
  <c r="Q23" i="3"/>
  <c r="Q25" i="3" s="1"/>
  <c r="T21" i="6" l="1"/>
  <c r="S23" i="6"/>
  <c r="S25" i="6" s="1"/>
  <c r="R23" i="3"/>
  <c r="R25" i="3" s="1"/>
  <c r="S21" i="3"/>
  <c r="U21" i="6" l="1"/>
  <c r="T23" i="6"/>
  <c r="T25" i="6" s="1"/>
  <c r="T21" i="3"/>
  <c r="S23" i="3"/>
  <c r="S25" i="3" s="1"/>
  <c r="U23" i="6" l="1"/>
  <c r="U25" i="6" s="1"/>
  <c r="V21" i="6"/>
  <c r="T23" i="3"/>
  <c r="T25" i="3" s="1"/>
  <c r="U21" i="3"/>
  <c r="V23" i="6" l="1"/>
  <c r="V25" i="6" s="1"/>
  <c r="W21" i="6"/>
  <c r="V21" i="3"/>
  <c r="U23" i="3"/>
  <c r="U25" i="3" s="1"/>
  <c r="X21" i="6" l="1"/>
  <c r="W23" i="6"/>
  <c r="W25" i="6" s="1"/>
  <c r="V23" i="3"/>
  <c r="V25" i="3" s="1"/>
  <c r="W21" i="3"/>
  <c r="X23" i="6" l="1"/>
  <c r="X25" i="6" s="1"/>
  <c r="Y21" i="6"/>
  <c r="X21" i="3"/>
  <c r="W23" i="3"/>
  <c r="W25" i="3" s="1"/>
  <c r="Z21" i="6" l="1"/>
  <c r="Y23" i="6"/>
  <c r="Y25" i="6" s="1"/>
  <c r="X23" i="3"/>
  <c r="X25" i="3" s="1"/>
  <c r="Y21" i="3"/>
  <c r="AA21" i="6" l="1"/>
  <c r="Z23" i="6"/>
  <c r="Z25" i="6" s="1"/>
  <c r="Z21" i="3"/>
  <c r="Y23" i="3"/>
  <c r="Y25" i="3" s="1"/>
  <c r="AB21" i="6" l="1"/>
  <c r="AA23" i="6"/>
  <c r="AA25" i="6" s="1"/>
  <c r="AA21" i="3"/>
  <c r="Z23" i="3"/>
  <c r="Z25" i="3" s="1"/>
  <c r="AC21" i="6" l="1"/>
  <c r="AB23" i="6"/>
  <c r="AB25" i="6" s="1"/>
  <c r="AB21" i="3"/>
  <c r="AA23" i="3"/>
  <c r="AA25" i="3" s="1"/>
  <c r="AC23" i="6" l="1"/>
  <c r="AC25" i="6" s="1"/>
  <c r="AD21" i="6"/>
  <c r="AC21" i="3"/>
  <c r="AB23" i="3"/>
  <c r="AB25" i="3" s="1"/>
  <c r="AD23" i="6" l="1"/>
  <c r="AD25" i="6" s="1"/>
  <c r="AE21" i="6"/>
  <c r="AD21" i="3"/>
  <c r="AC23" i="3"/>
  <c r="AC25" i="3" s="1"/>
  <c r="AF21" i="6" l="1"/>
  <c r="AE23" i="6"/>
  <c r="AE25" i="6" s="1"/>
  <c r="AE21" i="3"/>
  <c r="AD23" i="3"/>
  <c r="AD25" i="3" s="1"/>
  <c r="AF23" i="6" l="1"/>
  <c r="AF25" i="6" s="1"/>
  <c r="AG21" i="6"/>
  <c r="AF21" i="3"/>
  <c r="AE23" i="3"/>
  <c r="AE25" i="3" s="1"/>
  <c r="AH21" i="6" l="1"/>
  <c r="AG23" i="6"/>
  <c r="AG25" i="6" s="1"/>
  <c r="AF23" i="3"/>
  <c r="AF25" i="3" s="1"/>
  <c r="AG21" i="3"/>
  <c r="AI21" i="6" l="1"/>
  <c r="AH23" i="6"/>
  <c r="AH25" i="6" s="1"/>
  <c r="AH21" i="3"/>
  <c r="AG23" i="3"/>
  <c r="AG25" i="3" s="1"/>
  <c r="AJ21" i="6" l="1"/>
  <c r="AI23" i="6"/>
  <c r="AI25" i="6" s="1"/>
  <c r="AI21" i="3"/>
  <c r="AH23" i="3"/>
  <c r="AH25" i="3" s="1"/>
  <c r="AK21" i="6" l="1"/>
  <c r="AJ23" i="6"/>
  <c r="AJ25" i="6" s="1"/>
  <c r="AJ21" i="3"/>
  <c r="AI23" i="3"/>
  <c r="AI25" i="3" s="1"/>
  <c r="AK23" i="6" l="1"/>
  <c r="AK25" i="6" s="1"/>
  <c r="AL21" i="6"/>
  <c r="AK21" i="3"/>
  <c r="AJ23" i="3"/>
  <c r="AJ25" i="3" s="1"/>
  <c r="AL23" i="6" l="1"/>
  <c r="AL25" i="6" s="1"/>
  <c r="AM21" i="6"/>
  <c r="AL21" i="3"/>
  <c r="AK23" i="3"/>
  <c r="AK25" i="3" s="1"/>
  <c r="AN21" i="6" l="1"/>
  <c r="AM23" i="6"/>
  <c r="AM25" i="6" s="1"/>
  <c r="AM21" i="3"/>
  <c r="AL23" i="3"/>
  <c r="AL25" i="3" s="1"/>
  <c r="AN23" i="6" l="1"/>
  <c r="AN25" i="6" s="1"/>
  <c r="AO21" i="6"/>
  <c r="AN21" i="3"/>
  <c r="AM23" i="3"/>
  <c r="AM25" i="3" s="1"/>
  <c r="AP21" i="6" l="1"/>
  <c r="AO23" i="6"/>
  <c r="AO25" i="6" s="1"/>
  <c r="AO21" i="3"/>
  <c r="AN23" i="3"/>
  <c r="AN25" i="3" s="1"/>
  <c r="AQ21" i="6" l="1"/>
  <c r="AQ23" i="6" s="1"/>
  <c r="AQ25" i="6" s="1"/>
  <c r="AP23" i="6"/>
  <c r="AP25" i="6" s="1"/>
  <c r="AO23" i="3"/>
  <c r="AO25" i="3" s="1"/>
  <c r="AP21" i="3"/>
  <c r="AP23" i="3" l="1"/>
  <c r="AP25" i="3" s="1"/>
  <c r="AQ21" i="3"/>
  <c r="AQ23" i="3" s="1"/>
  <c r="AQ25" i="3" s="1"/>
  <c r="P16" i="44"/>
  <c r="Q16" i="44" s="1"/>
  <c r="O16" i="44"/>
  <c r="O17" i="44" s="1"/>
  <c r="M28" i="44"/>
  <c r="N16" i="44"/>
  <c r="N17" i="44" s="1"/>
  <c r="L28" i="44"/>
  <c r="M16" i="44"/>
  <c r="M17" i="44" s="1"/>
  <c r="L16" i="44"/>
  <c r="L17" i="44" s="1"/>
  <c r="J28" i="44"/>
  <c r="K28" i="44"/>
  <c r="K16" i="44"/>
  <c r="K17" i="44" s="1"/>
  <c r="I28" i="44"/>
  <c r="Q14" i="44"/>
  <c r="N28" i="44"/>
  <c r="J16" i="44"/>
  <c r="J17" i="44" s="1"/>
  <c r="P28" i="44"/>
  <c r="H16" i="44"/>
  <c r="H17" i="44" s="1"/>
  <c r="H28" i="44"/>
  <c r="I16" i="44"/>
  <c r="I17" i="44" s="1"/>
  <c r="O28" i="44"/>
  <c r="P17" i="44" l="1"/>
  <c r="E13" i="60"/>
  <c r="F13" i="60"/>
  <c r="G13" i="60" l="1"/>
  <c r="H20" i="64"/>
  <c r="I267" i="59"/>
  <c r="J267" i="59"/>
  <c r="I20" i="64"/>
  <c r="H21" i="64"/>
  <c r="I325" i="59"/>
  <c r="H13" i="60"/>
  <c r="J325" i="59" l="1"/>
  <c r="I21" i="64"/>
  <c r="I28" i="64" s="1"/>
  <c r="H28" i="64"/>
  <c r="I13" i="60"/>
  <c r="J20" i="64" l="1"/>
  <c r="K267" i="59"/>
  <c r="J21" i="64"/>
  <c r="K325" i="59"/>
  <c r="J13" i="60"/>
  <c r="L325" i="59"/>
  <c r="K21" i="64"/>
  <c r="L267" i="59"/>
  <c r="K20" i="64"/>
  <c r="J28" i="64" l="1"/>
  <c r="K28" i="64"/>
  <c r="L21" i="64"/>
  <c r="M325" i="59"/>
  <c r="M267" i="59"/>
  <c r="L20" i="64"/>
  <c r="K13" i="60"/>
  <c r="L28" i="64" l="1"/>
  <c r="N325" i="59"/>
  <c r="M21" i="64"/>
  <c r="L13" i="60"/>
  <c r="M20" i="64"/>
  <c r="N267" i="59"/>
  <c r="M28" i="64" l="1"/>
  <c r="N21" i="64"/>
  <c r="O325" i="59"/>
  <c r="M13" i="60"/>
  <c r="O267" i="59"/>
  <c r="N20" i="64"/>
  <c r="N28" i="64" l="1"/>
  <c r="N13" i="60"/>
  <c r="P325" i="59"/>
  <c r="O21" i="64"/>
  <c r="P267" i="59"/>
  <c r="O20" i="64"/>
  <c r="O28" i="64" l="1"/>
  <c r="Q267" i="59"/>
  <c r="P20" i="64"/>
  <c r="P21" i="64"/>
  <c r="Q21" i="64" s="1"/>
  <c r="Q325" i="59"/>
  <c r="R267" i="59" l="1"/>
  <c r="S261" i="59"/>
  <c r="S267" i="59" s="1"/>
  <c r="P28" i="64"/>
  <c r="Q20" i="64"/>
  <c r="Q28" i="64" s="1"/>
  <c r="R325" i="59"/>
  <c r="S319" i="59"/>
  <c r="S325" i="59" s="1"/>
  <c r="U73" i="32"/>
  <c r="U115" i="32" s="1"/>
  <c r="S60" i="32" s="1"/>
  <c r="AM172" i="32"/>
  <c r="AM214" i="32"/>
  <c r="S58" i="32" s="1"/>
  <c r="Z172" i="32"/>
  <c r="Y172" i="32" s="1"/>
  <c r="J224" i="32"/>
  <c r="J267" i="32" s="1"/>
  <c r="K40" i="59" s="1"/>
  <c r="K280" i="59" s="1"/>
  <c r="K224" i="32"/>
  <c r="K267" i="32" s="1"/>
  <c r="L40" i="59" s="1"/>
  <c r="L280" i="59" s="1"/>
  <c r="N224" i="32"/>
  <c r="N267" i="32" s="1"/>
  <c r="O40" i="59" s="1"/>
  <c r="O280" i="59" s="1"/>
  <c r="M224" i="32"/>
  <c r="M267" i="32"/>
  <c r="N40" i="59" s="1"/>
  <c r="L224" i="32"/>
  <c r="L267" i="32"/>
  <c r="M40" i="59" s="1"/>
  <c r="M280" i="59" s="1"/>
  <c r="V73" i="32"/>
  <c r="D116" i="32"/>
  <c r="O224" i="32"/>
  <c r="O267" i="32"/>
  <c r="P40" i="59" s="1"/>
  <c r="P224" i="32"/>
  <c r="P267" i="32" s="1"/>
  <c r="Q40" i="59" s="1"/>
  <c r="Q280" i="59" s="1"/>
  <c r="I224" i="32"/>
  <c r="I267" i="32" s="1"/>
  <c r="J40" i="59" s="1"/>
  <c r="J280" i="59" s="1"/>
  <c r="Q224" i="32"/>
  <c r="Q267" i="32" s="1"/>
  <c r="R40" i="59" s="1"/>
  <c r="R280" i="59" s="1"/>
  <c r="AK172" i="32"/>
  <c r="AK214" i="32" s="1"/>
  <c r="AK215" i="32" s="1"/>
  <c r="AK216" i="32" s="1"/>
  <c r="AC172" i="32"/>
  <c r="AC214" i="32" s="1"/>
  <c r="AI172" i="32"/>
  <c r="AI214" i="32" s="1"/>
  <c r="AF172" i="32"/>
  <c r="AF214" i="32"/>
  <c r="BG172" i="32" s="1"/>
  <c r="AE172" i="32"/>
  <c r="AE214" i="32" s="1"/>
  <c r="AB172" i="32"/>
  <c r="AB214" i="32" s="1"/>
  <c r="BG168" i="32" s="1"/>
  <c r="AG172" i="32"/>
  <c r="AG214" i="32" s="1"/>
  <c r="AH172" i="32"/>
  <c r="AH214" i="32"/>
  <c r="BG174" i="32" s="1"/>
  <c r="AD172" i="32"/>
  <c r="AD214" i="32" s="1"/>
  <c r="D115" i="32"/>
  <c r="AJ172" i="32"/>
  <c r="AJ214" i="32"/>
  <c r="BG176" i="32" s="1"/>
  <c r="P69" i="59" l="1"/>
  <c r="P132" i="72" s="1"/>
  <c r="P280" i="59"/>
  <c r="N129" i="59"/>
  <c r="N280" i="59"/>
  <c r="N194" i="59"/>
  <c r="N210" i="59" s="1"/>
  <c r="N145" i="59"/>
  <c r="N147" i="59" s="1"/>
  <c r="R40" i="72"/>
  <c r="R56" i="72" s="1"/>
  <c r="R129" i="59"/>
  <c r="R40" i="70"/>
  <c r="R69" i="59"/>
  <c r="R56" i="59"/>
  <c r="S40" i="59"/>
  <c r="R296" i="59"/>
  <c r="L8" i="32"/>
  <c r="L9" i="32" s="1"/>
  <c r="M56" i="59"/>
  <c r="M56" i="70" s="1"/>
  <c r="M40" i="70"/>
  <c r="M69" i="70" s="1"/>
  <c r="M69" i="59"/>
  <c r="L22" i="32"/>
  <c r="L26" i="32" s="1"/>
  <c r="M129" i="59"/>
  <c r="M40" i="72"/>
  <c r="BG170" i="32"/>
  <c r="AD215" i="32"/>
  <c r="AD216" i="32" s="1"/>
  <c r="O56" i="59"/>
  <c r="O56" i="70" s="1"/>
  <c r="O129" i="59"/>
  <c r="O40" i="72"/>
  <c r="N22" i="32"/>
  <c r="N26" i="32" s="1"/>
  <c r="N8" i="32"/>
  <c r="N9" i="32" s="1"/>
  <c r="O40" i="70"/>
  <c r="O69" i="70" s="1"/>
  <c r="O69" i="59"/>
  <c r="Q56" i="59"/>
  <c r="Q56" i="70" s="1"/>
  <c r="Q69" i="59"/>
  <c r="Q40" i="72"/>
  <c r="P22" i="32"/>
  <c r="P26" i="32" s="1"/>
  <c r="Q40" i="70"/>
  <c r="Q69" i="70" s="1"/>
  <c r="Q129" i="59"/>
  <c r="P8" i="32"/>
  <c r="BG175" i="32"/>
  <c r="AI215" i="32"/>
  <c r="AI216" i="32" s="1"/>
  <c r="I22" i="32"/>
  <c r="I26" i="32" s="1"/>
  <c r="J69" i="59"/>
  <c r="J129" i="59"/>
  <c r="J40" i="72"/>
  <c r="J56" i="59"/>
  <c r="J56" i="70" s="1"/>
  <c r="J40" i="70"/>
  <c r="J69" i="70" s="1"/>
  <c r="I8" i="32"/>
  <c r="I9" i="32" s="1"/>
  <c r="BG171" i="32"/>
  <c r="AE215" i="32"/>
  <c r="AE216" i="32" s="1"/>
  <c r="BG169" i="32"/>
  <c r="AC215" i="32"/>
  <c r="AC216" i="32" s="1"/>
  <c r="BG173" i="32"/>
  <c r="AG215" i="32"/>
  <c r="AG216" i="32" s="1"/>
  <c r="AA126" i="32"/>
  <c r="Q272" i="32"/>
  <c r="O41" i="32"/>
  <c r="P148" i="72"/>
  <c r="P40" i="70"/>
  <c r="P69" i="70" s="1"/>
  <c r="P129" i="59"/>
  <c r="O8" i="32"/>
  <c r="O9" i="32" s="1"/>
  <c r="P40" i="72"/>
  <c r="P56" i="59"/>
  <c r="P56" i="70" s="1"/>
  <c r="O22" i="32"/>
  <c r="O14" i="32" s="1"/>
  <c r="O16" i="32" s="1"/>
  <c r="O17" i="32" s="1"/>
  <c r="N56" i="59"/>
  <c r="N56" i="70" s="1"/>
  <c r="N40" i="70"/>
  <c r="N69" i="70" s="1"/>
  <c r="M8" i="32"/>
  <c r="M9" i="32" s="1"/>
  <c r="M22" i="32"/>
  <c r="M26" i="32" s="1"/>
  <c r="N40" i="72"/>
  <c r="K56" i="59"/>
  <c r="K56" i="70" s="1"/>
  <c r="K69" i="59"/>
  <c r="J22" i="32"/>
  <c r="J26" i="32" s="1"/>
  <c r="K40" i="70"/>
  <c r="K69" i="70" s="1"/>
  <c r="K129" i="59"/>
  <c r="K40" i="72"/>
  <c r="J8" i="32"/>
  <c r="J9" i="32" s="1"/>
  <c r="AJ215" i="32"/>
  <c r="AH215" i="32"/>
  <c r="AH216" i="32" s="1"/>
  <c r="N69" i="59"/>
  <c r="L40" i="70"/>
  <c r="L69" i="70" s="1"/>
  <c r="L69" i="59"/>
  <c r="K8" i="32"/>
  <c r="K9" i="32" s="1"/>
  <c r="L56" i="59"/>
  <c r="L56" i="70" s="1"/>
  <c r="K22" i="32"/>
  <c r="K26" i="32" s="1"/>
  <c r="L40" i="72"/>
  <c r="L129" i="59"/>
  <c r="S64" i="32"/>
  <c r="U58" i="32" s="1"/>
  <c r="V115" i="32"/>
  <c r="S59" i="32" s="1"/>
  <c r="AB215" i="32"/>
  <c r="AB216" i="32" s="1"/>
  <c r="AF215" i="32"/>
  <c r="AF216" i="32" s="1"/>
  <c r="P85" i="59"/>
  <c r="I14" i="32" l="1"/>
  <c r="I16" i="32" s="1"/>
  <c r="I17" i="32" s="1"/>
  <c r="P14" i="32"/>
  <c r="P16" i="32" s="1"/>
  <c r="L14" i="32"/>
  <c r="L16" i="32" s="1"/>
  <c r="L17" i="32" s="1"/>
  <c r="K14" i="32"/>
  <c r="K16" i="32" s="1"/>
  <c r="K17" i="32" s="1"/>
  <c r="J14" i="32"/>
  <c r="J16" i="32" s="1"/>
  <c r="J17" i="32" s="1"/>
  <c r="M14" i="32"/>
  <c r="M16" i="32" s="1"/>
  <c r="M17" i="32" s="1"/>
  <c r="S129" i="32"/>
  <c r="L272" i="32"/>
  <c r="L56" i="72"/>
  <c r="K40" i="32"/>
  <c r="N85" i="59"/>
  <c r="N132" i="72"/>
  <c r="P85" i="70"/>
  <c r="P87" i="59"/>
  <c r="S131" i="32"/>
  <c r="N272" i="32"/>
  <c r="P194" i="59"/>
  <c r="P210" i="59" s="1"/>
  <c r="P145" i="59"/>
  <c r="P147" i="59" s="1"/>
  <c r="Q85" i="59"/>
  <c r="Q132" i="72"/>
  <c r="S126" i="32"/>
  <c r="K37" i="34" s="1"/>
  <c r="I59" i="34" s="1"/>
  <c r="I272" i="32"/>
  <c r="Q296" i="59"/>
  <c r="P23" i="32"/>
  <c r="P28" i="32" s="1"/>
  <c r="O56" i="72"/>
  <c r="N40" i="32"/>
  <c r="M296" i="59"/>
  <c r="L23" i="32"/>
  <c r="L28" i="32" s="1"/>
  <c r="P9" i="32"/>
  <c r="Q9" i="32" s="1"/>
  <c r="Q8" i="32"/>
  <c r="M194" i="59"/>
  <c r="M210" i="59" s="1"/>
  <c r="M145" i="59"/>
  <c r="M147" i="59" s="1"/>
  <c r="S125" i="32"/>
  <c r="J37" i="34" s="1"/>
  <c r="H59" i="34" s="1"/>
  <c r="H272" i="32"/>
  <c r="J56" i="72"/>
  <c r="S40" i="72"/>
  <c r="S56" i="72" s="1"/>
  <c r="I40" i="32"/>
  <c r="O132" i="72"/>
  <c r="O85" i="59"/>
  <c r="O194" i="59"/>
  <c r="O210" i="59" s="1"/>
  <c r="O145" i="59"/>
  <c r="O147" i="59" s="1"/>
  <c r="R56" i="70"/>
  <c r="S56" i="70" s="1"/>
  <c r="S56" i="59"/>
  <c r="K85" i="59"/>
  <c r="K132" i="72"/>
  <c r="S128" i="32"/>
  <c r="K272" i="32"/>
  <c r="N296" i="59"/>
  <c r="M23" i="32"/>
  <c r="M28" i="32" s="1"/>
  <c r="O26" i="32"/>
  <c r="Q26" i="32" s="1"/>
  <c r="J145" i="59"/>
  <c r="J147" i="59" s="1"/>
  <c r="J194" i="59"/>
  <c r="Q194" i="59"/>
  <c r="Q210" i="59" s="1"/>
  <c r="Q145" i="59"/>
  <c r="Q147" i="59" s="1"/>
  <c r="S69" i="59"/>
  <c r="R132" i="72"/>
  <c r="R148" i="72" s="1"/>
  <c r="R85" i="59"/>
  <c r="D64" i="32"/>
  <c r="AJ216" i="32"/>
  <c r="K296" i="59"/>
  <c r="J23" i="32"/>
  <c r="J28" i="32" s="1"/>
  <c r="L194" i="59"/>
  <c r="L210" i="59" s="1"/>
  <c r="L145" i="59"/>
  <c r="L147" i="59" s="1"/>
  <c r="L132" i="72"/>
  <c r="L85" i="59"/>
  <c r="K56" i="72"/>
  <c r="J40" i="32"/>
  <c r="N56" i="72"/>
  <c r="M40" i="32"/>
  <c r="R98" i="72"/>
  <c r="Q98" i="70"/>
  <c r="R160" i="59"/>
  <c r="S62" i="32"/>
  <c r="J85" i="59"/>
  <c r="J132" i="72"/>
  <c r="N14" i="32"/>
  <c r="N16" i="32" s="1"/>
  <c r="N17" i="32" s="1"/>
  <c r="S127" i="32"/>
  <c r="J272" i="32"/>
  <c r="M85" i="59"/>
  <c r="M132" i="72"/>
  <c r="R69" i="70"/>
  <c r="S40" i="70"/>
  <c r="K23" i="32"/>
  <c r="K28" i="32" s="1"/>
  <c r="L296" i="59"/>
  <c r="K194" i="59"/>
  <c r="K210" i="59" s="1"/>
  <c r="K145" i="59"/>
  <c r="K147" i="59" s="1"/>
  <c r="O40" i="32"/>
  <c r="O43" i="32" s="1"/>
  <c r="P56" i="72"/>
  <c r="J296" i="59"/>
  <c r="I23" i="32"/>
  <c r="I28" i="32" s="1"/>
  <c r="S280" i="59"/>
  <c r="S296" i="59" s="1"/>
  <c r="Q22" i="32"/>
  <c r="N23" i="32"/>
  <c r="N28" i="32" s="1"/>
  <c r="O296" i="59"/>
  <c r="R194" i="59"/>
  <c r="R210" i="59" s="1"/>
  <c r="R145" i="59"/>
  <c r="P296" i="59"/>
  <c r="O23" i="32"/>
  <c r="O28" i="32" s="1"/>
  <c r="S130" i="32"/>
  <c r="M272" i="32"/>
  <c r="S132" i="32"/>
  <c r="O272" i="32"/>
  <c r="Q56" i="72"/>
  <c r="P40" i="32"/>
  <c r="M56" i="72"/>
  <c r="L40" i="32"/>
  <c r="Q119" i="70" l="1"/>
  <c r="Q148" i="70" s="1"/>
  <c r="Q118" i="70"/>
  <c r="Q147" i="70" s="1"/>
  <c r="Q117" i="70"/>
  <c r="Q14" i="32"/>
  <c r="O44" i="32"/>
  <c r="O46" i="32"/>
  <c r="R127" i="70"/>
  <c r="S127" i="70" s="1"/>
  <c r="S69" i="70"/>
  <c r="J85" i="70"/>
  <c r="J87" i="59"/>
  <c r="J210" i="59"/>
  <c r="S194" i="59"/>
  <c r="S210" i="59" s="1"/>
  <c r="J41" i="32"/>
  <c r="J43" i="32" s="1"/>
  <c r="K148" i="72"/>
  <c r="Q40" i="32"/>
  <c r="Q85" i="70"/>
  <c r="Q87" i="59"/>
  <c r="K85" i="70"/>
  <c r="K87" i="59"/>
  <c r="N148" i="72"/>
  <c r="M41" i="32"/>
  <c r="M43" i="32" s="1"/>
  <c r="R87" i="59"/>
  <c r="S85" i="59"/>
  <c r="R85" i="70"/>
  <c r="M87" i="59"/>
  <c r="M85" i="70"/>
  <c r="R179" i="59"/>
  <c r="R181" i="59"/>
  <c r="R180" i="59"/>
  <c r="R176" i="59"/>
  <c r="S176" i="59" s="1"/>
  <c r="L148" i="72"/>
  <c r="K41" i="32"/>
  <c r="K43" i="32" s="1"/>
  <c r="N85" i="70"/>
  <c r="N87" i="59"/>
  <c r="K98" i="72"/>
  <c r="J56" i="32"/>
  <c r="K160" i="59"/>
  <c r="J98" i="70"/>
  <c r="Q114" i="70"/>
  <c r="Q146" i="70" s="1"/>
  <c r="H56" i="32"/>
  <c r="I98" i="72"/>
  <c r="I160" i="59"/>
  <c r="H98" i="70"/>
  <c r="J98" i="72"/>
  <c r="I98" i="70"/>
  <c r="I56" i="32"/>
  <c r="J160" i="59"/>
  <c r="S145" i="59"/>
  <c r="R147" i="59"/>
  <c r="S98" i="72"/>
  <c r="R114" i="72"/>
  <c r="S114" i="72" s="1"/>
  <c r="O160" i="59"/>
  <c r="N56" i="32"/>
  <c r="O98" i="72"/>
  <c r="N98" i="70"/>
  <c r="M160" i="59"/>
  <c r="L56" i="32"/>
  <c r="M98" i="72"/>
  <c r="L98" i="70"/>
  <c r="L41" i="32"/>
  <c r="L43" i="32" s="1"/>
  <c r="M148" i="72"/>
  <c r="P160" i="59"/>
  <c r="O56" i="32"/>
  <c r="P98" i="72"/>
  <c r="O98" i="70"/>
  <c r="Q23" i="32"/>
  <c r="Q28" i="32" s="1"/>
  <c r="Q127" i="70"/>
  <c r="L160" i="59"/>
  <c r="K56" i="32"/>
  <c r="K98" i="70"/>
  <c r="L98" i="72"/>
  <c r="O87" i="59"/>
  <c r="O85" i="70"/>
  <c r="L87" i="59"/>
  <c r="L85" i="70"/>
  <c r="M56" i="32"/>
  <c r="M98" i="70"/>
  <c r="N160" i="59"/>
  <c r="N98" i="72"/>
  <c r="I41" i="32"/>
  <c r="J148" i="72"/>
  <c r="S132" i="72"/>
  <c r="S148" i="72" s="1"/>
  <c r="S133" i="32"/>
  <c r="P272" i="32"/>
  <c r="O148" i="72"/>
  <c r="N41" i="32"/>
  <c r="N43" i="32" s="1"/>
  <c r="Q16" i="32"/>
  <c r="P17" i="32"/>
  <c r="Q148" i="72"/>
  <c r="P41" i="32"/>
  <c r="P43" i="32" s="1"/>
  <c r="K57" i="50" l="1"/>
  <c r="K59" i="61"/>
  <c r="K59" i="1"/>
  <c r="K59" i="84"/>
  <c r="L57" i="50"/>
  <c r="L59" i="1"/>
  <c r="L59" i="84"/>
  <c r="L59" i="61"/>
  <c r="N57" i="50"/>
  <c r="N59" i="1"/>
  <c r="N59" i="61"/>
  <c r="N59" i="84"/>
  <c r="M57" i="50"/>
  <c r="M59" i="84"/>
  <c r="M59" i="61"/>
  <c r="M59" i="1"/>
  <c r="O57" i="50"/>
  <c r="O59" i="1"/>
  <c r="O59" i="84"/>
  <c r="O59" i="61"/>
  <c r="H57" i="50"/>
  <c r="H59" i="61"/>
  <c r="H59" i="1"/>
  <c r="H59" i="84"/>
  <c r="I57" i="50"/>
  <c r="I59" i="1"/>
  <c r="I59" i="61"/>
  <c r="I59" i="84"/>
  <c r="J57" i="50"/>
  <c r="J59" i="84"/>
  <c r="J59" i="61"/>
  <c r="J59" i="1"/>
  <c r="N46" i="32"/>
  <c r="N44" i="32"/>
  <c r="P44" i="32"/>
  <c r="P46" i="32"/>
  <c r="L44" i="32"/>
  <c r="L46" i="32"/>
  <c r="N114" i="72"/>
  <c r="N117" i="72"/>
  <c r="N119" i="72"/>
  <c r="N118" i="72"/>
  <c r="J46" i="32"/>
  <c r="J44" i="32"/>
  <c r="K58" i="56"/>
  <c r="K58" i="5"/>
  <c r="K59" i="8"/>
  <c r="K58" i="17"/>
  <c r="L180" i="59"/>
  <c r="K57" i="8"/>
  <c r="K58" i="76"/>
  <c r="K58" i="41"/>
  <c r="K57" i="83"/>
  <c r="K57" i="38"/>
  <c r="K57" i="14"/>
  <c r="K57" i="1"/>
  <c r="K58" i="47"/>
  <c r="L176" i="59"/>
  <c r="K57" i="64"/>
  <c r="K57" i="17"/>
  <c r="K58" i="53"/>
  <c r="K57" i="47"/>
  <c r="K58" i="29"/>
  <c r="K57" i="56"/>
  <c r="K58" i="20"/>
  <c r="K57" i="23"/>
  <c r="K58" i="8"/>
  <c r="K58" i="61"/>
  <c r="K59" i="47"/>
  <c r="K59" i="32"/>
  <c r="K58" i="38"/>
  <c r="K57" i="44"/>
  <c r="K57" i="5"/>
  <c r="K58" i="50"/>
  <c r="K58" i="14"/>
  <c r="K58" i="32"/>
  <c r="L181" i="59"/>
  <c r="K59" i="29"/>
  <c r="K58" i="26"/>
  <c r="K57" i="11"/>
  <c r="K58" i="23"/>
  <c r="L179" i="59"/>
  <c r="K58" i="35"/>
  <c r="O114" i="72"/>
  <c r="O117" i="72"/>
  <c r="O118" i="72"/>
  <c r="O119" i="72"/>
  <c r="J176" i="59"/>
  <c r="I58" i="76"/>
  <c r="I57" i="56"/>
  <c r="I57" i="23"/>
  <c r="I58" i="20"/>
  <c r="I57" i="64"/>
  <c r="I58" i="17"/>
  <c r="I58" i="41"/>
  <c r="I57" i="8"/>
  <c r="I58" i="23"/>
  <c r="I58" i="47"/>
  <c r="I58" i="61"/>
  <c r="I58" i="26"/>
  <c r="I58" i="38"/>
  <c r="I57" i="44"/>
  <c r="I58" i="32"/>
  <c r="I57" i="11"/>
  <c r="I58" i="53"/>
  <c r="I57" i="1"/>
  <c r="I59" i="47"/>
  <c r="J179" i="59"/>
  <c r="I58" i="35"/>
  <c r="I57" i="83"/>
  <c r="I58" i="56"/>
  <c r="I58" i="50"/>
  <c r="I57" i="47"/>
  <c r="I58" i="29"/>
  <c r="I59" i="32"/>
  <c r="I58" i="14"/>
  <c r="I59" i="8"/>
  <c r="I57" i="38"/>
  <c r="I57" i="14"/>
  <c r="I57" i="5"/>
  <c r="J181" i="59"/>
  <c r="I59" i="29"/>
  <c r="I58" i="8"/>
  <c r="J180" i="59"/>
  <c r="I57" i="17"/>
  <c r="I58" i="5"/>
  <c r="S85" i="70"/>
  <c r="R143" i="70"/>
  <c r="L117" i="70"/>
  <c r="L146" i="70" s="1"/>
  <c r="L118" i="70"/>
  <c r="L147" i="70" s="1"/>
  <c r="L114" i="70"/>
  <c r="L143" i="70" s="1"/>
  <c r="L119" i="70"/>
  <c r="L148" i="70" s="1"/>
  <c r="L127" i="70"/>
  <c r="N58" i="38"/>
  <c r="N57" i="1"/>
  <c r="O179" i="59"/>
  <c r="N58" i="26"/>
  <c r="N58" i="47"/>
  <c r="O176" i="59"/>
  <c r="N57" i="38"/>
  <c r="N57" i="8"/>
  <c r="N58" i="32"/>
  <c r="N57" i="17"/>
  <c r="N58" i="5"/>
  <c r="N59" i="29"/>
  <c r="N57" i="83"/>
  <c r="N58" i="61"/>
  <c r="O180" i="59"/>
  <c r="N57" i="44"/>
  <c r="N58" i="23"/>
  <c r="N57" i="5"/>
  <c r="N58" i="53"/>
  <c r="N57" i="56"/>
  <c r="O181" i="59"/>
  <c r="N58" i="56"/>
  <c r="N58" i="35"/>
  <c r="N57" i="11"/>
  <c r="N58" i="17"/>
  <c r="N58" i="8"/>
  <c r="N58" i="50"/>
  <c r="N57" i="14"/>
  <c r="N59" i="32"/>
  <c r="N57" i="64"/>
  <c r="N58" i="14"/>
  <c r="N57" i="47"/>
  <c r="N58" i="41"/>
  <c r="N58" i="20"/>
  <c r="N58" i="29"/>
  <c r="N58" i="76"/>
  <c r="N57" i="23"/>
  <c r="N59" i="8"/>
  <c r="N59" i="47"/>
  <c r="I118" i="70"/>
  <c r="I147" i="70" s="1"/>
  <c r="I114" i="70"/>
  <c r="I143" i="70" s="1"/>
  <c r="I127" i="70"/>
  <c r="I117" i="70"/>
  <c r="I146" i="70" s="1"/>
  <c r="I119" i="70"/>
  <c r="I148" i="70" s="1"/>
  <c r="J114" i="70"/>
  <c r="J143" i="70" s="1"/>
  <c r="J117" i="70"/>
  <c r="J146" i="70" s="1"/>
  <c r="J118" i="70"/>
  <c r="J147" i="70" s="1"/>
  <c r="J119" i="70"/>
  <c r="J148" i="70" s="1"/>
  <c r="J127" i="70"/>
  <c r="Q143" i="70"/>
  <c r="Q41" i="32"/>
  <c r="Q43" i="32" s="1"/>
  <c r="Q44" i="32" s="1"/>
  <c r="O118" i="70"/>
  <c r="O147" i="70" s="1"/>
  <c r="O119" i="70"/>
  <c r="O148" i="70" s="1"/>
  <c r="O117" i="70"/>
  <c r="O146" i="70" s="1"/>
  <c r="O114" i="70"/>
  <c r="O143" i="70" s="1"/>
  <c r="O127" i="70"/>
  <c r="M114" i="72"/>
  <c r="M117" i="72"/>
  <c r="M119" i="72"/>
  <c r="M118" i="72"/>
  <c r="J118" i="72"/>
  <c r="J114" i="72"/>
  <c r="J117" i="72"/>
  <c r="J119" i="72"/>
  <c r="J58" i="41"/>
  <c r="J58" i="56"/>
  <c r="J58" i="76"/>
  <c r="J57" i="11"/>
  <c r="J58" i="26"/>
  <c r="J58" i="35"/>
  <c r="J58" i="17"/>
  <c r="K179" i="59"/>
  <c r="J57" i="56"/>
  <c r="J58" i="47"/>
  <c r="K181" i="59"/>
  <c r="J57" i="38"/>
  <c r="J58" i="23"/>
  <c r="J58" i="61"/>
  <c r="J57" i="23"/>
  <c r="J58" i="20"/>
  <c r="K176" i="59"/>
  <c r="J57" i="17"/>
  <c r="J57" i="1"/>
  <c r="J57" i="5"/>
  <c r="J57" i="44"/>
  <c r="J57" i="64"/>
  <c r="J58" i="14"/>
  <c r="J57" i="14"/>
  <c r="J59" i="47"/>
  <c r="J57" i="8"/>
  <c r="J58" i="29"/>
  <c r="K180" i="59"/>
  <c r="J58" i="38"/>
  <c r="J58" i="32"/>
  <c r="J57" i="83"/>
  <c r="J59" i="8"/>
  <c r="J58" i="8"/>
  <c r="J59" i="29"/>
  <c r="J59" i="32"/>
  <c r="J58" i="5"/>
  <c r="J58" i="53"/>
  <c r="J58" i="50"/>
  <c r="J57" i="47"/>
  <c r="I43" i="32"/>
  <c r="H117" i="70"/>
  <c r="H146" i="70" s="1"/>
  <c r="H114" i="70"/>
  <c r="H143" i="70" s="1"/>
  <c r="H127" i="70"/>
  <c r="H118" i="70"/>
  <c r="H147" i="70" s="1"/>
  <c r="H119" i="70"/>
  <c r="H148" i="70" s="1"/>
  <c r="N181" i="59"/>
  <c r="M57" i="1"/>
  <c r="N179" i="59"/>
  <c r="M57" i="83"/>
  <c r="M57" i="17"/>
  <c r="M57" i="56"/>
  <c r="M58" i="29"/>
  <c r="N180" i="59"/>
  <c r="M58" i="26"/>
  <c r="M58" i="76"/>
  <c r="M58" i="50"/>
  <c r="M58" i="41"/>
  <c r="M59" i="8"/>
  <c r="M58" i="23"/>
  <c r="M58" i="8"/>
  <c r="N176" i="59"/>
  <c r="M57" i="8"/>
  <c r="M57" i="64"/>
  <c r="M59" i="29"/>
  <c r="M57" i="38"/>
  <c r="M57" i="5"/>
  <c r="M57" i="11"/>
  <c r="M57" i="14"/>
  <c r="M58" i="20"/>
  <c r="M57" i="47"/>
  <c r="M59" i="47"/>
  <c r="M58" i="35"/>
  <c r="M57" i="23"/>
  <c r="M59" i="32"/>
  <c r="M58" i="32"/>
  <c r="M58" i="38"/>
  <c r="M58" i="61"/>
  <c r="M58" i="47"/>
  <c r="M58" i="5"/>
  <c r="M57" i="44"/>
  <c r="M58" i="53"/>
  <c r="M58" i="56"/>
  <c r="M58" i="17"/>
  <c r="M58" i="14"/>
  <c r="L119" i="72"/>
  <c r="L114" i="72"/>
  <c r="L117" i="72"/>
  <c r="L118" i="72"/>
  <c r="L59" i="47"/>
  <c r="L58" i="29"/>
  <c r="L58" i="56"/>
  <c r="L57" i="56"/>
  <c r="L59" i="29"/>
  <c r="L58" i="50"/>
  <c r="L57" i="64"/>
  <c r="L58" i="20"/>
  <c r="L58" i="8"/>
  <c r="L58" i="17"/>
  <c r="L57" i="44"/>
  <c r="L57" i="17"/>
  <c r="L58" i="23"/>
  <c r="L58" i="47"/>
  <c r="M176" i="59"/>
  <c r="L58" i="26"/>
  <c r="L58" i="14"/>
  <c r="M181" i="59"/>
  <c r="M180" i="59"/>
  <c r="L57" i="5"/>
  <c r="L57" i="47"/>
  <c r="L57" i="38"/>
  <c r="L59" i="32"/>
  <c r="L57" i="8"/>
  <c r="L57" i="83"/>
  <c r="L58" i="61"/>
  <c r="L58" i="35"/>
  <c r="L58" i="41"/>
  <c r="L57" i="1"/>
  <c r="L57" i="11"/>
  <c r="L57" i="23"/>
  <c r="M179" i="59"/>
  <c r="L58" i="76"/>
  <c r="L59" i="8"/>
  <c r="L58" i="5"/>
  <c r="L58" i="32"/>
  <c r="L58" i="53"/>
  <c r="L58" i="38"/>
  <c r="L57" i="14"/>
  <c r="I179" i="59"/>
  <c r="H58" i="20"/>
  <c r="H57" i="47"/>
  <c r="H58" i="32"/>
  <c r="H57" i="23"/>
  <c r="H59" i="32"/>
  <c r="H58" i="41"/>
  <c r="H58" i="23"/>
  <c r="H59" i="29"/>
  <c r="H59" i="8"/>
  <c r="H58" i="47"/>
  <c r="H58" i="35"/>
  <c r="H57" i="56"/>
  <c r="I176" i="59"/>
  <c r="H58" i="26"/>
  <c r="H58" i="14"/>
  <c r="H58" i="50"/>
  <c r="H57" i="14"/>
  <c r="H58" i="61"/>
  <c r="H58" i="76"/>
  <c r="H58" i="17"/>
  <c r="H57" i="83"/>
  <c r="H57" i="1"/>
  <c r="H58" i="5"/>
  <c r="H59" i="47"/>
  <c r="H58" i="8"/>
  <c r="H57" i="44"/>
  <c r="H58" i="38"/>
  <c r="I181" i="59"/>
  <c r="H58" i="56"/>
  <c r="H58" i="53"/>
  <c r="H57" i="17"/>
  <c r="I180" i="59"/>
  <c r="H57" i="38"/>
  <c r="H57" i="5"/>
  <c r="H58" i="29"/>
  <c r="H57" i="8"/>
  <c r="H57" i="11"/>
  <c r="H57" i="64"/>
  <c r="K117" i="72"/>
  <c r="K114" i="72"/>
  <c r="K119" i="72"/>
  <c r="K118" i="72"/>
  <c r="O47" i="32"/>
  <c r="O50" i="32"/>
  <c r="O51" i="32" s="1"/>
  <c r="I117" i="72"/>
  <c r="I114" i="72"/>
  <c r="I119" i="72"/>
  <c r="I118" i="72"/>
  <c r="P118" i="72"/>
  <c r="P117" i="72"/>
  <c r="P114" i="72"/>
  <c r="P119" i="72"/>
  <c r="S61" i="32"/>
  <c r="Q98" i="72"/>
  <c r="P56" i="32"/>
  <c r="Q56" i="32" s="1"/>
  <c r="P98" i="70"/>
  <c r="P117" i="70" s="1"/>
  <c r="Q160" i="59"/>
  <c r="M118" i="70"/>
  <c r="M147" i="70" s="1"/>
  <c r="M117" i="70"/>
  <c r="M146" i="70" s="1"/>
  <c r="M119" i="70"/>
  <c r="M148" i="70" s="1"/>
  <c r="M114" i="70"/>
  <c r="M143" i="70" s="1"/>
  <c r="M127" i="70"/>
  <c r="K119" i="70"/>
  <c r="K148" i="70" s="1"/>
  <c r="K114" i="70"/>
  <c r="K143" i="70" s="1"/>
  <c r="K117" i="70"/>
  <c r="K146" i="70" s="1"/>
  <c r="K118" i="70"/>
  <c r="K147" i="70" s="1"/>
  <c r="K127" i="70"/>
  <c r="O57" i="64"/>
  <c r="O57" i="17"/>
  <c r="P180" i="59"/>
  <c r="O57" i="83"/>
  <c r="O58" i="41"/>
  <c r="O58" i="76"/>
  <c r="O58" i="26"/>
  <c r="O59" i="8"/>
  <c r="O57" i="56"/>
  <c r="O58" i="47"/>
  <c r="O57" i="38"/>
  <c r="O58" i="17"/>
  <c r="O59" i="47"/>
  <c r="O58" i="61"/>
  <c r="O58" i="14"/>
  <c r="O58" i="35"/>
  <c r="O57" i="14"/>
  <c r="O58" i="56"/>
  <c r="O57" i="11"/>
  <c r="P176" i="59"/>
  <c r="O59" i="29"/>
  <c r="O58" i="50"/>
  <c r="O58" i="32"/>
  <c r="O57" i="23"/>
  <c r="O59" i="32"/>
  <c r="P181" i="59"/>
  <c r="O58" i="5"/>
  <c r="O57" i="5"/>
  <c r="O57" i="8"/>
  <c r="O58" i="23"/>
  <c r="O58" i="38"/>
  <c r="P179" i="59"/>
  <c r="O58" i="8"/>
  <c r="O58" i="20"/>
  <c r="O57" i="1"/>
  <c r="O57" i="47"/>
  <c r="O57" i="44"/>
  <c r="O58" i="53"/>
  <c r="O58" i="29"/>
  <c r="M46" i="32"/>
  <c r="M44" i="32"/>
  <c r="N117" i="70"/>
  <c r="N146" i="70" s="1"/>
  <c r="N118" i="70"/>
  <c r="N147" i="70" s="1"/>
  <c r="N119" i="70"/>
  <c r="N148" i="70" s="1"/>
  <c r="N114" i="70"/>
  <c r="N143" i="70" s="1"/>
  <c r="N127" i="70"/>
  <c r="K46" i="32"/>
  <c r="K44" i="32"/>
  <c r="P57" i="50" l="1"/>
  <c r="Q57" i="50" s="1"/>
  <c r="P59" i="1"/>
  <c r="Q59" i="1" s="1"/>
  <c r="P59" i="61"/>
  <c r="Q59" i="61" s="1"/>
  <c r="P59" i="84"/>
  <c r="Q59" i="84" s="1"/>
  <c r="Q117" i="72"/>
  <c r="Q119" i="72"/>
  <c r="Q114" i="72"/>
  <c r="Q118" i="72"/>
  <c r="L50" i="32"/>
  <c r="L51" i="32" s="1"/>
  <c r="L47" i="32"/>
  <c r="I46" i="32"/>
  <c r="I44" i="32"/>
  <c r="K50" i="32"/>
  <c r="K51" i="32" s="1"/>
  <c r="K47" i="32"/>
  <c r="P50" i="32"/>
  <c r="P51" i="32" s="1"/>
  <c r="P47" i="32"/>
  <c r="M47" i="32"/>
  <c r="M50" i="32"/>
  <c r="M51" i="32" s="1"/>
  <c r="J47" i="32"/>
  <c r="J50" i="32"/>
  <c r="J51" i="32" s="1"/>
  <c r="P58" i="76"/>
  <c r="Q58" i="76" s="1"/>
  <c r="P57" i="47"/>
  <c r="Q57" i="47" s="1"/>
  <c r="P57" i="38"/>
  <c r="Q57" i="38" s="1"/>
  <c r="P59" i="47"/>
  <c r="Q59" i="47" s="1"/>
  <c r="P57" i="64"/>
  <c r="Q57" i="64" s="1"/>
  <c r="P58" i="50"/>
  <c r="Q58" i="50" s="1"/>
  <c r="P57" i="23"/>
  <c r="Q57" i="23" s="1"/>
  <c r="P57" i="1"/>
  <c r="Q57" i="1" s="1"/>
  <c r="Q181" i="59"/>
  <c r="S181" i="59" s="1"/>
  <c r="P59" i="8"/>
  <c r="Q59" i="8" s="1"/>
  <c r="P57" i="56"/>
  <c r="Q57" i="56" s="1"/>
  <c r="P58" i="32"/>
  <c r="Q58" i="32" s="1"/>
  <c r="P58" i="61"/>
  <c r="Q58" i="61" s="1"/>
  <c r="Q180" i="59"/>
  <c r="S180" i="59" s="1"/>
  <c r="P57" i="17"/>
  <c r="Q57" i="17" s="1"/>
  <c r="P58" i="26"/>
  <c r="Q58" i="26" s="1"/>
  <c r="P58" i="56"/>
  <c r="Q58" i="56" s="1"/>
  <c r="P57" i="83"/>
  <c r="Q57" i="83" s="1"/>
  <c r="P59" i="29"/>
  <c r="Q59" i="29" s="1"/>
  <c r="P58" i="20"/>
  <c r="Q58" i="20" s="1"/>
  <c r="P57" i="14"/>
  <c r="Q57" i="14" s="1"/>
  <c r="S160" i="59"/>
  <c r="T160" i="59" s="1"/>
  <c r="T176" i="59" s="1"/>
  <c r="P57" i="11"/>
  <c r="Q57" i="11" s="1"/>
  <c r="P58" i="41"/>
  <c r="Q58" i="41" s="1"/>
  <c r="S60" i="41" s="1"/>
  <c r="Q179" i="59"/>
  <c r="S179" i="59" s="1"/>
  <c r="P58" i="38"/>
  <c r="Q58" i="38" s="1"/>
  <c r="P57" i="8"/>
  <c r="Q57" i="8" s="1"/>
  <c r="P58" i="8"/>
  <c r="Q58" i="8" s="1"/>
  <c r="P58" i="5"/>
  <c r="Q58" i="5" s="1"/>
  <c r="P58" i="29"/>
  <c r="Q58" i="29" s="1"/>
  <c r="P58" i="53"/>
  <c r="Q58" i="53" s="1"/>
  <c r="P58" i="17"/>
  <c r="Q58" i="17" s="1"/>
  <c r="P58" i="23"/>
  <c r="Q58" i="23" s="1"/>
  <c r="P58" i="14"/>
  <c r="Q58" i="14" s="1"/>
  <c r="P57" i="5"/>
  <c r="Q57" i="5" s="1"/>
  <c r="P58" i="47"/>
  <c r="Q58" i="47" s="1"/>
  <c r="P58" i="35"/>
  <c r="Q58" i="35" s="1"/>
  <c r="P57" i="44"/>
  <c r="Q57" i="44" s="1"/>
  <c r="P59" i="32"/>
  <c r="Q59" i="32" s="1"/>
  <c r="Q176" i="59"/>
  <c r="P118" i="70"/>
  <c r="P147" i="70" s="1"/>
  <c r="P119" i="70"/>
  <c r="P148" i="70" s="1"/>
  <c r="P146" i="70"/>
  <c r="P114" i="70"/>
  <c r="P143" i="70" s="1"/>
  <c r="P127" i="70"/>
  <c r="N50" i="32"/>
  <c r="N51" i="32" s="1"/>
  <c r="N47" i="32"/>
  <c r="Q46" i="32" l="1"/>
  <c r="I50" i="32"/>
  <c r="I51" i="32" s="1"/>
  <c r="I47" i="32"/>
  <c r="Q50" i="32" l="1"/>
  <c r="Q51" i="32" s="1"/>
  <c r="Q47"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tc={282405AF-E90A-4322-94CF-43FF5FF63235}</author>
  </authors>
  <commentList>
    <comment ref="F87" authorId="0" shapeId="0" xr:uid="{282405AF-E90A-4322-94CF-43FF5FF63235}">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Scope 1 and Scope 2*
Reply:
    @Rebecca Fitzgerald yes only Scope 1 and 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tc={06A68A9B-A079-4276-8EDE-7F011B26B89E}</author>
  </authors>
  <commentList>
    <comment ref="A210" authorId="0" shapeId="0" xr:uid="{06A68A9B-A079-4276-8EDE-7F011B26B89E}">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@Shaun Condon all done!
Reply:
    @Rebecca Fitzgerald  For 1 Market Street, the Scope 3 emissions are higher than Scope 1 emissions, does that seem right to you?</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tc={37D241FD-020A-47A5-B433-3BB3FF1D44E4}</author>
    <author>tc={701D9873-C7C7-4522-80D6-4EB1A85CB2B6}</author>
  </authors>
  <commentList>
    <comment ref="A2" authorId="0" shapeId="0" xr:uid="{37D241FD-020A-47A5-B433-3BB3FF1D44E4}">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Suggest to add our Energetics reference here, so we don't forget where these projections came from.</t>
        </r>
      </text>
    </comment>
    <comment ref="D3" authorId="1" shapeId="0" xr:uid="{701D9873-C7C7-4522-80D6-4EB1A85CB2B6}">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NGA Factors 2023 (to July 2024)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tc={E5F33C61-7B76-4BB3-A25B-3582C96450D4}</author>
    <author>tc={C31FA2F7-3668-4EA7-B777-103D356669EF}</author>
    <author>tc={2D7A0E9B-5A22-4933-9BC6-8A356CF70C9D}</author>
    <author>tc={2C4D7F03-5B74-414D-BC47-F451DD6F6EC0}</author>
    <author>tc={EBC31E10-0FC6-4826-9BAE-AEC0FE01518F}</author>
    <author>tc={7CAAFF55-2E6C-428F-BF6F-7C84D44740E5}</author>
    <author>tc={558E9B97-A34F-4EBA-B686-12386190103E}</author>
  </authors>
  <commentList>
    <comment ref="B81" authorId="0" shapeId="0" xr:uid="{E5F33C61-7B76-4BB3-A25B-3582C96450D4}">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B82" authorId="1" shapeId="0" xr:uid="{C31FA2F7-3668-4EA7-B777-103D356669EF}">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B83" authorId="2" shapeId="0" xr:uid="{2D7A0E9B-5A22-4933-9BC6-8A356CF70C9D}">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B84" authorId="3" shapeId="0" xr:uid="{2C4D7F03-5B74-414D-BC47-F451DD6F6EC0}">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B85" authorId="4" shapeId="0" xr:uid="{EBC31E10-0FC6-4826-9BAE-AEC0FE01518F}">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B86" authorId="5" shapeId="0" xr:uid="{7CAAFF55-2E6C-428F-BF6F-7C84D44740E5}">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Once this is complete will there be any gas consumption on site?
Reply:
    @Shaun Condon, can we add to this project that 'HHW boilers to be decommissioned'? TOG reports didn't specifically say this, but my understanding is that this is the intent. After this, there will only be gas for retail cooking that we need to remove (if not already done by this point).
Reply:
    @Rebecca Fitzgerald  Yes I think so. I was just trying to keep text succinct</t>
        </r>
      </text>
    </comment>
    <comment ref="C86" authorId="6" shapeId="0" xr:uid="{558E9B97-A34F-4EBA-B686-12386190103E}">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@Shaun Condon, let's check with Peter that this change in electricity consumption has taken into account that the chillers / heat pumps will be used in winter for space heating.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tc={C188AFE4-E3F8-46F3-AF5C-728AA0F33091}</author>
    <author>tc={C7396F87-0892-4663-B7D9-EFABAD876473}</author>
    <author>tc={A175CD60-DDC5-4108-ACCB-88600CB726A2}</author>
    <author>tc={C15EFC22-81DA-4348-BA10-0696440578AC}</author>
    <author>tc={3FB0635C-03D8-4334-9417-326699701733}</author>
    <author>tc={1F64030C-5D12-46DA-B611-9F877825F2F2}</author>
    <author>tc={DE537AE0-CEEC-434F-B424-6DB9538D7E52}</author>
  </authors>
  <commentList>
    <comment ref="C15" authorId="0" shapeId="0" xr:uid="{C188AFE4-E3F8-46F3-AF5C-728AA0F33091}">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C16" authorId="1" shapeId="0" xr:uid="{C7396F87-0892-4663-B7D9-EFABAD876473}">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C17" authorId="2" shapeId="0" xr:uid="{A175CD60-DDC5-4108-ACCB-88600CB726A2}">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C18" authorId="3" shapeId="0" xr:uid="{C15EFC22-81DA-4348-BA10-0696440578AC}">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C19" authorId="4" shapeId="0" xr:uid="{3FB0635C-03D8-4334-9417-326699701733}">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 includes All consulting costs, plus 20% of trade costs. Note: Flat Pack Units need to accommodate heat pump temperature water (lower)
</t>
        </r>
      </text>
    </comment>
    <comment ref="C20" authorId="5" shapeId="0" xr:uid="{1F64030C-5D12-46DA-B611-9F877825F2F2}">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Once this is complete will there be any gas consumption on site?
Reply:
    @Shaun Condon, can we add to this project that 'HHW boilers to be decommissioned'? TOG reports didn't specifically say this, but my understanding is that this is the intent. After this, there will only be gas for retail cooking that we need to remove (if not already done by this point).
Reply:
    @Rebecca Fitzgerald  Yes I think so. I was just trying to keep text succinct</t>
        </r>
      </text>
    </comment>
    <comment ref="D20" authorId="6" shapeId="0" xr:uid="{DE537AE0-CEEC-434F-B424-6DB9538D7E52}">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@Shaun Condon, let's check with Peter that this change in electricity consumption has taken into account that the chillers / heat pumps will be used in winter for space heating.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tc={A2C5C65A-A9B5-4881-99B5-9F42A1A1AB8D}</author>
  </authors>
  <commentList>
    <comment ref="G13" authorId="0" shapeId="0" xr:uid="{A2C5C65A-A9B5-4881-99B5-9F42A1A1AB8D}">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Because the renewable electricity contract starts 1 Jan 2024</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tc={B35320FD-2E39-4324-991E-B4F95D22E18D}</author>
    <author>tc={5B5A4E7C-B410-41CC-8532-8EA39D0702A2}</author>
    <author>tc={CFEB7160-DDBB-443C-8636-4F157305E661}</author>
    <author>tc={D336AFA0-49B4-4C72-AD05-1AA2D7FC66AC}</author>
    <author>tc={84E70BB9-838D-4588-B793-D43439AC745C}</author>
    <author>tc={32082BDA-1316-449A-B851-E7807301D9EB}</author>
    <author>tc={2CFE89EA-C995-4B74-8D2E-BAFF1EBC31C9}</author>
    <author>tc={83A50632-F0F7-4581-9E58-80F2DB0979FD}</author>
  </authors>
  <commentList>
    <comment ref="B73" authorId="0" shapeId="0" xr:uid="{B35320FD-2E39-4324-991E-B4F95D22E18D}">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Need to determine whether required without chilled beams</t>
        </r>
      </text>
    </comment>
    <comment ref="B75" authorId="1" shapeId="0" xr:uid="{5B5A4E7C-B410-41CC-8532-8EA39D0702A2}">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Need to assess whether included in on floor work allowances</t>
        </r>
      </text>
    </comment>
    <comment ref="B76" authorId="2" shapeId="0" xr:uid="{CFEB7160-DDBB-443C-8636-4F157305E661}">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Need to consider whether needed</t>
        </r>
      </text>
    </comment>
    <comment ref="E79" authorId="3" shapeId="0" xr:uid="{D336AFA0-49B4-4C72-AD05-1AA2D7FC66AC}">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Moved back 12 months
</t>
        </r>
      </text>
    </comment>
    <comment ref="C80" authorId="4" shapeId="0" xr:uid="{84E70BB9-838D-4588-B793-D43439AC745C}">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-430MWh</t>
        </r>
      </text>
    </comment>
    <comment ref="F80" authorId="5" shapeId="0" xr:uid="{32082BDA-1316-449A-B851-E7807301D9EB}">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$14,490,000</t>
        </r>
      </text>
    </comment>
    <comment ref="B81" authorId="6" shapeId="0" xr:uid="{2CFE89EA-C995-4B74-8D2E-BAFF1EBC31C9}">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Need to determine whether required without chilled beams</t>
        </r>
      </text>
    </comment>
    <comment ref="F81" authorId="7" shapeId="0" xr:uid="{83A50632-F0F7-4581-9E58-80F2DB0979FD}">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$736k assumed to be for Chilled Beams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tc={7A749BD3-2ECC-4A66-B2C1-8ACD7A42FFE3}</author>
  </authors>
  <commentList>
    <comment ref="A69" authorId="0" shapeId="0" xr:uid="{7A749BD3-2ECC-4A66-B2C1-8ACD7A42FFE3}">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BASE BUILDING COOLING TOWERS 1 TO 4 + MECH BOARD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tc={F5C37D8C-F0B8-4640-BA38-AE759A436A34}</author>
    <author>tc={E953FE42-09EC-4F38-8542-489B8C6DE80F}</author>
  </authors>
  <commentList>
    <comment ref="B70" authorId="0" shapeId="0" xr:uid="{F5C37D8C-F0B8-4640-BA38-AE759A436A34}">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Boilers have had significant maintenance issues. Therefore are not expected to reach typical end of life of 20 years. This has been reflected in the 'estimated date of completion' for electrification projects.</t>
        </r>
      </text>
    </comment>
    <comment ref="B72" authorId="1" shapeId="0" xr:uid="{E953FE42-09EC-4F38-8542-489B8C6DE80F}">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Assumption based upon 347 Kent St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tc={F21D24BB-27E5-4836-AA9A-82C041326BC1}</author>
    <author>tc={05208218-9D8E-4EE2-B78A-B98477767761}</author>
    <author>tc={5C54D6D0-19C2-4E8C-B9FF-B00C97E2A480}</author>
  </authors>
  <commentList>
    <comment ref="A85" authorId="0" shapeId="0" xr:uid="{F21D24BB-27E5-4836-AA9A-82C041326BC1}">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These works would occur in conjunction with IO-14039</t>
        </r>
      </text>
    </comment>
    <comment ref="B87" authorId="1" shapeId="0" xr:uid="{05208218-9D8E-4EE2-B78A-B98477767761}">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This is to provide Tenancy Supply to level 8</t>
        </r>
      </text>
    </comment>
    <comment ref="A91" authorId="2" shapeId="0" xr:uid="{5C54D6D0-19C2-4E8C-B9FF-B00C97E2A48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Already in NEW CAPEX items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tc={B5AA0BC5-6FAD-45FA-AC33-5EB3E5C3F6BF}</author>
    <author>tc={A455569D-8555-42B8-8D85-829DD1172F43}</author>
    <author>tc={840759DF-026D-495A-AED1-3CE4DEAAC138}</author>
  </authors>
  <commentList>
    <comment ref="D73" authorId="0" shapeId="0" xr:uid="{B5AA0BC5-6FAD-45FA-AC33-5EB3E5C3F6BF}">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 gas savings scaled up to match with total gas consumption
</t>
        </r>
      </text>
    </comment>
    <comment ref="C83" authorId="1" shapeId="0" xr:uid="{A455569D-8555-42B8-8D85-829DD1172F43}">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-150MWh</t>
        </r>
      </text>
    </comment>
    <comment ref="F83" authorId="2" shapeId="0" xr:uid="{840759DF-026D-495A-AED1-3CE4DEAAC138}">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$6.9M but prob $11M</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00000000-0006-0000-0100-00000100000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00000000-0006-0000-0100-00000200000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00000000-0006-0000-0100-000003000000}">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00000000-0006-0000-0100-00000400000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00000000-0006-0000-0100-00000500000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00000000-0006-0000-0100-00000600000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00000000-0006-0000-0100-00000700000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00000000-0006-0000-0200-00000100000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00000000-0006-0000-0200-00000200000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00000000-0006-0000-0200-00000300000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tc={9E96A383-17EF-4F8F-B1D3-F6872E0353FC}</author>
    <author>tc={C57A3F11-7F42-4078-B296-84304E2FC595}</author>
    <author>tc={2633F15F-04DA-4220-9932-386F04FDF769}</author>
    <author>tc={4548B145-02F5-4729-B735-75F3C88F1720}</author>
    <author>tc={D455AAE3-0DA5-4CE4-B314-9F8C38AB9177}</author>
    <author>tc={49B87975-174C-4BC5-AA22-A765BBA60B0A}</author>
  </authors>
  <commentList>
    <comment ref="B74" authorId="0" shapeId="0" xr:uid="{9E96A383-17EF-4F8F-B1D3-F6872E0353FC}">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AC to input</t>
        </r>
      </text>
    </comment>
    <comment ref="D74" authorId="1" shapeId="0" xr:uid="{C57A3F11-7F42-4078-B296-84304E2FC595}">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Allowances scaled up from Oak Group Reports as together the projects should wipe all gas usage. </t>
        </r>
      </text>
    </comment>
    <comment ref="C76" authorId="2" shapeId="0" xr:uid="{2633F15F-04DA-4220-9932-386F04FDF769}">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-130</t>
        </r>
      </text>
    </comment>
    <comment ref="F76" authorId="3" shapeId="0" xr:uid="{4548B145-02F5-4729-B735-75F3C88F1720}">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$287,500</t>
        </r>
      </text>
    </comment>
    <comment ref="C77" authorId="4" shapeId="0" xr:uid="{D455AAE3-0DA5-4CE4-B314-9F8C38AB9177}">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-180</t>
        </r>
      </text>
    </comment>
    <comment ref="F77" authorId="5" shapeId="0" xr:uid="{49B87975-174C-4BC5-AA22-A765BBA60B0A}">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$575,000</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tc={2177CB0A-577E-468F-8AF2-B22478F1F03A}</author>
  </authors>
  <commentList>
    <comment ref="G21" authorId="0" shapeId="0" xr:uid="{2177CB0A-577E-468F-8AF2-B22478F1F03A}">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New electricity contract commencing 1/01/2024 is 100% renewable.</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tc={3070E92F-5993-47ED-A866-298B93906B54}</author>
    <author>tc={880D67A1-1379-4CA2-B39B-F827307BA5F5}</author>
    <author>tc={F2201B4A-45A0-487D-8F9B-A5986DDE9936}</author>
    <author>tc={6DD5F869-77F0-4165-BB09-0A2B38C213E9}</author>
    <author>tc={6C5F75AF-CBC1-440C-B330-FDAE19819BA6}</author>
  </authors>
  <commentList>
    <comment ref="E80" authorId="0" shapeId="0" xr:uid="{3070E92F-5993-47ED-A866-298B93906B54}">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To be undertaken at the same time as next AHU major parts replacement.</t>
        </r>
      </text>
    </comment>
    <comment ref="B81" authorId="1" shapeId="0" xr:uid="{880D67A1-1379-4CA2-B39B-F827307BA5F5}">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12500</t>
        </r>
      </text>
    </comment>
    <comment ref="B82" authorId="2" shapeId="0" xr:uid="{F2201B4A-45A0-487D-8F9B-A5986DDE9936}">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No allowance included
</t>
        </r>
      </text>
    </comment>
    <comment ref="B83" authorId="3" shapeId="0" xr:uid="{6DD5F869-77F0-4165-BB09-0A2B38C213E9}">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9375</t>
        </r>
      </text>
    </comment>
    <comment ref="B84" authorId="4" shapeId="0" xr:uid="{6C5F75AF-CBC1-440C-B330-FDAE19819BA6}">
      <text>
        <r>
          <rPr>
            <sz val="10"/>
            <rFont val="Arial"/>
            <family val="2"/>
          </rPr>
          <t xml:space="preserve">[Threaded comment]
Your version of Excel allows you to read this threaded comment; however, any edits to it will get removed if the file is opened in a newer version of Excel. Learn more: https://go.microsoft.com/fwlink/?linkid=870924
Comment:
    $40000
</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1A176D83-07F8-4805-8377-EB860B7541C9}">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847807C5-FDEC-4B65-A210-F4CBA5F8710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30B7A943-963C-42CC-9C43-80F2A23E6C05}">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4C0FD156-DB2B-448E-9825-E90AE3F36BBA}">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D8207C84-8456-474E-83D1-93E15AA4C2AE}">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F652FEFC-7B68-4AD7-AA70-68BB80485A16}">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3C48C4D2-48A1-41AA-8C73-D125905B1254}">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152FDC26-67DD-4865-A10F-DBA048C8A6C5}">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A613C951-8156-4948-ADCF-A2F64B1A41E7}">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785D47CD-F210-4294-9F7B-DAA72BCDF4CB}">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BF295D5B-BB00-4FA7-AC94-85BB27DEA9A5}">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728ABD07-2A12-4366-A8C0-90B79EE6623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51D9C52D-8DC5-4B45-9E82-9A801A80B232}">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D70F69BC-EA60-4F18-A427-CA7B3448D956}">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2B16B8A6-558D-475C-94EA-93D64078D733}">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558022C2-BBF8-49F0-946F-FE0E67FE7A1A}">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BE85BFE7-1C5B-4657-945C-56E93C7E9CE3}">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52D66721-6709-40AE-9191-60E70D4B533F}">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DC6BA639-707C-436A-9C04-7B1C90A2EF5A}">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A4A115BC-0FE5-40B0-812F-466CFA178D07}">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D055D1BA-14A9-4B81-AEF5-A0F6C7A5664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74DDD64F-83D6-4EAA-BC92-D7616C34875E}">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FFD6127E-5FAE-431D-BA2F-5B40798B0B07}">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3E08985E-769C-4B77-B1FA-2531B78EB09F}">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478CDD05-5346-4480-B9C5-CFACAD6093F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CC3FC7AA-98D7-47DC-A736-CAEDCDC908F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2C36D088-0D6C-46AA-A677-D8CA4F7B67F6}">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9D60F7D9-A3F8-4210-BED3-5249145DF2D2}">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4BF3EFB5-C1CD-49E6-9F5E-150BA5BB559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F575FE31-CFA6-4AF1-881A-C65F441D5F11}">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011B2BB5-E748-42C7-B788-629C486AD573}">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D9FC7CC6-9D7B-49D4-8797-10414850B8F7}">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6112E07B-25EF-4C6B-89FD-ABC5D8B0EDE1}">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16E2960E-7C63-44C6-89D4-403F6D942CA9}">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0F5B5BF7-D66B-4C64-AE6B-64E71556991E}">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44E5D34D-0898-40C6-B4E7-D14B92C260EE}">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77360FE4-DEA5-4081-9916-A3B422EC5406}">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47557C0A-112D-41FC-8A3D-3A32ABA04C94}">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792BD61B-BE54-4856-BB98-463D8CB3FBB4}">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E16CB73D-C978-476B-ADF0-1E9CEF474B2C}">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2EB6DFC5-C439-4662-90C1-6260515EB18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94D24277-F2C2-45BC-B84E-8915888AD80E}">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59EA58BF-8DCB-4A55-8427-2DFB0E475A5E}">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0EF47FD7-3114-4E83-B493-E90938B2E2BF}">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A099D0B9-0C8C-43E2-862D-E8C68143E25C}">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01AC1CCF-7E71-445C-BE7B-104DF8CA1C17}">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7806D170-7446-425D-8504-20E93D2EE593}">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027124B5-0CA0-47EA-9FB6-B5F5A525CB2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59C5D6F2-CAC9-4F86-95FA-168322C2C9E9}">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A42285FC-5F0D-40FA-827B-DF933287427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5BDEE35E-B4BB-408E-88CC-39D0B251C855}">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B15E3D02-A586-4032-BC52-3D21A41263F2}">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92862D50-AFE6-4B59-9427-BCC71074EE8D}">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78181CCE-FF7F-4B71-B5EE-B29A90687021}">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6EB86642-19B0-4050-B46B-9672482CB66A}">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288120DF-3AC1-41AA-9DEF-3C2D2EC4D714}">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D51AB5CD-DED7-4742-86AC-85294855C6D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66292324-AF40-446F-8DC7-9C460359A996}">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532D4F53-EB40-4D1B-9240-92EC492F7322}">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0C6D5873-909D-47F4-862E-A367D08787EF}">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AF7948AC-99B1-4752-9003-FEADB29CA244}">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7123C0AB-7C73-4F7A-A08C-5AC667D266F5}">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8B9BA427-05B6-41BF-83CB-43BF8F7D0D23}">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6E4EF642-17C2-4007-ABD3-295EB3A51684}">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C815A122-CBBF-448F-A454-DCF1A8BCA7EC}">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39B18A14-4A25-4BCB-BEE1-0AAEF3894D1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E4990E2A-5B74-4C0C-838B-12A9CF9CB3C9}">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8A715018-9045-41E3-9FD5-952DD221F379}">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EB85A555-F7BF-41D4-8D25-ABEE4E47993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60309DE7-82EC-4B9A-8580-B316195527F8}">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FD6AF1CD-7EBF-4E3E-A143-AEE3B6A3485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EB02AF8E-E545-4798-999A-F2571BCEAABB}">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F54F93FE-C75A-4B97-B31C-09B9C0D78394}">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1D56EEA2-984E-48A3-9DFA-841439537E5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15214503-7D38-4896-98FC-971DDE87A841}">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DFA9D262-2E88-4624-AE6D-C2F6A0F8FFEF}">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5BAAB017-460F-4ACE-9495-1BCC8BBD6B48}">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8571D2E3-B23F-412D-967E-7DF95CA40485}">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301C05DF-CAAC-4CDB-9848-70A9C03F9D4D}">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66EB7D54-A56D-47A8-ABDC-E5DA5C0866B9}">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262CCBDC-A1F1-40A1-8425-0DA24122607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76A1753C-7D21-4D1F-81DB-BF0751737AF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3BA28049-FC20-4203-A11B-9EAACCC4825C}">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4BA195BB-F04F-4984-BAB1-4888A2CDDAB1}">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C2B562F7-E274-48F2-9735-C48D1B42D06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CAB13929-F3BA-40BC-8DB5-BA6AB37A82E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80F0F60E-8F6C-4B43-8A65-E25499FD628A}">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F37D8895-B3BF-4940-A2FC-DFF7268E73A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42BDD68F-9598-48A6-B386-DEF52001762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83627DAD-B443-49CC-8DA4-5E423F94D481}">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3DA42FED-526F-4696-B69E-490BA989D4C8}">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C58C8CA8-144D-4B43-9FBB-038349766E3F}">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B12DE051-FC29-4D65-B0DB-B5DB36A01621}">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D5DAC947-B567-4E49-8F33-6D9F2F93536F}">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4BCD1790-C8E2-4DFA-986E-8157164AEF4E}">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F87C5951-FED3-420F-8D46-195253087EC2}">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4B507F33-8AF3-4906-98C1-F6900014578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D20043DC-0707-49A8-910E-7ADB66C5C79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37DB99B6-A510-4386-BE55-BD806EFEF02A}">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CA6446A2-079D-40A1-A8E8-2222992102F5}">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97F5EC47-F2D6-4AA0-B599-EC4658FD47FA}">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99AA64EF-3822-485C-B012-13887C91B1F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FCF7A8CC-961B-4A06-8056-4857662F142B}">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353E959A-5814-4C41-B37F-6E5E08F17943}">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E9D6CACA-555B-4D1B-BEA6-6941321E022D}">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DCFF1047-3AE9-4B7E-9E28-0D22924A4306}">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55F7035C-41D4-4F7E-BCD6-C67CB22C8D5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63A7B3B4-83D1-43B6-BC58-9CA3032ECEAC}">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86064005-B3D4-4467-8972-8019ED10E285}">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937CC85B-A056-4A97-9D88-8A2A9BBE1E8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CB9DEE6C-EAC9-4C7C-8811-4635CB8C7E96}">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A3688DAC-69C0-4F89-9C23-9EC0A83D2106}">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0A4FA2BC-B718-4F9D-BB2B-B36E34B14E63}">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A45D3870-60E7-4587-BC52-092E41A2CB59}">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DF9E2FCF-81F1-490A-A67A-B00D7255231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F11904FB-4A0A-43DE-9BDB-ED2D9B71B9A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793132D9-7A31-4622-8FA6-001662CBA0F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0.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626F0E34-A73F-4E30-A018-160BD902C9B2}">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F9C87D87-53D8-48CA-B9E0-A7AE49289FF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7A6127F5-6F67-433D-9D4E-2FFC850131A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1.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4877BBBE-E993-4FB9-A0D2-88684BD76A7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6E95636C-2249-4583-ABFA-180E93D49AFA}">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E740F6D5-FD61-4D38-8CB2-0D5A43A81A42}">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89508F53-48DE-454D-ABDC-88C6350FB3D4}">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17BB7252-5A50-4E62-8D1C-D1B2C69CB232}">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0593BBF5-2833-43C7-9AAA-7912D345FCC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276719F3-540C-4602-9AC4-CFD82420B8A7}">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2.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9690EAFA-512A-4DF0-8168-241D19557AF1}">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355A15DB-6923-4EE1-A706-5DEC91AA01DB}">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EC8F5DD7-524D-47C8-BBA2-E4EB72F49B79}">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3.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A3C56E0E-7162-4E30-852A-5217BE147819}">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A7F0C695-342E-42D9-B586-7FC7F6E6D22F}">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8A95F279-5AB4-49EB-9F5B-6D4515C93C96}">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10D71423-7B00-48D1-9B27-A2BD1F4F6538}">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1ABAA763-771F-480C-8BEF-009F0F59D89D}">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481D61F4-FDD0-4127-A3A1-435C4EEE9C35}">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374A3B15-70C2-4FA8-8238-BD3E4CBAA685}">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4.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FE605DD6-5F32-48FC-AE3B-78698046E6EC}">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0F56E957-DEC9-45E0-BDA9-40F2FFB9848B}">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B6365777-952D-4EE4-8431-C8D86101341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5.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08389927-43A9-49D1-8EDD-FFA7D811D8B8}">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04A41906-F051-4B0E-8B4C-3570271DD73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6A39DD73-8BF7-493E-B52F-E6414F64CEF0}">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6BA4FCF0-F7B8-4E03-8607-13FE558F1CFF}">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E730D27F-8390-4ACB-9363-BDE986665DF8}">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7C0E533B-9A19-452E-AF98-75AC288C9312}">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7D8BA2C2-E036-4D60-BF91-0C70C3DC0069}">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6.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1B36430E-203E-4892-A1D1-C3C011C81289}">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7E58275A-5218-40FC-9564-30CD15C1269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ADDF69DE-9A04-49B0-B896-02F9E8A57DCA}">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7.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F884B416-6567-4CEE-B8AF-C6BBA51AC1C4}">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5D6E9A02-4FE8-408B-AE61-4D0A48A2573B}">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09617C1E-2A77-4EB5-A42C-56EEFD4184F9}">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9AF621BB-A1AA-42A4-B1C4-A9EE05E8564C}">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DE48391B-C3A2-43A4-A1BC-03A04B050358}">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501F97BF-5466-4720-8B75-2F3F86BAB3BA}">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0E125094-1656-430E-BB0F-C89808F95EB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8.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92C1CE5F-EBFB-468C-B511-E61C7C1ECB43}">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4A62B0D2-3559-4E50-AD70-AEF72CA5DF30}">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087E62A4-13F2-4927-8D32-56CCA4C7D826}">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49.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3D323332-8E60-4B1F-9E96-37D515E4910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F1B69EB3-5242-4F15-9E31-A0C113A594EE}">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5EADAAF8-0744-411A-B1DE-12CE23DE9C1F}">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679BFBD0-8A23-4540-9662-8E0D65A74A37}">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1E3615FB-78C8-400A-89F2-7A7A63F12386}">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F5B76B6D-64EF-4B76-B95D-1999021F992D}">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BF038A02-20EF-4884-A80B-080922B71BA3}">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0.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7928C7B1-D64D-4D01-86D0-1BBF5805806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5B3B11AE-38AB-4331-98EA-74F253484F0C}">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177F7C2B-68FF-4E0E-AF57-8628E08333F5}">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1.xml><?xml version="1.0" encoding="utf-8"?>
<comments xmlns="http://schemas.openxmlformats.org/spreadsheetml/2006/main" xmlns:mc="http://schemas.openxmlformats.org/markup-compatibility/2006" xmlns:xr="http://schemas.microsoft.com/office/spreadsheetml/2014/revision" mc:Ignorable="xr">
  <authors>
    <author>tc={23A997AD-3755-4F70-AA65-A648CF658DEE}</author>
  </authors>
  <commentList>
    <comment ref="B82" authorId="0" shapeId="0" xr:uid="{23A997AD-3755-4F70-AA65-A648CF658DEE}">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If we did this we should just move to cooling towers.</t>
        </r>
      </text>
    </comment>
  </commentList>
</comments>
</file>

<file path=xl/comments52.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2C2C06D8-F35A-4F6C-8151-268AAE0B3E6D}">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EC7E1C14-FE0F-48E9-98CB-92E2B48C879B}">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CFFB1227-4ABE-4B0D-962D-8D52EFF87F71}">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B51CEBE0-81AB-4B31-B409-1DB0949DB33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064613DB-0777-4575-9583-0732FD63D60C}">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84E92D8A-B50C-4D97-BE68-7EE5F87D90AF}">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2D32DAD7-EA0B-42A3-AB62-3D11C296F6F1}">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3.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CAB2188F-4FCC-4C11-9607-5F2A67EE415F}">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20548AC3-5FEF-4522-835F-C092E6DE89C2}">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BEA8A89C-4A19-451D-8225-8457B9E99445}">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4.xml><?xml version="1.0" encoding="utf-8"?>
<comments xmlns="http://schemas.openxmlformats.org/spreadsheetml/2006/main" xmlns:mc="http://schemas.openxmlformats.org/markup-compatibility/2006" xmlns:xr="http://schemas.microsoft.com/office/spreadsheetml/2014/revision" mc:Ignorable="xr">
  <authors>
    <author>tc={63132491-A5AD-425C-B08A-D6719ED13586}</author>
    <author>tc={095F2C51-24CC-421E-8CBB-7602557EA3F4}</author>
  </authors>
  <commentList>
    <comment ref="D70" authorId="0" shapeId="0" xr:uid="{63132491-A5AD-425C-B08A-D6719ED13586}">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Scaled down to meet NABERS gas consumption</t>
        </r>
      </text>
    </comment>
    <comment ref="C79" authorId="1" shapeId="0" xr:uid="{095F2C51-24CC-421E-8CBB-7602557EA3F4}">
      <text>
        <r>
          <rPr>
            <sz val="10"/>
            <rFont val="Arial"/>
            <family val="2"/>
          </rPr>
          <t>[Threaded comment]
Your version of Excel allows you to read this threaded comment; however, any edits to it will get removed if the file is opened in a newer version of Excel. Learn more: https://go.microsoft.com/fwlink/?linkid=870924
Comment:
    Remove. Should be 0</t>
        </r>
      </text>
    </comment>
  </commentList>
</comments>
</file>

<file path=xl/comments55.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E0ECD84C-5A5D-4F7D-A1D0-662C27BB6565}">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25856326-079F-4663-90EF-C7C05E48346F}">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4501FE1F-9AE4-4BB5-8E28-6E4515DED271}">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CD908EA4-EDBA-41BD-9554-26B6ACD41F06}">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0ECF7040-E456-4E8A-98E7-6B478AF9A387}">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B143D1E2-F2F6-47E4-90E8-9DE756742061}">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3F7C5A89-6284-4644-B617-C0A9616D0D8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6.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C877FC4C-3877-4D57-AAA1-F7EDC8B0BD43}">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60AD1728-2AAA-4CF0-8093-F0A28C0D05C7}">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EC8F0042-FD52-465B-AF15-6A4A8EA9CE70}">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7.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9AC3F249-F1BA-4A3F-9D3A-F9EC64DC8735}">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459C7028-4593-434F-BB5D-66D3B9C6A0C2}">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97C94FB8-2D06-48BF-A764-C813D3490216}">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DEF57F1A-130F-4B48-8FDC-BC7620274A1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6A71E284-AD2D-4C02-91ED-4AFA373EAE0A}">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F2B09CD1-46C2-42CD-B8C4-4FB1EA0F823B}">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FF88588E-89F8-455E-84D1-30A0878B1164}">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8.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F97EE57D-E321-49A4-93B1-D53A3952C008}">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B1BB305D-641F-4648-AE09-F5C81F1F71B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DD26ED6D-D8BA-4CD6-8788-CC6B20DEDE3E}">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59.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13" authorId="0" shapeId="0" xr:uid="{F7534E5A-B028-4392-88BE-FBF1B918CBEB}">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14" authorId="0" shapeId="0" xr:uid="{2DD547DA-192D-4496-903F-596FBF553DF8}">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16" authorId="0" shapeId="0" xr:uid="{DCECBF69-C6A9-45BA-9341-739CAE5F1F1B}">
      <text>
        <r>
          <rPr>
            <b/>
            <sz val="9"/>
            <color indexed="81"/>
            <rFont val="Tahoma"/>
            <family val="2"/>
          </rPr>
          <t>Craig Roussac:</t>
        </r>
        <r>
          <rPr>
            <sz val="9"/>
            <color indexed="81"/>
            <rFont val="Tahoma"/>
            <family val="2"/>
          </rPr>
          <t xml:space="preserve">
Each outflow / expense must be negative.
Include all expenses for duration of asset's life.</t>
        </r>
      </text>
    </comment>
    <comment ref="A17" authorId="0" shapeId="0" xr:uid="{165F5FF1-2B8C-4A93-9BEB-0DD37CDE890F}">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 ref="A39" authorId="0" shapeId="0" xr:uid="{0860064B-A1FB-4374-9D41-3E11E3ED7DB0}">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43" authorId="0" shapeId="0" xr:uid="{46DA7197-69C6-49C9-9D56-13F8D350309E}">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53" authorId="0" shapeId="0" xr:uid="{A706788C-D73A-4793-88E2-6672EDF6D7CD}">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comments60.xml><?xml version="1.0" encoding="utf-8"?>
<comments xmlns="http://schemas.openxmlformats.org/spreadsheetml/2006/main" xmlns:mc="http://schemas.openxmlformats.org/markup-compatibility/2006" xmlns:xr="http://schemas.microsoft.com/office/spreadsheetml/2014/revision" mc:Ignorable="xr">
  <authors>
    <author>Craig Roussac</author>
  </authors>
  <commentList>
    <comment ref="A26" authorId="0" shapeId="0" xr:uid="{94AE845A-FBDC-4585-8E5B-91956A0758A2}">
      <text>
        <r>
          <rPr>
            <b/>
            <sz val="9"/>
            <color indexed="81"/>
            <rFont val="Tahoma"/>
            <family val="2"/>
          </rPr>
          <t>Craig Roussac:</t>
        </r>
        <r>
          <rPr>
            <sz val="9"/>
            <color indexed="81"/>
            <rFont val="Tahoma"/>
            <family val="2"/>
          </rPr>
          <t xml:space="preserve">
this is increases over and above current  forecast rent from spending CAPEX on this project</t>
        </r>
      </text>
    </comment>
    <comment ref="A27" authorId="0" shapeId="0" xr:uid="{2B1F4290-2C2B-4467-94FC-0204C78661CF}">
      <text>
        <r>
          <rPr>
            <b/>
            <sz val="9"/>
            <color indexed="81"/>
            <rFont val="Tahoma"/>
            <family val="2"/>
          </rPr>
          <t>Craig Roussac:</t>
        </r>
        <r>
          <rPr>
            <sz val="9"/>
            <color indexed="81"/>
            <rFont val="Tahoma"/>
            <family val="2"/>
          </rPr>
          <t xml:space="preserve">
Each inflow / saving must be positive.
Include all cash inflows and savings for duration of asset's life.</t>
        </r>
      </text>
    </comment>
    <comment ref="A29" authorId="0" shapeId="0" xr:uid="{C794A6EA-48E0-4EA0-B80A-58D1E73C6CCC}">
      <text>
        <r>
          <rPr>
            <b/>
            <sz val="9"/>
            <color indexed="81"/>
            <rFont val="Tahoma"/>
            <family val="2"/>
          </rPr>
          <t>Craig Roussac:</t>
        </r>
        <r>
          <rPr>
            <sz val="9"/>
            <color indexed="81"/>
            <rFont val="Tahoma"/>
            <family val="2"/>
          </rPr>
          <t xml:space="preserve">
Value may be positive or negative (eg if decommissioning and disposal costs are incurred) butbut occurs only once.</t>
        </r>
      </text>
    </comment>
  </commentList>
</comments>
</file>

<file path=xl/sharedStrings.xml><?xml version="1.0" encoding="utf-8"?>
<sst xmlns="http://schemas.openxmlformats.org/spreadsheetml/2006/main" count="15095" uniqueCount="962">
  <si>
    <t>Percentage</t>
  </si>
  <si>
    <t>Areas</t>
  </si>
  <si>
    <t>NABERS Roadmaps</t>
  </si>
  <si>
    <t>Electrification Plan</t>
  </si>
  <si>
    <t>Renewable Energy</t>
  </si>
  <si>
    <t>Tenant Electricity Data</t>
  </si>
  <si>
    <t>State</t>
  </si>
  <si>
    <t>Asset</t>
  </si>
  <si>
    <t>Electr. Contract</t>
  </si>
  <si>
    <t>NLA</t>
  </si>
  <si>
    <t>ICPF</t>
  </si>
  <si>
    <t>IGO</t>
  </si>
  <si>
    <t>IOM</t>
  </si>
  <si>
    <t>Emissions/m2</t>
  </si>
  <si>
    <t>kWh/m2</t>
  </si>
  <si>
    <t>ESG Roadmap</t>
  </si>
  <si>
    <t>% complete</t>
  </si>
  <si>
    <t>ESG Roadmap Comments</t>
  </si>
  <si>
    <t>Complete</t>
  </si>
  <si>
    <t>New/Strategic</t>
  </si>
  <si>
    <t>Underway</t>
  </si>
  <si>
    <t>Annual gas consumption</t>
  </si>
  <si>
    <t>Electrification comments</t>
  </si>
  <si>
    <t>Electricity agreement</t>
  </si>
  <si>
    <t>Renewable MWh</t>
  </si>
  <si>
    <t>Annual MWh</t>
  </si>
  <si>
    <t>Method for Tenant Electricity Data</t>
  </si>
  <si>
    <t>% auto collected</t>
  </si>
  <si>
    <t>% collected manually</t>
  </si>
  <si>
    <t>Combined tenant data</t>
  </si>
  <si>
    <t>NSW2</t>
  </si>
  <si>
    <t>1 Market Street</t>
  </si>
  <si>
    <t>Yes</t>
  </si>
  <si>
    <t>=</t>
  </si>
  <si>
    <t>100% renewable</t>
  </si>
  <si>
    <t>Gate metering of MDB</t>
  </si>
  <si>
    <t>None</t>
  </si>
  <si>
    <t>VIC2</t>
  </si>
  <si>
    <t>120 Collins Street</t>
  </si>
  <si>
    <t>Expected completion March 2023</t>
  </si>
  <si>
    <t>TBA</t>
  </si>
  <si>
    <t>Black</t>
  </si>
  <si>
    <t>126 Phillip Street</t>
  </si>
  <si>
    <t>117 Clarence Street</t>
  </si>
  <si>
    <t>Strategic</t>
  </si>
  <si>
    <t>Slated for divestment 2023-2024</t>
  </si>
  <si>
    <t>135 King Street</t>
  </si>
  <si>
    <t>201 Kent Street</t>
  </si>
  <si>
    <t>QLD2</t>
  </si>
  <si>
    <t>259 Queen Street</t>
  </si>
  <si>
    <t>Expected completion Feb 2023</t>
  </si>
  <si>
    <t>N/A</t>
  </si>
  <si>
    <t>40 Mount Street</t>
  </si>
  <si>
    <t>Tenant specific sub-metering</t>
  </si>
  <si>
    <t>420 George Street</t>
  </si>
  <si>
    <t>567 Collins Street</t>
  </si>
  <si>
    <t>60 Martin Place</t>
  </si>
  <si>
    <t>New</t>
  </si>
  <si>
    <t>New building. Electrification plan only</t>
  </si>
  <si>
    <t>No</t>
  </si>
  <si>
    <t>522 Flinders Lane</t>
  </si>
  <si>
    <t>Carpark - N/A</t>
  </si>
  <si>
    <t>Not required</t>
  </si>
  <si>
    <t>WA2</t>
  </si>
  <si>
    <t>QV1</t>
  </si>
  <si>
    <t>Expected completion June 2023</t>
  </si>
  <si>
    <t>NSW3</t>
  </si>
  <si>
    <t>6 O'Connell Street</t>
  </si>
  <si>
    <t>TBA?</t>
  </si>
  <si>
    <t>strategics</t>
  </si>
  <si>
    <t>By area:</t>
  </si>
  <si>
    <t>Not Applicable</t>
  </si>
  <si>
    <t>Complete or underway</t>
  </si>
  <si>
    <t>now</t>
  </si>
  <si>
    <t>New Total</t>
  </si>
  <si>
    <t>Total</t>
  </si>
  <si>
    <t>for iom-managed only, by area:</t>
  </si>
  <si>
    <t>done</t>
  </si>
  <si>
    <t>Not complete</t>
  </si>
  <si>
    <t>n/a</t>
  </si>
  <si>
    <t>underway</t>
  </si>
  <si>
    <t>% of fund</t>
  </si>
  <si>
    <t>not complete</t>
  </si>
  <si>
    <t>100% Renewable</t>
  </si>
  <si>
    <t>TOTAL</t>
  </si>
  <si>
    <t>rf 18/04/2023</t>
  </si>
  <si>
    <t>Including 'NA' sites</t>
  </si>
  <si>
    <t>Excluding 'NA' sites</t>
  </si>
  <si>
    <t>Carbon Roadmaps</t>
  </si>
  <si>
    <t>ICPF Investa managed</t>
  </si>
  <si>
    <t>By property:</t>
  </si>
  <si>
    <t>Forecast for FY30</t>
  </si>
  <si>
    <t>347 Kent Street</t>
  </si>
  <si>
    <t>151 Clarence Street</t>
  </si>
  <si>
    <t>Boiler replacement 2034</t>
  </si>
  <si>
    <t>388 George Street</t>
  </si>
  <si>
    <t>Brookfield preparing roadmap</t>
  </si>
  <si>
    <t xml:space="preserve"> </t>
  </si>
  <si>
    <t>PropertyCode</t>
  </si>
  <si>
    <t>PropertyName</t>
  </si>
  <si>
    <t>PropertyAddr1</t>
  </si>
  <si>
    <t>PropertyCity</t>
  </si>
  <si>
    <t>PropertyState</t>
  </si>
  <si>
    <t>PostCode</t>
  </si>
  <si>
    <t>ManagementStatus</t>
  </si>
  <si>
    <t>PCALocation</t>
  </si>
  <si>
    <t>TotalPropertyNLA</t>
  </si>
  <si>
    <t>OccupiedNLA</t>
  </si>
  <si>
    <t>PropertyNLAWithoutRetail</t>
  </si>
  <si>
    <t>Occupancy</t>
  </si>
  <si>
    <t>NumberOfCompanies</t>
  </si>
  <si>
    <t>NumberOfFloors</t>
  </si>
  <si>
    <t>NumberOfCarSpaces</t>
  </si>
  <si>
    <t>PropertyType</t>
  </si>
  <si>
    <t>FY22 elec cost ($/MWh)</t>
  </si>
  <si>
    <t xml:space="preserve">p2001   </t>
  </si>
  <si>
    <t>1  Market Street</t>
  </si>
  <si>
    <t>Sydney</t>
  </si>
  <si>
    <t>NSW</t>
  </si>
  <si>
    <t>Internally Managed</t>
  </si>
  <si>
    <t>Sydney CBD</t>
  </si>
  <si>
    <t>Office</t>
  </si>
  <si>
    <t xml:space="preserve">p2060   </t>
  </si>
  <si>
    <t>105 Miller Street</t>
  </si>
  <si>
    <t>105-151 Miller Street</t>
  </si>
  <si>
    <t>North Sydney</t>
  </si>
  <si>
    <t xml:space="preserve">p2053   </t>
  </si>
  <si>
    <t xml:space="preserve">p3001   </t>
  </si>
  <si>
    <t>Melbourne</t>
  </si>
  <si>
    <t>VIC</t>
  </si>
  <si>
    <t>Melbourne CBD</t>
  </si>
  <si>
    <t xml:space="preserve">p2006   </t>
  </si>
  <si>
    <t xml:space="preserve">p2052   </t>
  </si>
  <si>
    <t>130 Pitt Street</t>
  </si>
  <si>
    <t xml:space="preserve">p2032   </t>
  </si>
  <si>
    <t xml:space="preserve">p2051   </t>
  </si>
  <si>
    <t xml:space="preserve">p2050   </t>
  </si>
  <si>
    <t>20 bridge Street</t>
  </si>
  <si>
    <t xml:space="preserve">p2028   </t>
  </si>
  <si>
    <t xml:space="preserve">p2602   </t>
  </si>
  <si>
    <t>220 London Circuit</t>
  </si>
  <si>
    <t>Canberra</t>
  </si>
  <si>
    <t>ACT</t>
  </si>
  <si>
    <t>Externally Managed</t>
  </si>
  <si>
    <t xml:space="preserve">p6004   </t>
  </si>
  <si>
    <t>250 St George's Terrace</t>
  </si>
  <si>
    <t>Perth</t>
  </si>
  <si>
    <t>WA</t>
  </si>
  <si>
    <t xml:space="preserve">p4013   </t>
  </si>
  <si>
    <t>Brisbane</t>
  </si>
  <si>
    <t>QLD</t>
  </si>
  <si>
    <t>Brisbane CBD</t>
  </si>
  <si>
    <t xml:space="preserve">p2067   </t>
  </si>
  <si>
    <t xml:space="preserve">p2019   </t>
  </si>
  <si>
    <t xml:space="preserve">p2056   </t>
  </si>
  <si>
    <t xml:space="preserve">p2047   </t>
  </si>
  <si>
    <t xml:space="preserve">p3015   </t>
  </si>
  <si>
    <t xml:space="preserve">522 Flinders Lane </t>
  </si>
  <si>
    <t xml:space="preserve">p3008   </t>
  </si>
  <si>
    <t xml:space="preserve">567 Collins Street </t>
  </si>
  <si>
    <t xml:space="preserve">p3013   </t>
  </si>
  <si>
    <t>575 Bourke Street</t>
  </si>
  <si>
    <t xml:space="preserve">p2059   </t>
  </si>
  <si>
    <t xml:space="preserve">p2049   </t>
  </si>
  <si>
    <t xml:space="preserve">60 Martin Place </t>
  </si>
  <si>
    <t xml:space="preserve">p3014   </t>
  </si>
  <si>
    <t>850 Collins Street</t>
  </si>
  <si>
    <t xml:space="preserve">p4021   </t>
  </si>
  <si>
    <t>179 Turbot Street</t>
  </si>
  <si>
    <t>151 Clarence Street, Sydney</t>
  </si>
  <si>
    <t>20 Bridge Street</t>
  </si>
  <si>
    <t>Fully electric already</t>
  </si>
  <si>
    <t>Complete or not required</t>
  </si>
  <si>
    <t>Not Complete</t>
  </si>
  <si>
    <t>Annual gas consumption (GJ)</t>
  </si>
  <si>
    <t>Last Electrification Date</t>
  </si>
  <si>
    <t>not applicable</t>
  </si>
  <si>
    <t>Pricing received. Approval to complete CY23</t>
  </si>
  <si>
    <t>ACT2</t>
  </si>
  <si>
    <t>Still being completed</t>
  </si>
  <si>
    <t>Net zero pathway yet proposed</t>
  </si>
  <si>
    <t>220 London Cct</t>
  </si>
  <si>
    <t>Fully Already electric</t>
  </si>
  <si>
    <t>Plan completed</t>
  </si>
  <si>
    <t>Plan underway</t>
  </si>
  <si>
    <t>Not yet complete</t>
  </si>
  <si>
    <t>Intensity Summary</t>
  </si>
  <si>
    <t>Electricity Consumption Intensity (kWh/m2)</t>
  </si>
  <si>
    <t>BASE</t>
  </si>
  <si>
    <t>CURRENT</t>
  </si>
  <si>
    <t>FY25</t>
  </si>
  <si>
    <t>FY26</t>
  </si>
  <si>
    <t>FY27</t>
  </si>
  <si>
    <t>FY28</t>
  </si>
  <si>
    <t>FY29</t>
  </si>
  <si>
    <t>FY30</t>
  </si>
  <si>
    <t>FY31</t>
  </si>
  <si>
    <t>FY32</t>
  </si>
  <si>
    <t>FY33</t>
  </si>
  <si>
    <t>FY34</t>
  </si>
  <si>
    <t>Savings</t>
  </si>
  <si>
    <t>Gas Consumption Intensity (MJ/m2)</t>
  </si>
  <si>
    <t>Cost of offsets</t>
  </si>
  <si>
    <t>Emissions Projections (kg.CO2/m2)</t>
  </si>
  <si>
    <t>NABERS Energy</t>
  </si>
  <si>
    <t>Weighted Average</t>
  </si>
  <si>
    <t>Electricity Projections (MWh)</t>
  </si>
  <si>
    <t>using FY22 data</t>
  </si>
  <si>
    <t>Gas Projections (GJ)</t>
  </si>
  <si>
    <t>TOTAL Emissions Projections (t.CO2-e)</t>
  </si>
  <si>
    <t>Cost of gas offsets:</t>
  </si>
  <si>
    <t>Electricity Emissions Projections (t.CO2-e)</t>
  </si>
  <si>
    <t>Gas Emissions Projections (t.CO2-e)</t>
  </si>
  <si>
    <t>Renewable energy</t>
  </si>
  <si>
    <t>Priority</t>
  </si>
  <si>
    <t>Weighted average</t>
  </si>
  <si>
    <t>Fund Weighted Average NABERS Performance</t>
  </si>
  <si>
    <t>Gas Offset Costs</t>
  </si>
  <si>
    <t>Scope 3 emissions for Climate Active purposes</t>
  </si>
  <si>
    <t>Electricity Efficiency Savings (t.CO2-e)</t>
  </si>
  <si>
    <t>NSW^</t>
  </si>
  <si>
    <t>VIC^</t>
  </si>
  <si>
    <t>QLD^</t>
  </si>
  <si>
    <t>WA^</t>
  </si>
  <si>
    <t>ACT^</t>
  </si>
  <si>
    <t>Gas Efficiency Savings - t.CO2-e</t>
  </si>
  <si>
    <t>Renewable Energy Savings (Savings based upon variance between Renewable elec and Grid elec)*Remaining elec consumption</t>
  </si>
  <si>
    <t>FUCKED!</t>
  </si>
  <si>
    <t>VIC1</t>
  </si>
  <si>
    <t>Electricity Costs ($) factoring in  Energy Efficiency</t>
  </si>
  <si>
    <t>Assumed inflation</t>
  </si>
  <si>
    <t>10 Yr TOTAL</t>
  </si>
  <si>
    <t>NSW1</t>
  </si>
  <si>
    <t>Gas Costs ($) factoring in electrification</t>
  </si>
  <si>
    <t>Capital Expenditure projections</t>
  </si>
  <si>
    <t>Improvement</t>
  </si>
  <si>
    <t>weighted average</t>
  </si>
  <si>
    <t>Offset Costs (Gas) - with electrification</t>
  </si>
  <si>
    <t>Electricity Costs ($) without energy efficiency</t>
  </si>
  <si>
    <t>Gas Costs ($) factoring no electrification</t>
  </si>
  <si>
    <t>1 Market Street_Sydney_NSW</t>
  </si>
  <si>
    <t>120 Collins Street_Melbourne_VIC</t>
  </si>
  <si>
    <t>126 Phillip Street_Sydney_NSW</t>
  </si>
  <si>
    <t>117 Clarence Street_Sydney_NSW</t>
  </si>
  <si>
    <t>135 King Street_Sydney_NSW</t>
  </si>
  <si>
    <t>201 Kent Street_Sydney_NSW</t>
  </si>
  <si>
    <t>259 Queen Street_Brisbane_QLD</t>
  </si>
  <si>
    <t>347 Kent Street_Sydney_NSW</t>
  </si>
  <si>
    <t>40 Mount Street_North Sydney_NSW</t>
  </si>
  <si>
    <t>420 George Street_Sydney_NSW</t>
  </si>
  <si>
    <t>567 Collins Street_Melbourne_VIC</t>
  </si>
  <si>
    <t>60 Martin Place_Sydney_NSW</t>
  </si>
  <si>
    <t>151 Clarence Street_Sydney_NSW</t>
  </si>
  <si>
    <t>524 Flinders Lane_Melbourne_VIC</t>
  </si>
  <si>
    <t>20 Bridge Street_Sydney_NSW</t>
  </si>
  <si>
    <t>179 Turbot Street_Brisbane_QLD</t>
  </si>
  <si>
    <t>105-151 Miller Street_North Sydney_NSW</t>
  </si>
  <si>
    <t>250 St Georges Terrace_Perth_WA</t>
  </si>
  <si>
    <t>388 George Street_Sydney_NSW</t>
  </si>
  <si>
    <t>130 Pitt Street_Sydney_NSW</t>
  </si>
  <si>
    <t>575 Bourke Street_Melbourne_VIC</t>
  </si>
  <si>
    <t>850 Collins Street_Docklands_VIC</t>
  </si>
  <si>
    <t>6_O Connell Street_Sydney_NSW</t>
  </si>
  <si>
    <t>Scope 3 emissions for Climate Active purposes - Offset costs</t>
  </si>
  <si>
    <t>Offset Costs (Gas) - no electrification</t>
  </si>
  <si>
    <t>Electricity</t>
  </si>
  <si>
    <t>Location</t>
  </si>
  <si>
    <t xml:space="preserve"> $-   </t>
  </si>
  <si>
    <t>220 London Circuit_ACT</t>
  </si>
  <si>
    <t>FY20</t>
  </si>
  <si>
    <t>FY21</t>
  </si>
  <si>
    <t>FY22</t>
  </si>
  <si>
    <t>FY23</t>
  </si>
  <si>
    <t>CY19</t>
  </si>
  <si>
    <t xml:space="preserve"> -   </t>
  </si>
  <si>
    <t>kWh</t>
  </si>
  <si>
    <t>$/kWh</t>
  </si>
  <si>
    <t>$/MWh</t>
  </si>
  <si>
    <t>FY20 Cost/GJ</t>
  </si>
  <si>
    <t>FY21 Cost/GJ</t>
  </si>
  <si>
    <t>FY22 Cost/GJ</t>
  </si>
  <si>
    <t>Emissions coefficients - Electricity (kgCO2-e/kWh)</t>
  </si>
  <si>
    <t>Scope</t>
  </si>
  <si>
    <t>Emissions coefficients - Gas (kg.CO2-e/GJ)</t>
  </si>
  <si>
    <t>Scope 1</t>
  </si>
  <si>
    <t>Gas</t>
  </si>
  <si>
    <t>Emissions factors by state (tCO2-e/MWh)</t>
  </si>
  <si>
    <t>FY24</t>
  </si>
  <si>
    <t>Offset costs:</t>
  </si>
  <si>
    <t>All States</t>
  </si>
  <si>
    <t>ACCUs</t>
  </si>
  <si>
    <t>Electricity charge escalation</t>
  </si>
  <si>
    <t>Electricity Costs (including distribution charges)</t>
  </si>
  <si>
    <t>Address</t>
  </si>
  <si>
    <t>Gas charge escalation</t>
  </si>
  <si>
    <t>Gas Costs ($/GJ)</t>
  </si>
  <si>
    <t>NABERS Benchmark Assumptions</t>
  </si>
  <si>
    <t>NABERS Energy Conversions - 6.0 Star ratios</t>
  </si>
  <si>
    <t>Gas D.</t>
  </si>
  <si>
    <t>Gas f^</t>
  </si>
  <si>
    <t>Overlay D.</t>
  </si>
  <si>
    <t>Energy and Carbon Roadmap</t>
  </si>
  <si>
    <t>Asset Qualifier</t>
  </si>
  <si>
    <t>Energy Consumption</t>
  </si>
  <si>
    <t>Emission Source</t>
  </si>
  <si>
    <t>SOURCE</t>
  </si>
  <si>
    <t>UNIT COST</t>
  </si>
  <si>
    <t>Units</t>
  </si>
  <si>
    <t>Reduction</t>
  </si>
  <si>
    <t>Electricity Consumption</t>
  </si>
  <si>
    <t>Renewables</t>
  </si>
  <si>
    <t>MWh</t>
  </si>
  <si>
    <t>Annual Electricity Savings</t>
  </si>
  <si>
    <t>Gas Consumption</t>
  </si>
  <si>
    <t>GJ</t>
  </si>
  <si>
    <t>Annual Gas Savings</t>
  </si>
  <si>
    <t>Emissions profile</t>
  </si>
  <si>
    <t>Electricity - Renewable</t>
  </si>
  <si>
    <t>Scope 2</t>
  </si>
  <si>
    <t>Scope 3</t>
  </si>
  <si>
    <t>Water, waste and Utility scope 3</t>
  </si>
  <si>
    <t>t.CO2-e</t>
  </si>
  <si>
    <t>kg.CO2-e/m2</t>
  </si>
  <si>
    <t>Net Zero Contribution</t>
  </si>
  <si>
    <t>Capital</t>
  </si>
  <si>
    <t>Energy Efficiency</t>
  </si>
  <si>
    <t>Renewable Electricity</t>
  </si>
  <si>
    <t>Gas Offsets</t>
  </si>
  <si>
    <t>Electrification</t>
  </si>
  <si>
    <t>Scope 3 Offsets</t>
  </si>
  <si>
    <t>Grid Electricity</t>
  </si>
  <si>
    <t>Energy and Carbon Costs</t>
  </si>
  <si>
    <t>BASELINE - Do nothing scenario</t>
  </si>
  <si>
    <t xml:space="preserve">  </t>
  </si>
  <si>
    <t>Electricity Consumption costs - do nothing scenario</t>
  </si>
  <si>
    <t>Gas Consumption costs- do nothing scenario</t>
  </si>
  <si>
    <t>Gas Offset Costs - ACCUs (Climate Active)</t>
  </si>
  <si>
    <t>Scope 3 offsets</t>
  </si>
  <si>
    <t>TOTAL COSTS</t>
  </si>
  <si>
    <t>Total Cost ($)</t>
  </si>
  <si>
    <t>Cost/m2</t>
  </si>
  <si>
    <t>ENERGY AND CARBON ROADMAP - Implement NABERS Roadmap projects scenario</t>
  </si>
  <si>
    <t>Electricity Consumption Costs</t>
  </si>
  <si>
    <t>Gas Consumption costs</t>
  </si>
  <si>
    <t>TOTAL Savings</t>
  </si>
  <si>
    <t>CAPITAL COSTS - NABERS Roadmap</t>
  </si>
  <si>
    <t>All Identified Projects</t>
  </si>
  <si>
    <t>TOTAL COSTS ($)</t>
  </si>
  <si>
    <t>TOTAL SAVINGS ($)</t>
  </si>
  <si>
    <t>NABERS Roadmap</t>
  </si>
  <si>
    <t>NABERS Performance</t>
  </si>
  <si>
    <t>Notes and Summary Outcomes</t>
  </si>
  <si>
    <t>CURRENT RATING INFORMATION</t>
  </si>
  <si>
    <t>p2001</t>
  </si>
  <si>
    <t>ENERGY EFFICIENCY PLAN</t>
  </si>
  <si>
    <t>ELECTRIFICATION PLAN</t>
  </si>
  <si>
    <t>TENANT METERING</t>
  </si>
  <si>
    <t>Last rating date</t>
  </si>
  <si>
    <t>Status</t>
  </si>
  <si>
    <t xml:space="preserve">Total Cost* </t>
  </si>
  <si>
    <t>Total Cost*</t>
  </si>
  <si>
    <t>Collection process</t>
  </si>
  <si>
    <t>manually collected</t>
  </si>
  <si>
    <t>NABERS Rating Type (Base/Whole)</t>
  </si>
  <si>
    <t>Base</t>
  </si>
  <si>
    <t>2023 DATA</t>
  </si>
  <si>
    <t>Annual Savings</t>
  </si>
  <si>
    <t>Progress by FY32</t>
  </si>
  <si>
    <t>NLA covered</t>
  </si>
  <si>
    <t>Postcode</t>
  </si>
  <si>
    <t>Est IRR</t>
  </si>
  <si>
    <t>Est. 100% completion</t>
  </si>
  <si>
    <t>Cost for automation</t>
  </si>
  <si>
    <t>Rated Area</t>
  </si>
  <si>
    <t>NABERS Improvement</t>
  </si>
  <si>
    <t>ETA 100% coverage</t>
  </si>
  <si>
    <t>Rated Hours</t>
  </si>
  <si>
    <t>FY32 NABERS</t>
  </si>
  <si>
    <t>Tenant spec. data</t>
  </si>
  <si>
    <t>Electricity Consumption (MWh)</t>
  </si>
  <si>
    <t>FY33 NABERS^</t>
  </si>
  <si>
    <t>* Where projects deliver both Efficiency and Electrification benefits, Total Costs are split evenly between categories</t>
  </si>
  <si>
    <t>Gas Consumption (GJ)</t>
  </si>
  <si>
    <t>Total Electricity Reduction</t>
  </si>
  <si>
    <t>^ includes projects implemented in FY32</t>
  </si>
  <si>
    <t>NABERS Benchmark Factor</t>
  </si>
  <si>
    <t>Total Gas Reduction</t>
  </si>
  <si>
    <t>Current NABERS Energy Rating:</t>
  </si>
  <si>
    <t>Stars</t>
  </si>
  <si>
    <t>Identified Projects</t>
  </si>
  <si>
    <t>Project Classifications</t>
  </si>
  <si>
    <t>Job Number</t>
  </si>
  <si>
    <t>Job Description</t>
  </si>
  <si>
    <t>Predicted Reduction (MWh)</t>
  </si>
  <si>
    <t>Predicted Reduction (GJ)</t>
  </si>
  <si>
    <t>Estimated completion date</t>
  </si>
  <si>
    <t>Total Expected Cost ($)</t>
  </si>
  <si>
    <t>Efficiency</t>
  </si>
  <si>
    <t>Tenant Metering</t>
  </si>
  <si>
    <t>NABERS</t>
  </si>
  <si>
    <t>Opex</t>
  </si>
  <si>
    <t>Life-cycle</t>
  </si>
  <si>
    <t>Technology</t>
  </si>
  <si>
    <t>IO-11898</t>
  </si>
  <si>
    <t>Upgrade carpark lighting to LED + PIR control</t>
  </si>
  <si>
    <t>NEW</t>
  </si>
  <si>
    <t>Add gate metering to unmetered rise</t>
  </si>
  <si>
    <t>IO-11899</t>
  </si>
  <si>
    <t>Bueno - Add sub-metering Add further HLI points and algorithms</t>
  </si>
  <si>
    <t>IO-11907</t>
  </si>
  <si>
    <t>Rehash VAV target flow rates and recalibrate VAVs</t>
  </si>
  <si>
    <t>Upgrade EDH controls to SSR replace pitots to coincide with BMS upgrade</t>
  </si>
  <si>
    <t>Replace pitots to coincide with BMS upgrade</t>
  </si>
  <si>
    <t>Upgrade BMS, Replace AHUs CHW/HW valves, new VAV I/O controllers, new F/O backbone</t>
  </si>
  <si>
    <t>IO-11361</t>
  </si>
  <si>
    <t>Replace CH-3 with 4 pipe heat recovery heat pump chiller</t>
  </si>
  <si>
    <t>IO-11360</t>
  </si>
  <si>
    <t>Refurbish cooling towers</t>
  </si>
  <si>
    <t>IO-11360/1</t>
  </si>
  <si>
    <t>Replace TCW pumps with more efficient</t>
  </si>
  <si>
    <t>Decouple HW pumping system to allow heat pump to take over past morning warm up</t>
  </si>
  <si>
    <t>Upgrade HLI and or VSD interfaces to analytics algorithms</t>
  </si>
  <si>
    <t>Refurbishment Scope Change only</t>
  </si>
  <si>
    <t>Replace AHUs with flat pack units, new dampers on floor by floor basis. 
On floor air handling: retain AHU's replace VAVs and redesign to include swirl diffusers
Replace DHW with unitary el. Units</t>
  </si>
  <si>
    <t>Replace CH1 and CH2 with new chiller plant with consideration to heat pumps for heating</t>
  </si>
  <si>
    <t>MWh saved in FY13</t>
  </si>
  <si>
    <t>Current Rating:</t>
  </si>
  <si>
    <t>NSW 
(2000)</t>
  </si>
  <si>
    <t>VIC 
(3000)</t>
  </si>
  <si>
    <t>QLD 
(4000)</t>
  </si>
  <si>
    <t>SA 
(5000)</t>
  </si>
  <si>
    <t>WA 
(6000)</t>
  </si>
  <si>
    <t>Intensity</t>
  </si>
  <si>
    <t>Unit</t>
  </si>
  <si>
    <t>base + diff</t>
  </si>
  <si>
    <t>Whole Building</t>
  </si>
  <si>
    <t>kg/m2</t>
  </si>
  <si>
    <t>PLEASE DO NOT CHANGE ANYTHING IN THE CELLS IN THIS SECTION OF THE CALCULATOR</t>
  </si>
  <si>
    <t>Elec (kg/MWh)</t>
  </si>
  <si>
    <t>Gas (kG/GJ)</t>
  </si>
  <si>
    <t>Base Building</t>
  </si>
  <si>
    <t>Economy Cycle</t>
  </si>
  <si>
    <t>Identified only</t>
  </si>
  <si>
    <t>All</t>
  </si>
  <si>
    <t>NLA:</t>
  </si>
  <si>
    <t>m2</t>
  </si>
  <si>
    <t>Cost/MWh</t>
  </si>
  <si>
    <t>El - converter</t>
  </si>
  <si>
    <t>BMS</t>
  </si>
  <si>
    <t>Business case written</t>
  </si>
  <si>
    <t>Summer</t>
  </si>
  <si>
    <t>Current ABGR rating (w'out GP):</t>
  </si>
  <si>
    <t>stars</t>
  </si>
  <si>
    <t>t.CO2</t>
  </si>
  <si>
    <t>Gas - converter</t>
  </si>
  <si>
    <t>HVAC</t>
  </si>
  <si>
    <t>Approved to implement</t>
  </si>
  <si>
    <t>Winter</t>
  </si>
  <si>
    <t>ABGR Electricity intensity:</t>
  </si>
  <si>
    <t>Electrical emissions</t>
  </si>
  <si>
    <t>SA</t>
  </si>
  <si>
    <t>Chillers</t>
  </si>
  <si>
    <t>Rejected, do not persue</t>
  </si>
  <si>
    <t>Shoulder</t>
  </si>
  <si>
    <t>Current NABERS Water rating:</t>
  </si>
  <si>
    <t>Gas emissions</t>
  </si>
  <si>
    <t>VSDs</t>
  </si>
  <si>
    <t>Rejected but reconsider</t>
  </si>
  <si>
    <t>Energy performance tracking</t>
  </si>
  <si>
    <t>Consumption</t>
  </si>
  <si>
    <t>Lighting replacement and controls</t>
  </si>
  <si>
    <t>Current Electricity Consumption:</t>
  </si>
  <si>
    <t>Average Electricity Price ($/kWh):</t>
  </si>
  <si>
    <t>Condensor water loop</t>
  </si>
  <si>
    <t>Current Gas Consumption</t>
  </si>
  <si>
    <t>CO/CO2 sensors</t>
  </si>
  <si>
    <t>ABGR Gas Intensity</t>
  </si>
  <si>
    <t>Rating benefit calulator</t>
  </si>
  <si>
    <t>Submetering</t>
  </si>
  <si>
    <t>Cooling Tower</t>
  </si>
  <si>
    <t>Payback</t>
  </si>
  <si>
    <t>+ stars</t>
  </si>
  <si>
    <t>full year saving for business case</t>
  </si>
  <si>
    <t>capex</t>
  </si>
  <si>
    <t>opex</t>
  </si>
  <si>
    <t xml:space="preserve">Lift </t>
  </si>
  <si>
    <t>Current</t>
  </si>
  <si>
    <t>Hot Water</t>
  </si>
  <si>
    <t>(to invert)</t>
  </si>
  <si>
    <t>Other</t>
  </si>
  <si>
    <t>Electricity savings</t>
  </si>
  <si>
    <t>FY Performance</t>
  </si>
  <si>
    <t>Star Rating</t>
  </si>
  <si>
    <t>Gas Savings</t>
  </si>
  <si>
    <t>Property</t>
  </si>
  <si>
    <t>p3001</t>
  </si>
  <si>
    <t>MRI_P3001_ADDITIONAL ELECTRICAL SUB-METERS</t>
  </si>
  <si>
    <t>ADDITIONAL ELECTRICAL SUB-METERS</t>
  </si>
  <si>
    <t>MRI_P3001_B2 GENERATOR HEX</t>
  </si>
  <si>
    <t>B2 GENERATOR HEX</t>
  </si>
  <si>
    <t>MRI_P3001_BOILER REPLACEMENT 5-1</t>
  </si>
  <si>
    <t>BOILER REPLACEMENT 5-1</t>
  </si>
  <si>
    <t>MRI_P3001_BOILER REPLACEMENT 51-1</t>
  </si>
  <si>
    <t>BOILER REPLACEMENT 51-1</t>
  </si>
  <si>
    <t>MRI_P3001_ENERGY VALVE TO CCW COILS IN AHUS</t>
  </si>
  <si>
    <t>ENERGY VALVE TO CCW COILS IN AHUS</t>
  </si>
  <si>
    <t>MRI_P3001_LEVEL 52 CHW/CCW HEX</t>
  </si>
  <si>
    <t>MRI_P3001_NEW POWER FACTOR CORRECTION UNIT</t>
  </si>
  <si>
    <t>p2006</t>
  </si>
  <si>
    <t xml:space="preserve">MRI_P2006_CHILLER REPLACEMENT </t>
  </si>
  <si>
    <t>Replace entire chiller boiler + boiler plant with: 2x h/eff HFO w/cooled chillers (2x 1.8 MW); 1x heat recovery 4-pipe heat pump (0.9 MW); 1x r/cycle remote condenser heat pump (0.9 MW); new pumps; add high-temp CHW HEX</t>
  </si>
  <si>
    <t>MRI_P2006_COOLING TOWERS</t>
  </si>
  <si>
    <t>refurbish towers, remove 1x, adjust placement &amp; pipe to create room for h/pumps; new pumps</t>
  </si>
  <si>
    <t>MRI_P2006_BOILERS</t>
  </si>
  <si>
    <t>Boiler - replace with unitary el.units</t>
  </si>
  <si>
    <t>Upgrade mechanical switchboards to accommodate all changes</t>
  </si>
  <si>
    <t>BMS - modify for new cooling / heating plant;
on floor costs incl. above;</t>
  </si>
  <si>
    <t>Adjust metering for new plant</t>
  </si>
  <si>
    <t>IO-14267</t>
  </si>
  <si>
    <t>Upgrade lighting to loading dock</t>
  </si>
  <si>
    <t>MRI_P2006_INSTALL CO2 CONTROLS FOR AHU'S</t>
  </si>
  <si>
    <t>Install CO2 controllers for AHUs</t>
  </si>
  <si>
    <t>MRI_P2006_INSTALL HEAT EXCHANGERS</t>
  </si>
  <si>
    <t>Install heat exhangers</t>
  </si>
  <si>
    <t>On-floor air-delivery modifications undertaken when tenancy floors become vacant. Any additional requirements to be scoped into LL works allowances</t>
  </si>
  <si>
    <t>New secondary CHW and new large HW risers</t>
  </si>
  <si>
    <t>p2032</t>
  </si>
  <si>
    <t xml:space="preserve">BUD_P2032_BASE BUILDING COOLING TOWERS 1 TO 4 + MECH BOARD  </t>
  </si>
  <si>
    <t>Replace or refurbish Cooling Towers 1-4, Main CW pumps, and L30 mechanical switchboard</t>
  </si>
  <si>
    <t xml:space="preserve">MRI_P2032_TENANT COOLING TOWER 1-2 UPGRADE </t>
  </si>
  <si>
    <t>Replace tenant Cooling Towers 1 and 2 and CW pumps</t>
  </si>
  <si>
    <t>BUD_P2032_NEW LOW-LOAD HEAT RECOVERY CHILLER</t>
  </si>
  <si>
    <t xml:space="preserve">Add 4 pipe air-cooled heat recovery chiller L30, and CHW pipe to L16, Replace HVAC boilers 1 and 2 and HW pumps, </t>
  </si>
  <si>
    <t xml:space="preserve">MRI_P2032_DAMPER OUTSIDE AIR REPLACMENT </t>
  </si>
  <si>
    <t>Upgrade and replace OA dampers</t>
  </si>
  <si>
    <t xml:space="preserve">MRI_P2032_DOMESTIC WATER SYSTEN UPGRADE </t>
  </si>
  <si>
    <t>Replace DHW boiler with new electric units</t>
  </si>
  <si>
    <t xml:space="preserve">MRI_P2032_TENANT COOLING TOWER </t>
  </si>
  <si>
    <t>Replace podium Cooling Towers 1 &amp; 2</t>
  </si>
  <si>
    <t xml:space="preserve">MRI_P2032_VSD UPGRADE HLI AND OR VSD INTERFACES </t>
  </si>
  <si>
    <t>VSDs - Upgrade HLI and/or VSD interfaces to enable analytics</t>
  </si>
  <si>
    <t>MRI_P2032_REPLACE VALVES, FCU, CONTROLLERS &amp; OTHER HARDWARE</t>
  </si>
  <si>
    <t>Replace selected valves, FCU controllers and other hardware</t>
  </si>
  <si>
    <t>MRI_P2032_MAIN SWITCH BOARD</t>
  </si>
  <si>
    <t>All Tenant Consumption Data (within Main Switch Board upgrade)</t>
  </si>
  <si>
    <t>p2056</t>
  </si>
  <si>
    <t>IO-45621</t>
  </si>
  <si>
    <t>Add 4-pipe air cooled heat recovery chiller</t>
  </si>
  <si>
    <t>adjust metering post-trigen</t>
  </si>
  <si>
    <t>BUD_P2056_BMCS UPGRADE</t>
  </si>
  <si>
    <t>Replace BMS with new open-source BMS inc VAVs</t>
  </si>
  <si>
    <t>Replace gas boiler with new unitary electric units</t>
  </si>
  <si>
    <t>BUD_P2056_LIGHTING - COMMON AREA</t>
  </si>
  <si>
    <t>Lighting - Upgrade to LED &amp; PIR sensor control</t>
  </si>
  <si>
    <t>p2047</t>
  </si>
  <si>
    <t>IO-45584</t>
  </si>
  <si>
    <t>Metering rehash for gym, retail area splits, and office floor rectifications</t>
  </si>
  <si>
    <t>MRI_P2047_COOLING TOWER FAN MOTOR REPLACEMENT</t>
  </si>
  <si>
    <t>Cooling tower replacement</t>
  </si>
  <si>
    <t>MRI_P2047_BMCS UPDATE PROJECT</t>
  </si>
  <si>
    <t>Replace BMS inc controllers &amp; Backbone</t>
  </si>
  <si>
    <t>New Fibre-optic Backbone</t>
  </si>
  <si>
    <t>MRI_P2047_CENTRE CHILLER OVERHAUL INCLUDING CONDENSOR REFURB</t>
  </si>
  <si>
    <t>Chiller overhaul - life cycle support</t>
  </si>
  <si>
    <t>MRI_P2047_NEW HEAT PUMP CHILLER</t>
  </si>
  <si>
    <t>Add 4-pipe air cooled heat recovery chillers or split heat pump connected to office loops only</t>
  </si>
  <si>
    <t>MRI_P2047_DOMESTIC GAS WATER SYSTEM REPLACE WITH UNITARY EL. UNITS</t>
  </si>
  <si>
    <t>DOMESTIC GAS WATER SYSTEM REPLACE WITH UNITARY EL. UNITS</t>
  </si>
  <si>
    <t>MRI_P2047_OUTSIDE AIR DAMPERS</t>
  </si>
  <si>
    <t>Replace O/A dampers</t>
  </si>
  <si>
    <t>MRI_P2047_REPLACE FAN COIL UNITS AND PAC UNITS BACK OF HOUSE</t>
  </si>
  <si>
    <t>Replace FCUs and PACs BOH (11 units)</t>
  </si>
  <si>
    <t>p2028</t>
  </si>
  <si>
    <t>Add additional meters</t>
  </si>
  <si>
    <t>MRI-2988</t>
  </si>
  <si>
    <t>Add further points (HLIs) and algorithms</t>
  </si>
  <si>
    <t>Gate metering to pick up all tenancies</t>
  </si>
  <si>
    <t>IO-13172</t>
  </si>
  <si>
    <t>HW Pumps - Replace with decoupled system, add HW heat injection, new s/board</t>
  </si>
  <si>
    <t>Chillers - replace with new h/eff machines</t>
  </si>
  <si>
    <t>HP - Install 2x 4-pipe heat recovery heat pumps</t>
  </si>
  <si>
    <t>Install  4-pipe heat recovery heat pump and HW pipework to FCU's</t>
  </si>
  <si>
    <t>Replace Towers 1-4</t>
  </si>
  <si>
    <t>Replace Towers 1-2</t>
  </si>
  <si>
    <t>MRI_P2028_AHU COIL &amp; DAMPER REPLACEMENT</t>
  </si>
  <si>
    <t>Refurbish, partial upgrade - Coils</t>
  </si>
  <si>
    <t xml:space="preserve">Upgrade/Replace OA dampers </t>
  </si>
  <si>
    <t>CHW/HW - add balancing valves and new control valves to AHUs</t>
  </si>
  <si>
    <t>IO-12602</t>
  </si>
  <si>
    <t>Perimeter VAVs - Ongoing program to replace VAVs and blocked HW coils and control valves during fitouts (25% complete)</t>
  </si>
  <si>
    <t>Replace L4 Pacs</t>
  </si>
  <si>
    <t>Replace remaining FCUs; add HW coils to GBB</t>
  </si>
  <si>
    <t>MRI_P2028_VSD UPGRADE</t>
  </si>
  <si>
    <t>VSDs - Upgrade HLI and/or VSD interfaces to enable sophisticated analytical algorithms</t>
  </si>
  <si>
    <t>DOMESTIC HOT WATER - Replace boiler with flr-by-flr units.</t>
  </si>
  <si>
    <t>Upgrade solar blinds on N and W facades</t>
  </si>
  <si>
    <t>Add additional heat pumps onto L8 roof, include interconnecting pipework and combine with AHU coil upgrade</t>
  </si>
  <si>
    <t>Upgrade AHUs new fans, coils add HW coils, refubish casings</t>
  </si>
  <si>
    <t>Add PV array and battery stack</t>
  </si>
  <si>
    <t>BMS replace and upgrade</t>
  </si>
  <si>
    <t>Lifts - regenerative drive and control upgrade</t>
  </si>
  <si>
    <t>p2050</t>
  </si>
  <si>
    <t>upgrade to F7 scope with bushfire &amp; viruses</t>
  </si>
  <si>
    <t>DHW - replace with unitary electric units</t>
  </si>
  <si>
    <t>Replace &amp; upgrade fans</t>
  </si>
  <si>
    <t>Replace &amp; upgrade selected fans and PAC's</t>
  </si>
  <si>
    <t>Chiller - Replace or refurbish 3/5 pumps</t>
  </si>
  <si>
    <t>Future Chiller - Add reverse cycle heat pump approx. 500 kW with remote flat condenser (to reduce gas consumption by 50+%)</t>
  </si>
  <si>
    <t>CTs - Replace or refurbish</t>
  </si>
  <si>
    <t>TCT - Replace or refurbish</t>
  </si>
  <si>
    <t>Replace selected PAC's</t>
  </si>
  <si>
    <t>Main AHU Plant - Replace 25x units, new coils, new plug fans; replace  existing return air fans</t>
  </si>
  <si>
    <t>Upgrade Mechanical SBs</t>
  </si>
  <si>
    <t>Upgrade solar blinds</t>
  </si>
  <si>
    <t>Add PV array and battery pack</t>
  </si>
  <si>
    <t>p2051</t>
  </si>
  <si>
    <t>AHU coil upgrade works</t>
  </si>
  <si>
    <t>Install electric heat pumps</t>
  </si>
  <si>
    <t>Upgrade electrical boards to drive heat pumps (250-300A)</t>
  </si>
  <si>
    <t>Domestic Water System - replace with unitary el.units</t>
  </si>
  <si>
    <t>p2067</t>
  </si>
  <si>
    <t>Main AHU plant L14 low rise (5x 1990 + 2x 2019 units) - upgrade to F7 cope with bushfire &amp; viruses</t>
  </si>
  <si>
    <t>upgrade to F7 cope with bushfire &amp; viruses</t>
  </si>
  <si>
    <t>Podium Cooling / Heating Plant: - add buffer storage to improve reliability</t>
  </si>
  <si>
    <t>Chiller - Add reverse cycle heat pump approx. 500 kW with remote flat condenser (to reduce gas consumption by 50+%)</t>
  </si>
  <si>
    <t>Main AHU plant L14 low rise (5x 1990 + 2x 2019 units) - replace 5x units, new coils, new plug fans; replace 6x existing return air fans</t>
  </si>
  <si>
    <t>Main AHU plant L21 high rise (7x 1996 York units) - Upgrade 7x units, new coils, new plug fans</t>
  </si>
  <si>
    <t>Ventilation Systems - Replace &amp; upgrade fans</t>
  </si>
  <si>
    <t>LMR Ventilation Systems - Replace &amp; upgrade selected fans and PAC's</t>
  </si>
  <si>
    <t>Mechanical Switchboards (L14)- Replace</t>
  </si>
  <si>
    <t>Mechanical Switchboards (L21) - Upgrade</t>
  </si>
  <si>
    <t>Add and integrate addiitional heat pump for heating and integrate into CHW</t>
  </si>
  <si>
    <t>Upgrade office air conditioning to hybrid VAV/chilled beam system, retain AHUs and most ductwork</t>
  </si>
  <si>
    <t>p2049</t>
  </si>
  <si>
    <t>Move to electric heat pumps for HHW</t>
  </si>
  <si>
    <t>Coil changes to AHUs for heat pumps - align to expiries</t>
  </si>
  <si>
    <t>Move to flr by flr electric units for DHW</t>
  </si>
  <si>
    <t>p3008</t>
  </si>
  <si>
    <t>CHW Energy Valves</t>
  </si>
  <si>
    <t>Solar PV</t>
  </si>
  <si>
    <t>VAV Min/Max SP Review</t>
  </si>
  <si>
    <t>Chiller Pumping Optimisation</t>
  </si>
  <si>
    <t>HHW Energy Valves</t>
  </si>
  <si>
    <t>Chiller Staging Review</t>
  </si>
  <si>
    <t>After-hours A/C Zoning</t>
  </si>
  <si>
    <t>After-hours AHU Unloading</t>
  </si>
  <si>
    <t>After-hours A/C Control</t>
  </si>
  <si>
    <t>LED Lighting Upgrade</t>
  </si>
  <si>
    <t>Chiller Optimum Stop</t>
  </si>
  <si>
    <t>HHW electrification</t>
  </si>
  <si>
    <t>Cogen decommissioning</t>
  </si>
  <si>
    <t>P3014</t>
  </si>
  <si>
    <t>Solar Photovoltaics</t>
  </si>
  <si>
    <t>Chiller Upgrade</t>
  </si>
  <si>
    <t>VAV/MD System Optimisation</t>
  </si>
  <si>
    <t>Energy Valves</t>
  </si>
  <si>
    <t>AHU Optimisation Phase 2</t>
  </si>
  <si>
    <t>HHW Plant Optimisation</t>
  </si>
  <si>
    <t>CHW Plant Optimisation</t>
  </si>
  <si>
    <t>TCW System Upgrade</t>
  </si>
  <si>
    <t>Lighting Optimisation</t>
  </si>
  <si>
    <t>LED Lighting Upgrade - Carpark</t>
  </si>
  <si>
    <t>TCW System Optimisation Phase 2</t>
  </si>
  <si>
    <t>BEOP engagement (12 mos)</t>
  </si>
  <si>
    <t>Chiller Evaporative Spray System**</t>
  </si>
  <si>
    <t>Scope 3 offsets (from FY24)</t>
  </si>
  <si>
    <t>Scope 3 offsets (from FY24) - ACCUs</t>
  </si>
  <si>
    <t>YR 11 - 20</t>
  </si>
  <si>
    <t>slated divestment</t>
  </si>
  <si>
    <t>Total Cost</t>
  </si>
  <si>
    <t>TOTAL SAVINGS</t>
  </si>
  <si>
    <t>Current rating information</t>
  </si>
  <si>
    <t>p2053</t>
  </si>
  <si>
    <t>ESG ROADMAP</t>
  </si>
  <si>
    <t>not required</t>
  </si>
  <si>
    <t>Manual</t>
  </si>
  <si>
    <t>2023 NABERS</t>
  </si>
  <si>
    <t>Predicted Reduction (MJ)</t>
  </si>
  <si>
    <t>GRESB</t>
  </si>
  <si>
    <t>TENANT METERING PLAN</t>
  </si>
  <si>
    <t>Automatic</t>
  </si>
  <si>
    <t>120 Collins: Not subject to Investa standard performance lease clause</t>
  </si>
  <si>
    <t>TENENT DATA</t>
  </si>
  <si>
    <t>Do nothing</t>
  </si>
  <si>
    <t>Scope 1 &amp; 2</t>
  </si>
  <si>
    <t>ENERGY EFFICIENCY ROADMAP</t>
  </si>
  <si>
    <t>2023 NUMBERS</t>
  </si>
  <si>
    <t xml:space="preserve">Kitchen Exh: Upgrade fan, VSD </t>
  </si>
  <si>
    <t>IM-1019</t>
  </si>
  <si>
    <t>IM-1017</t>
  </si>
  <si>
    <t>IM-1018</t>
  </si>
  <si>
    <t>IM-1013</t>
  </si>
  <si>
    <t>IO-45895</t>
  </si>
  <si>
    <t>IO-45866</t>
  </si>
  <si>
    <t>AC Plant age/Efficiency upgrades?</t>
  </si>
  <si>
    <t>MWh saved</t>
  </si>
  <si>
    <t>p2052</t>
  </si>
  <si>
    <t>YR 11-20</t>
  </si>
  <si>
    <t>IM-1041</t>
  </si>
  <si>
    <t>IM-1044</t>
  </si>
  <si>
    <t>Moved from FY29 to FY27 to pick up benefit in Cranage costs</t>
  </si>
  <si>
    <t>IM-1051</t>
  </si>
  <si>
    <t>IM-1039</t>
  </si>
  <si>
    <t>IM-1045</t>
  </si>
  <si>
    <t>Aligned to H&amp;M lease</t>
  </si>
  <si>
    <t>IM-1042</t>
  </si>
  <si>
    <t>IO-45832</t>
  </si>
  <si>
    <t>Works will be completed when Main Switch Board (MSB) is replaced between 2024 and 2025</t>
  </si>
  <si>
    <t>Replace FCUs</t>
  </si>
  <si>
    <t>Air Handling, PV, Solar Blinds - outside 10 year plan</t>
  </si>
  <si>
    <t xml:space="preserve">Notes: </t>
  </si>
  <si>
    <t xml:space="preserve">- No capex as the building was considered too new. Fund should consider at what point an eenrgy efficiency plan should be developed. </t>
  </si>
  <si>
    <t>- electrification projects placed in FY32 to allow view of carbon impact</t>
  </si>
  <si>
    <t>Notes</t>
  </si>
  <si>
    <t>Model can't factor in FY30 NABERS Electricity benchmark reset. Rating shouldn't decrease.</t>
  </si>
  <si>
    <t>^^ It is noted that NABERS devaluation in FY32 to electrify should have a positive rather than negative impact</t>
  </si>
  <si>
    <t>Scope 1, 2, and 3 emissions</t>
  </si>
  <si>
    <t>TOTAL SAVINGS ($/m2 p.a.)</t>
  </si>
  <si>
    <t>p4021</t>
  </si>
  <si>
    <t>manual</t>
  </si>
  <si>
    <t>already electric</t>
  </si>
  <si>
    <t>Optimised Start-up Control for HVAC systems</t>
  </si>
  <si>
    <t>Optimise chilled water plant controls</t>
  </si>
  <si>
    <t>Back-of-House LED lighting upgrades</t>
  </si>
  <si>
    <t>DHW Heat Pump Replacement</t>
  </si>
  <si>
    <t>Chiller Replacement</t>
  </si>
  <si>
    <t>Cooling Tower TDS Bleed Control</t>
  </si>
  <si>
    <t>Connection of existing rainwater system to toilet flushing</t>
  </si>
  <si>
    <t>Water Metering and leak detection</t>
  </si>
  <si>
    <t>Shower and Toilet Water Efficiency</t>
  </si>
  <si>
    <t>Tenant Data</t>
  </si>
  <si>
    <t>IO-45870</t>
  </si>
  <si>
    <t>IM-1355</t>
  </si>
  <si>
    <t>IO-45869</t>
  </si>
  <si>
    <t>IM-1353</t>
  </si>
  <si>
    <t>IM-1356</t>
  </si>
  <si>
    <t>Replace gas boilers with unitary el units</t>
  </si>
  <si>
    <t>IM-1357</t>
  </si>
  <si>
    <t>IM-1358</t>
  </si>
  <si>
    <t>IM-1359</t>
  </si>
  <si>
    <t>IM-1360</t>
  </si>
  <si>
    <t>IM-1361</t>
  </si>
  <si>
    <t>IM-1362</t>
  </si>
  <si>
    <t>MWh saved in total</t>
  </si>
  <si>
    <t xml:space="preserve">   </t>
  </si>
  <si>
    <t>COST DATA IS MADE UP</t>
  </si>
  <si>
    <t>p3013</t>
  </si>
  <si>
    <t>Water and waste scope 3</t>
  </si>
  <si>
    <t>p4013</t>
  </si>
  <si>
    <t>manually</t>
  </si>
  <si>
    <t>akready 100% electric</t>
  </si>
  <si>
    <t>AHU Economy Cycle Dampers</t>
  </si>
  <si>
    <t>TCWL Controls upgrades</t>
  </si>
  <si>
    <t>Tenant electricity sub-metering</t>
  </si>
  <si>
    <t>Rain water tank for cooling tower reuse.</t>
  </si>
  <si>
    <t>BB150</t>
  </si>
  <si>
    <t>BB151</t>
  </si>
  <si>
    <t>BB152</t>
  </si>
  <si>
    <t>BB153</t>
  </si>
  <si>
    <t>BB154</t>
  </si>
  <si>
    <t>BB155</t>
  </si>
  <si>
    <t>BB156</t>
  </si>
  <si>
    <t>BB157</t>
  </si>
  <si>
    <t>if&lt;BB150</t>
  </si>
  <si>
    <t>=IF(AJ211&lt;$BB$150,(6+(1-AJ211/$BB$150)))</t>
  </si>
  <si>
    <t>if &lt;BB151</t>
  </si>
  <si>
    <t>=IF(AJ211&lt;$BB$151,5.5+(0.5*(($BB$151-AJ211)/($BB$151-$BB$150))))</t>
  </si>
  <si>
    <t>if&lt;BB152</t>
  </si>
  <si>
    <t>=IF(AS182&lt;$BB$152,(5+0.5*((AS182)-$BB$152)/($BB$152-$BB$151)))</t>
  </si>
  <si>
    <t>if&lt;BB153</t>
  </si>
  <si>
    <t>YR 10 - 20</t>
  </si>
  <si>
    <t>Tenant data</t>
  </si>
  <si>
    <t>IM-1374</t>
  </si>
  <si>
    <t>IM-1376</t>
  </si>
  <si>
    <t>IM-1377</t>
  </si>
  <si>
    <t>IM-1378</t>
  </si>
  <si>
    <t>IM-1380?</t>
  </si>
  <si>
    <t>IM-1375</t>
  </si>
  <si>
    <t>IM-1384</t>
  </si>
  <si>
    <t>IM-1385</t>
  </si>
  <si>
    <t>p2019</t>
  </si>
  <si>
    <t>Business Case Cashflow Template</t>
  </si>
  <si>
    <t>Is this spend within Budget? Y or N</t>
  </si>
  <si>
    <t>N</t>
  </si>
  <si>
    <t>Interest Rate:</t>
  </si>
  <si>
    <t>Percentage NET</t>
  </si>
  <si>
    <t>Year</t>
  </si>
  <si>
    <t>Year 1</t>
  </si>
  <si>
    <t>Year 2</t>
  </si>
  <si>
    <t>Year 3</t>
  </si>
  <si>
    <t>Year 4</t>
  </si>
  <si>
    <t>Year 5</t>
  </si>
  <si>
    <t>Year 6</t>
  </si>
  <si>
    <t>Year 7</t>
  </si>
  <si>
    <t>Year 8</t>
  </si>
  <si>
    <t>Year 9</t>
  </si>
  <si>
    <t>Year 10</t>
  </si>
  <si>
    <t>Quarter</t>
  </si>
  <si>
    <t>Q1</t>
  </si>
  <si>
    <t>Q2</t>
  </si>
  <si>
    <t>Q3</t>
  </si>
  <si>
    <t>Q4</t>
  </si>
  <si>
    <t>Period (Quarter)</t>
  </si>
  <si>
    <t>Investment amount</t>
  </si>
  <si>
    <t>Improvement in Rental Income</t>
  </si>
  <si>
    <t>Reduced costs / OPEX savings</t>
  </si>
  <si>
    <t>Reduced costs- energy savings</t>
  </si>
  <si>
    <t>ENTER NO DATA</t>
  </si>
  <si>
    <t>Cash outflows / expenses</t>
  </si>
  <si>
    <t>Terminal value (end of life / after ten years)</t>
  </si>
  <si>
    <t>Net cash flow</t>
  </si>
  <si>
    <t>Cumlative cashflow</t>
  </si>
  <si>
    <t>Cost of Interest</t>
  </si>
  <si>
    <t>Cashflow after interest</t>
  </si>
  <si>
    <t>Project cost estimate</t>
  </si>
  <si>
    <t>If project will save electricity only, insert annual kWh savings here:</t>
  </si>
  <si>
    <t>Yr 1</t>
  </si>
  <si>
    <t>Yr 2</t>
  </si>
  <si>
    <t>Yr 3</t>
  </si>
  <si>
    <t>Yr 4</t>
  </si>
  <si>
    <t>Yr 5</t>
  </si>
  <si>
    <t>Yr 6</t>
  </si>
  <si>
    <t>Yr 7</t>
  </si>
  <si>
    <t>Yr 8</t>
  </si>
  <si>
    <t>Yr 9</t>
  </si>
  <si>
    <t>Yr 10</t>
  </si>
  <si>
    <t>escalation</t>
  </si>
  <si>
    <t>Definitions:</t>
  </si>
  <si>
    <t xml:space="preserve">Investment amount </t>
  </si>
  <si>
    <t>Is the amount of CAPEX to be spent. It will all occurr in time 0, but may occurr over a period of time.</t>
  </si>
  <si>
    <t>It will be a negative number</t>
  </si>
  <si>
    <t>These are cashflows that result from implementing the CAPEX spend and increasing the rent.</t>
  </si>
  <si>
    <t>They are always a positive number</t>
  </si>
  <si>
    <t>These are the savings generated by the CAPEX investment. For instance energy savings, reduced maintenance costs.</t>
  </si>
  <si>
    <t>These are cashflows that are an additional cost which result from implementing the CAPEX spend. For instance scheduled maintenance, metre reading charges, upgrade requirements</t>
  </si>
  <si>
    <t>They are always a negative number</t>
  </si>
  <si>
    <t>At the end of the life of an asset, it maybe sold. Terminal value is these net proceeds</t>
  </si>
  <si>
    <t>This number maybe 0. It should be entered as 0 or could be a positive number if the capital item can be sold. It should be a net number after all disposal costs.</t>
  </si>
  <si>
    <t>Investa Property Group - Property Services</t>
  </si>
  <si>
    <t>Prepared By:</t>
  </si>
  <si>
    <t>Date:</t>
  </si>
  <si>
    <t>Business Case For Capital Investment</t>
  </si>
  <si>
    <t>Project Title:</t>
  </si>
  <si>
    <t>Various energy efficiency measures</t>
  </si>
  <si>
    <t>Property:</t>
  </si>
  <si>
    <t>Property No:</t>
  </si>
  <si>
    <t>Capex No:</t>
  </si>
  <si>
    <t>Description:</t>
  </si>
  <si>
    <r>
      <t xml:space="preserve">INSERT BRIEF DESCRIPTION- </t>
    </r>
    <r>
      <rPr>
        <i/>
        <sz val="10"/>
        <rFont val="Arial"/>
        <family val="2"/>
      </rPr>
      <t>Hit [Alt] + [Enter] at same time to drop row</t>
    </r>
    <r>
      <rPr>
        <b/>
        <i/>
        <sz val="10"/>
        <color indexed="23"/>
        <rFont val="Arial"/>
        <family val="2"/>
      </rPr>
      <t xml:space="preserve">
</t>
    </r>
  </si>
  <si>
    <t>Year 0</t>
  </si>
  <si>
    <t>Y1</t>
  </si>
  <si>
    <t>Y2</t>
  </si>
  <si>
    <t>Y3</t>
  </si>
  <si>
    <t>Y4</t>
  </si>
  <si>
    <t>Y5</t>
  </si>
  <si>
    <t>Y6</t>
  </si>
  <si>
    <t>Y7</t>
  </si>
  <si>
    <t>Y8</t>
  </si>
  <si>
    <t>Y9</t>
  </si>
  <si>
    <t>Y10</t>
  </si>
  <si>
    <t>savings $/m2</t>
  </si>
  <si>
    <t>Information to cut and paste into Strategic Asset Plan</t>
  </si>
  <si>
    <t>current</t>
  </si>
  <si>
    <t>Is this building a NET or GROSS LEASE building</t>
  </si>
  <si>
    <t>NET</t>
  </si>
  <si>
    <t>NABERS Rating</t>
  </si>
  <si>
    <t>Capex proposed:</t>
  </si>
  <si>
    <t>Percentage net leases</t>
  </si>
  <si>
    <t>IRR benefit</t>
  </si>
  <si>
    <t>Valuation impact potential</t>
  </si>
  <si>
    <t>Cap rate</t>
  </si>
  <si>
    <t>Av. annual NOI impact</t>
  </si>
  <si>
    <t>Information to cut and paste into Strategic Asset Plan:</t>
  </si>
  <si>
    <t>FY13*</t>
  </si>
  <si>
    <t>FY14*</t>
  </si>
  <si>
    <t>FY15*</t>
  </si>
  <si>
    <t>Note, actual NABERS data included 2 yrs of gas</t>
  </si>
  <si>
    <t>decommission broad chiller</t>
  </si>
  <si>
    <t>IM-1127</t>
  </si>
  <si>
    <t>IO-45684</t>
  </si>
  <si>
    <t>IM-1129</t>
  </si>
  <si>
    <t>DELETE</t>
  </si>
  <si>
    <t>PV - Add PV array and battery stack</t>
  </si>
  <si>
    <t>Scope 1, 2, 3</t>
  </si>
  <si>
    <t xml:space="preserve">    </t>
  </si>
  <si>
    <t>Electrification: Projects do not remove HHW.</t>
  </si>
  <si>
    <t>Could commence FY25 and done over next 10 years</t>
  </si>
  <si>
    <t>INITATIVE COSTS - NABERS Roadmap (CAPEX or OPEX)</t>
  </si>
  <si>
    <t>2023 Data</t>
  </si>
  <si>
    <t>Capex</t>
  </si>
  <si>
    <t>kgCO2</t>
  </si>
  <si>
    <t>Note:</t>
  </si>
  <si>
    <t>No projects are as yet in capex forecasyts</t>
  </si>
  <si>
    <t>TOTAL SAVINGS ($/m2)</t>
  </si>
  <si>
    <t>p2059</t>
  </si>
  <si>
    <t>none</t>
  </si>
  <si>
    <t>Optimal Start Strategy</t>
  </si>
  <si>
    <t>Chiller Pump Strategy</t>
  </si>
  <si>
    <t>CO2 Control Strategy</t>
  </si>
  <si>
    <t>Chiller 2 Replacement</t>
  </si>
  <si>
    <t>Metering Upgrade (base building systems)</t>
  </si>
  <si>
    <t>Lobby Temperature Reset</t>
  </si>
  <si>
    <t>Supply Airflow Reset</t>
  </si>
  <si>
    <t>Floor by Floor Internal Zone Airflow Control</t>
  </si>
  <si>
    <t>Floor by Floor Perimeter Zone Airflow Control</t>
  </si>
  <si>
    <t>Lobby Entrance Airlock</t>
  </si>
  <si>
    <t>Hybrid Boiler / Heat Pump Heating</t>
  </si>
  <si>
    <t>Heating Coils Replacement to suit heat pumps</t>
  </si>
  <si>
    <t>Water Monitoring</t>
  </si>
  <si>
    <t>Rainwater Reuse for Toilets</t>
  </si>
  <si>
    <t>Active</t>
  </si>
  <si>
    <t>Notes:</t>
  </si>
  <si>
    <t xml:space="preserve">- electrification plan being undertaken now. </t>
  </si>
  <si>
    <t>- unlikely anything will be proposed for FY25 anyway</t>
  </si>
  <si>
    <t>= fund should consider at what age, the building should have an energy and water audit undertaken</t>
  </si>
  <si>
    <t>BC awaiting approval</t>
  </si>
  <si>
    <t>This graph doesn't work as I don't collect utility expenditure</t>
  </si>
  <si>
    <t>Scopes 1 &amp; 2</t>
  </si>
  <si>
    <t xml:space="preserve">Note: </t>
  </si>
  <si>
    <t>- 'Base' means FY23 NABERS consumption with no renewable component</t>
  </si>
  <si>
    <t>p6001</t>
  </si>
  <si>
    <t>YR 11</t>
  </si>
  <si>
    <t>Solar generation</t>
  </si>
  <si>
    <t>Replace Boiler No. 1 &amp; 2 with 80 degree Electric Heat Pumps. Option negates need to upgrade all AHU coils and new electric trim heaters to VAV boxes on floor modular system allows for transporting wihtin goods lift. By 2029/28 tech would have advanced further suggesting budget may be lower.</t>
  </si>
  <si>
    <t>Replace Retail Plaza Boiler with 80 degree Electric Heat Pumps Option negates need to upgrade all AHUs and trim heaters to VAV boxes on floor modular system allows for transporting wihtin goods lift.</t>
  </si>
  <si>
    <t>Replace gas fired domestic hot water system for Retail Plaza</t>
  </si>
  <si>
    <t>To resove - will other 21 floors of AHU works result in energy savings?</t>
  </si>
  <si>
    <t>p3014</t>
  </si>
  <si>
    <t>discount factor (10%)</t>
  </si>
  <si>
    <t>Building Services Upgrade Strategy</t>
  </si>
  <si>
    <t>Parent Fund</t>
  </si>
  <si>
    <t>Savings/m2</t>
  </si>
  <si>
    <t>NABERS Energy Performance</t>
  </si>
  <si>
    <t>Date Full Electrification Achieved</t>
  </si>
  <si>
    <t>Net Benefit to Outgoings</t>
  </si>
  <si>
    <t>Change</t>
  </si>
  <si>
    <t>Electricity Consumption Yr-11</t>
  </si>
  <si>
    <t>Automated Tenant Electricity Data Achieved</t>
  </si>
  <si>
    <t>As per first</t>
  </si>
  <si>
    <t>FY35</t>
  </si>
  <si>
    <t>FY36</t>
  </si>
  <si>
    <t>FY37</t>
  </si>
  <si>
    <t>FY38</t>
  </si>
  <si>
    <t>FY39</t>
  </si>
  <si>
    <t>FY40</t>
  </si>
  <si>
    <t>Accept</t>
  </si>
  <si>
    <t>Reject</t>
  </si>
  <si>
    <t>FAKE</t>
  </si>
  <si>
    <t>DO SOMETHING WILL NIULLY</t>
  </si>
  <si>
    <t>Originally proposed costs</t>
  </si>
  <si>
    <t>JV Parent</t>
  </si>
  <si>
    <t>IO-119465</t>
  </si>
  <si>
    <t>Building Services Strategy</t>
  </si>
  <si>
    <t>Energy &amp; Emissions Roadmap</t>
  </si>
  <si>
    <t>Shorthand Tab References</t>
  </si>
  <si>
    <t>1M-NR</t>
  </si>
  <si>
    <t>Replace AHUs with flat pack units, new dampers on floor by floor basis. On floor air handling: retain AHU's replace VAVs and redesign to include swirl diffusers. Replace DHW with unitary el. Units</t>
  </si>
  <si>
    <t xml:space="preserve">Decision </t>
  </si>
  <si>
    <t>Resulting input]</t>
  </si>
  <si>
    <t>20% floor allowance</t>
  </si>
  <si>
    <t>Proposed Date</t>
  </si>
  <si>
    <t>Approved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</si>
</sst>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5" formatCode="&quot;$&quot;#,##0;\-&quot;$&quot;#,##0"/>
    <numFmt numFmtId="6" formatCode="&quot;$&quot;#,##0;[Red]\-&quot;$&quot;#,##0"/>
    <numFmt numFmtId="41" formatCode="_-* #,##0_-;\-* #,##0_-;_-* &quot;-&quot;_-;_-@_-"/>
    <numFmt numFmtId="44" formatCode="_-&quot;$&quot;* #,##0.00_-;\-&quot;$&quot;* #,##0.00_-;_-&quot;$&quot;* &quot;-&quot;??_-;_-@_-"/>
    <numFmt numFmtId="43" formatCode="_-* #,##0.00_-;\-* #,##0.00_-;_-* &quot;-&quot;??_-;_-@_-"/>
    <numFmt numFmtId="164" formatCode="_(&quot;$&quot;* #,##0.00_);_(&quot;$&quot;* \(#,##0.00\);_(&quot;$&quot;* &quot;-&quot;??_);_(@_)"/>
    <numFmt numFmtId="165" formatCode="_-* #,##0_-;\-* #,##0_-;_-* &quot;-&quot;??_-;_-@_-"/>
    <numFmt numFmtId="166" formatCode="_-* #,##0.0_-;\-* #,##0.0_-;_-* &quot;-&quot;??_-;_-@_-"/>
    <numFmt numFmtId="167" formatCode="&quot;$&quot;#,##0"/>
    <numFmt numFmtId="168" formatCode="0.0"/>
    <numFmt numFmtId="169" formatCode="0.000"/>
    <numFmt numFmtId="170" formatCode="mmm\-yyyy"/>
    <numFmt numFmtId="171" formatCode="0.00_)"/>
    <numFmt numFmtId="172" formatCode="0.0000"/>
    <numFmt numFmtId="173" formatCode="#,##0.0000"/>
    <numFmt numFmtId="174" formatCode="#,##0.00000"/>
    <numFmt numFmtId="175" formatCode="\+0.00%;\-0.00%"/>
    <numFmt numFmtId="176" formatCode="#,##0;[Red]\(#,##0\)"/>
    <numFmt numFmtId="177" formatCode="0.0%"/>
    <numFmt numFmtId="178" formatCode="_-&quot;$&quot;* #,##0_-;\-&quot;$&quot;* #,##0_-;_-&quot;$&quot;* &quot;-&quot;??_-;_-@_-"/>
    <numFmt numFmtId="179" formatCode="#,##0_ ;\-#,##0\ "/>
    <numFmt numFmtId="180" formatCode="_-&quot;$&quot;* #,##0.0_-;\-&quot;$&quot;* #,##0.0_-;_-&quot;$&quot;* &quot;-&quot;??_-;_-@_-"/>
    <numFmt numFmtId="181" formatCode="&quot;$&quot;#,##0.00"/>
    <numFmt numFmtId="182" formatCode="0.00\ &quot;Stars&quot;"/>
    <numFmt numFmtId="183" formatCode="_-* #,##0.000000_-;\-* #,##0.000000_-;_-* &quot;-&quot;??_-;_-@_-"/>
    <numFmt numFmtId="184" formatCode="&quot;$&quot;#,##0.0000"/>
    <numFmt numFmtId="185" formatCode="&quot;$&quot;#,##0.0"/>
    <numFmt numFmtId="186" formatCode="#,##0_ ;[Red]\-#,##0\ "/>
    <numFmt numFmtId="187" formatCode="&quot;$&quot;#,##0.00\ &quot;/kWh&quot;"/>
    <numFmt numFmtId="188" formatCode="&quot;$&quot;#,##0.00\ &quot;/GJ&quot;"/>
    <numFmt numFmtId="189" formatCode="_-* #,##0.000_-;\-* #,##0.000_-;_-* &quot;-&quot;??_-;_-@_-"/>
    <numFmt numFmtId="190" formatCode="_-* #,##0.0000_-;\-* #,##0.0000_-;_-* &quot;-&quot;??_-;_-@_-"/>
    <numFmt numFmtId="191" formatCode="&quot;$&quot;#.##\ &quot;/m2&quot;"/>
    <numFmt numFmtId="192" formatCode="#.#\ &quot;kWh/m2&quot;"/>
    <numFmt numFmtId="193" formatCode="mmmm\ yyyy"/>
    <numFmt numFmtId="194" formatCode="#%"/>
    <numFmt numFmtId="195" formatCode="&quot;+&quot;0.00&quot; Stars&quot;"/>
  </numFmts>
  <fonts count="120">
    <font>
      <sz val="10"/>
      <name val="Arial"/>
    </font>
    <font>
      <sz val="11"/>
      <color theme="1"/>
      <name val="tahoma"/>
      <family val="2"/>
      <scheme val="minor"/>
    </font>
    <font>
      <sz val="11"/>
      <color theme="1"/>
      <name val="tahoma"/>
      <family val="2"/>
      <scheme val="minor"/>
    </font>
    <font>
      <sz val="11"/>
      <color theme="1"/>
      <name val="tahoma"/>
      <family val="2"/>
      <scheme val="minor"/>
    </font>
    <font>
      <sz val="11"/>
      <color theme="1"/>
      <name val="tahoma"/>
      <family val="2"/>
      <scheme val="minor"/>
    </font>
    <font>
      <sz val="11"/>
      <color theme="1"/>
      <name val="tahoma"/>
      <family val="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34"/>
      <color theme="1"/>
      <name val="Arial"/>
      <family val="2"/>
    </font>
    <font>
      <b/>
      <sz val="10"/>
      <color theme="1"/>
      <name val="Arial"/>
      <family val="2"/>
    </font>
    <font>
      <sz val="10"/>
      <color rgb="FFFF0000"/>
      <name val="Arial"/>
      <family val="2"/>
    </font>
    <font>
      <sz val="10"/>
      <name val="Tahoma"/>
      <family val="2"/>
    </font>
    <font>
      <b/>
      <sz val="26"/>
      <color theme="1"/>
      <name val="Arial"/>
      <family val="2"/>
    </font>
    <font>
      <sz val="12"/>
      <color theme="1"/>
      <name val="Tahoma"/>
      <family val="2"/>
    </font>
    <font>
      <b/>
      <sz val="12"/>
      <name val="Arial"/>
      <family val="2"/>
    </font>
    <font>
      <sz val="12"/>
      <name val="Arial"/>
      <family val="2"/>
    </font>
    <font>
      <b/>
      <sz val="10"/>
      <color rgb="FFFF0000"/>
      <name val="Arial"/>
      <family val="2"/>
    </font>
    <font>
      <sz val="12"/>
      <name val="Tahoma"/>
      <family val="2"/>
    </font>
    <font>
      <sz val="12"/>
      <color rgb="FFFF0000"/>
      <name val="Arial"/>
      <family val="2"/>
    </font>
    <font>
      <b/>
      <sz val="10"/>
      <name val="Arial"/>
      <family val="2"/>
    </font>
    <font>
      <sz val="10"/>
      <name val="MS Sans Serif"/>
      <family val="2"/>
    </font>
    <font>
      <sz val="9"/>
      <color indexed="81"/>
      <name val="Tahoma"/>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u/>
      <sz val="11"/>
      <color theme="10"/>
      <name val="tahoma"/>
      <family val="2"/>
      <scheme val="minor"/>
    </font>
    <font>
      <sz val="11"/>
      <color indexed="62"/>
      <name val="Calibri"/>
      <family val="2"/>
    </font>
    <font>
      <sz val="11"/>
      <color indexed="10"/>
      <name val="Calibri"/>
      <family val="2"/>
    </font>
    <font>
      <sz val="11"/>
      <color indexed="19"/>
      <name val="Calibri"/>
      <family val="2"/>
    </font>
    <font>
      <b/>
      <i/>
      <sz val="16"/>
      <name val="Helv"/>
      <family val="2"/>
    </font>
    <font>
      <sz val="8"/>
      <name val="MS Sans Serif"/>
      <family val="2"/>
    </font>
    <font>
      <sz val="12"/>
      <name val="Times New Roman"/>
      <family val="1"/>
    </font>
    <font>
      <i/>
      <sz val="10"/>
      <name val="Helv"/>
    </font>
    <font>
      <b/>
      <sz val="11"/>
      <color indexed="63"/>
      <name val="Calibri"/>
      <family val="2"/>
    </font>
    <font>
      <b/>
      <sz val="8"/>
      <color indexed="9"/>
      <name val="Futura Bk BT"/>
      <family val="2"/>
    </font>
    <font>
      <b/>
      <i/>
      <sz val="8"/>
      <name val="futura bk bt"/>
      <family val="2"/>
    </font>
    <font>
      <sz val="8"/>
      <name val="Futura Bk BT"/>
      <family val="2"/>
    </font>
    <font>
      <b/>
      <sz val="18"/>
      <color indexed="62"/>
      <name val="Cambria"/>
      <family val="2"/>
    </font>
    <font>
      <b/>
      <sz val="11"/>
      <color indexed="8"/>
      <name val="Calibri"/>
      <family val="2"/>
    </font>
    <font>
      <sz val="10"/>
      <name val="Arial"/>
      <family val="2"/>
    </font>
    <font>
      <sz val="10"/>
      <color indexed="10"/>
      <name val="Arial"/>
      <family val="2"/>
    </font>
    <font>
      <b/>
      <sz val="9"/>
      <color indexed="81"/>
      <name val="Tahoma"/>
      <family val="2"/>
    </font>
    <font>
      <b/>
      <u/>
      <sz val="10"/>
      <name val="Arial"/>
      <family val="2"/>
    </font>
    <font>
      <b/>
      <i/>
      <sz val="10"/>
      <color indexed="23"/>
      <name val="Arial"/>
      <family val="2"/>
    </font>
    <font>
      <i/>
      <sz val="10"/>
      <name val="Arial"/>
      <family val="2"/>
    </font>
    <font>
      <u/>
      <sz val="10"/>
      <name val="Arial"/>
      <family val="2"/>
    </font>
    <font>
      <b/>
      <sz val="12"/>
      <color rgb="FFFF0000"/>
      <name val="Arial"/>
      <family val="2"/>
    </font>
    <font>
      <sz val="14"/>
      <color theme="1"/>
      <name val="Arial"/>
      <family val="2"/>
    </font>
    <font>
      <sz val="14"/>
      <color rgb="FF0000FF"/>
      <name val="Arial"/>
      <family val="2"/>
    </font>
    <font>
      <sz val="11"/>
      <name val="tahoma"/>
      <family val="2"/>
      <scheme val="minor"/>
    </font>
    <font>
      <sz val="8"/>
      <name val="Arial"/>
      <family val="2"/>
    </font>
    <font>
      <sz val="8"/>
      <name val="Arial"/>
      <family val="2"/>
    </font>
    <font>
      <sz val="10"/>
      <color theme="0"/>
      <name val="Arial"/>
      <family val="2"/>
    </font>
    <font>
      <sz val="12"/>
      <color rgb="FFFF0000"/>
      <name val="Tahoma"/>
      <family val="2"/>
    </font>
    <font>
      <b/>
      <sz val="11"/>
      <color theme="5"/>
      <name val="tahoma"/>
      <family val="2"/>
      <scheme val="minor"/>
    </font>
    <font>
      <sz val="14"/>
      <name val="Arial"/>
      <family val="2"/>
    </font>
    <font>
      <b/>
      <sz val="11"/>
      <color theme="1"/>
      <name val="tahoma"/>
      <family val="2"/>
      <scheme val="minor"/>
    </font>
    <font>
      <sz val="11"/>
      <name val="Calibri"/>
      <family val="2"/>
    </font>
    <font>
      <sz val="16"/>
      <name val="Arial"/>
      <family val="2"/>
    </font>
    <font>
      <sz val="11"/>
      <name val="Arial"/>
      <family val="2"/>
    </font>
    <font>
      <b/>
      <sz val="11"/>
      <name val="tahoma"/>
      <family val="2"/>
      <scheme val="minor"/>
    </font>
    <font>
      <sz val="8"/>
      <name val="Arial"/>
      <family val="2"/>
    </font>
    <font>
      <sz val="12"/>
      <name val="tahoma"/>
      <family val="2"/>
      <scheme val="minor"/>
    </font>
    <font>
      <b/>
      <sz val="11"/>
      <color rgb="FF000000"/>
      <name val="tahoma"/>
      <family val="2"/>
      <scheme val="minor"/>
    </font>
    <font>
      <b/>
      <sz val="12"/>
      <color theme="1"/>
      <name val="Tahoma"/>
      <family val="2"/>
    </font>
    <font>
      <sz val="11"/>
      <color theme="5"/>
      <name val="tahoma"/>
      <family val="2"/>
      <scheme val="minor"/>
    </font>
    <font>
      <b/>
      <sz val="12"/>
      <name val="tahoma"/>
      <family val="2"/>
      <scheme val="major"/>
    </font>
    <font>
      <b/>
      <sz val="12"/>
      <color rgb="FFFF0000"/>
      <name val="tahoma"/>
      <family val="2"/>
      <scheme val="major"/>
    </font>
    <font>
      <sz val="10"/>
      <color rgb="FF4E5154"/>
      <name val="Arial"/>
      <family val="2"/>
    </font>
    <font>
      <sz val="10"/>
      <color rgb="FF313335"/>
      <name val="Arial"/>
      <family val="2"/>
    </font>
    <font>
      <sz val="12"/>
      <color rgb="FF63BE7B"/>
      <name val="Tahoma"/>
      <family val="2"/>
    </font>
    <font>
      <sz val="12"/>
      <name val="tahoma"/>
      <family val="2"/>
      <scheme val="major"/>
    </font>
    <font>
      <b/>
      <sz val="10"/>
      <color theme="0"/>
      <name val="Arial"/>
      <family val="2"/>
    </font>
    <font>
      <sz val="12"/>
      <color theme="1"/>
      <name val="Arial"/>
      <family val="2"/>
    </font>
    <font>
      <sz val="10"/>
      <color theme="5"/>
      <name val="Arial"/>
      <family val="2"/>
    </font>
    <font>
      <b/>
      <sz val="12"/>
      <color theme="5"/>
      <name val="Arial"/>
      <family val="2"/>
    </font>
    <font>
      <b/>
      <sz val="10"/>
      <color theme="5"/>
      <name val="Arial"/>
      <family val="2"/>
    </font>
    <font>
      <sz val="12"/>
      <color theme="0"/>
      <name val="Tahoma"/>
      <family val="2"/>
    </font>
    <font>
      <sz val="12"/>
      <color rgb="FFFF0000"/>
      <name val="tahoma"/>
      <family val="2"/>
      <scheme val="minor"/>
    </font>
    <font>
      <sz val="12"/>
      <color theme="9" tint="0.79998168889431442"/>
      <name val="Tahoma"/>
      <family val="2"/>
    </font>
    <font>
      <sz val="10"/>
      <color rgb="FF00D05E"/>
      <name val="Arial"/>
      <family val="2"/>
    </font>
    <font>
      <b/>
      <sz val="10"/>
      <color rgb="FF00D05E"/>
      <name val="Arial"/>
      <family val="2"/>
    </font>
    <font>
      <sz val="11"/>
      <color theme="9" tint="-0.249977111117893"/>
      <name val="tahoma"/>
      <family val="2"/>
      <scheme val="minor"/>
    </font>
    <font>
      <sz val="8"/>
      <name val="Arial"/>
      <family val="2"/>
    </font>
    <font>
      <sz val="10"/>
      <color rgb="FF00B0F0"/>
      <name val="Arial"/>
      <family val="2"/>
    </font>
    <font>
      <sz val="10"/>
      <color theme="8"/>
      <name val="Arial"/>
      <family val="2"/>
    </font>
    <font>
      <sz val="10"/>
      <color theme="6"/>
      <name val="Arial"/>
      <family val="2"/>
    </font>
    <font>
      <sz val="10"/>
      <color theme="4"/>
      <name val="Arial"/>
      <family val="2"/>
    </font>
    <font>
      <b/>
      <sz val="11"/>
      <color theme="0"/>
      <name val="tahoma"/>
      <family val="2"/>
      <scheme val="minor"/>
    </font>
    <font>
      <sz val="12"/>
      <color theme="9" tint="0.59999389629810485"/>
      <name val="Tahoma"/>
      <family val="2"/>
    </font>
    <font>
      <sz val="12"/>
      <color theme="0"/>
      <name val="tahoma"/>
      <family val="2"/>
      <scheme val="minor"/>
    </font>
    <font>
      <b/>
      <sz val="34"/>
      <color theme="0"/>
      <name val="Arial"/>
      <family val="2"/>
    </font>
    <font>
      <b/>
      <sz val="20"/>
      <color theme="0"/>
      <name val="Arial"/>
      <family val="2"/>
    </font>
    <font>
      <i/>
      <sz val="48"/>
      <color theme="0"/>
      <name val="Arial"/>
      <family val="2"/>
    </font>
    <font>
      <b/>
      <sz val="26"/>
      <color theme="0"/>
      <name val="Arial"/>
      <family val="2"/>
    </font>
    <font>
      <sz val="12"/>
      <color theme="0"/>
      <name val="Arial"/>
      <family val="2"/>
    </font>
    <font>
      <b/>
      <sz val="12"/>
      <color theme="0"/>
      <name val="Arial"/>
      <family val="2"/>
    </font>
    <font>
      <sz val="12"/>
      <color theme="0"/>
      <name val="tahoma"/>
      <family val="2"/>
      <scheme val="major"/>
    </font>
    <font>
      <b/>
      <sz val="12"/>
      <color theme="0"/>
      <name val="tahoma"/>
      <family val="2"/>
      <scheme val="major"/>
    </font>
    <font>
      <b/>
      <sz val="12"/>
      <color theme="0"/>
      <name val="Tahoma"/>
      <family val="2"/>
    </font>
    <font>
      <sz val="10"/>
      <color theme="0"/>
      <name val="Tahoma"/>
      <family val="2"/>
    </font>
    <font>
      <sz val="14"/>
      <color theme="0"/>
      <name val="Tahoma"/>
      <family val="2"/>
    </font>
    <font>
      <sz val="10"/>
      <color theme="0"/>
      <name val="Arial"/>
    </font>
    <font>
      <sz val="36"/>
      <color theme="0"/>
      <name val="Arial"/>
      <family val="2"/>
    </font>
    <font>
      <i/>
      <sz val="36"/>
      <color theme="5"/>
      <name val="Arial"/>
      <family val="2"/>
    </font>
    <font>
      <sz val="36"/>
      <color theme="5"/>
      <name val="Arial"/>
      <family val="2"/>
    </font>
    <font>
      <sz val="12"/>
      <color theme="5"/>
      <name val="Tahoma"/>
      <family val="2"/>
    </font>
    <font>
      <b/>
      <sz val="14"/>
      <color theme="0"/>
      <name val="tahoma"/>
      <family val="2"/>
      <scheme val="minor"/>
    </font>
    <font>
      <b/>
      <sz val="14"/>
      <color theme="0"/>
      <name val="Arial"/>
      <family val="2"/>
    </font>
    <font>
      <b/>
      <i/>
      <sz val="14"/>
      <color theme="5"/>
      <name val="Arial"/>
      <family val="2"/>
    </font>
  </fonts>
  <fills count="47">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17"/>
        <bgColor indexed="64"/>
      </patternFill>
    </fill>
    <fill>
      <patternFill patternType="solid">
        <fgColor indexed="13"/>
        <bgColor indexed="64"/>
      </patternFill>
    </fill>
    <fill>
      <patternFill patternType="lightUp">
        <bgColor indexed="22"/>
      </patternFill>
    </fill>
    <fill>
      <patternFill patternType="solid">
        <fgColor theme="9" tint="0.79998168889431442"/>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5"/>
        <bgColor indexed="64"/>
      </patternFill>
    </fill>
    <fill>
      <patternFill patternType="solid">
        <fgColor rgb="FFFF0000"/>
        <bgColor indexed="64"/>
      </patternFill>
    </fill>
    <fill>
      <patternFill patternType="solid">
        <fgColor rgb="FF33CC33"/>
        <bgColor indexed="64"/>
      </patternFill>
    </fill>
    <fill>
      <patternFill patternType="solid">
        <fgColor theme="4" tint="0.79998168889431442"/>
        <bgColor theme="4" tint="0.79998168889431442"/>
      </patternFill>
    </fill>
    <fill>
      <patternFill patternType="solid">
        <fgColor theme="9"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39997558519241921"/>
        <bgColor indexed="64"/>
      </patternFill>
    </fill>
    <fill>
      <patternFill patternType="solid">
        <fgColor rgb="FF92D05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rgb="FFFFC000"/>
        <bgColor indexed="64"/>
      </patternFill>
    </fill>
    <fill>
      <patternFill patternType="solid">
        <fgColor rgb="FFF8696B"/>
        <bgColor indexed="64"/>
      </patternFill>
    </fill>
    <fill>
      <patternFill patternType="solid">
        <fgColor theme="2" tint="-0.249977111117893"/>
        <bgColor indexed="64"/>
      </patternFill>
    </fill>
    <fill>
      <patternFill patternType="solid">
        <fgColor theme="4"/>
        <bgColor indexed="64"/>
      </patternFill>
    </fill>
    <fill>
      <patternFill patternType="solid">
        <fgColor theme="7" tint="-0.249977111117893"/>
        <bgColor indexed="64"/>
      </patternFill>
    </fill>
    <fill>
      <patternFill patternType="solid">
        <fgColor theme="6"/>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1"/>
        <bgColor indexed="64"/>
      </patternFill>
    </fill>
  </fills>
  <borders count="87">
    <border>
      <left/>
      <right/>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theme="0" tint="-0.14996795556505021"/>
      </left>
      <right/>
      <top style="thin">
        <color indexed="64"/>
      </top>
      <bottom style="thin">
        <color theme="0" tint="-0.14996795556505021"/>
      </bottom>
      <diagonal/>
    </border>
    <border>
      <left style="thin">
        <color indexed="64"/>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14996795556505021"/>
      </left>
      <right style="thin">
        <color theme="0" tint="-0.14993743705557422"/>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style="thin">
        <color indexed="64"/>
      </left>
      <right style="thin">
        <color theme="0" tint="-0.14996795556505021"/>
      </right>
      <top/>
      <bottom style="thin">
        <color indexed="64"/>
      </bottom>
      <diagonal/>
    </border>
    <border>
      <left style="thin">
        <color theme="0" tint="-0.14996795556505021"/>
      </left>
      <right style="thin">
        <color theme="0" tint="-0.14996795556505021"/>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thin">
        <color indexed="64"/>
      </bottom>
      <diagonal/>
    </border>
    <border>
      <left/>
      <right/>
      <top style="thin">
        <color indexed="56"/>
      </top>
      <bottom style="double">
        <color indexed="56"/>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theme="0" tint="-0.14996795556505021"/>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theme="0" tint="-0.14996795556505021"/>
      </left>
      <right style="thin">
        <color theme="0" tint="-0.14996795556505021"/>
      </right>
      <top style="thin">
        <color theme="0" tint="-0.14996795556505021"/>
      </top>
      <bottom style="thin">
        <color theme="0" tint="-0.14993743705557422"/>
      </bottom>
      <diagonal/>
    </border>
    <border>
      <left style="thin">
        <color theme="0" tint="-0.14996795556505021"/>
      </left>
      <right style="thin">
        <color indexed="64"/>
      </right>
      <top style="thin">
        <color theme="0" tint="-0.14996795556505021"/>
      </top>
      <bottom style="thin">
        <color theme="0" tint="-0.14993743705557422"/>
      </bottom>
      <diagonal/>
    </border>
    <border>
      <left style="thin">
        <color theme="0" tint="-0.14996795556505021"/>
      </left>
      <right/>
      <top style="thin">
        <color theme="0" tint="-0.14996795556505021"/>
      </top>
      <bottom style="thin">
        <color theme="0" tint="-0.14993743705557422"/>
      </bottom>
      <diagonal/>
    </border>
    <border>
      <left/>
      <right style="thin">
        <color indexed="64"/>
      </right>
      <top style="thin">
        <color indexed="64"/>
      </top>
      <bottom/>
      <diagonal/>
    </border>
    <border>
      <left/>
      <right/>
      <top style="thick">
        <color theme="5"/>
      </top>
      <bottom style="thick">
        <color theme="5"/>
      </bottom>
      <diagonal/>
    </border>
    <border>
      <left/>
      <right/>
      <top style="double">
        <color auto="1"/>
      </top>
      <bottom style="thin">
        <color auto="1"/>
      </bottom>
      <diagonal/>
    </border>
    <border>
      <left/>
      <right/>
      <top style="thin">
        <color indexed="64"/>
      </top>
      <bottom style="thick">
        <color theme="5"/>
      </bottom>
      <diagonal/>
    </border>
    <border>
      <left/>
      <right style="thin">
        <color indexed="64"/>
      </right>
      <top style="thin">
        <color indexed="64"/>
      </top>
      <bottom style="thick">
        <color theme="5"/>
      </bottom>
      <diagonal/>
    </border>
    <border>
      <left style="thin">
        <color indexed="64"/>
      </left>
      <right/>
      <top style="thick">
        <color theme="5"/>
      </top>
      <bottom style="thick">
        <color theme="5"/>
      </bottom>
      <diagonal/>
    </border>
    <border>
      <left/>
      <right style="thin">
        <color indexed="64"/>
      </right>
      <top style="thick">
        <color theme="5"/>
      </top>
      <bottom style="thick">
        <color theme="5"/>
      </bottom>
      <diagonal/>
    </border>
    <border>
      <left style="thin">
        <color indexed="64"/>
      </left>
      <right/>
      <top style="thin">
        <color indexed="64"/>
      </top>
      <bottom style="thick">
        <color theme="5"/>
      </bottom>
      <diagonal/>
    </border>
    <border>
      <left style="thin">
        <color indexed="64"/>
      </left>
      <right style="thin">
        <color indexed="64"/>
      </right>
      <top style="thick">
        <color theme="5"/>
      </top>
      <bottom style="thick">
        <color theme="5"/>
      </bottom>
      <diagonal/>
    </border>
    <border>
      <left style="thin">
        <color indexed="64"/>
      </left>
      <right style="thin">
        <color indexed="64"/>
      </right>
      <top style="thin">
        <color indexed="64"/>
      </top>
      <bottom style="double">
        <color indexed="64"/>
      </bottom>
      <diagonal/>
    </border>
    <border>
      <left/>
      <right/>
      <top style="double">
        <color indexed="64"/>
      </top>
      <bottom/>
      <diagonal/>
    </border>
    <border>
      <left/>
      <right/>
      <top/>
      <bottom style="thin">
        <color theme="4" tint="0.399975585192419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indexed="64"/>
      </right>
      <top style="thin">
        <color indexed="64"/>
      </top>
      <bottom style="thin">
        <color theme="0" tint="-0.14996795556505021"/>
      </bottom>
      <diagonal/>
    </border>
    <border>
      <left style="thin">
        <color theme="0" tint="-0.14996795556505021"/>
      </left>
      <right style="thin">
        <color theme="0" tint="-0.14993743705557422"/>
      </right>
      <top style="thin">
        <color indexed="64"/>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3743705557422"/>
      </right>
      <top/>
      <bottom style="thin">
        <color indexed="64"/>
      </bottom>
      <diagonal/>
    </border>
    <border>
      <left style="thin">
        <color theme="0" tint="-0.14996795556505021"/>
      </left>
      <right/>
      <top/>
      <bottom style="thin">
        <color indexed="64"/>
      </bottom>
      <diagonal/>
    </border>
    <border>
      <left style="thin">
        <color theme="0" tint="-0.14993743705557422"/>
      </left>
      <right style="thin">
        <color indexed="64"/>
      </right>
      <top/>
      <bottom style="thin">
        <color indexed="64"/>
      </bottom>
      <diagonal/>
    </border>
    <border>
      <left style="thin">
        <color theme="0" tint="-0.14996795556505021"/>
      </left>
      <right style="thin">
        <color theme="0" tint="-0.14993743705557422"/>
      </right>
      <top/>
      <bottom/>
      <diagonal/>
    </border>
    <border>
      <left/>
      <right style="thin">
        <color theme="0" tint="-0.14996795556505021"/>
      </right>
      <top/>
      <bottom/>
      <diagonal/>
    </border>
    <border>
      <left style="thin">
        <color theme="0" tint="-0.14996795556505021"/>
      </left>
      <right style="thin">
        <color indexed="64"/>
      </right>
      <top style="thin">
        <color theme="0" tint="-0.14996795556505021"/>
      </top>
      <bottom/>
      <diagonal/>
    </border>
    <border>
      <left style="thin">
        <color theme="0" tint="-0.14993743705557422"/>
      </left>
      <right style="thin">
        <color indexed="64"/>
      </right>
      <top style="thin">
        <color theme="0" tint="-0.14990691854609822"/>
      </top>
      <bottom style="thin">
        <color theme="0" tint="-0.14990691854609822"/>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3743705557422"/>
      </right>
      <top/>
      <bottom style="thin">
        <color theme="0" tint="-0.14993743705557422"/>
      </bottom>
      <diagonal/>
    </border>
    <border>
      <left style="thin">
        <color theme="0" tint="-0.14993743705557422"/>
      </left>
      <right style="thin">
        <color indexed="64"/>
      </right>
      <top/>
      <bottom style="thin">
        <color theme="0" tint="-0.14990691854609822"/>
      </bottom>
      <diagonal/>
    </border>
    <border>
      <left style="thin">
        <color theme="0" tint="-0.14996795556505021"/>
      </left>
      <right style="thin">
        <color indexed="64"/>
      </right>
      <top/>
      <bottom style="thin">
        <color indexed="64"/>
      </bottom>
      <diagonal/>
    </border>
    <border>
      <left style="thin">
        <color theme="0" tint="-0.14996795556505021"/>
      </left>
      <right style="thin">
        <color theme="0" tint="-0.14996795556505021"/>
      </right>
      <top/>
      <bottom style="thin">
        <color theme="0" tint="-0.14993743705557422"/>
      </bottom>
      <diagonal/>
    </border>
    <border>
      <left style="thin">
        <color theme="0" tint="-0.14996795556505021"/>
      </left>
      <right/>
      <top/>
      <bottom style="thin">
        <color theme="0" tint="-0.14993743705557422"/>
      </bottom>
      <diagonal/>
    </border>
    <border>
      <left style="thin">
        <color indexed="64"/>
      </left>
      <right style="thin">
        <color theme="0" tint="-0.14996795556505021"/>
      </right>
      <top/>
      <bottom style="thin">
        <color theme="0" tint="-0.14993743705557422"/>
      </bottom>
      <diagonal/>
    </border>
    <border>
      <left style="thin">
        <color theme="0" tint="-0.14993743705557422"/>
      </left>
      <right style="thin">
        <color indexed="64"/>
      </right>
      <top style="thin">
        <color theme="0" tint="-0.14990691854609822"/>
      </top>
      <bottom style="thin">
        <color theme="0" tint="-0.14993743705557422"/>
      </bottom>
      <diagonal/>
    </border>
    <border>
      <left style="thin">
        <color theme="0" tint="-0.14996795556505021"/>
      </left>
      <right style="thin">
        <color theme="0" tint="-0.14996795556505021"/>
      </right>
      <top style="thick">
        <color theme="5"/>
      </top>
      <bottom style="thin">
        <color theme="0" tint="-0.14996795556505021"/>
      </bottom>
      <diagonal/>
    </border>
    <border>
      <left/>
      <right/>
      <top/>
      <bottom style="thin">
        <color theme="0" tint="-0.14996795556505021"/>
      </bottom>
      <diagonal/>
    </border>
    <border>
      <left/>
      <right/>
      <top style="thick">
        <color theme="5"/>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14993743705557422"/>
      </left>
      <right/>
      <top style="thin">
        <color theme="0" tint="-0.14990691854609822"/>
      </top>
      <bottom style="thin">
        <color theme="0" tint="-0.14990691854609822"/>
      </bottom>
      <diagonal/>
    </border>
    <border>
      <left style="thin">
        <color theme="0" tint="-0.14993743705557422"/>
      </left>
      <right/>
      <top/>
      <bottom style="thin">
        <color theme="0" tint="-0.14990691854609822"/>
      </bottom>
      <diagonal/>
    </border>
    <border>
      <left style="thin">
        <color theme="0" tint="-0.14993743705557422"/>
      </left>
      <right/>
      <top style="thin">
        <color theme="0" tint="-0.14990691854609822"/>
      </top>
      <bottom style="thin">
        <color theme="0" tint="-0.14993743705557422"/>
      </bottom>
      <diagonal/>
    </border>
    <border>
      <left/>
      <right/>
      <top style="thin">
        <color theme="5"/>
      </top>
      <bottom style="thin">
        <color theme="5"/>
      </bottom>
      <diagonal/>
    </border>
    <border>
      <left/>
      <right/>
      <top style="thin">
        <color theme="5"/>
      </top>
      <bottom/>
      <diagonal/>
    </border>
    <border>
      <left/>
      <right/>
      <top style="thick">
        <color theme="5"/>
      </top>
      <bottom style="medium">
        <color rgb="FF242424"/>
      </bottom>
      <diagonal/>
    </border>
    <border>
      <left/>
      <right/>
      <top style="medium">
        <color rgb="FF242424"/>
      </top>
      <bottom style="medium">
        <color rgb="FF242424"/>
      </bottom>
      <diagonal/>
    </border>
  </borders>
  <cellStyleXfs count="194">
    <xf numFmtId="0" fontId="0" fillId="0" borderId="0"/>
    <xf numFmtId="43" fontId="9" fillId="0" borderId="0" applyFont="0" applyFill="0" applyBorder="0" applyAlignment="0" applyProtection="0"/>
    <xf numFmtId="44" fontId="9" fillId="0" borderId="0" applyFont="0" applyFill="0" applyBorder="0" applyAlignment="0" applyProtection="0"/>
    <xf numFmtId="0" fontId="9" fillId="0" borderId="0"/>
    <xf numFmtId="0" fontId="9" fillId="0" borderId="0"/>
    <xf numFmtId="0" fontId="13" fillId="0" borderId="0"/>
    <xf numFmtId="9" fontId="13" fillId="0" borderId="0" applyFont="0" applyFill="0" applyBorder="0" applyAlignment="0" applyProtection="0"/>
    <xf numFmtId="0" fontId="22" fillId="0" borderId="0"/>
    <xf numFmtId="0" fontId="13" fillId="0" borderId="0"/>
    <xf numFmtId="0" fontId="9" fillId="0" borderId="0"/>
    <xf numFmtId="0" fontId="9" fillId="0" borderId="0"/>
    <xf numFmtId="0" fontId="9" fillId="0" borderId="0"/>
    <xf numFmtId="0" fontId="9" fillId="0" borderId="0"/>
    <xf numFmtId="0" fontId="9" fillId="0" borderId="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9"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9" borderId="0" applyNumberFormat="0" applyBorder="0" applyAlignment="0" applyProtection="0"/>
    <xf numFmtId="0" fontId="24" fillId="7" borderId="0" applyNumberFormat="0" applyBorder="0" applyAlignment="0" applyProtection="0"/>
    <xf numFmtId="0" fontId="25" fillId="9"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25" fillId="11" borderId="0" applyNumberFormat="0" applyBorder="0" applyAlignment="0" applyProtection="0"/>
    <xf numFmtId="0" fontId="25" fillId="9" borderId="0" applyNumberFormat="0" applyBorder="0" applyAlignment="0" applyProtection="0"/>
    <xf numFmtId="0" fontId="25" fillId="6" borderId="0" applyNumberFormat="0" applyBorder="0" applyAlignment="0" applyProtection="0"/>
    <xf numFmtId="0" fontId="25" fillId="14"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25"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26" fillId="18" borderId="0" applyNumberFormat="0" applyBorder="0" applyAlignment="0" applyProtection="0"/>
    <xf numFmtId="0" fontId="27" fillId="19" borderId="19" applyNumberFormat="0" applyAlignment="0" applyProtection="0"/>
    <xf numFmtId="0" fontId="28" fillId="20" borderId="20" applyNumberFormat="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24"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16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29" fillId="0" borderId="0" applyNumberFormat="0" applyFill="0" applyBorder="0" applyAlignment="0" applyProtection="0"/>
    <xf numFmtId="0" fontId="30" fillId="9" borderId="0" applyNumberFormat="0" applyBorder="0" applyAlignment="0" applyProtection="0"/>
    <xf numFmtId="0" fontId="31" fillId="0" borderId="21" applyNumberFormat="0" applyFill="0" applyAlignment="0" applyProtection="0"/>
    <xf numFmtId="0" fontId="32" fillId="0" borderId="22" applyNumberFormat="0" applyFill="0" applyAlignment="0" applyProtection="0"/>
    <xf numFmtId="0" fontId="33" fillId="0" borderId="23" applyNumberFormat="0" applyFill="0" applyAlignment="0" applyProtection="0"/>
    <xf numFmtId="0" fontId="33" fillId="0" borderId="0" applyNumberFormat="0" applyFill="0" applyBorder="0" applyAlignment="0" applyProtection="0"/>
    <xf numFmtId="0" fontId="34" fillId="0" borderId="0" applyNumberFormat="0" applyFill="0" applyBorder="0" applyAlignment="0" applyProtection="0">
      <alignment vertical="top"/>
      <protection locked="0"/>
    </xf>
    <xf numFmtId="0" fontId="35" fillId="0" borderId="0" applyNumberFormat="0" applyFill="0" applyBorder="0" applyAlignment="0" applyProtection="0"/>
    <xf numFmtId="0" fontId="36" fillId="10" borderId="19" applyNumberFormat="0" applyAlignment="0" applyProtection="0"/>
    <xf numFmtId="0" fontId="37" fillId="0" borderId="24" applyNumberFormat="0" applyFill="0" applyAlignment="0" applyProtection="0"/>
    <xf numFmtId="0" fontId="38" fillId="10" borderId="0" applyNumberFormat="0" applyBorder="0" applyAlignment="0" applyProtection="0"/>
    <xf numFmtId="171" fontId="3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0" fillId="0" borderId="0" applyAlignment="0">
      <alignment vertical="top" wrapText="1"/>
      <protection locked="0"/>
    </xf>
    <xf numFmtId="0" fontId="8" fillId="0" borderId="0"/>
    <xf numFmtId="0" fontId="8" fillId="0" borderId="0"/>
    <xf numFmtId="0" fontId="8" fillId="0" borderId="0"/>
    <xf numFmtId="0" fontId="9" fillId="0" borderId="0"/>
    <xf numFmtId="0" fontId="9" fillId="0" borderId="0">
      <alignment wrapText="1"/>
    </xf>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8" fillId="0" borderId="0"/>
    <xf numFmtId="0" fontId="8" fillId="0" borderId="0"/>
    <xf numFmtId="0" fontId="8" fillId="0" borderId="0"/>
    <xf numFmtId="0" fontId="8" fillId="0" borderId="0"/>
    <xf numFmtId="0" fontId="8" fillId="0" borderId="0"/>
    <xf numFmtId="0" fontId="9" fillId="0" borderId="0"/>
    <xf numFmtId="0" fontId="9" fillId="0" borderId="0"/>
    <xf numFmtId="0" fontId="8" fillId="0" borderId="0"/>
    <xf numFmtId="0" fontId="8"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172" fontId="41" fillId="0" borderId="0" applyBorder="0"/>
    <xf numFmtId="1" fontId="41" fillId="0" borderId="0" applyBorder="0"/>
    <xf numFmtId="168" fontId="41" fillId="0" borderId="2" applyBorder="0"/>
    <xf numFmtId="0" fontId="9" fillId="7" borderId="25" applyNumberFormat="0" applyFont="0" applyAlignment="0" applyProtection="0"/>
    <xf numFmtId="0" fontId="42" fillId="0" borderId="26"/>
    <xf numFmtId="173" fontId="9" fillId="0" borderId="0"/>
    <xf numFmtId="173" fontId="9" fillId="0" borderId="0"/>
    <xf numFmtId="173" fontId="9" fillId="0" borderId="0"/>
    <xf numFmtId="174" fontId="9" fillId="0" borderId="0"/>
    <xf numFmtId="174" fontId="9" fillId="0" borderId="0"/>
    <xf numFmtId="174" fontId="9" fillId="0" borderId="0"/>
    <xf numFmtId="0" fontId="43" fillId="19" borderId="27" applyNumberFormat="0" applyAlignment="0" applyProtection="0"/>
    <xf numFmtId="9" fontId="24"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175" fontId="41" fillId="0" borderId="0" applyBorder="0"/>
    <xf numFmtId="0" fontId="44" fillId="21" borderId="0">
      <alignment horizontal="left"/>
    </xf>
    <xf numFmtId="0" fontId="45" fillId="0" borderId="0">
      <alignment horizontal="center"/>
    </xf>
    <xf numFmtId="0" fontId="46" fillId="0" borderId="28">
      <alignment horizontal="left"/>
    </xf>
    <xf numFmtId="0" fontId="47" fillId="0" borderId="0" applyNumberFormat="0" applyFill="0" applyBorder="0" applyAlignment="0" applyProtection="0"/>
    <xf numFmtId="0" fontId="48" fillId="0" borderId="29" applyNumberFormat="0" applyFill="0" applyAlignment="0" applyProtection="0"/>
    <xf numFmtId="0" fontId="37" fillId="0" borderId="0" applyNumberFormat="0" applyFill="0" applyBorder="0" applyAlignment="0" applyProtection="0"/>
    <xf numFmtId="9" fontId="49" fillId="0" borderId="0" applyFont="0" applyFill="0" applyBorder="0" applyAlignment="0" applyProtection="0"/>
    <xf numFmtId="0" fontId="9" fillId="0" borderId="0"/>
    <xf numFmtId="0" fontId="13" fillId="0" borderId="0"/>
    <xf numFmtId="0" fontId="9" fillId="0" borderId="0"/>
    <xf numFmtId="44" fontId="13" fillId="0" borderId="0" applyFont="0" applyFill="0" applyBorder="0" applyAlignment="0" applyProtection="0"/>
    <xf numFmtId="43" fontId="13"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6" fillId="0" borderId="0"/>
    <xf numFmtId="0" fontId="5" fillId="0" borderId="0"/>
    <xf numFmtId="0" fontId="5" fillId="0" borderId="0"/>
    <xf numFmtId="0" fontId="4" fillId="0" borderId="57" applyNumberFormat="0" applyFont="0" applyAlignment="0" applyProtection="0"/>
    <xf numFmtId="0" fontId="4" fillId="33" borderId="79" applyNumberFormat="0" applyFont="0" applyAlignment="0" applyProtection="0"/>
    <xf numFmtId="0" fontId="2" fillId="0" borderId="0"/>
    <xf numFmtId="43" fontId="2" fillId="0" borderId="0" applyFont="0" applyFill="0" applyBorder="0" applyAlignment="0" applyProtection="0"/>
    <xf numFmtId="0" fontId="2" fillId="0" borderId="0"/>
    <xf numFmtId="9" fontId="2" fillId="0" borderId="0" applyFont="0" applyFill="0" applyBorder="0" applyAlignment="0" applyProtection="0"/>
    <xf numFmtId="0" fontId="13" fillId="0" borderId="0"/>
    <xf numFmtId="0" fontId="1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1012">
    <xf numFmtId="0" fontId="0" fillId="0" borderId="0" xfId="0"/>
    <xf numFmtId="0" fontId="10" fillId="2" borderId="0" xfId="3" applyFont="1" applyFill="1" applyAlignment="1">
      <alignment vertical="center"/>
    </xf>
    <xf numFmtId="0" fontId="11" fillId="2" borderId="0" xfId="4" applyFont="1" applyFill="1" applyAlignment="1">
      <alignment horizontal="left" vertical="center"/>
    </xf>
    <xf numFmtId="0" fontId="11" fillId="2" borderId="0" xfId="4" applyFont="1" applyFill="1" applyAlignment="1">
      <alignment horizontal="center" vertical="center"/>
    </xf>
    <xf numFmtId="0" fontId="12" fillId="2" borderId="0" xfId="4" applyFont="1" applyFill="1" applyAlignment="1">
      <alignment horizontal="right" vertical="center"/>
    </xf>
    <xf numFmtId="0" fontId="12" fillId="3" borderId="0" xfId="4" applyFont="1" applyFill="1" applyAlignment="1">
      <alignment horizontal="left" vertical="center"/>
    </xf>
    <xf numFmtId="0" fontId="12" fillId="3" borderId="0" xfId="4" applyFont="1" applyFill="1" applyAlignment="1">
      <alignment horizontal="right" vertical="center"/>
    </xf>
    <xf numFmtId="0" fontId="12" fillId="2" borderId="0" xfId="4" applyFont="1" applyFill="1" applyAlignment="1">
      <alignment vertical="center"/>
    </xf>
    <xf numFmtId="0" fontId="9" fillId="2" borderId="0" xfId="4" applyFill="1" applyAlignment="1">
      <alignment vertical="center"/>
    </xf>
    <xf numFmtId="0" fontId="14" fillId="2" borderId="0" xfId="5" applyFont="1" applyFill="1" applyAlignment="1" applyProtection="1">
      <alignment vertical="center"/>
      <protection locked="0"/>
    </xf>
    <xf numFmtId="0" fontId="9" fillId="2" borderId="0" xfId="5" applyFont="1" applyFill="1" applyProtection="1">
      <protection locked="0"/>
    </xf>
    <xf numFmtId="0" fontId="9" fillId="0" borderId="1" xfId="5" applyFont="1" applyBorder="1" applyProtection="1">
      <protection locked="0"/>
    </xf>
    <xf numFmtId="0" fontId="12" fillId="0" borderId="0" xfId="5" applyFont="1" applyProtection="1">
      <protection locked="0"/>
    </xf>
    <xf numFmtId="0" fontId="12" fillId="2" borderId="0" xfId="5" applyFont="1" applyFill="1" applyProtection="1">
      <protection locked="0"/>
    </xf>
    <xf numFmtId="0" fontId="9" fillId="0" borderId="0" xfId="5" applyFont="1" applyProtection="1">
      <protection locked="0"/>
    </xf>
    <xf numFmtId="0" fontId="12" fillId="3" borderId="0" xfId="5" applyFont="1" applyFill="1" applyProtection="1">
      <protection locked="0"/>
    </xf>
    <xf numFmtId="43" fontId="17" fillId="0" borderId="0" xfId="5" applyNumberFormat="1" applyFont="1" applyProtection="1">
      <protection locked="0"/>
    </xf>
    <xf numFmtId="0" fontId="18" fillId="3" borderId="0" xfId="5" applyFont="1" applyFill="1" applyProtection="1">
      <protection locked="0"/>
    </xf>
    <xf numFmtId="0" fontId="20" fillId="0" borderId="0" xfId="5" applyFont="1" applyProtection="1">
      <protection locked="0"/>
    </xf>
    <xf numFmtId="0" fontId="17" fillId="0" borderId="0" xfId="5" applyFont="1" applyProtection="1">
      <protection locked="0"/>
    </xf>
    <xf numFmtId="0" fontId="12" fillId="0" borderId="0" xfId="5" applyFont="1"/>
    <xf numFmtId="0" fontId="21" fillId="2" borderId="0" xfId="5" applyFont="1" applyFill="1" applyAlignment="1" applyProtection="1">
      <alignment horizontal="right"/>
      <protection locked="0"/>
    </xf>
    <xf numFmtId="168" fontId="9" fillId="2" borderId="0" xfId="5" applyNumberFormat="1" applyFont="1" applyFill="1" applyAlignment="1" applyProtection="1">
      <alignment horizontal="center"/>
      <protection locked="0"/>
    </xf>
    <xf numFmtId="0" fontId="12" fillId="0" borderId="0" xfId="7" applyFont="1"/>
    <xf numFmtId="0" fontId="9" fillId="0" borderId="0" xfId="5" applyFont="1"/>
    <xf numFmtId="168" fontId="9" fillId="0" borderId="0" xfId="5" applyNumberFormat="1" applyFont="1" applyAlignment="1">
      <alignment horizontal="center"/>
    </xf>
    <xf numFmtId="0" fontId="9" fillId="0" borderId="0" xfId="5" applyFont="1" applyAlignment="1">
      <alignment horizontal="center" wrapText="1"/>
    </xf>
    <xf numFmtId="0" fontId="9" fillId="0" borderId="0" xfId="5" applyFont="1" applyAlignment="1">
      <alignment wrapText="1"/>
    </xf>
    <xf numFmtId="0" fontId="9" fillId="0" borderId="0" xfId="5" applyFont="1" applyAlignment="1">
      <alignment horizontal="center"/>
    </xf>
    <xf numFmtId="0" fontId="13" fillId="0" borderId="0" xfId="8"/>
    <xf numFmtId="0" fontId="21" fillId="0" borderId="0" xfId="5" applyFont="1" applyProtection="1">
      <protection locked="0"/>
    </xf>
    <xf numFmtId="1" fontId="9" fillId="0" borderId="0" xfId="5" applyNumberFormat="1" applyFont="1" applyProtection="1">
      <protection locked="0"/>
    </xf>
    <xf numFmtId="1" fontId="21" fillId="0" borderId="0" xfId="5" applyNumberFormat="1" applyFont="1"/>
    <xf numFmtId="169" fontId="9" fillId="0" borderId="0" xfId="5" applyNumberFormat="1" applyFont="1" applyProtection="1">
      <protection locked="0"/>
    </xf>
    <xf numFmtId="0" fontId="13" fillId="0" borderId="0" xfId="8" applyProtection="1">
      <protection locked="0"/>
    </xf>
    <xf numFmtId="168" fontId="9" fillId="0" borderId="0" xfId="5" applyNumberFormat="1" applyFont="1" applyProtection="1">
      <protection locked="0"/>
    </xf>
    <xf numFmtId="168" fontId="9" fillId="0" borderId="0" xfId="5" applyNumberFormat="1" applyFont="1"/>
    <xf numFmtId="0" fontId="9" fillId="0" borderId="0" xfId="7" applyFont="1"/>
    <xf numFmtId="43" fontId="9" fillId="0" borderId="0" xfId="5" applyNumberFormat="1" applyFont="1" applyProtection="1">
      <protection locked="0"/>
    </xf>
    <xf numFmtId="0" fontId="9" fillId="3" borderId="0" xfId="5" applyFont="1" applyFill="1" applyAlignment="1" applyProtection="1">
      <alignment horizontal="right"/>
      <protection locked="0"/>
    </xf>
    <xf numFmtId="0" fontId="9" fillId="3" borderId="0" xfId="5" applyFont="1" applyFill="1" applyAlignment="1" applyProtection="1">
      <alignment horizontal="center"/>
      <protection locked="0"/>
    </xf>
    <xf numFmtId="0" fontId="9" fillId="0" borderId="0" xfId="5" applyFont="1" applyAlignment="1">
      <alignment horizontal="right" wrapText="1"/>
    </xf>
    <xf numFmtId="0" fontId="9" fillId="0" borderId="0" xfId="5" applyFont="1" applyAlignment="1">
      <alignment horizontal="right"/>
    </xf>
    <xf numFmtId="0" fontId="16" fillId="0" borderId="0" xfId="5" applyFont="1" applyProtection="1">
      <protection locked="0"/>
    </xf>
    <xf numFmtId="0" fontId="16" fillId="0" borderId="0" xfId="5" applyFont="1"/>
    <xf numFmtId="49" fontId="16" fillId="0" borderId="0" xfId="5" applyNumberFormat="1" applyFont="1"/>
    <xf numFmtId="14" fontId="16" fillId="4" borderId="0" xfId="5" applyNumberFormat="1" applyFont="1" applyFill="1"/>
    <xf numFmtId="0" fontId="17" fillId="0" borderId="0" xfId="5" applyFont="1"/>
    <xf numFmtId="14" fontId="17" fillId="0" borderId="0" xfId="5" applyNumberFormat="1" applyFont="1"/>
    <xf numFmtId="168" fontId="17" fillId="0" borderId="0" xfId="5" applyNumberFormat="1" applyFont="1" applyAlignment="1">
      <alignment horizontal="center"/>
    </xf>
    <xf numFmtId="0" fontId="17" fillId="0" borderId="0" xfId="5" applyFont="1" applyAlignment="1">
      <alignment horizontal="center"/>
    </xf>
    <xf numFmtId="0" fontId="17" fillId="0" borderId="0" xfId="7" applyFont="1"/>
    <xf numFmtId="0" fontId="19" fillId="0" borderId="0" xfId="8" applyFont="1"/>
    <xf numFmtId="167" fontId="9" fillId="0" borderId="0" xfId="5" applyNumberFormat="1" applyFont="1" applyAlignment="1">
      <alignment horizontal="center"/>
    </xf>
    <xf numFmtId="2" fontId="9" fillId="0" borderId="0" xfId="5" applyNumberFormat="1" applyFont="1" applyAlignment="1">
      <alignment horizontal="center"/>
    </xf>
    <xf numFmtId="167" fontId="9" fillId="0" borderId="0" xfId="5" applyNumberFormat="1" applyFont="1"/>
    <xf numFmtId="1" fontId="9" fillId="0" borderId="0" xfId="5" applyNumberFormat="1" applyFont="1"/>
    <xf numFmtId="168" fontId="9" fillId="0" borderId="0" xfId="5" applyNumberFormat="1" applyFont="1" applyAlignment="1" applyProtection="1">
      <alignment wrapText="1"/>
      <protection locked="0"/>
    </xf>
    <xf numFmtId="2" fontId="9" fillId="0" borderId="0" xfId="5" applyNumberFormat="1" applyFont="1"/>
    <xf numFmtId="170" fontId="9" fillId="0" borderId="0" xfId="5" applyNumberFormat="1" applyFont="1"/>
    <xf numFmtId="167" fontId="9" fillId="0" borderId="0" xfId="5" applyNumberFormat="1" applyFont="1" applyProtection="1">
      <protection locked="0"/>
    </xf>
    <xf numFmtId="0" fontId="9" fillId="0" borderId="0" xfId="5" applyFont="1" applyAlignment="1" applyProtection="1">
      <alignment wrapText="1"/>
      <protection locked="0"/>
    </xf>
    <xf numFmtId="3" fontId="9" fillId="0" borderId="0" xfId="5" applyNumberFormat="1" applyFont="1"/>
    <xf numFmtId="0" fontId="21" fillId="0" borderId="0" xfId="165" applyFont="1"/>
    <xf numFmtId="0" fontId="9" fillId="0" borderId="0" xfId="165"/>
    <xf numFmtId="10" fontId="9" fillId="0" borderId="0" xfId="165" applyNumberFormat="1"/>
    <xf numFmtId="0" fontId="9" fillId="0" borderId="0" xfId="165" applyAlignment="1">
      <alignment horizontal="right"/>
    </xf>
    <xf numFmtId="0" fontId="9" fillId="0" borderId="4" xfId="165" applyBorder="1"/>
    <xf numFmtId="0" fontId="9" fillId="0" borderId="1" xfId="165" applyBorder="1"/>
    <xf numFmtId="0" fontId="9" fillId="0" borderId="7" xfId="165" applyBorder="1"/>
    <xf numFmtId="0" fontId="9" fillId="0" borderId="2" xfId="165" applyBorder="1"/>
    <xf numFmtId="0" fontId="9" fillId="0" borderId="36" xfId="165" applyBorder="1"/>
    <xf numFmtId="0" fontId="9" fillId="0" borderId="3" xfId="165" applyBorder="1" applyAlignment="1">
      <alignment horizontal="left"/>
    </xf>
    <xf numFmtId="0" fontId="9" fillId="0" borderId="4" xfId="165" applyBorder="1" applyAlignment="1">
      <alignment horizontal="left"/>
    </xf>
    <xf numFmtId="0" fontId="9" fillId="0" borderId="17" xfId="165" applyBorder="1" applyAlignment="1">
      <alignment horizontal="left"/>
    </xf>
    <xf numFmtId="0" fontId="9" fillId="0" borderId="0" xfId="165" applyAlignment="1">
      <alignment vertical="top" wrapText="1"/>
    </xf>
    <xf numFmtId="41" fontId="9" fillId="0" borderId="2" xfId="165" applyNumberFormat="1" applyBorder="1" applyAlignment="1">
      <alignment vertical="top"/>
    </xf>
    <xf numFmtId="41" fontId="9" fillId="0" borderId="0" xfId="165" applyNumberFormat="1" applyAlignment="1">
      <alignment vertical="top"/>
    </xf>
    <xf numFmtId="41" fontId="9" fillId="0" borderId="36" xfId="165" applyNumberFormat="1" applyBorder="1" applyAlignment="1">
      <alignment vertical="top"/>
    </xf>
    <xf numFmtId="41" fontId="9" fillId="0" borderId="0" xfId="165" applyNumberFormat="1"/>
    <xf numFmtId="176" fontId="9" fillId="0" borderId="6" xfId="166" applyNumberFormat="1" applyFont="1" applyBorder="1"/>
    <xf numFmtId="176" fontId="9" fillId="0" borderId="37" xfId="165" applyNumberFormat="1" applyBorder="1"/>
    <xf numFmtId="176" fontId="9" fillId="0" borderId="38" xfId="165" applyNumberFormat="1" applyBorder="1"/>
    <xf numFmtId="176" fontId="9" fillId="0" borderId="18" xfId="165" applyNumberFormat="1" applyBorder="1"/>
    <xf numFmtId="176" fontId="9" fillId="0" borderId="0" xfId="165" applyNumberFormat="1"/>
    <xf numFmtId="41" fontId="50" fillId="0" borderId="0" xfId="165" applyNumberFormat="1" applyFont="1"/>
    <xf numFmtId="176" fontId="9" fillId="23" borderId="37" xfId="165" applyNumberFormat="1" applyFill="1" applyBorder="1"/>
    <xf numFmtId="176" fontId="9" fillId="0" borderId="2" xfId="165" applyNumberFormat="1" applyBorder="1" applyAlignment="1">
      <alignment vertical="top"/>
    </xf>
    <xf numFmtId="176" fontId="9" fillId="0" borderId="0" xfId="165" applyNumberFormat="1" applyAlignment="1">
      <alignment vertical="top"/>
    </xf>
    <xf numFmtId="176" fontId="9" fillId="0" borderId="36" xfId="165" applyNumberFormat="1" applyBorder="1" applyAlignment="1">
      <alignment vertical="top"/>
    </xf>
    <xf numFmtId="176" fontId="9" fillId="0" borderId="39" xfId="165" applyNumberFormat="1" applyBorder="1"/>
    <xf numFmtId="176" fontId="9" fillId="0" borderId="40" xfId="165" applyNumberFormat="1" applyBorder="1"/>
    <xf numFmtId="176" fontId="9" fillId="0" borderId="41" xfId="165" applyNumberFormat="1" applyBorder="1"/>
    <xf numFmtId="167" fontId="9" fillId="0" borderId="6" xfId="165" applyNumberFormat="1" applyBorder="1" applyAlignment="1">
      <alignment horizontal="center"/>
    </xf>
    <xf numFmtId="2" fontId="9" fillId="0" borderId="0" xfId="166" applyNumberFormat="1" applyFont="1"/>
    <xf numFmtId="176" fontId="9" fillId="0" borderId="6" xfId="165" applyNumberFormat="1" applyBorder="1" applyAlignment="1">
      <alignment horizontal="center"/>
    </xf>
    <xf numFmtId="0" fontId="9" fillId="0" borderId="0" xfId="165" applyAlignment="1">
      <alignment horizontal="center"/>
    </xf>
    <xf numFmtId="169" fontId="9" fillId="0" borderId="0" xfId="165" applyNumberFormat="1"/>
    <xf numFmtId="9" fontId="9" fillId="0" borderId="0" xfId="165" applyNumberFormat="1"/>
    <xf numFmtId="177" fontId="9" fillId="0" borderId="0" xfId="165" applyNumberFormat="1"/>
    <xf numFmtId="0" fontId="9" fillId="0" borderId="0" xfId="166" applyFont="1" applyAlignment="1">
      <alignment horizontal="center"/>
    </xf>
    <xf numFmtId="176" fontId="9" fillId="0" borderId="0" xfId="166" applyNumberFormat="1" applyFont="1"/>
    <xf numFmtId="0" fontId="9" fillId="0" borderId="0" xfId="166" applyFont="1"/>
    <xf numFmtId="0" fontId="52" fillId="0" borderId="0" xfId="165" applyFont="1"/>
    <xf numFmtId="0" fontId="9" fillId="0" borderId="0" xfId="165" applyAlignment="1">
      <alignment horizontal="left" indent="1"/>
    </xf>
    <xf numFmtId="0" fontId="21" fillId="0" borderId="0" xfId="167" applyFont="1"/>
    <xf numFmtId="0" fontId="9" fillId="0" borderId="0" xfId="167"/>
    <xf numFmtId="0" fontId="21" fillId="22" borderId="0" xfId="167" applyFont="1" applyFill="1"/>
    <xf numFmtId="0" fontId="9" fillId="22" borderId="0" xfId="167" applyFill="1"/>
    <xf numFmtId="0" fontId="21" fillId="0" borderId="0" xfId="167" applyFont="1" applyAlignment="1">
      <alignment horizontal="left"/>
    </xf>
    <xf numFmtId="0" fontId="21" fillId="0" borderId="0" xfId="167" applyFont="1" applyAlignment="1">
      <alignment horizontal="left" vertical="top"/>
    </xf>
    <xf numFmtId="0" fontId="9" fillId="0" borderId="0" xfId="167" applyAlignment="1">
      <alignment horizontal="right"/>
    </xf>
    <xf numFmtId="0" fontId="9" fillId="0" borderId="1" xfId="167" applyBorder="1"/>
    <xf numFmtId="0" fontId="9" fillId="0" borderId="7" xfId="167" applyBorder="1"/>
    <xf numFmtId="0" fontId="9" fillId="0" borderId="2" xfId="167" applyBorder="1"/>
    <xf numFmtId="0" fontId="9" fillId="0" borderId="0" xfId="167" applyAlignment="1">
      <alignment vertical="top" wrapText="1"/>
    </xf>
    <xf numFmtId="41" fontId="9" fillId="0" borderId="2" xfId="167" applyNumberFormat="1" applyBorder="1" applyAlignment="1">
      <alignment vertical="top"/>
    </xf>
    <xf numFmtId="41" fontId="9" fillId="0" borderId="0" xfId="167" applyNumberFormat="1" applyAlignment="1">
      <alignment vertical="top"/>
    </xf>
    <xf numFmtId="176" fontId="9" fillId="0" borderId="36" xfId="167" applyNumberFormat="1" applyBorder="1" applyAlignment="1">
      <alignment vertical="top"/>
    </xf>
    <xf numFmtId="176" fontId="9" fillId="0" borderId="37" xfId="167" applyNumberFormat="1" applyBorder="1" applyAlignment="1">
      <alignment vertical="top"/>
    </xf>
    <xf numFmtId="176" fontId="9" fillId="0" borderId="0" xfId="167" applyNumberFormat="1"/>
    <xf numFmtId="176" fontId="9" fillId="0" borderId="2" xfId="167" applyNumberFormat="1" applyBorder="1" applyAlignment="1">
      <alignment vertical="top"/>
    </xf>
    <xf numFmtId="176" fontId="9" fillId="0" borderId="0" xfId="167" applyNumberFormat="1" applyAlignment="1">
      <alignment vertical="top"/>
    </xf>
    <xf numFmtId="176" fontId="9" fillId="0" borderId="39" xfId="167" applyNumberFormat="1" applyBorder="1"/>
    <xf numFmtId="176" fontId="9" fillId="0" borderId="40" xfId="167" applyNumberFormat="1" applyBorder="1"/>
    <xf numFmtId="176" fontId="9" fillId="0" borderId="41" xfId="167" applyNumberFormat="1" applyBorder="1"/>
    <xf numFmtId="44" fontId="9" fillId="0" borderId="0" xfId="165" applyNumberFormat="1" applyAlignment="1">
      <alignment vertical="top"/>
    </xf>
    <xf numFmtId="0" fontId="21" fillId="0" borderId="0" xfId="167" applyFont="1" applyAlignment="1">
      <alignment horizontal="center"/>
    </xf>
    <xf numFmtId="0" fontId="9" fillId="0" borderId="0" xfId="167" applyAlignment="1">
      <alignment wrapText="1"/>
    </xf>
    <xf numFmtId="177" fontId="9" fillId="4" borderId="0" xfId="167" applyNumberFormat="1" applyFill="1" applyAlignment="1">
      <alignment horizontal="center" vertical="center" wrapText="1"/>
    </xf>
    <xf numFmtId="41" fontId="55" fillId="0" borderId="0" xfId="167" applyNumberFormat="1" applyFont="1" applyAlignment="1">
      <alignment vertical="top"/>
    </xf>
    <xf numFmtId="0" fontId="21" fillId="0" borderId="0" xfId="167" applyFont="1" applyAlignment="1">
      <alignment horizontal="right"/>
    </xf>
    <xf numFmtId="168" fontId="9" fillId="0" borderId="0" xfId="167" applyNumberFormat="1" applyAlignment="1">
      <alignment horizontal="center"/>
    </xf>
    <xf numFmtId="5" fontId="9" fillId="0" borderId="0" xfId="168" applyNumberFormat="1" applyFont="1" applyAlignment="1">
      <alignment horizontal="center"/>
    </xf>
    <xf numFmtId="177" fontId="9" fillId="4" borderId="0" xfId="167" applyNumberFormat="1" applyFill="1" applyAlignment="1">
      <alignment horizontal="center"/>
    </xf>
    <xf numFmtId="10" fontId="9" fillId="0" borderId="0" xfId="167" applyNumberFormat="1" applyAlignment="1">
      <alignment vertical="top"/>
    </xf>
    <xf numFmtId="9" fontId="9" fillId="0" borderId="0" xfId="167" applyNumberFormat="1" applyAlignment="1">
      <alignment horizontal="center"/>
    </xf>
    <xf numFmtId="177" fontId="9" fillId="0" borderId="0" xfId="167" applyNumberFormat="1" applyAlignment="1">
      <alignment horizontal="center" vertical="center" wrapText="1"/>
    </xf>
    <xf numFmtId="10" fontId="9" fillId="4" borderId="0" xfId="167" applyNumberFormat="1" applyFill="1" applyAlignment="1">
      <alignment horizontal="center" vertical="top"/>
    </xf>
    <xf numFmtId="41" fontId="9" fillId="0" borderId="0" xfId="167" applyNumberFormat="1" applyAlignment="1">
      <alignment horizontal="right" vertical="top"/>
    </xf>
    <xf numFmtId="178" fontId="9" fillId="0" borderId="0" xfId="168" applyNumberFormat="1" applyFont="1" applyBorder="1" applyAlignment="1">
      <alignment vertical="top"/>
    </xf>
    <xf numFmtId="41" fontId="56" fillId="0" borderId="0" xfId="167" applyNumberFormat="1" applyFont="1" applyAlignment="1">
      <alignment horizontal="left" vertical="top"/>
    </xf>
    <xf numFmtId="0" fontId="20" fillId="0" borderId="0" xfId="167" applyFont="1" applyAlignment="1">
      <alignment horizontal="left"/>
    </xf>
    <xf numFmtId="0" fontId="9" fillId="3" borderId="0" xfId="167" applyFill="1"/>
    <xf numFmtId="179" fontId="57" fillId="3" borderId="0" xfId="169" applyNumberFormat="1" applyFont="1" applyFill="1" applyBorder="1" applyAlignment="1">
      <alignment horizontal="left" vertical="top"/>
    </xf>
    <xf numFmtId="0" fontId="58" fillId="3" borderId="0" xfId="3" applyFont="1" applyFill="1" applyAlignment="1">
      <alignment horizontal="left" vertical="top"/>
    </xf>
    <xf numFmtId="168" fontId="58" fillId="3" borderId="0" xfId="3" applyNumberFormat="1" applyFont="1" applyFill="1" applyAlignment="1">
      <alignment horizontal="left" vertical="top"/>
    </xf>
    <xf numFmtId="10" fontId="58" fillId="3" borderId="0" xfId="6" applyNumberFormat="1" applyFont="1" applyFill="1" applyBorder="1" applyAlignment="1">
      <alignment horizontal="left" vertical="top"/>
    </xf>
    <xf numFmtId="168" fontId="58" fillId="3" borderId="0" xfId="169" applyNumberFormat="1" applyFont="1" applyFill="1" applyBorder="1" applyAlignment="1">
      <alignment horizontal="left" vertical="top"/>
    </xf>
    <xf numFmtId="178" fontId="58" fillId="3" borderId="0" xfId="168" applyNumberFormat="1" applyFont="1" applyFill="1" applyBorder="1" applyAlignment="1">
      <alignment horizontal="left" vertical="top"/>
    </xf>
    <xf numFmtId="9" fontId="58" fillId="3" borderId="0" xfId="6" applyFont="1" applyFill="1" applyBorder="1" applyAlignment="1">
      <alignment horizontal="left" vertical="top"/>
    </xf>
    <xf numFmtId="5" fontId="58" fillId="3" borderId="0" xfId="6" applyNumberFormat="1" applyFont="1" applyFill="1" applyBorder="1" applyAlignment="1">
      <alignment horizontal="left" vertical="top"/>
    </xf>
    <xf numFmtId="180" fontId="9" fillId="0" borderId="0" xfId="165" applyNumberFormat="1" applyAlignment="1">
      <alignment vertical="top"/>
    </xf>
    <xf numFmtId="0" fontId="21" fillId="0" borderId="0" xfId="5" applyFont="1" applyAlignment="1">
      <alignment wrapText="1"/>
    </xf>
    <xf numFmtId="2" fontId="9" fillId="0" borderId="0" xfId="5" applyNumberFormat="1" applyFont="1" applyAlignment="1">
      <alignment horizontal="center" vertical="center"/>
    </xf>
    <xf numFmtId="168" fontId="21" fillId="0" borderId="0" xfId="5" applyNumberFormat="1" applyFont="1" applyAlignment="1">
      <alignment horizontal="center"/>
    </xf>
    <xf numFmtId="168" fontId="9" fillId="24" borderId="0" xfId="5" applyNumberFormat="1" applyFont="1" applyFill="1" applyAlignment="1">
      <alignment horizontal="center" vertical="center"/>
    </xf>
    <xf numFmtId="1" fontId="9" fillId="0" borderId="0" xfId="5" applyNumberFormat="1" applyFont="1" applyAlignment="1">
      <alignment horizontal="right" vertical="center"/>
    </xf>
    <xf numFmtId="0" fontId="9" fillId="0" borderId="0" xfId="5" applyFont="1" applyAlignment="1">
      <alignment horizontal="right" vertical="center"/>
    </xf>
    <xf numFmtId="14" fontId="15" fillId="3" borderId="0" xfId="3" applyNumberFormat="1" applyFont="1" applyFill="1" applyAlignment="1">
      <alignment horizontal="right"/>
    </xf>
    <xf numFmtId="165" fontId="15" fillId="3" borderId="0" xfId="3" applyNumberFormat="1" applyFont="1" applyFill="1" applyAlignment="1">
      <alignment horizontal="right"/>
    </xf>
    <xf numFmtId="0" fontId="15" fillId="3" borderId="0" xfId="3" applyFont="1" applyFill="1" applyAlignment="1">
      <alignment horizontal="right"/>
    </xf>
    <xf numFmtId="166" fontId="15" fillId="3" borderId="0" xfId="3" applyNumberFormat="1" applyFont="1" applyFill="1" applyAlignment="1">
      <alignment horizontal="right"/>
    </xf>
    <xf numFmtId="14" fontId="15" fillId="25" borderId="10" xfId="3" applyNumberFormat="1" applyFont="1" applyFill="1" applyBorder="1" applyAlignment="1">
      <alignment horizontal="right"/>
    </xf>
    <xf numFmtId="165" fontId="15" fillId="25" borderId="10" xfId="3" applyNumberFormat="1" applyFont="1" applyFill="1" applyBorder="1" applyAlignment="1">
      <alignment horizontal="left"/>
    </xf>
    <xf numFmtId="6" fontId="15" fillId="25" borderId="11" xfId="2" applyNumberFormat="1" applyFont="1" applyFill="1" applyBorder="1" applyAlignment="1">
      <alignment horizontal="right"/>
    </xf>
    <xf numFmtId="6" fontId="15" fillId="25" borderId="9" xfId="2" applyNumberFormat="1" applyFont="1" applyFill="1" applyBorder="1" applyAlignment="1">
      <alignment horizontal="right"/>
    </xf>
    <xf numFmtId="44" fontId="15" fillId="25" borderId="10" xfId="2" applyFont="1" applyFill="1" applyBorder="1" applyAlignment="1">
      <alignment horizontal="right"/>
    </xf>
    <xf numFmtId="44" fontId="15" fillId="25" borderId="12" xfId="2" applyFont="1" applyFill="1" applyBorder="1" applyAlignment="1">
      <alignment horizontal="right"/>
    </xf>
    <xf numFmtId="165" fontId="15" fillId="25" borderId="13" xfId="3" applyNumberFormat="1" applyFont="1" applyFill="1" applyBorder="1" applyAlignment="1">
      <alignment horizontal="right"/>
    </xf>
    <xf numFmtId="9" fontId="15" fillId="25" borderId="14" xfId="164" applyFont="1" applyFill="1" applyBorder="1" applyAlignment="1">
      <alignment horizontal="right"/>
    </xf>
    <xf numFmtId="165" fontId="15" fillId="25" borderId="10" xfId="3" applyNumberFormat="1" applyFont="1" applyFill="1" applyBorder="1"/>
    <xf numFmtId="6" fontId="15" fillId="25" borderId="34" xfId="2" applyNumberFormat="1" applyFont="1" applyFill="1" applyBorder="1" applyAlignment="1">
      <alignment horizontal="right"/>
    </xf>
    <xf numFmtId="9" fontId="15" fillId="25" borderId="35" xfId="164" applyFont="1" applyFill="1" applyBorder="1" applyAlignment="1">
      <alignment horizontal="right"/>
    </xf>
    <xf numFmtId="165" fontId="15" fillId="25" borderId="16" xfId="3" applyNumberFormat="1" applyFont="1" applyFill="1" applyBorder="1"/>
    <xf numFmtId="165" fontId="15" fillId="25" borderId="16" xfId="3" applyNumberFormat="1" applyFont="1" applyFill="1" applyBorder="1" applyAlignment="1">
      <alignment horizontal="right"/>
    </xf>
    <xf numFmtId="44" fontId="15" fillId="25" borderId="11" xfId="2" applyFont="1" applyFill="1" applyBorder="1" applyAlignment="1">
      <alignment horizontal="right"/>
    </xf>
    <xf numFmtId="14" fontId="62" fillId="0" borderId="0" xfId="5" applyNumberFormat="1" applyFont="1"/>
    <xf numFmtId="165" fontId="9" fillId="0" borderId="0" xfId="5" applyNumberFormat="1" applyFont="1"/>
    <xf numFmtId="43" fontId="9" fillId="0" borderId="0" xfId="5" applyNumberFormat="1" applyFont="1"/>
    <xf numFmtId="165" fontId="9" fillId="0" borderId="0" xfId="5" applyNumberFormat="1" applyFont="1" applyProtection="1">
      <protection locked="0"/>
    </xf>
    <xf numFmtId="0" fontId="9" fillId="0" borderId="0" xfId="5" applyFont="1" applyAlignment="1" applyProtection="1">
      <alignment horizontal="right"/>
      <protection locked="0"/>
    </xf>
    <xf numFmtId="0" fontId="0" fillId="0" borderId="0" xfId="0" applyAlignment="1">
      <alignment vertical="center"/>
    </xf>
    <xf numFmtId="165" fontId="0" fillId="0" borderId="0" xfId="1" applyNumberFormat="1" applyFont="1" applyFill="1" applyAlignment="1">
      <alignment vertical="center"/>
    </xf>
    <xf numFmtId="0" fontId="64" fillId="0" borderId="46" xfId="0" applyFont="1" applyBorder="1" applyAlignment="1">
      <alignment horizontal="left" vertical="center"/>
    </xf>
    <xf numFmtId="0" fontId="9" fillId="0" borderId="0" xfId="0" applyFont="1"/>
    <xf numFmtId="0" fontId="64" fillId="0" borderId="0" xfId="0" applyFont="1" applyAlignment="1">
      <alignment horizontal="left" vertical="center"/>
    </xf>
    <xf numFmtId="0" fontId="12" fillId="26" borderId="0" xfId="5" applyFont="1" applyFill="1" applyProtection="1">
      <protection locked="0"/>
    </xf>
    <xf numFmtId="0" fontId="16" fillId="26" borderId="0" xfId="5" applyFont="1" applyFill="1" applyProtection="1">
      <protection locked="0"/>
    </xf>
    <xf numFmtId="0" fontId="16" fillId="26" borderId="0" xfId="5" applyFont="1" applyFill="1"/>
    <xf numFmtId="0" fontId="9" fillId="26" borderId="0" xfId="5" applyFont="1" applyFill="1" applyProtection="1">
      <protection locked="0"/>
    </xf>
    <xf numFmtId="0" fontId="9" fillId="26" borderId="0" xfId="5" applyFont="1" applyFill="1"/>
    <xf numFmtId="3" fontId="9" fillId="26" borderId="0" xfId="5" applyNumberFormat="1" applyFont="1" applyFill="1"/>
    <xf numFmtId="43" fontId="0" fillId="0" borderId="0" xfId="1" applyFont="1"/>
    <xf numFmtId="166" fontId="0" fillId="0" borderId="0" xfId="1" applyNumberFormat="1" applyFont="1"/>
    <xf numFmtId="165" fontId="0" fillId="0" borderId="0" xfId="1" applyNumberFormat="1" applyFont="1"/>
    <xf numFmtId="0" fontId="65" fillId="0" borderId="0" xfId="0" applyFont="1"/>
    <xf numFmtId="165" fontId="0" fillId="0" borderId="0" xfId="1" applyNumberFormat="1" applyFont="1" applyFill="1"/>
    <xf numFmtId="0" fontId="9" fillId="0" borderId="0" xfId="0" applyFont="1" applyAlignment="1">
      <alignment vertical="center"/>
    </xf>
    <xf numFmtId="9" fontId="0" fillId="0" borderId="0" xfId="164" applyFont="1" applyAlignment="1">
      <alignment horizontal="center"/>
    </xf>
    <xf numFmtId="0" fontId="64" fillId="0" borderId="46" xfId="0" applyFont="1" applyBorder="1" applyAlignment="1">
      <alignment horizontal="center" vertical="center"/>
    </xf>
    <xf numFmtId="165" fontId="0" fillId="0" borderId="47" xfId="1" applyNumberFormat="1" applyFont="1" applyBorder="1"/>
    <xf numFmtId="9" fontId="0" fillId="0" borderId="47" xfId="164" applyFont="1" applyBorder="1" applyAlignment="1">
      <alignment horizontal="center"/>
    </xf>
    <xf numFmtId="165" fontId="0" fillId="0" borderId="0" xfId="0" applyNumberFormat="1"/>
    <xf numFmtId="165" fontId="0" fillId="0" borderId="0" xfId="164" applyNumberFormat="1" applyFont="1" applyAlignment="1">
      <alignment horizontal="center"/>
    </xf>
    <xf numFmtId="168" fontId="12" fillId="0" borderId="0" xfId="5" applyNumberFormat="1" applyFont="1" applyProtection="1">
      <protection locked="0"/>
    </xf>
    <xf numFmtId="14" fontId="12" fillId="0" borderId="0" xfId="5" applyNumberFormat="1" applyFont="1"/>
    <xf numFmtId="14" fontId="12" fillId="0" borderId="0" xfId="5" applyNumberFormat="1" applyFont="1" applyProtection="1">
      <protection locked="0"/>
    </xf>
    <xf numFmtId="166" fontId="0" fillId="0" borderId="47" xfId="1" applyNumberFormat="1" applyFont="1" applyBorder="1"/>
    <xf numFmtId="165" fontId="0" fillId="0" borderId="0" xfId="1" applyNumberFormat="1" applyFont="1" applyBorder="1"/>
    <xf numFmtId="9" fontId="0" fillId="0" borderId="0" xfId="164" applyFont="1" applyBorder="1" applyAlignment="1">
      <alignment horizontal="center"/>
    </xf>
    <xf numFmtId="9" fontId="0" fillId="0" borderId="0" xfId="164" applyFont="1" applyFill="1" applyBorder="1" applyAlignment="1">
      <alignment horizontal="center" vertical="center"/>
    </xf>
    <xf numFmtId="9" fontId="0" fillId="0" borderId="0" xfId="164" applyFont="1" applyFill="1" applyAlignment="1">
      <alignment horizontal="center" vertical="center"/>
    </xf>
    <xf numFmtId="43" fontId="0" fillId="0" borderId="0" xfId="1" applyFont="1" applyBorder="1"/>
    <xf numFmtId="0" fontId="7" fillId="0" borderId="0" xfId="170"/>
    <xf numFmtId="0" fontId="64" fillId="0" borderId="46" xfId="170" applyFont="1" applyBorder="1" applyAlignment="1">
      <alignment horizontal="left" vertical="center" wrapText="1"/>
    </xf>
    <xf numFmtId="0" fontId="7" fillId="0" borderId="0" xfId="170" applyAlignment="1">
      <alignment vertical="center"/>
    </xf>
    <xf numFmtId="0" fontId="67" fillId="0" borderId="0" xfId="170" applyFont="1" applyAlignment="1">
      <alignment vertical="center"/>
    </xf>
    <xf numFmtId="165" fontId="7" fillId="0" borderId="0" xfId="170" applyNumberFormat="1"/>
    <xf numFmtId="165" fontId="0" fillId="0" borderId="0" xfId="171" applyNumberFormat="1" applyFont="1"/>
    <xf numFmtId="177" fontId="0" fillId="0" borderId="0" xfId="172" applyNumberFormat="1" applyFont="1"/>
    <xf numFmtId="9" fontId="0" fillId="0" borderId="0" xfId="172" applyFont="1"/>
    <xf numFmtId="43" fontId="0" fillId="0" borderId="0" xfId="171" applyFont="1"/>
    <xf numFmtId="0" fontId="68" fillId="0" borderId="0" xfId="0" applyFont="1"/>
    <xf numFmtId="9" fontId="7" fillId="0" borderId="0" xfId="170" applyNumberFormat="1"/>
    <xf numFmtId="0" fontId="7" fillId="27" borderId="0" xfId="170" applyFill="1"/>
    <xf numFmtId="0" fontId="7" fillId="28" borderId="0" xfId="170" applyFill="1"/>
    <xf numFmtId="0" fontId="69" fillId="0" borderId="0" xfId="0" applyFont="1"/>
    <xf numFmtId="165" fontId="69" fillId="0" borderId="0" xfId="171" applyNumberFormat="1" applyFont="1" applyFill="1" applyBorder="1" applyAlignment="1"/>
    <xf numFmtId="9" fontId="69" fillId="0" borderId="0" xfId="164" applyFont="1" applyFill="1" applyBorder="1" applyAlignment="1">
      <alignment horizontal="center"/>
    </xf>
    <xf numFmtId="9" fontId="69" fillId="0" borderId="0" xfId="164" applyFont="1" applyAlignment="1">
      <alignment horizontal="center"/>
    </xf>
    <xf numFmtId="165" fontId="69" fillId="0" borderId="0" xfId="171" applyNumberFormat="1" applyFont="1" applyFill="1" applyAlignment="1"/>
    <xf numFmtId="9" fontId="69" fillId="0" borderId="0" xfId="164" applyFont="1" applyFill="1" applyAlignment="1">
      <alignment horizontal="center"/>
    </xf>
    <xf numFmtId="165" fontId="15" fillId="4" borderId="10" xfId="3" applyNumberFormat="1" applyFont="1" applyFill="1" applyBorder="1" applyAlignment="1">
      <alignment horizontal="right"/>
    </xf>
    <xf numFmtId="165" fontId="70" fillId="0" borderId="41" xfId="170" applyNumberFormat="1" applyFont="1" applyBorder="1"/>
    <xf numFmtId="0" fontId="70" fillId="0" borderId="41" xfId="170" applyFont="1" applyBorder="1"/>
    <xf numFmtId="0" fontId="7" fillId="0" borderId="41" xfId="170" applyBorder="1"/>
    <xf numFmtId="6" fontId="0" fillId="0" borderId="0" xfId="0" applyNumberFormat="1"/>
    <xf numFmtId="0" fontId="9" fillId="0" borderId="0" xfId="0" applyFont="1" applyAlignment="1">
      <alignment horizontal="right"/>
    </xf>
    <xf numFmtId="44" fontId="0" fillId="0" borderId="0" xfId="2" applyFont="1"/>
    <xf numFmtId="0" fontId="0" fillId="0" borderId="41" xfId="0" applyBorder="1"/>
    <xf numFmtId="165" fontId="0" fillId="0" borderId="41" xfId="0" applyNumberFormat="1" applyBorder="1"/>
    <xf numFmtId="0" fontId="64" fillId="0" borderId="46" xfId="170" applyFont="1" applyBorder="1" applyAlignment="1">
      <alignment horizontal="center" vertical="center" wrapText="1"/>
    </xf>
    <xf numFmtId="165" fontId="66" fillId="0" borderId="41" xfId="170" applyNumberFormat="1" applyFont="1" applyBorder="1"/>
    <xf numFmtId="0" fontId="64" fillId="0" borderId="50" xfId="170" applyFont="1" applyBorder="1" applyAlignment="1">
      <alignment horizontal="left" vertical="center" wrapText="1"/>
    </xf>
    <xf numFmtId="0" fontId="64" fillId="0" borderId="51" xfId="170" applyFont="1" applyBorder="1" applyAlignment="1">
      <alignment horizontal="center" vertical="center" wrapText="1"/>
    </xf>
    <xf numFmtId="0" fontId="7" fillId="0" borderId="2" xfId="170" applyBorder="1"/>
    <xf numFmtId="9" fontId="7" fillId="0" borderId="0" xfId="170" applyNumberFormat="1" applyAlignment="1">
      <alignment horizontal="center"/>
    </xf>
    <xf numFmtId="0" fontId="64" fillId="0" borderId="51" xfId="170" applyFont="1" applyBorder="1" applyAlignment="1">
      <alignment horizontal="left" vertical="center" wrapText="1"/>
    </xf>
    <xf numFmtId="0" fontId="7" fillId="0" borderId="36" xfId="170" applyBorder="1"/>
    <xf numFmtId="0" fontId="59" fillId="0" borderId="2" xfId="170" applyFont="1" applyBorder="1"/>
    <xf numFmtId="0" fontId="7" fillId="0" borderId="45" xfId="170" applyBorder="1"/>
    <xf numFmtId="0" fontId="7" fillId="0" borderId="1" xfId="170" applyBorder="1"/>
    <xf numFmtId="165" fontId="70" fillId="0" borderId="41" xfId="1" applyNumberFormat="1" applyFont="1" applyBorder="1" applyAlignment="1"/>
    <xf numFmtId="0" fontId="7" fillId="0" borderId="7" xfId="170" applyBorder="1"/>
    <xf numFmtId="0" fontId="64" fillId="0" borderId="53" xfId="170" applyFont="1" applyBorder="1" applyAlignment="1">
      <alignment horizontal="left" vertical="center" wrapText="1"/>
    </xf>
    <xf numFmtId="0" fontId="7" fillId="0" borderId="26" xfId="170" applyBorder="1"/>
    <xf numFmtId="0" fontId="7" fillId="0" borderId="5" xfId="170" applyBorder="1"/>
    <xf numFmtId="0" fontId="7" fillId="29" borderId="26" xfId="170" applyFill="1" applyBorder="1"/>
    <xf numFmtId="2" fontId="69" fillId="0" borderId="0" xfId="1" applyNumberFormat="1" applyFont="1" applyFill="1" applyBorder="1" applyAlignment="1">
      <alignment horizontal="center"/>
    </xf>
    <xf numFmtId="0" fontId="59" fillId="0" borderId="0" xfId="170" applyFont="1"/>
    <xf numFmtId="165" fontId="0" fillId="0" borderId="47" xfId="164" applyNumberFormat="1" applyFont="1" applyBorder="1" applyAlignment="1">
      <alignment horizontal="center"/>
    </xf>
    <xf numFmtId="165" fontId="59" fillId="0" borderId="41" xfId="1" applyNumberFormat="1" applyFont="1" applyBorder="1" applyAlignment="1"/>
    <xf numFmtId="165" fontId="59" fillId="0" borderId="41" xfId="1" applyNumberFormat="1" applyFont="1" applyBorder="1" applyAlignment="1">
      <alignment horizontal="center"/>
    </xf>
    <xf numFmtId="9" fontId="59" fillId="0" borderId="40" xfId="164" applyFont="1" applyBorder="1" applyAlignment="1">
      <alignment horizontal="center"/>
    </xf>
    <xf numFmtId="0" fontId="66" fillId="30" borderId="0" xfId="173" applyFont="1" applyFill="1"/>
    <xf numFmtId="0" fontId="6" fillId="0" borderId="0" xfId="173"/>
    <xf numFmtId="0" fontId="66" fillId="30" borderId="56" xfId="173" applyFont="1" applyFill="1" applyBorder="1"/>
    <xf numFmtId="14" fontId="66" fillId="30" borderId="56" xfId="173" applyNumberFormat="1" applyFont="1" applyFill="1" applyBorder="1"/>
    <xf numFmtId="44" fontId="66" fillId="0" borderId="0" xfId="173" applyNumberFormat="1" applyFont="1"/>
    <xf numFmtId="165" fontId="6" fillId="0" borderId="0" xfId="173" applyNumberFormat="1"/>
    <xf numFmtId="0" fontId="6" fillId="0" borderId="0" xfId="173" applyAlignment="1">
      <alignment vertical="center"/>
    </xf>
    <xf numFmtId="17" fontId="66" fillId="30" borderId="56" xfId="173" applyNumberFormat="1" applyFont="1" applyFill="1" applyBorder="1"/>
    <xf numFmtId="17" fontId="0" fillId="0" borderId="0" xfId="0" applyNumberFormat="1"/>
    <xf numFmtId="2" fontId="15" fillId="25" borderId="31" xfId="149" applyNumberFormat="1" applyFont="1" applyFill="1" applyBorder="1" applyAlignment="1">
      <alignment horizontal="center"/>
    </xf>
    <xf numFmtId="165" fontId="15" fillId="25" borderId="57" xfId="3" applyNumberFormat="1" applyFont="1" applyFill="1" applyBorder="1" applyAlignment="1">
      <alignment horizontal="right"/>
    </xf>
    <xf numFmtId="169" fontId="9" fillId="2" borderId="0" xfId="5" applyNumberFormat="1" applyFont="1" applyFill="1" applyAlignment="1" applyProtection="1">
      <alignment horizontal="center"/>
      <protection locked="0"/>
    </xf>
    <xf numFmtId="169" fontId="12" fillId="2" borderId="0" xfId="5" applyNumberFormat="1" applyFont="1" applyFill="1" applyProtection="1">
      <protection locked="0"/>
    </xf>
    <xf numFmtId="2" fontId="9" fillId="2" borderId="0" xfId="5" applyNumberFormat="1" applyFont="1" applyFill="1" applyAlignment="1" applyProtection="1">
      <alignment horizontal="center"/>
      <protection locked="0"/>
    </xf>
    <xf numFmtId="0" fontId="5" fillId="0" borderId="0" xfId="174"/>
    <xf numFmtId="2" fontId="6" fillId="0" borderId="0" xfId="173" applyNumberFormat="1" applyAlignment="1">
      <alignment horizontal="center"/>
    </xf>
    <xf numFmtId="0" fontId="6" fillId="0" borderId="0" xfId="173" applyAlignment="1">
      <alignment horizontal="center"/>
    </xf>
    <xf numFmtId="167" fontId="0" fillId="0" borderId="0" xfId="0" applyNumberFormat="1" applyAlignment="1">
      <alignment horizontal="center"/>
    </xf>
    <xf numFmtId="169" fontId="9" fillId="0" borderId="0" xfId="5" applyNumberFormat="1" applyFont="1"/>
    <xf numFmtId="2" fontId="15" fillId="25" borderId="14" xfId="149" applyNumberFormat="1" applyFont="1" applyFill="1" applyBorder="1" applyAlignment="1">
      <alignment horizontal="center"/>
    </xf>
    <xf numFmtId="2" fontId="12" fillId="2" borderId="0" xfId="5" applyNumberFormat="1" applyFont="1" applyFill="1" applyAlignment="1" applyProtection="1">
      <alignment horizontal="center"/>
      <protection locked="0"/>
    </xf>
    <xf numFmtId="169" fontId="12" fillId="2" borderId="0" xfId="5" applyNumberFormat="1" applyFont="1" applyFill="1" applyAlignment="1" applyProtection="1">
      <alignment horizontal="center"/>
      <protection locked="0"/>
    </xf>
    <xf numFmtId="167" fontId="0" fillId="0" borderId="0" xfId="1" applyNumberFormat="1" applyFont="1" applyFill="1" applyAlignment="1">
      <alignment horizontal="center"/>
    </xf>
    <xf numFmtId="43" fontId="0" fillId="0" borderId="0" xfId="1" applyFont="1" applyFill="1"/>
    <xf numFmtId="9" fontId="0" fillId="0" borderId="0" xfId="164" applyFont="1"/>
    <xf numFmtId="0" fontId="9" fillId="3" borderId="0" xfId="5" applyFont="1" applyFill="1" applyAlignment="1" applyProtection="1">
      <alignment horizontal="left"/>
      <protection locked="0"/>
    </xf>
    <xf numFmtId="17" fontId="5" fillId="0" borderId="0" xfId="174" applyNumberFormat="1"/>
    <xf numFmtId="43" fontId="73" fillId="0" borderId="0" xfId="174" applyNumberFormat="1" applyFont="1"/>
    <xf numFmtId="0" fontId="5" fillId="0" borderId="0" xfId="175"/>
    <xf numFmtId="165" fontId="5" fillId="0" borderId="0" xfId="174" applyNumberFormat="1"/>
    <xf numFmtId="17" fontId="5" fillId="0" borderId="0" xfId="175" applyNumberFormat="1"/>
    <xf numFmtId="44" fontId="5" fillId="0" borderId="0" xfId="175" applyNumberFormat="1"/>
    <xf numFmtId="165" fontId="5" fillId="0" borderId="0" xfId="175" applyNumberFormat="1"/>
    <xf numFmtId="43" fontId="5" fillId="0" borderId="0" xfId="175" applyNumberFormat="1"/>
    <xf numFmtId="6" fontId="15" fillId="25" borderId="15" xfId="2" applyNumberFormat="1" applyFont="1" applyFill="1" applyBorder="1" applyAlignment="1">
      <alignment horizontal="right"/>
    </xf>
    <xf numFmtId="44" fontId="15" fillId="25" borderId="16" xfId="2" applyFont="1" applyFill="1" applyBorder="1" applyAlignment="1">
      <alignment horizontal="right"/>
    </xf>
    <xf numFmtId="44" fontId="15" fillId="25" borderId="61" xfId="2" applyFont="1" applyFill="1" applyBorder="1" applyAlignment="1">
      <alignment horizontal="right"/>
    </xf>
    <xf numFmtId="44" fontId="15" fillId="25" borderId="62" xfId="2" applyFont="1" applyFill="1" applyBorder="1" applyAlignment="1">
      <alignment horizontal="right"/>
    </xf>
    <xf numFmtId="44" fontId="15" fillId="25" borderId="62" xfId="2" applyFont="1" applyFill="1" applyBorder="1" applyAlignment="1">
      <alignment horizontal="center"/>
    </xf>
    <xf numFmtId="9" fontId="15" fillId="25" borderId="63" xfId="164" applyFont="1" applyFill="1" applyBorder="1" applyAlignment="1">
      <alignment horizontal="center"/>
    </xf>
    <xf numFmtId="44" fontId="9" fillId="0" borderId="0" xfId="2" applyFont="1" applyAlignment="1">
      <alignment horizontal="right"/>
    </xf>
    <xf numFmtId="9" fontId="0" fillId="0" borderId="38" xfId="164" applyFont="1" applyBorder="1"/>
    <xf numFmtId="44" fontId="6" fillId="0" borderId="0" xfId="173" applyNumberFormat="1"/>
    <xf numFmtId="167" fontId="0" fillId="0" borderId="0" xfId="2" applyNumberFormat="1" applyFont="1" applyFill="1"/>
    <xf numFmtId="167" fontId="0" fillId="24" borderId="0" xfId="2" applyNumberFormat="1" applyFont="1" applyFill="1"/>
    <xf numFmtId="167" fontId="0" fillId="0" borderId="47" xfId="2" applyNumberFormat="1" applyFont="1" applyBorder="1"/>
    <xf numFmtId="167" fontId="0" fillId="0" borderId="47" xfId="2" applyNumberFormat="1" applyFont="1" applyBorder="1" applyAlignment="1">
      <alignment horizontal="center"/>
    </xf>
    <xf numFmtId="167" fontId="0" fillId="4" borderId="0" xfId="2" applyNumberFormat="1" applyFont="1" applyFill="1"/>
    <xf numFmtId="167" fontId="0" fillId="0" borderId="47" xfId="1" applyNumberFormat="1" applyFont="1" applyBorder="1"/>
    <xf numFmtId="167" fontId="0" fillId="31" borderId="0" xfId="2" applyNumberFormat="1" applyFont="1" applyFill="1" applyAlignment="1">
      <alignment horizontal="right"/>
    </xf>
    <xf numFmtId="167" fontId="0" fillId="0" borderId="47" xfId="1" applyNumberFormat="1" applyFont="1" applyBorder="1" applyAlignment="1">
      <alignment horizontal="right"/>
    </xf>
    <xf numFmtId="167" fontId="0" fillId="0" borderId="0" xfId="0" applyNumberFormat="1"/>
    <xf numFmtId="167" fontId="0" fillId="0" borderId="0" xfId="1" applyNumberFormat="1" applyFont="1"/>
    <xf numFmtId="167" fontId="0" fillId="0" borderId="0" xfId="164" applyNumberFormat="1" applyFont="1" applyAlignment="1">
      <alignment horizontal="right"/>
    </xf>
    <xf numFmtId="167" fontId="0" fillId="0" borderId="0" xfId="1" applyNumberFormat="1" applyFont="1" applyFill="1" applyBorder="1" applyAlignment="1">
      <alignment horizontal="center"/>
    </xf>
    <xf numFmtId="1" fontId="0" fillId="0" borderId="0" xfId="1" applyNumberFormat="1" applyFont="1" applyFill="1" applyAlignment="1">
      <alignment horizontal="center"/>
    </xf>
    <xf numFmtId="2" fontId="0" fillId="0" borderId="0" xfId="1" applyNumberFormat="1" applyFont="1" applyFill="1" applyBorder="1" applyAlignment="1">
      <alignment horizontal="center"/>
    </xf>
    <xf numFmtId="168" fontId="0" fillId="0" borderId="0" xfId="1" applyNumberFormat="1" applyFont="1" applyFill="1" applyBorder="1" applyAlignment="1">
      <alignment horizontal="center"/>
    </xf>
    <xf numFmtId="0" fontId="75" fillId="0" borderId="46" xfId="0" applyFont="1" applyBorder="1" applyAlignment="1">
      <alignment horizontal="center" vertical="center"/>
    </xf>
    <xf numFmtId="0" fontId="15" fillId="25" borderId="10" xfId="3" applyFont="1" applyFill="1" applyBorder="1" applyAlignment="1">
      <alignment horizontal="left" wrapText="1"/>
    </xf>
    <xf numFmtId="183" fontId="12" fillId="2" borderId="0" xfId="5" applyNumberFormat="1" applyFont="1" applyFill="1" applyProtection="1">
      <protection locked="0"/>
    </xf>
    <xf numFmtId="169" fontId="0" fillId="0" borderId="0" xfId="1" applyNumberFormat="1" applyFont="1" applyFill="1" applyBorder="1" applyAlignment="1">
      <alignment horizontal="center"/>
    </xf>
    <xf numFmtId="184" fontId="0" fillId="0" borderId="0" xfId="1" applyNumberFormat="1" applyFont="1" applyFill="1" applyBorder="1" applyAlignment="1">
      <alignment horizontal="center"/>
    </xf>
    <xf numFmtId="172" fontId="0" fillId="0" borderId="0" xfId="1" applyNumberFormat="1" applyFont="1" applyFill="1" applyBorder="1" applyAlignment="1">
      <alignment horizontal="center"/>
    </xf>
    <xf numFmtId="44" fontId="15" fillId="25" borderId="64" xfId="2" applyFont="1" applyFill="1" applyBorder="1" applyAlignment="1">
      <alignment horizontal="right"/>
    </xf>
    <xf numFmtId="165" fontId="15" fillId="25" borderId="65" xfId="3" applyNumberFormat="1" applyFont="1" applyFill="1" applyBorder="1" applyAlignment="1">
      <alignment horizontal="right"/>
    </xf>
    <xf numFmtId="2" fontId="15" fillId="25" borderId="66" xfId="149" applyNumberFormat="1" applyFont="1" applyFill="1" applyBorder="1" applyAlignment="1">
      <alignment horizontal="center"/>
    </xf>
    <xf numFmtId="44" fontId="15" fillId="25" borderId="34" xfId="2" applyFont="1" applyFill="1" applyBorder="1" applyAlignment="1">
      <alignment horizontal="right"/>
    </xf>
    <xf numFmtId="167" fontId="76" fillId="2" borderId="1" xfId="5" applyNumberFormat="1" applyFont="1" applyFill="1" applyBorder="1" applyAlignment="1" applyProtection="1">
      <alignment horizontal="center"/>
      <protection locked="0"/>
    </xf>
    <xf numFmtId="165" fontId="15" fillId="4" borderId="33" xfId="3" applyNumberFormat="1" applyFont="1" applyFill="1" applyBorder="1" applyAlignment="1">
      <alignment horizontal="right"/>
    </xf>
    <xf numFmtId="14" fontId="15" fillId="25" borderId="33" xfId="3" applyNumberFormat="1" applyFont="1" applyFill="1" applyBorder="1" applyAlignment="1">
      <alignment horizontal="right"/>
    </xf>
    <xf numFmtId="6" fontId="15" fillId="25" borderId="32" xfId="2" applyNumberFormat="1" applyFont="1" applyFill="1" applyBorder="1" applyAlignment="1">
      <alignment horizontal="right"/>
    </xf>
    <xf numFmtId="44" fontId="15" fillId="25" borderId="33" xfId="2" applyFont="1" applyFill="1" applyBorder="1" applyAlignment="1">
      <alignment horizontal="right"/>
    </xf>
    <xf numFmtId="1" fontId="12" fillId="0" borderId="0" xfId="5" applyNumberFormat="1" applyFont="1" applyAlignment="1">
      <alignment horizontal="center"/>
    </xf>
    <xf numFmtId="1" fontId="9" fillId="0" borderId="0" xfId="5" applyNumberFormat="1" applyFont="1" applyAlignment="1">
      <alignment horizontal="center"/>
    </xf>
    <xf numFmtId="2" fontId="12" fillId="0" borderId="0" xfId="5" applyNumberFormat="1" applyFont="1" applyAlignment="1">
      <alignment horizontal="center"/>
    </xf>
    <xf numFmtId="2" fontId="12" fillId="0" borderId="0" xfId="5" applyNumberFormat="1" applyFont="1"/>
    <xf numFmtId="165" fontId="12" fillId="0" borderId="0" xfId="5" applyNumberFormat="1" applyFont="1" applyProtection="1">
      <protection locked="0"/>
    </xf>
    <xf numFmtId="169" fontId="9" fillId="0" borderId="0" xfId="5" applyNumberFormat="1" applyFont="1" applyAlignment="1">
      <alignment horizontal="center"/>
    </xf>
    <xf numFmtId="0" fontId="79" fillId="0" borderId="0" xfId="0" applyFont="1" applyAlignment="1">
      <alignment horizontal="right" vertical="center"/>
    </xf>
    <xf numFmtId="0" fontId="78" fillId="0" borderId="0" xfId="0" applyFont="1" applyAlignment="1">
      <alignment horizontal="right" vertical="center"/>
    </xf>
    <xf numFmtId="168" fontId="12" fillId="0" borderId="0" xfId="5" applyNumberFormat="1" applyFont="1" applyAlignment="1">
      <alignment horizontal="center"/>
    </xf>
    <xf numFmtId="181" fontId="9" fillId="0" borderId="0" xfId="5" applyNumberFormat="1" applyFont="1"/>
    <xf numFmtId="2" fontId="12" fillId="0" borderId="0" xfId="5" applyNumberFormat="1" applyFont="1" applyProtection="1">
      <protection locked="0"/>
    </xf>
    <xf numFmtId="182" fontId="0" fillId="0" borderId="0" xfId="164" applyNumberFormat="1" applyFont="1" applyAlignment="1">
      <alignment horizontal="center"/>
    </xf>
    <xf numFmtId="14" fontId="9" fillId="0" borderId="0" xfId="5" applyNumberFormat="1" applyFont="1"/>
    <xf numFmtId="165" fontId="12" fillId="0" borderId="0" xfId="5" applyNumberFormat="1" applyFont="1" applyAlignment="1">
      <alignment horizontal="center"/>
    </xf>
    <xf numFmtId="165" fontId="15" fillId="25" borderId="33" xfId="3" applyNumberFormat="1" applyFont="1" applyFill="1" applyBorder="1" applyAlignment="1">
      <alignment horizontal="left"/>
    </xf>
    <xf numFmtId="0" fontId="12" fillId="2" borderId="1" xfId="5" applyFont="1" applyFill="1" applyBorder="1" applyProtection="1">
      <protection locked="0"/>
    </xf>
    <xf numFmtId="165" fontId="76" fillId="2" borderId="1" xfId="5" applyNumberFormat="1" applyFont="1" applyFill="1" applyBorder="1" applyProtection="1">
      <protection locked="0"/>
    </xf>
    <xf numFmtId="0" fontId="77" fillId="2" borderId="1" xfId="5" applyFont="1" applyFill="1" applyBorder="1" applyProtection="1">
      <protection locked="0"/>
    </xf>
    <xf numFmtId="9" fontId="80" fillId="3" borderId="0" xfId="164" applyFont="1" applyFill="1" applyAlignment="1">
      <alignment horizontal="center"/>
    </xf>
    <xf numFmtId="0" fontId="9" fillId="2" borderId="0" xfId="4" applyFill="1" applyAlignment="1">
      <alignment horizontal="right" vertical="center"/>
    </xf>
    <xf numFmtId="0" fontId="9" fillId="3" borderId="0" xfId="5" applyFont="1" applyFill="1" applyProtection="1">
      <protection locked="0"/>
    </xf>
    <xf numFmtId="0" fontId="9" fillId="3" borderId="0" xfId="4" applyFill="1" applyAlignment="1">
      <alignment horizontal="left" vertical="center"/>
    </xf>
    <xf numFmtId="0" fontId="9" fillId="3" borderId="0" xfId="4" applyFill="1" applyAlignment="1">
      <alignment horizontal="right" vertical="center"/>
    </xf>
    <xf numFmtId="17" fontId="12" fillId="0" borderId="0" xfId="5" applyNumberFormat="1" applyFont="1"/>
    <xf numFmtId="43" fontId="0" fillId="0" borderId="0" xfId="0" applyNumberFormat="1"/>
    <xf numFmtId="172" fontId="0" fillId="0" borderId="0" xfId="0" applyNumberFormat="1"/>
    <xf numFmtId="0" fontId="19" fillId="0" borderId="0" xfId="0" applyFont="1"/>
    <xf numFmtId="183" fontId="9" fillId="0" borderId="0" xfId="5" applyNumberFormat="1" applyFont="1" applyProtection="1">
      <protection locked="0"/>
    </xf>
    <xf numFmtId="1" fontId="9" fillId="2" borderId="0" xfId="4" applyNumberFormat="1" applyFill="1" applyAlignment="1">
      <alignment horizontal="center" vertical="center"/>
    </xf>
    <xf numFmtId="179" fontId="17" fillId="0" borderId="0" xfId="1" applyNumberFormat="1" applyFont="1" applyAlignment="1">
      <alignment horizontal="center" vertical="center"/>
    </xf>
    <xf numFmtId="179" fontId="17" fillId="0" borderId="0" xfId="1" applyNumberFormat="1" applyFont="1" applyAlignment="1">
      <alignment horizontal="left" vertical="center"/>
    </xf>
    <xf numFmtId="0" fontId="82" fillId="2" borderId="0" xfId="4" applyFont="1" applyFill="1" applyAlignment="1">
      <alignment horizontal="left" vertical="center"/>
    </xf>
    <xf numFmtId="0" fontId="64" fillId="0" borderId="46" xfId="0" applyFont="1" applyBorder="1" applyAlignment="1">
      <alignment horizontal="center" vertical="center" wrapText="1"/>
    </xf>
    <xf numFmtId="0" fontId="18" fillId="0" borderId="0" xfId="5" applyFont="1" applyProtection="1">
      <protection locked="0"/>
    </xf>
    <xf numFmtId="0" fontId="12" fillId="0" borderId="0" xfId="5" applyFont="1" applyAlignment="1" applyProtection="1">
      <alignment wrapText="1"/>
      <protection locked="0"/>
    </xf>
    <xf numFmtId="165" fontId="15" fillId="3" borderId="10" xfId="3" applyNumberFormat="1" applyFont="1" applyFill="1" applyBorder="1"/>
    <xf numFmtId="0" fontId="15" fillId="3" borderId="10" xfId="3" applyFont="1" applyFill="1" applyBorder="1" applyAlignment="1">
      <alignment horizontal="left" wrapText="1"/>
    </xf>
    <xf numFmtId="165" fontId="15" fillId="3" borderId="10" xfId="3" applyNumberFormat="1" applyFont="1" applyFill="1" applyBorder="1" applyAlignment="1">
      <alignment horizontal="right"/>
    </xf>
    <xf numFmtId="165" fontId="63" fillId="3" borderId="10" xfId="3" applyNumberFormat="1" applyFont="1" applyFill="1" applyBorder="1" applyAlignment="1">
      <alignment horizontal="right"/>
    </xf>
    <xf numFmtId="14" fontId="15" fillId="3" borderId="10" xfId="3" applyNumberFormat="1" applyFont="1" applyFill="1" applyBorder="1" applyAlignment="1">
      <alignment horizontal="right"/>
    </xf>
    <xf numFmtId="6" fontId="15" fillId="3" borderId="11" xfId="2" applyNumberFormat="1" applyFont="1" applyFill="1" applyBorder="1" applyAlignment="1">
      <alignment horizontal="right"/>
    </xf>
    <xf numFmtId="44" fontId="15" fillId="3" borderId="11" xfId="2" applyFont="1" applyFill="1" applyBorder="1" applyAlignment="1">
      <alignment horizontal="center"/>
    </xf>
    <xf numFmtId="165" fontId="15" fillId="3" borderId="10" xfId="3" applyNumberFormat="1" applyFont="1" applyFill="1" applyBorder="1" applyAlignment="1">
      <alignment horizontal="center"/>
    </xf>
    <xf numFmtId="165" fontId="15" fillId="3" borderId="11" xfId="3" applyNumberFormat="1" applyFont="1" applyFill="1" applyBorder="1" applyAlignment="1">
      <alignment horizontal="right"/>
    </xf>
    <xf numFmtId="165" fontId="15" fillId="3" borderId="57" xfId="3" applyNumberFormat="1" applyFont="1" applyFill="1" applyBorder="1" applyAlignment="1">
      <alignment horizontal="center"/>
    </xf>
    <xf numFmtId="165" fontId="15" fillId="3" borderId="44" xfId="3" applyNumberFormat="1" applyFont="1" applyFill="1" applyBorder="1" applyAlignment="1">
      <alignment horizontal="right"/>
    </xf>
    <xf numFmtId="6" fontId="15" fillId="3" borderId="43" xfId="2" applyNumberFormat="1" applyFont="1" applyFill="1" applyBorder="1" applyAlignment="1">
      <alignment horizontal="right"/>
    </xf>
    <xf numFmtId="44" fontId="15" fillId="3" borderId="57" xfId="2" applyFont="1" applyFill="1" applyBorder="1" applyAlignment="1">
      <alignment horizontal="center"/>
    </xf>
    <xf numFmtId="44" fontId="15" fillId="3" borderId="11" xfId="2" applyFont="1" applyFill="1" applyBorder="1" applyAlignment="1">
      <alignment horizontal="right"/>
    </xf>
    <xf numFmtId="165" fontId="15" fillId="3" borderId="57" xfId="3" applyNumberFormat="1" applyFont="1" applyFill="1" applyBorder="1" applyAlignment="1">
      <alignment horizontal="right"/>
    </xf>
    <xf numFmtId="6" fontId="74" fillId="3" borderId="8" xfId="2" applyNumberFormat="1" applyFont="1" applyFill="1" applyBorder="1" applyAlignment="1">
      <alignment horizontal="right"/>
    </xf>
    <xf numFmtId="182" fontId="15" fillId="3" borderId="59" xfId="149" applyNumberFormat="1" applyFont="1" applyFill="1" applyBorder="1" applyAlignment="1">
      <alignment horizontal="center"/>
    </xf>
    <xf numFmtId="177" fontId="15" fillId="3" borderId="58" xfId="164" applyNumberFormat="1" applyFont="1" applyFill="1" applyBorder="1" applyAlignment="1">
      <alignment horizontal="center"/>
    </xf>
    <xf numFmtId="6" fontId="15" fillId="3" borderId="8" xfId="2" applyNumberFormat="1" applyFont="1" applyFill="1" applyBorder="1" applyAlignment="1">
      <alignment horizontal="right"/>
    </xf>
    <xf numFmtId="14" fontId="15" fillId="3" borderId="10" xfId="3" applyNumberFormat="1" applyFont="1" applyFill="1" applyBorder="1" applyAlignment="1">
      <alignment horizontal="center"/>
    </xf>
    <xf numFmtId="165" fontId="15" fillId="25" borderId="16" xfId="3" applyNumberFormat="1" applyFont="1" applyFill="1" applyBorder="1" applyAlignment="1">
      <alignment horizontal="left"/>
    </xf>
    <xf numFmtId="14" fontId="15" fillId="25" borderId="16" xfId="3" applyNumberFormat="1" applyFont="1" applyFill="1" applyBorder="1" applyAlignment="1">
      <alignment horizontal="right"/>
    </xf>
    <xf numFmtId="6" fontId="15" fillId="25" borderId="71" xfId="2" applyNumberFormat="1" applyFont="1" applyFill="1" applyBorder="1" applyAlignment="1">
      <alignment horizontal="right"/>
    </xf>
    <xf numFmtId="2" fontId="15" fillId="25" borderId="61" xfId="149" applyNumberFormat="1" applyFont="1" applyFill="1" applyBorder="1" applyAlignment="1">
      <alignment horizontal="center"/>
    </xf>
    <xf numFmtId="0" fontId="15" fillId="3" borderId="72" xfId="3" applyFont="1" applyFill="1" applyBorder="1" applyAlignment="1">
      <alignment horizontal="left" wrapText="1"/>
    </xf>
    <xf numFmtId="165" fontId="15" fillId="3" borderId="72" xfId="3" applyNumberFormat="1" applyFont="1" applyFill="1" applyBorder="1" applyAlignment="1">
      <alignment horizontal="right"/>
    </xf>
    <xf numFmtId="14" fontId="15" fillId="3" borderId="72" xfId="3" applyNumberFormat="1" applyFont="1" applyFill="1" applyBorder="1" applyAlignment="1">
      <alignment horizontal="right"/>
    </xf>
    <xf numFmtId="6" fontId="15" fillId="3" borderId="73" xfId="2" applyNumberFormat="1" applyFont="1" applyFill="1" applyBorder="1" applyAlignment="1">
      <alignment horizontal="right"/>
    </xf>
    <xf numFmtId="44" fontId="15" fillId="3" borderId="73" xfId="2" applyFont="1" applyFill="1" applyBorder="1" applyAlignment="1">
      <alignment horizontal="center"/>
    </xf>
    <xf numFmtId="165" fontId="15" fillId="3" borderId="42" xfId="3" applyNumberFormat="1" applyFont="1" applyFill="1" applyBorder="1" applyAlignment="1">
      <alignment horizontal="right"/>
    </xf>
    <xf numFmtId="178" fontId="15" fillId="32" borderId="9" xfId="2" applyNumberFormat="1" applyFont="1" applyFill="1" applyBorder="1" applyAlignment="1">
      <alignment horizontal="right"/>
    </xf>
    <xf numFmtId="178" fontId="15" fillId="32" borderId="10" xfId="2" applyNumberFormat="1" applyFont="1" applyFill="1" applyBorder="1" applyAlignment="1">
      <alignment horizontal="right"/>
    </xf>
    <xf numFmtId="178" fontId="15" fillId="32" borderId="12" xfId="2" applyNumberFormat="1" applyFont="1" applyFill="1" applyBorder="1" applyAlignment="1">
      <alignment horizontal="right"/>
    </xf>
    <xf numFmtId="178" fontId="15" fillId="32" borderId="11" xfId="2" applyNumberFormat="1" applyFont="1" applyFill="1" applyBorder="1" applyAlignment="1">
      <alignment horizontal="right"/>
    </xf>
    <xf numFmtId="178" fontId="15" fillId="32" borderId="74" xfId="2" applyNumberFormat="1" applyFont="1" applyFill="1" applyBorder="1" applyAlignment="1">
      <alignment horizontal="right"/>
    </xf>
    <xf numFmtId="178" fontId="15" fillId="32" borderId="72" xfId="2" applyNumberFormat="1" applyFont="1" applyFill="1" applyBorder="1" applyAlignment="1">
      <alignment horizontal="right"/>
    </xf>
    <xf numFmtId="178" fontId="15" fillId="32" borderId="69" xfId="2" applyNumberFormat="1" applyFont="1" applyFill="1" applyBorder="1" applyAlignment="1">
      <alignment horizontal="right"/>
    </xf>
    <xf numFmtId="178" fontId="15" fillId="32" borderId="73" xfId="2" applyNumberFormat="1" applyFont="1" applyFill="1" applyBorder="1" applyAlignment="1">
      <alignment horizontal="right"/>
    </xf>
    <xf numFmtId="2" fontId="15" fillId="32" borderId="69" xfId="149" applyNumberFormat="1" applyFont="1" applyFill="1" applyBorder="1" applyAlignment="1">
      <alignment horizontal="center"/>
    </xf>
    <xf numFmtId="177" fontId="15" fillId="32" borderId="70" xfId="164" applyNumberFormat="1" applyFont="1" applyFill="1" applyBorder="1" applyAlignment="1">
      <alignment horizontal="center"/>
    </xf>
    <xf numFmtId="2" fontId="15" fillId="32" borderId="60" xfId="149" applyNumberFormat="1" applyFont="1" applyFill="1" applyBorder="1" applyAlignment="1">
      <alignment horizontal="center"/>
    </xf>
    <xf numFmtId="177" fontId="15" fillId="32" borderId="67" xfId="164" applyNumberFormat="1" applyFont="1" applyFill="1" applyBorder="1" applyAlignment="1">
      <alignment horizontal="center"/>
    </xf>
    <xf numFmtId="177" fontId="15" fillId="32" borderId="75" xfId="164" applyNumberFormat="1" applyFont="1" applyFill="1" applyBorder="1" applyAlignment="1">
      <alignment horizontal="center"/>
    </xf>
    <xf numFmtId="14" fontId="62" fillId="0" borderId="0" xfId="5" applyNumberFormat="1" applyFont="1" applyAlignment="1">
      <alignment horizontal="center"/>
    </xf>
    <xf numFmtId="179" fontId="17" fillId="0" borderId="4" xfId="1" applyNumberFormat="1" applyFont="1" applyBorder="1" applyAlignment="1">
      <alignment horizontal="left" vertical="center"/>
    </xf>
    <xf numFmtId="0" fontId="11" fillId="2" borderId="4" xfId="4" applyFont="1" applyFill="1" applyBorder="1" applyAlignment="1">
      <alignment horizontal="left" vertical="center"/>
    </xf>
    <xf numFmtId="179" fontId="17" fillId="0" borderId="0" xfId="1" applyNumberFormat="1" applyFont="1" applyBorder="1" applyAlignment="1">
      <alignment horizontal="left" vertical="center"/>
    </xf>
    <xf numFmtId="9" fontId="17" fillId="2" borderId="0" xfId="164" applyFont="1" applyFill="1" applyAlignment="1">
      <alignment horizontal="center" vertical="center"/>
    </xf>
    <xf numFmtId="179" fontId="17" fillId="0" borderId="4" xfId="1" applyNumberFormat="1" applyFont="1" applyBorder="1" applyAlignment="1">
      <alignment horizontal="center" vertical="center"/>
    </xf>
    <xf numFmtId="0" fontId="83" fillId="2" borderId="0" xfId="4" applyFont="1" applyFill="1" applyAlignment="1">
      <alignment horizontal="center" vertical="center"/>
    </xf>
    <xf numFmtId="0" fontId="20" fillId="2" borderId="0" xfId="4" applyFont="1" applyFill="1" applyAlignment="1">
      <alignment vertical="center"/>
    </xf>
    <xf numFmtId="178" fontId="17" fillId="0" borderId="0" xfId="2" applyNumberFormat="1" applyFont="1" applyAlignment="1">
      <alignment horizontal="center" vertical="center"/>
    </xf>
    <xf numFmtId="179" fontId="17" fillId="0" borderId="0" xfId="1" applyNumberFormat="1" applyFont="1" applyBorder="1" applyAlignment="1">
      <alignment horizontal="center" vertical="center"/>
    </xf>
    <xf numFmtId="186" fontId="17" fillId="0" borderId="0" xfId="1" applyNumberFormat="1" applyFont="1" applyBorder="1" applyAlignment="1">
      <alignment horizontal="center" vertical="center"/>
    </xf>
    <xf numFmtId="179" fontId="17" fillId="25" borderId="0" xfId="1" applyNumberFormat="1" applyFont="1" applyFill="1" applyAlignment="1">
      <alignment horizontal="center" vertical="center"/>
    </xf>
    <xf numFmtId="168" fontId="17" fillId="2" borderId="0" xfId="4" applyNumberFormat="1" applyFont="1" applyFill="1" applyAlignment="1">
      <alignment horizontal="center" vertical="center"/>
    </xf>
    <xf numFmtId="9" fontId="17" fillId="25" borderId="0" xfId="164" applyFont="1" applyFill="1" applyAlignment="1">
      <alignment horizontal="center" vertical="center"/>
    </xf>
    <xf numFmtId="185" fontId="12" fillId="2" borderId="0" xfId="4" applyNumberFormat="1" applyFont="1" applyFill="1" applyAlignment="1">
      <alignment vertical="center"/>
    </xf>
    <xf numFmtId="181" fontId="17" fillId="0" borderId="0" xfId="2" applyNumberFormat="1" applyFont="1" applyBorder="1" applyAlignment="1">
      <alignment horizontal="right" vertical="center"/>
    </xf>
    <xf numFmtId="9" fontId="17" fillId="25" borderId="41" xfId="164" applyFont="1" applyFill="1" applyBorder="1" applyAlignment="1">
      <alignment horizontal="center" vertical="center"/>
    </xf>
    <xf numFmtId="178" fontId="17" fillId="25" borderId="0" xfId="2" applyNumberFormat="1" applyFont="1" applyFill="1" applyAlignment="1">
      <alignment horizontal="center" vertical="center"/>
    </xf>
    <xf numFmtId="179" fontId="17" fillId="24" borderId="41" xfId="1" applyNumberFormat="1" applyFont="1" applyFill="1" applyBorder="1" applyAlignment="1">
      <alignment horizontal="center" vertical="center"/>
    </xf>
    <xf numFmtId="0" fontId="84" fillId="2" borderId="0" xfId="4" applyFont="1" applyFill="1" applyAlignment="1">
      <alignment vertical="center"/>
    </xf>
    <xf numFmtId="179" fontId="85" fillId="0" borderId="0" xfId="1" applyNumberFormat="1" applyFont="1" applyAlignment="1">
      <alignment horizontal="left" vertical="center"/>
    </xf>
    <xf numFmtId="0" fontId="86" fillId="2" borderId="0" xfId="4" applyFont="1" applyFill="1" applyAlignment="1">
      <alignment vertical="center"/>
    </xf>
    <xf numFmtId="0" fontId="17" fillId="0" borderId="0" xfId="0" applyFont="1"/>
    <xf numFmtId="2" fontId="17" fillId="0" borderId="0" xfId="1" applyNumberFormat="1" applyFont="1" applyBorder="1" applyAlignment="1">
      <alignment horizontal="center"/>
    </xf>
    <xf numFmtId="2" fontId="17" fillId="0" borderId="0" xfId="5" applyNumberFormat="1" applyFont="1" applyAlignment="1" applyProtection="1">
      <alignment horizontal="center"/>
      <protection locked="0"/>
    </xf>
    <xf numFmtId="0" fontId="17" fillId="0" borderId="0" xfId="0" applyFont="1" applyAlignment="1">
      <alignment wrapText="1"/>
    </xf>
    <xf numFmtId="14" fontId="15" fillId="25" borderId="76" xfId="3" applyNumberFormat="1" applyFont="1" applyFill="1" applyBorder="1" applyAlignment="1">
      <alignment horizontal="right"/>
    </xf>
    <xf numFmtId="0" fontId="15" fillId="25" borderId="57" xfId="3" applyFont="1" applyFill="1" applyBorder="1" applyAlignment="1">
      <alignment horizontal="right"/>
    </xf>
    <xf numFmtId="166" fontId="15" fillId="25" borderId="57" xfId="3" applyNumberFormat="1" applyFont="1" applyFill="1" applyBorder="1" applyAlignment="1">
      <alignment horizontal="right"/>
    </xf>
    <xf numFmtId="165" fontId="15" fillId="25" borderId="68" xfId="3" applyNumberFormat="1" applyFont="1" applyFill="1" applyBorder="1" applyAlignment="1">
      <alignment horizontal="right"/>
    </xf>
    <xf numFmtId="0" fontId="17" fillId="0" borderId="77" xfId="0" applyFont="1" applyBorder="1"/>
    <xf numFmtId="0" fontId="9" fillId="0" borderId="77" xfId="5" applyFont="1" applyBorder="1" applyProtection="1">
      <protection locked="0"/>
    </xf>
    <xf numFmtId="178" fontId="15" fillId="0" borderId="11" xfId="2" applyNumberFormat="1" applyFont="1" applyFill="1" applyBorder="1" applyAlignment="1">
      <alignment horizontal="right"/>
    </xf>
    <xf numFmtId="178" fontId="15" fillId="0" borderId="73" xfId="2" applyNumberFormat="1" applyFont="1" applyFill="1" applyBorder="1" applyAlignment="1">
      <alignment horizontal="right"/>
    </xf>
    <xf numFmtId="178" fontId="15" fillId="3" borderId="70" xfId="2" applyNumberFormat="1" applyFont="1" applyFill="1" applyBorder="1" applyAlignment="1">
      <alignment horizontal="center"/>
    </xf>
    <xf numFmtId="178" fontId="15" fillId="3" borderId="67" xfId="2" applyNumberFormat="1" applyFont="1" applyFill="1" applyBorder="1" applyAlignment="1">
      <alignment horizontal="center"/>
    </xf>
    <xf numFmtId="178" fontId="15" fillId="3" borderId="75" xfId="2" applyNumberFormat="1" applyFont="1" applyFill="1" applyBorder="1" applyAlignment="1">
      <alignment horizontal="center"/>
    </xf>
    <xf numFmtId="179" fontId="85" fillId="0" borderId="78" xfId="1" applyNumberFormat="1" applyFont="1" applyBorder="1" applyAlignment="1">
      <alignment horizontal="left" vertical="center"/>
    </xf>
    <xf numFmtId="0" fontId="86" fillId="2" borderId="78" xfId="4" applyFont="1" applyFill="1" applyBorder="1" applyAlignment="1">
      <alignment vertical="center"/>
    </xf>
    <xf numFmtId="0" fontId="84" fillId="2" borderId="78" xfId="4" applyFont="1" applyFill="1" applyBorder="1" applyAlignment="1">
      <alignment vertical="center"/>
    </xf>
    <xf numFmtId="165" fontId="15" fillId="3" borderId="30" xfId="3" applyNumberFormat="1" applyFont="1" applyFill="1" applyBorder="1"/>
    <xf numFmtId="0" fontId="15" fillId="0" borderId="10" xfId="3" applyFont="1" applyBorder="1" applyAlignment="1">
      <alignment horizontal="left" wrapText="1"/>
    </xf>
    <xf numFmtId="0" fontId="63" fillId="3" borderId="10" xfId="3" applyFont="1" applyFill="1" applyBorder="1" applyAlignment="1">
      <alignment horizontal="left" wrapText="1"/>
    </xf>
    <xf numFmtId="179" fontId="17" fillId="0" borderId="0" xfId="1" applyNumberFormat="1" applyFont="1" applyAlignment="1">
      <alignment horizontal="right" vertical="center"/>
    </xf>
    <xf numFmtId="44" fontId="17" fillId="25" borderId="41" xfId="2" applyFont="1" applyFill="1" applyBorder="1" applyAlignment="1">
      <alignment horizontal="right" vertical="center"/>
    </xf>
    <xf numFmtId="178" fontId="17" fillId="24" borderId="41" xfId="2" applyNumberFormat="1" applyFont="1" applyFill="1" applyBorder="1" applyAlignment="1">
      <alignment horizontal="right" vertical="center"/>
    </xf>
    <xf numFmtId="178" fontId="17" fillId="25" borderId="41" xfId="2" applyNumberFormat="1" applyFont="1" applyFill="1" applyBorder="1" applyAlignment="1">
      <alignment horizontal="right" vertical="center"/>
    </xf>
    <xf numFmtId="178" fontId="12" fillId="2" borderId="0" xfId="4" applyNumberFormat="1" applyFont="1" applyFill="1" applyAlignment="1">
      <alignment vertical="center"/>
    </xf>
    <xf numFmtId="178" fontId="17" fillId="0" borderId="0" xfId="2" applyNumberFormat="1" applyFont="1" applyBorder="1" applyAlignment="1">
      <alignment horizontal="right" vertical="center"/>
    </xf>
    <xf numFmtId="178" fontId="17" fillId="31" borderId="0" xfId="2" applyNumberFormat="1" applyFont="1" applyFill="1" applyBorder="1" applyAlignment="1">
      <alignment horizontal="right" vertical="center"/>
    </xf>
    <xf numFmtId="178" fontId="17" fillId="0" borderId="4" xfId="2" applyNumberFormat="1" applyFont="1" applyBorder="1" applyAlignment="1">
      <alignment horizontal="right" vertical="center"/>
    </xf>
    <xf numFmtId="178" fontId="17" fillId="31" borderId="4" xfId="2" applyNumberFormat="1" applyFont="1" applyFill="1" applyBorder="1" applyAlignment="1">
      <alignment horizontal="right" vertical="center"/>
    </xf>
    <xf numFmtId="44" fontId="17" fillId="0" borderId="41" xfId="2" applyFont="1" applyBorder="1" applyAlignment="1">
      <alignment horizontal="right" vertical="center"/>
    </xf>
    <xf numFmtId="9" fontId="15" fillId="0" borderId="0" xfId="164" applyFont="1" applyFill="1" applyAlignment="1">
      <alignment horizontal="center"/>
    </xf>
    <xf numFmtId="182" fontId="17" fillId="25" borderId="0" xfId="5" applyNumberFormat="1" applyFont="1" applyFill="1" applyAlignment="1" applyProtection="1">
      <alignment horizontal="center"/>
      <protection locked="0"/>
    </xf>
    <xf numFmtId="182" fontId="9" fillId="25" borderId="0" xfId="5" applyNumberFormat="1" applyFont="1" applyFill="1" applyProtection="1">
      <protection locked="0"/>
    </xf>
    <xf numFmtId="0" fontId="81" fillId="2" borderId="0" xfId="5" applyFont="1" applyFill="1" applyAlignment="1" applyProtection="1">
      <alignment horizontal="right"/>
      <protection locked="0"/>
    </xf>
    <xf numFmtId="0" fontId="72" fillId="2" borderId="0" xfId="4" applyFont="1" applyFill="1" applyAlignment="1">
      <alignment horizontal="right" wrapText="1"/>
    </xf>
    <xf numFmtId="0" fontId="72" fillId="2" borderId="37" xfId="5" applyFont="1" applyFill="1" applyBorder="1" applyAlignment="1" applyProtection="1">
      <alignment horizontal="right" wrapText="1"/>
      <protection locked="0"/>
    </xf>
    <xf numFmtId="9" fontId="15" fillId="25" borderId="6" xfId="164" applyFont="1" applyFill="1" applyBorder="1" applyAlignment="1">
      <alignment horizontal="center"/>
    </xf>
    <xf numFmtId="0" fontId="72" fillId="2" borderId="0" xfId="5" applyFont="1" applyFill="1" applyAlignment="1" applyProtection="1">
      <alignment horizontal="right"/>
      <protection locked="0"/>
    </xf>
    <xf numFmtId="0" fontId="72" fillId="2" borderId="0" xfId="4" applyFont="1" applyFill="1" applyAlignment="1">
      <alignment horizontal="right"/>
    </xf>
    <xf numFmtId="9" fontId="15" fillId="25" borderId="0" xfId="164" applyFont="1" applyFill="1" applyBorder="1" applyAlignment="1">
      <alignment horizontal="center"/>
    </xf>
    <xf numFmtId="167" fontId="15" fillId="25" borderId="0" xfId="164" applyNumberFormat="1" applyFont="1" applyFill="1" applyBorder="1" applyAlignment="1">
      <alignment horizontal="center"/>
    </xf>
    <xf numFmtId="177" fontId="15" fillId="25" borderId="0" xfId="164" applyNumberFormat="1" applyFont="1" applyFill="1" applyBorder="1" applyAlignment="1">
      <alignment horizontal="center"/>
    </xf>
    <xf numFmtId="182" fontId="15" fillId="25" borderId="0" xfId="164" applyNumberFormat="1" applyFont="1" applyFill="1" applyBorder="1" applyAlignment="1">
      <alignment horizontal="center"/>
    </xf>
    <xf numFmtId="0" fontId="72" fillId="2" borderId="0" xfId="5" applyFont="1" applyFill="1" applyAlignment="1" applyProtection="1">
      <alignment horizontal="right" wrapText="1"/>
      <protection locked="0"/>
    </xf>
    <xf numFmtId="14" fontId="15" fillId="25" borderId="0" xfId="164" applyNumberFormat="1" applyFont="1" applyFill="1" applyBorder="1" applyAlignment="1">
      <alignment horizontal="center"/>
    </xf>
    <xf numFmtId="9" fontId="15" fillId="0" borderId="0" xfId="164" applyFont="1" applyFill="1" applyBorder="1" applyAlignment="1">
      <alignment horizontal="center"/>
    </xf>
    <xf numFmtId="187" fontId="15" fillId="0" borderId="0" xfId="164" applyNumberFormat="1" applyFont="1" applyFill="1" applyBorder="1" applyAlignment="1">
      <alignment horizontal="center"/>
    </xf>
    <xf numFmtId="188" fontId="15" fillId="0" borderId="0" xfId="164" applyNumberFormat="1" applyFont="1" applyFill="1" applyBorder="1" applyAlignment="1">
      <alignment horizontal="center"/>
    </xf>
    <xf numFmtId="0" fontId="17" fillId="0" borderId="0" xfId="5" applyFont="1" applyAlignment="1" applyProtection="1">
      <alignment horizontal="right"/>
      <protection locked="0"/>
    </xf>
    <xf numFmtId="0" fontId="17" fillId="0" borderId="0" xfId="0" applyFont="1" applyAlignment="1">
      <alignment horizontal="right"/>
    </xf>
    <xf numFmtId="182" fontId="15" fillId="25" borderId="0" xfId="164" applyNumberFormat="1" applyFont="1" applyFill="1" applyBorder="1" applyAlignment="1">
      <alignment horizontal="right"/>
    </xf>
    <xf numFmtId="186" fontId="17" fillId="25" borderId="0" xfId="1" applyNumberFormat="1" applyFont="1" applyFill="1" applyBorder="1" applyAlignment="1">
      <alignment horizontal="center" vertical="center"/>
    </xf>
    <xf numFmtId="0" fontId="12" fillId="2" borderId="0" xfId="4" applyFont="1" applyFill="1" applyAlignment="1">
      <alignment horizontal="right"/>
    </xf>
    <xf numFmtId="0" fontId="20" fillId="2" borderId="0" xfId="4" applyFont="1" applyFill="1" applyAlignment="1">
      <alignment horizontal="right"/>
    </xf>
    <xf numFmtId="179" fontId="17" fillId="0" borderId="0" xfId="1" applyNumberFormat="1" applyFont="1" applyAlignment="1">
      <alignment horizontal="right"/>
    </xf>
    <xf numFmtId="0" fontId="11" fillId="2" borderId="0" xfId="4" applyFont="1" applyFill="1" applyAlignment="1">
      <alignment horizontal="right"/>
    </xf>
    <xf numFmtId="9" fontId="87" fillId="3" borderId="0" xfId="164" applyFont="1" applyFill="1" applyAlignment="1">
      <alignment horizontal="center"/>
    </xf>
    <xf numFmtId="0" fontId="72" fillId="2" borderId="0" xfId="5" applyFont="1" applyFill="1" applyAlignment="1" applyProtection="1">
      <alignment horizontal="left"/>
      <protection locked="0"/>
    </xf>
    <xf numFmtId="0" fontId="9" fillId="2" borderId="0" xfId="4" quotePrefix="1" applyFill="1" applyAlignment="1">
      <alignment horizontal="right" vertical="center"/>
    </xf>
    <xf numFmtId="0" fontId="0" fillId="3" borderId="0" xfId="0" applyFill="1"/>
    <xf numFmtId="1" fontId="17" fillId="0" borderId="0" xfId="4" applyNumberFormat="1" applyFont="1" applyAlignment="1">
      <alignment horizontal="center" vertical="center"/>
    </xf>
    <xf numFmtId="189" fontId="0" fillId="0" borderId="0" xfId="1" applyNumberFormat="1" applyFont="1"/>
    <xf numFmtId="190" fontId="0" fillId="0" borderId="0" xfId="0" applyNumberFormat="1"/>
    <xf numFmtId="44" fontId="15" fillId="3" borderId="0" xfId="2" applyFont="1" applyFill="1" applyBorder="1" applyAlignment="1">
      <alignment horizontal="left"/>
    </xf>
    <xf numFmtId="177" fontId="15" fillId="32" borderId="81" xfId="164" applyNumberFormat="1" applyFont="1" applyFill="1" applyBorder="1" applyAlignment="1">
      <alignment horizontal="center"/>
    </xf>
    <xf numFmtId="177" fontId="15" fillId="32" borderId="80" xfId="164" applyNumberFormat="1" applyFont="1" applyFill="1" applyBorder="1" applyAlignment="1">
      <alignment horizontal="center"/>
    </xf>
    <xf numFmtId="177" fontId="15" fillId="32" borderId="82" xfId="164" applyNumberFormat="1" applyFont="1" applyFill="1" applyBorder="1" applyAlignment="1">
      <alignment horizontal="center"/>
    </xf>
    <xf numFmtId="178" fontId="15" fillId="3" borderId="10" xfId="2" applyNumberFormat="1" applyFont="1" applyFill="1" applyBorder="1" applyAlignment="1">
      <alignment horizontal="center"/>
    </xf>
    <xf numFmtId="178" fontId="15" fillId="3" borderId="57" xfId="2" applyNumberFormat="1" applyFont="1" applyFill="1" applyBorder="1" applyAlignment="1">
      <alignment horizontal="center"/>
    </xf>
    <xf numFmtId="165" fontId="19" fillId="3" borderId="10" xfId="3" applyNumberFormat="1" applyFont="1" applyFill="1" applyBorder="1" applyAlignment="1">
      <alignment horizontal="right"/>
    </xf>
    <xf numFmtId="44" fontId="9" fillId="2" borderId="0" xfId="2" applyFill="1" applyAlignment="1">
      <alignment horizontal="center" vertical="center"/>
    </xf>
    <xf numFmtId="9" fontId="12" fillId="0" borderId="0" xfId="164" applyFont="1" applyAlignment="1">
      <alignment horizontal="center"/>
    </xf>
    <xf numFmtId="6" fontId="15" fillId="4" borderId="43" xfId="2" applyNumberFormat="1" applyFont="1" applyFill="1" applyBorder="1" applyAlignment="1">
      <alignment horizontal="right"/>
    </xf>
    <xf numFmtId="6" fontId="15" fillId="4" borderId="11" xfId="2" applyNumberFormat="1" applyFont="1" applyFill="1" applyBorder="1" applyAlignment="1">
      <alignment horizontal="right"/>
    </xf>
    <xf numFmtId="165" fontId="0" fillId="0" borderId="0" xfId="164" applyNumberFormat="1" applyFont="1" applyBorder="1" applyAlignment="1">
      <alignment horizontal="center"/>
    </xf>
    <xf numFmtId="2" fontId="17" fillId="0" borderId="0" xfId="1" applyNumberFormat="1" applyFont="1" applyFill="1" applyBorder="1" applyAlignment="1">
      <alignment horizontal="center"/>
    </xf>
    <xf numFmtId="0" fontId="88" fillId="2" borderId="0" xfId="5" applyFont="1" applyFill="1" applyAlignment="1" applyProtection="1">
      <alignment horizontal="left"/>
      <protection locked="0"/>
    </xf>
    <xf numFmtId="6" fontId="74" fillId="34" borderId="8" xfId="2" applyNumberFormat="1" applyFont="1" applyFill="1" applyBorder="1" applyAlignment="1">
      <alignment horizontal="right"/>
    </xf>
    <xf numFmtId="179" fontId="17" fillId="0" borderId="0" xfId="1" applyNumberFormat="1" applyFont="1" applyFill="1" applyAlignment="1">
      <alignment horizontal="center" vertical="center"/>
    </xf>
    <xf numFmtId="186" fontId="17" fillId="0" borderId="0" xfId="1" applyNumberFormat="1" applyFont="1" applyFill="1" applyBorder="1" applyAlignment="1">
      <alignment horizontal="center" vertical="center"/>
    </xf>
    <xf numFmtId="179" fontId="17" fillId="0" borderId="0" xfId="1" applyNumberFormat="1" applyFont="1" applyFill="1" applyBorder="1" applyAlignment="1">
      <alignment horizontal="center" vertical="center"/>
    </xf>
    <xf numFmtId="0" fontId="15" fillId="24" borderId="10" xfId="3" applyFont="1" applyFill="1" applyBorder="1" applyAlignment="1">
      <alignment horizontal="left" wrapText="1"/>
    </xf>
    <xf numFmtId="165" fontId="15" fillId="24" borderId="10" xfId="3" applyNumberFormat="1" applyFont="1" applyFill="1" applyBorder="1" applyAlignment="1">
      <alignment horizontal="right"/>
    </xf>
    <xf numFmtId="14" fontId="15" fillId="24" borderId="10" xfId="3" applyNumberFormat="1" applyFont="1" applyFill="1" applyBorder="1" applyAlignment="1">
      <alignment horizontal="right"/>
    </xf>
    <xf numFmtId="6" fontId="15" fillId="24" borderId="11" xfId="2" applyNumberFormat="1" applyFont="1" applyFill="1" applyBorder="1" applyAlignment="1">
      <alignment horizontal="right"/>
    </xf>
    <xf numFmtId="0" fontId="15" fillId="31" borderId="10" xfId="3" applyFont="1" applyFill="1" applyBorder="1" applyAlignment="1">
      <alignment horizontal="left" wrapText="1"/>
    </xf>
    <xf numFmtId="165" fontId="19" fillId="3" borderId="10" xfId="3" applyNumberFormat="1" applyFont="1" applyFill="1" applyBorder="1"/>
    <xf numFmtId="165" fontId="63" fillId="35" borderId="10" xfId="3" applyNumberFormat="1" applyFont="1" applyFill="1" applyBorder="1"/>
    <xf numFmtId="165" fontId="15" fillId="3" borderId="10" xfId="3" applyNumberFormat="1" applyFont="1" applyFill="1" applyBorder="1" applyAlignment="1">
      <alignment wrapText="1"/>
    </xf>
    <xf numFmtId="0" fontId="63" fillId="0" borderId="10" xfId="3" applyFont="1" applyBorder="1" applyAlignment="1">
      <alignment horizontal="left" wrapText="1"/>
    </xf>
    <xf numFmtId="0" fontId="15" fillId="0" borderId="72" xfId="3" applyFont="1" applyBorder="1" applyAlignment="1">
      <alignment horizontal="left" wrapText="1"/>
    </xf>
    <xf numFmtId="0" fontId="63" fillId="0" borderId="72" xfId="3" applyFont="1" applyBorder="1" applyAlignment="1">
      <alignment horizontal="left" wrapText="1"/>
    </xf>
    <xf numFmtId="165" fontId="15" fillId="0" borderId="30" xfId="3" applyNumberFormat="1" applyFont="1" applyBorder="1"/>
    <xf numFmtId="178" fontId="74" fillId="3" borderId="8" xfId="2" applyNumberFormat="1" applyFont="1" applyFill="1" applyBorder="1" applyAlignment="1">
      <alignment horizontal="right"/>
    </xf>
    <xf numFmtId="44" fontId="15" fillId="25" borderId="11" xfId="2" applyFont="1" applyFill="1" applyBorder="1" applyAlignment="1">
      <alignment horizontal="center"/>
    </xf>
    <xf numFmtId="178" fontId="15" fillId="25" borderId="67" xfId="2" applyNumberFormat="1" applyFont="1" applyFill="1" applyBorder="1" applyAlignment="1">
      <alignment horizontal="center"/>
    </xf>
    <xf numFmtId="165" fontId="12" fillId="2" borderId="0" xfId="5" applyNumberFormat="1" applyFont="1" applyFill="1" applyProtection="1">
      <protection locked="0"/>
    </xf>
    <xf numFmtId="9" fontId="12" fillId="0" borderId="0" xfId="164" applyFont="1" applyProtection="1">
      <protection locked="0"/>
    </xf>
    <xf numFmtId="44" fontId="15" fillId="0" borderId="0" xfId="2" applyFont="1" applyFill="1" applyAlignment="1">
      <alignment horizontal="center"/>
    </xf>
    <xf numFmtId="10" fontId="15" fillId="25" borderId="0" xfId="164" applyNumberFormat="1" applyFont="1" applyFill="1" applyBorder="1" applyAlignment="1">
      <alignment horizontal="center"/>
    </xf>
    <xf numFmtId="44" fontId="11" fillId="2" borderId="0" xfId="4" applyNumberFormat="1" applyFont="1" applyFill="1" applyAlignment="1">
      <alignment horizontal="left" vertical="center"/>
    </xf>
    <xf numFmtId="0" fontId="11" fillId="2" borderId="0" xfId="4" applyFont="1" applyFill="1" applyAlignment="1">
      <alignment horizontal="right" vertical="center"/>
    </xf>
    <xf numFmtId="167" fontId="17" fillId="0" borderId="0" xfId="2" applyNumberFormat="1" applyFont="1" applyBorder="1" applyAlignment="1">
      <alignment horizontal="right" vertical="center"/>
    </xf>
    <xf numFmtId="0" fontId="62" fillId="2" borderId="0" xfId="4" applyFont="1" applyFill="1" applyAlignment="1">
      <alignment vertical="center"/>
    </xf>
    <xf numFmtId="178" fontId="17" fillId="0" borderId="0" xfId="2" applyNumberFormat="1" applyFont="1" applyFill="1" applyAlignment="1">
      <alignment horizontal="center" vertical="center"/>
    </xf>
    <xf numFmtId="182" fontId="0" fillId="0" borderId="47" xfId="164" applyNumberFormat="1" applyFont="1" applyBorder="1" applyAlignment="1">
      <alignment horizontal="center"/>
    </xf>
    <xf numFmtId="9" fontId="89" fillId="25" borderId="0" xfId="164" applyFont="1" applyFill="1" applyBorder="1" applyAlignment="1">
      <alignment horizontal="center" wrapText="1"/>
    </xf>
    <xf numFmtId="2" fontId="0" fillId="0" borderId="0" xfId="164" applyNumberFormat="1" applyFont="1" applyAlignment="1">
      <alignment horizontal="center"/>
    </xf>
    <xf numFmtId="2" fontId="0" fillId="0" borderId="47" xfId="164" applyNumberFormat="1" applyFont="1" applyBorder="1" applyAlignment="1">
      <alignment horizontal="center"/>
    </xf>
    <xf numFmtId="0" fontId="19" fillId="0" borderId="10" xfId="3" applyFont="1" applyBorder="1" applyAlignment="1">
      <alignment horizontal="left" wrapText="1"/>
    </xf>
    <xf numFmtId="43" fontId="0" fillId="0" borderId="47" xfId="1" applyFont="1" applyBorder="1"/>
    <xf numFmtId="9" fontId="0" fillId="0" borderId="0" xfId="0" applyNumberFormat="1"/>
    <xf numFmtId="0" fontId="15" fillId="4" borderId="72" xfId="3" applyFont="1" applyFill="1" applyBorder="1" applyAlignment="1">
      <alignment horizontal="left" wrapText="1"/>
    </xf>
    <xf numFmtId="165" fontId="63" fillId="36" borderId="10" xfId="3" applyNumberFormat="1" applyFont="1" applyFill="1" applyBorder="1"/>
    <xf numFmtId="165" fontId="15" fillId="36" borderId="10" xfId="3" applyNumberFormat="1" applyFont="1" applyFill="1" applyBorder="1"/>
    <xf numFmtId="165" fontId="15" fillId="37" borderId="10" xfId="3" applyNumberFormat="1" applyFont="1" applyFill="1" applyBorder="1"/>
    <xf numFmtId="0" fontId="15" fillId="37" borderId="10" xfId="3" applyFont="1" applyFill="1" applyBorder="1" applyAlignment="1">
      <alignment horizontal="left" wrapText="1"/>
    </xf>
    <xf numFmtId="177" fontId="63" fillId="32" borderId="67" xfId="164" applyNumberFormat="1" applyFont="1" applyFill="1" applyBorder="1" applyAlignment="1">
      <alignment horizontal="center"/>
    </xf>
    <xf numFmtId="2" fontId="17" fillId="2" borderId="0" xfId="4" applyNumberFormat="1" applyFont="1" applyFill="1" applyAlignment="1">
      <alignment horizontal="center" vertical="center"/>
    </xf>
    <xf numFmtId="9" fontId="90" fillId="0" borderId="0" xfId="164" applyFont="1"/>
    <xf numFmtId="0" fontId="91" fillId="0" borderId="0" xfId="0" applyFont="1"/>
    <xf numFmtId="9" fontId="91" fillId="0" borderId="0" xfId="164" applyFont="1"/>
    <xf numFmtId="165" fontId="90" fillId="0" borderId="0" xfId="0" applyNumberFormat="1" applyFont="1"/>
    <xf numFmtId="165" fontId="63" fillId="3" borderId="10" xfId="3" applyNumberFormat="1" applyFont="1" applyFill="1" applyBorder="1"/>
    <xf numFmtId="165" fontId="7" fillId="0" borderId="38" xfId="170" applyNumberFormat="1" applyBorder="1"/>
    <xf numFmtId="0" fontId="92" fillId="0" borderId="0" xfId="170" applyFont="1"/>
    <xf numFmtId="9" fontId="92" fillId="0" borderId="0" xfId="164" applyFont="1"/>
    <xf numFmtId="9" fontId="92" fillId="0" borderId="0" xfId="170" applyNumberFormat="1" applyFont="1"/>
    <xf numFmtId="165" fontId="7" fillId="0" borderId="0" xfId="170" applyNumberFormat="1" applyAlignment="1">
      <alignment vertical="center"/>
    </xf>
    <xf numFmtId="165" fontId="67" fillId="0" borderId="0" xfId="170" applyNumberFormat="1" applyFont="1" applyAlignment="1">
      <alignment vertical="center"/>
    </xf>
    <xf numFmtId="165" fontId="66" fillId="0" borderId="0" xfId="170" applyNumberFormat="1" applyFont="1" applyAlignment="1">
      <alignment vertical="center"/>
    </xf>
    <xf numFmtId="14" fontId="0" fillId="0" borderId="0" xfId="0" applyNumberFormat="1"/>
    <xf numFmtId="0" fontId="12" fillId="0" borderId="0" xfId="0" applyFont="1"/>
    <xf numFmtId="14" fontId="9" fillId="0" borderId="0" xfId="0" applyNumberFormat="1" applyFont="1"/>
    <xf numFmtId="1" fontId="0" fillId="0" borderId="0" xfId="0" applyNumberFormat="1"/>
    <xf numFmtId="1" fontId="0" fillId="0" borderId="0" xfId="1" applyNumberFormat="1" applyFont="1"/>
    <xf numFmtId="1" fontId="9" fillId="0" borderId="0" xfId="0" applyNumberFormat="1" applyFont="1"/>
    <xf numFmtId="1" fontId="9" fillId="0" borderId="0" xfId="1" applyNumberFormat="1" applyFont="1"/>
    <xf numFmtId="0" fontId="94" fillId="0" borderId="0" xfId="0" applyFont="1"/>
    <xf numFmtId="0" fontId="95" fillId="0" borderId="0" xfId="0" applyFont="1"/>
    <xf numFmtId="165" fontId="69" fillId="0" borderId="0" xfId="1" applyNumberFormat="1" applyFont="1" applyFill="1" applyBorder="1" applyAlignment="1">
      <alignment horizontal="center"/>
    </xf>
    <xf numFmtId="0" fontId="64" fillId="0" borderId="0" xfId="170" applyFont="1"/>
    <xf numFmtId="0" fontId="75" fillId="0" borderId="0" xfId="170" applyFont="1"/>
    <xf numFmtId="9" fontId="75" fillId="0" borderId="0" xfId="164" applyFont="1"/>
    <xf numFmtId="0" fontId="3" fillId="0" borderId="0" xfId="170" applyFont="1"/>
    <xf numFmtId="165" fontId="69" fillId="0" borderId="0" xfId="171" applyNumberFormat="1" applyFont="1"/>
    <xf numFmtId="165" fontId="69" fillId="0" borderId="0" xfId="1" applyNumberFormat="1" applyFont="1" applyAlignment="1">
      <alignment horizontal="center"/>
    </xf>
    <xf numFmtId="2" fontId="69" fillId="0" borderId="0" xfId="1" applyNumberFormat="1" applyFont="1" applyAlignment="1">
      <alignment horizontal="center"/>
    </xf>
    <xf numFmtId="9" fontId="59" fillId="0" borderId="40" xfId="164" applyFont="1" applyBorder="1"/>
    <xf numFmtId="165" fontId="70" fillId="0" borderId="41" xfId="1" applyNumberFormat="1" applyFont="1" applyBorder="1"/>
    <xf numFmtId="165" fontId="59" fillId="0" borderId="41" xfId="1" applyNumberFormat="1" applyFont="1" applyBorder="1"/>
    <xf numFmtId="14" fontId="7" fillId="0" borderId="36" xfId="170" applyNumberFormat="1" applyBorder="1"/>
    <xf numFmtId="165" fontId="59" fillId="0" borderId="40" xfId="164" applyNumberFormat="1" applyFont="1" applyBorder="1" applyAlignment="1"/>
    <xf numFmtId="10" fontId="0" fillId="0" borderId="0" xfId="164" applyNumberFormat="1" applyFont="1"/>
    <xf numFmtId="0" fontId="0" fillId="0" borderId="0" xfId="5" applyFont="1" applyAlignment="1">
      <alignment horizontal="center"/>
    </xf>
    <xf numFmtId="168" fontId="21" fillId="38" borderId="0" xfId="5" applyNumberFormat="1" applyFont="1" applyFill="1" applyAlignment="1">
      <alignment horizontal="center"/>
    </xf>
    <xf numFmtId="2" fontId="0" fillId="0" borderId="0" xfId="5" applyNumberFormat="1" applyFont="1" applyAlignment="1">
      <alignment horizontal="center"/>
    </xf>
    <xf numFmtId="168" fontId="0" fillId="0" borderId="0" xfId="5" applyNumberFormat="1" applyFont="1" applyAlignment="1">
      <alignment horizontal="center"/>
    </xf>
    <xf numFmtId="9" fontId="62" fillId="0" borderId="0" xfId="164" applyFont="1" applyProtection="1">
      <protection locked="0"/>
    </xf>
    <xf numFmtId="0" fontId="84" fillId="0" borderId="0" xfId="5" applyFont="1"/>
    <xf numFmtId="0" fontId="96" fillId="0" borderId="0" xfId="5" applyFont="1"/>
    <xf numFmtId="0" fontId="9" fillId="0" borderId="0" xfId="5" quotePrefix="1" applyFont="1"/>
    <xf numFmtId="2" fontId="9" fillId="4" borderId="0" xfId="5" applyNumberFormat="1" applyFont="1" applyFill="1" applyAlignment="1">
      <alignment horizontal="center" vertical="center"/>
    </xf>
    <xf numFmtId="168" fontId="84" fillId="0" borderId="0" xfId="5" applyNumberFormat="1" applyFont="1" applyAlignment="1">
      <alignment horizontal="center"/>
    </xf>
    <xf numFmtId="0" fontId="97" fillId="2" borderId="0" xfId="4" applyFont="1" applyFill="1" applyAlignment="1">
      <alignment vertical="center"/>
    </xf>
    <xf numFmtId="168" fontId="97" fillId="0" borderId="0" xfId="5" applyNumberFormat="1" applyFont="1" applyAlignment="1">
      <alignment horizontal="center"/>
    </xf>
    <xf numFmtId="0" fontId="90" fillId="0" borderId="0" xfId="5" applyFont="1"/>
    <xf numFmtId="168" fontId="90" fillId="0" borderId="0" xfId="5" applyNumberFormat="1" applyFont="1" applyAlignment="1">
      <alignment horizontal="center"/>
    </xf>
    <xf numFmtId="9" fontId="9" fillId="0" borderId="0" xfId="164" applyFont="1"/>
    <xf numFmtId="189" fontId="15" fillId="25" borderId="57" xfId="3" applyNumberFormat="1" applyFont="1" applyFill="1" applyBorder="1" applyAlignment="1">
      <alignment horizontal="right"/>
    </xf>
    <xf numFmtId="165" fontId="9" fillId="0" borderId="0" xfId="1" applyNumberFormat="1" applyFont="1" applyProtection="1">
      <protection locked="0"/>
    </xf>
    <xf numFmtId="1" fontId="12" fillId="0" borderId="0" xfId="5" applyNumberFormat="1" applyFont="1" applyProtection="1">
      <protection locked="0"/>
    </xf>
    <xf numFmtId="9" fontId="63" fillId="3" borderId="0" xfId="164" applyFont="1" applyFill="1" applyAlignment="1">
      <alignment horizontal="center"/>
    </xf>
    <xf numFmtId="165" fontId="15" fillId="0" borderId="10" xfId="3" applyNumberFormat="1" applyFont="1" applyBorder="1"/>
    <xf numFmtId="0" fontId="15" fillId="36" borderId="10" xfId="3" applyFont="1" applyFill="1" applyBorder="1" applyAlignment="1">
      <alignment horizontal="left" wrapText="1"/>
    </xf>
    <xf numFmtId="14" fontId="15" fillId="36" borderId="10" xfId="3" applyNumberFormat="1" applyFont="1" applyFill="1" applyBorder="1" applyAlignment="1">
      <alignment horizontal="right"/>
    </xf>
    <xf numFmtId="165" fontId="15" fillId="39" borderId="10" xfId="3" applyNumberFormat="1" applyFont="1" applyFill="1" applyBorder="1"/>
    <xf numFmtId="165" fontId="15" fillId="34" borderId="10" xfId="3" applyNumberFormat="1" applyFont="1" applyFill="1" applyBorder="1"/>
    <xf numFmtId="165" fontId="15" fillId="38" borderId="10" xfId="3" applyNumberFormat="1" applyFont="1" applyFill="1" applyBorder="1"/>
    <xf numFmtId="0" fontId="15" fillId="38" borderId="10" xfId="3" applyFont="1" applyFill="1" applyBorder="1" applyAlignment="1">
      <alignment horizontal="left" wrapText="1"/>
    </xf>
    <xf numFmtId="0" fontId="64" fillId="4" borderId="46" xfId="0" applyFont="1" applyFill="1" applyBorder="1" applyAlignment="1">
      <alignment horizontal="center" vertical="center"/>
    </xf>
    <xf numFmtId="165" fontId="9" fillId="0" borderId="0" xfId="1" applyNumberFormat="1" applyFont="1"/>
    <xf numFmtId="166" fontId="9" fillId="0" borderId="0" xfId="1" applyNumberFormat="1" applyFont="1" applyProtection="1">
      <protection locked="0"/>
    </xf>
    <xf numFmtId="14" fontId="12" fillId="4" borderId="0" xfId="5" applyNumberFormat="1" applyFont="1" applyFill="1"/>
    <xf numFmtId="169" fontId="6" fillId="0" borderId="0" xfId="173" applyNumberFormat="1" applyAlignment="1">
      <alignment horizontal="center"/>
    </xf>
    <xf numFmtId="43" fontId="0" fillId="4" borderId="0" xfId="1" applyFont="1" applyFill="1"/>
    <xf numFmtId="0" fontId="64" fillId="3" borderId="46" xfId="0" applyFont="1" applyFill="1" applyBorder="1" applyAlignment="1">
      <alignment horizontal="center" vertical="center"/>
    </xf>
    <xf numFmtId="14" fontId="62" fillId="3" borderId="0" xfId="5" applyNumberFormat="1" applyFont="1" applyFill="1" applyAlignment="1">
      <alignment horizontal="center"/>
    </xf>
    <xf numFmtId="1" fontId="12" fillId="2" borderId="0" xfId="4" applyNumberFormat="1" applyFont="1" applyFill="1" applyAlignment="1">
      <alignment horizontal="center" vertical="center"/>
    </xf>
    <xf numFmtId="43" fontId="17" fillId="25" borderId="41" xfId="1" applyFont="1" applyFill="1" applyBorder="1" applyAlignment="1">
      <alignment horizontal="center" vertical="center"/>
    </xf>
    <xf numFmtId="165" fontId="19" fillId="25" borderId="68" xfId="3" applyNumberFormat="1" applyFont="1" applyFill="1" applyBorder="1" applyAlignment="1">
      <alignment horizontal="right"/>
    </xf>
    <xf numFmtId="177" fontId="0" fillId="0" borderId="38" xfId="164" applyNumberFormat="1" applyFont="1" applyBorder="1"/>
    <xf numFmtId="178" fontId="0" fillId="0" borderId="41" xfId="2" applyNumberFormat="1" applyFont="1" applyBorder="1"/>
    <xf numFmtId="178" fontId="0" fillId="0" borderId="0" xfId="2" applyNumberFormat="1" applyFont="1"/>
    <xf numFmtId="179" fontId="12" fillId="2" borderId="0" xfId="4" applyNumberFormat="1" applyFont="1" applyFill="1" applyAlignment="1">
      <alignment vertical="center"/>
    </xf>
    <xf numFmtId="1" fontId="12" fillId="2" borderId="0" xfId="4" applyNumberFormat="1" applyFont="1" applyFill="1" applyAlignment="1">
      <alignment vertical="center"/>
    </xf>
    <xf numFmtId="178" fontId="15" fillId="40" borderId="11" xfId="2" applyNumberFormat="1" applyFont="1" applyFill="1" applyBorder="1" applyAlignment="1">
      <alignment horizontal="right"/>
    </xf>
    <xf numFmtId="178" fontId="15" fillId="40" borderId="73" xfId="2" applyNumberFormat="1" applyFont="1" applyFill="1" applyBorder="1" applyAlignment="1">
      <alignment horizontal="right"/>
    </xf>
    <xf numFmtId="0" fontId="98" fillId="40" borderId="46" xfId="0" applyFont="1" applyFill="1" applyBorder="1" applyAlignment="1">
      <alignment horizontal="center" vertical="center"/>
    </xf>
    <xf numFmtId="0" fontId="9" fillId="2" borderId="0" xfId="4" quotePrefix="1" applyFill="1" applyAlignment="1">
      <alignment vertical="center"/>
    </xf>
    <xf numFmtId="14" fontId="62" fillId="0" borderId="0" xfId="5" applyNumberFormat="1" applyFont="1" applyProtection="1">
      <protection locked="0"/>
    </xf>
    <xf numFmtId="178" fontId="15" fillId="40" borderId="10" xfId="2" applyNumberFormat="1" applyFont="1" applyFill="1" applyBorder="1" applyAlignment="1">
      <alignment horizontal="right"/>
    </xf>
    <xf numFmtId="166" fontId="12" fillId="2" borderId="0" xfId="1" applyNumberFormat="1" applyFont="1" applyFill="1" applyAlignment="1">
      <alignment vertical="center"/>
    </xf>
    <xf numFmtId="14" fontId="62" fillId="28" borderId="0" xfId="5" applyNumberFormat="1" applyFont="1" applyFill="1"/>
    <xf numFmtId="0" fontId="12" fillId="2" borderId="0" xfId="4" quotePrefix="1" applyFont="1" applyFill="1" applyAlignment="1">
      <alignment vertical="center"/>
    </xf>
    <xf numFmtId="0" fontId="98" fillId="41" borderId="46" xfId="0" applyFont="1" applyFill="1" applyBorder="1" applyAlignment="1">
      <alignment horizontal="center" vertical="center"/>
    </xf>
    <xf numFmtId="0" fontId="12" fillId="42" borderId="0" xfId="5" applyFont="1" applyFill="1" applyAlignment="1" applyProtection="1">
      <alignment wrapText="1"/>
      <protection locked="0"/>
    </xf>
    <xf numFmtId="178" fontId="15" fillId="42" borderId="11" xfId="2" applyNumberFormat="1" applyFont="1" applyFill="1" applyBorder="1" applyAlignment="1">
      <alignment horizontal="right"/>
    </xf>
    <xf numFmtId="178" fontId="15" fillId="42" borderId="73" xfId="2" applyNumberFormat="1" applyFont="1" applyFill="1" applyBorder="1" applyAlignment="1">
      <alignment horizontal="right"/>
    </xf>
    <xf numFmtId="0" fontId="98" fillId="43" borderId="46" xfId="0" applyFont="1" applyFill="1" applyBorder="1" applyAlignment="1">
      <alignment horizontal="center" vertical="center"/>
    </xf>
    <xf numFmtId="178" fontId="15" fillId="37" borderId="11" xfId="2" applyNumberFormat="1" applyFont="1" applyFill="1" applyBorder="1" applyAlignment="1">
      <alignment horizontal="right"/>
    </xf>
    <xf numFmtId="178" fontId="15" fillId="37" borderId="73" xfId="2" applyNumberFormat="1" applyFont="1" applyFill="1" applyBorder="1" applyAlignment="1">
      <alignment horizontal="right"/>
    </xf>
    <xf numFmtId="189" fontId="12" fillId="0" borderId="0" xfId="5" applyNumberFormat="1" applyFont="1" applyProtection="1">
      <protection locked="0"/>
    </xf>
    <xf numFmtId="165" fontId="15" fillId="3" borderId="10" xfId="3" applyNumberFormat="1" applyFont="1" applyFill="1" applyBorder="1" applyAlignment="1">
      <alignment horizontal="left"/>
    </xf>
    <xf numFmtId="181" fontId="16" fillId="0" borderId="0" xfId="2" applyNumberFormat="1" applyFont="1" applyBorder="1" applyAlignment="1">
      <alignment horizontal="right" vertical="center"/>
    </xf>
    <xf numFmtId="14" fontId="63" fillId="3" borderId="10" xfId="3" applyNumberFormat="1" applyFont="1" applyFill="1" applyBorder="1" applyAlignment="1">
      <alignment horizontal="right"/>
    </xf>
    <xf numFmtId="14" fontId="87" fillId="3" borderId="10" xfId="3" applyNumberFormat="1" applyFont="1" applyFill="1" applyBorder="1" applyAlignment="1">
      <alignment horizontal="center"/>
    </xf>
    <xf numFmtId="1" fontId="17" fillId="44" borderId="0" xfId="4" applyNumberFormat="1" applyFont="1" applyFill="1" applyAlignment="1">
      <alignment horizontal="center" vertical="center"/>
    </xf>
    <xf numFmtId="179" fontId="17" fillId="44" borderId="0" xfId="1" applyNumberFormat="1" applyFont="1" applyFill="1" applyAlignment="1">
      <alignment horizontal="center" vertical="center"/>
    </xf>
    <xf numFmtId="179" fontId="17" fillId="44" borderId="0" xfId="1" applyNumberFormat="1" applyFont="1" applyFill="1" applyBorder="1" applyAlignment="1">
      <alignment horizontal="left" vertical="center"/>
    </xf>
    <xf numFmtId="0" fontId="12" fillId="44" borderId="0" xfId="4" applyFont="1" applyFill="1" applyAlignment="1">
      <alignment vertical="center"/>
    </xf>
    <xf numFmtId="179" fontId="17" fillId="44" borderId="0" xfId="1" applyNumberFormat="1" applyFont="1" applyFill="1" applyBorder="1" applyAlignment="1">
      <alignment horizontal="center" vertical="center"/>
    </xf>
    <xf numFmtId="179" fontId="17" fillId="44" borderId="0" xfId="1" applyNumberFormat="1" applyFont="1" applyFill="1" applyAlignment="1">
      <alignment horizontal="left" vertical="center"/>
    </xf>
    <xf numFmtId="179" fontId="17" fillId="26" borderId="0" xfId="1" applyNumberFormat="1" applyFont="1" applyFill="1" applyBorder="1" applyAlignment="1">
      <alignment horizontal="left" vertical="center"/>
    </xf>
    <xf numFmtId="0" fontId="12" fillId="26" borderId="0" xfId="4" applyFont="1" applyFill="1" applyAlignment="1">
      <alignment vertical="center"/>
    </xf>
    <xf numFmtId="179" fontId="17" fillId="26" borderId="0" xfId="1" applyNumberFormat="1" applyFont="1" applyFill="1" applyBorder="1" applyAlignment="1">
      <alignment horizontal="center" vertical="center"/>
    </xf>
    <xf numFmtId="1" fontId="17" fillId="26" borderId="0" xfId="4" applyNumberFormat="1" applyFont="1" applyFill="1" applyAlignment="1">
      <alignment horizontal="center" vertical="center"/>
    </xf>
    <xf numFmtId="179" fontId="17" fillId="26" borderId="0" xfId="1" applyNumberFormat="1" applyFont="1" applyFill="1" applyAlignment="1">
      <alignment horizontal="left" vertical="center"/>
    </xf>
    <xf numFmtId="179" fontId="17" fillId="26" borderId="0" xfId="1" applyNumberFormat="1" applyFont="1" applyFill="1" applyAlignment="1">
      <alignment horizontal="center" vertical="center"/>
    </xf>
    <xf numFmtId="179" fontId="16" fillId="0" borderId="0" xfId="1" applyNumberFormat="1" applyFont="1" applyFill="1" applyAlignment="1">
      <alignment horizontal="right" vertical="center"/>
    </xf>
    <xf numFmtId="0" fontId="6" fillId="4" borderId="0" xfId="173" applyFill="1"/>
    <xf numFmtId="0" fontId="5" fillId="4" borderId="0" xfId="175" applyFill="1"/>
    <xf numFmtId="43" fontId="66" fillId="0" borderId="0" xfId="0" applyNumberFormat="1" applyFont="1"/>
    <xf numFmtId="44" fontId="66" fillId="0" borderId="0" xfId="0" applyNumberFormat="1" applyFont="1"/>
    <xf numFmtId="43" fontId="6" fillId="0" borderId="0" xfId="173" applyNumberFormat="1"/>
    <xf numFmtId="178" fontId="20" fillId="0" borderId="0" xfId="2" applyNumberFormat="1" applyFont="1" applyAlignment="1">
      <alignment horizontal="center" vertical="center"/>
    </xf>
    <xf numFmtId="44" fontId="20" fillId="0" borderId="41" xfId="2" applyFont="1" applyBorder="1" applyAlignment="1">
      <alignment horizontal="right" vertical="center"/>
    </xf>
    <xf numFmtId="178" fontId="20" fillId="24" borderId="41" xfId="2" applyNumberFormat="1" applyFont="1" applyFill="1" applyBorder="1" applyAlignment="1">
      <alignment horizontal="right" vertical="center"/>
    </xf>
    <xf numFmtId="181" fontId="20" fillId="0" borderId="0" xfId="2" applyNumberFormat="1" applyFont="1" applyBorder="1" applyAlignment="1">
      <alignment horizontal="right" vertical="center"/>
    </xf>
    <xf numFmtId="178" fontId="20" fillId="0" borderId="0" xfId="2" applyNumberFormat="1" applyFont="1" applyBorder="1" applyAlignment="1">
      <alignment horizontal="right" vertical="center"/>
    </xf>
    <xf numFmtId="178" fontId="20" fillId="0" borderId="4" xfId="2" applyNumberFormat="1" applyFont="1" applyBorder="1" applyAlignment="1">
      <alignment horizontal="right" vertical="center"/>
    </xf>
    <xf numFmtId="0" fontId="5" fillId="45" borderId="0" xfId="174" applyFill="1"/>
    <xf numFmtId="0" fontId="5" fillId="4" borderId="0" xfId="174" applyFill="1"/>
    <xf numFmtId="44" fontId="66" fillId="4" borderId="0" xfId="173" applyNumberFormat="1" applyFont="1" applyFill="1"/>
    <xf numFmtId="0" fontId="2" fillId="0" borderId="0" xfId="186"/>
    <xf numFmtId="178" fontId="66" fillId="0" borderId="0" xfId="2" applyNumberFormat="1" applyFont="1"/>
    <xf numFmtId="4" fontId="6" fillId="0" borderId="0" xfId="173" applyNumberFormat="1"/>
    <xf numFmtId="4" fontId="5" fillId="0" borderId="0" xfId="175" applyNumberFormat="1"/>
    <xf numFmtId="0" fontId="2" fillId="0" borderId="0" xfId="187"/>
    <xf numFmtId="43" fontId="2" fillId="0" borderId="0" xfId="193" applyNumberFormat="1"/>
    <xf numFmtId="178" fontId="6" fillId="0" borderId="0" xfId="173" applyNumberFormat="1"/>
    <xf numFmtId="17" fontId="6" fillId="0" borderId="0" xfId="173" applyNumberFormat="1"/>
    <xf numFmtId="44" fontId="66" fillId="0" borderId="0" xfId="190" applyNumberFormat="1" applyFont="1"/>
    <xf numFmtId="0" fontId="66" fillId="0" borderId="0" xfId="173" applyFont="1" applyAlignment="1">
      <alignment horizontal="center"/>
    </xf>
    <xf numFmtId="165" fontId="15" fillId="0" borderId="10" xfId="3" applyNumberFormat="1" applyFont="1" applyBorder="1" applyAlignment="1">
      <alignment horizontal="right"/>
    </xf>
    <xf numFmtId="14" fontId="15" fillId="0" borderId="10" xfId="3" applyNumberFormat="1" applyFont="1" applyBorder="1" applyAlignment="1">
      <alignment horizontal="right"/>
    </xf>
    <xf numFmtId="6" fontId="15" fillId="0" borderId="11" xfId="2" applyNumberFormat="1" applyFont="1" applyFill="1" applyBorder="1" applyAlignment="1">
      <alignment horizontal="right"/>
    </xf>
    <xf numFmtId="44" fontId="15" fillId="0" borderId="11" xfId="2" applyFont="1" applyFill="1" applyBorder="1" applyAlignment="1">
      <alignment horizontal="center"/>
    </xf>
    <xf numFmtId="44" fontId="15" fillId="0" borderId="11" xfId="2" applyFont="1" applyFill="1" applyBorder="1" applyAlignment="1">
      <alignment horizontal="right"/>
    </xf>
    <xf numFmtId="165" fontId="15" fillId="0" borderId="57" xfId="3" applyNumberFormat="1" applyFont="1" applyBorder="1" applyAlignment="1">
      <alignment horizontal="right"/>
    </xf>
    <xf numFmtId="178" fontId="15" fillId="0" borderId="67" xfId="2" applyNumberFormat="1" applyFont="1" applyFill="1" applyBorder="1" applyAlignment="1">
      <alignment horizontal="center"/>
    </xf>
    <xf numFmtId="165" fontId="0" fillId="24" borderId="0" xfId="0" applyNumberFormat="1" applyFill="1"/>
    <xf numFmtId="0" fontId="1" fillId="0" borderId="2" xfId="170" applyFont="1" applyBorder="1"/>
    <xf numFmtId="14" fontId="99" fillId="25" borderId="76" xfId="3" applyNumberFormat="1" applyFont="1" applyFill="1" applyBorder="1" applyAlignment="1">
      <alignment horizontal="right"/>
    </xf>
    <xf numFmtId="0" fontId="1" fillId="0" borderId="0" xfId="170" applyFont="1"/>
    <xf numFmtId="0" fontId="1" fillId="0" borderId="7" xfId="170" applyFont="1" applyBorder="1"/>
    <xf numFmtId="0" fontId="1" fillId="0" borderId="1" xfId="170" applyFont="1" applyBorder="1"/>
    <xf numFmtId="0" fontId="1" fillId="0" borderId="45" xfId="170" applyFont="1" applyBorder="1"/>
    <xf numFmtId="43" fontId="1" fillId="0" borderId="36" xfId="1" applyFont="1" applyBorder="1" applyAlignment="1">
      <alignment horizontal="center"/>
    </xf>
    <xf numFmtId="9" fontId="1" fillId="0" borderId="36" xfId="164" applyFont="1" applyBorder="1" applyAlignment="1">
      <alignment horizontal="center"/>
    </xf>
    <xf numFmtId="165" fontId="1" fillId="0" borderId="0" xfId="1" applyNumberFormat="1" applyFont="1"/>
    <xf numFmtId="165" fontId="1" fillId="0" borderId="36" xfId="1" applyNumberFormat="1" applyFont="1" applyBorder="1"/>
    <xf numFmtId="0" fontId="1" fillId="29" borderId="26" xfId="170" applyFont="1" applyFill="1" applyBorder="1"/>
    <xf numFmtId="14" fontId="1" fillId="0" borderId="36" xfId="170" applyNumberFormat="1" applyFont="1" applyBorder="1"/>
    <xf numFmtId="165" fontId="1" fillId="0" borderId="0" xfId="1" applyNumberFormat="1" applyFont="1" applyAlignment="1">
      <alignment horizontal="center"/>
    </xf>
    <xf numFmtId="165" fontId="1" fillId="0" borderId="0" xfId="1" applyNumberFormat="1" applyFont="1" applyAlignment="1">
      <alignment horizontal="right"/>
    </xf>
    <xf numFmtId="9" fontId="1" fillId="0" borderId="0" xfId="170" applyNumberFormat="1" applyFont="1" applyAlignment="1">
      <alignment horizontal="center"/>
    </xf>
    <xf numFmtId="0" fontId="1" fillId="0" borderId="26" xfId="170" applyFont="1" applyBorder="1"/>
    <xf numFmtId="0" fontId="1" fillId="0" borderId="36" xfId="170" applyFont="1" applyBorder="1"/>
    <xf numFmtId="9" fontId="1" fillId="0" borderId="36" xfId="170" applyNumberFormat="1" applyFont="1" applyBorder="1"/>
    <xf numFmtId="0" fontId="1" fillId="0" borderId="5" xfId="170" applyFont="1" applyBorder="1"/>
    <xf numFmtId="0" fontId="1" fillId="0" borderId="41" xfId="170" applyFont="1" applyBorder="1"/>
    <xf numFmtId="165" fontId="1" fillId="0" borderId="41" xfId="1" applyNumberFormat="1" applyFont="1" applyBorder="1" applyAlignment="1">
      <alignment horizontal="center"/>
    </xf>
    <xf numFmtId="165" fontId="1" fillId="0" borderId="40" xfId="1" applyNumberFormat="1" applyFont="1" applyBorder="1"/>
    <xf numFmtId="9" fontId="1" fillId="0" borderId="41" xfId="164" applyFont="1" applyBorder="1"/>
    <xf numFmtId="9" fontId="1" fillId="0" borderId="39" xfId="164" applyFont="1" applyBorder="1"/>
    <xf numFmtId="165" fontId="1" fillId="0" borderId="38" xfId="170" applyNumberFormat="1" applyFont="1" applyBorder="1"/>
    <xf numFmtId="165" fontId="1" fillId="0" borderId="1" xfId="170" applyNumberFormat="1" applyFont="1" applyBorder="1"/>
    <xf numFmtId="165" fontId="1" fillId="0" borderId="54" xfId="1" applyNumberFormat="1" applyFont="1" applyBorder="1" applyAlignment="1">
      <alignment horizontal="center"/>
    </xf>
    <xf numFmtId="0" fontId="1" fillId="0" borderId="0" xfId="170" applyFont="1" applyAlignment="1">
      <alignment vertical="center"/>
    </xf>
    <xf numFmtId="165" fontId="1" fillId="0" borderId="0" xfId="170" applyNumberFormat="1" applyFont="1" applyAlignment="1">
      <alignment vertical="center"/>
    </xf>
    <xf numFmtId="165" fontId="1" fillId="0" borderId="0" xfId="164" applyNumberFormat="1" applyFont="1"/>
    <xf numFmtId="9" fontId="1" fillId="0" borderId="0" xfId="164" applyFont="1"/>
    <xf numFmtId="9" fontId="1" fillId="0" borderId="55" xfId="164" applyFont="1" applyBorder="1" applyAlignment="1">
      <alignment horizontal="center"/>
    </xf>
    <xf numFmtId="9" fontId="1" fillId="0" borderId="0" xfId="164" applyFont="1" applyAlignment="1">
      <alignment horizontal="center"/>
    </xf>
    <xf numFmtId="9" fontId="1" fillId="0" borderId="0" xfId="170" applyNumberFormat="1" applyFont="1"/>
    <xf numFmtId="165" fontId="1" fillId="0" borderId="0" xfId="170" applyNumberFormat="1" applyFont="1"/>
    <xf numFmtId="0" fontId="1" fillId="27" borderId="0" xfId="170" applyFont="1" applyFill="1"/>
    <xf numFmtId="0" fontId="1" fillId="28" borderId="0" xfId="170" applyFont="1" applyFill="1"/>
    <xf numFmtId="9" fontId="1" fillId="0" borderId="0" xfId="164" applyFont="1" applyAlignment="1">
      <alignment horizontal="left"/>
    </xf>
    <xf numFmtId="0" fontId="1" fillId="0" borderId="0" xfId="174" applyFont="1"/>
    <xf numFmtId="165" fontId="1" fillId="0" borderId="0" xfId="1" applyNumberFormat="1" applyFont="1" applyBorder="1"/>
    <xf numFmtId="165" fontId="1" fillId="0" borderId="0" xfId="1" applyNumberFormat="1" applyFont="1" applyBorder="1" applyAlignment="1"/>
    <xf numFmtId="165" fontId="1" fillId="0" borderId="0" xfId="1" applyNumberFormat="1" applyFont="1" applyBorder="1" applyAlignment="1">
      <alignment horizontal="center"/>
    </xf>
    <xf numFmtId="9" fontId="1" fillId="0" borderId="0" xfId="164" applyFont="1" applyBorder="1" applyAlignment="1">
      <alignment horizontal="center"/>
    </xf>
    <xf numFmtId="2" fontId="1" fillId="0" borderId="0" xfId="164" applyNumberFormat="1" applyFont="1" applyBorder="1" applyAlignment="1">
      <alignment horizontal="center"/>
    </xf>
    <xf numFmtId="43" fontId="1" fillId="0" borderId="0" xfId="1" applyFont="1" applyBorder="1" applyAlignment="1">
      <alignment horizontal="center"/>
    </xf>
    <xf numFmtId="9" fontId="1" fillId="0" borderId="0" xfId="164" applyFont="1" applyFill="1" applyBorder="1" applyAlignment="1">
      <alignment horizontal="center"/>
    </xf>
    <xf numFmtId="0" fontId="1" fillId="0" borderId="0" xfId="173" applyFont="1"/>
    <xf numFmtId="178" fontId="1" fillId="0" borderId="0" xfId="2" applyNumberFormat="1" applyFont="1"/>
    <xf numFmtId="43" fontId="1" fillId="0" borderId="0" xfId="173" applyNumberFormat="1" applyFont="1"/>
    <xf numFmtId="0" fontId="1" fillId="4" borderId="0" xfId="173" applyFont="1" applyFill="1"/>
    <xf numFmtId="43" fontId="1" fillId="0" borderId="0" xfId="0" applyNumberFormat="1" applyFont="1"/>
    <xf numFmtId="167" fontId="1" fillId="0" borderId="0" xfId="2" applyNumberFormat="1" applyFont="1" applyAlignment="1">
      <alignment horizontal="center"/>
    </xf>
    <xf numFmtId="189" fontId="1" fillId="0" borderId="0" xfId="1" applyNumberFormat="1" applyFont="1" applyAlignment="1">
      <alignment horizontal="center"/>
    </xf>
    <xf numFmtId="0" fontId="82" fillId="46" borderId="0" xfId="4" applyFont="1" applyFill="1" applyAlignment="1">
      <alignment horizontal="left" vertical="center"/>
    </xf>
    <xf numFmtId="0" fontId="98" fillId="46" borderId="46" xfId="0" applyFont="1" applyFill="1" applyBorder="1" applyAlignment="1">
      <alignment horizontal="center" vertical="center"/>
    </xf>
    <xf numFmtId="0" fontId="101" fillId="46" borderId="0" xfId="3" applyFont="1" applyFill="1" applyAlignment="1">
      <alignment vertical="center"/>
    </xf>
    <xf numFmtId="0" fontId="82" fillId="46" borderId="0" xfId="4" applyFont="1" applyFill="1" applyAlignment="1">
      <alignment horizontal="center" vertical="center"/>
    </xf>
    <xf numFmtId="0" fontId="62" fillId="46" borderId="0" xfId="4" applyFont="1" applyFill="1" applyAlignment="1">
      <alignment horizontal="right" vertical="center"/>
    </xf>
    <xf numFmtId="0" fontId="62" fillId="46" borderId="0" xfId="4" applyFont="1" applyFill="1" applyAlignment="1">
      <alignment horizontal="left" vertical="center"/>
    </xf>
    <xf numFmtId="0" fontId="62" fillId="46" borderId="0" xfId="4" applyFont="1" applyFill="1" applyAlignment="1">
      <alignment vertical="center"/>
    </xf>
    <xf numFmtId="1" fontId="62" fillId="46" borderId="0" xfId="4" applyNumberFormat="1" applyFont="1" applyFill="1" applyAlignment="1">
      <alignment horizontal="center" vertical="center"/>
    </xf>
    <xf numFmtId="0" fontId="62" fillId="46" borderId="0" xfId="4" quotePrefix="1" applyFont="1" applyFill="1" applyAlignment="1">
      <alignment horizontal="right" vertical="center"/>
    </xf>
    <xf numFmtId="0" fontId="102" fillId="46" borderId="0" xfId="4" applyFont="1" applyFill="1" applyAlignment="1">
      <alignment vertical="center"/>
    </xf>
    <xf numFmtId="0" fontId="100" fillId="46" borderId="37" xfId="5" applyFont="1" applyFill="1" applyBorder="1" applyAlignment="1" applyProtection="1">
      <alignment horizontal="right" wrapText="1"/>
      <protection locked="0"/>
    </xf>
    <xf numFmtId="9" fontId="87" fillId="46" borderId="6" xfId="164" applyFont="1" applyFill="1" applyBorder="1" applyAlignment="1">
      <alignment horizontal="center"/>
    </xf>
    <xf numFmtId="0" fontId="104" fillId="46" borderId="0" xfId="5" applyFont="1" applyFill="1" applyAlignment="1" applyProtection="1">
      <alignment vertical="center"/>
      <protection locked="0"/>
    </xf>
    <xf numFmtId="179" fontId="105" fillId="46" borderId="0" xfId="1" applyNumberFormat="1" applyFont="1" applyFill="1" applyAlignment="1">
      <alignment horizontal="left" vertical="center"/>
    </xf>
    <xf numFmtId="43" fontId="62" fillId="46" borderId="0" xfId="1" applyFont="1" applyFill="1"/>
    <xf numFmtId="0" fontId="98" fillId="46" borderId="46" xfId="0" applyFont="1" applyFill="1" applyBorder="1" applyAlignment="1">
      <alignment horizontal="left" vertical="center"/>
    </xf>
    <xf numFmtId="9" fontId="87" fillId="46" borderId="0" xfId="164" applyFont="1" applyFill="1" applyBorder="1" applyAlignment="1">
      <alignment horizontal="center"/>
    </xf>
    <xf numFmtId="187" fontId="87" fillId="46" borderId="0" xfId="164" applyNumberFormat="1" applyFont="1" applyFill="1" applyBorder="1" applyAlignment="1">
      <alignment horizontal="center"/>
    </xf>
    <xf numFmtId="179" fontId="105" fillId="46" borderId="0" xfId="1" applyNumberFormat="1" applyFont="1" applyFill="1" applyAlignment="1">
      <alignment horizontal="center" vertical="center"/>
    </xf>
    <xf numFmtId="9" fontId="105" fillId="46" borderId="0" xfId="164" applyFont="1" applyFill="1" applyAlignment="1">
      <alignment horizontal="center" vertical="center"/>
    </xf>
    <xf numFmtId="186" fontId="105" fillId="46" borderId="0" xfId="1" applyNumberFormat="1" applyFont="1" applyFill="1" applyBorder="1" applyAlignment="1">
      <alignment horizontal="center" vertical="center"/>
    </xf>
    <xf numFmtId="179" fontId="105" fillId="46" borderId="0" xfId="1" applyNumberFormat="1" applyFont="1" applyFill="1" applyBorder="1" applyAlignment="1">
      <alignment horizontal="left" vertical="center"/>
    </xf>
    <xf numFmtId="188" fontId="87" fillId="46" borderId="0" xfId="164" applyNumberFormat="1" applyFont="1" applyFill="1" applyBorder="1" applyAlignment="1">
      <alignment horizontal="center"/>
    </xf>
    <xf numFmtId="0" fontId="105" fillId="46" borderId="0" xfId="4" applyFont="1" applyFill="1" applyAlignment="1">
      <alignment horizontal="center" vertical="center"/>
    </xf>
    <xf numFmtId="179" fontId="105" fillId="46" borderId="0" xfId="1" applyNumberFormat="1" applyFont="1" applyFill="1" applyBorder="1" applyAlignment="1">
      <alignment horizontal="center" vertical="center"/>
    </xf>
    <xf numFmtId="0" fontId="98" fillId="46" borderId="46" xfId="0" applyFont="1" applyFill="1" applyBorder="1" applyAlignment="1">
      <alignment horizontal="center" vertical="center" wrapText="1"/>
    </xf>
    <xf numFmtId="179" fontId="105" fillId="46" borderId="4" xfId="1" applyNumberFormat="1" applyFont="1" applyFill="1" applyBorder="1" applyAlignment="1">
      <alignment horizontal="left" vertical="center"/>
    </xf>
    <xf numFmtId="0" fontId="82" fillId="46" borderId="4" xfId="4" applyFont="1" applyFill="1" applyBorder="1" applyAlignment="1">
      <alignment horizontal="left" vertical="center"/>
    </xf>
    <xf numFmtId="179" fontId="105" fillId="46" borderId="4" xfId="1" applyNumberFormat="1" applyFont="1" applyFill="1" applyBorder="1" applyAlignment="1">
      <alignment horizontal="center" vertical="center"/>
    </xf>
    <xf numFmtId="179" fontId="105" fillId="46" borderId="41" xfId="1" applyNumberFormat="1" applyFont="1" applyFill="1" applyBorder="1" applyAlignment="1">
      <alignment horizontal="center" vertical="center"/>
    </xf>
    <xf numFmtId="9" fontId="105" fillId="46" borderId="41" xfId="164" applyFont="1" applyFill="1" applyBorder="1" applyAlignment="1">
      <alignment horizontal="center" vertical="center"/>
    </xf>
    <xf numFmtId="168" fontId="105" fillId="46" borderId="0" xfId="4" applyNumberFormat="1" applyFont="1" applyFill="1" applyAlignment="1">
      <alignment horizontal="center" vertical="center"/>
    </xf>
    <xf numFmtId="1" fontId="105" fillId="46" borderId="0" xfId="4" applyNumberFormat="1" applyFont="1" applyFill="1" applyAlignment="1">
      <alignment horizontal="center" vertical="center"/>
    </xf>
    <xf numFmtId="179" fontId="106" fillId="46" borderId="78" xfId="1" applyNumberFormat="1" applyFont="1" applyFill="1" applyBorder="1" applyAlignment="1">
      <alignment horizontal="left" vertical="center"/>
    </xf>
    <xf numFmtId="0" fontId="82" fillId="46" borderId="78" xfId="4" applyFont="1" applyFill="1" applyBorder="1" applyAlignment="1">
      <alignment vertical="center"/>
    </xf>
    <xf numFmtId="0" fontId="62" fillId="46" borderId="78" xfId="4" applyFont="1" applyFill="1" applyBorder="1" applyAlignment="1">
      <alignment vertical="center"/>
    </xf>
    <xf numFmtId="0" fontId="62" fillId="46" borderId="0" xfId="4" applyFont="1" applyFill="1" applyAlignment="1">
      <alignment horizontal="right"/>
    </xf>
    <xf numFmtId="178" fontId="105" fillId="46" borderId="0" xfId="2" applyNumberFormat="1" applyFont="1" applyFill="1" applyAlignment="1">
      <alignment horizontal="center" vertical="center"/>
    </xf>
    <xf numFmtId="0" fontId="105" fillId="46" borderId="0" xfId="4" applyFont="1" applyFill="1" applyAlignment="1">
      <alignment vertical="center"/>
    </xf>
    <xf numFmtId="0" fontId="105" fillId="46" borderId="0" xfId="4" applyFont="1" applyFill="1" applyAlignment="1">
      <alignment horizontal="right"/>
    </xf>
    <xf numFmtId="0" fontId="82" fillId="46" borderId="0" xfId="4" applyFont="1" applyFill="1" applyAlignment="1">
      <alignment vertical="center"/>
    </xf>
    <xf numFmtId="179" fontId="105" fillId="46" borderId="0" xfId="1" applyNumberFormat="1" applyFont="1" applyFill="1" applyAlignment="1">
      <alignment horizontal="right"/>
    </xf>
    <xf numFmtId="178" fontId="105" fillId="46" borderId="41" xfId="2" applyNumberFormat="1" applyFont="1" applyFill="1" applyBorder="1" applyAlignment="1">
      <alignment horizontal="right" vertical="center"/>
    </xf>
    <xf numFmtId="179" fontId="106" fillId="46" borderId="0" xfId="1" applyNumberFormat="1" applyFont="1" applyFill="1" applyAlignment="1">
      <alignment horizontal="left" vertical="center"/>
    </xf>
    <xf numFmtId="182" fontId="103" fillId="46" borderId="0" xfId="4" applyNumberFormat="1" applyFont="1" applyFill="1" applyAlignment="1">
      <alignment horizontal="center" vertical="center"/>
    </xf>
    <xf numFmtId="0" fontId="82" fillId="46" borderId="0" xfId="4" applyFont="1" applyFill="1" applyAlignment="1">
      <alignment horizontal="right"/>
    </xf>
    <xf numFmtId="181" fontId="105" fillId="46" borderId="0" xfId="2" applyNumberFormat="1" applyFont="1" applyFill="1" applyBorder="1" applyAlignment="1">
      <alignment horizontal="right" vertical="center"/>
    </xf>
    <xf numFmtId="178" fontId="105" fillId="46" borderId="0" xfId="2" applyNumberFormat="1" applyFont="1" applyFill="1" applyBorder="1" applyAlignment="1">
      <alignment horizontal="right" vertical="center"/>
    </xf>
    <xf numFmtId="178" fontId="105" fillId="46" borderId="4" xfId="2" applyNumberFormat="1" applyFont="1" applyFill="1" applyBorder="1" applyAlignment="1">
      <alignment horizontal="right" vertical="center"/>
    </xf>
    <xf numFmtId="0" fontId="62" fillId="46" borderId="0" xfId="5" applyFont="1" applyFill="1" applyProtection="1">
      <protection locked="0"/>
    </xf>
    <xf numFmtId="0" fontId="105" fillId="46" borderId="0" xfId="0" applyFont="1" applyFill="1" applyAlignment="1">
      <alignment wrapText="1"/>
    </xf>
    <xf numFmtId="0" fontId="105" fillId="46" borderId="0" xfId="0" applyFont="1" applyFill="1"/>
    <xf numFmtId="0" fontId="62" fillId="46" borderId="1" xfId="5" applyFont="1" applyFill="1" applyBorder="1" applyProtection="1">
      <protection locked="0"/>
    </xf>
    <xf numFmtId="0" fontId="105" fillId="46" borderId="0" xfId="5" applyFont="1" applyFill="1" applyProtection="1">
      <protection locked="0"/>
    </xf>
    <xf numFmtId="2" fontId="105" fillId="46" borderId="0" xfId="5" applyNumberFormat="1" applyFont="1" applyFill="1" applyAlignment="1" applyProtection="1">
      <alignment horizontal="center"/>
      <protection locked="0"/>
    </xf>
    <xf numFmtId="182" fontId="105" fillId="46" borderId="0" xfId="5" applyNumberFormat="1" applyFont="1" applyFill="1" applyAlignment="1" applyProtection="1">
      <alignment horizontal="center"/>
      <protection locked="0"/>
    </xf>
    <xf numFmtId="0" fontId="100" fillId="46" borderId="0" xfId="4" applyFont="1" applyFill="1" applyAlignment="1">
      <alignment horizontal="right"/>
    </xf>
    <xf numFmtId="0" fontId="62" fillId="46" borderId="0" xfId="5" applyFont="1" applyFill="1"/>
    <xf numFmtId="165" fontId="87" fillId="46" borderId="0" xfId="3" applyNumberFormat="1" applyFont="1" applyFill="1" applyAlignment="1">
      <alignment horizontal="right"/>
    </xf>
    <xf numFmtId="2" fontId="105" fillId="46" borderId="0" xfId="1" applyNumberFormat="1" applyFont="1" applyFill="1" applyBorder="1" applyAlignment="1">
      <alignment horizontal="center"/>
    </xf>
    <xf numFmtId="0" fontId="100" fillId="46" borderId="0" xfId="4" applyFont="1" applyFill="1" applyAlignment="1">
      <alignment horizontal="right" wrapText="1"/>
    </xf>
    <xf numFmtId="0" fontId="100" fillId="46" borderId="0" xfId="5" applyFont="1" applyFill="1" applyAlignment="1" applyProtection="1">
      <alignment horizontal="right"/>
      <protection locked="0"/>
    </xf>
    <xf numFmtId="177" fontId="87" fillId="46" borderId="0" xfId="164" applyNumberFormat="1" applyFont="1" applyFill="1" applyBorder="1" applyAlignment="1">
      <alignment horizontal="center"/>
    </xf>
    <xf numFmtId="0" fontId="100" fillId="46" borderId="0" xfId="5" applyFont="1" applyFill="1" applyAlignment="1" applyProtection="1">
      <alignment horizontal="right" wrapText="1"/>
      <protection locked="0"/>
    </xf>
    <xf numFmtId="182" fontId="87" fillId="46" borderId="0" xfId="164" applyNumberFormat="1" applyFont="1" applyFill="1" applyBorder="1" applyAlignment="1">
      <alignment horizontal="center"/>
    </xf>
    <xf numFmtId="166" fontId="87" fillId="46" borderId="0" xfId="3" applyNumberFormat="1" applyFont="1" applyFill="1" applyAlignment="1">
      <alignment horizontal="right"/>
    </xf>
    <xf numFmtId="181" fontId="62" fillId="46" borderId="0" xfId="5" applyNumberFormat="1" applyFont="1" applyFill="1"/>
    <xf numFmtId="0" fontId="100" fillId="46" borderId="0" xfId="5" applyFont="1" applyFill="1" applyAlignment="1" applyProtection="1">
      <alignment horizontal="left"/>
      <protection locked="0"/>
    </xf>
    <xf numFmtId="0" fontId="105" fillId="46" borderId="0" xfId="5" applyFont="1" applyFill="1" applyAlignment="1" applyProtection="1">
      <alignment horizontal="right"/>
      <protection locked="0"/>
    </xf>
    <xf numFmtId="182" fontId="87" fillId="46" borderId="0" xfId="164" applyNumberFormat="1" applyFont="1" applyFill="1" applyBorder="1" applyAlignment="1">
      <alignment horizontal="right"/>
    </xf>
    <xf numFmtId="0" fontId="82" fillId="46" borderId="0" xfId="5" applyFont="1" applyFill="1" applyProtection="1">
      <protection locked="0"/>
    </xf>
    <xf numFmtId="0" fontId="87" fillId="46" borderId="0" xfId="0" applyFont="1" applyFill="1"/>
    <xf numFmtId="0" fontId="107" fillId="46" borderId="0" xfId="5" applyFont="1" applyFill="1" applyAlignment="1" applyProtection="1">
      <alignment horizontal="right"/>
      <protection locked="0"/>
    </xf>
    <xf numFmtId="0" fontId="62" fillId="46" borderId="0" xfId="5" applyFont="1" applyFill="1" applyAlignment="1" applyProtection="1">
      <alignment wrapText="1"/>
      <protection locked="0"/>
    </xf>
    <xf numFmtId="0" fontId="82" fillId="46" borderId="0" xfId="5" applyFont="1" applyFill="1" applyAlignment="1" applyProtection="1">
      <alignment horizontal="right"/>
      <protection locked="0"/>
    </xf>
    <xf numFmtId="168" fontId="62" fillId="46" borderId="0" xfId="5" applyNumberFormat="1" applyFont="1" applyFill="1" applyAlignment="1" applyProtection="1">
      <alignment horizontal="center"/>
      <protection locked="0"/>
    </xf>
    <xf numFmtId="169" fontId="62" fillId="46" borderId="0" xfId="5" applyNumberFormat="1" applyFont="1" applyFill="1" applyAlignment="1" applyProtection="1">
      <alignment horizontal="center"/>
      <protection locked="0"/>
    </xf>
    <xf numFmtId="168" fontId="62" fillId="46" borderId="0" xfId="5" applyNumberFormat="1" applyFont="1" applyFill="1" applyAlignment="1">
      <alignment horizontal="center"/>
    </xf>
    <xf numFmtId="0" fontId="62" fillId="46" borderId="0" xfId="5" applyFont="1" applyFill="1" applyAlignment="1">
      <alignment horizontal="center" wrapText="1"/>
    </xf>
    <xf numFmtId="0" fontId="62" fillId="46" borderId="0" xfId="5" applyFont="1" applyFill="1" applyAlignment="1">
      <alignment wrapText="1"/>
    </xf>
    <xf numFmtId="0" fontId="62" fillId="46" borderId="0" xfId="5" applyFont="1" applyFill="1" applyAlignment="1">
      <alignment horizontal="center"/>
    </xf>
    <xf numFmtId="1" fontId="62" fillId="46" borderId="0" xfId="5" applyNumberFormat="1" applyFont="1" applyFill="1" applyAlignment="1">
      <alignment horizontal="center"/>
    </xf>
    <xf numFmtId="0" fontId="82" fillId="46" borderId="0" xfId="5" applyFont="1" applyFill="1" applyAlignment="1">
      <alignment wrapText="1"/>
    </xf>
    <xf numFmtId="1" fontId="62" fillId="46" borderId="0" xfId="5" applyNumberFormat="1" applyFont="1" applyFill="1"/>
    <xf numFmtId="2" fontId="62" fillId="46" borderId="0" xfId="5" applyNumberFormat="1" applyFont="1" applyFill="1" applyAlignment="1">
      <alignment horizontal="center"/>
    </xf>
    <xf numFmtId="0" fontId="110" fillId="46" borderId="0" xfId="8" applyFont="1" applyFill="1"/>
    <xf numFmtId="1" fontId="62" fillId="46" borderId="0" xfId="5" applyNumberFormat="1" applyFont="1" applyFill="1" applyProtection="1">
      <protection locked="0"/>
    </xf>
    <xf numFmtId="1" fontId="82" fillId="46" borderId="0" xfId="5" applyNumberFormat="1" applyFont="1" applyFill="1"/>
    <xf numFmtId="169" fontId="62" fillId="46" borderId="0" xfId="5" applyNumberFormat="1" applyFont="1" applyFill="1" applyProtection="1">
      <protection locked="0"/>
    </xf>
    <xf numFmtId="43" fontId="62" fillId="46" borderId="0" xfId="5" applyNumberFormat="1" applyFont="1" applyFill="1"/>
    <xf numFmtId="165" fontId="62" fillId="46" borderId="0" xfId="1" applyNumberFormat="1" applyFont="1" applyFill="1"/>
    <xf numFmtId="0" fontId="110" fillId="46" borderId="0" xfId="8" applyFont="1" applyFill="1" applyProtection="1">
      <protection locked="0"/>
    </xf>
    <xf numFmtId="168" fontId="62" fillId="46" borderId="0" xfId="5" applyNumberFormat="1" applyFont="1" applyFill="1" applyProtection="1">
      <protection locked="0"/>
    </xf>
    <xf numFmtId="165" fontId="62" fillId="46" borderId="0" xfId="5" applyNumberFormat="1" applyFont="1" applyFill="1"/>
    <xf numFmtId="168" fontId="62" fillId="46" borderId="0" xfId="5" applyNumberFormat="1" applyFont="1" applyFill="1"/>
    <xf numFmtId="0" fontId="62" fillId="46" borderId="0" xfId="7" applyFont="1" applyFill="1"/>
    <xf numFmtId="43" fontId="62" fillId="46" borderId="0" xfId="5" applyNumberFormat="1" applyFont="1" applyFill="1" applyProtection="1">
      <protection locked="0"/>
    </xf>
    <xf numFmtId="0" fontId="62" fillId="46" borderId="0" xfId="5" applyFont="1" applyFill="1" applyAlignment="1" applyProtection="1">
      <alignment horizontal="center"/>
      <protection locked="0"/>
    </xf>
    <xf numFmtId="0" fontId="62" fillId="46" borderId="0" xfId="5" applyFont="1" applyFill="1" applyAlignment="1" applyProtection="1">
      <alignment horizontal="right"/>
      <protection locked="0"/>
    </xf>
    <xf numFmtId="0" fontId="62" fillId="46" borderId="0" xfId="5" applyFont="1" applyFill="1" applyAlignment="1">
      <alignment horizontal="right" wrapText="1"/>
    </xf>
    <xf numFmtId="0" fontId="62" fillId="46" borderId="0" xfId="5" applyFont="1" applyFill="1" applyAlignment="1">
      <alignment horizontal="right"/>
    </xf>
    <xf numFmtId="14" fontId="62" fillId="46" borderId="0" xfId="5" applyNumberFormat="1" applyFont="1" applyFill="1"/>
    <xf numFmtId="0" fontId="106" fillId="46" borderId="0" xfId="5" applyFont="1" applyFill="1" applyProtection="1">
      <protection locked="0"/>
    </xf>
    <xf numFmtId="0" fontId="106" fillId="46" borderId="0" xfId="5" applyFont="1" applyFill="1"/>
    <xf numFmtId="49" fontId="106" fillId="46" borderId="0" xfId="5" applyNumberFormat="1" applyFont="1" applyFill="1"/>
    <xf numFmtId="14" fontId="106" fillId="46" borderId="0" xfId="5" applyNumberFormat="1" applyFont="1" applyFill="1"/>
    <xf numFmtId="0" fontId="105" fillId="46" borderId="0" xfId="5" applyFont="1" applyFill="1"/>
    <xf numFmtId="14" fontId="105" fillId="46" borderId="0" xfId="5" applyNumberFormat="1" applyFont="1" applyFill="1"/>
    <xf numFmtId="168" fontId="105" fillId="46" borderId="0" xfId="5" applyNumberFormat="1" applyFont="1" applyFill="1" applyAlignment="1">
      <alignment horizontal="center"/>
    </xf>
    <xf numFmtId="0" fontId="105" fillId="46" borderId="0" xfId="5" applyFont="1" applyFill="1" applyAlignment="1">
      <alignment horizontal="center"/>
    </xf>
    <xf numFmtId="0" fontId="105" fillId="46" borderId="0" xfId="7" applyFont="1" applyFill="1"/>
    <xf numFmtId="0" fontId="87" fillId="46" borderId="0" xfId="8" applyFont="1" applyFill="1"/>
    <xf numFmtId="167" fontId="62" fillId="46" borderId="0" xfId="5" applyNumberFormat="1" applyFont="1" applyFill="1" applyAlignment="1">
      <alignment horizontal="center"/>
    </xf>
    <xf numFmtId="167" fontId="62" fillId="46" borderId="0" xfId="5" applyNumberFormat="1" applyFont="1" applyFill="1"/>
    <xf numFmtId="168" fontId="62" fillId="46" borderId="0" xfId="5" applyNumberFormat="1" applyFont="1" applyFill="1" applyAlignment="1" applyProtection="1">
      <alignment wrapText="1"/>
      <protection locked="0"/>
    </xf>
    <xf numFmtId="170" fontId="62" fillId="46" borderId="0" xfId="5" applyNumberFormat="1" applyFont="1" applyFill="1"/>
    <xf numFmtId="167" fontId="62" fillId="46" borderId="0" xfId="5" applyNumberFormat="1" applyFont="1" applyFill="1" applyProtection="1">
      <protection locked="0"/>
    </xf>
    <xf numFmtId="169" fontId="62" fillId="46" borderId="0" xfId="5" applyNumberFormat="1" applyFont="1" applyFill="1" applyAlignment="1">
      <alignment horizontal="center"/>
    </xf>
    <xf numFmtId="3" fontId="62" fillId="46" borderId="0" xfId="5" applyNumberFormat="1" applyFont="1" applyFill="1"/>
    <xf numFmtId="1" fontId="62" fillId="46" borderId="0" xfId="5" applyNumberFormat="1" applyFont="1" applyFill="1" applyAlignment="1">
      <alignment horizontal="right" vertical="center"/>
    </xf>
    <xf numFmtId="168" fontId="82" fillId="46" borderId="0" xfId="5" applyNumberFormat="1" applyFont="1" applyFill="1" applyAlignment="1">
      <alignment horizontal="center"/>
    </xf>
    <xf numFmtId="0" fontId="62" fillId="46" borderId="0" xfId="5" applyFont="1" applyFill="1" applyAlignment="1">
      <alignment horizontal="right" vertical="center"/>
    </xf>
    <xf numFmtId="165" fontId="62" fillId="46" borderId="0" xfId="5" applyNumberFormat="1" applyFont="1" applyFill="1" applyAlignment="1">
      <alignment horizontal="center"/>
    </xf>
    <xf numFmtId="168" fontId="62" fillId="46" borderId="0" xfId="5" applyNumberFormat="1" applyFont="1" applyFill="1" applyAlignment="1">
      <alignment horizontal="center" vertical="center"/>
    </xf>
    <xf numFmtId="2" fontId="62" fillId="46" borderId="0" xfId="5" applyNumberFormat="1" applyFont="1" applyFill="1" applyAlignment="1">
      <alignment horizontal="center" vertical="center"/>
    </xf>
    <xf numFmtId="14" fontId="62" fillId="46" borderId="0" xfId="5" applyNumberFormat="1" applyFont="1" applyFill="1" applyProtection="1">
      <protection locked="0"/>
    </xf>
    <xf numFmtId="17" fontId="62" fillId="46" borderId="0" xfId="5" applyNumberFormat="1" applyFont="1" applyFill="1"/>
    <xf numFmtId="2" fontId="62" fillId="46" borderId="0" xfId="5" applyNumberFormat="1" applyFont="1" applyFill="1" applyProtection="1">
      <protection locked="0"/>
    </xf>
    <xf numFmtId="43" fontId="0" fillId="0" borderId="0" xfId="1" applyFont="1" applyFill="1" applyBorder="1"/>
    <xf numFmtId="0" fontId="105" fillId="46" borderId="4" xfId="0" applyFont="1" applyFill="1" applyBorder="1"/>
    <xf numFmtId="0" fontId="62" fillId="46" borderId="4" xfId="5" applyFont="1" applyFill="1" applyBorder="1" applyProtection="1">
      <protection locked="0"/>
    </xf>
    <xf numFmtId="165" fontId="87" fillId="46" borderId="0" xfId="3" applyNumberFormat="1" applyFont="1" applyFill="1"/>
    <xf numFmtId="14" fontId="87" fillId="46" borderId="0" xfId="3" applyNumberFormat="1" applyFont="1" applyFill="1" applyAlignment="1">
      <alignment horizontal="right"/>
    </xf>
    <xf numFmtId="6" fontId="87" fillId="46" borderId="0" xfId="2" applyNumberFormat="1" applyFont="1" applyFill="1" applyBorder="1" applyAlignment="1">
      <alignment horizontal="right"/>
    </xf>
    <xf numFmtId="178" fontId="87" fillId="46" borderId="0" xfId="2" applyNumberFormat="1" applyFont="1" applyFill="1" applyBorder="1" applyAlignment="1">
      <alignment horizontal="right"/>
    </xf>
    <xf numFmtId="44" fontId="87" fillId="46" borderId="0" xfId="2" applyFont="1" applyFill="1" applyBorder="1" applyAlignment="1">
      <alignment horizontal="center"/>
    </xf>
    <xf numFmtId="2" fontId="87" fillId="46" borderId="0" xfId="149" applyNumberFormat="1" applyFont="1" applyFill="1" applyBorder="1" applyAlignment="1">
      <alignment horizontal="center"/>
    </xf>
    <xf numFmtId="183" fontId="62" fillId="46" borderId="0" xfId="5" applyNumberFormat="1" applyFont="1" applyFill="1" applyProtection="1">
      <protection locked="0"/>
    </xf>
    <xf numFmtId="44" fontId="87" fillId="46" borderId="0" xfId="2" applyFont="1" applyFill="1" applyBorder="1" applyAlignment="1">
      <alignment horizontal="right"/>
    </xf>
    <xf numFmtId="165" fontId="87" fillId="46" borderId="0" xfId="3" applyNumberFormat="1" applyFont="1" applyFill="1" applyAlignment="1">
      <alignment horizontal="left"/>
    </xf>
    <xf numFmtId="9" fontId="87" fillId="46" borderId="0" xfId="164" applyFont="1" applyFill="1" applyBorder="1" applyAlignment="1">
      <alignment horizontal="right"/>
    </xf>
    <xf numFmtId="165" fontId="108" fillId="46" borderId="83" xfId="5" applyNumberFormat="1" applyFont="1" applyFill="1" applyBorder="1" applyProtection="1">
      <protection locked="0"/>
    </xf>
    <xf numFmtId="0" fontId="108" fillId="46" borderId="83" xfId="5" applyFont="1" applyFill="1" applyBorder="1" applyProtection="1">
      <protection locked="0"/>
    </xf>
    <xf numFmtId="167" fontId="108" fillId="46" borderId="83" xfId="5" applyNumberFormat="1" applyFont="1" applyFill="1" applyBorder="1" applyAlignment="1" applyProtection="1">
      <alignment horizontal="center"/>
      <protection locked="0"/>
    </xf>
    <xf numFmtId="6" fontId="109" fillId="46" borderId="83" xfId="2" applyNumberFormat="1" applyFont="1" applyFill="1" applyBorder="1" applyAlignment="1">
      <alignment horizontal="right"/>
    </xf>
    <xf numFmtId="182" fontId="87" fillId="46" borderId="83" xfId="149" applyNumberFormat="1" applyFont="1" applyFill="1" applyBorder="1" applyAlignment="1">
      <alignment horizontal="center"/>
    </xf>
    <xf numFmtId="177" fontId="87" fillId="46" borderId="83" xfId="164" applyNumberFormat="1" applyFont="1" applyFill="1" applyBorder="1" applyAlignment="1">
      <alignment horizontal="center"/>
    </xf>
    <xf numFmtId="6" fontId="87" fillId="46" borderId="83" xfId="2" applyNumberFormat="1" applyFont="1" applyFill="1" applyBorder="1" applyAlignment="1">
      <alignment horizontal="right"/>
    </xf>
    <xf numFmtId="14" fontId="87" fillId="46" borderId="84" xfId="3" applyNumberFormat="1" applyFont="1" applyFill="1" applyBorder="1" applyAlignment="1">
      <alignment horizontal="center"/>
    </xf>
    <xf numFmtId="0" fontId="62" fillId="46" borderId="83" xfId="5" applyFont="1" applyFill="1" applyBorder="1" applyProtection="1">
      <protection locked="0"/>
    </xf>
    <xf numFmtId="0" fontId="87" fillId="46" borderId="0" xfId="3" applyFont="1" applyFill="1" applyAlignment="1">
      <alignment horizontal="right"/>
    </xf>
    <xf numFmtId="178" fontId="62" fillId="46" borderId="0" xfId="2" applyNumberFormat="1" applyFont="1" applyFill="1" applyAlignment="1">
      <alignment vertical="center"/>
    </xf>
    <xf numFmtId="178" fontId="105" fillId="46" borderId="0" xfId="2" applyNumberFormat="1" applyFont="1" applyFill="1" applyAlignment="1">
      <alignment vertical="center"/>
    </xf>
    <xf numFmtId="178" fontId="62" fillId="46" borderId="0" xfId="2" applyNumberFormat="1" applyFont="1" applyFill="1" applyAlignment="1">
      <alignment horizontal="right" vertical="center"/>
    </xf>
    <xf numFmtId="44" fontId="105" fillId="46" borderId="41" xfId="2" applyFont="1" applyFill="1" applyBorder="1" applyAlignment="1">
      <alignment horizontal="right" vertical="center"/>
    </xf>
    <xf numFmtId="14" fontId="62" fillId="46" borderId="0" xfId="5" applyNumberFormat="1" applyFont="1" applyFill="1" applyAlignment="1" applyProtection="1">
      <alignment horizontal="center"/>
      <protection locked="0"/>
    </xf>
    <xf numFmtId="0" fontId="87" fillId="46" borderId="0" xfId="3" applyFont="1" applyFill="1" applyAlignment="1">
      <alignment horizontal="left" wrapText="1"/>
    </xf>
    <xf numFmtId="1" fontId="87" fillId="46" borderId="0" xfId="3" applyNumberFormat="1" applyFont="1" applyFill="1" applyAlignment="1">
      <alignment horizontal="center"/>
    </xf>
    <xf numFmtId="165" fontId="87" fillId="46" borderId="0" xfId="3" applyNumberFormat="1" applyFont="1" applyFill="1" applyAlignment="1">
      <alignment wrapText="1"/>
    </xf>
    <xf numFmtId="14" fontId="87" fillId="46" borderId="78" xfId="3" applyNumberFormat="1" applyFont="1" applyFill="1" applyBorder="1" applyAlignment="1">
      <alignment horizontal="center"/>
    </xf>
    <xf numFmtId="165" fontId="87" fillId="46" borderId="0" xfId="3" applyNumberFormat="1" applyFont="1" applyFill="1" applyAlignment="1">
      <alignment horizontal="center"/>
    </xf>
    <xf numFmtId="0" fontId="87" fillId="46" borderId="0" xfId="3" applyFont="1" applyFill="1" applyAlignment="1">
      <alignment horizontal="center"/>
    </xf>
    <xf numFmtId="1" fontId="87" fillId="46" borderId="0" xfId="1" applyNumberFormat="1" applyFont="1" applyFill="1" applyBorder="1" applyAlignment="1">
      <alignment horizontal="center"/>
    </xf>
    <xf numFmtId="1" fontId="87" fillId="46" borderId="4" xfId="1" applyNumberFormat="1" applyFont="1" applyFill="1" applyBorder="1" applyAlignment="1">
      <alignment horizontal="center"/>
    </xf>
    <xf numFmtId="0" fontId="87" fillId="46" borderId="0" xfId="2" applyNumberFormat="1" applyFont="1" applyFill="1" applyBorder="1" applyAlignment="1">
      <alignment horizontal="center"/>
    </xf>
    <xf numFmtId="178" fontId="87" fillId="46" borderId="0" xfId="2" applyNumberFormat="1" applyFont="1" applyFill="1" applyBorder="1" applyAlignment="1">
      <alignment horizontal="center"/>
    </xf>
    <xf numFmtId="0" fontId="113" fillId="46" borderId="0" xfId="0" applyFont="1" applyFill="1" applyAlignment="1">
      <alignment horizontal="left" vertical="center"/>
    </xf>
    <xf numFmtId="195" fontId="113" fillId="46" borderId="0" xfId="0" applyNumberFormat="1" applyFont="1" applyFill="1" applyAlignment="1">
      <alignment horizontal="left" vertical="center"/>
    </xf>
    <xf numFmtId="0" fontId="62" fillId="46" borderId="0" xfId="0" applyFont="1" applyFill="1" applyAlignment="1">
      <alignment horizontal="center" vertical="center"/>
    </xf>
    <xf numFmtId="170" fontId="62" fillId="46" borderId="0" xfId="0" applyNumberFormat="1" applyFont="1" applyFill="1" applyAlignment="1">
      <alignment horizontal="center" vertical="top"/>
    </xf>
    <xf numFmtId="0" fontId="112" fillId="46" borderId="0" xfId="0" applyFont="1" applyFill="1" applyAlignment="1">
      <alignment horizontal="left"/>
    </xf>
    <xf numFmtId="44" fontId="87" fillId="46" borderId="0" xfId="2" applyFont="1" applyFill="1" applyAlignment="1">
      <alignment horizontal="center"/>
    </xf>
    <xf numFmtId="43" fontId="105" fillId="46" borderId="0" xfId="5" applyNumberFormat="1" applyFont="1" applyFill="1" applyProtection="1">
      <protection locked="0"/>
    </xf>
    <xf numFmtId="14" fontId="62" fillId="46" borderId="0" xfId="5" applyNumberFormat="1" applyFont="1" applyFill="1" applyAlignment="1">
      <alignment horizontal="center"/>
    </xf>
    <xf numFmtId="0" fontId="17" fillId="46" borderId="0" xfId="5" applyFont="1" applyFill="1" applyProtection="1">
      <protection locked="0"/>
    </xf>
    <xf numFmtId="0" fontId="17" fillId="46" borderId="0" xfId="0" applyFont="1" applyFill="1"/>
    <xf numFmtId="0" fontId="17" fillId="46" borderId="0" xfId="0" applyFont="1" applyFill="1" applyAlignment="1">
      <alignment horizontal="left"/>
    </xf>
    <xf numFmtId="0" fontId="9" fillId="46" borderId="0" xfId="5" applyFont="1" applyFill="1" applyProtection="1">
      <protection locked="0"/>
    </xf>
    <xf numFmtId="9" fontId="19" fillId="46" borderId="0" xfId="164" applyFont="1" applyFill="1" applyAlignment="1">
      <alignment horizontal="center"/>
    </xf>
    <xf numFmtId="0" fontId="113" fillId="46" borderId="0" xfId="4" applyFont="1" applyFill="1" applyAlignment="1">
      <alignment vertical="center"/>
    </xf>
    <xf numFmtId="9" fontId="116" fillId="46" borderId="0" xfId="164" applyFont="1" applyFill="1" applyBorder="1" applyAlignment="1">
      <alignment horizontal="center"/>
    </xf>
    <xf numFmtId="167" fontId="116" fillId="46" borderId="0" xfId="164" applyNumberFormat="1" applyFont="1" applyFill="1" applyBorder="1" applyAlignment="1">
      <alignment horizontal="center"/>
    </xf>
    <xf numFmtId="177" fontId="116" fillId="46" borderId="0" xfId="164" applyNumberFormat="1" applyFont="1" applyFill="1" applyBorder="1" applyAlignment="1">
      <alignment horizontal="center"/>
    </xf>
    <xf numFmtId="182" fontId="116" fillId="46" borderId="0" xfId="164" applyNumberFormat="1" applyFont="1" applyFill="1" applyBorder="1" applyAlignment="1">
      <alignment horizontal="center"/>
    </xf>
    <xf numFmtId="14" fontId="116" fillId="46" borderId="0" xfId="164" applyNumberFormat="1" applyFont="1" applyFill="1" applyBorder="1" applyAlignment="1">
      <alignment horizontal="center"/>
    </xf>
    <xf numFmtId="0" fontId="0" fillId="46" borderId="0" xfId="0" applyFill="1"/>
    <xf numFmtId="0" fontId="9" fillId="46" borderId="0" xfId="0" applyFont="1" applyFill="1"/>
    <xf numFmtId="0" fontId="9" fillId="46" borderId="0" xfId="4" applyFill="1" applyAlignment="1">
      <alignment vertical="center"/>
    </xf>
    <xf numFmtId="0" fontId="117" fillId="46" borderId="46" xfId="0" applyFont="1" applyFill="1" applyBorder="1" applyAlignment="1">
      <alignment horizontal="center" vertical="center" wrapText="1"/>
    </xf>
    <xf numFmtId="0" fontId="117" fillId="46" borderId="46" xfId="0" applyFont="1" applyFill="1" applyBorder="1" applyAlignment="1">
      <alignment horizontal="left" vertical="center"/>
    </xf>
    <xf numFmtId="0" fontId="0" fillId="46" borderId="0" xfId="0" applyFill="1" applyAlignment="1">
      <alignment vertical="top"/>
    </xf>
    <xf numFmtId="0" fontId="87" fillId="46" borderId="86" xfId="3" applyFont="1" applyFill="1" applyBorder="1" applyAlignment="1">
      <alignment horizontal="left" vertical="top" wrapText="1"/>
    </xf>
    <xf numFmtId="0" fontId="62" fillId="46" borderId="0" xfId="0" applyFont="1" applyFill="1"/>
    <xf numFmtId="14" fontId="62" fillId="46" borderId="0" xfId="4" applyNumberFormat="1" applyFont="1" applyFill="1" applyAlignment="1">
      <alignment vertical="center"/>
    </xf>
    <xf numFmtId="14" fontId="109" fillId="46" borderId="0" xfId="3" applyNumberFormat="1" applyFont="1" applyFill="1" applyAlignment="1">
      <alignment horizontal="center"/>
    </xf>
    <xf numFmtId="14" fontId="87" fillId="46" borderId="0" xfId="3" applyNumberFormat="1" applyFont="1" applyFill="1" applyAlignment="1">
      <alignment horizontal="center"/>
    </xf>
    <xf numFmtId="179" fontId="118" fillId="46" borderId="0" xfId="1" applyNumberFormat="1" applyFont="1" applyFill="1" applyAlignment="1">
      <alignment horizontal="right"/>
    </xf>
    <xf numFmtId="44" fontId="118" fillId="46" borderId="41" xfId="2" applyFont="1" applyFill="1" applyBorder="1" applyAlignment="1">
      <alignment horizontal="right" vertical="center"/>
    </xf>
    <xf numFmtId="181" fontId="119" fillId="46" borderId="41" xfId="2" applyNumberFormat="1" applyFont="1" applyFill="1" applyBorder="1" applyAlignment="1">
      <alignment horizontal="right" vertical="center"/>
    </xf>
    <xf numFmtId="165" fontId="87" fillId="46" borderId="85" xfId="3" applyNumberFormat="1" applyFont="1" applyFill="1" applyBorder="1" applyAlignment="1">
      <alignment vertical="center"/>
    </xf>
    <xf numFmtId="0" fontId="87" fillId="46" borderId="85" xfId="3" applyFont="1" applyFill="1" applyBorder="1" applyAlignment="1">
      <alignment horizontal="left" vertical="center" wrapText="1"/>
    </xf>
    <xf numFmtId="1" fontId="87" fillId="46" borderId="85" xfId="3" applyNumberFormat="1" applyFont="1" applyFill="1" applyBorder="1" applyAlignment="1">
      <alignment horizontal="center" vertical="center"/>
    </xf>
    <xf numFmtId="6" fontId="87" fillId="46" borderId="85" xfId="2" applyNumberFormat="1" applyFont="1" applyFill="1" applyBorder="1" applyAlignment="1">
      <alignment horizontal="center" vertical="center"/>
    </xf>
    <xf numFmtId="14" fontId="87" fillId="46" borderId="85" xfId="3" applyNumberFormat="1" applyFont="1" applyFill="1" applyBorder="1" applyAlignment="1">
      <alignment horizontal="center" vertical="center"/>
    </xf>
    <xf numFmtId="14" fontId="111" fillId="46" borderId="85" xfId="3" applyNumberFormat="1" applyFont="1" applyFill="1" applyBorder="1" applyAlignment="1">
      <alignment horizontal="center" vertical="center"/>
    </xf>
    <xf numFmtId="165" fontId="87" fillId="46" borderId="86" xfId="3" applyNumberFormat="1" applyFont="1" applyFill="1" applyBorder="1" applyAlignment="1">
      <alignment vertical="center"/>
    </xf>
    <xf numFmtId="0" fontId="87" fillId="46" borderId="86" xfId="3" applyFont="1" applyFill="1" applyBorder="1" applyAlignment="1">
      <alignment horizontal="left" vertical="center" wrapText="1"/>
    </xf>
    <xf numFmtId="1" fontId="87" fillId="46" borderId="86" xfId="3" applyNumberFormat="1" applyFont="1" applyFill="1" applyBorder="1" applyAlignment="1">
      <alignment horizontal="center" vertical="center"/>
    </xf>
    <xf numFmtId="6" fontId="87" fillId="46" borderId="86" xfId="2" applyNumberFormat="1" applyFont="1" applyFill="1" applyBorder="1" applyAlignment="1">
      <alignment horizontal="center" vertical="center"/>
    </xf>
    <xf numFmtId="14" fontId="87" fillId="46" borderId="86" xfId="3" applyNumberFormat="1" applyFont="1" applyFill="1" applyBorder="1" applyAlignment="1">
      <alignment horizontal="center" vertical="center"/>
    </xf>
    <xf numFmtId="14" fontId="111" fillId="46" borderId="86" xfId="3" applyNumberFormat="1" applyFont="1" applyFill="1" applyBorder="1" applyAlignment="1">
      <alignment horizontal="center" vertical="center"/>
    </xf>
    <xf numFmtId="165" fontId="87" fillId="46" borderId="86" xfId="3" applyNumberFormat="1" applyFont="1" applyFill="1" applyBorder="1" applyAlignment="1">
      <alignment vertical="center" wrapText="1"/>
    </xf>
    <xf numFmtId="0" fontId="1" fillId="0" borderId="52" xfId="170" applyFont="1" applyBorder="1"/>
    <xf numFmtId="0" fontId="0" fillId="0" borderId="48" xfId="0" applyBorder="1"/>
    <xf numFmtId="0" fontId="0" fillId="0" borderId="49" xfId="0" applyBorder="1"/>
    <xf numFmtId="0" fontId="7" fillId="0" borderId="52" xfId="170" applyBorder="1"/>
    <xf numFmtId="0" fontId="9" fillId="0" borderId="0" xfId="5" applyFont="1" applyAlignment="1">
      <alignment horizontal="center" textRotation="90"/>
    </xf>
    <xf numFmtId="0" fontId="21" fillId="0" borderId="0" xfId="5" applyFont="1" applyAlignment="1">
      <alignment horizontal="center"/>
    </xf>
    <xf numFmtId="0" fontId="9" fillId="0" borderId="0" xfId="5" applyFont="1" applyAlignment="1">
      <alignment horizontal="center"/>
    </xf>
    <xf numFmtId="0" fontId="64" fillId="0" borderId="46" xfId="0" applyFont="1" applyBorder="1" applyAlignment="1">
      <alignment horizontal="center" vertical="center" wrapText="1"/>
    </xf>
    <xf numFmtId="0" fontId="21" fillId="0" borderId="0" xfId="5" applyFont="1" applyAlignment="1">
      <alignment wrapText="1"/>
    </xf>
    <xf numFmtId="0" fontId="117" fillId="46" borderId="46" xfId="0" applyFont="1" applyFill="1" applyBorder="1" applyAlignment="1">
      <alignment horizontal="center" vertical="center" wrapText="1"/>
    </xf>
    <xf numFmtId="0" fontId="62" fillId="46" borderId="0" xfId="5" applyFont="1" applyFill="1" applyAlignment="1">
      <alignment horizontal="center" textRotation="90"/>
    </xf>
    <xf numFmtId="0" fontId="98" fillId="46" borderId="46" xfId="0" applyFont="1" applyFill="1" applyBorder="1" applyAlignment="1">
      <alignment horizontal="center" vertical="center" wrapText="1"/>
    </xf>
    <xf numFmtId="0" fontId="82" fillId="46" borderId="0" xfId="5" applyFont="1" applyFill="1" applyAlignment="1">
      <alignment horizontal="center"/>
    </xf>
    <xf numFmtId="191" fontId="114" fillId="46" borderId="0" xfId="4" applyNumberFormat="1" applyFont="1" applyFill="1" applyAlignment="1">
      <alignment horizontal="left" vertical="center"/>
    </xf>
    <xf numFmtId="0" fontId="84" fillId="46" borderId="0" xfId="0" applyFont="1" applyFill="1" applyAlignment="1">
      <alignment horizontal="left" vertical="center"/>
    </xf>
    <xf numFmtId="193" fontId="114" fillId="46" borderId="0" xfId="4" applyNumberFormat="1" applyFont="1" applyFill="1" applyAlignment="1">
      <alignment horizontal="left" vertical="top"/>
    </xf>
    <xf numFmtId="193" fontId="115" fillId="46" borderId="0" xfId="0" applyNumberFormat="1" applyFont="1" applyFill="1"/>
    <xf numFmtId="182" fontId="114" fillId="46" borderId="0" xfId="4" applyNumberFormat="1" applyFont="1" applyFill="1" applyAlignment="1">
      <alignment horizontal="left" vertical="center"/>
    </xf>
    <xf numFmtId="0" fontId="62" fillId="46" borderId="0" xfId="5" applyFont="1" applyFill="1" applyAlignment="1">
      <alignment horizontal="center"/>
    </xf>
    <xf numFmtId="0" fontId="82" fillId="46" borderId="0" xfId="5" applyFont="1" applyFill="1" applyAlignment="1">
      <alignment wrapText="1"/>
    </xf>
    <xf numFmtId="0" fontId="112" fillId="46" borderId="0" xfId="0" applyFont="1" applyFill="1" applyAlignment="1">
      <alignment vertical="center"/>
    </xf>
    <xf numFmtId="192" fontId="114" fillId="46" borderId="0" xfId="4" applyNumberFormat="1" applyFont="1" applyFill="1" applyAlignment="1">
      <alignment horizontal="left" vertical="center"/>
    </xf>
    <xf numFmtId="192" fontId="115" fillId="46" borderId="0" xfId="0" applyNumberFormat="1" applyFont="1" applyFill="1" applyAlignment="1">
      <alignment horizontal="left" vertical="center"/>
    </xf>
    <xf numFmtId="194" fontId="114" fillId="46" borderId="0" xfId="164" applyNumberFormat="1" applyFont="1" applyFill="1" applyAlignment="1">
      <alignment horizontal="left" vertical="center"/>
    </xf>
    <xf numFmtId="194" fontId="115" fillId="46" borderId="0" xfId="164" applyNumberFormat="1" applyFont="1" applyFill="1" applyAlignment="1">
      <alignment horizontal="left" vertical="center"/>
    </xf>
    <xf numFmtId="195" fontId="114" fillId="46" borderId="0" xfId="4" applyNumberFormat="1" applyFont="1" applyFill="1" applyAlignment="1">
      <alignment horizontal="left" vertical="center"/>
    </xf>
    <xf numFmtId="0" fontId="64" fillId="0" borderId="46" xfId="0" applyFont="1" applyBorder="1" applyAlignment="1">
      <alignment horizontal="left" vertical="center"/>
    </xf>
    <xf numFmtId="0" fontId="64" fillId="0" borderId="46" xfId="0" applyFont="1" applyBorder="1" applyAlignment="1">
      <alignment horizontal="center" vertical="center"/>
    </xf>
    <xf numFmtId="0" fontId="21" fillId="0" borderId="0" xfId="165" applyFont="1"/>
    <xf numFmtId="0" fontId="9" fillId="0" borderId="0" xfId="165"/>
    <xf numFmtId="0" fontId="21" fillId="0" borderId="0" xfId="166" applyFont="1"/>
    <xf numFmtId="0" fontId="9" fillId="0" borderId="0" xfId="166" applyFont="1"/>
    <xf numFmtId="0" fontId="9" fillId="0" borderId="5" xfId="165" applyBorder="1"/>
    <xf numFmtId="0" fontId="21" fillId="0" borderId="6" xfId="165" applyFont="1" applyBorder="1"/>
    <xf numFmtId="0" fontId="9" fillId="0" borderId="6" xfId="165" applyBorder="1"/>
    <xf numFmtId="0" fontId="53" fillId="0" borderId="1" xfId="167" applyFont="1" applyBorder="1" applyAlignment="1">
      <alignment vertical="top" wrapText="1"/>
    </xf>
    <xf numFmtId="0" fontId="9" fillId="0" borderId="1" xfId="167" applyBorder="1" applyAlignment="1">
      <alignment wrapText="1"/>
    </xf>
    <xf numFmtId="0" fontId="9" fillId="0" borderId="0" xfId="167"/>
    <xf numFmtId="0" fontId="9" fillId="0" borderId="37" xfId="167" applyBorder="1"/>
    <xf numFmtId="0" fontId="9" fillId="0" borderId="38" xfId="167" applyBorder="1"/>
    <xf numFmtId="0" fontId="9" fillId="0" borderId="18" xfId="167" applyBorder="1"/>
    <xf numFmtId="0" fontId="53" fillId="0" borderId="4" xfId="167" applyFont="1" applyBorder="1"/>
    <xf numFmtId="0" fontId="9" fillId="0" borderId="4" xfId="167" applyBorder="1"/>
    <xf numFmtId="0" fontId="53" fillId="0" borderId="38" xfId="167" applyFont="1" applyBorder="1" applyAlignment="1">
      <alignment horizontal="left"/>
    </xf>
    <xf numFmtId="0" fontId="9" fillId="0" borderId="38" xfId="167" applyBorder="1" applyAlignment="1">
      <alignment horizontal="left"/>
    </xf>
    <xf numFmtId="0" fontId="21" fillId="0" borderId="38" xfId="167" applyFont="1" applyBorder="1"/>
  </cellXfs>
  <cellStyles count="194">
    <cellStyle name="_x000a_bidires=100_x000d_" xfId="9" xr:uid="{00000000-0005-0000-0000-000000000000}"/>
    <cellStyle name="_x000a_bidires=100_x000d_ 2" xfId="10" xr:uid="{00000000-0005-0000-0000-000001000000}"/>
    <cellStyle name="_x000a_bidires=100_x000d_ 2 2" xfId="11" xr:uid="{00000000-0005-0000-0000-000002000000}"/>
    <cellStyle name="_x000a_bidires=100_x000d_ 3" xfId="12" xr:uid="{00000000-0005-0000-0000-000003000000}"/>
    <cellStyle name="_x000a_bidires=100_x000d__120 Collins Street Budget 2011" xfId="13" xr:uid="{00000000-0005-0000-0000-000004000000}"/>
    <cellStyle name="20% - Accent1 2" xfId="14" xr:uid="{00000000-0005-0000-0000-000005000000}"/>
    <cellStyle name="20% - Accent2 2" xfId="15" xr:uid="{00000000-0005-0000-0000-000006000000}"/>
    <cellStyle name="20% - Accent3 2" xfId="16" xr:uid="{00000000-0005-0000-0000-000007000000}"/>
    <cellStyle name="20% - Accent4 2" xfId="17" xr:uid="{00000000-0005-0000-0000-000008000000}"/>
    <cellStyle name="20% - Accent5 2" xfId="18" xr:uid="{00000000-0005-0000-0000-000009000000}"/>
    <cellStyle name="20% - Accent6 2" xfId="19" xr:uid="{00000000-0005-0000-0000-00000A000000}"/>
    <cellStyle name="40% - Accent1 2" xfId="20" xr:uid="{00000000-0005-0000-0000-00000B000000}"/>
    <cellStyle name="40% - Accent2 2" xfId="21" xr:uid="{00000000-0005-0000-0000-00000C000000}"/>
    <cellStyle name="40% - Accent3 2" xfId="22" xr:uid="{00000000-0005-0000-0000-00000D000000}"/>
    <cellStyle name="40% - Accent4 2" xfId="23" xr:uid="{00000000-0005-0000-0000-00000E000000}"/>
    <cellStyle name="40% - Accent5 2" xfId="24" xr:uid="{00000000-0005-0000-0000-00000F000000}"/>
    <cellStyle name="40% - Accent6 2" xfId="25" xr:uid="{00000000-0005-0000-0000-000010000000}"/>
    <cellStyle name="60% - Accent1 2" xfId="26" xr:uid="{00000000-0005-0000-0000-000011000000}"/>
    <cellStyle name="60% - Accent2 2" xfId="27" xr:uid="{00000000-0005-0000-0000-000012000000}"/>
    <cellStyle name="60% - Accent3 2" xfId="28" xr:uid="{00000000-0005-0000-0000-000013000000}"/>
    <cellStyle name="60% - Accent4 2" xfId="29" xr:uid="{00000000-0005-0000-0000-000014000000}"/>
    <cellStyle name="60% - Accent5 2" xfId="30" xr:uid="{00000000-0005-0000-0000-000015000000}"/>
    <cellStyle name="60% - Accent6 2" xfId="31" xr:uid="{00000000-0005-0000-0000-000016000000}"/>
    <cellStyle name="Accent1 2" xfId="32" xr:uid="{00000000-0005-0000-0000-000017000000}"/>
    <cellStyle name="Accent2 2" xfId="33" xr:uid="{00000000-0005-0000-0000-000018000000}"/>
    <cellStyle name="Accent3 2" xfId="34" xr:uid="{00000000-0005-0000-0000-000019000000}"/>
    <cellStyle name="Accent4 2" xfId="35" xr:uid="{00000000-0005-0000-0000-00001A000000}"/>
    <cellStyle name="Accent5 2" xfId="36" xr:uid="{00000000-0005-0000-0000-00001B000000}"/>
    <cellStyle name="Accent6 2" xfId="37" xr:uid="{00000000-0005-0000-0000-00001C000000}"/>
    <cellStyle name="Bad 2" xfId="38" xr:uid="{00000000-0005-0000-0000-00001D000000}"/>
    <cellStyle name="Banding1" xfId="176" xr:uid="{8A36870F-FE7B-4741-AD4B-005A84E9204B}"/>
    <cellStyle name="Banding2" xfId="177" xr:uid="{D5AB6534-162A-4761-80A9-0D5D83CBBE57}"/>
    <cellStyle name="Calculation 2" xfId="39" xr:uid="{00000000-0005-0000-0000-00001E000000}"/>
    <cellStyle name="Check Cell 2" xfId="40" xr:uid="{00000000-0005-0000-0000-00001F000000}"/>
    <cellStyle name="Comma" xfId="1" builtinId="3"/>
    <cellStyle name="Comma 10" xfId="41" xr:uid="{00000000-0005-0000-0000-000021000000}"/>
    <cellStyle name="Comma 11" xfId="42" xr:uid="{00000000-0005-0000-0000-000022000000}"/>
    <cellStyle name="Comma 12" xfId="43" xr:uid="{00000000-0005-0000-0000-000023000000}"/>
    <cellStyle name="Comma 13" xfId="44" xr:uid="{00000000-0005-0000-0000-000024000000}"/>
    <cellStyle name="Comma 14" xfId="45" xr:uid="{00000000-0005-0000-0000-000025000000}"/>
    <cellStyle name="Comma 15" xfId="46" xr:uid="{00000000-0005-0000-0000-000026000000}"/>
    <cellStyle name="Comma 16" xfId="47" xr:uid="{00000000-0005-0000-0000-000027000000}"/>
    <cellStyle name="Comma 17" xfId="48" xr:uid="{00000000-0005-0000-0000-000028000000}"/>
    <cellStyle name="Comma 18" xfId="49" xr:uid="{00000000-0005-0000-0000-000029000000}"/>
    <cellStyle name="Comma 19" xfId="50" xr:uid="{00000000-0005-0000-0000-00002A000000}"/>
    <cellStyle name="Comma 2" xfId="51" xr:uid="{00000000-0005-0000-0000-00002B000000}"/>
    <cellStyle name="Comma 2 2" xfId="52" xr:uid="{00000000-0005-0000-0000-00002C000000}"/>
    <cellStyle name="Comma 20" xfId="53" xr:uid="{00000000-0005-0000-0000-00002D000000}"/>
    <cellStyle name="Comma 21" xfId="54" xr:uid="{00000000-0005-0000-0000-00002E000000}"/>
    <cellStyle name="Comma 22" xfId="169" xr:uid="{00000000-0005-0000-0000-00002F000000}"/>
    <cellStyle name="Comma 23" xfId="171" xr:uid="{3CE781EF-9C58-426E-9658-7C30D8B19F4D}"/>
    <cellStyle name="Comma 24" xfId="179" xr:uid="{8959298A-C614-4AA9-8B79-16B2DDA2AEDC}"/>
    <cellStyle name="Comma 3" xfId="55" xr:uid="{00000000-0005-0000-0000-000030000000}"/>
    <cellStyle name="Comma 3 2" xfId="56" xr:uid="{00000000-0005-0000-0000-000031000000}"/>
    <cellStyle name="Comma 3 3" xfId="57" xr:uid="{00000000-0005-0000-0000-000032000000}"/>
    <cellStyle name="Comma 3 4" xfId="58" xr:uid="{00000000-0005-0000-0000-000033000000}"/>
    <cellStyle name="Comma 3 5" xfId="59" xr:uid="{00000000-0005-0000-0000-000034000000}"/>
    <cellStyle name="Comma 3 6" xfId="60" xr:uid="{00000000-0005-0000-0000-000035000000}"/>
    <cellStyle name="Comma 4" xfId="61" xr:uid="{00000000-0005-0000-0000-000036000000}"/>
    <cellStyle name="Comma 4 2" xfId="62" xr:uid="{00000000-0005-0000-0000-000037000000}"/>
    <cellStyle name="Comma 5" xfId="63" xr:uid="{00000000-0005-0000-0000-000038000000}"/>
    <cellStyle name="Comma 6" xfId="64" xr:uid="{00000000-0005-0000-0000-000039000000}"/>
    <cellStyle name="Comma 7" xfId="65" xr:uid="{00000000-0005-0000-0000-00003A000000}"/>
    <cellStyle name="Comma 8" xfId="66" xr:uid="{00000000-0005-0000-0000-00003B000000}"/>
    <cellStyle name="Comma 9" xfId="67" xr:uid="{00000000-0005-0000-0000-00003C000000}"/>
    <cellStyle name="Currency" xfId="2" builtinId="4"/>
    <cellStyle name="Currency 2" xfId="68" xr:uid="{00000000-0005-0000-0000-00003E000000}"/>
    <cellStyle name="Currency 2 2" xfId="69" xr:uid="{00000000-0005-0000-0000-00003F000000}"/>
    <cellStyle name="Currency 2 2 2" xfId="70" xr:uid="{00000000-0005-0000-0000-000040000000}"/>
    <cellStyle name="Currency 3" xfId="71" xr:uid="{00000000-0005-0000-0000-000041000000}"/>
    <cellStyle name="Currency 4" xfId="72" xr:uid="{00000000-0005-0000-0000-000042000000}"/>
    <cellStyle name="Currency 5" xfId="73" xr:uid="{00000000-0005-0000-0000-000043000000}"/>
    <cellStyle name="Currency 6" xfId="74" xr:uid="{00000000-0005-0000-0000-000044000000}"/>
    <cellStyle name="Currency 7" xfId="168" xr:uid="{00000000-0005-0000-0000-000045000000}"/>
    <cellStyle name="Explanatory Text 2" xfId="75" xr:uid="{00000000-0005-0000-0000-000046000000}"/>
    <cellStyle name="Good 2" xfId="76" xr:uid="{00000000-0005-0000-0000-000047000000}"/>
    <cellStyle name="Heading 1 2" xfId="77" xr:uid="{00000000-0005-0000-0000-000048000000}"/>
    <cellStyle name="Heading 2 2" xfId="78" xr:uid="{00000000-0005-0000-0000-000049000000}"/>
    <cellStyle name="Heading 3 2" xfId="79" xr:uid="{00000000-0005-0000-0000-00004A000000}"/>
    <cellStyle name="Heading 4 2" xfId="80" xr:uid="{00000000-0005-0000-0000-00004B000000}"/>
    <cellStyle name="Hyperlink 2" xfId="81" xr:uid="{00000000-0005-0000-0000-00004C000000}"/>
    <cellStyle name="Hyperlink 3" xfId="82" xr:uid="{00000000-0005-0000-0000-00004D000000}"/>
    <cellStyle name="Input 2" xfId="83" xr:uid="{00000000-0005-0000-0000-00004E000000}"/>
    <cellStyle name="Linked Cell 2" xfId="84" xr:uid="{00000000-0005-0000-0000-00004F000000}"/>
    <cellStyle name="Neutral 2" xfId="85" xr:uid="{00000000-0005-0000-0000-000050000000}"/>
    <cellStyle name="Normal" xfId="0" builtinId="0"/>
    <cellStyle name="Normal - Style1" xfId="86" xr:uid="{00000000-0005-0000-0000-000052000000}"/>
    <cellStyle name="Normal 10" xfId="3" xr:uid="{00000000-0005-0000-0000-000053000000}"/>
    <cellStyle name="Normal 10 2" xfId="87" xr:uid="{00000000-0005-0000-0000-000054000000}"/>
    <cellStyle name="Normal 10 3" xfId="88" xr:uid="{00000000-0005-0000-0000-000055000000}"/>
    <cellStyle name="Normal 10 4" xfId="89" xr:uid="{00000000-0005-0000-0000-000056000000}"/>
    <cellStyle name="Normal 11" xfId="8" xr:uid="{00000000-0005-0000-0000-000057000000}"/>
    <cellStyle name="Normal 12" xfId="90" xr:uid="{00000000-0005-0000-0000-000058000000}"/>
    <cellStyle name="Normal 13" xfId="91" xr:uid="{00000000-0005-0000-0000-000059000000}"/>
    <cellStyle name="Normal 14" xfId="92" xr:uid="{00000000-0005-0000-0000-00005A000000}"/>
    <cellStyle name="Normal 15" xfId="93" xr:uid="{00000000-0005-0000-0000-00005B000000}"/>
    <cellStyle name="Normal 16" xfId="94" xr:uid="{00000000-0005-0000-0000-00005C000000}"/>
    <cellStyle name="Normal 17" xfId="95" xr:uid="{00000000-0005-0000-0000-00005D000000}"/>
    <cellStyle name="Normal 18" xfId="96" xr:uid="{00000000-0005-0000-0000-00005E000000}"/>
    <cellStyle name="Normal 19" xfId="97" xr:uid="{00000000-0005-0000-0000-00005F000000}"/>
    <cellStyle name="Normal 2" xfId="98" xr:uid="{00000000-0005-0000-0000-000060000000}"/>
    <cellStyle name="Normal 2 2" xfId="99" xr:uid="{00000000-0005-0000-0000-000061000000}"/>
    <cellStyle name="Normal 2 2 2" xfId="182" xr:uid="{5AFC2358-891C-49A7-AAB7-223D6A0DB341}"/>
    <cellStyle name="Normal 2 3" xfId="100" xr:uid="{00000000-0005-0000-0000-000062000000}"/>
    <cellStyle name="Normal 2_B2.Budget Summary" xfId="101" xr:uid="{00000000-0005-0000-0000-000063000000}"/>
    <cellStyle name="Normal 20" xfId="102" xr:uid="{00000000-0005-0000-0000-000064000000}"/>
    <cellStyle name="Normal 21" xfId="103" xr:uid="{00000000-0005-0000-0000-000065000000}"/>
    <cellStyle name="Normal 22" xfId="104" xr:uid="{00000000-0005-0000-0000-000066000000}"/>
    <cellStyle name="Normal 23" xfId="105" xr:uid="{00000000-0005-0000-0000-000067000000}"/>
    <cellStyle name="Normal 24" xfId="106" xr:uid="{00000000-0005-0000-0000-000068000000}"/>
    <cellStyle name="Normal 25" xfId="107" xr:uid="{00000000-0005-0000-0000-000069000000}"/>
    <cellStyle name="Normal 26" xfId="108" xr:uid="{00000000-0005-0000-0000-00006A000000}"/>
    <cellStyle name="Normal 27" xfId="109" xr:uid="{00000000-0005-0000-0000-00006B000000}"/>
    <cellStyle name="Normal 28" xfId="170" xr:uid="{EB4B5D3A-FC1E-42F5-BC0E-66613FF29E0F}"/>
    <cellStyle name="Normal 29" xfId="173" xr:uid="{457F2998-D672-49C6-B45A-9B7F719B0A78}"/>
    <cellStyle name="Normal 29 2" xfId="175" xr:uid="{62127C38-43EC-400A-BD55-6C45FF71E64C}"/>
    <cellStyle name="Normal 3" xfId="110" xr:uid="{00000000-0005-0000-0000-00006C000000}"/>
    <cellStyle name="Normal 3 2" xfId="111" xr:uid="{00000000-0005-0000-0000-00006D000000}"/>
    <cellStyle name="Normal 3 3" xfId="112" xr:uid="{00000000-0005-0000-0000-00006E000000}"/>
    <cellStyle name="Normal 3 4" xfId="113" xr:uid="{00000000-0005-0000-0000-00006F000000}"/>
    <cellStyle name="Normal 3 5" xfId="114" xr:uid="{00000000-0005-0000-0000-000070000000}"/>
    <cellStyle name="Normal 3 6" xfId="115" xr:uid="{00000000-0005-0000-0000-000071000000}"/>
    <cellStyle name="Normal 3 7" xfId="183" xr:uid="{4A6D1674-C265-43CF-AD42-F0A0C25E8539}"/>
    <cellStyle name="Normal 3_100916 SNAP Plans" xfId="116" xr:uid="{00000000-0005-0000-0000-000072000000}"/>
    <cellStyle name="Normal 30" xfId="174" xr:uid="{FA854B21-1059-45A0-86BF-7E4647880005}"/>
    <cellStyle name="Normal 31" xfId="178" xr:uid="{107E942B-95C0-43CA-92AF-7EE834D17772}"/>
    <cellStyle name="Normal 32" xfId="180" xr:uid="{0E7887F8-EE44-40E0-91D7-2ABB0D431FBC}"/>
    <cellStyle name="Normal 33" xfId="184" xr:uid="{D937B828-DB11-4345-A1A1-4AB13C1300D7}"/>
    <cellStyle name="Normal 34" xfId="185" xr:uid="{A48EB6F1-8AA5-4384-81C0-695FC4367306}"/>
    <cellStyle name="Normal 35" xfId="186" xr:uid="{B82A6D46-7B83-46D8-B2FB-4977825E3F49}"/>
    <cellStyle name="Normal 36" xfId="187" xr:uid="{35E8A165-19C6-4782-B769-4D3EF98C944C}"/>
    <cellStyle name="Normal 37" xfId="189" xr:uid="{C588F23F-042B-48E0-A068-143646879A3B}"/>
    <cellStyle name="Normal 38" xfId="188" xr:uid="{FA7CCA62-BA30-4F44-90A8-290D1C6FEB44}"/>
    <cellStyle name="Normal 39" xfId="191" xr:uid="{7E32DEBD-74B8-40D6-8E4A-83E76459520A}"/>
    <cellStyle name="Normal 4" xfId="117" xr:uid="{00000000-0005-0000-0000-000073000000}"/>
    <cellStyle name="Normal 4 2" xfId="118" xr:uid="{00000000-0005-0000-0000-000074000000}"/>
    <cellStyle name="Normal 4 3" xfId="119" xr:uid="{00000000-0005-0000-0000-000075000000}"/>
    <cellStyle name="Normal 4_B2.Budget Summary" xfId="120" xr:uid="{00000000-0005-0000-0000-000076000000}"/>
    <cellStyle name="Normal 40" xfId="192" xr:uid="{11A4AAFB-3FAA-4B45-B104-AFD1DE032159}"/>
    <cellStyle name="Normal 41" xfId="193" xr:uid="{85AD6E51-895A-4DF8-B237-664064484D7F}"/>
    <cellStyle name="Normal 42" xfId="190" xr:uid="{BFC8B4E9-8EC9-4ED4-B7B0-B4F82CD4DC63}"/>
    <cellStyle name="Normal 5" xfId="121" xr:uid="{00000000-0005-0000-0000-000077000000}"/>
    <cellStyle name="Normal 5 2" xfId="122" xr:uid="{00000000-0005-0000-0000-000078000000}"/>
    <cellStyle name="Normal 6" xfId="123" xr:uid="{00000000-0005-0000-0000-000079000000}"/>
    <cellStyle name="Normal 6 2" xfId="124" xr:uid="{00000000-0005-0000-0000-00007A000000}"/>
    <cellStyle name="Normal 6 3" xfId="166" xr:uid="{00000000-0005-0000-0000-00007B000000}"/>
    <cellStyle name="Normal 7" xfId="125" xr:uid="{00000000-0005-0000-0000-00007C000000}"/>
    <cellStyle name="Normal 8" xfId="126" xr:uid="{00000000-0005-0000-0000-00007D000000}"/>
    <cellStyle name="Normal 9" xfId="127" xr:uid="{00000000-0005-0000-0000-00007E000000}"/>
    <cellStyle name="Normal_081222 1 Market St SNAP V1.3" xfId="5" xr:uid="{00000000-0005-0000-0000-00007F000000}"/>
    <cellStyle name="Normal_1 Market BCA" xfId="165" xr:uid="{00000000-0005-0000-0000-000080000000}"/>
    <cellStyle name="Normal_40M Business case analysis v1.0" xfId="167" xr:uid="{00000000-0005-0000-0000-000081000000}"/>
    <cellStyle name="Normal_5 Year budget NOI Summary - Sample" xfId="4" xr:uid="{00000000-0005-0000-0000-000082000000}"/>
    <cellStyle name="Normal_NGAC Calculator" xfId="7" xr:uid="{00000000-0005-0000-0000-000083000000}"/>
    <cellStyle name="Normal2" xfId="128" xr:uid="{00000000-0005-0000-0000-000084000000}"/>
    <cellStyle name="Normal3" xfId="129" xr:uid="{00000000-0005-0000-0000-000085000000}"/>
    <cellStyle name="Normal4" xfId="130" xr:uid="{00000000-0005-0000-0000-000086000000}"/>
    <cellStyle name="Note 2" xfId="131" xr:uid="{00000000-0005-0000-0000-000087000000}"/>
    <cellStyle name="Notes" xfId="132" xr:uid="{00000000-0005-0000-0000-000088000000}"/>
    <cellStyle name="Number4DecimalStyle" xfId="133" xr:uid="{00000000-0005-0000-0000-000089000000}"/>
    <cellStyle name="Number4DecimalStyle 2" xfId="134" xr:uid="{00000000-0005-0000-0000-00008A000000}"/>
    <cellStyle name="Number4DecimalStyle 2 2" xfId="135" xr:uid="{00000000-0005-0000-0000-00008B000000}"/>
    <cellStyle name="Number5DecimalStyle" xfId="136" xr:uid="{00000000-0005-0000-0000-00008C000000}"/>
    <cellStyle name="Number5DecimalStyle 2" xfId="137" xr:uid="{00000000-0005-0000-0000-00008D000000}"/>
    <cellStyle name="Number5DecimalStyle 2 2" xfId="138" xr:uid="{00000000-0005-0000-0000-00008E000000}"/>
    <cellStyle name="Output 2" xfId="139" xr:uid="{00000000-0005-0000-0000-00008F000000}"/>
    <cellStyle name="Percent" xfId="164" builtinId="5"/>
    <cellStyle name="Percent 10" xfId="140" xr:uid="{00000000-0005-0000-0000-000091000000}"/>
    <cellStyle name="Percent 11" xfId="141" xr:uid="{00000000-0005-0000-0000-000092000000}"/>
    <cellStyle name="Percent 12" xfId="142" xr:uid="{00000000-0005-0000-0000-000093000000}"/>
    <cellStyle name="Percent 13" xfId="143" xr:uid="{00000000-0005-0000-0000-000094000000}"/>
    <cellStyle name="Percent 14" xfId="144" xr:uid="{00000000-0005-0000-0000-000095000000}"/>
    <cellStyle name="Percent 15" xfId="145" xr:uid="{00000000-0005-0000-0000-000096000000}"/>
    <cellStyle name="Percent 16" xfId="146" xr:uid="{00000000-0005-0000-0000-000097000000}"/>
    <cellStyle name="Percent 17" xfId="147" xr:uid="{00000000-0005-0000-0000-000098000000}"/>
    <cellStyle name="Percent 18" xfId="148" xr:uid="{00000000-0005-0000-0000-000099000000}"/>
    <cellStyle name="Percent 19" xfId="172" xr:uid="{1D372AC8-2761-4439-A5E0-CEC07B88E025}"/>
    <cellStyle name="Percent 2" xfId="149" xr:uid="{00000000-0005-0000-0000-00009A000000}"/>
    <cellStyle name="Percent 2 2" xfId="150" xr:uid="{00000000-0005-0000-0000-00009B000000}"/>
    <cellStyle name="Percent 20" xfId="181" xr:uid="{C73F1831-096B-410B-8F67-0B8BBFED159C}"/>
    <cellStyle name="Percent 3" xfId="151" xr:uid="{00000000-0005-0000-0000-00009C000000}"/>
    <cellStyle name="Percent 4" xfId="152" xr:uid="{00000000-0005-0000-0000-00009D000000}"/>
    <cellStyle name="Percent 5" xfId="153" xr:uid="{00000000-0005-0000-0000-00009E000000}"/>
    <cellStyle name="Percent 6" xfId="6" xr:uid="{00000000-0005-0000-0000-00009F000000}"/>
    <cellStyle name="Percent 7" xfId="154" xr:uid="{00000000-0005-0000-0000-0000A0000000}"/>
    <cellStyle name="Percent 8" xfId="155" xr:uid="{00000000-0005-0000-0000-0000A1000000}"/>
    <cellStyle name="Percent 9" xfId="156" xr:uid="{00000000-0005-0000-0000-0000A2000000}"/>
    <cellStyle name="Percent2" xfId="157" xr:uid="{00000000-0005-0000-0000-0000A3000000}"/>
    <cellStyle name="phase" xfId="158" xr:uid="{00000000-0005-0000-0000-0000A4000000}"/>
    <cellStyle name="table column heading" xfId="159" xr:uid="{00000000-0005-0000-0000-0000A5000000}"/>
    <cellStyle name="table copy left" xfId="160" xr:uid="{00000000-0005-0000-0000-0000A6000000}"/>
    <cellStyle name="Title 2" xfId="161" xr:uid="{00000000-0005-0000-0000-0000A7000000}"/>
    <cellStyle name="Total 2" xfId="162" xr:uid="{00000000-0005-0000-0000-0000A8000000}"/>
    <cellStyle name="Warning Text 2" xfId="163" xr:uid="{00000000-0005-0000-0000-0000A9000000}"/>
  </cellStyles>
  <dxfs count="105">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color rgb="FF00B050"/>
      </font>
    </dxf>
    <dxf>
      <font>
        <b val="0"/>
        <i val="0"/>
        <color rgb="FFFF0000"/>
      </font>
      <fill>
        <patternFill>
          <fgColor theme="0"/>
          <bgColor theme="1"/>
        </patternFill>
      </fill>
    </dxf>
    <dxf>
      <font>
        <color theme="0"/>
      </font>
      <fill>
        <patternFill>
          <bgColor theme="8"/>
        </patternFill>
      </fill>
    </dxf>
    <dxf>
      <font>
        <color rgb="FFFF0000"/>
      </font>
      <fill>
        <patternFill>
          <bgColor theme="1"/>
        </patternFill>
      </fill>
    </dxf>
    <dxf>
      <font>
        <color rgb="FF00B050"/>
      </font>
    </dxf>
    <dxf>
      <font>
        <color rgb="FF00B050"/>
      </font>
    </dxf>
    <dxf>
      <font>
        <color rgb="FF00B05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rgb="FF9C0006"/>
      </font>
      <fill>
        <patternFill>
          <bgColor rgb="FFFFC7CE"/>
        </patternFill>
      </fill>
    </dxf>
    <dxf>
      <fill>
        <patternFill>
          <bgColor rgb="FF63BE7B"/>
        </patternFill>
      </fill>
    </dxf>
    <dxf>
      <fill>
        <patternFill>
          <bgColor rgb="FFF8696B"/>
        </patternFill>
      </fill>
    </dxf>
    <dxf>
      <fill>
        <patternFill>
          <bgColor rgb="FF63BE7B"/>
        </patternFill>
      </fill>
    </dxf>
    <dxf>
      <fill>
        <patternFill>
          <bgColor rgb="FF63BE7B"/>
        </patternFill>
      </fill>
    </dxf>
    <dxf>
      <fill>
        <patternFill patternType="none">
          <bgColor auto="1"/>
        </patternFill>
      </fill>
    </dxf>
    <dxf>
      <fill>
        <patternFill>
          <bgColor rgb="FFF8696B"/>
        </patternFill>
      </fill>
    </dxf>
    <dxf>
      <fill>
        <patternFill>
          <bgColor rgb="FF63BE7B"/>
        </patternFill>
      </fill>
    </dxf>
    <dxf>
      <fill>
        <patternFill>
          <bgColor rgb="FFF8696B"/>
        </patternFill>
      </fill>
    </dxf>
    <dxf>
      <fill>
        <patternFill>
          <bgColor rgb="FF63BE7B"/>
        </patternFill>
      </fill>
    </dxf>
    <dxf>
      <fill>
        <patternFill>
          <bgColor rgb="FF63BE7B"/>
        </patternFill>
      </fill>
    </dxf>
    <dxf>
      <fill>
        <patternFill patternType="none">
          <bgColor auto="1"/>
        </patternFill>
      </fill>
    </dxf>
    <dxf>
      <fill>
        <patternFill>
          <bgColor rgb="FFF8696B"/>
        </patternFill>
      </fill>
    </dxf>
    <dxf>
      <fill>
        <patternFill>
          <bgColor rgb="FF63BE7B"/>
        </patternFill>
      </fill>
    </dxf>
    <dxf>
      <fill>
        <patternFill>
          <bgColor rgb="FFF8696B"/>
        </patternFill>
      </fill>
    </dxf>
    <dxf>
      <fill>
        <patternFill>
          <bgColor rgb="FF63BE7B"/>
        </patternFill>
      </fill>
    </dxf>
    <dxf>
      <fill>
        <patternFill>
          <bgColor rgb="FF63BE7B"/>
        </patternFill>
      </fill>
    </dxf>
    <dxf>
      <fill>
        <patternFill patternType="none">
          <bgColor auto="1"/>
        </patternFill>
      </fill>
    </dxf>
    <dxf>
      <fill>
        <patternFill>
          <bgColor rgb="FFF8696B"/>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2B07073B-6BEF-4F8C-9B96-09ADAC672CBE}">
      <tableStyleElement type="wholeTable" dxfId="104"/>
      <tableStyleElement type="headerRow" dxfId="103"/>
      <tableStyleElement type="firstRowStripe" dxfId="102"/>
    </tableStyle>
    <tableStyle name="TableStyleQueryResult" pivot="0" count="3" xr9:uid="{E1D59D57-D4E7-4C8F-95A5-856D82D1C422}">
      <tableStyleElement type="wholeTable" dxfId="101"/>
      <tableStyleElement type="headerRow" dxfId="100"/>
      <tableStyleElement type="firstRowStripe" dxfId="99"/>
    </tableStyle>
  </tableStyles>
  <colors>
    <mruColors>
      <color rgb="FF242424"/>
      <color rgb="FF00857D"/>
      <color rgb="FF2DCCD3"/>
      <color rgb="FFF8696B"/>
      <color rgb="FFFFFFFF"/>
      <color rgb="FF00D05E"/>
      <color rgb="FF63BE7B"/>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3.xml"/><Relationship Id="rId89" Type="http://schemas.openxmlformats.org/officeDocument/2006/relationships/externalLink" Target="externalLinks/externalLink8.xml"/><Relationship Id="rId112" Type="http://schemas.microsoft.com/office/2017/10/relationships/person" Target="persons/person0.xml"/><Relationship Id="rId16" Type="http://schemas.openxmlformats.org/officeDocument/2006/relationships/worksheet" Target="worksheets/sheet16.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externalLink" Target="externalLinks/externalLink6.xml"/><Relationship Id="rId102" Type="http://schemas.openxmlformats.org/officeDocument/2006/relationships/styles" Target="styles.xml"/><Relationship Id="rId110" Type="http://schemas.openxmlformats.org/officeDocument/2006/relationships/customXml" Target="../customXml/item5.xml"/><Relationship Id="rId115" Type="http://schemas.microsoft.com/office/2017/10/relationships/person" Target="persons/person4.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externalLink" Target="externalLinks/externalLink1.xml"/><Relationship Id="rId90" Type="http://schemas.openxmlformats.org/officeDocument/2006/relationships/externalLink" Target="externalLinks/externalLink9.xml"/><Relationship Id="rId95" Type="http://schemas.openxmlformats.org/officeDocument/2006/relationships/externalLink" Target="externalLinks/externalLink1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19.xml"/><Relationship Id="rId105" Type="http://schemas.openxmlformats.org/officeDocument/2006/relationships/calcChain" Target="calcChain.xml"/><Relationship Id="rId113" Type="http://schemas.microsoft.com/office/2017/10/relationships/person" Target="persons/person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4.xml"/><Relationship Id="rId93" Type="http://schemas.openxmlformats.org/officeDocument/2006/relationships/externalLink" Target="externalLinks/externalLink12.xml"/><Relationship Id="rId98" Type="http://schemas.openxmlformats.org/officeDocument/2006/relationships/externalLink" Target="externalLinks/externalLink1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2.xml"/><Relationship Id="rId88" Type="http://schemas.openxmlformats.org/officeDocument/2006/relationships/externalLink" Target="externalLinks/externalLink7.xml"/><Relationship Id="rId91" Type="http://schemas.openxmlformats.org/officeDocument/2006/relationships/externalLink" Target="externalLinks/externalLink10.xml"/><Relationship Id="rId96" Type="http://schemas.openxmlformats.org/officeDocument/2006/relationships/externalLink" Target="externalLinks/externalLink15.xml"/><Relationship Id="rId111" Type="http://schemas.microsoft.com/office/2017/10/relationships/person" Target="persons/person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1.xml"/><Relationship Id="rId114" Type="http://schemas.microsoft.com/office/2017/10/relationships/person" Target="persons/person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externalLink" Target="externalLinks/externalLink5.xml"/><Relationship Id="rId94" Type="http://schemas.openxmlformats.org/officeDocument/2006/relationships/externalLink" Target="externalLinks/externalLink13.xml"/><Relationship Id="rId99" Type="http://schemas.openxmlformats.org/officeDocument/2006/relationships/externalLink" Target="externalLinks/externalLink18.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externalLink" Target="externalLinks/externalLink16.xml"/><Relationship Id="rId104"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externalLink" Target="externalLinks/externalLink11.xml"/><Relationship Id="rId2" Type="http://schemas.openxmlformats.org/officeDocument/2006/relationships/worksheet" Target="worksheets/sheet2.xml"/><Relationship Id="rId29" Type="http://schemas.openxmlformats.org/officeDocument/2006/relationships/worksheet" Target="worksheets/sheet2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33.xml"/><Relationship Id="rId1" Type="http://schemas.microsoft.com/office/2011/relationships/chartStyle" Target="style33.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34.xml"/><Relationship Id="rId1" Type="http://schemas.microsoft.com/office/2011/relationships/chartStyle" Target="style34.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35.xml"/><Relationship Id="rId1" Type="http://schemas.microsoft.com/office/2011/relationships/chartStyle" Target="style35.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36.xml"/><Relationship Id="rId1" Type="http://schemas.microsoft.com/office/2011/relationships/chartStyle" Target="style36.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37.xml"/><Relationship Id="rId1" Type="http://schemas.microsoft.com/office/2011/relationships/chartStyle" Target="style37.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38.xml"/><Relationship Id="rId1" Type="http://schemas.microsoft.com/office/2011/relationships/chartStyle" Target="style38.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39.xml"/><Relationship Id="rId1" Type="http://schemas.microsoft.com/office/2011/relationships/chartStyle" Target="style39.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40.xml"/><Relationship Id="rId1" Type="http://schemas.microsoft.com/office/2011/relationships/chartStyle" Target="style40.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41.xml"/><Relationship Id="rId1" Type="http://schemas.microsoft.com/office/2011/relationships/chartStyle" Target="style41.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42.xml"/><Relationship Id="rId1" Type="http://schemas.microsoft.com/office/2011/relationships/chartStyle" Target="style42.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43.xml"/><Relationship Id="rId1" Type="http://schemas.microsoft.com/office/2011/relationships/chartStyle" Target="style43.xml"/></Relationships>
</file>

<file path=xl/charts/_rels/chart46.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44.xml"/><Relationship Id="rId1" Type="http://schemas.microsoft.com/office/2011/relationships/chartStyle" Target="style44.xml"/></Relationships>
</file>

<file path=xl/charts/_rels/chart47.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45.xml"/><Relationship Id="rId1" Type="http://schemas.microsoft.com/office/2011/relationships/chartStyle" Target="style45.xml"/></Relationships>
</file>

<file path=xl/charts/_rels/chart48.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46.xml"/><Relationship Id="rId1" Type="http://schemas.microsoft.com/office/2011/relationships/chartStyle" Target="style46.xml"/></Relationships>
</file>

<file path=xl/charts/_rels/chart49.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47.xml"/><Relationship Id="rId1" Type="http://schemas.microsoft.com/office/2011/relationships/chartStyle" Target="style47.xml"/></Relationships>
</file>

<file path=xl/charts/_rels/chart50.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1.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49.xml"/><Relationship Id="rId1" Type="http://schemas.microsoft.com/office/2011/relationships/chartStyle" Target="style49.xml"/></Relationships>
</file>

<file path=xl/charts/_rels/chart52.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50.xml"/><Relationship Id="rId1" Type="http://schemas.microsoft.com/office/2011/relationships/chartStyle" Target="style50.xml"/></Relationships>
</file>

<file path=xl/charts/_rels/chart53.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51.xml"/><Relationship Id="rId1" Type="http://schemas.microsoft.com/office/2011/relationships/chartStyle" Target="style51.xml"/></Relationships>
</file>

<file path=xl/charts/_rels/chart54.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52.xml"/><Relationship Id="rId1" Type="http://schemas.microsoft.com/office/2011/relationships/chartStyle" Target="style52.xml"/></Relationships>
</file>

<file path=xl/charts/_rels/chart55.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53.xml"/><Relationship Id="rId1" Type="http://schemas.microsoft.com/office/2011/relationships/chartStyle" Target="style53.xml"/></Relationships>
</file>

<file path=xl/charts/_rels/chart56.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55.xml"/><Relationship Id="rId1" Type="http://schemas.microsoft.com/office/2011/relationships/chartStyle" Target="style55.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56.xml"/><Relationship Id="rId1" Type="http://schemas.microsoft.com/office/2011/relationships/chartStyle" Target="style56.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57.xml"/><Relationship Id="rId1" Type="http://schemas.microsoft.com/office/2011/relationships/chartStyle" Target="style57.xml"/></Relationships>
</file>

<file path=xl/charts/_rels/chart60.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58.xml"/><Relationship Id="rId1" Type="http://schemas.microsoft.com/office/2011/relationships/chartStyle" Target="style58.xml"/></Relationships>
</file>

<file path=xl/charts/_rels/chart61.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59.xml"/><Relationship Id="rId1" Type="http://schemas.microsoft.com/office/2011/relationships/chartStyle" Target="style59.xml"/></Relationships>
</file>

<file path=xl/charts/_rels/chart62.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60.xml"/><Relationship Id="rId1" Type="http://schemas.microsoft.com/office/2011/relationships/chartStyle" Target="style60.xml"/></Relationships>
</file>

<file path=xl/charts/_rels/chart63.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61.xml"/><Relationship Id="rId1" Type="http://schemas.microsoft.com/office/2011/relationships/chartStyle" Target="style61.xml"/></Relationships>
</file>

<file path=xl/charts/_rels/chart64.xml.rels><?xml version="1.0" encoding="UTF-8" standalone="yes"?>
<Relationships xmlns="http://schemas.openxmlformats.org/package/2006/relationships"><Relationship Id="rId3" Type="http://schemas.openxmlformats.org/officeDocument/2006/relationships/themeOverride" Target="../theme/themeOverride39.xml"/><Relationship Id="rId2" Type="http://schemas.microsoft.com/office/2011/relationships/chartColorStyle" Target="colors62.xml"/><Relationship Id="rId1" Type="http://schemas.microsoft.com/office/2011/relationships/chartStyle" Target="style62.xml"/></Relationships>
</file>

<file path=xl/charts/_rels/chart65.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63.xml"/><Relationship Id="rId1" Type="http://schemas.microsoft.com/office/2011/relationships/chartStyle" Target="style63.xml"/></Relationships>
</file>

<file path=xl/charts/_rels/chart66.xml.rels><?xml version="1.0" encoding="UTF-8" standalone="yes"?>
<Relationships xmlns="http://schemas.openxmlformats.org/package/2006/relationships"><Relationship Id="rId3" Type="http://schemas.openxmlformats.org/officeDocument/2006/relationships/themeOverride" Target="../theme/themeOverride41.xml"/><Relationship Id="rId2" Type="http://schemas.microsoft.com/office/2011/relationships/chartColorStyle" Target="colors64.xml"/><Relationship Id="rId1" Type="http://schemas.microsoft.com/office/2011/relationships/chartStyle" Target="style64.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42.xml"/><Relationship Id="rId2" Type="http://schemas.microsoft.com/office/2011/relationships/chartColorStyle" Target="colors65.xml"/><Relationship Id="rId1" Type="http://schemas.microsoft.com/office/2011/relationships/chartStyle" Target="style65.xml"/></Relationships>
</file>

<file path=xl/charts/_rels/chart6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70.xml.rels><?xml version="1.0" encoding="UTF-8" standalone="yes"?>
<Relationships xmlns="http://schemas.openxmlformats.org/package/2006/relationships"><Relationship Id="rId3" Type="http://schemas.openxmlformats.org/officeDocument/2006/relationships/themeOverride" Target="../theme/themeOverride43.xml"/><Relationship Id="rId2" Type="http://schemas.microsoft.com/office/2011/relationships/chartColorStyle" Target="colors67.xml"/><Relationship Id="rId1" Type="http://schemas.microsoft.com/office/2011/relationships/chartStyle" Target="style67.xml"/></Relationships>
</file>

<file path=xl/charts/_rels/chart71.xml.rels><?xml version="1.0" encoding="UTF-8" standalone="yes"?>
<Relationships xmlns="http://schemas.openxmlformats.org/package/2006/relationships"><Relationship Id="rId3" Type="http://schemas.openxmlformats.org/officeDocument/2006/relationships/themeOverride" Target="../theme/themeOverride44.xml"/><Relationship Id="rId2" Type="http://schemas.microsoft.com/office/2011/relationships/chartColorStyle" Target="colors68.xml"/><Relationship Id="rId1" Type="http://schemas.microsoft.com/office/2011/relationships/chartStyle" Target="style68.xml"/></Relationships>
</file>

<file path=xl/charts/_rels/chart72.xml.rels><?xml version="1.0" encoding="UTF-8" standalone="yes"?>
<Relationships xmlns="http://schemas.openxmlformats.org/package/2006/relationships"><Relationship Id="rId3" Type="http://schemas.openxmlformats.org/officeDocument/2006/relationships/themeOverride" Target="../theme/themeOverride45.xml"/><Relationship Id="rId2" Type="http://schemas.microsoft.com/office/2011/relationships/chartColorStyle" Target="colors69.xml"/><Relationship Id="rId1" Type="http://schemas.microsoft.com/office/2011/relationships/chartStyle" Target="style69.xml"/></Relationships>
</file>

<file path=xl/charts/_rels/chart73.xml.rels><?xml version="1.0" encoding="UTF-8" standalone="yes"?>
<Relationships xmlns="http://schemas.openxmlformats.org/package/2006/relationships"><Relationship Id="rId3" Type="http://schemas.openxmlformats.org/officeDocument/2006/relationships/themeOverride" Target="../theme/themeOverride46.xml"/><Relationship Id="rId2" Type="http://schemas.microsoft.com/office/2011/relationships/chartColorStyle" Target="colors70.xml"/><Relationship Id="rId1" Type="http://schemas.microsoft.com/office/2011/relationships/chartStyle" Target="style70.xml"/></Relationships>
</file>

<file path=xl/charts/_rels/chart74.xml.rels><?xml version="1.0" encoding="UTF-8" standalone="yes"?>
<Relationships xmlns="http://schemas.openxmlformats.org/package/2006/relationships"><Relationship Id="rId3" Type="http://schemas.openxmlformats.org/officeDocument/2006/relationships/themeOverride" Target="../theme/themeOverride47.xml"/><Relationship Id="rId2" Type="http://schemas.microsoft.com/office/2011/relationships/chartColorStyle" Target="colors71.xml"/><Relationship Id="rId1" Type="http://schemas.microsoft.com/office/2011/relationships/chartStyle" Target="style71.xml"/></Relationships>
</file>

<file path=xl/charts/_rels/chart75.xml.rels><?xml version="1.0" encoding="UTF-8" standalone="yes"?>
<Relationships xmlns="http://schemas.openxmlformats.org/package/2006/relationships"><Relationship Id="rId3" Type="http://schemas.openxmlformats.org/officeDocument/2006/relationships/themeOverride" Target="../theme/themeOverride48.xml"/><Relationship Id="rId2" Type="http://schemas.microsoft.com/office/2011/relationships/chartColorStyle" Target="colors72.xml"/><Relationship Id="rId1" Type="http://schemas.microsoft.com/office/2011/relationships/chartStyle" Target="style72.xml"/></Relationships>
</file>

<file path=xl/charts/_rels/chart76.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7.xml.rels><?xml version="1.0" encoding="UTF-8" standalone="yes"?>
<Relationships xmlns="http://schemas.openxmlformats.org/package/2006/relationships"><Relationship Id="rId3" Type="http://schemas.openxmlformats.org/officeDocument/2006/relationships/themeOverride" Target="../theme/themeOverride49.xml"/><Relationship Id="rId2" Type="http://schemas.microsoft.com/office/2011/relationships/chartColorStyle" Target="colors74.xml"/><Relationship Id="rId1" Type="http://schemas.microsoft.com/office/2011/relationships/chartStyle" Target="style74.xml"/></Relationships>
</file>

<file path=xl/charts/_rels/chart78.xml.rels><?xml version="1.0" encoding="UTF-8" standalone="yes"?>
<Relationships xmlns="http://schemas.openxmlformats.org/package/2006/relationships"><Relationship Id="rId3" Type="http://schemas.openxmlformats.org/officeDocument/2006/relationships/themeOverride" Target="../theme/themeOverride50.xml"/><Relationship Id="rId2" Type="http://schemas.microsoft.com/office/2011/relationships/chartColorStyle" Target="colors75.xml"/><Relationship Id="rId1" Type="http://schemas.microsoft.com/office/2011/relationships/chartStyle" Target="style75.xml"/></Relationships>
</file>

<file path=xl/charts/_rels/chart79.xml.rels><?xml version="1.0" encoding="UTF-8" standalone="yes"?>
<Relationships xmlns="http://schemas.openxmlformats.org/package/2006/relationships"><Relationship Id="rId3" Type="http://schemas.openxmlformats.org/officeDocument/2006/relationships/themeOverride" Target="../theme/themeOverride51.xml"/><Relationship Id="rId2" Type="http://schemas.microsoft.com/office/2011/relationships/chartColorStyle" Target="colors76.xml"/><Relationship Id="rId1" Type="http://schemas.microsoft.com/office/2011/relationships/chartStyle" Target="style76.xml"/></Relationships>
</file>

<file path=xl/charts/_rels/chart80.xml.rels><?xml version="1.0" encoding="UTF-8" standalone="yes"?>
<Relationships xmlns="http://schemas.openxmlformats.org/package/2006/relationships"><Relationship Id="rId3" Type="http://schemas.openxmlformats.org/officeDocument/2006/relationships/themeOverride" Target="../theme/themeOverride52.xml"/><Relationship Id="rId2" Type="http://schemas.microsoft.com/office/2011/relationships/chartColorStyle" Target="colors77.xml"/><Relationship Id="rId1" Type="http://schemas.microsoft.com/office/2011/relationships/chartStyle" Target="style77.xml"/></Relationships>
</file>

<file path=xl/charts/_rels/chart81.xml.rels><?xml version="1.0" encoding="UTF-8" standalone="yes"?>
<Relationships xmlns="http://schemas.openxmlformats.org/package/2006/relationships"><Relationship Id="rId3" Type="http://schemas.openxmlformats.org/officeDocument/2006/relationships/themeOverride" Target="../theme/themeOverride53.xml"/><Relationship Id="rId2" Type="http://schemas.microsoft.com/office/2011/relationships/chartColorStyle" Target="colors78.xml"/><Relationship Id="rId1" Type="http://schemas.microsoft.com/office/2011/relationships/chartStyle" Target="style78.xml"/></Relationships>
</file>

<file path=xl/charts/_rels/chart82.xml.rels><?xml version="1.0" encoding="UTF-8" standalone="yes"?>
<Relationships xmlns="http://schemas.openxmlformats.org/package/2006/relationships"><Relationship Id="rId3" Type="http://schemas.openxmlformats.org/officeDocument/2006/relationships/themeOverride" Target="../theme/themeOverride54.xml"/><Relationship Id="rId2" Type="http://schemas.microsoft.com/office/2011/relationships/chartColorStyle" Target="colors79.xml"/><Relationship Id="rId1" Type="http://schemas.microsoft.com/office/2011/relationships/chartStyle" Target="style79.xml"/></Relationships>
</file>

<file path=xl/charts/_rels/chart83.xml.rels><?xml version="1.0" encoding="UTF-8" standalone="yes"?>
<Relationships xmlns="http://schemas.openxmlformats.org/package/2006/relationships"><Relationship Id="rId3" Type="http://schemas.openxmlformats.org/officeDocument/2006/relationships/themeOverride" Target="../theme/themeOverride55.xml"/><Relationship Id="rId2" Type="http://schemas.microsoft.com/office/2011/relationships/chartColorStyle" Target="colors80.xml"/><Relationship Id="rId1" Type="http://schemas.microsoft.com/office/2011/relationships/chartStyle" Target="style80.xml"/></Relationships>
</file>

<file path=xl/charts/_rels/chart84.xml.rels><?xml version="1.0" encoding="UTF-8" standalone="yes"?>
<Relationships xmlns="http://schemas.openxmlformats.org/package/2006/relationships"><Relationship Id="rId3" Type="http://schemas.openxmlformats.org/officeDocument/2006/relationships/themeOverride" Target="../theme/themeOverride56.xml"/><Relationship Id="rId2" Type="http://schemas.microsoft.com/office/2011/relationships/chartColorStyle" Target="colors81.xml"/><Relationship Id="rId1" Type="http://schemas.microsoft.com/office/2011/relationships/chartStyle" Target="style81.xml"/></Relationships>
</file>

<file path=xl/charts/_rels/chart102.xml.rels><?xml version="1.0" encoding="UTF-8" standalone="yes"?>
<Relationships xmlns="http://schemas.openxmlformats.org/package/2006/relationships"><Relationship Id="rId3" Type="http://schemas.openxmlformats.org/officeDocument/2006/relationships/themeOverride" Target="../theme/themeOverride57.xml"/><Relationship Id="rId2" Type="http://schemas.microsoft.com/office/2011/relationships/chartColorStyle" Target="colors82.xml"/><Relationship Id="rId1" Type="http://schemas.microsoft.com/office/2011/relationships/chartStyle" Target="style82.xml"/></Relationships>
</file>

<file path=xl/charts/_rels/chart103.xml.rels><?xml version="1.0" encoding="UTF-8" standalone="yes"?>
<Relationships xmlns="http://schemas.openxmlformats.org/package/2006/relationships"><Relationship Id="rId3" Type="http://schemas.openxmlformats.org/officeDocument/2006/relationships/themeOverride" Target="../theme/themeOverride58.xml"/><Relationship Id="rId2" Type="http://schemas.microsoft.com/office/2011/relationships/chartColorStyle" Target="colors83.xml"/><Relationship Id="rId1" Type="http://schemas.microsoft.com/office/2011/relationships/chartStyle" Target="style83.xml"/></Relationships>
</file>

<file path=xl/charts/_rels/chart104.xml.rels><?xml version="1.0" encoding="UTF-8" standalone="yes"?>
<Relationships xmlns="http://schemas.openxmlformats.org/package/2006/relationships"><Relationship Id="rId3" Type="http://schemas.openxmlformats.org/officeDocument/2006/relationships/themeOverride" Target="../theme/themeOverride59.xml"/><Relationship Id="rId2" Type="http://schemas.microsoft.com/office/2011/relationships/chartColorStyle" Target="colors84.xml"/><Relationship Id="rId1" Type="http://schemas.microsoft.com/office/2011/relationships/chartStyle" Target="style84.xml"/></Relationships>
</file>

<file path=xl/charts/_rels/chart108.xml.rels><?xml version="1.0" encoding="UTF-8" standalone="yes"?>
<Relationships xmlns="http://schemas.openxmlformats.org/package/2006/relationships"><Relationship Id="rId3" Type="http://schemas.openxmlformats.org/officeDocument/2006/relationships/themeOverride" Target="../theme/themeOverride60.xml"/><Relationship Id="rId2" Type="http://schemas.microsoft.com/office/2011/relationships/chartColorStyle" Target="colors85.xml"/><Relationship Id="rId1" Type="http://schemas.microsoft.com/office/2011/relationships/chartStyle" Target="style85.xml"/></Relationships>
</file>

<file path=xl/charts/_rels/chart109.xml.rels><?xml version="1.0" encoding="UTF-8" standalone="yes"?>
<Relationships xmlns="http://schemas.openxmlformats.org/package/2006/relationships"><Relationship Id="rId3" Type="http://schemas.openxmlformats.org/officeDocument/2006/relationships/themeOverride" Target="../theme/themeOverride61.xml"/><Relationship Id="rId2" Type="http://schemas.microsoft.com/office/2011/relationships/chartColorStyle" Target="colors86.xml"/><Relationship Id="rId1" Type="http://schemas.microsoft.com/office/2011/relationships/chartStyle" Target="style8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Capex Roadmaps</a:t>
            </a:r>
          </a:p>
        </c:rich>
      </c:tx>
      <c:layout>
        <c:manualLayout>
          <c:xMode val="edge"/>
          <c:yMode val="edge"/>
          <c:x val="4.864081863858539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rgbClr val="63BE7B"/>
              </a:solidFill>
              <a:ln w="19050">
                <a:solidFill>
                  <a:schemeClr val="lt1"/>
                </a:solidFill>
              </a:ln>
              <a:effectLst/>
            </c:spPr>
            <c:extLst>
              <c:ext xmlns:c16="http://schemas.microsoft.com/office/drawing/2014/chart" uri="{C3380CC4-5D6E-409C-BE32-E72D297353CC}">
                <c16:uniqueId val="{00000001-5D96-4360-AD48-41C30F43B7F5}"/>
              </c:ext>
            </c:extLst>
          </c:dPt>
          <c:dPt>
            <c:idx val="1"/>
            <c:invertIfNegative val="0"/>
            <c:bubble3D val="0"/>
            <c:spPr>
              <a:solidFill>
                <a:srgbClr val="63BE7B"/>
              </a:solidFill>
              <a:ln w="19050">
                <a:solidFill>
                  <a:schemeClr val="lt1"/>
                </a:solidFill>
              </a:ln>
              <a:effectLst/>
            </c:spPr>
            <c:extLst>
              <c:ext xmlns:c16="http://schemas.microsoft.com/office/drawing/2014/chart" uri="{C3380CC4-5D6E-409C-BE32-E72D297353CC}">
                <c16:uniqueId val="{00000003-5D96-4360-AD48-41C30F43B7F5}"/>
              </c:ext>
            </c:extLst>
          </c:dPt>
          <c:dPt>
            <c:idx val="2"/>
            <c:invertIfNegative val="0"/>
            <c:bubble3D val="0"/>
            <c:spPr>
              <a:solidFill>
                <a:srgbClr val="FFC000"/>
              </a:solidFill>
              <a:ln w="19050">
                <a:solidFill>
                  <a:schemeClr val="lt1"/>
                </a:solidFill>
              </a:ln>
              <a:effectLst/>
            </c:spPr>
            <c:extLst>
              <c:ext xmlns:c16="http://schemas.microsoft.com/office/drawing/2014/chart" uri="{C3380CC4-5D6E-409C-BE32-E72D297353CC}">
                <c16:uniqueId val="{00000005-5D96-4360-AD48-41C30F43B7F5}"/>
              </c:ext>
            </c:extLst>
          </c:dPt>
          <c:dPt>
            <c:idx val="3"/>
            <c:invertIfNegative val="0"/>
            <c:bubble3D val="0"/>
            <c:spPr>
              <a:solidFill>
                <a:srgbClr val="F8696B"/>
              </a:solidFill>
              <a:ln w="19050">
                <a:solidFill>
                  <a:schemeClr val="lt1"/>
                </a:solidFill>
              </a:ln>
              <a:effectLst/>
            </c:spPr>
            <c:extLst>
              <c:ext xmlns:c16="http://schemas.microsoft.com/office/drawing/2014/chart" uri="{C3380CC4-5D6E-409C-BE32-E72D297353CC}">
                <c16:uniqueId val="{00000007-5D96-4360-AD48-41C30F43B7F5}"/>
              </c:ext>
            </c:extLst>
          </c:dPt>
          <c:cat>
            <c:strRef>
              <c:f>ICPF!$N$17:$N$20</c:f>
              <c:strCache>
                <c:ptCount val="4"/>
                <c:pt idx="0">
                  <c:v>Complete</c:v>
                </c:pt>
                <c:pt idx="1">
                  <c:v>Not Applicable</c:v>
                </c:pt>
                <c:pt idx="2">
                  <c:v>Underway</c:v>
                </c:pt>
                <c:pt idx="3">
                  <c:v>Not complete</c:v>
                </c:pt>
              </c:strCache>
            </c:strRef>
          </c:cat>
          <c:val>
            <c:numRef>
              <c:f>ICPF!$O$17:$O$20</c:f>
              <c:numCache>
                <c:formatCode>_-* #,##0_-;\-* #,##0_-;_-* "-"??_-;_-@_-</c:formatCode>
                <c:ptCount val="4"/>
                <c:pt idx="0">
                  <c:v>294918.2</c:v>
                </c:pt>
                <c:pt idx="1">
                  <c:v>51979.1</c:v>
                </c:pt>
                <c:pt idx="2">
                  <c:v>124114</c:v>
                </c:pt>
                <c:pt idx="3">
                  <c:v>0</c:v>
                </c:pt>
              </c:numCache>
            </c:numRef>
          </c:val>
          <c:extLst>
            <c:ext xmlns:c16="http://schemas.microsoft.com/office/drawing/2014/chart" uri="{C3380CC4-5D6E-409C-BE32-E72D297353CC}">
              <c16:uniqueId val="{00000008-5D96-4360-AD48-41C30F43B7F5}"/>
            </c:ext>
          </c:extLst>
        </c:ser>
        <c:dLbls>
          <c:showLegendKey val="0"/>
          <c:showVal val="0"/>
          <c:showCatName val="0"/>
          <c:showSerName val="0"/>
          <c:showPercent val="0"/>
          <c:showBubbleSize val="0"/>
        </c:dLbls>
        <c:gapWidth val="150"/>
        <c:axId val="171690192"/>
        <c:axId val="171693520"/>
      </c:barChart>
      <c:catAx>
        <c:axId val="171690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3520"/>
        <c:crosses val="autoZero"/>
        <c:auto val="1"/>
        <c:lblAlgn val="ctr"/>
        <c:lblOffset val="100"/>
        <c:noMultiLvlLbl val="0"/>
      </c:catAx>
      <c:valAx>
        <c:axId val="17169352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Capex Roadmaps</a:t>
            </a:r>
          </a:p>
        </c:rich>
      </c:tx>
      <c:layout>
        <c:manualLayout>
          <c:xMode val="edge"/>
          <c:yMode val="edge"/>
          <c:x val="4.864081863858539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rgbClr val="63BE7B"/>
              </a:solidFill>
              <a:ln w="19050">
                <a:solidFill>
                  <a:schemeClr val="lt1"/>
                </a:solidFill>
              </a:ln>
              <a:effectLst/>
            </c:spPr>
            <c:extLst>
              <c:ext xmlns:c16="http://schemas.microsoft.com/office/drawing/2014/chart" uri="{C3380CC4-5D6E-409C-BE32-E72D297353CC}">
                <c16:uniqueId val="{00000001-D37F-4E65-B87F-5EB3C2EF5283}"/>
              </c:ext>
            </c:extLst>
          </c:dPt>
          <c:dPt>
            <c:idx val="1"/>
            <c:invertIfNegative val="0"/>
            <c:bubble3D val="0"/>
            <c:spPr>
              <a:solidFill>
                <a:srgbClr val="63BE7B"/>
              </a:solidFill>
              <a:ln w="19050">
                <a:solidFill>
                  <a:schemeClr val="lt1"/>
                </a:solidFill>
              </a:ln>
              <a:effectLst/>
            </c:spPr>
            <c:extLst>
              <c:ext xmlns:c16="http://schemas.microsoft.com/office/drawing/2014/chart" uri="{C3380CC4-5D6E-409C-BE32-E72D297353CC}">
                <c16:uniqueId val="{00000003-D37F-4E65-B87F-5EB3C2EF5283}"/>
              </c:ext>
            </c:extLst>
          </c:dPt>
          <c:dPt>
            <c:idx val="2"/>
            <c:invertIfNegative val="0"/>
            <c:bubble3D val="0"/>
            <c:spPr>
              <a:solidFill>
                <a:srgbClr val="FFC000"/>
              </a:solidFill>
              <a:ln w="19050">
                <a:solidFill>
                  <a:schemeClr val="lt1"/>
                </a:solidFill>
              </a:ln>
              <a:effectLst/>
            </c:spPr>
            <c:extLst>
              <c:ext xmlns:c16="http://schemas.microsoft.com/office/drawing/2014/chart" uri="{C3380CC4-5D6E-409C-BE32-E72D297353CC}">
                <c16:uniqueId val="{00000005-D37F-4E65-B87F-5EB3C2EF5283}"/>
              </c:ext>
            </c:extLst>
          </c:dPt>
          <c:dPt>
            <c:idx val="3"/>
            <c:invertIfNegative val="0"/>
            <c:bubble3D val="0"/>
            <c:spPr>
              <a:solidFill>
                <a:srgbClr val="F8696B"/>
              </a:solidFill>
              <a:ln w="19050">
                <a:solidFill>
                  <a:schemeClr val="lt1"/>
                </a:solidFill>
              </a:ln>
              <a:effectLst/>
            </c:spPr>
            <c:extLst>
              <c:ext xmlns:c16="http://schemas.microsoft.com/office/drawing/2014/chart" uri="{C3380CC4-5D6E-409C-BE32-E72D297353CC}">
                <c16:uniqueId val="{00000007-D37F-4E65-B87F-5EB3C2EF5283}"/>
              </c:ext>
            </c:extLst>
          </c:dPt>
          <c:cat>
            <c:strRef>
              <c:f>IGO!$N$8:$N$11</c:f>
              <c:strCache>
                <c:ptCount val="4"/>
                <c:pt idx="0">
                  <c:v>Complete</c:v>
                </c:pt>
                <c:pt idx="1">
                  <c:v>Not Applicable</c:v>
                </c:pt>
                <c:pt idx="2">
                  <c:v>Underway</c:v>
                </c:pt>
                <c:pt idx="3">
                  <c:v>Not complete</c:v>
                </c:pt>
              </c:strCache>
            </c:strRef>
          </c:cat>
          <c:val>
            <c:numRef>
              <c:f>IGO!$O$8:$O$11</c:f>
              <c:numCache>
                <c:formatCode>_-* #,##0_-;\-* #,##0_-;_-* "-"??_-;_-@_-</c:formatCode>
                <c:ptCount val="4"/>
                <c:pt idx="0">
                  <c:v>124002</c:v>
                </c:pt>
                <c:pt idx="1">
                  <c:v>61657</c:v>
                </c:pt>
                <c:pt idx="2">
                  <c:v>0</c:v>
                </c:pt>
                <c:pt idx="3">
                  <c:v>0</c:v>
                </c:pt>
              </c:numCache>
            </c:numRef>
          </c:val>
          <c:extLst>
            <c:ext xmlns:c16="http://schemas.microsoft.com/office/drawing/2014/chart" uri="{C3380CC4-5D6E-409C-BE32-E72D297353CC}">
              <c16:uniqueId val="{00000008-D37F-4E65-B87F-5EB3C2EF5283}"/>
            </c:ext>
          </c:extLst>
        </c:ser>
        <c:dLbls>
          <c:showLegendKey val="0"/>
          <c:showVal val="0"/>
          <c:showCatName val="0"/>
          <c:showSerName val="0"/>
          <c:showPercent val="0"/>
          <c:showBubbleSize val="0"/>
        </c:dLbls>
        <c:gapWidth val="150"/>
        <c:axId val="171690192"/>
        <c:axId val="171693520"/>
      </c:barChart>
      <c:catAx>
        <c:axId val="171690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3520"/>
        <c:crosses val="autoZero"/>
        <c:auto val="1"/>
        <c:lblAlgn val="ctr"/>
        <c:lblOffset val="100"/>
        <c:noMultiLvlLbl val="0"/>
      </c:catAx>
      <c:valAx>
        <c:axId val="17169352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Capex Roadmaps</a:t>
            </a:r>
          </a:p>
        </c:rich>
      </c:tx>
      <c:layout>
        <c:manualLayout>
          <c:xMode val="edge"/>
          <c:yMode val="edge"/>
          <c:x val="4.864081863858539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rgbClr val="63BE7B"/>
              </a:solidFill>
              <a:ln w="19050">
                <a:solidFill>
                  <a:schemeClr val="lt1"/>
                </a:solidFill>
              </a:ln>
              <a:effectLst/>
            </c:spPr>
            <c:extLst>
              <c:ext xmlns:c16="http://schemas.microsoft.com/office/drawing/2014/chart" uri="{C3380CC4-5D6E-409C-BE32-E72D297353CC}">
                <c16:uniqueId val="{00000003-B1AA-4261-B1CB-0D0C8ECB3897}"/>
              </c:ext>
            </c:extLst>
          </c:dPt>
          <c:dPt>
            <c:idx val="1"/>
            <c:invertIfNegative val="0"/>
            <c:bubble3D val="0"/>
            <c:spPr>
              <a:solidFill>
                <a:srgbClr val="63BE7B"/>
              </a:solidFill>
              <a:ln w="19050">
                <a:solidFill>
                  <a:schemeClr val="lt1"/>
                </a:solidFill>
              </a:ln>
              <a:effectLst/>
            </c:spPr>
            <c:extLst>
              <c:ext xmlns:c16="http://schemas.microsoft.com/office/drawing/2014/chart" uri="{C3380CC4-5D6E-409C-BE32-E72D297353CC}">
                <c16:uniqueId val="{00000001-B1AA-4261-B1CB-0D0C8ECB3897}"/>
              </c:ext>
            </c:extLst>
          </c:dPt>
          <c:dPt>
            <c:idx val="2"/>
            <c:invertIfNegative val="0"/>
            <c:bubble3D val="0"/>
            <c:spPr>
              <a:solidFill>
                <a:srgbClr val="FFC000"/>
              </a:solidFill>
              <a:ln w="19050">
                <a:solidFill>
                  <a:schemeClr val="lt1"/>
                </a:solidFill>
              </a:ln>
              <a:effectLst/>
            </c:spPr>
            <c:extLst>
              <c:ext xmlns:c16="http://schemas.microsoft.com/office/drawing/2014/chart" uri="{C3380CC4-5D6E-409C-BE32-E72D297353CC}">
                <c16:uniqueId val="{00000004-B1AA-4261-B1CB-0D0C8ECB3897}"/>
              </c:ext>
            </c:extLst>
          </c:dPt>
          <c:dPt>
            <c:idx val="3"/>
            <c:invertIfNegative val="0"/>
            <c:bubble3D val="0"/>
            <c:spPr>
              <a:solidFill>
                <a:srgbClr val="F8696B"/>
              </a:solidFill>
              <a:ln w="19050">
                <a:solidFill>
                  <a:schemeClr val="lt1"/>
                </a:solidFill>
              </a:ln>
              <a:effectLst/>
            </c:spPr>
            <c:extLst>
              <c:ext xmlns:c16="http://schemas.microsoft.com/office/drawing/2014/chart" uri="{C3380CC4-5D6E-409C-BE32-E72D297353CC}">
                <c16:uniqueId val="{00000002-B1AA-4261-B1CB-0D0C8ECB3897}"/>
              </c:ext>
            </c:extLst>
          </c:dPt>
          <c:cat>
            <c:strRef>
              <c:f>'Asset Attributes'!$N$26:$N$29</c:f>
              <c:strCache>
                <c:ptCount val="4"/>
                <c:pt idx="0">
                  <c:v>Complete</c:v>
                </c:pt>
                <c:pt idx="1">
                  <c:v>Not Applicable</c:v>
                </c:pt>
                <c:pt idx="2">
                  <c:v>Underway</c:v>
                </c:pt>
                <c:pt idx="3">
                  <c:v>Not complete</c:v>
                </c:pt>
              </c:strCache>
            </c:strRef>
          </c:cat>
          <c:val>
            <c:numRef>
              <c:f>'Asset Attributes'!$O$26:$O$29</c:f>
              <c:numCache>
                <c:formatCode>_-* #,##0_-;\-* #,##0_-;_-* "-"??_-;_-@_-</c:formatCode>
                <c:ptCount val="4"/>
                <c:pt idx="0">
                  <c:v>356044.9</c:v>
                </c:pt>
                <c:pt idx="1">
                  <c:v>139081.5</c:v>
                </c:pt>
                <c:pt idx="2">
                  <c:v>83848</c:v>
                </c:pt>
                <c:pt idx="3">
                  <c:v>52899.79999999993</c:v>
                </c:pt>
              </c:numCache>
            </c:numRef>
          </c:val>
          <c:extLst>
            <c:ext xmlns:c16="http://schemas.microsoft.com/office/drawing/2014/chart" uri="{C3380CC4-5D6E-409C-BE32-E72D297353CC}">
              <c16:uniqueId val="{00000000-B1AA-4261-B1CB-0D0C8ECB3897}"/>
            </c:ext>
          </c:extLst>
        </c:ser>
        <c:dLbls>
          <c:showLegendKey val="0"/>
          <c:showVal val="0"/>
          <c:showCatName val="0"/>
          <c:showSerName val="0"/>
          <c:showPercent val="0"/>
          <c:showBubbleSize val="0"/>
        </c:dLbls>
        <c:gapWidth val="150"/>
        <c:axId val="171690192"/>
        <c:axId val="171693520"/>
      </c:barChart>
      <c:catAx>
        <c:axId val="1716901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3520"/>
        <c:crosses val="autoZero"/>
        <c:auto val="1"/>
        <c:lblAlgn val="ctr"/>
        <c:lblOffset val="100"/>
        <c:noMultiLvlLbl val="0"/>
      </c:catAx>
      <c:valAx>
        <c:axId val="17169352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901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Electricity Consumption (kWh/m2)</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'Intensity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'Intensity Summary'!$G$27:$R$27</c:f>
              <c:numCache>
                <c:formatCode>_-* #,##0_-;\-* #,##0_-;_-* "-"??_-;_-@_-</c:formatCode>
                <c:ptCount val="12"/>
                <c:pt idx="0">
                  <c:v>51.210968015932558</c:v>
                </c:pt>
                <c:pt idx="1">
                  <c:v>50.589596551217554</c:v>
                </c:pt>
                <c:pt idx="2">
                  <c:v>50.589596551217554</c:v>
                </c:pt>
                <c:pt idx="3">
                  <c:v>48.651208718273935</c:v>
                </c:pt>
                <c:pt idx="4">
                  <c:v>47.518558314219078</c:v>
                </c:pt>
                <c:pt idx="5">
                  <c:v>46.21238588074096</c:v>
                </c:pt>
                <c:pt idx="6">
                  <c:v>46.21238588074096</c:v>
                </c:pt>
                <c:pt idx="7">
                  <c:v>46.475313801502509</c:v>
                </c:pt>
                <c:pt idx="8">
                  <c:v>45.007373850674476</c:v>
                </c:pt>
                <c:pt idx="9">
                  <c:v>43.351057185634403</c:v>
                </c:pt>
                <c:pt idx="10">
                  <c:v>43.351057185634403</c:v>
                </c:pt>
                <c:pt idx="11">
                  <c:v>43.024254120281064</c:v>
                </c:pt>
              </c:numCache>
            </c:numRef>
          </c:val>
          <c:extLst>
            <c:ext xmlns:c16="http://schemas.microsoft.com/office/drawing/2014/chart" uri="{C3380CC4-5D6E-409C-BE32-E72D297353CC}">
              <c16:uniqueId val="{00000000-093E-4F07-B657-F0D11F36DE6E}"/>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Gas Consumption (MJ/m2)</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'Intensity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'Intensity Summary'!$G$56:$R$56</c:f>
              <c:numCache>
                <c:formatCode>_-* #,##0_-;\-* #,##0_-;_-* "-"??_-;_-@_-</c:formatCode>
                <c:ptCount val="12"/>
                <c:pt idx="0">
                  <c:v>77.121122871565049</c:v>
                </c:pt>
                <c:pt idx="1">
                  <c:v>76.063991886253675</c:v>
                </c:pt>
                <c:pt idx="2">
                  <c:v>76.063991886253675</c:v>
                </c:pt>
                <c:pt idx="3">
                  <c:v>74.348868545304995</c:v>
                </c:pt>
                <c:pt idx="4">
                  <c:v>72.976851236032076</c:v>
                </c:pt>
                <c:pt idx="5">
                  <c:v>71.338369819291017</c:v>
                </c:pt>
                <c:pt idx="6">
                  <c:v>67.913529778628444</c:v>
                </c:pt>
                <c:pt idx="7">
                  <c:v>61.993937890296472</c:v>
                </c:pt>
                <c:pt idx="8">
                  <c:v>58.209812190937406</c:v>
                </c:pt>
                <c:pt idx="9">
                  <c:v>56.015717314362753</c:v>
                </c:pt>
                <c:pt idx="10">
                  <c:v>54.341594338666354</c:v>
                </c:pt>
                <c:pt idx="11">
                  <c:v>53.484969398395428</c:v>
                </c:pt>
              </c:numCache>
            </c:numRef>
          </c:val>
          <c:extLst>
            <c:ext xmlns:c16="http://schemas.microsoft.com/office/drawing/2014/chart" uri="{C3380CC4-5D6E-409C-BE32-E72D297353CC}">
              <c16:uniqueId val="{00000000-337D-489C-83BB-4152FD4D4727}"/>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Emissions (kg.CO2/m2)</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'Intensity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'Intensity Summary'!$G$85:$R$85</c:f>
              <c:numCache>
                <c:formatCode>_-* #,##0.0_-;\-* #,##0.0_-;_-* "-"??_-;_-@_-</c:formatCode>
                <c:ptCount val="12"/>
                <c:pt idx="0">
                  <c:v>45.529049051399141</c:v>
                </c:pt>
                <c:pt idx="1">
                  <c:v>12.203451545238382</c:v>
                </c:pt>
                <c:pt idx="2">
                  <c:v>3.9195775018986518</c:v>
                </c:pt>
                <c:pt idx="3">
                  <c:v>3.8311971961395654</c:v>
                </c:pt>
                <c:pt idx="4">
                  <c:v>3.7604971441927324</c:v>
                </c:pt>
                <c:pt idx="5">
                  <c:v>3.6760661967880663</c:v>
                </c:pt>
                <c:pt idx="6">
                  <c:v>3.4995841894927247</c:v>
                </c:pt>
                <c:pt idx="7">
                  <c:v>3.1945476194869769</c:v>
                </c:pt>
                <c:pt idx="8">
                  <c:v>2.9995516221990046</c:v>
                </c:pt>
                <c:pt idx="9">
                  <c:v>2.8864899132091129</c:v>
                </c:pt>
                <c:pt idx="10">
                  <c:v>2.8002223562714774</c:v>
                </c:pt>
                <c:pt idx="11">
                  <c:v>2.7560804730993169</c:v>
                </c:pt>
              </c:numCache>
            </c:numRef>
          </c:val>
          <c:extLst>
            <c:ext xmlns:c16="http://schemas.microsoft.com/office/drawing/2014/chart" uri="{C3380CC4-5D6E-409C-BE32-E72D297353CC}">
              <c16:uniqueId val="{00000000-44EA-47AC-A58D-63C814EE9605}"/>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 Rating (Excl. GP) - weighted average</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'Intensity Summary'!$G$3:$P$3</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'Intensity Summary'!$G$114:$P$114</c:f>
              <c:numCache>
                <c:formatCode>_-* #,##0.0_-;\-* #,##0.0_-;_-* "-"??_-;_-@_-</c:formatCode>
                <c:ptCount val="10"/>
                <c:pt idx="0">
                  <c:v>5.3095208659245055</c:v>
                </c:pt>
                <c:pt idx="1">
                  <c:v>5.3319445840636552</c:v>
                </c:pt>
                <c:pt idx="2">
                  <c:v>5.3917296291184078</c:v>
                </c:pt>
                <c:pt idx="3">
                  <c:v>5.4101734146586944</c:v>
                </c:pt>
                <c:pt idx="4">
                  <c:v>5.4401491622350866</c:v>
                </c:pt>
                <c:pt idx="5">
                  <c:v>5.4527428739987416</c:v>
                </c:pt>
                <c:pt idx="6">
                  <c:v>5.4544538733657397</c:v>
                </c:pt>
                <c:pt idx="7">
                  <c:v>5.4924332403083831</c:v>
                </c:pt>
                <c:pt idx="8">
                  <c:v>5.508706870283012</c:v>
                </c:pt>
                <c:pt idx="9">
                  <c:v>5.5343633712889169</c:v>
                </c:pt>
              </c:numCache>
            </c:numRef>
          </c:val>
          <c:extLst>
            <c:ext xmlns:c16="http://schemas.microsoft.com/office/drawing/2014/chart" uri="{C3380CC4-5D6E-409C-BE32-E72D297353CC}">
              <c16:uniqueId val="{00000000-0079-48CD-BB3B-6EB62C072AE2}"/>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Weighted-average</a:t>
            </a:r>
            <a:r>
              <a:rPr lang="en-AU" baseline="0"/>
              <a:t> NABERS Energy Ratings by Entity</a:t>
            </a:r>
            <a:endParaRPr lang="en-AU"/>
          </a:p>
        </c:rich>
      </c:tx>
      <c:layout>
        <c:manualLayout>
          <c:xMode val="edge"/>
          <c:yMode val="edge"/>
          <c:x val="1.5994803561088993E-2"/>
          <c:y val="1.84757505773672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'Intensity Summary'!$F$117</c:f>
              <c:strCache>
                <c:ptCount val="1"/>
                <c:pt idx="0">
                  <c:v>ICPF</c:v>
                </c:pt>
              </c:strCache>
            </c:strRef>
          </c:tx>
          <c:spPr>
            <a:ln w="28575" cap="rnd">
              <a:solidFill>
                <a:schemeClr val="accent1"/>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5A5-42F3-B360-6DE1C0A81823}"/>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A5-42F3-B360-6DE1C0A81823}"/>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A5-42F3-B360-6DE1C0A818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'Intensity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'Intensity Summary'!$G$117:$P$117</c:f>
              <c:numCache>
                <c:formatCode>_(* #,##0.00_);_(* \(#,##0.00\);_(* "-"??_);_(@_)</c:formatCode>
                <c:ptCount val="10"/>
                <c:pt idx="0">
                  <c:v>5.3176204560882487</c:v>
                </c:pt>
                <c:pt idx="1">
                  <c:v>5.3281424446463896</c:v>
                </c:pt>
                <c:pt idx="2">
                  <c:v>5.4093800702805277</c:v>
                </c:pt>
                <c:pt idx="3">
                  <c:v>5.4152992370363968</c:v>
                </c:pt>
                <c:pt idx="4">
                  <c:v>5.4545895729695646</c:v>
                </c:pt>
                <c:pt idx="5">
                  <c:v>5.4717226360180655</c:v>
                </c:pt>
                <c:pt idx="6">
                  <c:v>5.4738277044380599</c:v>
                </c:pt>
                <c:pt idx="7">
                  <c:v>5.5024769757371459</c:v>
                </c:pt>
                <c:pt idx="8">
                  <c:v>5.5314636247029805</c:v>
                </c:pt>
                <c:pt idx="9">
                  <c:v>5.5808330944168913</c:v>
                </c:pt>
              </c:numCache>
            </c:numRef>
          </c:val>
          <c:smooth val="0"/>
          <c:extLst>
            <c:ext xmlns:c16="http://schemas.microsoft.com/office/drawing/2014/chart" uri="{C3380CC4-5D6E-409C-BE32-E72D297353CC}">
              <c16:uniqueId val="{00000003-05A5-42F3-B360-6DE1C0A81823}"/>
            </c:ext>
          </c:extLst>
        </c:ser>
        <c:ser>
          <c:idx val="1"/>
          <c:order val="1"/>
          <c:tx>
            <c:strRef>
              <c:f>'Intensity Summary'!$F$118</c:f>
              <c:strCache>
                <c:ptCount val="1"/>
                <c:pt idx="0">
                  <c:v>IGO</c:v>
                </c:pt>
              </c:strCache>
            </c:strRef>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A5-42F3-B360-6DE1C0A81823}"/>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A5-42F3-B360-6DE1C0A81823}"/>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A5-42F3-B360-6DE1C0A818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'Intensity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'Intensity Summary'!$G$118:$P$118</c:f>
              <c:numCache>
                <c:formatCode>_(* #,##0.00_);_(* \(#,##0.00\);_(* "-"??_);_(@_)</c:formatCode>
                <c:ptCount val="10"/>
                <c:pt idx="0">
                  <c:v>5.5941384725678125</c:v>
                </c:pt>
                <c:pt idx="1">
                  <c:v>5.6018113042396678</c:v>
                </c:pt>
                <c:pt idx="2">
                  <c:v>5.6204766912492286</c:v>
                </c:pt>
                <c:pt idx="3">
                  <c:v>5.6628152238481961</c:v>
                </c:pt>
                <c:pt idx="4">
                  <c:v>5.6811459786140297</c:v>
                </c:pt>
                <c:pt idx="5">
                  <c:v>5.6945422664174874</c:v>
                </c:pt>
                <c:pt idx="6">
                  <c:v>5.6980700375123572</c:v>
                </c:pt>
                <c:pt idx="7">
                  <c:v>5.7158549064609261</c:v>
                </c:pt>
                <c:pt idx="8">
                  <c:v>5.7158549064609261</c:v>
                </c:pt>
                <c:pt idx="9">
                  <c:v>5.712873768964295</c:v>
                </c:pt>
              </c:numCache>
            </c:numRef>
          </c:val>
          <c:smooth val="0"/>
          <c:extLst>
            <c:ext xmlns:c16="http://schemas.microsoft.com/office/drawing/2014/chart" uri="{C3380CC4-5D6E-409C-BE32-E72D297353CC}">
              <c16:uniqueId val="{00000007-05A5-42F3-B360-6DE1C0A81823}"/>
            </c:ext>
          </c:extLst>
        </c:ser>
        <c:ser>
          <c:idx val="2"/>
          <c:order val="2"/>
          <c:tx>
            <c:strRef>
              <c:f>'Intensity Summary'!$F$119</c:f>
              <c:strCache>
                <c:ptCount val="1"/>
                <c:pt idx="0">
                  <c:v>IOM</c:v>
                </c:pt>
              </c:strCache>
            </c:strRef>
          </c:tx>
          <c:spPr>
            <a:ln w="28575" cap="rnd">
              <a:solidFill>
                <a:schemeClr val="accent3"/>
              </a:solidFill>
              <a:round/>
            </a:ln>
            <a:effectLst/>
          </c:spPr>
          <c:marker>
            <c:symbol val="none"/>
          </c:marker>
          <c:dLbls>
            <c:dLbl>
              <c:idx val="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A5-42F3-B360-6DE1C0A81823}"/>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5A5-42F3-B360-6DE1C0A81823}"/>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5A5-42F3-B360-6DE1C0A818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'Intensity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'Intensity Summary'!$G$119:$P$119</c:f>
              <c:numCache>
                <c:formatCode>_(* #,##0.00_);_(* \(#,##0.00\);_(* "-"??_);_(@_)</c:formatCode>
                <c:ptCount val="10"/>
                <c:pt idx="0">
                  <c:v>5.2135381914257541</c:v>
                </c:pt>
                <c:pt idx="1">
                  <c:v>5.2399838207093046</c:v>
                </c:pt>
                <c:pt idx="2">
                  <c:v>5.3104918929392149</c:v>
                </c:pt>
                <c:pt idx="3">
                  <c:v>5.3322437501449178</c:v>
                </c:pt>
                <c:pt idx="4">
                  <c:v>5.3675959385279191</c:v>
                </c:pt>
                <c:pt idx="5">
                  <c:v>5.382448454535246</c:v>
                </c:pt>
                <c:pt idx="6">
                  <c:v>5.3844663382190854</c:v>
                </c:pt>
                <c:pt idx="7">
                  <c:v>5.4292576726604285</c:v>
                </c:pt>
                <c:pt idx="8">
                  <c:v>5.448450135869968</c:v>
                </c:pt>
                <c:pt idx="9">
                  <c:v>5.478708378954579</c:v>
                </c:pt>
              </c:numCache>
            </c:numRef>
          </c:val>
          <c:smooth val="0"/>
          <c:extLst>
            <c:ext xmlns:c16="http://schemas.microsoft.com/office/drawing/2014/chart" uri="{C3380CC4-5D6E-409C-BE32-E72D297353CC}">
              <c16:uniqueId val="{0000000B-05A5-42F3-B360-6DE1C0A81823}"/>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25"/>
          <c:min val="5.25"/>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Electricity Consumption</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'Footprint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'Footprint Summary'!$G$27:$R$27</c:f>
              <c:numCache>
                <c:formatCode>_-* #,##0_-;\-* #,##0_-;_-* "-"??_-;_-@_-</c:formatCode>
                <c:ptCount val="12"/>
                <c:pt idx="0">
                  <c:v>34474.624500000005</c:v>
                </c:pt>
                <c:pt idx="1">
                  <c:v>34056.324500000002</c:v>
                </c:pt>
                <c:pt idx="2">
                  <c:v>34056.324500000002</c:v>
                </c:pt>
                <c:pt idx="3">
                  <c:v>32751.424490000005</c:v>
                </c:pt>
                <c:pt idx="4">
                  <c:v>31988.937490000004</c:v>
                </c:pt>
                <c:pt idx="5">
                  <c:v>31109.637490000008</c:v>
                </c:pt>
                <c:pt idx="6">
                  <c:v>31109.637490000008</c:v>
                </c:pt>
                <c:pt idx="7">
                  <c:v>31286.637490000008</c:v>
                </c:pt>
                <c:pt idx="8">
                  <c:v>30298.437490000004</c:v>
                </c:pt>
                <c:pt idx="9">
                  <c:v>29183.424490000005</c:v>
                </c:pt>
                <c:pt idx="10">
                  <c:v>29183.424490000005</c:v>
                </c:pt>
                <c:pt idx="11">
                  <c:v>28963.424490000005</c:v>
                </c:pt>
              </c:numCache>
            </c:numRef>
          </c:val>
          <c:extLst>
            <c:ext xmlns:c16="http://schemas.microsoft.com/office/drawing/2014/chart" uri="{C3380CC4-5D6E-409C-BE32-E72D297353CC}">
              <c16:uniqueId val="{00000000-B1C6-4648-9A54-766DF3451228}"/>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Gas Consumption (GJ)</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'Footprint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'Footprint Summary'!$G$56:$R$56</c:f>
              <c:numCache>
                <c:formatCode>_-* #,##0_-;\-* #,##0_-;_-* "-"??_-;_-@_-</c:formatCode>
                <c:ptCount val="12"/>
                <c:pt idx="0">
                  <c:v>51917.037599999989</c:v>
                </c:pt>
                <c:pt idx="1">
                  <c:v>51205.389389120901</c:v>
                </c:pt>
                <c:pt idx="2">
                  <c:v>51205.389389120901</c:v>
                </c:pt>
                <c:pt idx="3">
                  <c:v>50050.78842293733</c:v>
                </c:pt>
                <c:pt idx="4">
                  <c:v>49127.162422937326</c:v>
                </c:pt>
                <c:pt idx="5">
                  <c:v>48024.155903419822</c:v>
                </c:pt>
                <c:pt idx="6">
                  <c:v>45718.593658674254</c:v>
                </c:pt>
                <c:pt idx="7">
                  <c:v>41733.593658674261</c:v>
                </c:pt>
                <c:pt idx="8">
                  <c:v>39186.16451213642</c:v>
                </c:pt>
                <c:pt idx="9">
                  <c:v>37709.125512136423</c:v>
                </c:pt>
                <c:pt idx="10">
                  <c:v>36582.125512136423</c:v>
                </c:pt>
                <c:pt idx="11">
                  <c:v>36005.455624857837</c:v>
                </c:pt>
              </c:numCache>
            </c:numRef>
          </c:val>
          <c:extLst>
            <c:ext xmlns:c16="http://schemas.microsoft.com/office/drawing/2014/chart" uri="{C3380CC4-5D6E-409C-BE32-E72D297353CC}">
              <c16:uniqueId val="{00000000-2F41-4DF6-9999-F807F257FA54}"/>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Emissions (t.CO2)</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'Footprint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'Footprint Summary'!$G$85:$R$85</c:f>
              <c:numCache>
                <c:formatCode>_-* #,##0_-;\-* #,##0_-;_-* "-"??_-;_-@_-</c:formatCode>
                <c:ptCount val="12"/>
                <c:pt idx="0">
                  <c:v>30649.623131527998</c:v>
                </c:pt>
                <c:pt idx="1">
                  <c:v>8215.2207998713984</c:v>
                </c:pt>
                <c:pt idx="2">
                  <c:v>2638.6137152214001</c:v>
                </c:pt>
                <c:pt idx="3">
                  <c:v>2579.1171274339604</c:v>
                </c:pt>
                <c:pt idx="4">
                  <c:v>2531.5226796539605</c:v>
                </c:pt>
                <c:pt idx="5">
                  <c:v>2474.6847537032236</c:v>
                </c:pt>
                <c:pt idx="6">
                  <c:v>2355.8791312314847</c:v>
                </c:pt>
                <c:pt idx="7">
                  <c:v>2150.5320812314849</c:v>
                </c:pt>
                <c:pt idx="8">
                  <c:v>2019.26305731039</c:v>
                </c:pt>
                <c:pt idx="9">
                  <c:v>1943.15123764039</c:v>
                </c:pt>
                <c:pt idx="10">
                  <c:v>1885.0769276403901</c:v>
                </c:pt>
                <c:pt idx="11">
                  <c:v>1855.3611283489247</c:v>
                </c:pt>
              </c:numCache>
            </c:numRef>
          </c:val>
          <c:extLst>
            <c:ext xmlns:c16="http://schemas.microsoft.com/office/drawing/2014/chart" uri="{C3380CC4-5D6E-409C-BE32-E72D297353CC}">
              <c16:uniqueId val="{00000000-CA23-429F-ACCF-F40D04A8CCC8}"/>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Weighted-average</a:t>
            </a:r>
            <a:r>
              <a:rPr lang="en-AU" baseline="0"/>
              <a:t> NABERS Energy Ratings by Entity</a:t>
            </a:r>
            <a:endParaRPr lang="en-AU"/>
          </a:p>
        </c:rich>
      </c:tx>
      <c:layout>
        <c:manualLayout>
          <c:xMode val="edge"/>
          <c:yMode val="edge"/>
          <c:x val="1.5994803561088993E-2"/>
          <c:y val="1.84757505773672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'Footprint Summary'!$F$179</c:f>
              <c:strCache>
                <c:ptCount val="1"/>
                <c:pt idx="0">
                  <c:v>ICPF</c:v>
                </c:pt>
              </c:strCache>
            </c:strRef>
          </c:tx>
          <c:spPr>
            <a:ln w="28575" cap="rnd">
              <a:solidFill>
                <a:schemeClr val="accent1"/>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23-4A3F-9879-3E92E085F9C6}"/>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23-4A3F-9879-3E92E085F9C6}"/>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C1-4B19-99A8-464177F1CA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'Footprint Summary'!$G$179:$R$179</c:f>
              <c:numCache>
                <c:formatCode>0.00</c:formatCode>
                <c:ptCount val="12"/>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pt idx="11">
                  <c:v>5.5606040017171301</c:v>
                </c:pt>
              </c:numCache>
            </c:numRef>
          </c:val>
          <c:smooth val="0"/>
          <c:extLst>
            <c:ext xmlns:c16="http://schemas.microsoft.com/office/drawing/2014/chart" uri="{C3380CC4-5D6E-409C-BE32-E72D297353CC}">
              <c16:uniqueId val="{00000000-CC23-4A3F-9879-3E92E085F9C6}"/>
            </c:ext>
          </c:extLst>
        </c:ser>
        <c:ser>
          <c:idx val="1"/>
          <c:order val="1"/>
          <c:tx>
            <c:strRef>
              <c:f>'Footprint Summary'!$F$180</c:f>
              <c:strCache>
                <c:ptCount val="1"/>
                <c:pt idx="0">
                  <c:v>IOM</c:v>
                </c:pt>
              </c:strCache>
            </c:strRef>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23-4A3F-9879-3E92E085F9C6}"/>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23-4A3F-9879-3E92E085F9C6}"/>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C1-4B19-99A8-464177F1CA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'Footprint Summary'!$G$180:$R$180</c:f>
              <c:numCache>
                <c:formatCode>0.00</c:formatCode>
                <c:ptCount val="12"/>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pt idx="11">
                  <c:v>5.5045295328228736</c:v>
                </c:pt>
              </c:numCache>
            </c:numRef>
          </c:val>
          <c:smooth val="0"/>
          <c:extLst>
            <c:ext xmlns:c16="http://schemas.microsoft.com/office/drawing/2014/chart" uri="{C3380CC4-5D6E-409C-BE32-E72D297353CC}">
              <c16:uniqueId val="{00000001-CC23-4A3F-9879-3E92E085F9C6}"/>
            </c:ext>
          </c:extLst>
        </c:ser>
        <c:ser>
          <c:idx val="2"/>
          <c:order val="2"/>
          <c:tx>
            <c:strRef>
              <c:f>'Footprint Summary'!$F$181</c:f>
              <c:strCache>
                <c:ptCount val="1"/>
                <c:pt idx="0">
                  <c:v>IGO</c:v>
                </c:pt>
              </c:strCache>
            </c:strRef>
          </c:tx>
          <c:spPr>
            <a:ln w="28575" cap="rnd">
              <a:solidFill>
                <a:schemeClr val="accent3"/>
              </a:solidFill>
              <a:round/>
            </a:ln>
            <a:effectLst/>
          </c:spPr>
          <c:marker>
            <c:symbol val="none"/>
          </c:marker>
          <c:dLbls>
            <c:dLbl>
              <c:idx val="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23-4A3F-9879-3E92E085F9C6}"/>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C23-4A3F-9879-3E92E085F9C6}"/>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AC1-4B19-99A8-464177F1CA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'Footprint Summary'!$G$181:$R$181</c:f>
              <c:numCache>
                <c:formatCode>0.00</c:formatCode>
                <c:ptCount val="12"/>
                <c:pt idx="0">
                  <c:v>5.3773163530915085</c:v>
                </c:pt>
                <c:pt idx="1">
                  <c:v>5.3897415030978291</c:v>
                </c:pt>
                <c:pt idx="2">
                  <c:v>5.3989086851726711</c:v>
                </c:pt>
                <c:pt idx="3">
                  <c:v>5.4212093179158183</c:v>
                </c:pt>
                <c:pt idx="4">
                  <c:v>5.4717936463248549</c:v>
                </c:pt>
                <c:pt idx="5">
                  <c:v>5.4936944742974081</c:v>
                </c:pt>
                <c:pt idx="6">
                  <c:v>5.5096998051417883</c:v>
                </c:pt>
                <c:pt idx="7">
                  <c:v>5.5139146402024437</c:v>
                </c:pt>
                <c:pt idx="8">
                  <c:v>5.5351632663682917</c:v>
                </c:pt>
                <c:pt idx="9">
                  <c:v>5.5351632663682917</c:v>
                </c:pt>
                <c:pt idx="10">
                  <c:v>5.5316015265321372</c:v>
                </c:pt>
                <c:pt idx="11">
                  <c:v>5.5900052882309197</c:v>
                </c:pt>
              </c:numCache>
            </c:numRef>
          </c:val>
          <c:smooth val="0"/>
          <c:extLst>
            <c:ext xmlns:c16="http://schemas.microsoft.com/office/drawing/2014/chart" uri="{C3380CC4-5D6E-409C-BE32-E72D297353CC}">
              <c16:uniqueId val="{00000002-CC23-4A3F-9879-3E92E085F9C6}"/>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5.75"/>
          <c:min val="5.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Weighted-average</a:t>
            </a:r>
            <a:r>
              <a:rPr lang="en-AU" baseline="0"/>
              <a:t> NABERS Energy Ratings by Entity</a:t>
            </a:r>
            <a:endParaRPr lang="en-AU"/>
          </a:p>
        </c:rich>
      </c:tx>
      <c:layout>
        <c:manualLayout>
          <c:xMode val="edge"/>
          <c:yMode val="edge"/>
          <c:x val="1.5994803561088993E-2"/>
          <c:y val="1.84757505773672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'Costs Summary'!$F$117</c:f>
              <c:strCache>
                <c:ptCount val="1"/>
                <c:pt idx="0">
                  <c:v>ICPF</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AB4-45B7-BE1F-D3F23DD99D09}"/>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AB4-45B7-BE1F-D3F23DD99D09}"/>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40-428A-BFCC-7C838B5D11EF}"/>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B4-45B7-BE1F-D3F23DD99D0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'Costs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'Costs Summary'!$H$117:$Q$117</c:f>
              <c:numCache>
                <c:formatCode>_(* #,##0.00_);_(* \(#,##0.00\);_(* "-"??_);_(@_)</c:formatCode>
                <c:ptCount val="10"/>
                <c:pt idx="0">
                  <c:v>5.3176204560882487</c:v>
                </c:pt>
                <c:pt idx="1">
                  <c:v>5.3281424446463896</c:v>
                </c:pt>
                <c:pt idx="2">
                  <c:v>5.4093800702805277</c:v>
                </c:pt>
                <c:pt idx="3">
                  <c:v>5.4152992370363968</c:v>
                </c:pt>
                <c:pt idx="4">
                  <c:v>5.4545895729695646</c:v>
                </c:pt>
                <c:pt idx="5">
                  <c:v>5.4717226360180655</c:v>
                </c:pt>
                <c:pt idx="6">
                  <c:v>5.4738277044380599</c:v>
                </c:pt>
                <c:pt idx="7">
                  <c:v>5.5024769757371459</c:v>
                </c:pt>
                <c:pt idx="8">
                  <c:v>5.5314636247029805</c:v>
                </c:pt>
                <c:pt idx="9">
                  <c:v>5.5808330944168913</c:v>
                </c:pt>
              </c:numCache>
            </c:numRef>
          </c:val>
          <c:smooth val="0"/>
          <c:extLst>
            <c:ext xmlns:c16="http://schemas.microsoft.com/office/drawing/2014/chart" uri="{C3380CC4-5D6E-409C-BE32-E72D297353CC}">
              <c16:uniqueId val="{00000003-0AB4-45B7-BE1F-D3F23DD99D09}"/>
            </c:ext>
          </c:extLst>
        </c:ser>
        <c:ser>
          <c:idx val="1"/>
          <c:order val="1"/>
          <c:tx>
            <c:strRef>
              <c:f>'Costs Summary'!$F$118</c:f>
              <c:strCache>
                <c:ptCount val="1"/>
                <c:pt idx="0">
                  <c:v>IGO</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0AB4-45B7-BE1F-D3F23DD99D09}"/>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AB4-45B7-BE1F-D3F23DD99D09}"/>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340-428A-BFCC-7C838B5D11EF}"/>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B4-45B7-BE1F-D3F23DD99D0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'Costs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'Costs Summary'!$H$118:$Q$118</c:f>
              <c:numCache>
                <c:formatCode>_(* #,##0.00_);_(* \(#,##0.00\);_(* "-"??_);_(@_)</c:formatCode>
                <c:ptCount val="10"/>
                <c:pt idx="0">
                  <c:v>5.5453469264385484</c:v>
                </c:pt>
                <c:pt idx="1">
                  <c:v>5.5545141085133904</c:v>
                </c:pt>
                <c:pt idx="2">
                  <c:v>5.5768147412565376</c:v>
                </c:pt>
                <c:pt idx="3">
                  <c:v>5.6273990696655734</c:v>
                </c:pt>
                <c:pt idx="4">
                  <c:v>5.6492998976381275</c:v>
                </c:pt>
                <c:pt idx="5">
                  <c:v>5.6653052284825076</c:v>
                </c:pt>
                <c:pt idx="6">
                  <c:v>5.6695200635431631</c:v>
                </c:pt>
                <c:pt idx="7">
                  <c:v>5.6907686897090111</c:v>
                </c:pt>
                <c:pt idx="8">
                  <c:v>5.6907686897090111</c:v>
                </c:pt>
                <c:pt idx="9">
                  <c:v>5.6872069498728566</c:v>
                </c:pt>
              </c:numCache>
            </c:numRef>
          </c:val>
          <c:smooth val="0"/>
          <c:extLst>
            <c:ext xmlns:c16="http://schemas.microsoft.com/office/drawing/2014/chart" uri="{C3380CC4-5D6E-409C-BE32-E72D297353CC}">
              <c16:uniqueId val="{00000007-0AB4-45B7-BE1F-D3F23DD99D09}"/>
            </c:ext>
          </c:extLst>
        </c:ser>
        <c:ser>
          <c:idx val="2"/>
          <c:order val="2"/>
          <c:tx>
            <c:strRef>
              <c:f>'Costs Summary'!$F$119</c:f>
              <c:strCache>
                <c:ptCount val="1"/>
                <c:pt idx="0">
                  <c:v>IOM</c:v>
                </c:pt>
              </c:strCache>
            </c:strRef>
          </c:tx>
          <c:spPr>
            <a:ln w="28575" cap="rnd">
              <a:solidFill>
                <a:schemeClr val="accent3"/>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0AB4-45B7-BE1F-D3F23DD99D09}"/>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AB4-45B7-BE1F-D3F23DD99D09}"/>
                </c:ext>
              </c:extLst>
            </c:dLbl>
            <c:dLbl>
              <c:idx val="7"/>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340-428A-BFCC-7C838B5D11EF}"/>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AB4-45B7-BE1F-D3F23DD99D0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3"/>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'Costs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'Costs Summary'!$H$119:$Q$119</c:f>
              <c:numCache>
                <c:formatCode>_(* #,##0.00_);_(* \(#,##0.00\);_(* "-"??_);_(@_)</c:formatCode>
                <c:ptCount val="10"/>
                <c:pt idx="0">
                  <c:v>5.2295687653208027</c:v>
                </c:pt>
                <c:pt idx="1">
                  <c:v>5.2570175494020654</c:v>
                </c:pt>
                <c:pt idx="2">
                  <c:v>5.3302001849852072</c:v>
                </c:pt>
                <c:pt idx="3">
                  <c:v>5.3527771494205814</c:v>
                </c:pt>
                <c:pt idx="4">
                  <c:v>5.3894703426632438</c:v>
                </c:pt>
                <c:pt idx="5">
                  <c:v>5.4048862550840608</c:v>
                </c:pt>
                <c:pt idx="6">
                  <c:v>5.4069806825958802</c:v>
                </c:pt>
                <c:pt idx="7">
                  <c:v>5.4534710744337787</c:v>
                </c:pt>
                <c:pt idx="8">
                  <c:v>5.4733915600829484</c:v>
                </c:pt>
                <c:pt idx="9">
                  <c:v>5.5047975807982308</c:v>
                </c:pt>
              </c:numCache>
            </c:numRef>
          </c:val>
          <c:smooth val="0"/>
          <c:extLst>
            <c:ext xmlns:c16="http://schemas.microsoft.com/office/drawing/2014/chart" uri="{C3380CC4-5D6E-409C-BE32-E72D297353CC}">
              <c16:uniqueId val="{0000000B-0AB4-45B7-BE1F-D3F23DD99D09}"/>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Star</a:t>
            </a:r>
            <a:r>
              <a:rPr lang="en-AU" baseline="0"/>
              <a:t> Ratings by Asset </a:t>
            </a:r>
            <a:endParaRPr lang="en-AU"/>
          </a:p>
        </c:rich>
      </c:tx>
      <c:layout>
        <c:manualLayout>
          <c:xMode val="edge"/>
          <c:yMode val="edge"/>
          <c:x val="1.9326910992475729E-2"/>
          <c:y val="2.78099652375434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1937266570059726E-2"/>
          <c:y val="0.11369375935989254"/>
          <c:w val="0.92122081598306405"/>
          <c:h val="0.55276431657134084"/>
        </c:manualLayout>
      </c:layout>
      <c:barChart>
        <c:barDir val="col"/>
        <c:grouping val="stacked"/>
        <c:varyColors val="0"/>
        <c:ser>
          <c:idx val="0"/>
          <c:order val="0"/>
          <c:tx>
            <c:strRef>
              <c:f>'Footprint Summary'!$G$152</c:f>
              <c:strCache>
                <c:ptCount val="1"/>
                <c:pt idx="0">
                  <c:v>BASE</c:v>
                </c:pt>
              </c:strCache>
            </c:strRef>
          </c:tx>
          <c:spPr>
            <a:solidFill>
              <a:schemeClr val="accent1"/>
            </a:solidFill>
            <a:ln>
              <a:noFill/>
            </a:ln>
            <a:effectLst/>
          </c:spPr>
          <c:invertIfNegative val="0"/>
          <c:dLbls>
            <c:dLbl>
              <c:idx val="22"/>
              <c:layout>
                <c:manualLayout>
                  <c:x val="-3.0621668085229505E-2"/>
                  <c:y val="-0.141751113966731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55B-400C-A015-FDF4A2FAFA4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extLst>
                <c:ext xmlns:c15="http://schemas.microsoft.com/office/drawing/2012/chart" uri="{02D57815-91ED-43cb-92C2-25804820EDAC}">
                  <c15:fullRef>
                    <c15:sqref>'Footprint Summary'!$B$153:$B$176</c15:sqref>
                  </c15:fullRef>
                </c:ext>
              </c:extLst>
              <c:f>('Footprint Summary'!$B$153:$B$165,'Footprint Summary'!$B$167:$B$176)</c:f>
              <c:strCache>
                <c:ptCount val="23"/>
                <c:pt idx="0">
                  <c:v>1 Market Street</c:v>
                </c:pt>
                <c:pt idx="1">
                  <c:v>120 Collins Street</c:v>
                </c:pt>
                <c:pt idx="2">
                  <c:v>126 Phillip Street</c:v>
                </c:pt>
                <c:pt idx="3">
                  <c:v>117 Clarence Street</c:v>
                </c:pt>
                <c:pt idx="4">
                  <c:v>135 King Street</c:v>
                </c:pt>
                <c:pt idx="5">
                  <c:v>201 Kent Street</c:v>
                </c:pt>
                <c:pt idx="6">
                  <c:v>259 Queen Street</c:v>
                </c:pt>
                <c:pt idx="7">
                  <c:v>347 Kent Street</c:v>
                </c:pt>
                <c:pt idx="8">
                  <c:v>40 Mount Street</c:v>
                </c:pt>
                <c:pt idx="9">
                  <c:v>420 George Street</c:v>
                </c:pt>
                <c:pt idx="10">
                  <c:v>567 Collins Street</c:v>
                </c:pt>
                <c:pt idx="11">
                  <c:v>60 Martin Place</c:v>
                </c:pt>
                <c:pt idx="12">
                  <c:v>151 Clarence Street</c:v>
                </c:pt>
                <c:pt idx="13">
                  <c:v>20 Bridge Street</c:v>
                </c:pt>
                <c:pt idx="14">
                  <c:v>179 Turbot Street</c:v>
                </c:pt>
                <c:pt idx="15">
                  <c:v>105 Miller Street</c:v>
                </c:pt>
                <c:pt idx="16">
                  <c:v>QV1</c:v>
                </c:pt>
                <c:pt idx="17">
                  <c:v>388 George Street</c:v>
                </c:pt>
                <c:pt idx="18">
                  <c:v>130 Pitt Street</c:v>
                </c:pt>
                <c:pt idx="19">
                  <c:v>220 London Circuit</c:v>
                </c:pt>
                <c:pt idx="20">
                  <c:v>850 Collins Street</c:v>
                </c:pt>
                <c:pt idx="21">
                  <c:v>6 O'Connell Street</c:v>
                </c:pt>
                <c:pt idx="22">
                  <c:v>Weighted average</c:v>
                </c:pt>
              </c:strCache>
            </c:strRef>
          </c:cat>
          <c:val>
            <c:numRef>
              <c:extLst>
                <c:ext xmlns:c15="http://schemas.microsoft.com/office/drawing/2012/chart" uri="{02D57815-91ED-43cb-92C2-25804820EDAC}">
                  <c15:fullRef>
                    <c15:sqref>'Footprint Summary'!$G$153:$G$176</c15:sqref>
                  </c15:fullRef>
                </c:ext>
              </c:extLst>
              <c:f>('Footprint Summary'!$G$153:$G$165,'Footprint Summary'!$G$167:$G$176)</c:f>
              <c:numCache>
                <c:formatCode>_(* #,##0.00_);_(* \(#,##0.00\);_(* "-"??_);_(@_)</c:formatCode>
                <c:ptCount val="23"/>
                <c:pt idx="0">
                  <c:v>5.1606552665612879</c:v>
                </c:pt>
                <c:pt idx="1">
                  <c:v>4.2064719358533793</c:v>
                </c:pt>
                <c:pt idx="2">
                  <c:v>5.1893950280212673</c:v>
                </c:pt>
                <c:pt idx="3">
                  <c:v>5.3187239545911771</c:v>
                </c:pt>
                <c:pt idx="4">
                  <c:v>5.5572639747090102</c:v>
                </c:pt>
                <c:pt idx="5">
                  <c:v>5.5342721655410259</c:v>
                </c:pt>
                <c:pt idx="6">
                  <c:v>5.4825066741604607</c:v>
                </c:pt>
                <c:pt idx="7">
                  <c:v>5.1319155051013077</c:v>
                </c:pt>
                <c:pt idx="8">
                  <c:v>5.8216697801408248</c:v>
                </c:pt>
                <c:pt idx="9">
                  <c:v>5.448052881161086</c:v>
                </c:pt>
                <c:pt idx="10">
                  <c:v>5.7139636967611818</c:v>
                </c:pt>
                <c:pt idx="11">
                  <c:v>5.2669923839632133</c:v>
                </c:pt>
                <c:pt idx="12">
                  <c:v>5.6779709728409253</c:v>
                </c:pt>
                <c:pt idx="13">
                  <c:v>4.7257012393998696</c:v>
                </c:pt>
                <c:pt idx="14">
                  <c:v>5.1171842068287203</c:v>
                </c:pt>
                <c:pt idx="15">
                  <c:v>5.8446615893088083</c:v>
                </c:pt>
                <c:pt idx="16">
                  <c:v>5.6286137879911049</c:v>
                </c:pt>
                <c:pt idx="17">
                  <c:v>5.0456962207213678</c:v>
                </c:pt>
                <c:pt idx="18">
                  <c:v>4.5300065231572084</c:v>
                </c:pt>
                <c:pt idx="19">
                  <c:v>4.790932811480757</c:v>
                </c:pt>
                <c:pt idx="20">
                  <c:v>4.8364833906071016</c:v>
                </c:pt>
                <c:pt idx="21">
                  <c:v>4.7628832354859751</c:v>
                </c:pt>
                <c:pt idx="22">
                  <c:v>5.2370330970859431</c:v>
                </c:pt>
              </c:numCache>
            </c:numRef>
          </c:val>
          <c:extLst>
            <c:ext xmlns:c16="http://schemas.microsoft.com/office/drawing/2014/chart" uri="{C3380CC4-5D6E-409C-BE32-E72D297353CC}">
              <c16:uniqueId val="{00000000-055B-400C-A015-FDF4A2FAFA4D}"/>
            </c:ext>
          </c:extLst>
        </c:ser>
        <c:ser>
          <c:idx val="1"/>
          <c:order val="1"/>
          <c:tx>
            <c:strRef>
              <c:f>'Footprint Summary'!$S$152</c:f>
              <c:strCache>
                <c:ptCount val="1"/>
                <c:pt idx="0">
                  <c:v>FY33</c:v>
                </c:pt>
              </c:strCache>
            </c:strRef>
          </c:tx>
          <c:spPr>
            <a:solidFill>
              <a:schemeClr val="accent2"/>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4-055B-400C-A015-FDF4A2FAFA4D}"/>
                </c:ext>
              </c:extLst>
            </c:dLbl>
            <c:dLbl>
              <c:idx val="1"/>
              <c:delete val="1"/>
              <c:extLst>
                <c:ext xmlns:c15="http://schemas.microsoft.com/office/drawing/2012/chart" uri="{CE6537A1-D6FC-4f65-9D91-7224C49458BB}"/>
                <c:ext xmlns:c16="http://schemas.microsoft.com/office/drawing/2014/chart" uri="{C3380CC4-5D6E-409C-BE32-E72D297353CC}">
                  <c16:uniqueId val="{00000005-055B-400C-A015-FDF4A2FAFA4D}"/>
                </c:ext>
              </c:extLst>
            </c:dLbl>
            <c:dLbl>
              <c:idx val="2"/>
              <c:delete val="1"/>
              <c:extLst>
                <c:ext xmlns:c15="http://schemas.microsoft.com/office/drawing/2012/chart" uri="{CE6537A1-D6FC-4f65-9D91-7224C49458BB}"/>
                <c:ext xmlns:c16="http://schemas.microsoft.com/office/drawing/2014/chart" uri="{C3380CC4-5D6E-409C-BE32-E72D297353CC}">
                  <c16:uniqueId val="{00000006-055B-400C-A015-FDF4A2FAFA4D}"/>
                </c:ext>
              </c:extLst>
            </c:dLbl>
            <c:dLbl>
              <c:idx val="3"/>
              <c:delete val="1"/>
              <c:extLst>
                <c:ext xmlns:c15="http://schemas.microsoft.com/office/drawing/2012/chart" uri="{CE6537A1-D6FC-4f65-9D91-7224C49458BB}"/>
                <c:ext xmlns:c16="http://schemas.microsoft.com/office/drawing/2014/chart" uri="{C3380CC4-5D6E-409C-BE32-E72D297353CC}">
                  <c16:uniqueId val="{00000007-055B-400C-A015-FDF4A2FAFA4D}"/>
                </c:ext>
              </c:extLst>
            </c:dLbl>
            <c:dLbl>
              <c:idx val="4"/>
              <c:delete val="1"/>
              <c:extLst>
                <c:ext xmlns:c15="http://schemas.microsoft.com/office/drawing/2012/chart" uri="{CE6537A1-D6FC-4f65-9D91-7224C49458BB}"/>
                <c:ext xmlns:c16="http://schemas.microsoft.com/office/drawing/2014/chart" uri="{C3380CC4-5D6E-409C-BE32-E72D297353CC}">
                  <c16:uniqueId val="{00000008-055B-400C-A015-FDF4A2FAFA4D}"/>
                </c:ext>
              </c:extLst>
            </c:dLbl>
            <c:dLbl>
              <c:idx val="5"/>
              <c:delete val="1"/>
              <c:extLst>
                <c:ext xmlns:c15="http://schemas.microsoft.com/office/drawing/2012/chart" uri="{CE6537A1-D6FC-4f65-9D91-7224C49458BB}"/>
                <c:ext xmlns:c16="http://schemas.microsoft.com/office/drawing/2014/chart" uri="{C3380CC4-5D6E-409C-BE32-E72D297353CC}">
                  <c16:uniqueId val="{00000009-055B-400C-A015-FDF4A2FAFA4D}"/>
                </c:ext>
              </c:extLst>
            </c:dLbl>
            <c:dLbl>
              <c:idx val="6"/>
              <c:delete val="1"/>
              <c:extLst>
                <c:ext xmlns:c15="http://schemas.microsoft.com/office/drawing/2012/chart" uri="{CE6537A1-D6FC-4f65-9D91-7224C49458BB}"/>
                <c:ext xmlns:c16="http://schemas.microsoft.com/office/drawing/2014/chart" uri="{C3380CC4-5D6E-409C-BE32-E72D297353CC}">
                  <c16:uniqueId val="{0000000A-055B-400C-A015-FDF4A2FAFA4D}"/>
                </c:ext>
              </c:extLst>
            </c:dLbl>
            <c:dLbl>
              <c:idx val="7"/>
              <c:delete val="1"/>
              <c:extLst>
                <c:ext xmlns:c15="http://schemas.microsoft.com/office/drawing/2012/chart" uri="{CE6537A1-D6FC-4f65-9D91-7224C49458BB}"/>
                <c:ext xmlns:c16="http://schemas.microsoft.com/office/drawing/2014/chart" uri="{C3380CC4-5D6E-409C-BE32-E72D297353CC}">
                  <c16:uniqueId val="{0000000B-055B-400C-A015-FDF4A2FAFA4D}"/>
                </c:ext>
              </c:extLst>
            </c:dLbl>
            <c:dLbl>
              <c:idx val="8"/>
              <c:delete val="1"/>
              <c:extLst>
                <c:ext xmlns:c15="http://schemas.microsoft.com/office/drawing/2012/chart" uri="{CE6537A1-D6FC-4f65-9D91-7224C49458BB}"/>
                <c:ext xmlns:c16="http://schemas.microsoft.com/office/drawing/2014/chart" uri="{C3380CC4-5D6E-409C-BE32-E72D297353CC}">
                  <c16:uniqueId val="{0000000C-055B-400C-A015-FDF4A2FAFA4D}"/>
                </c:ext>
              </c:extLst>
            </c:dLbl>
            <c:dLbl>
              <c:idx val="9"/>
              <c:delete val="1"/>
              <c:extLst>
                <c:ext xmlns:c15="http://schemas.microsoft.com/office/drawing/2012/chart" uri="{CE6537A1-D6FC-4f65-9D91-7224C49458BB}"/>
                <c:ext xmlns:c16="http://schemas.microsoft.com/office/drawing/2014/chart" uri="{C3380CC4-5D6E-409C-BE32-E72D297353CC}">
                  <c16:uniqueId val="{0000000D-055B-400C-A015-FDF4A2FAFA4D}"/>
                </c:ext>
              </c:extLst>
            </c:dLbl>
            <c:dLbl>
              <c:idx val="10"/>
              <c:delete val="1"/>
              <c:extLst>
                <c:ext xmlns:c15="http://schemas.microsoft.com/office/drawing/2012/chart" uri="{CE6537A1-D6FC-4f65-9D91-7224C49458BB}"/>
                <c:ext xmlns:c16="http://schemas.microsoft.com/office/drawing/2014/chart" uri="{C3380CC4-5D6E-409C-BE32-E72D297353CC}">
                  <c16:uniqueId val="{0000000E-055B-400C-A015-FDF4A2FAFA4D}"/>
                </c:ext>
              </c:extLst>
            </c:dLbl>
            <c:dLbl>
              <c:idx val="11"/>
              <c:delete val="1"/>
              <c:extLst>
                <c:ext xmlns:c15="http://schemas.microsoft.com/office/drawing/2012/chart" uri="{CE6537A1-D6FC-4f65-9D91-7224C49458BB}"/>
                <c:ext xmlns:c16="http://schemas.microsoft.com/office/drawing/2014/chart" uri="{C3380CC4-5D6E-409C-BE32-E72D297353CC}">
                  <c16:uniqueId val="{0000000F-055B-400C-A015-FDF4A2FAFA4D}"/>
                </c:ext>
              </c:extLst>
            </c:dLbl>
            <c:dLbl>
              <c:idx val="12"/>
              <c:delete val="1"/>
              <c:extLst>
                <c:ext xmlns:c15="http://schemas.microsoft.com/office/drawing/2012/chart" uri="{CE6537A1-D6FC-4f65-9D91-7224C49458BB}"/>
                <c:ext xmlns:c16="http://schemas.microsoft.com/office/drawing/2014/chart" uri="{C3380CC4-5D6E-409C-BE32-E72D297353CC}">
                  <c16:uniqueId val="{00000010-055B-400C-A015-FDF4A2FAFA4D}"/>
                </c:ext>
              </c:extLst>
            </c:dLbl>
            <c:dLbl>
              <c:idx val="13"/>
              <c:delete val="1"/>
              <c:extLst>
                <c:ext xmlns:c15="http://schemas.microsoft.com/office/drawing/2012/chart" uri="{CE6537A1-D6FC-4f65-9D91-7224C49458BB}"/>
                <c:ext xmlns:c16="http://schemas.microsoft.com/office/drawing/2014/chart" uri="{C3380CC4-5D6E-409C-BE32-E72D297353CC}">
                  <c16:uniqueId val="{00000012-055B-400C-A015-FDF4A2FAFA4D}"/>
                </c:ext>
              </c:extLst>
            </c:dLbl>
            <c:dLbl>
              <c:idx val="14"/>
              <c:delete val="1"/>
              <c:extLst>
                <c:ext xmlns:c15="http://schemas.microsoft.com/office/drawing/2012/chart" uri="{CE6537A1-D6FC-4f65-9D91-7224C49458BB}"/>
                <c:ext xmlns:c16="http://schemas.microsoft.com/office/drawing/2014/chart" uri="{C3380CC4-5D6E-409C-BE32-E72D297353CC}">
                  <c16:uniqueId val="{00000013-055B-400C-A015-FDF4A2FAFA4D}"/>
                </c:ext>
              </c:extLst>
            </c:dLbl>
            <c:dLbl>
              <c:idx val="15"/>
              <c:delete val="1"/>
              <c:extLst>
                <c:ext xmlns:c15="http://schemas.microsoft.com/office/drawing/2012/chart" uri="{CE6537A1-D6FC-4f65-9D91-7224C49458BB}"/>
                <c:ext xmlns:c16="http://schemas.microsoft.com/office/drawing/2014/chart" uri="{C3380CC4-5D6E-409C-BE32-E72D297353CC}">
                  <c16:uniqueId val="{00000014-055B-400C-A015-FDF4A2FAFA4D}"/>
                </c:ext>
              </c:extLst>
            </c:dLbl>
            <c:dLbl>
              <c:idx val="16"/>
              <c:delete val="1"/>
              <c:extLst>
                <c:ext xmlns:c15="http://schemas.microsoft.com/office/drawing/2012/chart" uri="{CE6537A1-D6FC-4f65-9D91-7224C49458BB}"/>
                <c:ext xmlns:c16="http://schemas.microsoft.com/office/drawing/2014/chart" uri="{C3380CC4-5D6E-409C-BE32-E72D297353CC}">
                  <c16:uniqueId val="{00000015-055B-400C-A015-FDF4A2FAFA4D}"/>
                </c:ext>
              </c:extLst>
            </c:dLbl>
            <c:dLbl>
              <c:idx val="17"/>
              <c:delete val="1"/>
              <c:extLst>
                <c:ext xmlns:c15="http://schemas.microsoft.com/office/drawing/2012/chart" uri="{CE6537A1-D6FC-4f65-9D91-7224C49458BB}"/>
                <c:ext xmlns:c16="http://schemas.microsoft.com/office/drawing/2014/chart" uri="{C3380CC4-5D6E-409C-BE32-E72D297353CC}">
                  <c16:uniqueId val="{00000016-055B-400C-A015-FDF4A2FAFA4D}"/>
                </c:ext>
              </c:extLst>
            </c:dLbl>
            <c:dLbl>
              <c:idx val="18"/>
              <c:delete val="1"/>
              <c:extLst>
                <c:ext xmlns:c15="http://schemas.microsoft.com/office/drawing/2012/chart" uri="{CE6537A1-D6FC-4f65-9D91-7224C49458BB}"/>
                <c:ext xmlns:c16="http://schemas.microsoft.com/office/drawing/2014/chart" uri="{C3380CC4-5D6E-409C-BE32-E72D297353CC}">
                  <c16:uniqueId val="{00000017-055B-400C-A015-FDF4A2FAFA4D}"/>
                </c:ext>
              </c:extLst>
            </c:dLbl>
            <c:dLbl>
              <c:idx val="19"/>
              <c:delete val="1"/>
              <c:extLst>
                <c:ext xmlns:c15="http://schemas.microsoft.com/office/drawing/2012/chart" uri="{CE6537A1-D6FC-4f65-9D91-7224C49458BB}"/>
                <c:ext xmlns:c16="http://schemas.microsoft.com/office/drawing/2014/chart" uri="{C3380CC4-5D6E-409C-BE32-E72D297353CC}">
                  <c16:uniqueId val="{00000018-055B-400C-A015-FDF4A2FAFA4D}"/>
                </c:ext>
              </c:extLst>
            </c:dLbl>
            <c:dLbl>
              <c:idx val="20"/>
              <c:delete val="1"/>
              <c:extLst>
                <c:ext xmlns:c15="http://schemas.microsoft.com/office/drawing/2012/chart" uri="{CE6537A1-D6FC-4f65-9D91-7224C49458BB}"/>
                <c:ext xmlns:c16="http://schemas.microsoft.com/office/drawing/2014/chart" uri="{C3380CC4-5D6E-409C-BE32-E72D297353CC}">
                  <c16:uniqueId val="{00000019-055B-400C-A015-FDF4A2FAFA4D}"/>
                </c:ext>
              </c:extLst>
            </c:dLbl>
            <c:dLbl>
              <c:idx val="21"/>
              <c:delete val="1"/>
              <c:extLst>
                <c:ext xmlns:c15="http://schemas.microsoft.com/office/drawing/2012/chart" uri="{CE6537A1-D6FC-4f65-9D91-7224C49458BB}"/>
                <c:ext xmlns:c16="http://schemas.microsoft.com/office/drawing/2014/chart" uri="{C3380CC4-5D6E-409C-BE32-E72D297353CC}">
                  <c16:uniqueId val="{0000001A-055B-400C-A015-FDF4A2FAFA4D}"/>
                </c:ext>
              </c:extLst>
            </c:dLbl>
            <c:dLbl>
              <c:idx val="22"/>
              <c:layout>
                <c:manualLayout>
                  <c:x val="-3.0621668085229505E-2"/>
                  <c:y val="-1.8489275734790995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fld id="{504E2F58-E0BF-44C5-85CE-0C2B69BB3B02}" type="CELLRANGE">
                      <a:rPr lang="en-US" b="1">
                        <a:solidFill>
                          <a:schemeClr val="accent2"/>
                        </a:solidFill>
                      </a:rPr>
                      <a:pPr>
                        <a:defRPr b="1">
                          <a:solidFill>
                            <a:schemeClr val="accent2"/>
                          </a:solidFill>
                        </a:defRPr>
                      </a:pPr>
                      <a:t>[CELLRANGE]</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55B-400C-A015-FDF4A2FAFA4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strRef>
              <c:extLst>
                <c:ext xmlns:c15="http://schemas.microsoft.com/office/drawing/2012/chart" uri="{02D57815-91ED-43cb-92C2-25804820EDAC}">
                  <c15:fullRef>
                    <c15:sqref>'Footprint Summary'!$B$153:$B$176</c15:sqref>
                  </c15:fullRef>
                </c:ext>
              </c:extLst>
              <c:f>('Footprint Summary'!$B$153:$B$165,'Footprint Summary'!$B$167:$B$176)</c:f>
              <c:strCache>
                <c:ptCount val="23"/>
                <c:pt idx="0">
                  <c:v>1 Market Street</c:v>
                </c:pt>
                <c:pt idx="1">
                  <c:v>120 Collins Street</c:v>
                </c:pt>
                <c:pt idx="2">
                  <c:v>126 Phillip Street</c:v>
                </c:pt>
                <c:pt idx="3">
                  <c:v>117 Clarence Street</c:v>
                </c:pt>
                <c:pt idx="4">
                  <c:v>135 King Street</c:v>
                </c:pt>
                <c:pt idx="5">
                  <c:v>201 Kent Street</c:v>
                </c:pt>
                <c:pt idx="6">
                  <c:v>259 Queen Street</c:v>
                </c:pt>
                <c:pt idx="7">
                  <c:v>347 Kent Street</c:v>
                </c:pt>
                <c:pt idx="8">
                  <c:v>40 Mount Street</c:v>
                </c:pt>
                <c:pt idx="9">
                  <c:v>420 George Street</c:v>
                </c:pt>
                <c:pt idx="10">
                  <c:v>567 Collins Street</c:v>
                </c:pt>
                <c:pt idx="11">
                  <c:v>60 Martin Place</c:v>
                </c:pt>
                <c:pt idx="12">
                  <c:v>151 Clarence Street</c:v>
                </c:pt>
                <c:pt idx="13">
                  <c:v>20 Bridge Street</c:v>
                </c:pt>
                <c:pt idx="14">
                  <c:v>179 Turbot Street</c:v>
                </c:pt>
                <c:pt idx="15">
                  <c:v>105 Miller Street</c:v>
                </c:pt>
                <c:pt idx="16">
                  <c:v>QV1</c:v>
                </c:pt>
                <c:pt idx="17">
                  <c:v>388 George Street</c:v>
                </c:pt>
                <c:pt idx="18">
                  <c:v>130 Pitt Street</c:v>
                </c:pt>
                <c:pt idx="19">
                  <c:v>220 London Circuit</c:v>
                </c:pt>
                <c:pt idx="20">
                  <c:v>850 Collins Street</c:v>
                </c:pt>
                <c:pt idx="21">
                  <c:v>6 O'Connell Street</c:v>
                </c:pt>
                <c:pt idx="22">
                  <c:v>Weighted average</c:v>
                </c:pt>
              </c:strCache>
            </c:strRef>
          </c:cat>
          <c:val>
            <c:numRef>
              <c:extLst>
                <c:ext xmlns:c15="http://schemas.microsoft.com/office/drawing/2012/chart" uri="{02D57815-91ED-43cb-92C2-25804820EDAC}">
                  <c15:fullRef>
                    <c15:sqref>'Footprint Summary'!$S$153:$S$176</c15:sqref>
                  </c15:fullRef>
                </c:ext>
              </c:extLst>
              <c:f>('Footprint Summary'!$S$153:$S$165,'Footprint Summary'!$S$167:$S$176)</c:f>
              <c:numCache>
                <c:formatCode>0.00\ "Stars"</c:formatCode>
                <c:ptCount val="23"/>
                <c:pt idx="0">
                  <c:v>0.61006231566884495</c:v>
                </c:pt>
                <c:pt idx="1">
                  <c:v>0</c:v>
                </c:pt>
                <c:pt idx="2">
                  <c:v>0.44474504171992635</c:v>
                </c:pt>
                <c:pt idx="3">
                  <c:v>0</c:v>
                </c:pt>
                <c:pt idx="4">
                  <c:v>0.17642231440583611</c:v>
                </c:pt>
                <c:pt idx="5">
                  <c:v>0.94582489730038333</c:v>
                </c:pt>
                <c:pt idx="6">
                  <c:v>0.17991619963922201</c:v>
                </c:pt>
                <c:pt idx="7">
                  <c:v>0.18709026065759904</c:v>
                </c:pt>
                <c:pt idx="8">
                  <c:v>4.4615220511619924E-2</c:v>
                </c:pt>
                <c:pt idx="9">
                  <c:v>0.25813793110786509</c:v>
                </c:pt>
                <c:pt idx="10">
                  <c:v>0.28825237295156914</c:v>
                </c:pt>
                <c:pt idx="11">
                  <c:v>0</c:v>
                </c:pt>
                <c:pt idx="12">
                  <c:v>-6.353311938542916E-2</c:v>
                </c:pt>
                <c:pt idx="13">
                  <c:v>0.5364640052827685</c:v>
                </c:pt>
                <c:pt idx="14">
                  <c:v>6.4702875189864173E-2</c:v>
                </c:pt>
                <c:pt idx="15">
                  <c:v>0</c:v>
                </c:pt>
                <c:pt idx="16">
                  <c:v>-2.8036454252667653E-2</c:v>
                </c:pt>
                <c:pt idx="17">
                  <c:v>0</c:v>
                </c:pt>
                <c:pt idx="18">
                  <c:v>0</c:v>
                </c:pt>
                <c:pt idx="19">
                  <c:v>0</c:v>
                </c:pt>
                <c:pt idx="20">
                  <c:v>1.0708189958077634</c:v>
                </c:pt>
                <c:pt idx="21">
                  <c:v>1.008784775545541</c:v>
                </c:pt>
                <c:pt idx="22">
                  <c:v>0.23741770953644004</c:v>
                </c:pt>
              </c:numCache>
            </c:numRef>
          </c:val>
          <c:extLst>
            <c:ext xmlns:c15="http://schemas.microsoft.com/office/drawing/2012/chart" uri="{02D57815-91ED-43cb-92C2-25804820EDAC}">
              <c15:datalabelsRange>
                <c15:f>'Footprint Summary'!$R$153:$R$176</c15:f>
                <c15:dlblRangeCache>
                  <c:ptCount val="24"/>
                  <c:pt idx="0">
                    <c:v> 5.77 </c:v>
                  </c:pt>
                  <c:pt idx="1">
                    <c:v> 4.21 </c:v>
                  </c:pt>
                  <c:pt idx="2">
                    <c:v> 5.63 </c:v>
                  </c:pt>
                  <c:pt idx="3">
                    <c:v> 5.32 </c:v>
                  </c:pt>
                  <c:pt idx="4">
                    <c:v> 5.73 </c:v>
                  </c:pt>
                  <c:pt idx="5">
                    <c:v> 6.48 </c:v>
                  </c:pt>
                  <c:pt idx="6">
                    <c:v> 5.66 </c:v>
                  </c:pt>
                  <c:pt idx="7">
                    <c:v> 5.55 </c:v>
                  </c:pt>
                  <c:pt idx="8">
                    <c:v> 5.87 </c:v>
                  </c:pt>
                  <c:pt idx="9">
                    <c:v> 5.71 </c:v>
                  </c:pt>
                  <c:pt idx="10">
                    <c:v> 6.00 </c:v>
                  </c:pt>
                  <c:pt idx="11">
                    <c:v> 5.27 </c:v>
                  </c:pt>
                  <c:pt idx="12">
                    <c:v> 5.61 </c:v>
                  </c:pt>
                  <c:pt idx="14">
                    <c:v> 5.26 </c:v>
                  </c:pt>
                  <c:pt idx="15">
                    <c:v> 5.18 </c:v>
                  </c:pt>
                  <c:pt idx="16">
                    <c:v> 5.84 </c:v>
                  </c:pt>
                  <c:pt idx="17">
                    <c:v> 5.62 </c:v>
                  </c:pt>
                  <c:pt idx="18">
                    <c:v> 5.05 </c:v>
                  </c:pt>
                  <c:pt idx="19">
                    <c:v> 4.53 </c:v>
                  </c:pt>
                  <c:pt idx="20">
                    <c:v> 4.79 </c:v>
                  </c:pt>
                  <c:pt idx="21">
                    <c:v> 5.91 </c:v>
                  </c:pt>
                  <c:pt idx="22">
                    <c:v> 5.77 </c:v>
                  </c:pt>
                  <c:pt idx="23">
                    <c:v> 5.47 </c:v>
                  </c:pt>
                </c15:dlblRangeCache>
              </c15:datalabelsRange>
            </c:ext>
            <c:ext xmlns:c16="http://schemas.microsoft.com/office/drawing/2014/chart" uri="{C3380CC4-5D6E-409C-BE32-E72D297353CC}">
              <c16:uniqueId val="{00000001-055B-400C-A015-FDF4A2FAFA4D}"/>
            </c:ext>
          </c:extLst>
        </c:ser>
        <c:dLbls>
          <c:showLegendKey val="0"/>
          <c:showVal val="0"/>
          <c:showCatName val="0"/>
          <c:showSerName val="0"/>
          <c:showPercent val="0"/>
          <c:showBubbleSize val="0"/>
        </c:dLbls>
        <c:gapWidth val="150"/>
        <c:overlap val="100"/>
        <c:axId val="2043711392"/>
        <c:axId val="2043705152"/>
      </c:barChart>
      <c:catAx>
        <c:axId val="204371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705152"/>
        <c:crosses val="autoZero"/>
        <c:auto val="1"/>
        <c:lblAlgn val="ctr"/>
        <c:lblOffset val="100"/>
        <c:noMultiLvlLbl val="0"/>
      </c:catAx>
      <c:valAx>
        <c:axId val="2043705152"/>
        <c:scaling>
          <c:orientation val="minMax"/>
          <c:min val="4"/>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7113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Electricity Costs ($)</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'Costs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'Costs Summary'!$G$27:$R$27</c:f>
              <c:numCache>
                <c:formatCode>"$"#,##0</c:formatCode>
                <c:ptCount val="12"/>
                <c:pt idx="0">
                  <c:v>7044174.3691999987</c:v>
                </c:pt>
                <c:pt idx="1">
                  <c:v>8696294.7386145871</c:v>
                </c:pt>
                <c:pt idx="2">
                  <c:v>9000665.0544660967</c:v>
                </c:pt>
                <c:pt idx="3">
                  <c:v>8859818.7990607694</c:v>
                </c:pt>
                <c:pt idx="4">
                  <c:v>8915049.2497001924</c:v>
                </c:pt>
                <c:pt idx="5">
                  <c:v>8881146.8597766068</c:v>
                </c:pt>
                <c:pt idx="6">
                  <c:v>9191986.9998687841</c:v>
                </c:pt>
                <c:pt idx="7">
                  <c:v>9601192.7715954687</c:v>
                </c:pt>
                <c:pt idx="8">
                  <c:v>11204870.241860496</c:v>
                </c:pt>
                <c:pt idx="9">
                  <c:v>11075855.643404426</c:v>
                </c:pt>
                <c:pt idx="10">
                  <c:v>11463510.590923581</c:v>
                </c:pt>
                <c:pt idx="11">
                  <c:v>11759180.145549199</c:v>
                </c:pt>
              </c:numCache>
            </c:numRef>
          </c:val>
          <c:extLst>
            <c:ext xmlns:c16="http://schemas.microsoft.com/office/drawing/2014/chart" uri="{C3380CC4-5D6E-409C-BE32-E72D297353CC}">
              <c16:uniqueId val="{00000000-CF09-4875-9D7E-824B2395E361}"/>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Portfolio Gas Cost</a:t>
            </a:r>
            <a:r>
              <a:rPr lang="en-AU" baseline="0"/>
              <a:t> </a:t>
            </a:r>
            <a:r>
              <a:rPr lang="en-AU"/>
              <a:t>($)</a:t>
            </a:r>
          </a:p>
        </c:rich>
      </c:tx>
      <c:layout>
        <c:manualLayout>
          <c:xMode val="edge"/>
          <c:yMode val="edge"/>
          <c:x val="1.0839864619380088E-2"/>
          <c:y val="4.839684498300013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'Costs Summary'!$G$3:$R$3</c:f>
              <c:strCache>
                <c:ptCount val="12"/>
                <c:pt idx="0">
                  <c:v>BASE</c:v>
                </c:pt>
                <c:pt idx="1">
                  <c:v>CURRENT</c:v>
                </c:pt>
                <c:pt idx="2">
                  <c:v>FY25</c:v>
                </c:pt>
                <c:pt idx="3">
                  <c:v>FY26</c:v>
                </c:pt>
                <c:pt idx="4">
                  <c:v>FY27</c:v>
                </c:pt>
                <c:pt idx="5">
                  <c:v>FY28</c:v>
                </c:pt>
                <c:pt idx="6">
                  <c:v>FY29</c:v>
                </c:pt>
                <c:pt idx="7">
                  <c:v>FY30</c:v>
                </c:pt>
                <c:pt idx="8">
                  <c:v>FY31</c:v>
                </c:pt>
                <c:pt idx="9">
                  <c:v>FY32</c:v>
                </c:pt>
                <c:pt idx="10">
                  <c:v>FY33</c:v>
                </c:pt>
                <c:pt idx="11">
                  <c:v>FY34</c:v>
                </c:pt>
              </c:strCache>
            </c:strRef>
          </c:cat>
          <c:val>
            <c:numRef>
              <c:f>'Costs Summary'!$G$56:$R$56</c:f>
              <c:numCache>
                <c:formatCode>"$"#,##0</c:formatCode>
                <c:ptCount val="12"/>
                <c:pt idx="0">
                  <c:v>1076528.1579999998</c:v>
                </c:pt>
                <c:pt idx="1">
                  <c:v>1216095.0288456944</c:v>
                </c:pt>
                <c:pt idx="2">
                  <c:v>1252577.879711065</c:v>
                </c:pt>
                <c:pt idx="3">
                  <c:v>1261041.1396925282</c:v>
                </c:pt>
                <c:pt idx="4">
                  <c:v>1272641.0942833808</c:v>
                </c:pt>
                <c:pt idx="5">
                  <c:v>1274131.609103621</c:v>
                </c:pt>
                <c:pt idx="6">
                  <c:v>1292158.0981212023</c:v>
                </c:pt>
                <c:pt idx="7">
                  <c:v>1181061.0172030502</c:v>
                </c:pt>
                <c:pt idx="8">
                  <c:v>1130489.5990526793</c:v>
                </c:pt>
                <c:pt idx="9">
                  <c:v>1110422.0168951671</c:v>
                </c:pt>
                <c:pt idx="10">
                  <c:v>1104540.2956129143</c:v>
                </c:pt>
                <c:pt idx="11">
                  <c:v>1118004.8635929311</c:v>
                </c:pt>
              </c:numCache>
            </c:numRef>
          </c:val>
          <c:extLst>
            <c:ext xmlns:c16="http://schemas.microsoft.com/office/drawing/2014/chart" uri="{C3380CC4-5D6E-409C-BE32-E72D297353CC}">
              <c16:uniqueId val="{00000000-F001-45B2-97F8-E9495CB1634B}"/>
            </c:ext>
          </c:extLst>
        </c:ser>
        <c:dLbls>
          <c:showLegendKey val="0"/>
          <c:showVal val="0"/>
          <c:showCatName val="0"/>
          <c:showSerName val="0"/>
          <c:showPercent val="0"/>
          <c:showBubbleSize val="0"/>
        </c:dLbls>
        <c:gapWidth val="219"/>
        <c:overlap val="-27"/>
        <c:axId val="519557503"/>
        <c:axId val="519559167"/>
      </c:barChart>
      <c:catAx>
        <c:axId val="519557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9167"/>
        <c:crosses val="autoZero"/>
        <c:auto val="1"/>
        <c:lblAlgn val="ctr"/>
        <c:lblOffset val="100"/>
        <c:noMultiLvlLbl val="0"/>
      </c:catAx>
      <c:valAx>
        <c:axId val="51955916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5575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Weighted-average</a:t>
            </a:r>
            <a:r>
              <a:rPr lang="en-AU" baseline="0"/>
              <a:t> NABERS Energy Ratings by Entity</a:t>
            </a:r>
            <a:endParaRPr lang="en-AU"/>
          </a:p>
        </c:rich>
      </c:tx>
      <c:layout>
        <c:manualLayout>
          <c:xMode val="edge"/>
          <c:yMode val="edge"/>
          <c:x val="1.5994803561088993E-2"/>
          <c:y val="1.84757505773672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'Costs Summary'!$F$117</c:f>
              <c:strCache>
                <c:ptCount val="1"/>
                <c:pt idx="0">
                  <c:v>ICPF</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D494-4D63-A43A-47FF7990EFEE}"/>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94-4D63-A43A-47FF7990EFEE}"/>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494-4D63-A43A-47FF7990EF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'Costs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'Costs Summary'!$H$117:$Q$117</c:f>
              <c:numCache>
                <c:formatCode>_(* #,##0.00_);_(* \(#,##0.00\);_(* "-"??_);_(@_)</c:formatCode>
                <c:ptCount val="10"/>
                <c:pt idx="0">
                  <c:v>5.3176204560882487</c:v>
                </c:pt>
                <c:pt idx="1">
                  <c:v>5.3281424446463896</c:v>
                </c:pt>
                <c:pt idx="2">
                  <c:v>5.4093800702805277</c:v>
                </c:pt>
                <c:pt idx="3">
                  <c:v>5.4152992370363968</c:v>
                </c:pt>
                <c:pt idx="4">
                  <c:v>5.4545895729695646</c:v>
                </c:pt>
                <c:pt idx="5">
                  <c:v>5.4717226360180655</c:v>
                </c:pt>
                <c:pt idx="6">
                  <c:v>5.4738277044380599</c:v>
                </c:pt>
                <c:pt idx="7">
                  <c:v>5.5024769757371459</c:v>
                </c:pt>
                <c:pt idx="8">
                  <c:v>5.5314636247029805</c:v>
                </c:pt>
                <c:pt idx="9">
                  <c:v>5.5808330944168913</c:v>
                </c:pt>
              </c:numCache>
            </c:numRef>
          </c:val>
          <c:smooth val="0"/>
          <c:extLst>
            <c:ext xmlns:c16="http://schemas.microsoft.com/office/drawing/2014/chart" uri="{C3380CC4-5D6E-409C-BE32-E72D297353CC}">
              <c16:uniqueId val="{00000003-D494-4D63-A43A-47FF7990EFEE}"/>
            </c:ext>
          </c:extLst>
        </c:ser>
        <c:ser>
          <c:idx val="1"/>
          <c:order val="1"/>
          <c:tx>
            <c:strRef>
              <c:f>'Costs Summary'!$F$118</c:f>
              <c:strCache>
                <c:ptCount val="1"/>
                <c:pt idx="0">
                  <c:v>IGO</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D494-4D63-A43A-47FF7990EFEE}"/>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94-4D63-A43A-47FF7990EFEE}"/>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494-4D63-A43A-47FF7990EF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'Costs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'Costs Summary'!$H$118:$Q$118</c:f>
              <c:numCache>
                <c:formatCode>_(* #,##0.00_);_(* \(#,##0.00\);_(* "-"??_);_(@_)</c:formatCode>
                <c:ptCount val="10"/>
                <c:pt idx="0">
                  <c:v>5.5453469264385484</c:v>
                </c:pt>
                <c:pt idx="1">
                  <c:v>5.5545141085133904</c:v>
                </c:pt>
                <c:pt idx="2">
                  <c:v>5.5768147412565376</c:v>
                </c:pt>
                <c:pt idx="3">
                  <c:v>5.6273990696655734</c:v>
                </c:pt>
                <c:pt idx="4">
                  <c:v>5.6492998976381275</c:v>
                </c:pt>
                <c:pt idx="5">
                  <c:v>5.6653052284825076</c:v>
                </c:pt>
                <c:pt idx="6">
                  <c:v>5.6695200635431631</c:v>
                </c:pt>
                <c:pt idx="7">
                  <c:v>5.6907686897090111</c:v>
                </c:pt>
                <c:pt idx="8">
                  <c:v>5.6907686897090111</c:v>
                </c:pt>
                <c:pt idx="9">
                  <c:v>5.6872069498728566</c:v>
                </c:pt>
              </c:numCache>
            </c:numRef>
          </c:val>
          <c:smooth val="0"/>
          <c:extLst>
            <c:ext xmlns:c16="http://schemas.microsoft.com/office/drawing/2014/chart" uri="{C3380CC4-5D6E-409C-BE32-E72D297353CC}">
              <c16:uniqueId val="{00000007-D494-4D63-A43A-47FF7990EFEE}"/>
            </c:ext>
          </c:extLst>
        </c:ser>
        <c:ser>
          <c:idx val="2"/>
          <c:order val="2"/>
          <c:tx>
            <c:strRef>
              <c:f>'Costs Summary'!$F$119</c:f>
              <c:strCache>
                <c:ptCount val="1"/>
                <c:pt idx="0">
                  <c:v>IOM</c:v>
                </c:pt>
              </c:strCache>
            </c:strRef>
          </c:tx>
          <c:spPr>
            <a:ln w="28575" cap="rnd">
              <a:solidFill>
                <a:schemeClr val="accent3"/>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D494-4D63-A43A-47FF7990EFEE}"/>
                </c:ext>
              </c:extLst>
            </c:dLbl>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494-4D63-A43A-47FF7990EFEE}"/>
                </c:ext>
              </c:extLst>
            </c:dLbl>
            <c:dLbl>
              <c:idx val="9"/>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494-4D63-A43A-47FF7990EFE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3"/>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'Costs Summary'!$G$116:$P$116</c:f>
              <c:strCache>
                <c:ptCount val="10"/>
                <c:pt idx="0">
                  <c:v>BASE</c:v>
                </c:pt>
                <c:pt idx="1">
                  <c:v>CURRENT</c:v>
                </c:pt>
                <c:pt idx="2">
                  <c:v>FY25</c:v>
                </c:pt>
                <c:pt idx="3">
                  <c:v>FY26</c:v>
                </c:pt>
                <c:pt idx="4">
                  <c:v>FY27</c:v>
                </c:pt>
                <c:pt idx="5">
                  <c:v>FY28</c:v>
                </c:pt>
                <c:pt idx="6">
                  <c:v>FY29</c:v>
                </c:pt>
                <c:pt idx="7">
                  <c:v>FY30</c:v>
                </c:pt>
                <c:pt idx="8">
                  <c:v>FY31</c:v>
                </c:pt>
                <c:pt idx="9">
                  <c:v>FY32</c:v>
                </c:pt>
              </c:strCache>
            </c:strRef>
          </c:cat>
          <c:val>
            <c:numRef>
              <c:f>'Costs Summary'!$H$119:$Q$119</c:f>
              <c:numCache>
                <c:formatCode>_(* #,##0.00_);_(* \(#,##0.00\);_(* "-"??_);_(@_)</c:formatCode>
                <c:ptCount val="10"/>
                <c:pt idx="0">
                  <c:v>5.2295687653208027</c:v>
                </c:pt>
                <c:pt idx="1">
                  <c:v>5.2570175494020654</c:v>
                </c:pt>
                <c:pt idx="2">
                  <c:v>5.3302001849852072</c:v>
                </c:pt>
                <c:pt idx="3">
                  <c:v>5.3527771494205814</c:v>
                </c:pt>
                <c:pt idx="4">
                  <c:v>5.3894703426632438</c:v>
                </c:pt>
                <c:pt idx="5">
                  <c:v>5.4048862550840608</c:v>
                </c:pt>
                <c:pt idx="6">
                  <c:v>5.4069806825958802</c:v>
                </c:pt>
                <c:pt idx="7">
                  <c:v>5.4534710744337787</c:v>
                </c:pt>
                <c:pt idx="8">
                  <c:v>5.4733915600829484</c:v>
                </c:pt>
                <c:pt idx="9">
                  <c:v>5.5047975807982308</c:v>
                </c:pt>
              </c:numCache>
            </c:numRef>
          </c:val>
          <c:smooth val="0"/>
          <c:extLst>
            <c:ext xmlns:c16="http://schemas.microsoft.com/office/drawing/2014/chart" uri="{C3380CC4-5D6E-409C-BE32-E72D297353CC}">
              <c16:uniqueId val="{0000000B-D494-4D63-A43A-47FF7990EFEE}"/>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5.75"/>
          <c:min val="5.25"/>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Capital Costs ($)</a:t>
            </a:r>
          </a:p>
        </c:rich>
      </c:tx>
      <c:layout>
        <c:manualLayout>
          <c:xMode val="edge"/>
          <c:yMode val="edge"/>
          <c:x val="1.5548861145056679E-2"/>
          <c:y val="1.8196202342725232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'Costs Summary'!$H$61:$R$61</c:f>
              <c:strCache>
                <c:ptCount val="11"/>
                <c:pt idx="0">
                  <c:v>CURRENT</c:v>
                </c:pt>
                <c:pt idx="1">
                  <c:v>FY25</c:v>
                </c:pt>
                <c:pt idx="2">
                  <c:v>FY26</c:v>
                </c:pt>
                <c:pt idx="3">
                  <c:v>FY27</c:v>
                </c:pt>
                <c:pt idx="4">
                  <c:v>FY28</c:v>
                </c:pt>
                <c:pt idx="5">
                  <c:v>FY29</c:v>
                </c:pt>
                <c:pt idx="6">
                  <c:v>FY30</c:v>
                </c:pt>
                <c:pt idx="7">
                  <c:v>FY31</c:v>
                </c:pt>
                <c:pt idx="8">
                  <c:v>FY32</c:v>
                </c:pt>
                <c:pt idx="9">
                  <c:v>FY33</c:v>
                </c:pt>
                <c:pt idx="10">
                  <c:v>FY34</c:v>
                </c:pt>
              </c:strCache>
            </c:strRef>
          </c:cat>
          <c:val>
            <c:numRef>
              <c:f>'Costs Summary'!$H$85:$R$85</c:f>
              <c:numCache>
                <c:formatCode>_-* #,##0_-;\-* #,##0_-;_-* "-"??_-;_-@_-</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C973-4B7C-9AC9-62E60EE6DC72}"/>
            </c:ext>
          </c:extLst>
        </c:ser>
        <c:dLbls>
          <c:showLegendKey val="0"/>
          <c:showVal val="0"/>
          <c:showCatName val="0"/>
          <c:showSerName val="0"/>
          <c:showPercent val="0"/>
          <c:showBubbleSize val="0"/>
        </c:dLbls>
        <c:gapWidth val="219"/>
        <c:overlap val="-27"/>
        <c:axId val="11375903"/>
        <c:axId val="11375071"/>
      </c:barChart>
      <c:catAx>
        <c:axId val="1137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5071"/>
        <c:crosses val="autoZero"/>
        <c:auto val="1"/>
        <c:lblAlgn val="ctr"/>
        <c:lblOffset val="100"/>
        <c:noMultiLvlLbl val="0"/>
      </c:catAx>
      <c:valAx>
        <c:axId val="11375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5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491996994081676E-2"/>
          <c:y val="0.12681703760120627"/>
          <c:w val="0.92415826035929405"/>
          <c:h val="0.50069104846008528"/>
        </c:manualLayout>
      </c:layout>
      <c:barChart>
        <c:barDir val="col"/>
        <c:grouping val="stacked"/>
        <c:varyColors val="0"/>
        <c:ser>
          <c:idx val="0"/>
          <c:order val="0"/>
          <c:tx>
            <c:strRef>
              <c:f>'Costs Summary'!$G$90</c:f>
              <c:strCache>
                <c:ptCount val="1"/>
                <c:pt idx="0">
                  <c:v>BASE</c:v>
                </c:pt>
              </c:strCache>
            </c:strRef>
          </c:tx>
          <c:spPr>
            <a:solidFill>
              <a:schemeClr val="accent1"/>
            </a:solidFill>
            <a:ln>
              <a:noFill/>
            </a:ln>
            <a:effectLst/>
          </c:spPr>
          <c:invertIfNegative val="0"/>
          <c:cat>
            <c:strRef>
              <c:extLst>
                <c:ext xmlns:c15="http://schemas.microsoft.com/office/drawing/2012/chart" uri="{02D57815-91ED-43cb-92C2-25804820EDAC}">
                  <c15:fullRef>
                    <c15:sqref>'Costs Summary'!$B$91:$B$114</c15:sqref>
                  </c15:fullRef>
                </c:ext>
              </c:extLst>
              <c:f>('Costs Summary'!$B$91:$B$103,'Costs Summary'!$B$105:$B$114)</c:f>
              <c:strCache>
                <c:ptCount val="23"/>
                <c:pt idx="0">
                  <c:v>1 Market Street</c:v>
                </c:pt>
                <c:pt idx="1">
                  <c:v>120 Collins Street</c:v>
                </c:pt>
                <c:pt idx="2">
                  <c:v>126 Phillip Street</c:v>
                </c:pt>
                <c:pt idx="3">
                  <c:v>117 Clarence Street</c:v>
                </c:pt>
                <c:pt idx="4">
                  <c:v>135 King Street</c:v>
                </c:pt>
                <c:pt idx="5">
                  <c:v>201 Kent Street</c:v>
                </c:pt>
                <c:pt idx="6">
                  <c:v>259 Queen Street</c:v>
                </c:pt>
                <c:pt idx="7">
                  <c:v>347 Kent Street</c:v>
                </c:pt>
                <c:pt idx="8">
                  <c:v>40 Mount Street</c:v>
                </c:pt>
                <c:pt idx="9">
                  <c:v>420 George Street</c:v>
                </c:pt>
                <c:pt idx="10">
                  <c:v>567 Collins Street</c:v>
                </c:pt>
                <c:pt idx="11">
                  <c:v>60 Martin Place</c:v>
                </c:pt>
                <c:pt idx="12">
                  <c:v>151 Clarence Street</c:v>
                </c:pt>
                <c:pt idx="13">
                  <c:v>20 Bridge Street</c:v>
                </c:pt>
                <c:pt idx="14">
                  <c:v>179 Turbot Street</c:v>
                </c:pt>
                <c:pt idx="15">
                  <c:v>105 Miller Street</c:v>
                </c:pt>
                <c:pt idx="16">
                  <c:v>QV1</c:v>
                </c:pt>
                <c:pt idx="17">
                  <c:v>388 George Street</c:v>
                </c:pt>
                <c:pt idx="18">
                  <c:v>130 Pitt Street</c:v>
                </c:pt>
                <c:pt idx="19">
                  <c:v>220 London Circuit</c:v>
                </c:pt>
                <c:pt idx="20">
                  <c:v>850 Collins Street</c:v>
                </c:pt>
                <c:pt idx="21">
                  <c:v>6 O'Connell Street</c:v>
                </c:pt>
                <c:pt idx="22">
                  <c:v>weighted average</c:v>
                </c:pt>
              </c:strCache>
            </c:strRef>
          </c:cat>
          <c:val>
            <c:numRef>
              <c:extLst>
                <c:ext xmlns:c15="http://schemas.microsoft.com/office/drawing/2012/chart" uri="{02D57815-91ED-43cb-92C2-25804820EDAC}">
                  <c15:fullRef>
                    <c15:sqref>'Costs Summary'!$G$91:$G$114</c15:sqref>
                  </c15:fullRef>
                </c:ext>
              </c:extLst>
              <c:f>('Costs Summary'!$G$91:$G$103,'Costs Summary'!$G$105:$G$114)</c:f>
              <c:numCache>
                <c:formatCode>_(* #,##0.00_);_(* \(#,##0.00\);_(* "-"??_);_(@_)</c:formatCode>
                <c:ptCount val="23"/>
                <c:pt idx="0">
                  <c:v>5.1606552665612879</c:v>
                </c:pt>
                <c:pt idx="1">
                  <c:v>4.2064719358533793</c:v>
                </c:pt>
                <c:pt idx="2">
                  <c:v>5.1893950280212673</c:v>
                </c:pt>
                <c:pt idx="3">
                  <c:v>5.3187239545911771</c:v>
                </c:pt>
                <c:pt idx="4">
                  <c:v>5.5572639747090102</c:v>
                </c:pt>
                <c:pt idx="5">
                  <c:v>5.5342721655410259</c:v>
                </c:pt>
                <c:pt idx="6">
                  <c:v>5.4825066741604607</c:v>
                </c:pt>
                <c:pt idx="7">
                  <c:v>5.1319155051013077</c:v>
                </c:pt>
                <c:pt idx="8">
                  <c:v>5.8216697801408248</c:v>
                </c:pt>
                <c:pt idx="9">
                  <c:v>5.448052881161086</c:v>
                </c:pt>
                <c:pt idx="10">
                  <c:v>5.7139636967611818</c:v>
                </c:pt>
                <c:pt idx="11">
                  <c:v>5.2669923839632133</c:v>
                </c:pt>
                <c:pt idx="12">
                  <c:v>5.6779709728409253</c:v>
                </c:pt>
                <c:pt idx="13">
                  <c:v>4.7257012393998696</c:v>
                </c:pt>
                <c:pt idx="14">
                  <c:v>5.1171842068287203</c:v>
                </c:pt>
                <c:pt idx="15">
                  <c:v>5.8446615893088083</c:v>
                </c:pt>
                <c:pt idx="16">
                  <c:v>5.8446615893088083</c:v>
                </c:pt>
                <c:pt idx="17">
                  <c:v>5.8446615893088083</c:v>
                </c:pt>
                <c:pt idx="18">
                  <c:v>4.5300065231572084</c:v>
                </c:pt>
                <c:pt idx="19">
                  <c:v>4.790932811480757</c:v>
                </c:pt>
                <c:pt idx="20">
                  <c:v>4.8364833906071016</c:v>
                </c:pt>
                <c:pt idx="21">
                  <c:v>4.7628832354859751</c:v>
                </c:pt>
                <c:pt idx="22" formatCode="_-* #,##0.0_-;\-* #,##0.0_-;_-* &quot;-&quot;??_-;_-@_-">
                  <c:v>5.3056113422834388</c:v>
                </c:pt>
              </c:numCache>
            </c:numRef>
          </c:val>
          <c:extLst>
            <c:ext xmlns:c16="http://schemas.microsoft.com/office/drawing/2014/chart" uri="{C3380CC4-5D6E-409C-BE32-E72D297353CC}">
              <c16:uniqueId val="{00000000-F7E6-4F7C-9FBB-09BBB136617E}"/>
            </c:ext>
          </c:extLst>
        </c:ser>
        <c:ser>
          <c:idx val="1"/>
          <c:order val="1"/>
          <c:tx>
            <c:strRef>
              <c:f>'Costs Summary'!$S$90</c:f>
              <c:strCache>
                <c:ptCount val="1"/>
                <c:pt idx="0">
                  <c:v>Improvement</c:v>
                </c:pt>
              </c:strCache>
            </c:strRef>
          </c:tx>
          <c:spPr>
            <a:solidFill>
              <a:schemeClr val="accent2"/>
            </a:solidFill>
            <a:ln>
              <a:noFill/>
            </a:ln>
            <a:effectLst/>
          </c:spPr>
          <c:invertIfNegative val="0"/>
          <c:cat>
            <c:strRef>
              <c:extLst>
                <c:ext xmlns:c15="http://schemas.microsoft.com/office/drawing/2012/chart" uri="{02D57815-91ED-43cb-92C2-25804820EDAC}">
                  <c15:fullRef>
                    <c15:sqref>'Costs Summary'!$B$91:$B$114</c15:sqref>
                  </c15:fullRef>
                </c:ext>
              </c:extLst>
              <c:f>('Costs Summary'!$B$91:$B$103,'Costs Summary'!$B$105:$B$114)</c:f>
              <c:strCache>
                <c:ptCount val="23"/>
                <c:pt idx="0">
                  <c:v>1 Market Street</c:v>
                </c:pt>
                <c:pt idx="1">
                  <c:v>120 Collins Street</c:v>
                </c:pt>
                <c:pt idx="2">
                  <c:v>126 Phillip Street</c:v>
                </c:pt>
                <c:pt idx="3">
                  <c:v>117 Clarence Street</c:v>
                </c:pt>
                <c:pt idx="4">
                  <c:v>135 King Street</c:v>
                </c:pt>
                <c:pt idx="5">
                  <c:v>201 Kent Street</c:v>
                </c:pt>
                <c:pt idx="6">
                  <c:v>259 Queen Street</c:v>
                </c:pt>
                <c:pt idx="7">
                  <c:v>347 Kent Street</c:v>
                </c:pt>
                <c:pt idx="8">
                  <c:v>40 Mount Street</c:v>
                </c:pt>
                <c:pt idx="9">
                  <c:v>420 George Street</c:v>
                </c:pt>
                <c:pt idx="10">
                  <c:v>567 Collins Street</c:v>
                </c:pt>
                <c:pt idx="11">
                  <c:v>60 Martin Place</c:v>
                </c:pt>
                <c:pt idx="12">
                  <c:v>151 Clarence Street</c:v>
                </c:pt>
                <c:pt idx="13">
                  <c:v>20 Bridge Street</c:v>
                </c:pt>
                <c:pt idx="14">
                  <c:v>179 Turbot Street</c:v>
                </c:pt>
                <c:pt idx="15">
                  <c:v>105 Miller Street</c:v>
                </c:pt>
                <c:pt idx="16">
                  <c:v>QV1</c:v>
                </c:pt>
                <c:pt idx="17">
                  <c:v>388 George Street</c:v>
                </c:pt>
                <c:pt idx="18">
                  <c:v>130 Pitt Street</c:v>
                </c:pt>
                <c:pt idx="19">
                  <c:v>220 London Circuit</c:v>
                </c:pt>
                <c:pt idx="20">
                  <c:v>850 Collins Street</c:v>
                </c:pt>
                <c:pt idx="21">
                  <c:v>6 O'Connell Street</c:v>
                </c:pt>
                <c:pt idx="22">
                  <c:v>weighted average</c:v>
                </c:pt>
              </c:strCache>
            </c:strRef>
          </c:cat>
          <c:val>
            <c:numRef>
              <c:extLst>
                <c:ext xmlns:c15="http://schemas.microsoft.com/office/drawing/2012/chart" uri="{02D57815-91ED-43cb-92C2-25804820EDAC}">
                  <c15:fullRef>
                    <c15:sqref>'Costs Summary'!$S$91:$S$114</c15:sqref>
                  </c15:fullRef>
                </c:ext>
              </c:extLst>
              <c:f>('Costs Summary'!$S$91:$S$103,'Costs Summary'!$S$105:$S$114)</c:f>
              <c:numCache>
                <c:formatCode>0.00</c:formatCode>
                <c:ptCount val="23"/>
                <c:pt idx="0">
                  <c:v>0.61006231566884495</c:v>
                </c:pt>
                <c:pt idx="1">
                  <c:v>0</c:v>
                </c:pt>
                <c:pt idx="2">
                  <c:v>0.44474504171992635</c:v>
                </c:pt>
                <c:pt idx="3">
                  <c:v>0</c:v>
                </c:pt>
                <c:pt idx="4">
                  <c:v>0.17642231440583611</c:v>
                </c:pt>
                <c:pt idx="5">
                  <c:v>0.94582489730038333</c:v>
                </c:pt>
                <c:pt idx="6">
                  <c:v>0.17991619963922201</c:v>
                </c:pt>
                <c:pt idx="7">
                  <c:v>0.41772621255717279</c:v>
                </c:pt>
                <c:pt idx="8">
                  <c:v>4.4615220511619924E-2</c:v>
                </c:pt>
                <c:pt idx="9">
                  <c:v>0.25813793110786509</c:v>
                </c:pt>
                <c:pt idx="10">
                  <c:v>0.28825237295156914</c:v>
                </c:pt>
                <c:pt idx="11">
                  <c:v>0</c:v>
                </c:pt>
                <c:pt idx="12">
                  <c:v>-6.353311938542916E-2</c:v>
                </c:pt>
                <c:pt idx="13">
                  <c:v>0.5364640052827685</c:v>
                </c:pt>
                <c:pt idx="14">
                  <c:v>6.4702875189864173E-2</c:v>
                </c:pt>
                <c:pt idx="15">
                  <c:v>0</c:v>
                </c:pt>
                <c:pt idx="16">
                  <c:v>0</c:v>
                </c:pt>
                <c:pt idx="17">
                  <c:v>0</c:v>
                </c:pt>
                <c:pt idx="18">
                  <c:v>0</c:v>
                </c:pt>
                <c:pt idx="19">
                  <c:v>0</c:v>
                </c:pt>
                <c:pt idx="20">
                  <c:v>1.0708189958077634</c:v>
                </c:pt>
                <c:pt idx="21">
                  <c:v>1.008784775545541</c:v>
                </c:pt>
                <c:pt idx="22">
                  <c:v>0.23794028375380716</c:v>
                </c:pt>
              </c:numCache>
            </c:numRef>
          </c:val>
          <c:extLst>
            <c:ext xmlns:c16="http://schemas.microsoft.com/office/drawing/2014/chart" uri="{C3380CC4-5D6E-409C-BE32-E72D297353CC}">
              <c16:uniqueId val="{00000001-F7E6-4F7C-9FBB-09BBB136617E}"/>
            </c:ext>
          </c:extLst>
        </c:ser>
        <c:dLbls>
          <c:showLegendKey val="0"/>
          <c:showVal val="0"/>
          <c:showCatName val="0"/>
          <c:showSerName val="0"/>
          <c:showPercent val="0"/>
          <c:showBubbleSize val="0"/>
        </c:dLbls>
        <c:gapWidth val="150"/>
        <c:overlap val="100"/>
        <c:axId val="212477584"/>
        <c:axId val="212478416"/>
      </c:barChart>
      <c:catAx>
        <c:axId val="2124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8416"/>
        <c:crosses val="autoZero"/>
        <c:auto val="1"/>
        <c:lblAlgn val="ctr"/>
        <c:lblOffset val="100"/>
        <c:noMultiLvlLbl val="0"/>
      </c:catAx>
      <c:valAx>
        <c:axId val="212478416"/>
        <c:scaling>
          <c:orientation val="minMax"/>
          <c:max val="6.5"/>
          <c:min val="4"/>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775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200">
                <a:latin typeface="Times New Roman" panose="02020603050405020304" pitchFamily="18" charset="0"/>
                <a:cs typeface="Times New Roman" panose="02020603050405020304" pitchFamily="18" charset="0"/>
              </a:rPr>
              <a:t>NABERS Energy</a:t>
            </a:r>
            <a:r>
              <a:rPr lang="en-AU" sz="1200" baseline="0">
                <a:latin typeface="Times New Roman" panose="02020603050405020304" pitchFamily="18" charset="0"/>
                <a:cs typeface="Times New Roman" panose="02020603050405020304" pitchFamily="18" charset="0"/>
              </a:rPr>
              <a:t> </a:t>
            </a:r>
            <a:endParaRPr lang="en-AU" sz="1200">
              <a:latin typeface="Times New Roman" panose="02020603050405020304" pitchFamily="18" charset="0"/>
              <a:cs typeface="Times New Roman" panose="02020603050405020304" pitchFamily="18" charset="0"/>
            </a:endParaRPr>
          </a:p>
        </c:rich>
      </c:tx>
      <c:layout>
        <c:manualLayout>
          <c:xMode val="edge"/>
          <c:yMode val="edge"/>
          <c:x val="8.9241230322504271E-3"/>
          <c:y val="1.847584146096313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'1M-NR'!#REF!</c:f>
              <c:strCache>
                <c:ptCount val="1"/>
                <c:pt idx="0">
                  <c:v>#REF!</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DA37-4D9E-9F8B-94AD36767906}"/>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A37-4D9E-9F8B-94AD36767906}"/>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DA37-4D9E-9F8B-94AD3676790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'1M-NR'!#REF!</c:f>
              <c:numCache>
                <c:formatCode>General</c:formatCode>
                <c:ptCount val="1"/>
                <c:pt idx="0">
                  <c:v>1</c:v>
                </c:pt>
              </c:numCache>
            </c:numRef>
          </c:val>
          <c:smooth val="0"/>
          <c:extLst>
            <c:ext xmlns:c16="http://schemas.microsoft.com/office/drawing/2014/chart" uri="{C3380CC4-5D6E-409C-BE32-E72D297353CC}">
              <c16:uniqueId val="{00000003-DA37-4D9E-9F8B-94AD36767906}"/>
            </c:ext>
          </c:extLst>
        </c:ser>
        <c:ser>
          <c:idx val="1"/>
          <c:order val="1"/>
          <c:tx>
            <c:strRef>
              <c:f>'1M-DUMMY'!$E$56</c:f>
              <c:strCache>
                <c:ptCount val="1"/>
                <c:pt idx="0">
                  <c:v>1 Market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DA37-4D9E-9F8B-94AD36767906}"/>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A37-4D9E-9F8B-94AD36767906}"/>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DA37-4D9E-9F8B-94AD3676790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'1M-DUMMY'!$F$56:$P$56</c:f>
              <c:numCache>
                <c:formatCode>0.00</c:formatCode>
                <c:ptCount val="11"/>
                <c:pt idx="0">
                  <c:v>5.1606552665612879</c:v>
                </c:pt>
                <c:pt idx="1">
                  <c:v>5.1606552665612879</c:v>
                </c:pt>
                <c:pt idx="2">
                  <c:v>5.1749719079986978</c:v>
                </c:pt>
                <c:pt idx="3">
                  <c:v>5.5615212268087628</c:v>
                </c:pt>
                <c:pt idx="4">
                  <c:v>5.6767163173884292</c:v>
                </c:pt>
                <c:pt idx="5">
                  <c:v>5.6855984147607961</c:v>
                </c:pt>
                <c:pt idx="6">
                  <c:v>5.694480512133163</c:v>
                </c:pt>
                <c:pt idx="7">
                  <c:v>5.7033626095055299</c:v>
                </c:pt>
                <c:pt idx="8">
                  <c:v>5.7122447068778968</c:v>
                </c:pt>
                <c:pt idx="9">
                  <c:v>5.7122447068778968</c:v>
                </c:pt>
                <c:pt idx="10">
                  <c:v>5.8279841479797723</c:v>
                </c:pt>
              </c:numCache>
            </c:numRef>
          </c:val>
          <c:smooth val="0"/>
          <c:extLst>
            <c:ext xmlns:c16="http://schemas.microsoft.com/office/drawing/2014/chart" uri="{C3380CC4-5D6E-409C-BE32-E72D297353CC}">
              <c16:uniqueId val="{00000007-DA37-4D9E-9F8B-94AD36767906}"/>
            </c:ext>
          </c:extLst>
        </c:ser>
        <c:ser>
          <c:idx val="2"/>
          <c:order val="2"/>
          <c:tx>
            <c:strRef>
              <c:f>'1M-DUMMY'!$E$58</c:f>
              <c:strCache>
                <c:ptCount val="1"/>
              </c:strCache>
            </c:strRef>
          </c:tx>
          <c:spPr>
            <a:ln w="28575" cap="rnd">
              <a:solidFill>
                <a:schemeClr val="accent3"/>
              </a:solidFill>
              <a:round/>
            </a:ln>
            <a:effectLst/>
          </c:spPr>
          <c:marker>
            <c:symbol val="none"/>
          </c:marker>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'1M-DUMMY'!$F$58:$P$58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8-DA37-4D9E-9F8B-94AD36767906}"/>
            </c:ext>
          </c:extLst>
        </c:ser>
        <c:ser>
          <c:idx val="3"/>
          <c:order val="3"/>
          <c:tx>
            <c:strRef>
              <c:f>'1M-DUMMY'!$E$57</c:f>
              <c:strCache>
                <c:ptCount val="1"/>
                <c:pt idx="0">
                  <c:v>ICPF</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DA37-4D9E-9F8B-94AD36767906}"/>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DA37-4D9E-9F8B-94AD36767906}"/>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DA37-4D9E-9F8B-94AD3676790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C-DA37-4D9E-9F8B-94AD36767906}"/>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a:latin typeface="Times New Roman" panose="02020603050405020304" pitchFamily="18" charset="0"/>
                <a:cs typeface="Times New Roman" panose="02020603050405020304" pitchFamily="18" charset="0"/>
              </a:rPr>
              <a:t>Emissions Intensity</a:t>
            </a:r>
            <a:r>
              <a:rPr lang="en-US" baseline="0">
                <a:latin typeface="Times New Roman" panose="02020603050405020304" pitchFamily="18" charset="0"/>
                <a:cs typeface="Times New Roman" panose="02020603050405020304" pitchFamily="18" charset="0"/>
              </a:rPr>
              <a:t> (</a:t>
            </a:r>
            <a:r>
              <a:rPr lang="en-US">
                <a:latin typeface="Times New Roman" panose="02020603050405020304" pitchFamily="18" charset="0"/>
                <a:cs typeface="Times New Roman" panose="02020603050405020304" pitchFamily="18" charset="0"/>
              </a:rPr>
              <a:t>kg.CO2-e/m2))</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4.369818189082228E-2"/>
          <c:y val="0.11760567751546627"/>
          <c:w val="0.85070706714768041"/>
          <c:h val="0.80436670167849889"/>
        </c:manualLayout>
      </c:layout>
      <c:barChart>
        <c:barDir val="col"/>
        <c:grouping val="stacked"/>
        <c:varyColors val="0"/>
        <c:ser>
          <c:idx val="0"/>
          <c:order val="0"/>
          <c:tx>
            <c:strRef>
              <c:f>'1M-DUMMY'!$B$27</c:f>
              <c:strCache>
                <c:ptCount val="1"/>
                <c:pt idx="0">
                  <c:v>Grid Electricity</c:v>
                </c:pt>
              </c:strCache>
            </c:strRef>
          </c:tx>
          <c:spPr>
            <a:solidFill>
              <a:srgbClr val="2DCCD3"/>
            </a:solidFill>
            <a:ln>
              <a:noFill/>
            </a:ln>
            <a:effectLst/>
          </c:spPr>
          <c:invertIfNegative val="0"/>
          <c:dLbls>
            <c:dLbl>
              <c:idx val="0"/>
              <c:layout>
                <c:manualLayout>
                  <c:x val="5.6152967059940648E-2"/>
                  <c:y val="-1.5372831099309942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'1M-DUMMY'!$F$27:$P$27</c:f>
              <c:numCache>
                <c:formatCode>0</c:formatCode>
                <c:ptCount val="11"/>
                <c:pt idx="0" formatCode="#,##0_ ;\-#,##0\ ">
                  <c:v>1441.5998999999999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4C6B-4568-9045-B4C758F9ECB8}"/>
            </c:ext>
          </c:extLst>
        </c:ser>
        <c:ser>
          <c:idx val="1"/>
          <c:order val="1"/>
          <c:tx>
            <c:strRef>
              <c:f>'1M-DUMMY'!$B$26</c:f>
              <c:strCache>
                <c:ptCount val="1"/>
                <c:pt idx="0">
                  <c:v>Gas</c:v>
                </c:pt>
              </c:strCache>
            </c:strRef>
          </c:tx>
          <c:spPr>
            <a:solidFill>
              <a:srgbClr val="00857D"/>
            </a:solidFill>
            <a:ln>
              <a:noFill/>
            </a:ln>
            <a:effectLst/>
          </c:spPr>
          <c:invertIfNegative val="0"/>
          <c:dLbls>
            <c:dLbl>
              <c:idx val="0"/>
              <c:layout>
                <c:manualLayout>
                  <c:x val="5.9556177184785536E-2"/>
                  <c:y val="-4.6118493297929823E-3"/>
                </c:manualLayout>
              </c:layout>
              <c:spPr>
                <a:noFill/>
                <a:ln>
                  <a:noFill/>
                </a:ln>
                <a:effectLst/>
              </c:spPr>
              <c:txPr>
                <a:bodyPr rot="0" spcFirstLastPara="1" vertOverflow="ellipsis" vert="horz" wrap="square" lIns="38100" tIns="19050" rIns="38100" bIns="19050" anchor="ctr" anchorCtr="1">
                  <a:no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layout>
                    <c:manualLayout>
                      <c:w val="7.0722993903095471E-2"/>
                      <c:h val="5.5557411592906128E-2"/>
                    </c:manualLayout>
                  </c15:layout>
                </c:ext>
                <c:ext xmlns:c16="http://schemas.microsoft.com/office/drawing/2014/chart" uri="{C3380CC4-5D6E-409C-BE32-E72D297353CC}">
                  <c16:uniqueId val="{00000002-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'1M-DUMMY'!$F$26:$P$26</c:f>
              <c:numCache>
                <c:formatCode>0</c:formatCode>
                <c:ptCount val="11"/>
                <c:pt idx="0">
                  <c:v>83.210180229999992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4C6B-4568-9045-B4C758F9ECB8}"/>
            </c:ext>
          </c:extLst>
        </c:ser>
        <c:ser>
          <c:idx val="2"/>
          <c:order val="2"/>
          <c:tx>
            <c:strRef>
              <c:f>'1M-DUMMY'!$B$25</c:f>
              <c:strCache>
                <c:ptCount val="1"/>
                <c:pt idx="0">
                  <c:v>Scope 3</c:v>
                </c:pt>
              </c:strCache>
            </c:strRef>
          </c:tx>
          <c:spPr>
            <a:solidFill>
              <a:srgbClr val="B8C6D0"/>
            </a:solidFill>
            <a:ln>
              <a:noFill/>
            </a:ln>
            <a:effectLst/>
          </c:spPr>
          <c:invertIfNegative val="0"/>
          <c:dLbls>
            <c:dLbl>
              <c:idx val="0"/>
              <c:layout>
                <c:manualLayout>
                  <c:x val="8.6781858183544641E-2"/>
                  <c:y val="-3.6894794638343859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'1M-DUMMY'!$F$25:$P$25</c:f>
              <c:numCache>
                <c:formatCode>0</c:formatCode>
                <c:ptCount val="11"/>
                <c:pt idx="0">
                  <c:v>77.1795357617506</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4C6B-4568-9045-B4C758F9ECB8}"/>
            </c:ext>
          </c:extLst>
        </c:ser>
        <c:ser>
          <c:idx val="3"/>
          <c:order val="3"/>
          <c:tx>
            <c:strRef>
              <c:f>'1M-DUMMY'!$B$24</c:f>
              <c:strCache>
                <c:ptCount val="1"/>
                <c:pt idx="0">
                  <c:v>Scope 3 Offsets</c:v>
                </c:pt>
              </c:strCache>
            </c:strRef>
          </c:tx>
          <c:spPr>
            <a:pattFill prst="pct10">
              <a:fgClr>
                <a:sysClr val="windowText" lastClr="000000">
                  <a:lumMod val="75000"/>
                  <a:lumOff val="25000"/>
                </a:sysClr>
              </a:fgClr>
              <a:bgClr>
                <a:srgbClr val="FFFFFF"/>
              </a:bgClr>
            </a:pattFill>
            <a:ln>
              <a:solidFill>
                <a:sysClr val="windowText" lastClr="000000">
                  <a:lumMod val="65000"/>
                  <a:lumOff val="35000"/>
                </a:sysClr>
              </a:solidFill>
              <a:prstDash val="dashDot"/>
            </a:ln>
            <a:effectLst/>
          </c:spPr>
          <c:invertIfNegative val="0"/>
          <c:dLbls>
            <c:dLbl>
              <c:idx val="10"/>
              <c:layout>
                <c:manualLayout>
                  <c:x val="6.0407662211555836E-2"/>
                  <c:y val="-1.8434030031505819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4"/>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'1M-DUMMY'!$F$24:$P$24</c:f>
              <c:numCache>
                <c:formatCode>0</c:formatCode>
                <c:ptCount val="11"/>
                <c:pt idx="0">
                  <c:v>0</c:v>
                </c:pt>
                <c:pt idx="1">
                  <c:v>70.452715501556085</c:v>
                </c:pt>
                <c:pt idx="2">
                  <c:v>63.72589524136157</c:v>
                </c:pt>
                <c:pt idx="3">
                  <c:v>56.999074981167055</c:v>
                </c:pt>
                <c:pt idx="4">
                  <c:v>50.272254720972541</c:v>
                </c:pt>
                <c:pt idx="5">
                  <c:v>43.545434460778033</c:v>
                </c:pt>
                <c:pt idx="6">
                  <c:v>36.818614200583525</c:v>
                </c:pt>
                <c:pt idx="7">
                  <c:v>30.09179394038901</c:v>
                </c:pt>
                <c:pt idx="8">
                  <c:v>23.364973680194499</c:v>
                </c:pt>
                <c:pt idx="9">
                  <c:v>16.638153419999988</c:v>
                </c:pt>
                <c:pt idx="10">
                  <c:v>16.638153419999998</c:v>
                </c:pt>
              </c:numCache>
            </c:numRef>
          </c:val>
          <c:extLst>
            <c:ext xmlns:c16="http://schemas.microsoft.com/office/drawing/2014/chart" uri="{C3380CC4-5D6E-409C-BE32-E72D297353CC}">
              <c16:uniqueId val="{00000007-4C6B-4568-9045-B4C758F9ECB8}"/>
            </c:ext>
          </c:extLst>
        </c:ser>
        <c:ser>
          <c:idx val="4"/>
          <c:order val="4"/>
          <c:tx>
            <c:strRef>
              <c:f>'1M-DUMMY'!$B$23</c:f>
              <c:strCache>
                <c:ptCount val="1"/>
                <c:pt idx="0">
                  <c:v>Electrification</c:v>
                </c:pt>
              </c:strCache>
            </c:strRef>
          </c:tx>
          <c:spPr>
            <a:pattFill prst="pct60">
              <a:fgClr>
                <a:srgbClr val="FFFFFF"/>
              </a:fgClr>
              <a:bgClr>
                <a:srgbClr val="00857D"/>
              </a:bgClr>
            </a:pattFill>
            <a:ln w="6350">
              <a:solidFill>
                <a:srgbClr val="00857D"/>
              </a:solidFill>
            </a:ln>
            <a:effectLst/>
          </c:spPr>
          <c:invertIfNegative val="0"/>
          <c:dPt>
            <c:idx val="10"/>
            <c:invertIfNegative val="0"/>
            <c:bubble3D val="0"/>
            <c:spPr>
              <a:pattFill prst="pct60">
                <a:fgClr>
                  <a:srgbClr val="FFFFFF"/>
                </a:fgClr>
                <a:bgClr>
                  <a:srgbClr val="00857D"/>
                </a:bgClr>
              </a:pattFill>
              <a:ln w="3175">
                <a:solidFill>
                  <a:srgbClr val="00857D"/>
                </a:solidFill>
              </a:ln>
              <a:effectLst/>
            </c:spPr>
            <c:extLst>
              <c:ext xmlns:c16="http://schemas.microsoft.com/office/drawing/2014/chart" uri="{C3380CC4-5D6E-409C-BE32-E72D297353CC}">
                <c16:uniqueId val="{00000009-4C6B-4568-9045-B4C758F9ECB8}"/>
              </c:ext>
            </c:extLst>
          </c:dPt>
          <c:dLbls>
            <c:dLbl>
              <c:idx val="10"/>
              <c:layout>
                <c:manualLayout>
                  <c:x val="7.3180852084851269E-2"/>
                  <c:y val="-4.9192962532683418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rgbClr val="00857D"/>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'1M-DUMMY'!$F$23:$P$23</c:f>
              <c:numCache>
                <c:formatCode>0</c:formatCode>
                <c:ptCount val="11"/>
                <c:pt idx="0">
                  <c:v>0</c:v>
                </c:pt>
                <c:pt idx="1">
                  <c:v>0</c:v>
                </c:pt>
                <c:pt idx="2">
                  <c:v>0</c:v>
                </c:pt>
                <c:pt idx="3">
                  <c:v>0</c:v>
                </c:pt>
                <c:pt idx="4">
                  <c:v>25.146639999999998</c:v>
                </c:pt>
                <c:pt idx="5">
                  <c:v>27.104779999999998</c:v>
                </c:pt>
                <c:pt idx="6">
                  <c:v>29.062920000000002</c:v>
                </c:pt>
                <c:pt idx="7">
                  <c:v>31.021060000000002</c:v>
                </c:pt>
                <c:pt idx="8">
                  <c:v>58.744200000000006</c:v>
                </c:pt>
                <c:pt idx="9">
                  <c:v>58.744200000000006</c:v>
                </c:pt>
                <c:pt idx="10">
                  <c:v>58.744200000000006</c:v>
                </c:pt>
              </c:numCache>
            </c:numRef>
          </c:val>
          <c:extLst>
            <c:ext xmlns:c16="http://schemas.microsoft.com/office/drawing/2014/chart" uri="{C3380CC4-5D6E-409C-BE32-E72D297353CC}">
              <c16:uniqueId val="{0000000A-4C6B-4568-9045-B4C758F9ECB8}"/>
            </c:ext>
          </c:extLst>
        </c:ser>
        <c:ser>
          <c:idx val="5"/>
          <c:order val="5"/>
          <c:tx>
            <c:strRef>
              <c:f>'1M-DUMMY'!$B$22</c:f>
              <c:strCache>
                <c:ptCount val="1"/>
                <c:pt idx="0">
                  <c:v>Gas Offsets</c:v>
                </c:pt>
              </c:strCache>
            </c:strRef>
          </c:tx>
          <c:spPr>
            <a:pattFill prst="ltVert">
              <a:fgClr>
                <a:srgbClr val="00857D"/>
              </a:fgClr>
              <a:bgClr>
                <a:srgbClr val="FFFFFF"/>
              </a:bgClr>
            </a:pattFill>
            <a:ln>
              <a:solidFill>
                <a:srgbClr val="00857D"/>
              </a:solidFill>
              <a:prstDash val="dash"/>
            </a:ln>
            <a:effectLst/>
          </c:spPr>
          <c:invertIfNegative val="0"/>
          <c:dLbls>
            <c:dLbl>
              <c:idx val="10"/>
              <c:layout>
                <c:manualLayout>
                  <c:x val="6.7255002415486015E-2"/>
                  <c:y val="-8.2889412747961119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rgbClr val="00857D"/>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'1M-DUMMY'!$F$22:$P$22</c:f>
              <c:numCache>
                <c:formatCode>0</c:formatCode>
                <c:ptCount val="11"/>
                <c:pt idx="0">
                  <c:v>0</c:v>
                </c:pt>
                <c:pt idx="1">
                  <c:v>83.210180229999992</c:v>
                </c:pt>
                <c:pt idx="2">
                  <c:v>83.210180229999992</c:v>
                </c:pt>
                <c:pt idx="3">
                  <c:v>83.210180229999992</c:v>
                </c:pt>
                <c:pt idx="4">
                  <c:v>58.063540230000001</c:v>
                </c:pt>
                <c:pt idx="5">
                  <c:v>56.105400230000001</c:v>
                </c:pt>
                <c:pt idx="6">
                  <c:v>54.147260230000001</c:v>
                </c:pt>
                <c:pt idx="7">
                  <c:v>52.18912023</c:v>
                </c:pt>
                <c:pt idx="8">
                  <c:v>24.465980229999996</c:v>
                </c:pt>
                <c:pt idx="9">
                  <c:v>24.465980229999996</c:v>
                </c:pt>
                <c:pt idx="10">
                  <c:v>24.465980229999996</c:v>
                </c:pt>
              </c:numCache>
            </c:numRef>
          </c:val>
          <c:extLst>
            <c:ext xmlns:c16="http://schemas.microsoft.com/office/drawing/2014/chart" uri="{C3380CC4-5D6E-409C-BE32-E72D297353CC}">
              <c16:uniqueId val="{0000000C-4C6B-4568-9045-B4C758F9ECB8}"/>
            </c:ext>
          </c:extLst>
        </c:ser>
        <c:ser>
          <c:idx val="6"/>
          <c:order val="6"/>
          <c:tx>
            <c:strRef>
              <c:f>'1M-DUMMY'!$B$21</c:f>
              <c:strCache>
                <c:ptCount val="1"/>
                <c:pt idx="0">
                  <c:v>Renewable Electricity</c:v>
                </c:pt>
              </c:strCache>
            </c:strRef>
          </c:tx>
          <c:spPr>
            <a:pattFill prst="pct80">
              <a:fgClr>
                <a:srgbClr val="FFFFFF"/>
              </a:fgClr>
              <a:bgClr>
                <a:srgbClr val="00857D">
                  <a:lumMod val="60000"/>
                  <a:lumOff val="40000"/>
                </a:srgbClr>
              </a:bgClr>
            </a:pattFill>
            <a:ln w="12700">
              <a:solidFill>
                <a:srgbClr val="2DCCD3">
                  <a:lumMod val="60000"/>
                  <a:lumOff val="40000"/>
                  <a:alpha val="82000"/>
                </a:srgbClr>
              </a:solidFill>
              <a:prstDash val="dash"/>
            </a:ln>
            <a:effectLst/>
          </c:spPr>
          <c:invertIfNegative val="0"/>
          <c:dLbls>
            <c:dLbl>
              <c:idx val="10"/>
              <c:layout>
                <c:manualLayout>
                  <c:x val="7.0660490063597828E-2"/>
                  <c:y val="-0.1044018588778948"/>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rgbClr val="2DCCD3"/>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'1M-DUMMY'!$F$21:$P$21</c:f>
              <c:numCache>
                <c:formatCode>0</c:formatCode>
                <c:ptCount val="11"/>
                <c:pt idx="0">
                  <c:v>0</c:v>
                </c:pt>
                <c:pt idx="1">
                  <c:v>1339.16902</c:v>
                </c:pt>
                <c:pt idx="2">
                  <c:v>1317.5112999999999</c:v>
                </c:pt>
                <c:pt idx="3">
                  <c:v>837.30421999999999</c:v>
                </c:pt>
                <c:pt idx="4">
                  <c:v>758.04143999999997</c:v>
                </c:pt>
                <c:pt idx="5">
                  <c:v>653.56106999999997</c:v>
                </c:pt>
                <c:pt idx="6">
                  <c:v>549.61260000000004</c:v>
                </c:pt>
                <c:pt idx="7">
                  <c:v>453.78222999999997</c:v>
                </c:pt>
                <c:pt idx="8">
                  <c:v>339.56324999999998</c:v>
                </c:pt>
                <c:pt idx="9">
                  <c:v>300.90527999999995</c:v>
                </c:pt>
                <c:pt idx="10">
                  <c:v>275.82983999999999</c:v>
                </c:pt>
              </c:numCache>
            </c:numRef>
          </c:val>
          <c:extLst>
            <c:ext xmlns:c16="http://schemas.microsoft.com/office/drawing/2014/chart" uri="{C3380CC4-5D6E-409C-BE32-E72D297353CC}">
              <c16:uniqueId val="{0000000E-4C6B-4568-9045-B4C758F9ECB8}"/>
            </c:ext>
          </c:extLst>
        </c:ser>
        <c:ser>
          <c:idx val="7"/>
          <c:order val="7"/>
          <c:tx>
            <c:strRef>
              <c:f>'1M-DUMMY'!$B$20</c:f>
              <c:strCache>
                <c:ptCount val="1"/>
                <c:pt idx="0">
                  <c:v>Energy Efficiency</c:v>
                </c:pt>
              </c:strCache>
            </c:strRef>
          </c:tx>
          <c:spPr>
            <a:pattFill prst="dkVert">
              <a:fgClr>
                <a:srgbClr val="ABEAEC">
                  <a:lumMod val="60000"/>
                  <a:lumOff val="40000"/>
                </a:srgbClr>
              </a:fgClr>
              <a:bgClr>
                <a:srgbClr val="FFFFFF"/>
              </a:bgClr>
            </a:pattFill>
            <a:ln w="12700" cmpd="sng">
              <a:solidFill>
                <a:srgbClr val="00857D">
                  <a:lumMod val="60000"/>
                  <a:lumOff val="40000"/>
                </a:srgbClr>
              </a:solidFill>
              <a:prstDash val="dash"/>
            </a:ln>
            <a:effectLst/>
          </c:spPr>
          <c:invertIfNegative val="0"/>
          <c:dLbls>
            <c:dLbl>
              <c:idx val="10"/>
              <c:layout>
                <c:manualLayout>
                  <c:x val="8.4219704147183258E-2"/>
                  <c:y val="-4.746072910993732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F-4C6B-4568-9045-B4C758F9ECB8}"/>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accent2"/>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rgbClr val="2DCCD3"/>
                      </a:solidFill>
                      <a:round/>
                    </a:ln>
                    <a:effectLst/>
                  </c:spPr>
                </c15:leaderLines>
              </c:ext>
            </c:extLst>
          </c:dLbls>
          <c:cat>
            <c:strRef>
              <c:f>'1M-DUMMY'!$F$19:$P$19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'1M-DUMMY'!$F$20:$P$20</c:f>
              <c:numCache>
                <c:formatCode>0</c:formatCode>
                <c:ptCount val="11"/>
                <c:pt idx="0">
                  <c:v>0</c:v>
                </c:pt>
                <c:pt idx="1">
                  <c:v>14.84</c:v>
                </c:pt>
                <c:pt idx="2">
                  <c:v>14.6</c:v>
                </c:pt>
                <c:pt idx="3">
                  <c:v>370.72</c:v>
                </c:pt>
                <c:pt idx="4">
                  <c:v>380.64</c:v>
                </c:pt>
                <c:pt idx="5">
                  <c:v>344.61</c:v>
                </c:pt>
                <c:pt idx="6">
                  <c:v>289.8</c:v>
                </c:pt>
                <c:pt idx="7">
                  <c:v>245.12</c:v>
                </c:pt>
                <c:pt idx="8">
                  <c:v>253.5</c:v>
                </c:pt>
                <c:pt idx="9">
                  <c:v>224.64</c:v>
                </c:pt>
                <c:pt idx="10">
                  <c:v>205.92000000000002</c:v>
                </c:pt>
              </c:numCache>
            </c:numRef>
          </c:val>
          <c:extLst>
            <c:ext xmlns:c16="http://schemas.microsoft.com/office/drawing/2014/chart" uri="{C3380CC4-5D6E-409C-BE32-E72D297353CC}">
              <c16:uniqueId val="{00000010-4C6B-4568-9045-B4C758F9ECB8}"/>
            </c:ext>
          </c:extLst>
        </c:ser>
        <c:dLbls>
          <c:showLegendKey val="0"/>
          <c:showVal val="0"/>
          <c:showCatName val="0"/>
          <c:showSerName val="0"/>
          <c:showPercent val="0"/>
          <c:showBubbleSize val="0"/>
        </c:dLbls>
        <c:gapWidth val="150"/>
        <c:overlap val="100"/>
        <c:axId val="894156608"/>
        <c:axId val="894155360"/>
      </c:bar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750"/>
          <c:min val="0"/>
        </c:scaling>
        <c:delete val="0"/>
        <c:axPos val="l"/>
        <c:majorGridlines>
          <c:spPr>
            <a:ln w="9525" cap="flat" cmpd="sng" algn="ctr">
              <a:solidFill>
                <a:schemeClr val="tx1">
                  <a:lumMod val="15000"/>
                  <a:lumOff val="85000"/>
                </a:schemeClr>
              </a:solidFill>
              <a:round/>
            </a:ln>
            <a:effectLst/>
          </c:spPr>
        </c:majorGridlines>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81869283754849"/>
          <c:y val="0.10440462433187489"/>
          <c:w val="0.60825946185279822"/>
          <c:h val="0.79119070116235468"/>
        </c:manualLayout>
      </c:layout>
      <c:doughnutChart>
        <c:varyColors val="1"/>
        <c:ser>
          <c:idx val="0"/>
          <c:order val="0"/>
          <c:dPt>
            <c:idx val="0"/>
            <c:bubble3D val="0"/>
            <c:spPr>
              <a:pattFill prst="wdUpDiag">
                <a:fgClr>
                  <a:schemeClr val="accent6">
                    <a:lumMod val="60000"/>
                    <a:lumOff val="40000"/>
                  </a:schemeClr>
                </a:fgClr>
                <a:bgClr>
                  <a:schemeClr val="bg1"/>
                </a:bgClr>
              </a:pattFill>
              <a:ln w="9525">
                <a:solidFill>
                  <a:srgbClr val="2DCCD3"/>
                </a:solidFill>
                <a:prstDash val="dash"/>
              </a:ln>
              <a:effectLst/>
            </c:spPr>
            <c:extLst>
              <c:ext xmlns:c16="http://schemas.microsoft.com/office/drawing/2014/chart" uri="{C3380CC4-5D6E-409C-BE32-E72D297353CC}">
                <c16:uniqueId val="{00000001-9A71-4E6F-BDD5-F48FE79554E5}"/>
              </c:ext>
            </c:extLst>
          </c:dPt>
          <c:dPt>
            <c:idx val="1"/>
            <c:bubble3D val="0"/>
            <c:spPr>
              <a:solidFill>
                <a:schemeClr val="accent2">
                  <a:alpha val="22000"/>
                </a:schemeClr>
              </a:solidFill>
              <a:ln w="12700">
                <a:solidFill>
                  <a:srgbClr val="2DCCD3"/>
                </a:solidFill>
                <a:prstDash val="dash"/>
              </a:ln>
              <a:effectLst/>
            </c:spPr>
            <c:extLst>
              <c:ext xmlns:c16="http://schemas.microsoft.com/office/drawing/2014/chart" uri="{C3380CC4-5D6E-409C-BE32-E72D297353CC}">
                <c16:uniqueId val="{00000002-9A71-4E6F-BDD5-F48FE79554E5}"/>
              </c:ext>
            </c:extLst>
          </c:dPt>
          <c:dPt>
            <c:idx val="2"/>
            <c:bubble3D val="0"/>
            <c:spPr>
              <a:solidFill>
                <a:schemeClr val="accent5">
                  <a:alpha val="46000"/>
                </a:schemeClr>
              </a:solidFill>
              <a:ln w="19050">
                <a:solidFill>
                  <a:schemeClr val="lt1"/>
                </a:solidFill>
              </a:ln>
              <a:effectLst/>
            </c:spPr>
            <c:extLst>
              <c:ext xmlns:c16="http://schemas.microsoft.com/office/drawing/2014/chart" uri="{C3380CC4-5D6E-409C-BE32-E72D297353CC}">
                <c16:uniqueId val="{00000003-9A71-4E6F-BDD5-F48FE79554E5}"/>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5-9A71-4E6F-BDD5-F48FE79554E5}"/>
              </c:ext>
            </c:extLst>
          </c:dPt>
          <c:dPt>
            <c:idx val="4"/>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4-9A71-4E6F-BDD5-F48FE79554E5}"/>
              </c:ext>
            </c:extLst>
          </c:dPt>
          <c:dLbls>
            <c:dLbl>
              <c:idx val="0"/>
              <c:layout>
                <c:manualLayout>
                  <c:x val="0.21111111111111111"/>
                  <c:y val="-8.7962962962962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71-4E6F-BDD5-F48FE79554E5}"/>
                </c:ext>
              </c:extLst>
            </c:dLbl>
            <c:dLbl>
              <c:idx val="1"/>
              <c:layout>
                <c:manualLayout>
                  <c:x val="-0.16197486374956024"/>
                  <c:y val="-0.23596481266607516"/>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6769855517842748"/>
                      <c:h val="0.10310895445909703"/>
                    </c:manualLayout>
                  </c15:layout>
                </c:ext>
                <c:ext xmlns:c16="http://schemas.microsoft.com/office/drawing/2014/chart" uri="{C3380CC4-5D6E-409C-BE32-E72D297353CC}">
                  <c16:uniqueId val="{00000002-9A71-4E6F-BDD5-F48FE79554E5}"/>
                </c:ext>
              </c:extLst>
            </c:dLbl>
            <c:dLbl>
              <c:idx val="2"/>
              <c:layout>
                <c:manualLayout>
                  <c:x val="0.17030140887321976"/>
                  <c:y val="-0.177429621297337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71-4E6F-BDD5-F48FE79554E5}"/>
                </c:ext>
              </c:extLst>
            </c:dLbl>
            <c:dLbl>
              <c:idx val="3"/>
              <c:layout>
                <c:manualLayout>
                  <c:x val="0.19954883736248089"/>
                  <c:y val="-0.1362163466091823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A71-4E6F-BDD5-F48FE79554E5}"/>
                </c:ext>
              </c:extLst>
            </c:dLbl>
            <c:dLbl>
              <c:idx val="4"/>
              <c:layout>
                <c:manualLayout>
                  <c:x val="0.18358493037348253"/>
                  <c:y val="-8.48139516623210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9A71-4E6F-BDD5-F48FE79554E5}"/>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'1M-DUMMY'!$B$20:$B$24</c:f>
              <c:strCache>
                <c:ptCount val="5"/>
                <c:pt idx="0">
                  <c:v>Energy Efficiency</c:v>
                </c:pt>
                <c:pt idx="1">
                  <c:v>Renewable Electricity</c:v>
                </c:pt>
                <c:pt idx="2">
                  <c:v>Gas Offsets</c:v>
                </c:pt>
                <c:pt idx="3">
                  <c:v>Electrification</c:v>
                </c:pt>
                <c:pt idx="4">
                  <c:v>Scope 3 Offsets</c:v>
                </c:pt>
              </c:strCache>
            </c:strRef>
          </c:cat>
          <c:val>
            <c:numRef>
              <c:f>'1M-DUMMY'!$Q$20:$Q$24</c:f>
              <c:numCache>
                <c:formatCode>0</c:formatCode>
                <c:ptCount val="5"/>
                <c:pt idx="0">
                  <c:v>2344.39</c:v>
                </c:pt>
                <c:pt idx="1">
                  <c:v>6825.2802500000007</c:v>
                </c:pt>
                <c:pt idx="2">
                  <c:v>543.53380229999993</c:v>
                </c:pt>
                <c:pt idx="3">
                  <c:v>288.56800000000004</c:v>
                </c:pt>
                <c:pt idx="4">
                  <c:v>408.54706356700223</c:v>
                </c:pt>
              </c:numCache>
            </c:numRef>
          </c:val>
          <c:extLst>
            <c:ext xmlns:c16="http://schemas.microsoft.com/office/drawing/2014/chart" uri="{C3380CC4-5D6E-409C-BE32-E72D297353CC}">
              <c16:uniqueId val="{00000000-9A71-4E6F-BDD5-F48FE79554E5}"/>
            </c:ext>
          </c:extLst>
        </c:ser>
        <c:dLbls>
          <c:showLegendKey val="0"/>
          <c:showVal val="0"/>
          <c:showCatName val="0"/>
          <c:showSerName val="0"/>
          <c:showPercent val="0"/>
          <c:showBubbleSize val="0"/>
          <c:showLeaderLines val="1"/>
        </c:dLbls>
        <c:firstSliceAng val="9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8.7239568240089858E-3"/>
          <c:y val="3.5405946451251911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2470849822769281E-2"/>
          <c:y val="0.13290092371193021"/>
          <c:w val="0.96340992407767989"/>
          <c:h val="0.79824858687658962"/>
        </c:manualLayout>
      </c:layout>
      <c:barChart>
        <c:barDir val="col"/>
        <c:grouping val="stacked"/>
        <c:varyColors val="0"/>
        <c:ser>
          <c:idx val="0"/>
          <c:order val="0"/>
          <c:tx>
            <c:strRef>
              <c:f>'1M-DUMMY'!$B$27</c:f>
              <c:strCache>
                <c:ptCount val="1"/>
                <c:pt idx="0">
                  <c:v>Grid Electricity</c:v>
                </c:pt>
              </c:strCache>
            </c:strRef>
          </c:tx>
          <c:spPr>
            <a:solidFill>
              <a:srgbClr val="2DCCD3"/>
            </a:solidFill>
            <a:ln>
              <a:noFill/>
            </a:ln>
            <a:effectLst/>
          </c:spPr>
          <c:invertIfNegative val="0"/>
          <c:dLbls>
            <c:dLbl>
              <c:idx val="0"/>
              <c:layout>
                <c:manualLayout>
                  <c:x val="8.356744224349269E-2"/>
                  <c:y val="-0.18636753517121879"/>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6-A318-4A75-BCD3-B67A9738DD2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'1M-DUMMY'!$F$27:$P$27</c:f>
              <c:numCache>
                <c:formatCode>0</c:formatCode>
                <c:ptCount val="11"/>
                <c:pt idx="0" formatCode="#,##0_ ;\-#,##0\ ">
                  <c:v>1441.5998999999999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D9C1-4707-BE8E-F4F0BAE5D33D}"/>
            </c:ext>
          </c:extLst>
        </c:ser>
        <c:ser>
          <c:idx val="1"/>
          <c:order val="1"/>
          <c:tx>
            <c:strRef>
              <c:f>'1M-DUMMY'!$B$26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5.2506614131267164E-2"/>
                  <c:y val="-6.0203019593079226E-3"/>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11-A318-4A75-BCD3-B67A9738DD2A}"/>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'1M-DUMMY'!$F$26:$P$26</c:f>
              <c:numCache>
                <c:formatCode>0</c:formatCode>
                <c:ptCount val="11"/>
                <c:pt idx="0">
                  <c:v>83.210180229999992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D9C1-4707-BE8E-F4F0BAE5D33D}"/>
            </c:ext>
          </c:extLst>
        </c:ser>
        <c:ser>
          <c:idx val="2"/>
          <c:order val="2"/>
          <c:tx>
            <c:strRef>
              <c:f>'1M-DUMMY'!$B$25</c:f>
              <c:strCache>
                <c:ptCount val="1"/>
                <c:pt idx="0">
                  <c:v>Scope 3</c:v>
                </c:pt>
              </c:strCache>
            </c:strRef>
          </c:tx>
          <c:spPr>
            <a:solidFill>
              <a:srgbClr val="B8C6D0"/>
            </a:solidFill>
            <a:ln>
              <a:noFill/>
            </a:ln>
            <a:effectLst/>
          </c:spPr>
          <c:invertIfNegative val="0"/>
          <c:dLbls>
            <c:dLbl>
              <c:idx val="0"/>
              <c:layout>
                <c:manualLayout>
                  <c:x val="6.5014654942712483E-2"/>
                  <c:y val="-1.8354285400466661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D9C1-4707-BE8E-F4F0BAE5D33D}"/>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'1M-DUMMY'!$F$25:$P$25</c:f>
              <c:numCache>
                <c:formatCode>0</c:formatCode>
                <c:ptCount val="11"/>
                <c:pt idx="0">
                  <c:v>77.1795357617506</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D9C1-4707-BE8E-F4F0BAE5D33D}"/>
            </c:ext>
          </c:extLst>
        </c:ser>
        <c:ser>
          <c:idx val="6"/>
          <c:order val="3"/>
          <c:tx>
            <c:strRef>
              <c:f>'1M-DUMMY'!$B$21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3-21A0-4468-9055-A4A4A8B754DB}"/>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2-21A0-4468-9055-A4A4A8B754DB}"/>
              </c:ext>
            </c:extLst>
          </c:dPt>
          <c:dLbls>
            <c:dLbl>
              <c:idx val="1"/>
              <c:layout>
                <c:manualLayout>
                  <c:x val="0.11348181839297439"/>
                  <c:y val="-4.7640450629019726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32054356514787"/>
                      <c:h val="9.8103655465494308E-2"/>
                    </c:manualLayout>
                  </c15:layout>
                  <c15:dlblFieldTable/>
                  <c15:showDataLabelsRange val="0"/>
                </c:ext>
                <c:ext xmlns:c16="http://schemas.microsoft.com/office/drawing/2014/chart" uri="{C3380CC4-5D6E-409C-BE32-E72D297353CC}">
                  <c16:uniqueId val="{0000000A-A318-4A75-BCD3-B67A9738DD2A}"/>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A318-4A75-BCD3-B67A9738DD2A}"/>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'1M-DUMMY'!$F$21:$P$21</c:f>
              <c:numCache>
                <c:formatCode>0</c:formatCode>
                <c:ptCount val="11"/>
                <c:pt idx="0">
                  <c:v>0</c:v>
                </c:pt>
                <c:pt idx="1">
                  <c:v>1339.16902</c:v>
                </c:pt>
                <c:pt idx="2">
                  <c:v>1317.5112999999999</c:v>
                </c:pt>
                <c:pt idx="3">
                  <c:v>837.30421999999999</c:v>
                </c:pt>
                <c:pt idx="4">
                  <c:v>758.04143999999997</c:v>
                </c:pt>
                <c:pt idx="5">
                  <c:v>653.56106999999997</c:v>
                </c:pt>
                <c:pt idx="6">
                  <c:v>549.61260000000004</c:v>
                </c:pt>
                <c:pt idx="7">
                  <c:v>453.78222999999997</c:v>
                </c:pt>
                <c:pt idx="8">
                  <c:v>339.56324999999998</c:v>
                </c:pt>
                <c:pt idx="9">
                  <c:v>300.90527999999995</c:v>
                </c:pt>
                <c:pt idx="10">
                  <c:v>275.82983999999999</c:v>
                </c:pt>
              </c:numCache>
            </c:numRef>
          </c:val>
          <c:extLst>
            <c:ext xmlns:c16="http://schemas.microsoft.com/office/drawing/2014/chart" uri="{C3380CC4-5D6E-409C-BE32-E72D297353CC}">
              <c16:uniqueId val="{00000007-D9C1-4707-BE8E-F4F0BAE5D33D}"/>
            </c:ext>
          </c:extLst>
        </c:ser>
        <c:ser>
          <c:idx val="7"/>
          <c:order val="4"/>
          <c:tx>
            <c:strRef>
              <c:f>'1M-DUMMY'!$B$20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8-21A0-4468-9055-A4A4A8B754DB}"/>
                </c:ext>
              </c:extLst>
            </c:dLbl>
            <c:dLbl>
              <c:idx val="1"/>
              <c:delete val="1"/>
              <c:extLst>
                <c:ext xmlns:c15="http://schemas.microsoft.com/office/drawing/2012/chart" uri="{CE6537A1-D6FC-4f65-9D91-7224C49458BB}"/>
                <c:ext xmlns:c16="http://schemas.microsoft.com/office/drawing/2014/chart" uri="{C3380CC4-5D6E-409C-BE32-E72D297353CC}">
                  <c16:uniqueId val="{00000007-21A0-4468-9055-A4A4A8B754DB}"/>
                </c:ext>
              </c:extLst>
            </c:dLbl>
            <c:dLbl>
              <c:idx val="2"/>
              <c:delete val="1"/>
              <c:extLst>
                <c:ext xmlns:c15="http://schemas.microsoft.com/office/drawing/2012/chart" uri="{CE6537A1-D6FC-4f65-9D91-7224C49458BB}"/>
                <c:ext xmlns:c16="http://schemas.microsoft.com/office/drawing/2014/chart" uri="{C3380CC4-5D6E-409C-BE32-E72D297353CC}">
                  <c16:uniqueId val="{00000006-21A0-4468-9055-A4A4A8B754DB}"/>
                </c:ext>
              </c:extLst>
            </c:dLbl>
            <c:dLbl>
              <c:idx val="3"/>
              <c:layout>
                <c:manualLayout>
                  <c:x val="0.1268738112763064"/>
                  <c:y val="-0.16514538861619757"/>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1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05-21A0-4468-9055-A4A4A8B754DB}"/>
                </c:ext>
              </c:extLst>
            </c:dLbl>
            <c:dLbl>
              <c:idx val="4"/>
              <c:delete val="1"/>
              <c:extLst>
                <c:ext xmlns:c15="http://schemas.microsoft.com/office/drawing/2012/chart" uri="{CE6537A1-D6FC-4f65-9D91-7224C49458BB}"/>
                <c:ext xmlns:c16="http://schemas.microsoft.com/office/drawing/2014/chart" uri="{C3380CC4-5D6E-409C-BE32-E72D297353CC}">
                  <c16:uniqueId val="{00000009-21A0-4468-9055-A4A4A8B754DB}"/>
                </c:ext>
              </c:extLst>
            </c:dLbl>
            <c:dLbl>
              <c:idx val="5"/>
              <c:delete val="1"/>
              <c:extLst>
                <c:ext xmlns:c15="http://schemas.microsoft.com/office/drawing/2012/chart" uri="{CE6537A1-D6FC-4f65-9D91-7224C49458BB}"/>
                <c:ext xmlns:c16="http://schemas.microsoft.com/office/drawing/2014/chart" uri="{C3380CC4-5D6E-409C-BE32-E72D297353CC}">
                  <c16:uniqueId val="{0000000A-21A0-4468-9055-A4A4A8B754DB}"/>
                </c:ext>
              </c:extLst>
            </c:dLbl>
            <c:dLbl>
              <c:idx val="6"/>
              <c:delete val="1"/>
              <c:extLst>
                <c:ext xmlns:c15="http://schemas.microsoft.com/office/drawing/2012/chart" uri="{CE6537A1-D6FC-4f65-9D91-7224C49458BB}"/>
                <c:ext xmlns:c16="http://schemas.microsoft.com/office/drawing/2014/chart" uri="{C3380CC4-5D6E-409C-BE32-E72D297353CC}">
                  <c16:uniqueId val="{0000000B-21A0-4468-9055-A4A4A8B754DB}"/>
                </c:ext>
              </c:extLst>
            </c:dLbl>
            <c:dLbl>
              <c:idx val="7"/>
              <c:delete val="1"/>
              <c:extLst>
                <c:ext xmlns:c15="http://schemas.microsoft.com/office/drawing/2012/chart" uri="{CE6537A1-D6FC-4f65-9D91-7224C49458BB}"/>
                <c:ext xmlns:c16="http://schemas.microsoft.com/office/drawing/2014/chart" uri="{C3380CC4-5D6E-409C-BE32-E72D297353CC}">
                  <c16:uniqueId val="{0000000C-21A0-4468-9055-A4A4A8B754DB}"/>
                </c:ext>
              </c:extLst>
            </c:dLbl>
            <c:dLbl>
              <c:idx val="8"/>
              <c:delete val="1"/>
              <c:extLst>
                <c:ext xmlns:c15="http://schemas.microsoft.com/office/drawing/2012/chart" uri="{CE6537A1-D6FC-4f65-9D91-7224C49458BB}"/>
                <c:ext xmlns:c16="http://schemas.microsoft.com/office/drawing/2014/chart" uri="{C3380CC4-5D6E-409C-BE32-E72D297353CC}">
                  <c16:uniqueId val="{0000000D-21A0-4468-9055-A4A4A8B754DB}"/>
                </c:ext>
              </c:extLst>
            </c:dLbl>
            <c:dLbl>
              <c:idx val="9"/>
              <c:delete val="1"/>
              <c:extLst>
                <c:ext xmlns:c15="http://schemas.microsoft.com/office/drawing/2012/chart" uri="{CE6537A1-D6FC-4f65-9D91-7224C49458BB}"/>
                <c:ext xmlns:c16="http://schemas.microsoft.com/office/drawing/2014/chart" uri="{C3380CC4-5D6E-409C-BE32-E72D297353CC}">
                  <c16:uniqueId val="{0000000E-21A0-4468-9055-A4A4A8B754DB}"/>
                </c:ext>
              </c:extLst>
            </c:dLbl>
            <c:dLbl>
              <c:idx val="10"/>
              <c:delete val="1"/>
              <c:extLst>
                <c:ext xmlns:c15="http://schemas.microsoft.com/office/drawing/2012/chart" uri="{CE6537A1-D6FC-4f65-9D91-7224C49458BB}"/>
                <c:ext xmlns:c16="http://schemas.microsoft.com/office/drawing/2014/chart" uri="{C3380CC4-5D6E-409C-BE32-E72D297353CC}">
                  <c16:uniqueId val="{00000009-D9C1-4707-BE8E-F4F0BAE5D33D}"/>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1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'1M-DUMMY'!$F$20:$P$20</c:f>
              <c:numCache>
                <c:formatCode>0</c:formatCode>
                <c:ptCount val="11"/>
                <c:pt idx="0">
                  <c:v>0</c:v>
                </c:pt>
                <c:pt idx="1">
                  <c:v>14.84</c:v>
                </c:pt>
                <c:pt idx="2">
                  <c:v>14.6</c:v>
                </c:pt>
                <c:pt idx="3">
                  <c:v>370.72</c:v>
                </c:pt>
                <c:pt idx="4">
                  <c:v>380.64</c:v>
                </c:pt>
                <c:pt idx="5">
                  <c:v>344.61</c:v>
                </c:pt>
                <c:pt idx="6">
                  <c:v>289.8</c:v>
                </c:pt>
                <c:pt idx="7">
                  <c:v>245.12</c:v>
                </c:pt>
                <c:pt idx="8">
                  <c:v>253.5</c:v>
                </c:pt>
                <c:pt idx="9">
                  <c:v>224.64</c:v>
                </c:pt>
                <c:pt idx="10">
                  <c:v>205.92000000000002</c:v>
                </c:pt>
              </c:numCache>
            </c:numRef>
          </c:val>
          <c:extLst>
            <c:ext xmlns:c16="http://schemas.microsoft.com/office/drawing/2014/chart" uri="{C3380CC4-5D6E-409C-BE32-E72D297353CC}">
              <c16:uniqueId val="{00000008-D9C1-4707-BE8E-F4F0BAE5D33D}"/>
            </c:ext>
          </c:extLst>
        </c:ser>
        <c:ser>
          <c:idx val="4"/>
          <c:order val="5"/>
          <c:tx>
            <c:strRef>
              <c:f>'1M-DUMMY'!$B$23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0C-D9C1-4707-BE8E-F4F0BAE5D33D}"/>
              </c:ext>
            </c:extLst>
          </c:dPt>
          <c:dLbls>
            <c:dLbl>
              <c:idx val="4"/>
              <c:delete val="1"/>
              <c:extLst>
                <c:ext xmlns:c15="http://schemas.microsoft.com/office/drawing/2012/chart" uri="{CE6537A1-D6FC-4f65-9D91-7224C49458BB}">
                  <c15:layout>
                    <c:manualLayout>
                      <c:w val="4.0972131548348667E-2"/>
                      <c:h val="0.12830157503308828"/>
                    </c:manualLayout>
                  </c15:layout>
                </c:ext>
                <c:ext xmlns:c16="http://schemas.microsoft.com/office/drawing/2014/chart" uri="{C3380CC4-5D6E-409C-BE32-E72D297353CC}">
                  <c16:uniqueId val="{00000018-7F53-4D11-A677-45801A44032E}"/>
                </c:ext>
              </c:extLst>
            </c:dLbl>
            <c:dLbl>
              <c:idx val="8"/>
              <c:layout>
                <c:manualLayout>
                  <c:x val="9.4857447375432988E-2"/>
                  <c:y val="-0.342613327475377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12-A318-4A75-BCD3-B67A9738DD2A}"/>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2700" cap="flat" cmpd="sng" algn="ctr">
                      <a:solidFill>
                        <a:srgbClr val="00857D"/>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'1M-DUMMY'!$F$23:$P$23</c:f>
              <c:numCache>
                <c:formatCode>0</c:formatCode>
                <c:ptCount val="11"/>
                <c:pt idx="0">
                  <c:v>0</c:v>
                </c:pt>
                <c:pt idx="1">
                  <c:v>0</c:v>
                </c:pt>
                <c:pt idx="2">
                  <c:v>0</c:v>
                </c:pt>
                <c:pt idx="3">
                  <c:v>0</c:v>
                </c:pt>
                <c:pt idx="4">
                  <c:v>25.146639999999998</c:v>
                </c:pt>
                <c:pt idx="5">
                  <c:v>27.104779999999998</c:v>
                </c:pt>
                <c:pt idx="6">
                  <c:v>29.062920000000002</c:v>
                </c:pt>
                <c:pt idx="7">
                  <c:v>31.021060000000002</c:v>
                </c:pt>
                <c:pt idx="8">
                  <c:v>58.744200000000006</c:v>
                </c:pt>
                <c:pt idx="9">
                  <c:v>58.744200000000006</c:v>
                </c:pt>
                <c:pt idx="10">
                  <c:v>58.744200000000006</c:v>
                </c:pt>
              </c:numCache>
            </c:numRef>
          </c:val>
          <c:extLst>
            <c:ext xmlns:c16="http://schemas.microsoft.com/office/drawing/2014/chart" uri="{C3380CC4-5D6E-409C-BE32-E72D297353CC}">
              <c16:uniqueId val="{00000005-D9C1-4707-BE8E-F4F0BAE5D33D}"/>
            </c:ext>
          </c:extLst>
        </c:ser>
        <c:ser>
          <c:idx val="5"/>
          <c:order val="6"/>
          <c:tx>
            <c:strRef>
              <c:f>'1M-DUMMY'!$B$22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8.6722401567292232E-2"/>
                  <c:y val="-5.1613723752066729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4-A318-4A75-BCD3-B67A9738DD2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'1M-DUMMY'!$F$22:$P$22</c:f>
              <c:numCache>
                <c:formatCode>0</c:formatCode>
                <c:ptCount val="11"/>
                <c:pt idx="0">
                  <c:v>0</c:v>
                </c:pt>
                <c:pt idx="1">
                  <c:v>83.210180229999992</c:v>
                </c:pt>
                <c:pt idx="2">
                  <c:v>83.210180229999992</c:v>
                </c:pt>
                <c:pt idx="3">
                  <c:v>83.210180229999992</c:v>
                </c:pt>
                <c:pt idx="4">
                  <c:v>58.063540230000001</c:v>
                </c:pt>
                <c:pt idx="5">
                  <c:v>56.105400230000001</c:v>
                </c:pt>
                <c:pt idx="6">
                  <c:v>54.147260230000001</c:v>
                </c:pt>
                <c:pt idx="7">
                  <c:v>52.18912023</c:v>
                </c:pt>
                <c:pt idx="8">
                  <c:v>24.465980229999996</c:v>
                </c:pt>
                <c:pt idx="9">
                  <c:v>24.465980229999996</c:v>
                </c:pt>
                <c:pt idx="10">
                  <c:v>24.465980229999996</c:v>
                </c:pt>
              </c:numCache>
            </c:numRef>
          </c:val>
          <c:extLst>
            <c:ext xmlns:c16="http://schemas.microsoft.com/office/drawing/2014/chart" uri="{C3380CC4-5D6E-409C-BE32-E72D297353CC}">
              <c16:uniqueId val="{00000013-A318-4A75-BCD3-B67A9738DD2A}"/>
            </c:ext>
          </c:extLst>
        </c:ser>
        <c:ser>
          <c:idx val="3"/>
          <c:order val="7"/>
          <c:tx>
            <c:strRef>
              <c:f>'1M-DUMMY'!$B$24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89527032865532E-2"/>
                  <c:y val="-8.6158102948221807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A318-4A75-BCD3-B67A9738DD2A}"/>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EAEAEB">
                          <a:lumMod val="90000"/>
                        </a:srgbClr>
                      </a:solidFill>
                      <a:round/>
                    </a:ln>
                    <a:effectLst/>
                  </c:spPr>
                </c15:leaderLines>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'1M-DUMMY'!$F$24:$P$24</c:f>
              <c:numCache>
                <c:formatCode>0</c:formatCode>
                <c:ptCount val="11"/>
                <c:pt idx="0">
                  <c:v>0</c:v>
                </c:pt>
                <c:pt idx="1">
                  <c:v>70.452715501556085</c:v>
                </c:pt>
                <c:pt idx="2">
                  <c:v>63.72589524136157</c:v>
                </c:pt>
                <c:pt idx="3">
                  <c:v>56.999074981167055</c:v>
                </c:pt>
                <c:pt idx="4">
                  <c:v>50.272254720972541</c:v>
                </c:pt>
                <c:pt idx="5">
                  <c:v>43.545434460778033</c:v>
                </c:pt>
                <c:pt idx="6">
                  <c:v>36.818614200583525</c:v>
                </c:pt>
                <c:pt idx="7">
                  <c:v>30.09179394038901</c:v>
                </c:pt>
                <c:pt idx="8">
                  <c:v>23.364973680194499</c:v>
                </c:pt>
                <c:pt idx="9">
                  <c:v>16.638153419999988</c:v>
                </c:pt>
                <c:pt idx="10">
                  <c:v>16.638153419999998</c:v>
                </c:pt>
              </c:numCache>
            </c:numRef>
          </c:val>
          <c:extLst>
            <c:ext xmlns:c16="http://schemas.microsoft.com/office/drawing/2014/chart" uri="{C3380CC4-5D6E-409C-BE32-E72D297353CC}">
              <c16:uniqueId val="{00000003-D9C1-4707-BE8E-F4F0BAE5D33D}"/>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'1M-DUMMY'!$E$17</c:f>
              <c:strCache>
                <c:ptCount val="1"/>
                <c:pt idx="0">
                  <c:v>kg.CO2-e/m2</c:v>
                </c:pt>
              </c:strCache>
            </c:strRef>
          </c:tx>
          <c:spPr>
            <a:ln w="28575" cap="rnd">
              <a:solidFill>
                <a:srgbClr val="2DCCD3"/>
              </a:solidFill>
              <a:round/>
            </a:ln>
            <a:effectLst/>
          </c:spPr>
          <c:marker>
            <c:symbol val="none"/>
          </c:marker>
          <c:dLbls>
            <c:dLbl>
              <c:idx val="1"/>
              <c:layout>
                <c:manualLayout>
                  <c:x val="-1.882449409856049E-2"/>
                  <c:y val="-0.1078085440884629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318-4A75-BCD3-B67A9738DD2A}"/>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'1M-DUMMY'!$F$12:$P$12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'1M-DUMMY'!$F$17:$P$17</c:f>
              <c:numCache>
                <c:formatCode>0.0</c:formatCode>
                <c:ptCount val="11"/>
                <c:pt idx="0">
                  <c:v>54.926613728030951</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15-A318-4A75-BCD3-B67A9738DD2A}"/>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75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5.4628671482347048E-2"/>
          <c:y val="0.20054968839280449"/>
          <c:w val="0.93076621340279109"/>
          <c:h val="0.69890162698228475"/>
        </c:manualLayout>
      </c:layout>
      <c:barChart>
        <c:barDir val="col"/>
        <c:grouping val="clustered"/>
        <c:varyColors val="0"/>
        <c:ser>
          <c:idx val="2"/>
          <c:order val="2"/>
          <c:tx>
            <c:v>Total Savings ($/m2 p.a.)</c:v>
          </c:tx>
          <c:spPr>
            <a:solidFill>
              <a:srgbClr val="00857D"/>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5441-4C8A-A942-8C505257A1ED}"/>
                </c:ext>
              </c:extLst>
            </c:dLbl>
            <c:dLbl>
              <c:idx val="1"/>
              <c:delete val="1"/>
              <c:extLst>
                <c:ext xmlns:c15="http://schemas.microsoft.com/office/drawing/2012/chart" uri="{CE6537A1-D6FC-4f65-9D91-7224C49458BB}"/>
                <c:ext xmlns:c16="http://schemas.microsoft.com/office/drawing/2014/chart" uri="{C3380CC4-5D6E-409C-BE32-E72D297353CC}">
                  <c16:uniqueId val="{00000001-5441-4C8A-A942-8C505257A1ED}"/>
                </c:ext>
              </c:extLst>
            </c:dLbl>
            <c:dLbl>
              <c:idx val="2"/>
              <c:delete val="1"/>
              <c:extLst>
                <c:ext xmlns:c15="http://schemas.microsoft.com/office/drawing/2012/chart" uri="{CE6537A1-D6FC-4f65-9D91-7224C49458BB}"/>
                <c:ext xmlns:c16="http://schemas.microsoft.com/office/drawing/2014/chart" uri="{C3380CC4-5D6E-409C-BE32-E72D297353CC}">
                  <c16:uniqueId val="{00000002-5441-4C8A-A942-8C505257A1ED}"/>
                </c:ext>
              </c:extLst>
            </c:dLbl>
            <c:dLbl>
              <c:idx val="3"/>
              <c:delete val="1"/>
              <c:extLst>
                <c:ext xmlns:c15="http://schemas.microsoft.com/office/drawing/2012/chart" uri="{CE6537A1-D6FC-4f65-9D91-7224C49458BB}"/>
                <c:ext xmlns:c16="http://schemas.microsoft.com/office/drawing/2014/chart" uri="{C3380CC4-5D6E-409C-BE32-E72D297353CC}">
                  <c16:uniqueId val="{00000003-5441-4C8A-A942-8C505257A1ED}"/>
                </c:ext>
              </c:extLst>
            </c:dLbl>
            <c:dLbl>
              <c:idx val="4"/>
              <c:layout>
                <c:manualLayout>
                  <c:x val="-2.9249769582165939E-2"/>
                  <c:y val="7.3502197397384231E-3"/>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441-4C8A-A942-8C505257A1ED}"/>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'567C-NR'!$F$30:$P$30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'179T-NR'!$F$51:$P$51</c:f>
              <c:numCache>
                <c:formatCode>"$"#,##0.00</c:formatCode>
                <c:ptCount val="11"/>
                <c:pt idx="0">
                  <c:v>0</c:v>
                </c:pt>
                <c:pt idx="1">
                  <c:v>0</c:v>
                </c:pt>
                <c:pt idx="2">
                  <c:v>0</c:v>
                </c:pt>
                <c:pt idx="3">
                  <c:v>0</c:v>
                </c:pt>
                <c:pt idx="4">
                  <c:v>0</c:v>
                </c:pt>
                <c:pt idx="5">
                  <c:v>0.35614346026785321</c:v>
                </c:pt>
                <c:pt idx="6">
                  <c:v>0.36860848137722818</c:v>
                </c:pt>
                <c:pt idx="7">
                  <c:v>0.38150977822543058</c:v>
                </c:pt>
                <c:pt idx="8">
                  <c:v>0.45781173387051766</c:v>
                </c:pt>
                <c:pt idx="9">
                  <c:v>0.47383514455598491</c:v>
                </c:pt>
                <c:pt idx="10">
                  <c:v>0.4904193746154466</c:v>
                </c:pt>
              </c:numCache>
            </c:numRef>
          </c:val>
          <c:extLst>
            <c:ext xmlns:c16="http://schemas.microsoft.com/office/drawing/2014/chart" uri="{C3380CC4-5D6E-409C-BE32-E72D297353CC}">
              <c16:uniqueId val="{00000005-5441-4C8A-A942-8C505257A1ED}"/>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5441-4C8A-A942-8C505257A1ED}"/>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441-4C8A-A942-8C505257A1ED}"/>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441-4C8A-A942-8C505257A1ED}"/>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441-4C8A-A942-8C505257A1ED}"/>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'179T-NR'!$F$6:$P$6</c:f>
              <c:numCache>
                <c:formatCode>#,##0_ ;\-#,##0\ </c:formatCode>
                <c:ptCount val="11"/>
                <c:pt idx="0">
                  <c:v>894.80700000000002</c:v>
                </c:pt>
                <c:pt idx="1">
                  <c:v>894.80700000000002</c:v>
                </c:pt>
                <c:pt idx="2">
                  <c:v>894.80700000000002</c:v>
                </c:pt>
                <c:pt idx="3">
                  <c:v>894.80700000000002</c:v>
                </c:pt>
                <c:pt idx="4">
                  <c:v>894.80700000000002</c:v>
                </c:pt>
                <c:pt idx="5">
                  <c:v>853.80700000000002</c:v>
                </c:pt>
                <c:pt idx="6">
                  <c:v>853.80700000000002</c:v>
                </c:pt>
                <c:pt idx="7">
                  <c:v>853.80700000000002</c:v>
                </c:pt>
                <c:pt idx="8">
                  <c:v>853.80700000000002</c:v>
                </c:pt>
                <c:pt idx="9">
                  <c:v>853.80700000000002</c:v>
                </c:pt>
                <c:pt idx="10">
                  <c:v>853.80700000000002</c:v>
                </c:pt>
              </c:numCache>
            </c:numRef>
          </c:val>
          <c:smooth val="0"/>
          <c:extLst>
            <c:ext xmlns:c16="http://schemas.microsoft.com/office/drawing/2014/chart" uri="{C3380CC4-5D6E-409C-BE32-E72D297353CC}">
              <c16:uniqueId val="{0000000A-5441-4C8A-A942-8C505257A1ED}"/>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B-5441-4C8A-A942-8C505257A1ED}"/>
                </c:ext>
              </c:extLst>
            </c:dLbl>
            <c:dLbl>
              <c:idx val="10"/>
              <c:layout>
                <c:manualLayout>
                  <c:x val="-8.7970787005246937E-3"/>
                  <c:y val="-0.1347544660194480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C-5441-4C8A-A942-8C505257A1ED}"/>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'179T-NR'!$F$37:$P$37</c:f>
              <c:numCache>
                <c:formatCode>_("$"* #,##0.00_);_("$"* \(#,##0.00\);_("$"* "-"??_);_(@_)</c:formatCode>
                <c:ptCount val="11"/>
                <c:pt idx="0">
                  <c:v>5.6911124112330551</c:v>
                </c:pt>
                <c:pt idx="1">
                  <c:v>6.7734369249653597</c:v>
                </c:pt>
                <c:pt idx="2">
                  <c:v>7.2073193625336263</c:v>
                </c:pt>
                <c:pt idx="3">
                  <c:v>7.4326554198532149</c:v>
                </c:pt>
                <c:pt idx="4">
                  <c:v>7.6665793485140421</c:v>
                </c:pt>
                <c:pt idx="5">
                  <c:v>7.9093917240130533</c:v>
                </c:pt>
                <c:pt idx="6">
                  <c:v>8.161403641989585</c:v>
                </c:pt>
                <c:pt idx="7">
                  <c:v>8.4229370864303501</c:v>
                </c:pt>
                <c:pt idx="8">
                  <c:v>10.068162074677524</c:v>
                </c:pt>
                <c:pt idx="9">
                  <c:v>10.397834282932477</c:v>
                </c:pt>
                <c:pt idx="10">
                  <c:v>10.759777823098693</c:v>
                </c:pt>
              </c:numCache>
            </c:numRef>
          </c:val>
          <c:smooth val="0"/>
          <c:extLst>
            <c:ext xmlns:c16="http://schemas.microsoft.com/office/drawing/2014/chart" uri="{C3380CC4-5D6E-409C-BE32-E72D297353CC}">
              <c16:uniqueId val="{0000000D-5441-4C8A-A942-8C505257A1ED}"/>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95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17"/>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AU" sz="2000" b="1">
                <a:latin typeface="Arial" panose="020B0604020202020204" pitchFamily="34" charset="0"/>
                <a:cs typeface="Arial" panose="020B0604020202020204" pitchFamily="34" charset="0"/>
              </a:rPr>
              <a:t>NABERS Energy (site,</a:t>
            </a:r>
            <a:r>
              <a:rPr lang="en-AU" sz="2000" b="1" baseline="0">
                <a:latin typeface="Arial" panose="020B0604020202020204" pitchFamily="34" charset="0"/>
                <a:cs typeface="Arial" panose="020B0604020202020204" pitchFamily="34" charset="0"/>
              </a:rPr>
              <a:t> fund, &amp; platform </a:t>
            </a:r>
            <a:r>
              <a:rPr lang="en-AU" sz="2000" b="1">
                <a:latin typeface="Arial" panose="020B0604020202020204" pitchFamily="34" charset="0"/>
                <a:cs typeface="Arial" panose="020B0604020202020204" pitchFamily="34" charset="0"/>
              </a:rPr>
              <a:t>trajectories)   </a:t>
            </a:r>
          </a:p>
        </c:rich>
      </c:tx>
      <c:layout>
        <c:manualLayout>
          <c:xMode val="edge"/>
          <c:yMode val="edge"/>
          <c:x val="2.6753431218332581E-3"/>
          <c:y val="1.5279337180601371E-2"/>
        </c:manualLayout>
      </c:layout>
      <c:overlay val="0"/>
      <c:spPr>
        <a:noFill/>
        <a:ln>
          <a:noFill/>
        </a:ln>
        <a:effectLst/>
      </c:spPr>
      <c:txPr>
        <a:bodyPr rot="0" spcFirstLastPara="1" vertOverflow="ellipsis" vert="horz" wrap="square" anchor="ctr" anchorCtr="1"/>
        <a:lstStyle/>
        <a:p>
          <a:pPr algn="l">
            <a:defRPr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4.850167697281093E-2"/>
          <c:y val="0.13303758598050358"/>
          <c:w val="0.94201973398900085"/>
          <c:h val="0.79466314888102019"/>
        </c:manualLayout>
      </c:layout>
      <c:lineChart>
        <c:grouping val="standard"/>
        <c:varyColors val="0"/>
        <c:ser>
          <c:idx val="1"/>
          <c:order val="0"/>
          <c:tx>
            <c:strRef>
              <c:f>'1M-NR'!$E$56</c:f>
              <c:strCache>
                <c:ptCount val="1"/>
                <c:pt idx="0">
                  <c:v>Asset</c:v>
                </c:pt>
              </c:strCache>
            </c:strRef>
          </c:tx>
          <c:spPr>
            <a:ln w="28575" cap="rnd">
              <a:solidFill>
                <a:schemeClr val="accent2"/>
              </a:solidFill>
              <a:round/>
            </a:ln>
            <a:effectLst/>
          </c:spPr>
          <c:marker>
            <c:symbol val="none"/>
          </c:marker>
          <c:dLbls>
            <c:dLbl>
              <c:idx val="0"/>
              <c:layout>
                <c:manualLayout>
                  <c:x val="-2.3015678470600452E-2"/>
                  <c:y val="3.7934740281857303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4D52-480E-871F-D038AC725289}"/>
                </c:ext>
              </c:extLst>
            </c:dLbl>
            <c:dLbl>
              <c:idx val="1"/>
              <c:layout>
                <c:manualLayout>
                  <c:x val="-2.9575241927109142E-2"/>
                  <c:y val="3.8111040956863268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4D52-480E-871F-D038AC725289}"/>
                </c:ext>
              </c:extLst>
            </c:dLbl>
            <c:dLbl>
              <c:idx val="2"/>
              <c:layout>
                <c:manualLayout>
                  <c:x val="-2.4463397179066714E-2"/>
                  <c:y val="4.069353065994822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4D52-480E-871F-D038AC725289}"/>
                </c:ext>
              </c:extLst>
            </c:dLbl>
            <c:spPr>
              <a:noFill/>
              <a:ln>
                <a:noFill/>
              </a:ln>
              <a:effectLst/>
            </c:spPr>
            <c:txPr>
              <a:bodyPr rot="0" spcFirstLastPara="1" vertOverflow="ellipsis" vert="horz" wrap="square" anchor="ctr" anchorCtr="1"/>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'1M-NR'!$F$56:$P$56</c:f>
              <c:numCache>
                <c:formatCode>0.00</c:formatCode>
                <c:ptCount val="11"/>
                <c:pt idx="0">
                  <c:v>5.1606552665612879</c:v>
                </c:pt>
                <c:pt idx="1">
                  <c:v>5.1606552665612879</c:v>
                </c:pt>
                <c:pt idx="2">
                  <c:v>5.1749719079986978</c:v>
                </c:pt>
                <c:pt idx="3">
                  <c:v>5.5615212268087628</c:v>
                </c:pt>
                <c:pt idx="4">
                  <c:v>5.6194497516387898</c:v>
                </c:pt>
                <c:pt idx="5">
                  <c:v>5.6283318490111567</c:v>
                </c:pt>
                <c:pt idx="6">
                  <c:v>5.6372139463835236</c:v>
                </c:pt>
                <c:pt idx="7">
                  <c:v>5.6460960437558905</c:v>
                </c:pt>
                <c:pt idx="8">
                  <c:v>5.7707175822301329</c:v>
                </c:pt>
                <c:pt idx="9">
                  <c:v>5.7707175822301329</c:v>
                </c:pt>
                <c:pt idx="10">
                  <c:v>5.7707175822301329</c:v>
                </c:pt>
              </c:numCache>
            </c:numRef>
          </c:val>
          <c:smooth val="1"/>
          <c:extLst>
            <c:ext xmlns:c16="http://schemas.microsoft.com/office/drawing/2014/chart" uri="{C3380CC4-5D6E-409C-BE32-E72D297353CC}">
              <c16:uniqueId val="{00000003-4D52-480E-871F-D038AC725289}"/>
            </c:ext>
          </c:extLst>
        </c:ser>
        <c:ser>
          <c:idx val="2"/>
          <c:order val="1"/>
          <c:tx>
            <c:strRef>
              <c:f>'1M-NR'!$E$58</c:f>
              <c:strCache>
                <c:ptCount val="1"/>
                <c:pt idx="0">
                  <c:v>JV Parent</c:v>
                </c:pt>
              </c:strCache>
            </c:strRef>
          </c:tx>
          <c:spPr>
            <a:ln w="28575" cap="rnd">
              <a:solidFill>
                <a:schemeClr val="accent3"/>
              </a:solidFill>
              <a:round/>
            </a:ln>
            <a:effectLst/>
          </c:spPr>
          <c:marker>
            <c:symbol val="none"/>
          </c:marker>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'1M-NR'!$F$58:$P$58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4D52-480E-871F-D038AC725289}"/>
            </c:ext>
          </c:extLst>
        </c:ser>
        <c:ser>
          <c:idx val="3"/>
          <c:order val="2"/>
          <c:tx>
            <c:strRef>
              <c:f>'1M-NR'!$E$57</c:f>
              <c:strCache>
                <c:ptCount val="1"/>
                <c:pt idx="0">
                  <c:v>Parent Fund</c:v>
                </c:pt>
              </c:strCache>
            </c:strRef>
          </c:tx>
          <c:spPr>
            <a:ln w="28575" cap="rnd">
              <a:solidFill>
                <a:schemeClr val="accent4"/>
              </a:solidFill>
              <a:round/>
            </a:ln>
            <a:effectLst/>
          </c:spPr>
          <c:marker>
            <c:symbol val="none"/>
          </c:marker>
          <c:dLbls>
            <c:numFmt formatCode="0.00" sourceLinked="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1"/>
          <c:extLst>
            <c:ext xmlns:c16="http://schemas.microsoft.com/office/drawing/2014/chart" uri="{C3380CC4-5D6E-409C-BE32-E72D297353CC}">
              <c16:uniqueId val="{00000005-4D52-480E-871F-D038AC725289}"/>
            </c:ext>
          </c:extLst>
        </c:ser>
        <c:ser>
          <c:idx val="4"/>
          <c:order val="3"/>
          <c:tx>
            <c:strRef>
              <c:f>'1M-NR'!$E$59</c:f>
              <c:strCache>
                <c:ptCount val="1"/>
                <c:pt idx="0">
                  <c:v>IOM</c:v>
                </c:pt>
              </c:strCache>
            </c:strRef>
          </c:tx>
          <c:spPr>
            <a:ln w="31750" cap="rnd">
              <a:solidFill>
                <a:schemeClr val="accent5"/>
              </a:solidFill>
              <a:round/>
            </a:ln>
            <a:effectLst/>
          </c:spPr>
          <c:marker>
            <c:symbol val="none"/>
          </c:marker>
          <c:dLbls>
            <c:dLbl>
              <c:idx val="0"/>
              <c:layout>
                <c:manualLayout>
                  <c:x val="-2.5741358366077317E-2"/>
                  <c:y val="2.64512016202581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D52-480E-871F-D038AC725289}"/>
                </c:ext>
              </c:extLst>
            </c:dLbl>
            <c:dLbl>
              <c:idx val="1"/>
              <c:layout>
                <c:manualLayout>
                  <c:x val="-2.5741358366077317E-2"/>
                  <c:y val="2.12862222140883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52-480E-871F-D038AC725289}"/>
                </c:ext>
              </c:extLst>
            </c:dLbl>
            <c:dLbl>
              <c:idx val="2"/>
              <c:layout>
                <c:manualLayout>
                  <c:x val="-2.5741358366077317E-2"/>
                  <c:y val="-2.51985924414389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D52-480E-871F-D038AC72528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'1M-NR'!$F$59:$P$59</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1"/>
          <c:extLst>
            <c:ext xmlns:c16="http://schemas.microsoft.com/office/drawing/2014/chart" uri="{C3380CC4-5D6E-409C-BE32-E72D297353CC}">
              <c16:uniqueId val="{00000009-4D52-480E-871F-D038AC725289}"/>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ysClr val="windowText" lastClr="000000">
                <a:lumMod val="75000"/>
                <a:lumOff val="25000"/>
              </a:sys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
        </c:scaling>
        <c:delete val="0"/>
        <c:axPos val="l"/>
        <c:majorGridlines>
          <c:spPr>
            <a:ln w="9525" cap="flat" cmpd="sng" algn="ctr">
              <a:solidFill>
                <a:srgbClr val="EAEAEB">
                  <a:lumMod val="10000"/>
                </a:srgb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90140096"/>
        <c:crosses val="autoZero"/>
        <c:crossBetween val="between"/>
        <c:majorUnit val="0.5"/>
      </c:valAx>
      <c:spPr>
        <a:noFill/>
        <a:ln>
          <a:noFill/>
        </a:ln>
        <a:effectLst/>
      </c:spPr>
    </c:plotArea>
    <c:legend>
      <c:legendPos val="r"/>
      <c:legendEntry>
        <c:idx val="1"/>
        <c:delete val="1"/>
      </c:legendEntry>
      <c:layout>
        <c:manualLayout>
          <c:xMode val="edge"/>
          <c:yMode val="edge"/>
          <c:x val="4.5305736616828192E-2"/>
          <c:y val="0.17046087636347945"/>
          <c:w val="0.11761137589718279"/>
          <c:h val="0.16052530734415296"/>
        </c:manualLayout>
      </c:layout>
      <c:overlay val="1"/>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solidFill>
    <a:ln w="9525" cap="flat" cmpd="sng" algn="ctr">
      <a:noFill/>
      <a:round/>
    </a:ln>
    <a:effectLst/>
  </c:spPr>
  <c:txPr>
    <a:bodyPr/>
    <a:lstStyle/>
    <a:p>
      <a:pPr>
        <a:defRPr b="0">
          <a:solidFill>
            <a:schemeClr val="bg1"/>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2000" b="1">
                <a:solidFill>
                  <a:schemeClr val="bg1"/>
                </a:solidFill>
                <a:latin typeface="Arial" panose="020B0604020202020204" pitchFamily="34" charset="0"/>
                <a:cs typeface="Arial" panose="020B0604020202020204" pitchFamily="34" charset="0"/>
              </a:rPr>
              <a:t>Net Zero Contribution - by scope &amp; activity</a:t>
            </a:r>
          </a:p>
        </c:rich>
      </c:tx>
      <c:layout>
        <c:manualLayout>
          <c:xMode val="edge"/>
          <c:yMode val="edge"/>
          <c:x val="2.4022304294825911E-2"/>
          <c:y val="1.958457064812592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8963308764938039"/>
          <c:y val="0.15508201489991141"/>
          <c:w val="0.43095775296992445"/>
          <c:h val="0.78519699665987908"/>
        </c:manualLayout>
      </c:layout>
      <c:doughnutChart>
        <c:varyColors val="1"/>
        <c:ser>
          <c:idx val="0"/>
          <c:order val="0"/>
          <c:tx>
            <c:strRef>
              <c:f>'1M-NR'!$A$18</c:f>
              <c:strCache>
                <c:ptCount val="1"/>
                <c:pt idx="0">
                  <c:v>Net Zero Contribution</c:v>
                </c:pt>
              </c:strCache>
            </c:strRef>
          </c:tx>
          <c:dPt>
            <c:idx val="0"/>
            <c:bubble3D val="0"/>
            <c:spPr>
              <a:pattFill prst="wdUpDiag">
                <a:fgClr>
                  <a:schemeClr val="accent5">
                    <a:lumMod val="60000"/>
                    <a:lumOff val="40000"/>
                  </a:schemeClr>
                </a:fgClr>
                <a:bgClr>
                  <a:schemeClr val="tx1"/>
                </a:bgClr>
              </a:pattFill>
              <a:ln w="9525">
                <a:solidFill>
                  <a:srgbClr val="2DCCD3"/>
                </a:solidFill>
                <a:prstDash val="dash"/>
              </a:ln>
              <a:effectLst/>
            </c:spPr>
            <c:extLst>
              <c:ext xmlns:c16="http://schemas.microsoft.com/office/drawing/2014/chart" uri="{C3380CC4-5D6E-409C-BE32-E72D297353CC}">
                <c16:uniqueId val="{00000001-66C2-4EBB-9CBF-D2264299286D}"/>
              </c:ext>
            </c:extLst>
          </c:dPt>
          <c:dPt>
            <c:idx val="1"/>
            <c:bubble3D val="0"/>
            <c:spPr>
              <a:solidFill>
                <a:schemeClr val="accent2">
                  <a:alpha val="29000"/>
                </a:schemeClr>
              </a:solidFill>
              <a:ln w="12700">
                <a:solidFill>
                  <a:srgbClr val="2DCCD3"/>
                </a:solidFill>
                <a:prstDash val="dash"/>
              </a:ln>
              <a:effectLst/>
            </c:spPr>
            <c:extLst>
              <c:ext xmlns:c16="http://schemas.microsoft.com/office/drawing/2014/chart" uri="{C3380CC4-5D6E-409C-BE32-E72D297353CC}">
                <c16:uniqueId val="{00000003-66C2-4EBB-9CBF-D2264299286D}"/>
              </c:ext>
            </c:extLst>
          </c:dPt>
          <c:dPt>
            <c:idx val="2"/>
            <c:bubble3D val="0"/>
            <c:spPr>
              <a:pattFill prst="wdDnDiag">
                <a:fgClr>
                  <a:schemeClr val="accent1"/>
                </a:fgClr>
                <a:bgClr>
                  <a:schemeClr val="accent5"/>
                </a:bgClr>
              </a:pattFill>
              <a:ln w="9525">
                <a:solidFill>
                  <a:schemeClr val="accent5"/>
                </a:solidFill>
                <a:prstDash val="sysDash"/>
              </a:ln>
              <a:effectLst/>
            </c:spPr>
            <c:extLst>
              <c:ext xmlns:c16="http://schemas.microsoft.com/office/drawing/2014/chart" uri="{C3380CC4-5D6E-409C-BE32-E72D297353CC}">
                <c16:uniqueId val="{00000005-66C2-4EBB-9CBF-D2264299286D}"/>
              </c:ext>
            </c:extLst>
          </c:dPt>
          <c:dPt>
            <c:idx val="3"/>
            <c:bubble3D val="0"/>
            <c:spPr>
              <a:pattFill prst="wdUpDiag">
                <a:fgClr>
                  <a:schemeClr val="bg1"/>
                </a:fgClr>
                <a:bgClr>
                  <a:schemeClr val="accent5"/>
                </a:bgClr>
              </a:pattFill>
              <a:ln w="9525">
                <a:solidFill>
                  <a:schemeClr val="lt1"/>
                </a:solidFill>
                <a:prstDash val="sysDash"/>
              </a:ln>
              <a:effectLst/>
            </c:spPr>
            <c:extLst>
              <c:ext xmlns:c16="http://schemas.microsoft.com/office/drawing/2014/chart" uri="{C3380CC4-5D6E-409C-BE32-E72D297353CC}">
                <c16:uniqueId val="{00000007-66C2-4EBB-9CBF-D2264299286D}"/>
              </c:ext>
            </c:extLst>
          </c:dPt>
          <c:dPt>
            <c:idx val="4"/>
            <c:bubble3D val="0"/>
            <c:spPr>
              <a:pattFill prst="wdUpDiag">
                <a:fgClr>
                  <a:schemeClr val="accent4">
                    <a:lumMod val="75000"/>
                  </a:schemeClr>
                </a:fgClr>
                <a:bgClr>
                  <a:schemeClr val="accent1"/>
                </a:bgClr>
              </a:pattFill>
              <a:ln w="9525">
                <a:solidFill>
                  <a:schemeClr val="lt1"/>
                </a:solidFill>
                <a:prstDash val="dash"/>
              </a:ln>
              <a:effectLst/>
            </c:spPr>
            <c:extLst>
              <c:ext xmlns:c16="http://schemas.microsoft.com/office/drawing/2014/chart" uri="{C3380CC4-5D6E-409C-BE32-E72D297353CC}">
                <c16:uniqueId val="{00000009-66C2-4EBB-9CBF-D2264299286D}"/>
              </c:ext>
            </c:extLst>
          </c:dPt>
          <c:dLbls>
            <c:dLbl>
              <c:idx val="0"/>
              <c:layout>
                <c:manualLayout>
                  <c:x val="0.20692530028910336"/>
                  <c:y val="2.6280334880737041E-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accent2"/>
                        </a:solidFill>
                        <a:latin typeface="+mn-lt"/>
                        <a:ea typeface="+mn-ea"/>
                        <a:cs typeface="+mn-cs"/>
                      </a:defRPr>
                    </a:pPr>
                    <a:fld id="{AFC1256E-1E79-48E5-A3AA-B7AA4220FAD3}" type="CATEGORYNAME">
                      <a:rPr lang="en-US" baseline="0">
                        <a:solidFill>
                          <a:srgbClr val="2DCCD3"/>
                        </a:solidFill>
                      </a:rPr>
                      <a:pPr>
                        <a:defRPr sz="1600">
                          <a:solidFill>
                            <a:schemeClr val="accent2"/>
                          </a:solidFill>
                        </a:defRPr>
                      </a:pPr>
                      <a:t>[CATEGORY NAME]</a:t>
                    </a:fld>
                    <a:r>
                      <a:rPr lang="en-US" baseline="0">
                        <a:solidFill>
                          <a:srgbClr val="2DCCD3"/>
                        </a:solidFill>
                      </a:rPr>
                      <a:t>
</a:t>
                    </a:r>
                    <a:fld id="{B1138324-738B-4BF1-9DA6-F11E0F30C5F7}" type="PERCENTAGE">
                      <a:rPr lang="en-US" baseline="0">
                        <a:solidFill>
                          <a:srgbClr val="2DCCD3"/>
                        </a:solidFill>
                      </a:rPr>
                      <a:pPr>
                        <a:defRPr sz="1600">
                          <a:solidFill>
                            <a:schemeClr val="accent2"/>
                          </a:solidFill>
                        </a:defRPr>
                      </a:pPr>
                      <a:t>[PERCENTAGE]</a:t>
                    </a:fld>
                    <a:endParaRPr lang="en-US" baseline="0">
                      <a:solidFill>
                        <a:srgbClr val="2DCCD3"/>
                      </a:solidFill>
                    </a:endParaRPr>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6C2-4EBB-9CBF-D2264299286D}"/>
                </c:ext>
              </c:extLst>
            </c:dLbl>
            <c:dLbl>
              <c:idx val="1"/>
              <c:layout>
                <c:manualLayout>
                  <c:x val="-0.19027073024329663"/>
                  <c:y val="-4.5316206731609292E-2"/>
                </c:manualLayout>
              </c:layout>
              <c:tx>
                <c:rich>
                  <a:bodyPr rot="0" spcFirstLastPara="1" vertOverflow="ellipsis" vert="horz" wrap="square" lIns="38100" tIns="19050" rIns="38100" bIns="19050" anchor="ctr" anchorCtr="1">
                    <a:noAutofit/>
                  </a:bodyPr>
                  <a:lstStyle/>
                  <a:p>
                    <a:pPr>
                      <a:defRPr sz="1600" b="0" i="0" u="none" strike="noStrike" kern="1200" baseline="0">
                        <a:solidFill>
                          <a:schemeClr val="accent2"/>
                        </a:solidFill>
                        <a:latin typeface="+mn-lt"/>
                        <a:ea typeface="+mn-ea"/>
                        <a:cs typeface="+mn-cs"/>
                      </a:defRPr>
                    </a:pPr>
                    <a:fld id="{98A47993-A086-4A3D-A55F-0D0234127722}" type="CATEGORYNAME">
                      <a:rPr lang="en-US" sz="1600">
                        <a:solidFill>
                          <a:srgbClr val="2DCCD3"/>
                        </a:solidFill>
                      </a:rPr>
                      <a:pPr>
                        <a:defRPr sz="1600">
                          <a:solidFill>
                            <a:schemeClr val="accent2"/>
                          </a:solidFill>
                        </a:defRPr>
                      </a:pPr>
                      <a:t>[CATEGORY NAME]</a:t>
                    </a:fld>
                    <a:r>
                      <a:rPr lang="en-US" sz="1600" baseline="0">
                        <a:solidFill>
                          <a:srgbClr val="2DCCD3"/>
                        </a:solidFill>
                      </a:rPr>
                      <a:t>
</a:t>
                    </a:r>
                    <a:fld id="{BA4636AD-7D06-43FA-BEE5-4D4C4B64A1A8}" type="PERCENTAGE">
                      <a:rPr lang="en-US" sz="1600" baseline="0">
                        <a:solidFill>
                          <a:srgbClr val="2DCCD3"/>
                        </a:solidFill>
                      </a:rPr>
                      <a:pPr>
                        <a:defRPr sz="1600">
                          <a:solidFill>
                            <a:schemeClr val="accent2"/>
                          </a:solidFill>
                        </a:defRPr>
                      </a:pPr>
                      <a:t>[PERCENTAGE]</a:t>
                    </a:fld>
                    <a:endParaRPr lang="en-US" sz="1600" baseline="0">
                      <a:solidFill>
                        <a:srgbClr val="2DCCD3"/>
                      </a:solidFill>
                    </a:endParaRPr>
                  </a:p>
                </c:rich>
              </c:tx>
              <c:spPr>
                <a:solidFill>
                  <a:schemeClr val="tx1"/>
                </a:solid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8975552165008114"/>
                      <c:h val="0.24773657750856182"/>
                    </c:manualLayout>
                  </c15:layout>
                  <c15:dlblFieldTable/>
                  <c15:showDataLabelsRange val="0"/>
                </c:ext>
                <c:ext xmlns:c16="http://schemas.microsoft.com/office/drawing/2014/chart" uri="{C3380CC4-5D6E-409C-BE32-E72D297353CC}">
                  <c16:uniqueId val="{00000003-66C2-4EBB-9CBF-D2264299286D}"/>
                </c:ext>
              </c:extLst>
            </c:dLbl>
            <c:dLbl>
              <c:idx val="2"/>
              <c:layout>
                <c:manualLayout>
                  <c:x val="0.15821252962121354"/>
                  <c:y val="-0.18315823375973508"/>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626868032778241"/>
                      <c:h val="0.14883233203401991"/>
                    </c:manualLayout>
                  </c15:layout>
                </c:ext>
                <c:ext xmlns:c16="http://schemas.microsoft.com/office/drawing/2014/chart" uri="{C3380CC4-5D6E-409C-BE32-E72D297353CC}">
                  <c16:uniqueId val="{00000005-66C2-4EBB-9CBF-D2264299286D}"/>
                </c:ext>
              </c:extLst>
            </c:dLbl>
            <c:dLbl>
              <c:idx val="3"/>
              <c:layout>
                <c:manualLayout>
                  <c:x val="0.19954881857803528"/>
                  <c:y val="-7.093444103527844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6C2-4EBB-9CBF-D2264299286D}"/>
                </c:ext>
              </c:extLst>
            </c:dLbl>
            <c:dLbl>
              <c:idx val="4"/>
              <c:layout>
                <c:manualLayout>
                  <c:x val="0.25120864481741279"/>
                  <c:y val="5.659476583398510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6C2-4EBB-9CBF-D2264299286D}"/>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'1M-NR'!$B$20:$B$24</c:f>
              <c:strCache>
                <c:ptCount val="5"/>
                <c:pt idx="0">
                  <c:v>Energy Efficiency</c:v>
                </c:pt>
                <c:pt idx="1">
                  <c:v>Renewable Electricity</c:v>
                </c:pt>
                <c:pt idx="2">
                  <c:v>Gas Offsets</c:v>
                </c:pt>
                <c:pt idx="3">
                  <c:v>Electrification</c:v>
                </c:pt>
                <c:pt idx="4">
                  <c:v>Scope 3 Offsets</c:v>
                </c:pt>
              </c:strCache>
            </c:strRef>
          </c:cat>
          <c:val>
            <c:numRef>
              <c:f>'1M-NR'!$Q$20:$Q$24</c:f>
              <c:numCache>
                <c:formatCode>0</c:formatCode>
                <c:ptCount val="5"/>
                <c:pt idx="0">
                  <c:v>2344.39</c:v>
                </c:pt>
                <c:pt idx="1">
                  <c:v>6825.2802500000007</c:v>
                </c:pt>
                <c:pt idx="2">
                  <c:v>543.53380229999993</c:v>
                </c:pt>
                <c:pt idx="3">
                  <c:v>288.56800000000004</c:v>
                </c:pt>
                <c:pt idx="4">
                  <c:v>408.54706356700223</c:v>
                </c:pt>
              </c:numCache>
            </c:numRef>
          </c:val>
          <c:extLst>
            <c:ext xmlns:c16="http://schemas.microsoft.com/office/drawing/2014/chart" uri="{C3380CC4-5D6E-409C-BE32-E72D297353CC}">
              <c16:uniqueId val="{0000000A-66C2-4EBB-9CBF-D2264299286D}"/>
            </c:ext>
          </c:extLst>
        </c:ser>
        <c:dLbls>
          <c:showLegendKey val="0"/>
          <c:showVal val="0"/>
          <c:showCatName val="0"/>
          <c:showSerName val="0"/>
          <c:showPercent val="0"/>
          <c:showBubbleSize val="0"/>
          <c:showLeaderLines val="1"/>
        </c:dLbls>
        <c:firstSliceAng val="103"/>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2000" b="1">
                <a:latin typeface="Arial" panose="020B0604020202020204" pitchFamily="34" charset="0"/>
                <a:cs typeface="Arial" panose="020B0604020202020204" pitchFamily="34" charset="0"/>
              </a:rPr>
              <a:t>Emissions Intensity (kg.CO2/m2)</a:t>
            </a:r>
          </a:p>
        </c:rich>
      </c:tx>
      <c:layout>
        <c:manualLayout>
          <c:xMode val="edge"/>
          <c:yMode val="edge"/>
          <c:x val="8.7239120368507641E-3"/>
          <c:y val="3.2456446150834012E-2"/>
        </c:manualLayout>
      </c:layout>
      <c:overlay val="0"/>
      <c:spPr>
        <a:noFill/>
        <a:ln>
          <a:noFill/>
        </a:ln>
        <a:effectLst/>
      </c:spPr>
      <c:txPr>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2.2470849822769281E-2"/>
          <c:y val="0.13817933025926302"/>
          <c:w val="0.96340992407767989"/>
          <c:h val="0.7929701604013909"/>
        </c:manualLayout>
      </c:layout>
      <c:barChart>
        <c:barDir val="col"/>
        <c:grouping val="stacked"/>
        <c:varyColors val="0"/>
        <c:ser>
          <c:idx val="0"/>
          <c:order val="0"/>
          <c:tx>
            <c:strRef>
              <c:f>'1M-NR'!$B$27</c:f>
              <c:strCache>
                <c:ptCount val="1"/>
                <c:pt idx="0">
                  <c:v>Grid Electricity</c:v>
                </c:pt>
              </c:strCache>
            </c:strRef>
          </c:tx>
          <c:spPr>
            <a:solidFill>
              <a:srgbClr val="2DCCD3"/>
            </a:solidFill>
            <a:ln>
              <a:noFill/>
            </a:ln>
            <a:effectLst/>
          </c:spPr>
          <c:invertIfNegative val="0"/>
          <c:dLbls>
            <c:dLbl>
              <c:idx val="0"/>
              <c:layout>
                <c:manualLayout>
                  <c:x val="9.0969974094615491E-2"/>
                  <c:y val="-0.19973593939228429"/>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2F52-4421-9CEC-CEBB7BDC7981}"/>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2">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'1M-NR'!$F$27:$P$27</c:f>
              <c:numCache>
                <c:formatCode>0</c:formatCode>
                <c:ptCount val="11"/>
                <c:pt idx="0" formatCode="#,##0_ ;\-#,##0\ ">
                  <c:v>1441.5998999999999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2F52-4421-9CEC-CEBB7BDC7981}"/>
            </c:ext>
          </c:extLst>
        </c:ser>
        <c:ser>
          <c:idx val="1"/>
          <c:order val="1"/>
          <c:tx>
            <c:strRef>
              <c:f>'1M-NR'!$B$26</c:f>
              <c:strCache>
                <c:ptCount val="1"/>
                <c:pt idx="0">
                  <c:v>Gas</c:v>
                </c:pt>
              </c:strCache>
            </c:strRef>
          </c:tx>
          <c:spPr>
            <a:solidFill>
              <a:srgbClr val="00857D"/>
            </a:solidFill>
            <a:ln>
              <a:solidFill>
                <a:srgbClr val="00857D">
                  <a:alpha val="96000"/>
                </a:srgbClr>
              </a:solidFill>
            </a:ln>
            <a:effectLst/>
          </c:spPr>
          <c:invertIfNegative val="0"/>
          <c:dLbls>
            <c:dLbl>
              <c:idx val="0"/>
              <c:layout>
                <c:manualLayout>
                  <c:x val="5.0662467835560394E-2"/>
                  <c:y val="1.5743977107057206E-2"/>
                </c:manualLayout>
              </c:layout>
              <c:showLegendKey val="0"/>
              <c:showVal val="0"/>
              <c:showCatName val="0"/>
              <c:showSerName val="1"/>
              <c:showPercent val="0"/>
              <c:showBubbleSize val="0"/>
              <c:extLst>
                <c:ext xmlns:c15="http://schemas.microsoft.com/office/drawing/2012/chart" uri="{CE6537A1-D6FC-4f65-9D91-7224C49458BB}">
                  <c15:layout>
                    <c:manualLayout>
                      <c:w val="4.1476865751493293E-2"/>
                      <c:h val="6.0128109058177066E-2"/>
                    </c:manualLayout>
                  </c15:layout>
                </c:ext>
                <c:ext xmlns:c16="http://schemas.microsoft.com/office/drawing/2014/chart" uri="{C3380CC4-5D6E-409C-BE32-E72D297353CC}">
                  <c16:uniqueId val="{00000002-2F52-4421-9CEC-CEBB7BDC7981}"/>
                </c:ext>
              </c:extLst>
            </c:dLbl>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'1M-NR'!$F$26:$P$26</c:f>
              <c:numCache>
                <c:formatCode>0</c:formatCode>
                <c:ptCount val="11"/>
                <c:pt idx="0">
                  <c:v>83.210180229999992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2F52-4421-9CEC-CEBB7BDC7981}"/>
            </c:ext>
          </c:extLst>
        </c:ser>
        <c:ser>
          <c:idx val="2"/>
          <c:order val="2"/>
          <c:tx>
            <c:strRef>
              <c:f>'1M-NR'!$B$25</c:f>
              <c:strCache>
                <c:ptCount val="1"/>
                <c:pt idx="0">
                  <c:v>Scope 3</c:v>
                </c:pt>
              </c:strCache>
            </c:strRef>
          </c:tx>
          <c:spPr>
            <a:solidFill>
              <a:srgbClr val="4F758B"/>
            </a:solidFill>
            <a:ln>
              <a:solidFill>
                <a:srgbClr val="4F758B"/>
              </a:solidFill>
            </a:ln>
            <a:effectLst/>
          </c:spPr>
          <c:invertIfNegative val="0"/>
          <c:dLbls>
            <c:dLbl>
              <c:idx val="0"/>
              <c:layout>
                <c:manualLayout>
                  <c:x val="6.1799383225345672E-2"/>
                  <c:y val="-3.4396640190605628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2F52-4421-9CEC-CEBB7BDC7981}"/>
                </c:ext>
              </c:extLst>
            </c:dLbl>
            <c:spPr>
              <a:noFill/>
              <a:ln>
                <a:noFill/>
              </a:ln>
              <a:effectLst/>
            </c:spPr>
            <c:txPr>
              <a:bodyPr rot="0" spcFirstLastPara="1" vertOverflow="ellipsis" vert="horz" wrap="square" anchor="ctr" anchorCtr="1"/>
              <a:lstStyle/>
              <a:p>
                <a:pPr>
                  <a:defRPr lang="en-US" sz="14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'1M-NR'!$F$25:$P$25</c:f>
              <c:numCache>
                <c:formatCode>0</c:formatCode>
                <c:ptCount val="11"/>
                <c:pt idx="0">
                  <c:v>77.1795357617506</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2F52-4421-9CEC-CEBB7BDC7981}"/>
            </c:ext>
          </c:extLst>
        </c:ser>
        <c:ser>
          <c:idx val="6"/>
          <c:order val="3"/>
          <c:tx>
            <c:strRef>
              <c:f>'1M-NR'!$B$21</c:f>
              <c:strCache>
                <c:ptCount val="1"/>
                <c:pt idx="0">
                  <c:v>Renewable Electricity</c:v>
                </c:pt>
              </c:strCache>
            </c:strRef>
          </c:tx>
          <c:spPr>
            <a:solidFill>
              <a:srgbClr val="2DCCD3">
                <a:alpha val="36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36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2F52-4421-9CEC-CEBB7BDC7981}"/>
              </c:ext>
            </c:extLst>
          </c:dPt>
          <c:dPt>
            <c:idx val="6"/>
            <c:invertIfNegative val="0"/>
            <c:bubble3D val="0"/>
            <c:spPr>
              <a:solidFill>
                <a:srgbClr val="2DCCD3">
                  <a:alpha val="36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2F52-4421-9CEC-CEBB7BDC7981}"/>
              </c:ext>
            </c:extLst>
          </c:dPt>
          <c:dLbls>
            <c:dLbl>
              <c:idx val="1"/>
              <c:layout>
                <c:manualLayout>
                  <c:x val="0.13743344322606488"/>
                  <c:y val="3.9958236004556218E-2"/>
                </c:manualLayout>
              </c:layout>
              <c:tx>
                <c:rich>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lumMod val="60000"/>
                            <a:lumOff val="40000"/>
                          </a:schemeClr>
                        </a:solidFill>
                        <a:latin typeface="+mn-lt"/>
                        <a:ea typeface="+mn-ea"/>
                        <a:cs typeface="+mn-cs"/>
                      </a:defRPr>
                    </a:pPr>
                    <a:fld id="{351BE7A2-01DA-464E-B0E4-9FED0C1B3344}" type="SERIESNAME">
                      <a:rPr lang="en-US" sz="1200">
                        <a:solidFill>
                          <a:schemeClr val="accent2">
                            <a:lumMod val="60000"/>
                            <a:lumOff val="40000"/>
                          </a:schemeClr>
                        </a:solidFill>
                      </a:rPr>
                      <a:pPr algn="l">
                        <a:defRPr sz="1200">
                          <a:solidFill>
                            <a:schemeClr val="accent2">
                              <a:lumMod val="60000"/>
                              <a:lumOff val="40000"/>
                            </a:schemeClr>
                          </a:solidFill>
                        </a:defRPr>
                      </a:pPr>
                      <a:t>[SERIES NAME]</a:t>
                    </a:fld>
                    <a:endParaRPr lang="en-AU"/>
                  </a:p>
                </c:rich>
              </c:tx>
              <c:spPr>
                <a:noFill/>
                <a:ln>
                  <a:noFill/>
                </a:ln>
                <a:effectLst/>
              </c:spPr>
              <c:txPr>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69318905206992"/>
                      <c:h val="9.8103591870822751E-2"/>
                    </c:manualLayout>
                  </c15:layout>
                  <c15:dlblFieldTable/>
                  <c15:showDataLabelsRange val="0"/>
                </c:ext>
                <c:ext xmlns:c16="http://schemas.microsoft.com/office/drawing/2014/chart" uri="{C3380CC4-5D6E-409C-BE32-E72D297353CC}">
                  <c16:uniqueId val="{0000000A-2F52-4421-9CEC-CEBB7BDC7981}"/>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2F52-4421-9CEC-CEBB7BDC7981}"/>
                </c:ext>
              </c:extLst>
            </c:dLbl>
            <c:spPr>
              <a:solidFill>
                <a:srgbClr val="FFFFFF"/>
              </a:solidFill>
              <a:ln>
                <a:solidFill>
                  <a:srgbClr val="FFFFFF"/>
                </a:solidFill>
              </a:ln>
              <a:effectLst/>
            </c:spPr>
            <c:txPr>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'1M-NR'!$F$21:$P$21</c:f>
              <c:numCache>
                <c:formatCode>0</c:formatCode>
                <c:ptCount val="11"/>
                <c:pt idx="0">
                  <c:v>0</c:v>
                </c:pt>
                <c:pt idx="1">
                  <c:v>1339.16902</c:v>
                </c:pt>
                <c:pt idx="2">
                  <c:v>1317.5112999999999</c:v>
                </c:pt>
                <c:pt idx="3">
                  <c:v>837.30421999999999</c:v>
                </c:pt>
                <c:pt idx="4">
                  <c:v>758.04143999999997</c:v>
                </c:pt>
                <c:pt idx="5">
                  <c:v>653.56106999999997</c:v>
                </c:pt>
                <c:pt idx="6">
                  <c:v>549.61260000000004</c:v>
                </c:pt>
                <c:pt idx="7">
                  <c:v>453.78222999999997</c:v>
                </c:pt>
                <c:pt idx="8">
                  <c:v>339.56324999999998</c:v>
                </c:pt>
                <c:pt idx="9">
                  <c:v>300.90527999999995</c:v>
                </c:pt>
                <c:pt idx="10">
                  <c:v>275.82983999999999</c:v>
                </c:pt>
              </c:numCache>
            </c:numRef>
          </c:val>
          <c:extLst>
            <c:ext xmlns:c16="http://schemas.microsoft.com/office/drawing/2014/chart" uri="{C3380CC4-5D6E-409C-BE32-E72D297353CC}">
              <c16:uniqueId val="{0000000C-2F52-4421-9CEC-CEBB7BDC7981}"/>
            </c:ext>
          </c:extLst>
        </c:ser>
        <c:ser>
          <c:idx val="7"/>
          <c:order val="4"/>
          <c:tx>
            <c:strRef>
              <c:f>'1M-NR'!$B$20</c:f>
              <c:strCache>
                <c:ptCount val="1"/>
                <c:pt idx="0">
                  <c:v>Energy Efficiency</c:v>
                </c:pt>
              </c:strCache>
            </c:strRef>
          </c:tx>
          <c:spPr>
            <a:pattFill prst="wdUpDiag">
              <a:fgClr>
                <a:srgbClr val="2DCCD3"/>
              </a:fgClr>
              <a:bgClr>
                <a:sysClr val="windowText" lastClr="000000"/>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2F52-4421-9CEC-CEBB7BDC7981}"/>
                </c:ext>
              </c:extLst>
            </c:dLbl>
            <c:dLbl>
              <c:idx val="1"/>
              <c:delete val="1"/>
              <c:extLst>
                <c:ext xmlns:c15="http://schemas.microsoft.com/office/drawing/2012/chart" uri="{CE6537A1-D6FC-4f65-9D91-7224C49458BB}"/>
                <c:ext xmlns:c16="http://schemas.microsoft.com/office/drawing/2014/chart" uri="{C3380CC4-5D6E-409C-BE32-E72D297353CC}">
                  <c16:uniqueId val="{0000000E-2F52-4421-9CEC-CEBB7BDC7981}"/>
                </c:ext>
              </c:extLst>
            </c:dLbl>
            <c:dLbl>
              <c:idx val="2"/>
              <c:delete val="1"/>
              <c:extLst>
                <c:ext xmlns:c15="http://schemas.microsoft.com/office/drawing/2012/chart" uri="{CE6537A1-D6FC-4f65-9D91-7224C49458BB}"/>
                <c:ext xmlns:c16="http://schemas.microsoft.com/office/drawing/2014/chart" uri="{C3380CC4-5D6E-409C-BE32-E72D297353CC}">
                  <c16:uniqueId val="{0000000F-2F52-4421-9CEC-CEBB7BDC7981}"/>
                </c:ext>
              </c:extLst>
            </c:dLbl>
            <c:dLbl>
              <c:idx val="3"/>
              <c:layout>
                <c:manualLayout>
                  <c:x val="0.14533319782628409"/>
                  <c:y val="-0.19044094882836426"/>
                </c:manualLayout>
              </c:layout>
              <c:numFmt formatCode="General" sourceLinked="0"/>
              <c:spPr>
                <a:xfrm>
                  <a:off x="4507023" y="1112741"/>
                  <a:ext cx="1763854" cy="321628"/>
                </a:xfrm>
                <a:noFill/>
                <a:ln>
                  <a:noFill/>
                </a:ln>
                <a:effectLst/>
              </c:spPr>
              <c:txPr>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2F52-4421-9CEC-CEBB7BDC7981}"/>
                </c:ext>
              </c:extLst>
            </c:dLbl>
            <c:dLbl>
              <c:idx val="4"/>
              <c:delete val="1"/>
              <c:extLst>
                <c:ext xmlns:c15="http://schemas.microsoft.com/office/drawing/2012/chart" uri="{CE6537A1-D6FC-4f65-9D91-7224C49458BB}"/>
                <c:ext xmlns:c16="http://schemas.microsoft.com/office/drawing/2014/chart" uri="{C3380CC4-5D6E-409C-BE32-E72D297353CC}">
                  <c16:uniqueId val="{00000011-2F52-4421-9CEC-CEBB7BDC7981}"/>
                </c:ext>
              </c:extLst>
            </c:dLbl>
            <c:dLbl>
              <c:idx val="5"/>
              <c:delete val="1"/>
              <c:extLst>
                <c:ext xmlns:c15="http://schemas.microsoft.com/office/drawing/2012/chart" uri="{CE6537A1-D6FC-4f65-9D91-7224C49458BB}"/>
                <c:ext xmlns:c16="http://schemas.microsoft.com/office/drawing/2014/chart" uri="{C3380CC4-5D6E-409C-BE32-E72D297353CC}">
                  <c16:uniqueId val="{00000012-2F52-4421-9CEC-CEBB7BDC7981}"/>
                </c:ext>
              </c:extLst>
            </c:dLbl>
            <c:dLbl>
              <c:idx val="6"/>
              <c:delete val="1"/>
              <c:extLst>
                <c:ext xmlns:c15="http://schemas.microsoft.com/office/drawing/2012/chart" uri="{CE6537A1-D6FC-4f65-9D91-7224C49458BB}"/>
                <c:ext xmlns:c16="http://schemas.microsoft.com/office/drawing/2014/chart" uri="{C3380CC4-5D6E-409C-BE32-E72D297353CC}">
                  <c16:uniqueId val="{00000013-2F52-4421-9CEC-CEBB7BDC7981}"/>
                </c:ext>
              </c:extLst>
            </c:dLbl>
            <c:dLbl>
              <c:idx val="7"/>
              <c:delete val="1"/>
              <c:extLst>
                <c:ext xmlns:c15="http://schemas.microsoft.com/office/drawing/2012/chart" uri="{CE6537A1-D6FC-4f65-9D91-7224C49458BB}"/>
                <c:ext xmlns:c16="http://schemas.microsoft.com/office/drawing/2014/chart" uri="{C3380CC4-5D6E-409C-BE32-E72D297353CC}">
                  <c16:uniqueId val="{00000014-2F52-4421-9CEC-CEBB7BDC7981}"/>
                </c:ext>
              </c:extLst>
            </c:dLbl>
            <c:dLbl>
              <c:idx val="8"/>
              <c:delete val="1"/>
              <c:extLst>
                <c:ext xmlns:c15="http://schemas.microsoft.com/office/drawing/2012/chart" uri="{CE6537A1-D6FC-4f65-9D91-7224C49458BB}"/>
                <c:ext xmlns:c16="http://schemas.microsoft.com/office/drawing/2014/chart" uri="{C3380CC4-5D6E-409C-BE32-E72D297353CC}">
                  <c16:uniqueId val="{00000015-2F52-4421-9CEC-CEBB7BDC7981}"/>
                </c:ext>
              </c:extLst>
            </c:dLbl>
            <c:dLbl>
              <c:idx val="9"/>
              <c:delete val="1"/>
              <c:extLst>
                <c:ext xmlns:c15="http://schemas.microsoft.com/office/drawing/2012/chart" uri="{CE6537A1-D6FC-4f65-9D91-7224C49458BB}"/>
                <c:ext xmlns:c16="http://schemas.microsoft.com/office/drawing/2014/chart" uri="{C3380CC4-5D6E-409C-BE32-E72D297353CC}">
                  <c16:uniqueId val="{00000016-2F52-4421-9CEC-CEBB7BDC7981}"/>
                </c:ext>
              </c:extLst>
            </c:dLbl>
            <c:dLbl>
              <c:idx val="10"/>
              <c:delete val="1"/>
              <c:extLst>
                <c:ext xmlns:c15="http://schemas.microsoft.com/office/drawing/2012/chart" uri="{CE6537A1-D6FC-4f65-9D91-7224C49458BB}"/>
                <c:ext xmlns:c16="http://schemas.microsoft.com/office/drawing/2014/chart" uri="{C3380CC4-5D6E-409C-BE32-E72D297353CC}">
                  <c16:uniqueId val="{00000017-2F52-4421-9CEC-CEBB7BDC7981}"/>
                </c:ext>
              </c:extLst>
            </c:dLbl>
            <c:numFmt formatCode="General" sourceLinked="0"/>
            <c:spPr>
              <a:noFill/>
              <a:ln>
                <a:noFill/>
              </a:ln>
              <a:effectLst/>
            </c:spPr>
            <c:txPr>
              <a:bodyPr rot="0" spcFirstLastPara="1" vertOverflow="clip" horzOverflow="clip" vert="horz" wrap="square" lIns="36576" tIns="18288" rIns="36576" bIns="18288" anchor="ctr" anchorCtr="1">
                <a:spAutoFit/>
              </a:bodyPr>
              <a:lstStyle/>
              <a:p>
                <a:pPr algn="l">
                  <a:defRPr lang="en-US" sz="1000" b="0" i="0" u="none" strike="noStrike" kern="1200" baseline="0">
                    <a:solidFill>
                      <a:schemeClr val="accent2"/>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'1M-NR'!$F$20:$P$20</c:f>
              <c:numCache>
                <c:formatCode>0</c:formatCode>
                <c:ptCount val="11"/>
                <c:pt idx="0">
                  <c:v>0</c:v>
                </c:pt>
                <c:pt idx="1">
                  <c:v>14.84</c:v>
                </c:pt>
                <c:pt idx="2">
                  <c:v>14.6</c:v>
                </c:pt>
                <c:pt idx="3">
                  <c:v>370.72</c:v>
                </c:pt>
                <c:pt idx="4">
                  <c:v>380.64</c:v>
                </c:pt>
                <c:pt idx="5">
                  <c:v>344.61</c:v>
                </c:pt>
                <c:pt idx="6">
                  <c:v>289.8</c:v>
                </c:pt>
                <c:pt idx="7">
                  <c:v>245.12</c:v>
                </c:pt>
                <c:pt idx="8">
                  <c:v>253.5</c:v>
                </c:pt>
                <c:pt idx="9">
                  <c:v>224.64</c:v>
                </c:pt>
                <c:pt idx="10">
                  <c:v>205.92000000000002</c:v>
                </c:pt>
              </c:numCache>
            </c:numRef>
          </c:val>
          <c:extLst>
            <c:ext xmlns:c16="http://schemas.microsoft.com/office/drawing/2014/chart" uri="{C3380CC4-5D6E-409C-BE32-E72D297353CC}">
              <c16:uniqueId val="{00000018-2F52-4421-9CEC-CEBB7BDC7981}"/>
            </c:ext>
          </c:extLst>
        </c:ser>
        <c:ser>
          <c:idx val="4"/>
          <c:order val="5"/>
          <c:tx>
            <c:strRef>
              <c:f>'1M-NR'!$B$23</c:f>
              <c:strCache>
                <c:ptCount val="1"/>
                <c:pt idx="0">
                  <c:v>Electrification</c:v>
                </c:pt>
              </c:strCache>
            </c:strRef>
          </c:tx>
          <c:spPr>
            <a:pattFill prst="wdUpDiag">
              <a:fgClr>
                <a:srgbClr val="FFFFFF"/>
              </a:fgClr>
              <a:bgClr>
                <a:srgbClr val="00857D"/>
              </a:bgClr>
            </a:pattFill>
            <a:ln w="6350">
              <a:solidFill>
                <a:srgbClr val="00857D"/>
              </a:solidFill>
            </a:ln>
            <a:effectLst/>
          </c:spPr>
          <c:invertIfNegative val="0"/>
          <c:dPt>
            <c:idx val="10"/>
            <c:invertIfNegative val="0"/>
            <c:bubble3D val="0"/>
            <c:spPr>
              <a:pattFill prst="wd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2F52-4421-9CEC-CEBB7BDC7981}"/>
              </c:ext>
            </c:extLst>
          </c:dPt>
          <c:dLbls>
            <c:dLbl>
              <c:idx val="4"/>
              <c:layout>
                <c:manualLayout>
                  <c:x val="0.16431658619022574"/>
                  <c:y val="-8.2115599165844225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rgbClr val="00857D"/>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13112267429008567"/>
                      <c:h val="7.0612918498540275E-2"/>
                    </c:manualLayout>
                  </c15:layout>
                </c:ext>
                <c:ext xmlns:c16="http://schemas.microsoft.com/office/drawing/2014/chart" uri="{C3380CC4-5D6E-409C-BE32-E72D297353CC}">
                  <c16:uniqueId val="{0000001B-2F52-4421-9CEC-CEBB7BDC7981}"/>
                </c:ext>
              </c:extLst>
            </c:dLbl>
            <c:spPr>
              <a:noFill/>
              <a:ln>
                <a:noFill/>
              </a:ln>
              <a:effectLst/>
            </c:spPr>
            <c:txPr>
              <a:bodyPr rot="0" spcFirstLastPara="1" vertOverflow="ellipsis" vert="horz" wrap="square" anchor="ctr" anchorCtr="1"/>
              <a:lstStyle/>
              <a:p>
                <a:pPr>
                  <a:defRPr lang="en-US" sz="1400" b="0" i="0" u="none" strike="noStrike" kern="1200" baseline="0">
                    <a:solidFill>
                      <a:srgbClr val="00857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rgbClr val="00857D"/>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'1M-NR'!$F$23:$P$23</c:f>
              <c:numCache>
                <c:formatCode>0</c:formatCode>
                <c:ptCount val="11"/>
                <c:pt idx="0">
                  <c:v>0</c:v>
                </c:pt>
                <c:pt idx="1">
                  <c:v>0</c:v>
                </c:pt>
                <c:pt idx="2">
                  <c:v>0</c:v>
                </c:pt>
                <c:pt idx="3">
                  <c:v>0</c:v>
                </c:pt>
                <c:pt idx="4">
                  <c:v>25.146639999999998</c:v>
                </c:pt>
                <c:pt idx="5">
                  <c:v>27.104779999999998</c:v>
                </c:pt>
                <c:pt idx="6">
                  <c:v>29.062920000000002</c:v>
                </c:pt>
                <c:pt idx="7">
                  <c:v>31.021060000000002</c:v>
                </c:pt>
                <c:pt idx="8">
                  <c:v>58.744200000000006</c:v>
                </c:pt>
                <c:pt idx="9">
                  <c:v>58.744200000000006</c:v>
                </c:pt>
                <c:pt idx="10">
                  <c:v>58.744200000000006</c:v>
                </c:pt>
              </c:numCache>
            </c:numRef>
          </c:val>
          <c:extLst>
            <c:ext xmlns:c16="http://schemas.microsoft.com/office/drawing/2014/chart" uri="{C3380CC4-5D6E-409C-BE32-E72D297353CC}">
              <c16:uniqueId val="{0000001C-2F52-4421-9CEC-CEBB7BDC7981}"/>
            </c:ext>
          </c:extLst>
        </c:ser>
        <c:ser>
          <c:idx val="5"/>
          <c:order val="6"/>
          <c:tx>
            <c:strRef>
              <c:f>'1M-NR'!$B$22</c:f>
              <c:strCache>
                <c:ptCount val="1"/>
                <c:pt idx="0">
                  <c:v>Gas Offsets</c:v>
                </c:pt>
              </c:strCache>
            </c:strRef>
          </c:tx>
          <c:spPr>
            <a:pattFill prst="wdDnDiag">
              <a:fgClr>
                <a:sysClr val="windowText" lastClr="000000"/>
              </a:fgClr>
              <a:bgClr>
                <a:srgbClr val="00857D"/>
              </a:bgClr>
            </a:pattFill>
            <a:ln w="9525">
              <a:solidFill>
                <a:srgbClr val="00857D"/>
              </a:solidFill>
              <a:prstDash val="dash"/>
            </a:ln>
            <a:effectLst/>
          </c:spPr>
          <c:invertIfNegative val="0"/>
          <c:dLbls>
            <c:dLbl>
              <c:idx val="2"/>
              <c:layout>
                <c:manualLayout>
                  <c:x val="8.4980472755993935E-2"/>
                  <c:y val="-3.651781154502598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5"/>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11222431132162168"/>
                      <c:h val="8.1516836101349147E-2"/>
                    </c:manualLayout>
                  </c15:layout>
                </c:ext>
                <c:ext xmlns:c16="http://schemas.microsoft.com/office/drawing/2014/chart" uri="{C3380CC4-5D6E-409C-BE32-E72D297353CC}">
                  <c16:uniqueId val="{0000001D-2F52-4421-9CEC-CEBB7BDC7981}"/>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'1M-NR'!$F$22:$P$22</c:f>
              <c:numCache>
                <c:formatCode>0</c:formatCode>
                <c:ptCount val="11"/>
                <c:pt idx="0">
                  <c:v>0</c:v>
                </c:pt>
                <c:pt idx="1">
                  <c:v>83.210180229999992</c:v>
                </c:pt>
                <c:pt idx="2">
                  <c:v>83.210180229999992</c:v>
                </c:pt>
                <c:pt idx="3">
                  <c:v>83.210180229999992</c:v>
                </c:pt>
                <c:pt idx="4">
                  <c:v>58.063540230000001</c:v>
                </c:pt>
                <c:pt idx="5">
                  <c:v>56.105400230000001</c:v>
                </c:pt>
                <c:pt idx="6">
                  <c:v>54.147260230000001</c:v>
                </c:pt>
                <c:pt idx="7">
                  <c:v>52.18912023</c:v>
                </c:pt>
                <c:pt idx="8">
                  <c:v>24.465980229999996</c:v>
                </c:pt>
                <c:pt idx="9">
                  <c:v>24.465980229999996</c:v>
                </c:pt>
                <c:pt idx="10">
                  <c:v>24.465980229999996</c:v>
                </c:pt>
              </c:numCache>
            </c:numRef>
          </c:val>
          <c:extLst>
            <c:ext xmlns:c16="http://schemas.microsoft.com/office/drawing/2014/chart" uri="{C3380CC4-5D6E-409C-BE32-E72D297353CC}">
              <c16:uniqueId val="{0000001E-2F52-4421-9CEC-CEBB7BDC7981}"/>
            </c:ext>
          </c:extLst>
        </c:ser>
        <c:ser>
          <c:idx val="3"/>
          <c:order val="7"/>
          <c:tx>
            <c:strRef>
              <c:f>'1M-NR'!$B$24</c:f>
              <c:strCache>
                <c:ptCount val="1"/>
                <c:pt idx="0">
                  <c:v>Scope 3 Offsets</c:v>
                </c:pt>
              </c:strCache>
            </c:strRef>
          </c:tx>
          <c:spPr>
            <a:pattFill prst="wdUpDiag">
              <a:fgClr>
                <a:srgbClr val="989A9C"/>
              </a:fgClr>
              <a:bgClr>
                <a:srgbClr val="253746"/>
              </a:bgClr>
            </a:pattFill>
            <a:ln w="6350">
              <a:solidFill>
                <a:srgbClr val="989A9C"/>
              </a:solidFill>
              <a:prstDash val="dash"/>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anchor="ctr" anchorCtr="1"/>
                <a:lstStyle/>
                <a:p>
                  <a:pPr>
                    <a:defRPr lang="en-US" sz="14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2F52-4421-9CEC-CEBB7BDC7981}"/>
                </c:ext>
              </c:extLst>
            </c:dLbl>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'1M-NR'!$F$24:$P$24</c:f>
              <c:numCache>
                <c:formatCode>0</c:formatCode>
                <c:ptCount val="11"/>
                <c:pt idx="0">
                  <c:v>0</c:v>
                </c:pt>
                <c:pt idx="1">
                  <c:v>70.452715501556085</c:v>
                </c:pt>
                <c:pt idx="2">
                  <c:v>63.72589524136157</c:v>
                </c:pt>
                <c:pt idx="3">
                  <c:v>56.999074981167055</c:v>
                </c:pt>
                <c:pt idx="4">
                  <c:v>50.272254720972541</c:v>
                </c:pt>
                <c:pt idx="5">
                  <c:v>43.545434460778033</c:v>
                </c:pt>
                <c:pt idx="6">
                  <c:v>36.818614200583525</c:v>
                </c:pt>
                <c:pt idx="7">
                  <c:v>30.09179394038901</c:v>
                </c:pt>
                <c:pt idx="8">
                  <c:v>23.364973680194499</c:v>
                </c:pt>
                <c:pt idx="9">
                  <c:v>16.638153419999988</c:v>
                </c:pt>
                <c:pt idx="10">
                  <c:v>16.638153419999998</c:v>
                </c:pt>
              </c:numCache>
            </c:numRef>
          </c:val>
          <c:extLst>
            <c:ext xmlns:c16="http://schemas.microsoft.com/office/drawing/2014/chart" uri="{C3380CC4-5D6E-409C-BE32-E72D297353CC}">
              <c16:uniqueId val="{00000020-2F52-4421-9CEC-CEBB7BDC7981}"/>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'1M-NR'!$E$17</c:f>
              <c:strCache>
                <c:ptCount val="1"/>
                <c:pt idx="0">
                  <c:v>kg.CO2-e/m2</c:v>
                </c:pt>
              </c:strCache>
            </c:strRef>
          </c:tx>
          <c:spPr>
            <a:ln w="28575" cap="rnd">
              <a:solidFill>
                <a:srgbClr val="2DCCD3"/>
              </a:solidFill>
              <a:round/>
            </a:ln>
            <a:effectLst/>
          </c:spPr>
          <c:marker>
            <c:symbol val="none"/>
          </c:marker>
          <c:dLbls>
            <c:dLbl>
              <c:idx val="0"/>
              <c:layout>
                <c:manualLayout>
                  <c:x val="-3.9086993969000436E-2"/>
                  <c:y val="-4.4400936704147673E-2"/>
                </c:manualLayout>
              </c:layout>
              <c:numFmt formatCode="#,##0.0"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260853321050638E-2"/>
                      <c:h val="0.10940610902781407"/>
                    </c:manualLayout>
                  </c15:layout>
                </c:ext>
                <c:ext xmlns:c16="http://schemas.microsoft.com/office/drawing/2014/chart" uri="{C3380CC4-5D6E-409C-BE32-E72D297353CC}">
                  <c16:uniqueId val="{00000021-2F52-4421-9CEC-CEBB7BDC7981}"/>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2F52-4421-9CEC-CEBB7BDC7981}"/>
                </c:ext>
              </c:extLst>
            </c:dLbl>
            <c:numFmt formatCode="0"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'1M-NR'!$F$17:$P$17</c:f>
              <c:numCache>
                <c:formatCode>0.0</c:formatCode>
                <c:ptCount val="11"/>
                <c:pt idx="0">
                  <c:v>54.926613728030951</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2F52-4421-9CEC-CEBB7BDC7981}"/>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ysClr val="windowText" lastClr="000000">
                <a:lumMod val="65000"/>
                <a:lumOff val="35000"/>
              </a:sys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75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94156608"/>
        <c:crosses val="autoZero"/>
        <c:crossBetween val="between"/>
        <c:majorUnit val="250"/>
      </c:valAx>
      <c:valAx>
        <c:axId val="458577487"/>
        <c:scaling>
          <c:orientation val="minMax"/>
          <c:max val="60"/>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no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2000" b="1" i="0">
                <a:latin typeface="Arial" panose="020B0604020202020204" pitchFamily="34" charset="0"/>
                <a:cs typeface="Arial" panose="020B0604020202020204" pitchFamily="34" charset="0"/>
              </a:rPr>
              <a:t>Annual Electricity Consumption (MWh) </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6772808791264626E-2"/>
          <c:y val="0.18450399650117244"/>
          <c:w val="0.92686237659023885"/>
          <c:h val="0.73268869553716065"/>
        </c:manualLayout>
      </c:layout>
      <c:barChart>
        <c:barDir val="col"/>
        <c:grouping val="clustered"/>
        <c:varyColors val="0"/>
        <c:ser>
          <c:idx val="2"/>
          <c:order val="2"/>
          <c:tx>
            <c:v>Total Savings ($)</c:v>
          </c:tx>
          <c:spPr>
            <a:solidFill>
              <a:srgbClr val="00857D"/>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'1M-NR'!$F$51:$P$51</c:f>
              <c:numCache>
                <c:formatCode>"$"#,##0.00</c:formatCode>
                <c:ptCount val="11"/>
                <c:pt idx="0">
                  <c:v>0</c:v>
                </c:pt>
                <c:pt idx="1">
                  <c:v>0.21877429245936722</c:v>
                </c:pt>
                <c:pt idx="2">
                  <c:v>0.22643139269544299</c:v>
                </c:pt>
                <c:pt idx="3">
                  <c:v>6.5619817603139774</c:v>
                </c:pt>
                <c:pt idx="4">
                  <c:v>8.0008277307737217</c:v>
                </c:pt>
                <c:pt idx="5">
                  <c:v>8.5755644028899116</c:v>
                </c:pt>
                <c:pt idx="6">
                  <c:v>8.9202495980574472</c:v>
                </c:pt>
                <c:pt idx="7">
                  <c:v>9.4123688175921032</c:v>
                </c:pt>
                <c:pt idx="8">
                  <c:v>14.15559608550706</c:v>
                </c:pt>
                <c:pt idx="9">
                  <c:v>14.6395680235021</c:v>
                </c:pt>
                <c:pt idx="10">
                  <c:v>15.14026165194938</c:v>
                </c:pt>
              </c:numCache>
            </c:numRef>
          </c:val>
          <c:extLst>
            <c:ext xmlns:c16="http://schemas.microsoft.com/office/drawing/2014/chart" uri="{C3380CC4-5D6E-409C-BE32-E72D297353CC}">
              <c16:uniqueId val="{00000000-C1F4-4E66-8C49-0AC4EFBB2D23}"/>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b"/>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C1F4-4E66-8C49-0AC4EFBB2D23}"/>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F4-4E66-8C49-0AC4EFBB2D23}"/>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F4-4E66-8C49-0AC4EFBB2D23}"/>
                </c:ext>
              </c:extLst>
            </c:dLbl>
            <c:spPr>
              <a:noFill/>
              <a:ln>
                <a:noFill/>
              </a:ln>
              <a:effectLst/>
            </c:spPr>
            <c:txPr>
              <a:bodyPr rot="0" spcFirstLastPara="1" vertOverflow="ellipsis" vert="horz" wrap="square" anchor="ctr" anchorCtr="1"/>
              <a:lstStyle/>
              <a:p>
                <a:pPr>
                  <a:defRPr lang="en-US" sz="1400" b="0" i="0" u="none" strike="noStrike" kern="1200" baseline="0">
                    <a:solidFill>
                      <a:schemeClr val="accent5">
                        <a:lumMod val="60000"/>
                        <a:lumOff val="4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'1M-NR'!$F$6:$P$6</c:f>
              <c:numCache>
                <c:formatCode>#,##0_ ;\-#,##0\ </c:formatCode>
                <c:ptCount val="11"/>
                <c:pt idx="0">
                  <c:v>1824.81</c:v>
                </c:pt>
                <c:pt idx="1">
                  <c:v>1804.81</c:v>
                </c:pt>
                <c:pt idx="2">
                  <c:v>1804.81</c:v>
                </c:pt>
                <c:pt idx="3">
                  <c:v>1264.81</c:v>
                </c:pt>
                <c:pt idx="4">
                  <c:v>1214.81</c:v>
                </c:pt>
                <c:pt idx="5">
                  <c:v>1194.81</c:v>
                </c:pt>
                <c:pt idx="6">
                  <c:v>1194.81</c:v>
                </c:pt>
                <c:pt idx="7">
                  <c:v>1184.81</c:v>
                </c:pt>
                <c:pt idx="8">
                  <c:v>1044.81</c:v>
                </c:pt>
                <c:pt idx="9">
                  <c:v>1044.81</c:v>
                </c:pt>
                <c:pt idx="10">
                  <c:v>1044.81</c:v>
                </c:pt>
              </c:numCache>
            </c:numRef>
          </c:val>
          <c:smooth val="1"/>
          <c:extLst>
            <c:ext xmlns:c16="http://schemas.microsoft.com/office/drawing/2014/chart" uri="{C3380CC4-5D6E-409C-BE32-E72D297353CC}">
              <c16:uniqueId val="{00000004-C1F4-4E66-8C49-0AC4EFBB2D23}"/>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rgbClr val="FFFFFF">
                  <a:alpha val="45000"/>
                </a:srgbClr>
              </a:solidFill>
              <a:round/>
            </a:ln>
            <a:effectLst/>
          </c:spPr>
          <c:marker>
            <c:symbol val="none"/>
          </c:marker>
          <c:dLbls>
            <c:dLbl>
              <c:idx val="0"/>
              <c:layout>
                <c:manualLayout>
                  <c:x val="-6.7387620196966688E-2"/>
                  <c:y val="5.6202888599386568E-2"/>
                </c:manualLayout>
              </c:layout>
              <c:numFmt formatCode="&quot;$&quot;#,###&quot;/m2 p.a.&quot;"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4"/>
                      </a:solidFill>
                      <a:latin typeface="+mn-lt"/>
                      <a:ea typeface="+mn-ea"/>
                      <a:cs typeface="+mn-cs"/>
                    </a:defRPr>
                  </a:pPr>
                  <a:endParaRPr lang="en-US"/>
                </a:p>
              </c:txPr>
              <c:dLblPos val="r"/>
              <c:showLegendKey val="0"/>
              <c:showVal val="1"/>
              <c:showCatName val="0"/>
              <c:showSerName val="0"/>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5-C1F4-4E66-8C49-0AC4EFBB2D23}"/>
                </c:ext>
              </c:extLst>
            </c:dLbl>
            <c:dLbl>
              <c:idx val="10"/>
              <c:layout>
                <c:manualLayout>
                  <c:x val="-8.2703296458525228E-4"/>
                  <c:y val="-5.7365988273608885E-2"/>
                </c:manualLayout>
              </c:layout>
              <c:numFmt formatCode="&quot;$&quot;#,###&quot;/m2 p.a.&quot;"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4"/>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8976157938"/>
                      <c:h val="0.25311507413690826"/>
                    </c:manualLayout>
                  </c15:layout>
                </c:ext>
                <c:ext xmlns:c16="http://schemas.microsoft.com/office/drawing/2014/chart" uri="{C3380CC4-5D6E-409C-BE32-E72D297353CC}">
                  <c16:uniqueId val="{00000006-C1F4-4E66-8C49-0AC4EFBB2D23}"/>
                </c:ext>
              </c:extLst>
            </c:dLbl>
            <c:spPr>
              <a:noFill/>
              <a:ln>
                <a:noFill/>
              </a:ln>
              <a:effectLst/>
            </c:spPr>
            <c:txPr>
              <a:bodyPr rot="0" spcFirstLastPara="1" vertOverflow="ellipsis" vert="horz" wrap="square" anchor="ctr" anchorCtr="1"/>
              <a:lstStyle/>
              <a:p>
                <a:pPr>
                  <a:defRPr lang="en-US" sz="18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'1M-NR'!$F$37:$P$37</c:f>
              <c:numCache>
                <c:formatCode>_("$"* #,##0.00_);_("$"* \(#,##0.00\);_("$"* "-"??_);_(@_)</c:formatCode>
                <c:ptCount val="11"/>
                <c:pt idx="0">
                  <c:v>17.525945254748681</c:v>
                </c:pt>
                <c:pt idx="1">
                  <c:v>21.629759733736307</c:v>
                </c:pt>
                <c:pt idx="2">
                  <c:v>22.680733312168766</c:v>
                </c:pt>
                <c:pt idx="3">
                  <c:v>23.441547270187424</c:v>
                </c:pt>
                <c:pt idx="4">
                  <c:v>24.229216247203198</c:v>
                </c:pt>
                <c:pt idx="5">
                  <c:v>25.044672434531087</c:v>
                </c:pt>
                <c:pt idx="6">
                  <c:v>25.888880418151647</c:v>
                </c:pt>
                <c:pt idx="7">
                  <c:v>26.762838305563314</c:v>
                </c:pt>
                <c:pt idx="8">
                  <c:v>31.716226591389859</c:v>
                </c:pt>
                <c:pt idx="9">
                  <c:v>32.794521235448805</c:v>
                </c:pt>
                <c:pt idx="10">
                  <c:v>33.924571040125606</c:v>
                </c:pt>
              </c:numCache>
            </c:numRef>
          </c:val>
          <c:smooth val="1"/>
          <c:extLst>
            <c:ext xmlns:c16="http://schemas.microsoft.com/office/drawing/2014/chart" uri="{C3380CC4-5D6E-409C-BE32-E72D297353CC}">
              <c16:uniqueId val="{00000007-C1F4-4E66-8C49-0AC4EFBB2D23}"/>
            </c:ext>
          </c:extLst>
        </c:ser>
        <c:ser>
          <c:idx val="3"/>
          <c:order val="3"/>
          <c:spPr>
            <a:ln w="28575" cap="rnd">
              <a:solidFill>
                <a:schemeClr val="accent4"/>
              </a:solidFill>
              <a:round/>
            </a:ln>
            <a:effectLst/>
          </c:spPr>
          <c:marker>
            <c:symbol val="none"/>
          </c:marker>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'Asset Roadmap'!$A$19</c:f>
              <c:numCache>
                <c:formatCode>_-* #,##0_-;\-* #,##0_-;_-* "-"??_-;_-@_-</c:formatCode>
                <c:ptCount val="1"/>
                <c:pt idx="0">
                  <c:v>0</c:v>
                </c:pt>
              </c:numCache>
            </c:numRef>
          </c:val>
          <c:smooth val="0"/>
          <c:extLst>
            <c:ext xmlns:c16="http://schemas.microsoft.com/office/drawing/2014/chart" uri="{C3380CC4-5D6E-409C-BE32-E72D297353CC}">
              <c16:uniqueId val="{00000000-C050-443F-88BE-B7A3D33E0A0C}"/>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rgbClr val="EAEAEB">
                <a:lumMod val="50000"/>
              </a:srgb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000"/>
          <c:min val="0"/>
        </c:scaling>
        <c:delete val="0"/>
        <c:axPos val="l"/>
        <c:majorGridlines>
          <c:spPr>
            <a:ln w="9525" cap="flat" cmpd="sng" algn="ctr">
              <a:solidFill>
                <a:srgbClr val="EAEAEB">
                  <a:lumMod val="10000"/>
                </a:srgb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crossAx val="894156608"/>
        <c:crosses val="autoZero"/>
        <c:crossBetween val="between"/>
        <c:majorUnit val="1000"/>
        <c:minorUnit val="250"/>
      </c:valAx>
      <c:valAx>
        <c:axId val="831515424"/>
        <c:scaling>
          <c:orientation val="minMax"/>
          <c:max val="40"/>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no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AU" sz="2000" b="1">
                <a:latin typeface="Arial" panose="020B0604020202020204" pitchFamily="34" charset="0"/>
                <a:cs typeface="Arial" panose="020B0604020202020204" pitchFamily="34" charset="0"/>
              </a:rPr>
              <a:t>NABERS Energy (site,</a:t>
            </a:r>
            <a:r>
              <a:rPr lang="en-AU" sz="2000" b="1" baseline="0">
                <a:latin typeface="Arial" panose="020B0604020202020204" pitchFamily="34" charset="0"/>
                <a:cs typeface="Arial" panose="020B0604020202020204" pitchFamily="34" charset="0"/>
              </a:rPr>
              <a:t> fund, &amp; platform </a:t>
            </a:r>
            <a:r>
              <a:rPr lang="en-AU" sz="2000" b="1">
                <a:latin typeface="Arial" panose="020B0604020202020204" pitchFamily="34" charset="0"/>
                <a:cs typeface="Arial" panose="020B0604020202020204" pitchFamily="34" charset="0"/>
              </a:rPr>
              <a:t>trajectories)   </a:t>
            </a:r>
          </a:p>
        </c:rich>
      </c:tx>
      <c:layout>
        <c:manualLayout>
          <c:xMode val="edge"/>
          <c:yMode val="edge"/>
          <c:x val="8.9241230322504271E-3"/>
          <c:y val="1.847584146096313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4.8215347282621931E-2"/>
          <c:y val="0.13303758598050358"/>
          <c:w val="0.95178465271737811"/>
          <c:h val="0.79466314888102019"/>
        </c:manualLayout>
      </c:layout>
      <c:lineChart>
        <c:grouping val="standard"/>
        <c:varyColors val="0"/>
        <c:ser>
          <c:idx val="1"/>
          <c:order val="0"/>
          <c:tx>
            <c:strRef>
              <c:f>'1M-NR'!$E$56</c:f>
              <c:strCache>
                <c:ptCount val="1"/>
                <c:pt idx="0">
                  <c:v>Asset</c:v>
                </c:pt>
              </c:strCache>
            </c:strRef>
          </c:tx>
          <c:spPr>
            <a:ln w="28575" cap="rnd">
              <a:solidFill>
                <a:schemeClr val="accent2"/>
              </a:solidFill>
              <a:round/>
            </a:ln>
            <a:effectLst/>
          </c:spPr>
          <c:marker>
            <c:symbol val="none"/>
          </c:marker>
          <c:dLbls>
            <c:dLbl>
              <c:idx val="0"/>
              <c:layout>
                <c:manualLayout>
                  <c:x val="-2.3015678470600452E-2"/>
                  <c:y val="3.7934740281857303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FAA3-4655-85F9-4869B5489626}"/>
                </c:ext>
              </c:extLst>
            </c:dLbl>
            <c:dLbl>
              <c:idx val="1"/>
              <c:layout>
                <c:manualLayout>
                  <c:x val="-2.9575241927109142E-2"/>
                  <c:y val="3.8111040956863268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EAD-43ED-95AA-85CF6AA33704}"/>
                </c:ext>
              </c:extLst>
            </c:dLbl>
            <c:dLbl>
              <c:idx val="2"/>
              <c:layout>
                <c:manualLayout>
                  <c:x val="-2.4463397179066714E-2"/>
                  <c:y val="4.069353065994822E-2"/>
                </c:manualLayout>
              </c:layout>
              <c:dLblPos val="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5EAD-43ED-95AA-85CF6AA33704}"/>
                </c:ext>
              </c:extLst>
            </c:dLbl>
            <c:spPr>
              <a:noFill/>
              <a:ln>
                <a:noFill/>
              </a:ln>
              <a:effectLst/>
            </c:spPr>
            <c:txPr>
              <a:bodyPr rot="0" spcFirstLastPara="1" vertOverflow="ellipsis" vert="horz" wrap="square" anchor="ctr" anchorCtr="1"/>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'1M-NR'!$F$56:$P$56</c:f>
              <c:numCache>
                <c:formatCode>0.00</c:formatCode>
                <c:ptCount val="11"/>
                <c:pt idx="0">
                  <c:v>5.1606552665612879</c:v>
                </c:pt>
                <c:pt idx="1">
                  <c:v>5.1606552665612879</c:v>
                </c:pt>
                <c:pt idx="2">
                  <c:v>5.1749719079986978</c:v>
                </c:pt>
                <c:pt idx="3">
                  <c:v>5.5615212268087628</c:v>
                </c:pt>
                <c:pt idx="4">
                  <c:v>5.6194497516387898</c:v>
                </c:pt>
                <c:pt idx="5">
                  <c:v>5.6283318490111567</c:v>
                </c:pt>
                <c:pt idx="6">
                  <c:v>5.6372139463835236</c:v>
                </c:pt>
                <c:pt idx="7">
                  <c:v>5.6460960437558905</c:v>
                </c:pt>
                <c:pt idx="8">
                  <c:v>5.7707175822301329</c:v>
                </c:pt>
                <c:pt idx="9">
                  <c:v>5.7707175822301329</c:v>
                </c:pt>
                <c:pt idx="10">
                  <c:v>5.7707175822301329</c:v>
                </c:pt>
              </c:numCache>
            </c:numRef>
          </c:val>
          <c:smooth val="1"/>
          <c:extLst>
            <c:ext xmlns:c16="http://schemas.microsoft.com/office/drawing/2014/chart" uri="{C3380CC4-5D6E-409C-BE32-E72D297353CC}">
              <c16:uniqueId val="{00000007-FAA3-4655-85F9-4869B5489626}"/>
            </c:ext>
          </c:extLst>
        </c:ser>
        <c:ser>
          <c:idx val="2"/>
          <c:order val="1"/>
          <c:tx>
            <c:strRef>
              <c:f>'1M-NR'!$E$58</c:f>
              <c:strCache>
                <c:ptCount val="1"/>
                <c:pt idx="0">
                  <c:v>JV Parent</c:v>
                </c:pt>
              </c:strCache>
            </c:strRef>
          </c:tx>
          <c:spPr>
            <a:ln w="28575" cap="rnd">
              <a:solidFill>
                <a:schemeClr val="accent3"/>
              </a:solidFill>
              <a:round/>
            </a:ln>
            <a:effectLst/>
          </c:spPr>
          <c:marker>
            <c:symbol val="none"/>
          </c:marker>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'1M-NR'!$F$58:$P$58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B305-4958-BBFF-1C4F0E0F1B23}"/>
            </c:ext>
          </c:extLst>
        </c:ser>
        <c:ser>
          <c:idx val="3"/>
          <c:order val="2"/>
          <c:tx>
            <c:strRef>
              <c:f>'1M-NR'!$E$57</c:f>
              <c:strCache>
                <c:ptCount val="1"/>
                <c:pt idx="0">
                  <c:v>Parent Fund</c:v>
                </c:pt>
              </c:strCache>
            </c:strRef>
          </c:tx>
          <c:spPr>
            <a:ln w="28575" cap="rnd">
              <a:solidFill>
                <a:schemeClr val="accent4"/>
              </a:solidFill>
              <a:round/>
            </a:ln>
            <a:effectLst/>
          </c:spPr>
          <c:marker>
            <c:symbol val="none"/>
          </c:marker>
          <c:dLbls>
            <c:numFmt formatCode="0.00" sourceLinked="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1"/>
          <c:extLst>
            <c:ext xmlns:c16="http://schemas.microsoft.com/office/drawing/2014/chart" uri="{C3380CC4-5D6E-409C-BE32-E72D297353CC}">
              <c16:uniqueId val="{00000001-B305-4958-BBFF-1C4F0E0F1B23}"/>
            </c:ext>
          </c:extLst>
        </c:ser>
        <c:ser>
          <c:idx val="4"/>
          <c:order val="3"/>
          <c:tx>
            <c:strRef>
              <c:f>'1M-NR'!$E$59</c:f>
              <c:strCache>
                <c:ptCount val="1"/>
                <c:pt idx="0">
                  <c:v>IOM</c:v>
                </c:pt>
              </c:strCache>
            </c:strRef>
          </c:tx>
          <c:spPr>
            <a:ln w="31750" cap="rnd">
              <a:solidFill>
                <a:schemeClr val="accent5"/>
              </a:solidFill>
              <a:round/>
            </a:ln>
            <a:effectLst/>
          </c:spPr>
          <c:marker>
            <c:symbol val="none"/>
          </c:marker>
          <c:dLbls>
            <c:dLbl>
              <c:idx val="0"/>
              <c:layout>
                <c:manualLayout>
                  <c:x val="-2.5741358366077317E-2"/>
                  <c:y val="2.64512016202581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AD-43ED-95AA-85CF6AA33704}"/>
                </c:ext>
              </c:extLst>
            </c:dLbl>
            <c:dLbl>
              <c:idx val="1"/>
              <c:layout>
                <c:manualLayout>
                  <c:x val="-2.5741358366077317E-2"/>
                  <c:y val="2.12862222140883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AD-43ED-95AA-85CF6AA33704}"/>
                </c:ext>
              </c:extLst>
            </c:dLbl>
            <c:dLbl>
              <c:idx val="2"/>
              <c:layout>
                <c:manualLayout>
                  <c:x val="-2.5741358366077317E-2"/>
                  <c:y val="-2.519859244143899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AD-43ED-95AA-85CF6AA3370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'1M-NR'!$F$59:$P$59</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1"/>
          <c:extLst>
            <c:ext xmlns:c16="http://schemas.microsoft.com/office/drawing/2014/chart" uri="{C3380CC4-5D6E-409C-BE32-E72D297353CC}">
              <c16:uniqueId val="{00000000-5EAD-43ED-95AA-85CF6AA33704}"/>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ysClr val="windowText" lastClr="000000">
                <a:lumMod val="75000"/>
                <a:lumOff val="25000"/>
              </a:sys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
        </c:scaling>
        <c:delete val="0"/>
        <c:axPos val="l"/>
        <c:majorGridlines>
          <c:spPr>
            <a:ln w="9525" cap="flat" cmpd="sng" algn="ctr">
              <a:solidFill>
                <a:srgbClr val="EAEAEB">
                  <a:lumMod val="25000"/>
                </a:srgb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90140096"/>
        <c:crosses val="autoZero"/>
        <c:crossBetween val="midCat"/>
        <c:majorUnit val="0.5"/>
      </c:valAx>
      <c:spPr>
        <a:noFill/>
        <a:ln>
          <a:noFill/>
        </a:ln>
        <a:effectLst/>
      </c:spPr>
    </c:plotArea>
    <c:legend>
      <c:legendPos val="r"/>
      <c:legendEntry>
        <c:idx val="1"/>
        <c:delete val="1"/>
      </c:legendEntry>
      <c:layout>
        <c:manualLayout>
          <c:xMode val="edge"/>
          <c:yMode val="edge"/>
          <c:x val="5.3788640218888302E-2"/>
          <c:y val="0.16516781535996813"/>
          <c:w val="0.11761137589718279"/>
          <c:h val="0.16052530734415296"/>
        </c:manualLayout>
      </c:layout>
      <c:overlay val="1"/>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ysClr val="windowText" lastClr="000000"/>
    </a:solidFill>
    <a:ln w="9525" cap="flat" cmpd="sng" algn="ctr">
      <a:noFill/>
      <a:round/>
    </a:ln>
    <a:effectLst/>
  </c:spPr>
  <c:txPr>
    <a:bodyPr/>
    <a:lstStyle/>
    <a:p>
      <a:pPr>
        <a:defRPr b="0">
          <a:solidFill>
            <a:schemeClr val="bg1"/>
          </a:solidFill>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2000" b="1">
                <a:solidFill>
                  <a:schemeClr val="bg1"/>
                </a:solidFill>
                <a:latin typeface="Arial" panose="020B0604020202020204" pitchFamily="34" charset="0"/>
                <a:cs typeface="Arial" panose="020B0604020202020204" pitchFamily="34" charset="0"/>
              </a:rPr>
              <a:t>Net Zero Contribution - by scope &amp; activity</a:t>
            </a:r>
          </a:p>
        </c:rich>
      </c:tx>
      <c:layout>
        <c:manualLayout>
          <c:xMode val="edge"/>
          <c:yMode val="edge"/>
          <c:x val="2.4022304294825911E-2"/>
          <c:y val="1.958457064812592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0.18415801758528913"/>
          <c:y val="0.15508201489991141"/>
          <c:w val="0.4875247015261065"/>
          <c:h val="0.70208413495594335"/>
        </c:manualLayout>
      </c:layout>
      <c:doughnutChart>
        <c:varyColors val="1"/>
        <c:ser>
          <c:idx val="0"/>
          <c:order val="0"/>
          <c:tx>
            <c:strRef>
              <c:f>'1M-NR'!$A$18</c:f>
              <c:strCache>
                <c:ptCount val="1"/>
                <c:pt idx="0">
                  <c:v>Net Zero Contribution</c:v>
                </c:pt>
              </c:strCache>
            </c:strRef>
          </c:tx>
          <c:dPt>
            <c:idx val="0"/>
            <c:bubble3D val="0"/>
            <c:spPr>
              <a:pattFill prst="wdUpDiag">
                <a:fgClr>
                  <a:schemeClr val="accent5">
                    <a:lumMod val="60000"/>
                    <a:lumOff val="40000"/>
                  </a:schemeClr>
                </a:fgClr>
                <a:bgClr>
                  <a:schemeClr val="tx1"/>
                </a:bgClr>
              </a:pattFill>
              <a:ln w="9525">
                <a:solidFill>
                  <a:srgbClr val="2DCCD3"/>
                </a:solidFill>
                <a:prstDash val="dash"/>
              </a:ln>
              <a:effectLst/>
            </c:spPr>
            <c:extLst>
              <c:ext xmlns:c16="http://schemas.microsoft.com/office/drawing/2014/chart" uri="{C3380CC4-5D6E-409C-BE32-E72D297353CC}">
                <c16:uniqueId val="{00000001-B2DE-42CA-B562-3D6B6C18A193}"/>
              </c:ext>
            </c:extLst>
          </c:dPt>
          <c:dPt>
            <c:idx val="1"/>
            <c:bubble3D val="0"/>
            <c:spPr>
              <a:solidFill>
                <a:schemeClr val="accent2">
                  <a:alpha val="29000"/>
                </a:schemeClr>
              </a:solidFill>
              <a:ln w="12700">
                <a:solidFill>
                  <a:srgbClr val="2DCCD3"/>
                </a:solidFill>
                <a:prstDash val="dash"/>
              </a:ln>
              <a:effectLst/>
            </c:spPr>
            <c:extLst>
              <c:ext xmlns:c16="http://schemas.microsoft.com/office/drawing/2014/chart" uri="{C3380CC4-5D6E-409C-BE32-E72D297353CC}">
                <c16:uniqueId val="{00000003-B2DE-42CA-B562-3D6B6C18A193}"/>
              </c:ext>
            </c:extLst>
          </c:dPt>
          <c:dPt>
            <c:idx val="2"/>
            <c:bubble3D val="0"/>
            <c:spPr>
              <a:pattFill prst="wdDnDiag">
                <a:fgClr>
                  <a:schemeClr val="accent1"/>
                </a:fgClr>
                <a:bgClr>
                  <a:schemeClr val="accent5"/>
                </a:bgClr>
              </a:pattFill>
              <a:ln w="9525">
                <a:solidFill>
                  <a:schemeClr val="accent5"/>
                </a:solidFill>
                <a:prstDash val="sysDash"/>
              </a:ln>
              <a:effectLst/>
            </c:spPr>
            <c:extLst>
              <c:ext xmlns:c16="http://schemas.microsoft.com/office/drawing/2014/chart" uri="{C3380CC4-5D6E-409C-BE32-E72D297353CC}">
                <c16:uniqueId val="{00000005-B2DE-42CA-B562-3D6B6C18A193}"/>
              </c:ext>
            </c:extLst>
          </c:dPt>
          <c:dPt>
            <c:idx val="3"/>
            <c:bubble3D val="0"/>
            <c:spPr>
              <a:pattFill prst="wdUpDiag">
                <a:fgClr>
                  <a:schemeClr val="bg1"/>
                </a:fgClr>
                <a:bgClr>
                  <a:schemeClr val="accent5"/>
                </a:bgClr>
              </a:pattFill>
              <a:ln w="9525">
                <a:solidFill>
                  <a:schemeClr val="lt1"/>
                </a:solidFill>
                <a:prstDash val="sysDash"/>
              </a:ln>
              <a:effectLst/>
            </c:spPr>
            <c:extLst>
              <c:ext xmlns:c16="http://schemas.microsoft.com/office/drawing/2014/chart" uri="{C3380CC4-5D6E-409C-BE32-E72D297353CC}">
                <c16:uniqueId val="{00000007-B2DE-42CA-B562-3D6B6C18A193}"/>
              </c:ext>
            </c:extLst>
          </c:dPt>
          <c:dPt>
            <c:idx val="4"/>
            <c:bubble3D val="0"/>
            <c:spPr>
              <a:pattFill prst="wdUpDiag">
                <a:fgClr>
                  <a:schemeClr val="accent4">
                    <a:lumMod val="75000"/>
                  </a:schemeClr>
                </a:fgClr>
                <a:bgClr>
                  <a:schemeClr val="accent1"/>
                </a:bgClr>
              </a:pattFill>
              <a:ln w="9525">
                <a:solidFill>
                  <a:schemeClr val="lt1"/>
                </a:solidFill>
                <a:prstDash val="dash"/>
              </a:ln>
              <a:effectLst/>
            </c:spPr>
            <c:extLst>
              <c:ext xmlns:c16="http://schemas.microsoft.com/office/drawing/2014/chart" uri="{C3380CC4-5D6E-409C-BE32-E72D297353CC}">
                <c16:uniqueId val="{00000009-B2DE-42CA-B562-3D6B6C18A193}"/>
              </c:ext>
            </c:extLst>
          </c:dPt>
          <c:dLbls>
            <c:dLbl>
              <c:idx val="0"/>
              <c:layout>
                <c:manualLayout>
                  <c:x val="0.20692530028910336"/>
                  <c:y val="2.6280334880737041E-2"/>
                </c:manualLayout>
              </c:layout>
              <c:tx>
                <c:rich>
                  <a:bodyPr rot="0" spcFirstLastPara="1" vertOverflow="ellipsis" vert="horz" wrap="square" lIns="38100" tIns="19050" rIns="38100" bIns="19050" anchor="ctr" anchorCtr="1">
                    <a:spAutoFit/>
                  </a:bodyPr>
                  <a:lstStyle/>
                  <a:p>
                    <a:pPr>
                      <a:defRPr sz="1600" b="0" i="0" u="none" strike="noStrike" kern="1200" baseline="0">
                        <a:solidFill>
                          <a:schemeClr val="accent2"/>
                        </a:solidFill>
                        <a:latin typeface="+mn-lt"/>
                        <a:ea typeface="+mn-ea"/>
                        <a:cs typeface="+mn-cs"/>
                      </a:defRPr>
                    </a:pPr>
                    <a:fld id="{AFC1256E-1E79-48E5-A3AA-B7AA4220FAD3}" type="CATEGORYNAME">
                      <a:rPr lang="en-US" baseline="0">
                        <a:solidFill>
                          <a:srgbClr val="2DCCD3"/>
                        </a:solidFill>
                      </a:rPr>
                      <a:pPr>
                        <a:defRPr sz="1600">
                          <a:solidFill>
                            <a:schemeClr val="accent2"/>
                          </a:solidFill>
                        </a:defRPr>
                      </a:pPr>
                      <a:t>[CATEGORY NAME]</a:t>
                    </a:fld>
                    <a:r>
                      <a:rPr lang="en-US" baseline="0">
                        <a:solidFill>
                          <a:srgbClr val="2DCCD3"/>
                        </a:solidFill>
                      </a:rPr>
                      <a:t>
</a:t>
                    </a:r>
                    <a:fld id="{B1138324-738B-4BF1-9DA6-F11E0F30C5F7}" type="PERCENTAGE">
                      <a:rPr lang="en-US" baseline="0">
                        <a:solidFill>
                          <a:srgbClr val="2DCCD3"/>
                        </a:solidFill>
                      </a:rPr>
                      <a:pPr>
                        <a:defRPr sz="1600">
                          <a:solidFill>
                            <a:schemeClr val="accent2"/>
                          </a:solidFill>
                        </a:defRPr>
                      </a:pPr>
                      <a:t>[PERCENTAGE]</a:t>
                    </a:fld>
                    <a:endParaRPr lang="en-US" baseline="0">
                      <a:solidFill>
                        <a:srgbClr val="2DCCD3"/>
                      </a:solidFill>
                    </a:endParaRPr>
                  </a:p>
                </c:rich>
              </c:tx>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2DE-42CA-B562-3D6B6C18A193}"/>
                </c:ext>
              </c:extLst>
            </c:dLbl>
            <c:dLbl>
              <c:idx val="1"/>
              <c:layout>
                <c:manualLayout>
                  <c:x val="-0.19027073024329663"/>
                  <c:y val="-4.5316206731609292E-2"/>
                </c:manualLayout>
              </c:layout>
              <c:tx>
                <c:rich>
                  <a:bodyPr rot="0" spcFirstLastPara="1" vertOverflow="ellipsis" vert="horz" wrap="square" lIns="38100" tIns="19050" rIns="38100" bIns="19050" anchor="ctr" anchorCtr="1">
                    <a:noAutofit/>
                  </a:bodyPr>
                  <a:lstStyle/>
                  <a:p>
                    <a:pPr>
                      <a:defRPr sz="1600" b="0" i="0" u="none" strike="noStrike" kern="1200" baseline="0">
                        <a:solidFill>
                          <a:schemeClr val="accent2"/>
                        </a:solidFill>
                        <a:latin typeface="+mn-lt"/>
                        <a:ea typeface="+mn-ea"/>
                        <a:cs typeface="+mn-cs"/>
                      </a:defRPr>
                    </a:pPr>
                    <a:fld id="{98A47993-A086-4A3D-A55F-0D0234127722}" type="CATEGORYNAME">
                      <a:rPr lang="en-US" sz="1600">
                        <a:solidFill>
                          <a:srgbClr val="2DCCD3"/>
                        </a:solidFill>
                      </a:rPr>
                      <a:pPr>
                        <a:defRPr sz="1600">
                          <a:solidFill>
                            <a:schemeClr val="accent2"/>
                          </a:solidFill>
                        </a:defRPr>
                      </a:pPr>
                      <a:t>[CATEGORY NAME]</a:t>
                    </a:fld>
                    <a:r>
                      <a:rPr lang="en-US" sz="1600" baseline="0">
                        <a:solidFill>
                          <a:srgbClr val="2DCCD3"/>
                        </a:solidFill>
                      </a:rPr>
                      <a:t>
</a:t>
                    </a:r>
                    <a:fld id="{BA4636AD-7D06-43FA-BEE5-4D4C4B64A1A8}" type="PERCENTAGE">
                      <a:rPr lang="en-US" sz="1600" baseline="0">
                        <a:solidFill>
                          <a:srgbClr val="2DCCD3"/>
                        </a:solidFill>
                      </a:rPr>
                      <a:pPr>
                        <a:defRPr sz="1600">
                          <a:solidFill>
                            <a:schemeClr val="accent2"/>
                          </a:solidFill>
                        </a:defRPr>
                      </a:pPr>
                      <a:t>[PERCENTAGE]</a:t>
                    </a:fld>
                    <a:endParaRPr lang="en-US" sz="1600" baseline="0">
                      <a:solidFill>
                        <a:srgbClr val="2DCCD3"/>
                      </a:solidFill>
                    </a:endParaRPr>
                  </a:p>
                </c:rich>
              </c:tx>
              <c:spPr>
                <a:solidFill>
                  <a:schemeClr val="tx1"/>
                </a:solid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accent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8975552165008114"/>
                      <c:h val="0.24773657750856182"/>
                    </c:manualLayout>
                  </c15:layout>
                  <c15:dlblFieldTable/>
                  <c15:showDataLabelsRange val="0"/>
                </c:ext>
                <c:ext xmlns:c16="http://schemas.microsoft.com/office/drawing/2014/chart" uri="{C3380CC4-5D6E-409C-BE32-E72D297353CC}">
                  <c16:uniqueId val="{00000003-B2DE-42CA-B562-3D6B6C18A193}"/>
                </c:ext>
              </c:extLst>
            </c:dLbl>
            <c:dLbl>
              <c:idx val="2"/>
              <c:layout>
                <c:manualLayout>
                  <c:x val="0.15821252962121354"/>
                  <c:y val="-0.18315823375973508"/>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19626868032778241"/>
                      <c:h val="0.14883233203401991"/>
                    </c:manualLayout>
                  </c15:layout>
                </c:ext>
                <c:ext xmlns:c16="http://schemas.microsoft.com/office/drawing/2014/chart" uri="{C3380CC4-5D6E-409C-BE32-E72D297353CC}">
                  <c16:uniqueId val="{00000005-B2DE-42CA-B562-3D6B6C18A193}"/>
                </c:ext>
              </c:extLst>
            </c:dLbl>
            <c:dLbl>
              <c:idx val="3"/>
              <c:layout>
                <c:manualLayout>
                  <c:x val="0.19954881857803528"/>
                  <c:y val="-7.093444103527844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accent5"/>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2DE-42CA-B562-3D6B6C18A193}"/>
                </c:ext>
              </c:extLst>
            </c:dLbl>
            <c:dLbl>
              <c:idx val="4"/>
              <c:layout>
                <c:manualLayout>
                  <c:x val="0.25120864481741279"/>
                  <c:y val="5.659476583398510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2DE-42CA-B562-3D6B6C18A193}"/>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'1M-NR'!$B$20:$B$24</c:f>
              <c:strCache>
                <c:ptCount val="5"/>
                <c:pt idx="0">
                  <c:v>Energy Efficiency</c:v>
                </c:pt>
                <c:pt idx="1">
                  <c:v>Renewable Electricity</c:v>
                </c:pt>
                <c:pt idx="2">
                  <c:v>Gas Offsets</c:v>
                </c:pt>
                <c:pt idx="3">
                  <c:v>Electrification</c:v>
                </c:pt>
                <c:pt idx="4">
                  <c:v>Scope 3 Offsets</c:v>
                </c:pt>
              </c:strCache>
            </c:strRef>
          </c:cat>
          <c:val>
            <c:numRef>
              <c:f>'1M-NR'!$Q$20:$Q$24</c:f>
              <c:numCache>
                <c:formatCode>0</c:formatCode>
                <c:ptCount val="5"/>
                <c:pt idx="0">
                  <c:v>2344.39</c:v>
                </c:pt>
                <c:pt idx="1">
                  <c:v>6825.2802500000007</c:v>
                </c:pt>
                <c:pt idx="2">
                  <c:v>543.53380229999993</c:v>
                </c:pt>
                <c:pt idx="3">
                  <c:v>288.56800000000004</c:v>
                </c:pt>
                <c:pt idx="4">
                  <c:v>408.54706356700223</c:v>
                </c:pt>
              </c:numCache>
            </c:numRef>
          </c:val>
          <c:extLst>
            <c:ext xmlns:c16="http://schemas.microsoft.com/office/drawing/2014/chart" uri="{C3380CC4-5D6E-409C-BE32-E72D297353CC}">
              <c16:uniqueId val="{0000000A-B2DE-42CA-B562-3D6B6C18A193}"/>
            </c:ext>
          </c:extLst>
        </c:ser>
        <c:dLbls>
          <c:showLegendKey val="0"/>
          <c:showVal val="0"/>
          <c:showCatName val="0"/>
          <c:showSerName val="0"/>
          <c:showPercent val="0"/>
          <c:showBubbleSize val="0"/>
          <c:showLeaderLines val="1"/>
        </c:dLbls>
        <c:firstSliceAng val="103"/>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2000" b="1">
                <a:latin typeface="Arial" panose="020B0604020202020204" pitchFamily="34" charset="0"/>
                <a:cs typeface="Arial" panose="020B0604020202020204" pitchFamily="34" charset="0"/>
              </a:rPr>
              <a:t>Emissions Intensity (kg.CO2/m2)</a:t>
            </a:r>
          </a:p>
        </c:rich>
      </c:tx>
      <c:layout>
        <c:manualLayout>
          <c:xMode val="edge"/>
          <c:yMode val="edge"/>
          <c:x val="8.7239120368507641E-3"/>
          <c:y val="3.2456446150834012E-2"/>
        </c:manualLayout>
      </c:layout>
      <c:overlay val="0"/>
      <c:spPr>
        <a:noFill/>
        <a:ln>
          <a:noFill/>
        </a:ln>
        <a:effectLst/>
      </c:spPr>
      <c:txPr>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2.2470849822769281E-2"/>
          <c:y val="0.13817933025926302"/>
          <c:w val="0.96340992407767989"/>
          <c:h val="0.7929701604013909"/>
        </c:manualLayout>
      </c:layout>
      <c:barChart>
        <c:barDir val="col"/>
        <c:grouping val="stacked"/>
        <c:varyColors val="0"/>
        <c:ser>
          <c:idx val="0"/>
          <c:order val="0"/>
          <c:tx>
            <c:strRef>
              <c:f>'1M-NR'!$B$27</c:f>
              <c:strCache>
                <c:ptCount val="1"/>
                <c:pt idx="0">
                  <c:v>Grid Electricity</c:v>
                </c:pt>
              </c:strCache>
            </c:strRef>
          </c:tx>
          <c:spPr>
            <a:solidFill>
              <a:srgbClr val="2DCCD3"/>
            </a:solidFill>
            <a:ln>
              <a:noFill/>
            </a:ln>
            <a:effectLst/>
          </c:spPr>
          <c:invertIfNegative val="0"/>
          <c:dLbls>
            <c:dLbl>
              <c:idx val="0"/>
              <c:layout>
                <c:manualLayout>
                  <c:x val="9.0969974094615491E-2"/>
                  <c:y val="-0.19973593939228429"/>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4C53-44BD-930A-88B890D34130}"/>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2">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'1M-NR'!$F$27:$P$27</c:f>
              <c:numCache>
                <c:formatCode>0</c:formatCode>
                <c:ptCount val="11"/>
                <c:pt idx="0" formatCode="#,##0_ ;\-#,##0\ ">
                  <c:v>1441.5998999999999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4C53-44BD-930A-88B890D34130}"/>
            </c:ext>
          </c:extLst>
        </c:ser>
        <c:ser>
          <c:idx val="1"/>
          <c:order val="1"/>
          <c:tx>
            <c:strRef>
              <c:f>'1M-NR'!$B$26</c:f>
              <c:strCache>
                <c:ptCount val="1"/>
                <c:pt idx="0">
                  <c:v>Gas</c:v>
                </c:pt>
              </c:strCache>
            </c:strRef>
          </c:tx>
          <c:spPr>
            <a:solidFill>
              <a:srgbClr val="00857D"/>
            </a:solidFill>
            <a:ln>
              <a:solidFill>
                <a:srgbClr val="00857D">
                  <a:alpha val="96000"/>
                </a:srgbClr>
              </a:solidFill>
            </a:ln>
            <a:effectLst/>
          </c:spPr>
          <c:invertIfNegative val="0"/>
          <c:dLbls>
            <c:dLbl>
              <c:idx val="0"/>
              <c:layout>
                <c:manualLayout>
                  <c:x val="5.0662467835560394E-2"/>
                  <c:y val="1.5743977107057206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5"/>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4C53-44BD-930A-88B890D34130}"/>
                </c:ext>
              </c:extLst>
            </c:dLbl>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'1M-NR'!$F$26:$P$26</c:f>
              <c:numCache>
                <c:formatCode>0</c:formatCode>
                <c:ptCount val="11"/>
                <c:pt idx="0">
                  <c:v>83.210180229999992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4C53-44BD-930A-88B890D34130}"/>
            </c:ext>
          </c:extLst>
        </c:ser>
        <c:ser>
          <c:idx val="2"/>
          <c:order val="2"/>
          <c:tx>
            <c:strRef>
              <c:f>'1M-NR'!$B$25</c:f>
              <c:strCache>
                <c:ptCount val="1"/>
                <c:pt idx="0">
                  <c:v>Scope 3</c:v>
                </c:pt>
              </c:strCache>
            </c:strRef>
          </c:tx>
          <c:spPr>
            <a:solidFill>
              <a:srgbClr val="4F758B"/>
            </a:solidFill>
            <a:ln>
              <a:solidFill>
                <a:srgbClr val="4F758B"/>
              </a:solidFill>
            </a:ln>
            <a:effectLst/>
          </c:spPr>
          <c:invertIfNegative val="0"/>
          <c:dLbls>
            <c:dLbl>
              <c:idx val="0"/>
              <c:layout>
                <c:manualLayout>
                  <c:x val="6.1799383225345672E-2"/>
                  <c:y val="-3.4396640190605628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4C53-44BD-930A-88B890D34130}"/>
                </c:ext>
              </c:extLst>
            </c:dLbl>
            <c:spPr>
              <a:noFill/>
              <a:ln>
                <a:noFill/>
              </a:ln>
              <a:effectLst/>
            </c:spPr>
            <c:txPr>
              <a:bodyPr rot="0" spcFirstLastPara="1" vertOverflow="ellipsis" vert="horz" wrap="square" anchor="ctr" anchorCtr="1"/>
              <a:lstStyle/>
              <a:p>
                <a:pPr>
                  <a:defRPr lang="en-US" sz="14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'1M-NR'!$F$25:$P$25</c:f>
              <c:numCache>
                <c:formatCode>0</c:formatCode>
                <c:ptCount val="11"/>
                <c:pt idx="0">
                  <c:v>77.1795357617506</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4C53-44BD-930A-88B890D34130}"/>
            </c:ext>
          </c:extLst>
        </c:ser>
        <c:ser>
          <c:idx val="6"/>
          <c:order val="3"/>
          <c:tx>
            <c:strRef>
              <c:f>'1M-NR'!$B$21</c:f>
              <c:strCache>
                <c:ptCount val="1"/>
                <c:pt idx="0">
                  <c:v>Renewable Electricity</c:v>
                </c:pt>
              </c:strCache>
            </c:strRef>
          </c:tx>
          <c:spPr>
            <a:solidFill>
              <a:srgbClr val="2DCCD3">
                <a:alpha val="36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36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4C53-44BD-930A-88B890D34130}"/>
              </c:ext>
            </c:extLst>
          </c:dPt>
          <c:dPt>
            <c:idx val="6"/>
            <c:invertIfNegative val="0"/>
            <c:bubble3D val="0"/>
            <c:spPr>
              <a:solidFill>
                <a:srgbClr val="2DCCD3">
                  <a:alpha val="36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4C53-44BD-930A-88B890D34130}"/>
              </c:ext>
            </c:extLst>
          </c:dPt>
          <c:dLbls>
            <c:dLbl>
              <c:idx val="1"/>
              <c:layout>
                <c:manualLayout>
                  <c:x val="0.13743344322606488"/>
                  <c:y val="3.9958236004556218E-2"/>
                </c:manualLayout>
              </c:layout>
              <c:tx>
                <c:rich>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lumMod val="60000"/>
                            <a:lumOff val="40000"/>
                          </a:schemeClr>
                        </a:solidFill>
                        <a:latin typeface="+mn-lt"/>
                        <a:ea typeface="+mn-ea"/>
                        <a:cs typeface="+mn-cs"/>
                      </a:defRPr>
                    </a:pPr>
                    <a:fld id="{351BE7A2-01DA-464E-B0E4-9FED0C1B3344}" type="SERIESNAME">
                      <a:rPr lang="en-US" sz="1200">
                        <a:solidFill>
                          <a:schemeClr val="accent2">
                            <a:lumMod val="60000"/>
                            <a:lumOff val="40000"/>
                          </a:schemeClr>
                        </a:solidFill>
                      </a:rPr>
                      <a:pPr algn="l">
                        <a:defRPr sz="1200">
                          <a:solidFill>
                            <a:schemeClr val="accent2">
                              <a:lumMod val="60000"/>
                              <a:lumOff val="40000"/>
                            </a:schemeClr>
                          </a:solidFill>
                        </a:defRPr>
                      </a:pPr>
                      <a:t>[SERIES NAME]</a:t>
                    </a:fld>
                    <a:endParaRPr lang="en-AU"/>
                  </a:p>
                </c:rich>
              </c:tx>
              <c:spPr>
                <a:noFill/>
                <a:ln>
                  <a:noFill/>
                </a:ln>
                <a:effectLst/>
              </c:spPr>
              <c:txPr>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lumMod val="60000"/>
                          <a:lumOff val="40000"/>
                        </a:schemeClr>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769318905206992"/>
                      <c:h val="9.8103591870822751E-2"/>
                    </c:manualLayout>
                  </c15:layout>
                  <c15:dlblFieldTable/>
                  <c15:showDataLabelsRange val="0"/>
                </c:ext>
                <c:ext xmlns:c16="http://schemas.microsoft.com/office/drawing/2014/chart" uri="{C3380CC4-5D6E-409C-BE32-E72D297353CC}">
                  <c16:uniqueId val="{0000000A-4C53-44BD-930A-88B890D34130}"/>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4C53-44BD-930A-88B890D34130}"/>
                </c:ext>
              </c:extLst>
            </c:dLbl>
            <c:spPr>
              <a:solidFill>
                <a:srgbClr val="FFFFFF"/>
              </a:solidFill>
              <a:ln>
                <a:solidFill>
                  <a:srgbClr val="FFFFFF"/>
                </a:solidFill>
              </a:ln>
              <a:effectLst/>
            </c:spPr>
            <c:txPr>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lumMod val="60000"/>
                        <a:lumOff val="4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'1M-NR'!$F$21:$P$21</c:f>
              <c:numCache>
                <c:formatCode>0</c:formatCode>
                <c:ptCount val="11"/>
                <c:pt idx="0">
                  <c:v>0</c:v>
                </c:pt>
                <c:pt idx="1">
                  <c:v>1339.16902</c:v>
                </c:pt>
                <c:pt idx="2">
                  <c:v>1317.5112999999999</c:v>
                </c:pt>
                <c:pt idx="3">
                  <c:v>837.30421999999999</c:v>
                </c:pt>
                <c:pt idx="4">
                  <c:v>758.04143999999997</c:v>
                </c:pt>
                <c:pt idx="5">
                  <c:v>653.56106999999997</c:v>
                </c:pt>
                <c:pt idx="6">
                  <c:v>549.61260000000004</c:v>
                </c:pt>
                <c:pt idx="7">
                  <c:v>453.78222999999997</c:v>
                </c:pt>
                <c:pt idx="8">
                  <c:v>339.56324999999998</c:v>
                </c:pt>
                <c:pt idx="9">
                  <c:v>300.90527999999995</c:v>
                </c:pt>
                <c:pt idx="10">
                  <c:v>275.82983999999999</c:v>
                </c:pt>
              </c:numCache>
            </c:numRef>
          </c:val>
          <c:extLst>
            <c:ext xmlns:c16="http://schemas.microsoft.com/office/drawing/2014/chart" uri="{C3380CC4-5D6E-409C-BE32-E72D297353CC}">
              <c16:uniqueId val="{0000000C-4C53-44BD-930A-88B890D34130}"/>
            </c:ext>
          </c:extLst>
        </c:ser>
        <c:ser>
          <c:idx val="7"/>
          <c:order val="4"/>
          <c:tx>
            <c:strRef>
              <c:f>'1M-NR'!$B$20</c:f>
              <c:strCache>
                <c:ptCount val="1"/>
                <c:pt idx="0">
                  <c:v>Energy Efficiency</c:v>
                </c:pt>
              </c:strCache>
            </c:strRef>
          </c:tx>
          <c:spPr>
            <a:pattFill prst="wdUpDiag">
              <a:fgClr>
                <a:srgbClr val="2DCCD3"/>
              </a:fgClr>
              <a:bgClr>
                <a:sysClr val="windowText" lastClr="000000"/>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4C53-44BD-930A-88B890D34130}"/>
                </c:ext>
              </c:extLst>
            </c:dLbl>
            <c:dLbl>
              <c:idx val="1"/>
              <c:delete val="1"/>
              <c:extLst>
                <c:ext xmlns:c15="http://schemas.microsoft.com/office/drawing/2012/chart" uri="{CE6537A1-D6FC-4f65-9D91-7224C49458BB}"/>
                <c:ext xmlns:c16="http://schemas.microsoft.com/office/drawing/2014/chart" uri="{C3380CC4-5D6E-409C-BE32-E72D297353CC}">
                  <c16:uniqueId val="{0000000E-4C53-44BD-930A-88B890D34130}"/>
                </c:ext>
              </c:extLst>
            </c:dLbl>
            <c:dLbl>
              <c:idx val="2"/>
              <c:delete val="1"/>
              <c:extLst>
                <c:ext xmlns:c15="http://schemas.microsoft.com/office/drawing/2012/chart" uri="{CE6537A1-D6FC-4f65-9D91-7224C49458BB}"/>
                <c:ext xmlns:c16="http://schemas.microsoft.com/office/drawing/2014/chart" uri="{C3380CC4-5D6E-409C-BE32-E72D297353CC}">
                  <c16:uniqueId val="{0000000F-4C53-44BD-930A-88B890D34130}"/>
                </c:ext>
              </c:extLst>
            </c:dLbl>
            <c:dLbl>
              <c:idx val="3"/>
              <c:layout>
                <c:manualLayout>
                  <c:x val="0.14533319782628409"/>
                  <c:y val="-0.19044094882836426"/>
                </c:manualLayout>
              </c:layout>
              <c:numFmt formatCode="General" sourceLinked="0"/>
              <c:spPr>
                <a:xfrm>
                  <a:off x="4507023" y="1112741"/>
                  <a:ext cx="1763854" cy="321628"/>
                </a:xfrm>
                <a:noFill/>
                <a:ln>
                  <a:noFill/>
                </a:ln>
                <a:effectLst/>
              </c:spPr>
              <c:txPr>
                <a:bodyPr rot="0" spcFirstLastPara="1" vertOverflow="clip" horzOverflow="clip" vert="horz" wrap="square" lIns="36576" tIns="18288" rIns="36576" bIns="18288" anchor="ctr" anchorCtr="1">
                  <a:spAutoFit/>
                </a:bodyPr>
                <a:lstStyle/>
                <a:p>
                  <a:pPr algn="l">
                    <a:defRPr lang="en-US" sz="1200" b="0" i="0" u="none" strike="noStrike" kern="1200" baseline="0">
                      <a:solidFill>
                        <a:schemeClr val="accent2"/>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4C53-44BD-930A-88B890D34130}"/>
                </c:ext>
              </c:extLst>
            </c:dLbl>
            <c:dLbl>
              <c:idx val="4"/>
              <c:delete val="1"/>
              <c:extLst>
                <c:ext xmlns:c15="http://schemas.microsoft.com/office/drawing/2012/chart" uri="{CE6537A1-D6FC-4f65-9D91-7224C49458BB}"/>
                <c:ext xmlns:c16="http://schemas.microsoft.com/office/drawing/2014/chart" uri="{C3380CC4-5D6E-409C-BE32-E72D297353CC}">
                  <c16:uniqueId val="{00000011-4C53-44BD-930A-88B890D34130}"/>
                </c:ext>
              </c:extLst>
            </c:dLbl>
            <c:dLbl>
              <c:idx val="5"/>
              <c:delete val="1"/>
              <c:extLst>
                <c:ext xmlns:c15="http://schemas.microsoft.com/office/drawing/2012/chart" uri="{CE6537A1-D6FC-4f65-9D91-7224C49458BB}"/>
                <c:ext xmlns:c16="http://schemas.microsoft.com/office/drawing/2014/chart" uri="{C3380CC4-5D6E-409C-BE32-E72D297353CC}">
                  <c16:uniqueId val="{00000012-4C53-44BD-930A-88B890D34130}"/>
                </c:ext>
              </c:extLst>
            </c:dLbl>
            <c:dLbl>
              <c:idx val="6"/>
              <c:delete val="1"/>
              <c:extLst>
                <c:ext xmlns:c15="http://schemas.microsoft.com/office/drawing/2012/chart" uri="{CE6537A1-D6FC-4f65-9D91-7224C49458BB}"/>
                <c:ext xmlns:c16="http://schemas.microsoft.com/office/drawing/2014/chart" uri="{C3380CC4-5D6E-409C-BE32-E72D297353CC}">
                  <c16:uniqueId val="{00000013-4C53-44BD-930A-88B890D34130}"/>
                </c:ext>
              </c:extLst>
            </c:dLbl>
            <c:dLbl>
              <c:idx val="7"/>
              <c:delete val="1"/>
              <c:extLst>
                <c:ext xmlns:c15="http://schemas.microsoft.com/office/drawing/2012/chart" uri="{CE6537A1-D6FC-4f65-9D91-7224C49458BB}"/>
                <c:ext xmlns:c16="http://schemas.microsoft.com/office/drawing/2014/chart" uri="{C3380CC4-5D6E-409C-BE32-E72D297353CC}">
                  <c16:uniqueId val="{00000014-4C53-44BD-930A-88B890D34130}"/>
                </c:ext>
              </c:extLst>
            </c:dLbl>
            <c:dLbl>
              <c:idx val="8"/>
              <c:delete val="1"/>
              <c:extLst>
                <c:ext xmlns:c15="http://schemas.microsoft.com/office/drawing/2012/chart" uri="{CE6537A1-D6FC-4f65-9D91-7224C49458BB}"/>
                <c:ext xmlns:c16="http://schemas.microsoft.com/office/drawing/2014/chart" uri="{C3380CC4-5D6E-409C-BE32-E72D297353CC}">
                  <c16:uniqueId val="{00000015-4C53-44BD-930A-88B890D34130}"/>
                </c:ext>
              </c:extLst>
            </c:dLbl>
            <c:dLbl>
              <c:idx val="9"/>
              <c:delete val="1"/>
              <c:extLst>
                <c:ext xmlns:c15="http://schemas.microsoft.com/office/drawing/2012/chart" uri="{CE6537A1-D6FC-4f65-9D91-7224C49458BB}"/>
                <c:ext xmlns:c16="http://schemas.microsoft.com/office/drawing/2014/chart" uri="{C3380CC4-5D6E-409C-BE32-E72D297353CC}">
                  <c16:uniqueId val="{00000016-4C53-44BD-930A-88B890D34130}"/>
                </c:ext>
              </c:extLst>
            </c:dLbl>
            <c:dLbl>
              <c:idx val="10"/>
              <c:delete val="1"/>
              <c:extLst>
                <c:ext xmlns:c15="http://schemas.microsoft.com/office/drawing/2012/chart" uri="{CE6537A1-D6FC-4f65-9D91-7224C49458BB}"/>
                <c:ext xmlns:c16="http://schemas.microsoft.com/office/drawing/2014/chart" uri="{C3380CC4-5D6E-409C-BE32-E72D297353CC}">
                  <c16:uniqueId val="{00000017-4C53-44BD-930A-88B890D34130}"/>
                </c:ext>
              </c:extLst>
            </c:dLbl>
            <c:numFmt formatCode="General" sourceLinked="0"/>
            <c:spPr>
              <a:noFill/>
              <a:ln>
                <a:noFill/>
              </a:ln>
              <a:effectLst/>
            </c:spPr>
            <c:txPr>
              <a:bodyPr rot="0" spcFirstLastPara="1" vertOverflow="clip" horzOverflow="clip" vert="horz" wrap="square" lIns="36576" tIns="18288" rIns="36576" bIns="18288" anchor="ctr" anchorCtr="1">
                <a:spAutoFit/>
              </a:bodyPr>
              <a:lstStyle/>
              <a:p>
                <a:pPr algn="l">
                  <a:defRPr lang="en-US" sz="1000" b="0" i="0" u="none" strike="noStrike" kern="1200" baseline="0">
                    <a:solidFill>
                      <a:schemeClr val="accent2"/>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'1M-NR'!$F$20:$P$20</c:f>
              <c:numCache>
                <c:formatCode>0</c:formatCode>
                <c:ptCount val="11"/>
                <c:pt idx="0">
                  <c:v>0</c:v>
                </c:pt>
                <c:pt idx="1">
                  <c:v>14.84</c:v>
                </c:pt>
                <c:pt idx="2">
                  <c:v>14.6</c:v>
                </c:pt>
                <c:pt idx="3">
                  <c:v>370.72</c:v>
                </c:pt>
                <c:pt idx="4">
                  <c:v>380.64</c:v>
                </c:pt>
                <c:pt idx="5">
                  <c:v>344.61</c:v>
                </c:pt>
                <c:pt idx="6">
                  <c:v>289.8</c:v>
                </c:pt>
                <c:pt idx="7">
                  <c:v>245.12</c:v>
                </c:pt>
                <c:pt idx="8">
                  <c:v>253.5</c:v>
                </c:pt>
                <c:pt idx="9">
                  <c:v>224.64</c:v>
                </c:pt>
                <c:pt idx="10">
                  <c:v>205.92000000000002</c:v>
                </c:pt>
              </c:numCache>
            </c:numRef>
          </c:val>
          <c:extLst>
            <c:ext xmlns:c16="http://schemas.microsoft.com/office/drawing/2014/chart" uri="{C3380CC4-5D6E-409C-BE32-E72D297353CC}">
              <c16:uniqueId val="{00000018-4C53-44BD-930A-88B890D34130}"/>
            </c:ext>
          </c:extLst>
        </c:ser>
        <c:ser>
          <c:idx val="4"/>
          <c:order val="5"/>
          <c:tx>
            <c:strRef>
              <c:f>'1M-NR'!$B$23</c:f>
              <c:strCache>
                <c:ptCount val="1"/>
                <c:pt idx="0">
                  <c:v>Electrification</c:v>
                </c:pt>
              </c:strCache>
            </c:strRef>
          </c:tx>
          <c:spPr>
            <a:pattFill prst="wdUpDiag">
              <a:fgClr>
                <a:srgbClr val="FFFFFF"/>
              </a:fgClr>
              <a:bgClr>
                <a:srgbClr val="00857D"/>
              </a:bgClr>
            </a:pattFill>
            <a:ln w="6350">
              <a:solidFill>
                <a:srgbClr val="00857D"/>
              </a:solidFill>
            </a:ln>
            <a:effectLst/>
          </c:spPr>
          <c:invertIfNegative val="0"/>
          <c:dPt>
            <c:idx val="10"/>
            <c:invertIfNegative val="0"/>
            <c:bubble3D val="0"/>
            <c:spPr>
              <a:pattFill prst="wd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4C53-44BD-930A-88B890D34130}"/>
              </c:ext>
            </c:extLst>
          </c:dPt>
          <c:dLbls>
            <c:dLbl>
              <c:idx val="4"/>
              <c:layout>
                <c:manualLayout>
                  <c:x val="0.16431658619022574"/>
                  <c:y val="-8.2115599165844225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rgbClr val="00857D"/>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13112267429008567"/>
                      <c:h val="7.0612918498540275E-2"/>
                    </c:manualLayout>
                  </c15:layout>
                </c:ext>
                <c:ext xmlns:c16="http://schemas.microsoft.com/office/drawing/2014/chart" uri="{C3380CC4-5D6E-409C-BE32-E72D297353CC}">
                  <c16:uniqueId val="{0000001B-4C53-44BD-930A-88B890D34130}"/>
                </c:ext>
              </c:extLst>
            </c:dLbl>
            <c:spPr>
              <a:noFill/>
              <a:ln>
                <a:noFill/>
              </a:ln>
              <a:effectLst/>
            </c:spPr>
            <c:txPr>
              <a:bodyPr rot="0" spcFirstLastPara="1" vertOverflow="ellipsis" vert="horz" wrap="square" anchor="ctr" anchorCtr="1"/>
              <a:lstStyle/>
              <a:p>
                <a:pPr>
                  <a:defRPr lang="en-US" sz="1400" b="0" i="0" u="none" strike="noStrike" kern="1200" baseline="0">
                    <a:solidFill>
                      <a:srgbClr val="00857D"/>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rgbClr val="00857D"/>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'1M-NR'!$F$23:$P$23</c:f>
              <c:numCache>
                <c:formatCode>0</c:formatCode>
                <c:ptCount val="11"/>
                <c:pt idx="0">
                  <c:v>0</c:v>
                </c:pt>
                <c:pt idx="1">
                  <c:v>0</c:v>
                </c:pt>
                <c:pt idx="2">
                  <c:v>0</c:v>
                </c:pt>
                <c:pt idx="3">
                  <c:v>0</c:v>
                </c:pt>
                <c:pt idx="4">
                  <c:v>25.146639999999998</c:v>
                </c:pt>
                <c:pt idx="5">
                  <c:v>27.104779999999998</c:v>
                </c:pt>
                <c:pt idx="6">
                  <c:v>29.062920000000002</c:v>
                </c:pt>
                <c:pt idx="7">
                  <c:v>31.021060000000002</c:v>
                </c:pt>
                <c:pt idx="8">
                  <c:v>58.744200000000006</c:v>
                </c:pt>
                <c:pt idx="9">
                  <c:v>58.744200000000006</c:v>
                </c:pt>
                <c:pt idx="10">
                  <c:v>58.744200000000006</c:v>
                </c:pt>
              </c:numCache>
            </c:numRef>
          </c:val>
          <c:extLst>
            <c:ext xmlns:c16="http://schemas.microsoft.com/office/drawing/2014/chart" uri="{C3380CC4-5D6E-409C-BE32-E72D297353CC}">
              <c16:uniqueId val="{0000001C-4C53-44BD-930A-88B890D34130}"/>
            </c:ext>
          </c:extLst>
        </c:ser>
        <c:ser>
          <c:idx val="5"/>
          <c:order val="6"/>
          <c:tx>
            <c:strRef>
              <c:f>'1M-NR'!$B$22</c:f>
              <c:strCache>
                <c:ptCount val="1"/>
                <c:pt idx="0">
                  <c:v>Gas Offsets</c:v>
                </c:pt>
              </c:strCache>
            </c:strRef>
          </c:tx>
          <c:spPr>
            <a:pattFill prst="wdDnDiag">
              <a:fgClr>
                <a:sysClr val="windowText" lastClr="000000"/>
              </a:fgClr>
              <a:bgClr>
                <a:srgbClr val="00857D"/>
              </a:bgClr>
            </a:pattFill>
            <a:ln w="9525">
              <a:solidFill>
                <a:srgbClr val="00857D"/>
              </a:solidFill>
              <a:prstDash val="dash"/>
            </a:ln>
            <a:effectLst/>
          </c:spPr>
          <c:invertIfNegative val="0"/>
          <c:dLbls>
            <c:dLbl>
              <c:idx val="2"/>
              <c:layout>
                <c:manualLayout>
                  <c:x val="8.4980472755993935E-2"/>
                  <c:y val="-3.651781154502598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accent5"/>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11222431132162168"/>
                      <c:h val="8.1516836101349147E-2"/>
                    </c:manualLayout>
                  </c15:layout>
                </c:ext>
                <c:ext xmlns:c16="http://schemas.microsoft.com/office/drawing/2014/chart" uri="{C3380CC4-5D6E-409C-BE32-E72D297353CC}">
                  <c16:uniqueId val="{0000001D-4C53-44BD-930A-88B890D34130}"/>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'1M-NR'!$F$22:$P$22</c:f>
              <c:numCache>
                <c:formatCode>0</c:formatCode>
                <c:ptCount val="11"/>
                <c:pt idx="0">
                  <c:v>0</c:v>
                </c:pt>
                <c:pt idx="1">
                  <c:v>83.210180229999992</c:v>
                </c:pt>
                <c:pt idx="2">
                  <c:v>83.210180229999992</c:v>
                </c:pt>
                <c:pt idx="3">
                  <c:v>83.210180229999992</c:v>
                </c:pt>
                <c:pt idx="4">
                  <c:v>58.063540230000001</c:v>
                </c:pt>
                <c:pt idx="5">
                  <c:v>56.105400230000001</c:v>
                </c:pt>
                <c:pt idx="6">
                  <c:v>54.147260230000001</c:v>
                </c:pt>
                <c:pt idx="7">
                  <c:v>52.18912023</c:v>
                </c:pt>
                <c:pt idx="8">
                  <c:v>24.465980229999996</c:v>
                </c:pt>
                <c:pt idx="9">
                  <c:v>24.465980229999996</c:v>
                </c:pt>
                <c:pt idx="10">
                  <c:v>24.465980229999996</c:v>
                </c:pt>
              </c:numCache>
            </c:numRef>
          </c:val>
          <c:extLst>
            <c:ext xmlns:c16="http://schemas.microsoft.com/office/drawing/2014/chart" uri="{C3380CC4-5D6E-409C-BE32-E72D297353CC}">
              <c16:uniqueId val="{0000001E-4C53-44BD-930A-88B890D34130}"/>
            </c:ext>
          </c:extLst>
        </c:ser>
        <c:ser>
          <c:idx val="3"/>
          <c:order val="7"/>
          <c:tx>
            <c:strRef>
              <c:f>'1M-NR'!$B$24</c:f>
              <c:strCache>
                <c:ptCount val="1"/>
                <c:pt idx="0">
                  <c:v>Scope 3 Offsets</c:v>
                </c:pt>
              </c:strCache>
            </c:strRef>
          </c:tx>
          <c:spPr>
            <a:pattFill prst="wdDnDiag">
              <a:fgClr>
                <a:sysClr val="windowText" lastClr="000000"/>
              </a:fgClr>
              <a:bgClr>
                <a:srgbClr val="EAEAEB">
                  <a:lumMod val="50000"/>
                </a:srgbClr>
              </a:bgClr>
            </a:pattFill>
            <a:ln w="6350">
              <a:solidFill>
                <a:srgbClr val="989A9C"/>
              </a:solidFill>
              <a:prstDash val="dash"/>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anchor="ctr" anchorCtr="1"/>
                <a:lstStyle/>
                <a:p>
                  <a:pPr>
                    <a:defRPr lang="en-US" sz="14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4C53-44BD-930A-88B890D34130}"/>
                </c:ext>
              </c:extLst>
            </c:dLbl>
            <c:spPr>
              <a:noFill/>
              <a:ln>
                <a:noFill/>
              </a:ln>
              <a:effectLst/>
            </c:spPr>
            <c:txPr>
              <a:bodyPr rot="0" spcFirstLastPara="1" vertOverflow="clip" horzOverflow="clip" vert="horz" wrap="square" lIns="36576" tIns="18288" rIns="36576" bIns="18288" anchor="ctr" anchorCtr="1">
                <a:spAutoFit/>
              </a:bodyPr>
              <a:lstStyle/>
              <a:p>
                <a:pPr>
                  <a:defRPr lang="en-US" sz="1400" b="0" i="0" u="none" strike="noStrike" kern="1200" baseline="0">
                    <a:solidFill>
                      <a:schemeClr val="bg2">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'1M-NR'!$F$19:$P$19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'1M-NR'!$F$24:$P$24</c:f>
              <c:numCache>
                <c:formatCode>0</c:formatCode>
                <c:ptCount val="11"/>
                <c:pt idx="0">
                  <c:v>0</c:v>
                </c:pt>
                <c:pt idx="1">
                  <c:v>70.452715501556085</c:v>
                </c:pt>
                <c:pt idx="2">
                  <c:v>63.72589524136157</c:v>
                </c:pt>
                <c:pt idx="3">
                  <c:v>56.999074981167055</c:v>
                </c:pt>
                <c:pt idx="4">
                  <c:v>50.272254720972541</c:v>
                </c:pt>
                <c:pt idx="5">
                  <c:v>43.545434460778033</c:v>
                </c:pt>
                <c:pt idx="6">
                  <c:v>36.818614200583525</c:v>
                </c:pt>
                <c:pt idx="7">
                  <c:v>30.09179394038901</c:v>
                </c:pt>
                <c:pt idx="8">
                  <c:v>23.364973680194499</c:v>
                </c:pt>
                <c:pt idx="9">
                  <c:v>16.638153419999988</c:v>
                </c:pt>
                <c:pt idx="10">
                  <c:v>16.638153419999998</c:v>
                </c:pt>
              </c:numCache>
            </c:numRef>
          </c:val>
          <c:extLst>
            <c:ext xmlns:c16="http://schemas.microsoft.com/office/drawing/2014/chart" uri="{C3380CC4-5D6E-409C-BE32-E72D297353CC}">
              <c16:uniqueId val="{00000020-4C53-44BD-930A-88B890D34130}"/>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'1M-NR'!$E$17</c:f>
              <c:strCache>
                <c:ptCount val="1"/>
                <c:pt idx="0">
                  <c:v>kg.CO2-e/m2</c:v>
                </c:pt>
              </c:strCache>
            </c:strRef>
          </c:tx>
          <c:spPr>
            <a:ln w="28575" cap="rnd">
              <a:solidFill>
                <a:srgbClr val="2DCCD3"/>
              </a:solidFill>
              <a:round/>
            </a:ln>
            <a:effectLst/>
          </c:spPr>
          <c:marker>
            <c:symbol val="none"/>
          </c:marker>
          <c:dLbls>
            <c:dLbl>
              <c:idx val="0"/>
              <c:layout>
                <c:manualLayout>
                  <c:x val="-3.9086993969000436E-2"/>
                  <c:y val="-4.4400936704147673E-2"/>
                </c:manualLayout>
              </c:layout>
              <c:numFmt formatCode="#,##0.0"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6.5260853321050638E-2"/>
                      <c:h val="0.10940610902781407"/>
                    </c:manualLayout>
                  </c15:layout>
                </c:ext>
                <c:ext xmlns:c16="http://schemas.microsoft.com/office/drawing/2014/chart" uri="{C3380CC4-5D6E-409C-BE32-E72D297353CC}">
                  <c16:uniqueId val="{00000006-30F9-49B4-9F1F-B3223DA278A0}"/>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4C53-44BD-930A-88B890D34130}"/>
                </c:ext>
              </c:extLst>
            </c:dLbl>
            <c:numFmt formatCode="0"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'1M-NR'!$F$17:$P$17</c:f>
              <c:numCache>
                <c:formatCode>0.0</c:formatCode>
                <c:ptCount val="11"/>
                <c:pt idx="0">
                  <c:v>54.926613728030951</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4C53-44BD-930A-88B890D34130}"/>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ysClr val="windowText" lastClr="000000">
                <a:lumMod val="65000"/>
                <a:lumOff val="35000"/>
              </a:sys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75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94156608"/>
        <c:crosses val="autoZero"/>
        <c:crossBetween val="between"/>
        <c:majorUnit val="250"/>
      </c:valAx>
      <c:valAx>
        <c:axId val="458577487"/>
        <c:scaling>
          <c:orientation val="minMax"/>
          <c:max val="60"/>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no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r>
              <a:rPr lang="en-US" sz="2000" b="1" i="0">
                <a:latin typeface="Arial" panose="020B0604020202020204" pitchFamily="34" charset="0"/>
                <a:cs typeface="Arial" panose="020B0604020202020204" pitchFamily="34" charset="0"/>
              </a:rPr>
              <a:t>Annual Electricity Consumption (MWh) </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lgn="l">
            <a:defRPr lang="en-US" sz="2000" b="1" i="0" u="none" strike="noStrike" kern="1200" spc="0" baseline="0">
              <a:solidFill>
                <a:schemeClr val="bg1"/>
              </a:solidFill>
              <a:latin typeface="Arial" panose="020B0604020202020204" pitchFamily="34" charset="0"/>
              <a:ea typeface="+mn-ea"/>
              <a:cs typeface="Arial" panose="020B0604020202020204" pitchFamily="34" charset="0"/>
            </a:defRPr>
          </a:pPr>
          <a:endParaRPr lang="en-US"/>
        </a:p>
      </c:txPr>
    </c:title>
    <c:autoTitleDeleted val="0"/>
    <c:plotArea>
      <c:layout>
        <c:manualLayout>
          <c:layoutTarget val="inner"/>
          <c:xMode val="edge"/>
          <c:yMode val="edge"/>
          <c:x val="6.6772808791264626E-2"/>
          <c:y val="0.18450399650117244"/>
          <c:w val="0.92686237659023885"/>
          <c:h val="0.73268869553716065"/>
        </c:manualLayout>
      </c:layout>
      <c:barChart>
        <c:barDir val="col"/>
        <c:grouping val="clustered"/>
        <c:varyColors val="0"/>
        <c:ser>
          <c:idx val="2"/>
          <c:order val="2"/>
          <c:tx>
            <c:v>Total Savings ($)</c:v>
          </c:tx>
          <c:spPr>
            <a:solidFill>
              <a:srgbClr val="00857D"/>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'1M-NR'!$F$51:$P$51</c:f>
              <c:numCache>
                <c:formatCode>"$"#,##0.00</c:formatCode>
                <c:ptCount val="11"/>
                <c:pt idx="0">
                  <c:v>0</c:v>
                </c:pt>
                <c:pt idx="1">
                  <c:v>0.21877429245936722</c:v>
                </c:pt>
                <c:pt idx="2">
                  <c:v>0.22643139269544299</c:v>
                </c:pt>
                <c:pt idx="3">
                  <c:v>6.5619817603139774</c:v>
                </c:pt>
                <c:pt idx="4">
                  <c:v>8.0008277307737217</c:v>
                </c:pt>
                <c:pt idx="5">
                  <c:v>8.5755644028899116</c:v>
                </c:pt>
                <c:pt idx="6">
                  <c:v>8.9202495980574472</c:v>
                </c:pt>
                <c:pt idx="7">
                  <c:v>9.4123688175921032</c:v>
                </c:pt>
                <c:pt idx="8">
                  <c:v>14.15559608550706</c:v>
                </c:pt>
                <c:pt idx="9">
                  <c:v>14.6395680235021</c:v>
                </c:pt>
                <c:pt idx="10">
                  <c:v>15.14026165194938</c:v>
                </c:pt>
              </c:numCache>
            </c:numRef>
          </c:val>
          <c:extLst>
            <c:ext xmlns:c16="http://schemas.microsoft.com/office/drawing/2014/chart" uri="{C3380CC4-5D6E-409C-BE32-E72D297353CC}">
              <c16:uniqueId val="{00000000-F188-4803-8791-7D90AFD90DD1}"/>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b"/>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F188-4803-8791-7D90AFD90DD1}"/>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25-49B5-B25B-691DFFC2EC46}"/>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25-49B5-B25B-691DFFC2EC46}"/>
                </c:ext>
              </c:extLst>
            </c:dLbl>
            <c:spPr>
              <a:noFill/>
              <a:ln>
                <a:noFill/>
              </a:ln>
              <a:effectLst/>
            </c:spPr>
            <c:txPr>
              <a:bodyPr rot="0" spcFirstLastPara="1" vertOverflow="ellipsis" vert="horz" wrap="square" anchor="ctr" anchorCtr="1"/>
              <a:lstStyle/>
              <a:p>
                <a:pPr>
                  <a:defRPr lang="en-US" sz="1400" b="0" i="0" u="none" strike="noStrike" kern="1200" baseline="0">
                    <a:solidFill>
                      <a:schemeClr val="accent5">
                        <a:lumMod val="60000"/>
                        <a:lumOff val="4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'1M-NR'!$F$6:$P$6</c:f>
              <c:numCache>
                <c:formatCode>#,##0_ ;\-#,##0\ </c:formatCode>
                <c:ptCount val="11"/>
                <c:pt idx="0">
                  <c:v>1824.81</c:v>
                </c:pt>
                <c:pt idx="1">
                  <c:v>1804.81</c:v>
                </c:pt>
                <c:pt idx="2">
                  <c:v>1804.81</c:v>
                </c:pt>
                <c:pt idx="3">
                  <c:v>1264.81</c:v>
                </c:pt>
                <c:pt idx="4">
                  <c:v>1214.81</c:v>
                </c:pt>
                <c:pt idx="5">
                  <c:v>1194.81</c:v>
                </c:pt>
                <c:pt idx="6">
                  <c:v>1194.81</c:v>
                </c:pt>
                <c:pt idx="7">
                  <c:v>1184.81</c:v>
                </c:pt>
                <c:pt idx="8">
                  <c:v>1044.81</c:v>
                </c:pt>
                <c:pt idx="9">
                  <c:v>1044.81</c:v>
                </c:pt>
                <c:pt idx="10">
                  <c:v>1044.81</c:v>
                </c:pt>
              </c:numCache>
            </c:numRef>
          </c:val>
          <c:smooth val="1"/>
          <c:extLst>
            <c:ext xmlns:c16="http://schemas.microsoft.com/office/drawing/2014/chart" uri="{C3380CC4-5D6E-409C-BE32-E72D297353CC}">
              <c16:uniqueId val="{00000002-F188-4803-8791-7D90AFD90DD1}"/>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rgbClr val="FFFFFF">
                  <a:alpha val="45000"/>
                </a:srgbClr>
              </a:solidFill>
              <a:round/>
            </a:ln>
            <a:effectLst/>
          </c:spPr>
          <c:marker>
            <c:symbol val="none"/>
          </c:marker>
          <c:dLbls>
            <c:dLbl>
              <c:idx val="0"/>
              <c:layout>
                <c:manualLayout>
                  <c:x val="-6.7387620196966688E-2"/>
                  <c:y val="5.6202888599386568E-2"/>
                </c:manualLayout>
              </c:layout>
              <c:numFmt formatCode="&quot;$&quot;#,###&quot;/m2 p.a.&quot;"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4"/>
                      </a:solidFill>
                      <a:latin typeface="+mn-lt"/>
                      <a:ea typeface="+mn-ea"/>
                      <a:cs typeface="+mn-cs"/>
                    </a:defRPr>
                  </a:pPr>
                  <a:endParaRPr lang="en-US"/>
                </a:p>
              </c:txPr>
              <c:dLblPos val="r"/>
              <c:showLegendKey val="0"/>
              <c:showVal val="1"/>
              <c:showCatName val="0"/>
              <c:showSerName val="0"/>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3-F188-4803-8791-7D90AFD90DD1}"/>
                </c:ext>
              </c:extLst>
            </c:dLbl>
            <c:dLbl>
              <c:idx val="10"/>
              <c:layout>
                <c:manualLayout>
                  <c:x val="-8.2703296458525228E-4"/>
                  <c:y val="-5.7365988273608885E-2"/>
                </c:manualLayout>
              </c:layout>
              <c:numFmt formatCode="&quot;$&quot;#,###&quot;/m2 p.a.&quot;" sourceLinked="0"/>
              <c:spPr>
                <a:noFill/>
                <a:ln>
                  <a:noFill/>
                </a:ln>
                <a:effectLst/>
              </c:spPr>
              <c:txPr>
                <a:bodyPr rot="0" spcFirstLastPara="1" vertOverflow="ellipsis" vert="horz" wrap="square" anchor="ctr" anchorCtr="1"/>
                <a:lstStyle/>
                <a:p>
                  <a:pPr>
                    <a:defRPr lang="en-US" sz="1400" b="0" i="0" u="none" strike="noStrike" kern="1200" baseline="0">
                      <a:solidFill>
                        <a:schemeClr val="accent4"/>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8976157938"/>
                      <c:h val="0.25311507413690826"/>
                    </c:manualLayout>
                  </c15:layout>
                </c:ext>
                <c:ext xmlns:c16="http://schemas.microsoft.com/office/drawing/2014/chart" uri="{C3380CC4-5D6E-409C-BE32-E72D297353CC}">
                  <c16:uniqueId val="{00000004-F188-4803-8791-7D90AFD90DD1}"/>
                </c:ext>
              </c:extLst>
            </c:dLbl>
            <c:spPr>
              <a:noFill/>
              <a:ln>
                <a:noFill/>
              </a:ln>
              <a:effectLst/>
            </c:spPr>
            <c:txPr>
              <a:bodyPr rot="0" spcFirstLastPara="1" vertOverflow="ellipsis" vert="horz" wrap="square" anchor="ctr" anchorCtr="1"/>
              <a:lstStyle/>
              <a:p>
                <a:pPr>
                  <a:defRPr lang="en-US" sz="1800" b="0" i="0" u="none" strike="noStrike" kern="1200" baseline="0">
                    <a:solidFill>
                      <a:schemeClr val="bg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'1M-NR'!$F$37:$P$37</c:f>
              <c:numCache>
                <c:formatCode>_("$"* #,##0.00_);_("$"* \(#,##0.00\);_("$"* "-"??_);_(@_)</c:formatCode>
                <c:ptCount val="11"/>
                <c:pt idx="0">
                  <c:v>17.525945254748681</c:v>
                </c:pt>
                <c:pt idx="1">
                  <c:v>21.629759733736307</c:v>
                </c:pt>
                <c:pt idx="2">
                  <c:v>22.680733312168766</c:v>
                </c:pt>
                <c:pt idx="3">
                  <c:v>23.441547270187424</c:v>
                </c:pt>
                <c:pt idx="4">
                  <c:v>24.229216247203198</c:v>
                </c:pt>
                <c:pt idx="5">
                  <c:v>25.044672434531087</c:v>
                </c:pt>
                <c:pt idx="6">
                  <c:v>25.888880418151647</c:v>
                </c:pt>
                <c:pt idx="7">
                  <c:v>26.762838305563314</c:v>
                </c:pt>
                <c:pt idx="8">
                  <c:v>31.716226591389859</c:v>
                </c:pt>
                <c:pt idx="9">
                  <c:v>32.794521235448805</c:v>
                </c:pt>
                <c:pt idx="10">
                  <c:v>33.924571040125606</c:v>
                </c:pt>
              </c:numCache>
            </c:numRef>
          </c:val>
          <c:smooth val="1"/>
          <c:extLst>
            <c:ext xmlns:c16="http://schemas.microsoft.com/office/drawing/2014/chart" uri="{C3380CC4-5D6E-409C-BE32-E72D297353CC}">
              <c16:uniqueId val="{00000005-F188-4803-8791-7D90AFD90DD1}"/>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rgbClr val="EAEAEB">
                <a:lumMod val="50000"/>
              </a:srgb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000"/>
          <c:min val="0"/>
        </c:scaling>
        <c:delete val="0"/>
        <c:axPos val="l"/>
        <c:majorGridlines>
          <c:spPr>
            <a:ln w="9525" cap="flat" cmpd="sng" algn="ctr">
              <a:solidFill>
                <a:srgbClr val="EAEAEB">
                  <a:lumMod val="10000"/>
                </a:srgb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chemeClr val="bg1"/>
                </a:solidFill>
                <a:latin typeface="+mn-lt"/>
                <a:ea typeface="+mn-ea"/>
                <a:cs typeface="+mn-cs"/>
              </a:defRPr>
            </a:pPr>
            <a:endParaRPr lang="en-US"/>
          </a:p>
        </c:txPr>
        <c:crossAx val="894156608"/>
        <c:crosses val="autoZero"/>
        <c:crossBetween val="midCat"/>
        <c:majorUnit val="1000"/>
        <c:minorUnit val="250"/>
      </c:valAx>
      <c:valAx>
        <c:axId val="831515424"/>
        <c:scaling>
          <c:orientation val="minMax"/>
          <c:max val="40"/>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ysClr val="windowText" lastClr="000000"/>
    </a:solidFill>
    <a:ln w="9525" cap="flat" cmpd="sng" algn="ctr">
      <a:no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25" b="1" i="0" u="none" strike="noStrike" baseline="0">
                <a:solidFill>
                  <a:srgbClr val="000000"/>
                </a:solidFill>
                <a:latin typeface="Times New Roman" panose="02020603050405020304" pitchFamily="18" charset="0"/>
                <a:ea typeface="Arial"/>
                <a:cs typeface="Times New Roman" panose="02020603050405020304" pitchFamily="18" charset="0"/>
              </a:defRPr>
            </a:pPr>
            <a:r>
              <a:rPr lang="en-AU">
                <a:latin typeface="Times New Roman" panose="02020603050405020304" pitchFamily="18" charset="0"/>
                <a:cs typeface="Times New Roman" panose="02020603050405020304" pitchFamily="18" charset="0"/>
              </a:rPr>
              <a:t>Predicted NABERS Energy Performance</a:t>
            </a:r>
          </a:p>
        </c:rich>
      </c:tx>
      <c:layout>
        <c:manualLayout>
          <c:xMode val="edge"/>
          <c:yMode val="edge"/>
          <c:x val="5.659989242316108E-3"/>
          <c:y val="8.4561782083432332E-3"/>
        </c:manualLayout>
      </c:layout>
      <c:overlay val="0"/>
      <c:spPr>
        <a:noFill/>
        <a:ln w="25400">
          <a:noFill/>
        </a:ln>
      </c:spPr>
    </c:title>
    <c:autoTitleDeleted val="0"/>
    <c:plotArea>
      <c:layout>
        <c:manualLayout>
          <c:layoutTarget val="inner"/>
          <c:xMode val="edge"/>
          <c:yMode val="edge"/>
          <c:x val="3.8039037397169975E-2"/>
          <c:y val="0.13205320815789642"/>
          <c:w val="0.9494647556502378"/>
          <c:h val="0.75870570505264134"/>
        </c:manualLayout>
      </c:layout>
      <c:barChart>
        <c:barDir val="col"/>
        <c:grouping val="stacked"/>
        <c:varyColors val="0"/>
        <c:ser>
          <c:idx val="0"/>
          <c:order val="0"/>
          <c:tx>
            <c:strRef>
              <c:f>'117C-NR'!$BA$156</c:f>
              <c:strCache>
                <c:ptCount val="1"/>
                <c:pt idx="0">
                  <c:v>5.0</c:v>
                </c:pt>
              </c:strCache>
            </c:strRef>
          </c:tx>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C1C2-4B64-B340-C8A3550FB4AF}"/>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C1C2-4B64-B340-C8A3550FB4AF}"/>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C1C2-4B64-B340-C8A3550FB4AF}"/>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C1C2-4B64-B340-C8A3550FB4AF}"/>
              </c:ext>
            </c:extLst>
          </c:dPt>
          <c:dLbls>
            <c:dLbl>
              <c:idx val="0"/>
              <c:tx>
                <c:rich>
                  <a:bodyPr/>
                  <a:lstStyle/>
                  <a:p>
                    <a:r>
                      <a:rPr lang="en-US"/>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C1C2-4B64-B340-C8A3550FB4AF}"/>
                </c:ext>
              </c:extLst>
            </c:dLbl>
            <c:dLbl>
              <c:idx val="1"/>
              <c:spPr>
                <a:noFill/>
                <a:ln w="25400">
                  <a:noFill/>
                </a:ln>
              </c:spPr>
              <c:txPr>
                <a:bodyPr/>
                <a:lstStyle/>
                <a:p>
                  <a:pPr>
                    <a:defRPr sz="1200" b="0" i="0" u="none" strike="noStrike" baseline="0">
                      <a:solidFill>
                        <a:schemeClr val="bg1"/>
                      </a:solidFill>
                      <a:latin typeface="Arial"/>
                      <a:ea typeface="Arial"/>
                      <a:cs typeface="Arial"/>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'117C-NR'!$BG$166:$BG$176</c:f>
              <c:numCache>
                <c:formatCode>0</c:formatCode>
                <c:ptCount val="11"/>
                <c:pt idx="0" formatCode="General">
                  <c:v>69.59</c:v>
                </c:pt>
                <c:pt idx="1">
                  <c:v>58.5</c:v>
                </c:pt>
                <c:pt idx="2" formatCode="0.0">
                  <c:v>58.5</c:v>
                </c:pt>
                <c:pt idx="3" formatCode="0.0">
                  <c:v>58.5</c:v>
                </c:pt>
                <c:pt idx="4" formatCode="0.0">
                  <c:v>58.5</c:v>
                </c:pt>
                <c:pt idx="5" formatCode="0.0">
                  <c:v>58.5</c:v>
                </c:pt>
                <c:pt idx="6" formatCode="0.0">
                  <c:v>58.5</c:v>
                </c:pt>
                <c:pt idx="7" formatCode="0.0">
                  <c:v>58.5</c:v>
                </c:pt>
                <c:pt idx="8" formatCode="0.0">
                  <c:v>58.5</c:v>
                </c:pt>
                <c:pt idx="9" formatCode="0.0">
                  <c:v>58.5</c:v>
                </c:pt>
                <c:pt idx="10" formatCode="0.0">
                  <c:v>58.5</c:v>
                </c:pt>
              </c:numCache>
            </c:numRef>
          </c:val>
          <c:extLst>
            <c:ext xmlns:c16="http://schemas.microsoft.com/office/drawing/2014/chart" uri="{C3380CC4-5D6E-409C-BE32-E72D297353CC}">
              <c16:uniqueId val="{00000009-C1C2-4B64-B340-C8A3550FB4AF}"/>
            </c:ext>
          </c:extLst>
        </c:ser>
        <c:ser>
          <c:idx val="1"/>
          <c:order val="1"/>
          <c:tx>
            <c:strRef>
              <c:f>'117C-NR'!$BA$157</c:f>
              <c:strCache>
                <c:ptCount val="1"/>
                <c:pt idx="0">
                  <c:v>4.5</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C1C2-4B64-B340-C8A3550FB4AF}"/>
                </c:ext>
              </c:extLst>
            </c:dLbl>
            <c:dLbl>
              <c:idx val="2"/>
              <c:delete val="1"/>
              <c:extLst>
                <c:ext xmlns:c15="http://schemas.microsoft.com/office/drawing/2012/chart" uri="{CE6537A1-D6FC-4f65-9D91-7224C49458BB}"/>
                <c:ext xmlns:c16="http://schemas.microsoft.com/office/drawing/2014/chart" uri="{C3380CC4-5D6E-409C-BE32-E72D297353CC}">
                  <c16:uniqueId val="{0000000B-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'117C-NR'!$BH$166:$BH$168</c:f>
              <c:numCache>
                <c:formatCode>General</c:formatCode>
                <c:ptCount val="3"/>
                <c:pt idx="0">
                  <c:v>15.329999999999998</c:v>
                </c:pt>
              </c:numCache>
            </c:numRef>
          </c:val>
          <c:extLst>
            <c:ext xmlns:c16="http://schemas.microsoft.com/office/drawing/2014/chart" uri="{C3380CC4-5D6E-409C-BE32-E72D297353CC}">
              <c16:uniqueId val="{0000000C-C1C2-4B64-B340-C8A3550FB4AF}"/>
            </c:ext>
          </c:extLst>
        </c:ser>
        <c:ser>
          <c:idx val="2"/>
          <c:order val="2"/>
          <c:tx>
            <c:strRef>
              <c:f>'117C-NR'!$BA$158</c:f>
              <c:strCache>
                <c:ptCount val="1"/>
                <c:pt idx="0">
                  <c:v>4.0</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C1C2-4B64-B340-C8A3550FB4AF}"/>
                </c:ext>
              </c:extLst>
            </c:dLbl>
            <c:dLbl>
              <c:idx val="2"/>
              <c:delete val="1"/>
              <c:extLst>
                <c:ext xmlns:c15="http://schemas.microsoft.com/office/drawing/2012/chart" uri="{CE6537A1-D6FC-4f65-9D91-7224C49458BB}"/>
                <c:ext xmlns:c16="http://schemas.microsoft.com/office/drawing/2014/chart" uri="{C3380CC4-5D6E-409C-BE32-E72D297353CC}">
                  <c16:uniqueId val="{0000000E-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'117C-NR'!$BI$166:$BI$168</c:f>
              <c:numCache>
                <c:formatCode>General</c:formatCode>
                <c:ptCount val="3"/>
                <c:pt idx="0">
                  <c:v>15.329999999999998</c:v>
                </c:pt>
              </c:numCache>
            </c:numRef>
          </c:val>
          <c:extLst>
            <c:ext xmlns:c16="http://schemas.microsoft.com/office/drawing/2014/chart" uri="{C3380CC4-5D6E-409C-BE32-E72D297353CC}">
              <c16:uniqueId val="{0000000F-C1C2-4B64-B340-C8A3550FB4AF}"/>
            </c:ext>
          </c:extLst>
        </c:ser>
        <c:ser>
          <c:idx val="3"/>
          <c:order val="3"/>
          <c:tx>
            <c:strRef>
              <c:f>'117C-NR'!$BA$159</c:f>
              <c:strCache>
                <c:ptCount val="1"/>
                <c:pt idx="0">
                  <c:v>3.5</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C1C2-4B64-B340-C8A3550FB4AF}"/>
                </c:ext>
              </c:extLst>
            </c:dLbl>
            <c:dLbl>
              <c:idx val="2"/>
              <c:delete val="1"/>
              <c:extLst>
                <c:ext xmlns:c15="http://schemas.microsoft.com/office/drawing/2012/chart" uri="{CE6537A1-D6FC-4f65-9D91-7224C49458BB}"/>
                <c:ext xmlns:c16="http://schemas.microsoft.com/office/drawing/2014/chart" uri="{C3380CC4-5D6E-409C-BE32-E72D297353CC}">
                  <c16:uniqueId val="{00000011-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'117C-NR'!$BJ$166:$BJ$168</c:f>
              <c:numCache>
                <c:formatCode>General</c:formatCode>
                <c:ptCount val="3"/>
                <c:pt idx="0">
                  <c:v>15.319999999999993</c:v>
                </c:pt>
              </c:numCache>
            </c:numRef>
          </c:val>
          <c:extLst>
            <c:ext xmlns:c16="http://schemas.microsoft.com/office/drawing/2014/chart" uri="{C3380CC4-5D6E-409C-BE32-E72D297353CC}">
              <c16:uniqueId val="{00000012-C1C2-4B64-B340-C8A3550FB4AF}"/>
            </c:ext>
          </c:extLst>
        </c:ser>
        <c:ser>
          <c:idx val="4"/>
          <c:order val="4"/>
          <c:tx>
            <c:strRef>
              <c:f>'117C-NR'!$BA$160</c:f>
              <c:strCache>
                <c:ptCount val="1"/>
                <c:pt idx="0">
                  <c:v>3.0</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C1C2-4B64-B340-C8A3550FB4AF}"/>
                </c:ext>
              </c:extLst>
            </c:dLbl>
            <c:dLbl>
              <c:idx val="2"/>
              <c:delete val="1"/>
              <c:extLst>
                <c:ext xmlns:c15="http://schemas.microsoft.com/office/drawing/2012/chart" uri="{CE6537A1-D6FC-4f65-9D91-7224C49458BB}"/>
                <c:ext xmlns:c16="http://schemas.microsoft.com/office/drawing/2014/chart" uri="{C3380CC4-5D6E-409C-BE32-E72D297353CC}">
                  <c16:uniqueId val="{00000014-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'117C-NR'!$BK$166:$BK$168</c:f>
              <c:numCache>
                <c:formatCode>General</c:formatCode>
                <c:ptCount val="3"/>
                <c:pt idx="0">
                  <c:v>15.330000000000013</c:v>
                </c:pt>
              </c:numCache>
            </c:numRef>
          </c:val>
          <c:extLst>
            <c:ext xmlns:c16="http://schemas.microsoft.com/office/drawing/2014/chart" uri="{C3380CC4-5D6E-409C-BE32-E72D297353CC}">
              <c16:uniqueId val="{00000015-C1C2-4B64-B340-C8A3550FB4AF}"/>
            </c:ext>
          </c:extLst>
        </c:ser>
        <c:ser>
          <c:idx val="5"/>
          <c:order val="5"/>
          <c:tx>
            <c:strRef>
              <c:f>'117C-NR'!$BA$161</c:f>
              <c:strCache>
                <c:ptCount val="1"/>
                <c:pt idx="0">
                  <c:v>2.5</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C1C2-4B64-B340-C8A3550FB4AF}"/>
                </c:ext>
              </c:extLst>
            </c:dLbl>
            <c:dLbl>
              <c:idx val="2"/>
              <c:delete val="1"/>
              <c:extLst>
                <c:ext xmlns:c15="http://schemas.microsoft.com/office/drawing/2012/chart" uri="{CE6537A1-D6FC-4f65-9D91-7224C49458BB}"/>
                <c:ext xmlns:c16="http://schemas.microsoft.com/office/drawing/2014/chart" uri="{C3380CC4-5D6E-409C-BE32-E72D297353CC}">
                  <c16:uniqueId val="{00000017-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'117C-NR'!$BL$166:$BL$168</c:f>
              <c:numCache>
                <c:formatCode>General</c:formatCode>
                <c:ptCount val="3"/>
                <c:pt idx="0">
                  <c:v>15.329999999999984</c:v>
                </c:pt>
              </c:numCache>
            </c:numRef>
          </c:val>
          <c:extLst>
            <c:ext xmlns:c16="http://schemas.microsoft.com/office/drawing/2014/chart" uri="{C3380CC4-5D6E-409C-BE32-E72D297353CC}">
              <c16:uniqueId val="{00000018-C1C2-4B64-B340-C8A3550FB4AF}"/>
            </c:ext>
          </c:extLst>
        </c:ser>
        <c:ser>
          <c:idx val="6"/>
          <c:order val="6"/>
          <c:tx>
            <c:strRef>
              <c:f>'117C-NR'!$BA$162</c:f>
              <c:strCache>
                <c:ptCount val="1"/>
                <c:pt idx="0">
                  <c:v>2.0</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C1C2-4B64-B340-C8A3550FB4AF}"/>
                </c:ext>
              </c:extLst>
            </c:dLbl>
            <c:dLbl>
              <c:idx val="2"/>
              <c:delete val="1"/>
              <c:extLst>
                <c:ext xmlns:c15="http://schemas.microsoft.com/office/drawing/2012/chart" uri="{CE6537A1-D6FC-4f65-9D91-7224C49458BB}"/>
                <c:ext xmlns:c16="http://schemas.microsoft.com/office/drawing/2014/chart" uri="{C3380CC4-5D6E-409C-BE32-E72D297353CC}">
                  <c16:uniqueId val="{0000001A-C1C2-4B64-B340-C8A3550FB4AF}"/>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'117C-NR'!$BM$166:$BM$168</c:f>
              <c:numCache>
                <c:formatCode>General</c:formatCode>
                <c:ptCount val="3"/>
                <c:pt idx="0">
                  <c:v>15.330000000000013</c:v>
                </c:pt>
              </c:numCache>
            </c:numRef>
          </c:val>
          <c:extLst>
            <c:ext xmlns:c16="http://schemas.microsoft.com/office/drawing/2014/chart" uri="{C3380CC4-5D6E-409C-BE32-E72D297353CC}">
              <c16:uniqueId val="{0000001B-C1C2-4B64-B340-C8A3550FB4AF}"/>
            </c:ext>
          </c:extLst>
        </c:ser>
        <c:ser>
          <c:idx val="7"/>
          <c:order val="7"/>
          <c:tx>
            <c:strRef>
              <c:f>'117C-NR'!$BA$163</c:f>
              <c:strCache>
                <c:ptCount val="1"/>
                <c:pt idx="0">
                  <c:v>1.5</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'117C-NR'!$BN$166</c:f>
              <c:numCache>
                <c:formatCode>General</c:formatCode>
                <c:ptCount val="1"/>
                <c:pt idx="0">
                  <c:v>15.329999999999984</c:v>
                </c:pt>
              </c:numCache>
            </c:numRef>
          </c:val>
          <c:extLst>
            <c:ext xmlns:c16="http://schemas.microsoft.com/office/drawing/2014/chart" uri="{C3380CC4-5D6E-409C-BE32-E72D297353CC}">
              <c16:uniqueId val="{0000001C-C1C2-4B64-B340-C8A3550FB4AF}"/>
            </c:ext>
          </c:extLst>
        </c:ser>
        <c:ser>
          <c:idx val="8"/>
          <c:order val="8"/>
          <c:tx>
            <c:strRef>
              <c:f>'117C-NR'!$BA$164</c:f>
              <c:strCache>
                <c:ptCount val="1"/>
                <c:pt idx="0">
                  <c:v>1.0</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'117C-NR'!$BF$166:$BF$176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'117C-NR'!$BO$166</c:f>
              <c:numCache>
                <c:formatCode>General</c:formatCode>
                <c:ptCount val="1"/>
                <c:pt idx="0">
                  <c:v>15.320000000000022</c:v>
                </c:pt>
              </c:numCache>
            </c:numRef>
          </c:val>
          <c:extLst>
            <c:ext xmlns:c16="http://schemas.microsoft.com/office/drawing/2014/chart" uri="{C3380CC4-5D6E-409C-BE32-E72D297353CC}">
              <c16:uniqueId val="{0000001D-C1C2-4B64-B340-C8A3550FB4AF}"/>
            </c:ext>
          </c:extLst>
        </c:ser>
        <c:dLbls>
          <c:showLegendKey val="0"/>
          <c:showVal val="0"/>
          <c:showCatName val="0"/>
          <c:showSerName val="0"/>
          <c:showPercent val="0"/>
          <c:showBubbleSize val="0"/>
        </c:dLbls>
        <c:gapWidth val="150"/>
        <c:overlap val="100"/>
        <c:axId val="161837824"/>
        <c:axId val="161839360"/>
      </c:barChart>
      <c:lineChart>
        <c:grouping val="standard"/>
        <c:varyColors val="0"/>
        <c:ser>
          <c:idx val="9"/>
          <c:order val="9"/>
          <c:spPr>
            <a:ln w="22225">
              <a:solidFill>
                <a:schemeClr val="tx1"/>
              </a:solidFill>
              <a:prstDash val="dash"/>
            </a:ln>
          </c:spPr>
          <c:marker>
            <c:symbol val="none"/>
          </c:marker>
          <c:val>
            <c:numRef>
              <c:f>'117C-NR'!$BE$166:$BE$176</c:f>
              <c:numCache>
                <c:formatCode>General</c:formatCode>
                <c:ptCount val="11"/>
                <c:pt idx="0">
                  <c:v>84.92</c:v>
                </c:pt>
                <c:pt idx="1">
                  <c:v>84.92</c:v>
                </c:pt>
                <c:pt idx="2">
                  <c:v>84.92</c:v>
                </c:pt>
                <c:pt idx="3">
                  <c:v>84.92</c:v>
                </c:pt>
                <c:pt idx="4">
                  <c:v>84.92</c:v>
                </c:pt>
                <c:pt idx="5">
                  <c:v>84.92</c:v>
                </c:pt>
                <c:pt idx="6">
                  <c:v>84.92</c:v>
                </c:pt>
                <c:pt idx="7">
                  <c:v>84.92</c:v>
                </c:pt>
                <c:pt idx="8">
                  <c:v>84.92</c:v>
                </c:pt>
                <c:pt idx="9">
                  <c:v>84.92</c:v>
                </c:pt>
                <c:pt idx="10">
                  <c:v>84.92</c:v>
                </c:pt>
              </c:numCache>
            </c:numRef>
          </c:val>
          <c:smooth val="0"/>
          <c:extLst>
            <c:ext xmlns:c16="http://schemas.microsoft.com/office/drawing/2014/chart" uri="{C3380CC4-5D6E-409C-BE32-E72D297353CC}">
              <c16:uniqueId val="{0000001E-C1C2-4B64-B340-C8A3550FB4AF}"/>
            </c:ext>
          </c:extLst>
        </c:ser>
        <c:dLbls>
          <c:showLegendKey val="0"/>
          <c:showVal val="0"/>
          <c:showCatName val="0"/>
          <c:showSerName val="0"/>
          <c:showPercent val="0"/>
          <c:showBubbleSize val="0"/>
        </c:dLbls>
        <c:marker val="1"/>
        <c:smooth val="0"/>
        <c:axId val="161837824"/>
        <c:axId val="161839360"/>
      </c:lineChart>
      <c:catAx>
        <c:axId val="1618378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9360"/>
        <c:crosses val="autoZero"/>
        <c:auto val="1"/>
        <c:lblAlgn val="ctr"/>
        <c:lblOffset val="100"/>
        <c:tickLblSkip val="1"/>
        <c:tickMarkSkip val="1"/>
        <c:noMultiLvlLbl val="0"/>
      </c:catAx>
      <c:valAx>
        <c:axId val="161839360"/>
        <c:scaling>
          <c:orientation val="minMax"/>
          <c:max val="1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782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chemeClr val="bg1"/>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'120C-NR'!$E$56</c:f>
              <c:strCache>
                <c:ptCount val="1"/>
                <c:pt idx="0">
                  <c:v>120 Collins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9F11-47BB-A05F-FB1FF752067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'120C-NR'!$F$55:$P$55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'120C-NR'!$F$56:$P$56</c:f>
              <c:numCache>
                <c:formatCode>0.00</c:formatCode>
                <c:ptCount val="11"/>
                <c:pt idx="0">
                  <c:v>4.2064719358533793</c:v>
                </c:pt>
                <c:pt idx="1">
                  <c:v>4.2064719358533793</c:v>
                </c:pt>
                <c:pt idx="2">
                  <c:v>4.2064719358533793</c:v>
                </c:pt>
                <c:pt idx="3">
                  <c:v>4.2064719358533793</c:v>
                </c:pt>
                <c:pt idx="4">
                  <c:v>4.2064719358533793</c:v>
                </c:pt>
                <c:pt idx="5">
                  <c:v>4.2064719358533793</c:v>
                </c:pt>
                <c:pt idx="6">
                  <c:v>4.2064719358533793</c:v>
                </c:pt>
                <c:pt idx="7">
                  <c:v>4.2064719358533793</c:v>
                </c:pt>
                <c:pt idx="8">
                  <c:v>4.2064719358533793</c:v>
                </c:pt>
                <c:pt idx="9">
                  <c:v>4.2064719358533793</c:v>
                </c:pt>
                <c:pt idx="10">
                  <c:v>4.2064719358533793</c:v>
                </c:pt>
              </c:numCache>
            </c:numRef>
          </c:val>
          <c:smooth val="0"/>
          <c:extLst>
            <c:ext xmlns:c16="http://schemas.microsoft.com/office/drawing/2014/chart" uri="{C3380CC4-5D6E-409C-BE32-E72D297353CC}">
              <c16:uniqueId val="{00000001-9F11-47BB-A05F-FB1FF752067D}"/>
            </c:ext>
          </c:extLst>
        </c:ser>
        <c:ser>
          <c:idx val="1"/>
          <c:order val="1"/>
          <c:tx>
            <c:strRef>
              <c:f>'120C-NR'!$E$57</c:f>
              <c:strCache>
                <c:ptCount val="1"/>
                <c:pt idx="0">
                  <c:v>ICPF</c:v>
                </c:pt>
              </c:strCache>
            </c:strRef>
          </c:tx>
          <c:spPr>
            <a:ln w="28575" cap="rnd">
              <a:solidFill>
                <a:schemeClr val="accent5"/>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9F11-47BB-A05F-FB1FF752067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'120C-NR'!$F$55:$P$55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3-9F11-47BB-A05F-FB1FF752067D}"/>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3"/>
                <c:order val="2"/>
                <c:tx>
                  <c:strRef>
                    <c:extLst>
                      <c:ext uri="{02D57815-91ED-43cb-92C2-25804820EDAC}">
                        <c15:formulaRef>
                          <c15:sqref>'120C-NR'!$E$58</c15:sqref>
                        </c15:formulaRef>
                      </c:ext>
                    </c:extLst>
                    <c:strCache>
                      <c:ptCount val="1"/>
                    </c:strCache>
                  </c:strRef>
                </c:tx>
                <c:spPr>
                  <a:ln w="28575" cap="rnd">
                    <a:solidFill>
                      <a:schemeClr val="accent4"/>
                    </a:solidFill>
                    <a:round/>
                  </a:ln>
                  <a:effectLst/>
                </c:spPr>
                <c:marker>
                  <c:symbol val="none"/>
                </c:marker>
                <c:cat>
                  <c:strRef>
                    <c:extLst>
                      <c:ext uri="{02D57815-91ED-43cb-92C2-25804820EDAC}">
                        <c15:formulaRef>
                          <c15:sqref>'120C-NR'!$F$55:$P$55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'120C-NR'!$F$58:$P$58</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6-9F11-47BB-A05F-FB1FF752067D}"/>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75"/>
          <c:min val="3.7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4.9175099961695761E-3"/>
          <c:y val="2.3282426443230975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2470849822769281E-2"/>
          <c:y val="0.11025846058273958"/>
          <c:w val="0.96340992407767989"/>
          <c:h val="0.82089093623132969"/>
        </c:manualLayout>
      </c:layout>
      <c:barChart>
        <c:barDir val="col"/>
        <c:grouping val="stacked"/>
        <c:varyColors val="0"/>
        <c:ser>
          <c:idx val="0"/>
          <c:order val="0"/>
          <c:tx>
            <c:strRef>
              <c:f>'120C-NR'!$B$27</c:f>
              <c:strCache>
                <c:ptCount val="1"/>
                <c:pt idx="0">
                  <c:v>Grid Electricity</c:v>
                </c:pt>
              </c:strCache>
            </c:strRef>
          </c:tx>
          <c:spPr>
            <a:solidFill>
              <a:srgbClr val="2DCCD3"/>
            </a:solidFill>
            <a:ln>
              <a:noFill/>
            </a:ln>
            <a:effectLst/>
          </c:spPr>
          <c:invertIfNegative val="0"/>
          <c:dLbls>
            <c:dLbl>
              <c:idx val="0"/>
              <c:layout>
                <c:manualLayout>
                  <c:x val="8.4661289259540431E-2"/>
                  <c:y val="-0.1093825338754570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14BA-483F-A238-4AD4EAACAB6C}"/>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'120C-NR'!$F$27:$P$27</c:f>
              <c:numCache>
                <c:formatCode>0</c:formatCode>
                <c:ptCount val="11"/>
                <c:pt idx="0" formatCode="#,##0_ ;\-#,##0\ ">
                  <c:v>3260.6906800000002</c:v>
                </c:pt>
                <c:pt idx="1">
                  <c:v>1564.7771034999998</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14BA-483F-A238-4AD4EAACAB6C}"/>
            </c:ext>
          </c:extLst>
        </c:ser>
        <c:ser>
          <c:idx val="1"/>
          <c:order val="1"/>
          <c:tx>
            <c:strRef>
              <c:f>'120C-NR'!$B$26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63977634296E-2"/>
                  <c:y val="-1.189990238063417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14BA-483F-A238-4AD4EAACAB6C}"/>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'120C-NR'!$F$26:$P$26</c:f>
              <c:numCache>
                <c:formatCode>0</c:formatCode>
                <c:ptCount val="11"/>
                <c:pt idx="0">
                  <c:v>436.62208939000004</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14BA-483F-A238-4AD4EAACAB6C}"/>
            </c:ext>
          </c:extLst>
        </c:ser>
        <c:ser>
          <c:idx val="2"/>
          <c:order val="2"/>
          <c:tx>
            <c:strRef>
              <c:f>'120C-NR'!$B$25</c:f>
              <c:strCache>
                <c:ptCount val="1"/>
                <c:pt idx="0">
                  <c:v>Scope 3</c:v>
                </c:pt>
              </c:strCache>
            </c:strRef>
          </c:tx>
          <c:spPr>
            <a:solidFill>
              <a:srgbClr val="B8C6D0"/>
            </a:solidFill>
            <a:ln>
              <a:noFill/>
            </a:ln>
            <a:effectLst/>
          </c:spPr>
          <c:invertIfNegative val="0"/>
          <c:dLbls>
            <c:dLbl>
              <c:idx val="0"/>
              <c:layout>
                <c:manualLayout>
                  <c:x val="6.687308066650588E-2"/>
                  <c:y val="-2.8670620680889578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4BA-483F-A238-4AD4EAACAB6C}"/>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'120C-NR'!$F$25:$P$25</c:f>
              <c:numCache>
                <c:formatCode>0</c:formatCode>
                <c:ptCount val="11"/>
                <c:pt idx="0">
                  <c:v>144.03186989707601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14BA-483F-A238-4AD4EAACAB6C}"/>
            </c:ext>
          </c:extLst>
        </c:ser>
        <c:ser>
          <c:idx val="6"/>
          <c:order val="3"/>
          <c:tx>
            <c:strRef>
              <c:f>'120C-NR'!$B$21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14BA-483F-A238-4AD4EAACAB6C}"/>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14BA-483F-A238-4AD4EAACAB6C}"/>
              </c:ext>
            </c:extLst>
          </c:dPt>
          <c:dLbls>
            <c:dLbl>
              <c:idx val="1"/>
              <c:layout>
                <c:manualLayout>
                  <c:x val="0.11451393623324747"/>
                  <c:y val="1.3964561134928466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32054356514787"/>
                      <c:h val="9.8103655465494308E-2"/>
                    </c:manualLayout>
                  </c15:layout>
                  <c15:dlblFieldTable/>
                  <c15:showDataLabelsRange val="0"/>
                </c:ext>
                <c:ext xmlns:c16="http://schemas.microsoft.com/office/drawing/2014/chart" uri="{C3380CC4-5D6E-409C-BE32-E72D297353CC}">
                  <c16:uniqueId val="{0000000A-14BA-483F-A238-4AD4EAACAB6C}"/>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14BA-483F-A238-4AD4EAACAB6C}"/>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'120C-NR'!$F$21:$P$21</c:f>
              <c:numCache>
                <c:formatCode>0</c:formatCode>
                <c:ptCount val="11"/>
                <c:pt idx="0">
                  <c:v>0</c:v>
                </c:pt>
                <c:pt idx="1">
                  <c:v>1564.7771034999998</c:v>
                </c:pt>
                <c:pt idx="2">
                  <c:v>2736.1447880000001</c:v>
                </c:pt>
                <c:pt idx="3">
                  <c:v>2597.9198569999999</c:v>
                </c:pt>
                <c:pt idx="4">
                  <c:v>2527.035277</c:v>
                </c:pt>
                <c:pt idx="5">
                  <c:v>2477.4160709999996</c:v>
                </c:pt>
                <c:pt idx="6">
                  <c:v>2332.1026820000002</c:v>
                </c:pt>
                <c:pt idx="7">
                  <c:v>2080.4624229999999</c:v>
                </c:pt>
                <c:pt idx="8">
                  <c:v>1828.8221639999999</c:v>
                </c:pt>
                <c:pt idx="9">
                  <c:v>1633.8895689999999</c:v>
                </c:pt>
                <c:pt idx="10">
                  <c:v>1552.372302</c:v>
                </c:pt>
              </c:numCache>
            </c:numRef>
          </c:val>
          <c:extLst>
            <c:ext xmlns:c16="http://schemas.microsoft.com/office/drawing/2014/chart" uri="{C3380CC4-5D6E-409C-BE32-E72D297353CC}">
              <c16:uniqueId val="{0000000C-14BA-483F-A238-4AD4EAACAB6C}"/>
            </c:ext>
          </c:extLst>
        </c:ser>
        <c:ser>
          <c:idx val="7"/>
          <c:order val="4"/>
          <c:tx>
            <c:strRef>
              <c:f>'120C-NR'!$B$20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14BA-483F-A238-4AD4EAACAB6C}"/>
                </c:ext>
              </c:extLst>
            </c:dLbl>
            <c:dLbl>
              <c:idx val="1"/>
              <c:delete val="1"/>
              <c:extLst>
                <c:ext xmlns:c15="http://schemas.microsoft.com/office/drawing/2012/chart" uri="{CE6537A1-D6FC-4f65-9D91-7224C49458BB}"/>
                <c:ext xmlns:c16="http://schemas.microsoft.com/office/drawing/2014/chart" uri="{C3380CC4-5D6E-409C-BE32-E72D297353CC}">
                  <c16:uniqueId val="{0000000E-14BA-483F-A238-4AD4EAACAB6C}"/>
                </c:ext>
              </c:extLst>
            </c:dLbl>
            <c:dLbl>
              <c:idx val="2"/>
              <c:delete val="1"/>
              <c:extLst>
                <c:ext xmlns:c15="http://schemas.microsoft.com/office/drawing/2012/chart" uri="{CE6537A1-D6FC-4f65-9D91-7224C49458BB}"/>
                <c:ext xmlns:c16="http://schemas.microsoft.com/office/drawing/2014/chart" uri="{C3380CC4-5D6E-409C-BE32-E72D297353CC}">
                  <c16:uniqueId val="{0000000F-14BA-483F-A238-4AD4EAACAB6C}"/>
                </c:ext>
              </c:extLst>
            </c:dLbl>
            <c:dLbl>
              <c:idx val="3"/>
              <c:layout>
                <c:manualLayout>
                  <c:x val="0.13711612947400209"/>
                  <c:y val="-0.15266483230130176"/>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14BA-483F-A238-4AD4EAACAB6C}"/>
                </c:ext>
              </c:extLst>
            </c:dLbl>
            <c:dLbl>
              <c:idx val="4"/>
              <c:delete val="1"/>
              <c:extLst>
                <c:ext xmlns:c15="http://schemas.microsoft.com/office/drawing/2012/chart" uri="{CE6537A1-D6FC-4f65-9D91-7224C49458BB}"/>
                <c:ext xmlns:c16="http://schemas.microsoft.com/office/drawing/2014/chart" uri="{C3380CC4-5D6E-409C-BE32-E72D297353CC}">
                  <c16:uniqueId val="{00000011-14BA-483F-A238-4AD4EAACAB6C}"/>
                </c:ext>
              </c:extLst>
            </c:dLbl>
            <c:dLbl>
              <c:idx val="5"/>
              <c:delete val="1"/>
              <c:extLst>
                <c:ext xmlns:c15="http://schemas.microsoft.com/office/drawing/2012/chart" uri="{CE6537A1-D6FC-4f65-9D91-7224C49458BB}"/>
                <c:ext xmlns:c16="http://schemas.microsoft.com/office/drawing/2014/chart" uri="{C3380CC4-5D6E-409C-BE32-E72D297353CC}">
                  <c16:uniqueId val="{00000012-14BA-483F-A238-4AD4EAACAB6C}"/>
                </c:ext>
              </c:extLst>
            </c:dLbl>
            <c:dLbl>
              <c:idx val="6"/>
              <c:delete val="1"/>
              <c:extLst>
                <c:ext xmlns:c15="http://schemas.microsoft.com/office/drawing/2012/chart" uri="{CE6537A1-D6FC-4f65-9D91-7224C49458BB}"/>
                <c:ext xmlns:c16="http://schemas.microsoft.com/office/drawing/2014/chart" uri="{C3380CC4-5D6E-409C-BE32-E72D297353CC}">
                  <c16:uniqueId val="{00000013-14BA-483F-A238-4AD4EAACAB6C}"/>
                </c:ext>
              </c:extLst>
            </c:dLbl>
            <c:dLbl>
              <c:idx val="7"/>
              <c:delete val="1"/>
              <c:extLst>
                <c:ext xmlns:c15="http://schemas.microsoft.com/office/drawing/2012/chart" uri="{CE6537A1-D6FC-4f65-9D91-7224C49458BB}"/>
                <c:ext xmlns:c16="http://schemas.microsoft.com/office/drawing/2014/chart" uri="{C3380CC4-5D6E-409C-BE32-E72D297353CC}">
                  <c16:uniqueId val="{00000014-14BA-483F-A238-4AD4EAACAB6C}"/>
                </c:ext>
              </c:extLst>
            </c:dLbl>
            <c:dLbl>
              <c:idx val="8"/>
              <c:delete val="1"/>
              <c:extLst>
                <c:ext xmlns:c15="http://schemas.microsoft.com/office/drawing/2012/chart" uri="{CE6537A1-D6FC-4f65-9D91-7224C49458BB}"/>
                <c:ext xmlns:c16="http://schemas.microsoft.com/office/drawing/2014/chart" uri="{C3380CC4-5D6E-409C-BE32-E72D297353CC}">
                  <c16:uniqueId val="{00000015-14BA-483F-A238-4AD4EAACAB6C}"/>
                </c:ext>
              </c:extLst>
            </c:dLbl>
            <c:dLbl>
              <c:idx val="9"/>
              <c:delete val="1"/>
              <c:extLst>
                <c:ext xmlns:c15="http://schemas.microsoft.com/office/drawing/2012/chart" uri="{CE6537A1-D6FC-4f65-9D91-7224C49458BB}"/>
                <c:ext xmlns:c16="http://schemas.microsoft.com/office/drawing/2014/chart" uri="{C3380CC4-5D6E-409C-BE32-E72D297353CC}">
                  <c16:uniqueId val="{00000016-14BA-483F-A238-4AD4EAACAB6C}"/>
                </c:ext>
              </c:extLst>
            </c:dLbl>
            <c:dLbl>
              <c:idx val="10"/>
              <c:delete val="1"/>
              <c:extLst>
                <c:ext xmlns:c15="http://schemas.microsoft.com/office/drawing/2012/chart" uri="{CE6537A1-D6FC-4f65-9D91-7224C49458BB}"/>
                <c:ext xmlns:c16="http://schemas.microsoft.com/office/drawing/2014/chart" uri="{C3380CC4-5D6E-409C-BE32-E72D297353CC}">
                  <c16:uniqueId val="{00000017-14BA-483F-A238-4AD4EAACAB6C}"/>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'120C-NR'!$F$20:$P$20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8-14BA-483F-A238-4AD4EAACAB6C}"/>
            </c:ext>
          </c:extLst>
        </c:ser>
        <c:ser>
          <c:idx val="4"/>
          <c:order val="5"/>
          <c:tx>
            <c:strRef>
              <c:f>'120C-NR'!$B$23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14BA-483F-A238-4AD4EAACAB6C}"/>
              </c:ext>
            </c:extLst>
          </c:dPt>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'120C-NR'!$F$23:$P$23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C-14BA-483F-A238-4AD4EAACAB6C}"/>
            </c:ext>
          </c:extLst>
        </c:ser>
        <c:ser>
          <c:idx val="5"/>
          <c:order val="6"/>
          <c:tx>
            <c:strRef>
              <c:f>'120C-NR'!$B$22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7.9947676838438952E-2"/>
                  <c:y val="-7.6007030007921902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14BA-483F-A238-4AD4EAACAB6C}"/>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'120C-NR'!$F$22:$P$22</c:f>
              <c:numCache>
                <c:formatCode>0</c:formatCode>
                <c:ptCount val="11"/>
                <c:pt idx="0">
                  <c:v>0</c:v>
                </c:pt>
                <c:pt idx="1">
                  <c:v>436.62208939000004</c:v>
                </c:pt>
                <c:pt idx="2">
                  <c:v>436.62208939000004</c:v>
                </c:pt>
                <c:pt idx="3">
                  <c:v>436.62208939000004</c:v>
                </c:pt>
                <c:pt idx="4">
                  <c:v>436.62208939000004</c:v>
                </c:pt>
                <c:pt idx="5">
                  <c:v>436.62208939000004</c:v>
                </c:pt>
                <c:pt idx="6">
                  <c:v>436.62208939000004</c:v>
                </c:pt>
                <c:pt idx="7">
                  <c:v>436.62208939000004</c:v>
                </c:pt>
                <c:pt idx="8">
                  <c:v>436.62208939000004</c:v>
                </c:pt>
                <c:pt idx="9">
                  <c:v>436.62208939000004</c:v>
                </c:pt>
                <c:pt idx="10">
                  <c:v>436.62208939000004</c:v>
                </c:pt>
              </c:numCache>
            </c:numRef>
          </c:val>
          <c:extLst>
            <c:ext xmlns:c16="http://schemas.microsoft.com/office/drawing/2014/chart" uri="{C3380CC4-5D6E-409C-BE32-E72D297353CC}">
              <c16:uniqueId val="{0000001E-14BA-483F-A238-4AD4EAACAB6C}"/>
            </c:ext>
          </c:extLst>
        </c:ser>
        <c:ser>
          <c:idx val="3"/>
          <c:order val="7"/>
          <c:tx>
            <c:strRef>
              <c:f>'120C-NR'!$B$24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14BA-483F-A238-4AD4EAACAB6C}"/>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'120C-NR'!$F$19:$P$19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'120C-NR'!$F$24:$P$24</c:f>
              <c:numCache>
                <c:formatCode>0</c:formatCode>
                <c:ptCount val="11"/>
                <c:pt idx="0">
                  <c:v>0</c:v>
                </c:pt>
                <c:pt idx="1">
                  <c:v>133.96376213073424</c:v>
                </c:pt>
                <c:pt idx="2">
                  <c:v>123.89565436439244</c:v>
                </c:pt>
                <c:pt idx="3">
                  <c:v>113.82754659805067</c:v>
                </c:pt>
                <c:pt idx="4">
                  <c:v>103.75943883170888</c:v>
                </c:pt>
                <c:pt idx="5">
                  <c:v>93.691331065367109</c:v>
                </c:pt>
                <c:pt idx="6">
                  <c:v>83.623223299025312</c:v>
                </c:pt>
                <c:pt idx="7">
                  <c:v>73.555115532683544</c:v>
                </c:pt>
                <c:pt idx="8">
                  <c:v>63.487007766341755</c:v>
                </c:pt>
                <c:pt idx="9">
                  <c:v>53.418899999999979</c:v>
                </c:pt>
                <c:pt idx="10">
                  <c:v>53.418900000000001</c:v>
                </c:pt>
              </c:numCache>
            </c:numRef>
          </c:val>
          <c:extLst>
            <c:ext xmlns:c16="http://schemas.microsoft.com/office/drawing/2014/chart" uri="{C3380CC4-5D6E-409C-BE32-E72D297353CC}">
              <c16:uniqueId val="{00000020-14BA-483F-A238-4AD4EAACAB6C}"/>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'120C-NR'!$E$17</c:f>
              <c:strCache>
                <c:ptCount val="1"/>
                <c:pt idx="0">
                  <c:v>kg.CO2-e/m2</c:v>
                </c:pt>
              </c:strCache>
            </c:strRef>
          </c:tx>
          <c:spPr>
            <a:ln w="28575" cap="rnd">
              <a:solidFill>
                <a:srgbClr val="2DCCD3"/>
              </a:solidFill>
              <a:round/>
            </a:ln>
            <a:effectLst/>
          </c:spPr>
          <c:marker>
            <c:symbol val="none"/>
          </c:marker>
          <c:dLbls>
            <c:dLbl>
              <c:idx val="0"/>
              <c:layout>
                <c:manualLayout>
                  <c:x val="-2.7678083245948826E-2"/>
                  <c:y val="-6.50923037724486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14BA-483F-A238-4AD4EAACAB6C}"/>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14BA-483F-A238-4AD4EAACAB6C}"/>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'120C-NR'!$F$12:$P$12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'120C-NR'!$F$17:$P$17</c:f>
              <c:numCache>
                <c:formatCode>0.0</c:formatCode>
                <c:ptCount val="11"/>
                <c:pt idx="0">
                  <c:v>60.98630890956985</c:v>
                </c:pt>
                <c:pt idx="1">
                  <c:v>24.842858105640843</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14BA-483F-A238-4AD4EAACAB6C}"/>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40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65"/>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t"/>
        <c:numFmt formatCode="General" sourceLinked="1"/>
        <c:majorTickMark val="out"/>
        <c:minorTickMark val="none"/>
        <c:tickLblPos val="nextTo"/>
        <c:crossAx val="458577487"/>
        <c:crosses val="max"/>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2"/>
          <c:order val="2"/>
          <c:tx>
            <c:v>Total Savings ($)</c:v>
          </c:tx>
          <c:spPr>
            <a:solidFill>
              <a:srgbClr val="0085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'120C-NR'!$F$30:$P$30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'120C-NR'!$F$51:$P$51</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5246-4CCE-8EB4-38E95A781F2F}"/>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246-4CCE-8EB4-38E95A781F2F}"/>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'120C-NR'!$F$6:$P$6</c:f>
              <c:numCache>
                <c:formatCode>#,##0_ ;\-#,##0\ </c:formatCode>
                <c:ptCount val="11"/>
                <c:pt idx="0">
                  <c:v>3544.2289999999998</c:v>
                </c:pt>
                <c:pt idx="1">
                  <c:v>3544.2289999999998</c:v>
                </c:pt>
                <c:pt idx="2">
                  <c:v>3544.2289999999998</c:v>
                </c:pt>
                <c:pt idx="3">
                  <c:v>3544.2289999999998</c:v>
                </c:pt>
                <c:pt idx="4">
                  <c:v>3544.2289999999998</c:v>
                </c:pt>
                <c:pt idx="5">
                  <c:v>3544.2289999999998</c:v>
                </c:pt>
                <c:pt idx="6">
                  <c:v>3544.2289999999998</c:v>
                </c:pt>
                <c:pt idx="7">
                  <c:v>3544.2289999999998</c:v>
                </c:pt>
                <c:pt idx="8">
                  <c:v>3544.2289999999998</c:v>
                </c:pt>
                <c:pt idx="9">
                  <c:v>3544.2289999999998</c:v>
                </c:pt>
                <c:pt idx="10">
                  <c:v>3544.2289999999998</c:v>
                </c:pt>
              </c:numCache>
            </c:numRef>
          </c:val>
          <c:smooth val="0"/>
          <c:extLst>
            <c:ext xmlns:c16="http://schemas.microsoft.com/office/drawing/2014/chart" uri="{C3380CC4-5D6E-409C-BE32-E72D297353CC}">
              <c16:uniqueId val="{00000002-5246-4CCE-8EB4-38E95A781F2F}"/>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3-5246-4CCE-8EB4-38E95A781F2F}"/>
                </c:ext>
              </c:extLst>
            </c:dLbl>
            <c:dLbl>
              <c:idx val="10"/>
              <c:layout>
                <c:manualLayout>
                  <c:x val="-8.2702491931617265E-4"/>
                  <c:y val="-8.539041864676078E-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4-5246-4CCE-8EB4-38E95A781F2F}"/>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'120C-NR'!$F$37:$P$37</c:f>
              <c:numCache>
                <c:formatCode>_("$"* #,##0.00_);_("$"* \(#,##0.00\);_("$"* "-"??_);_(@_)</c:formatCode>
                <c:ptCount val="11"/>
                <c:pt idx="0">
                  <c:v>14.786842508771649</c:v>
                </c:pt>
                <c:pt idx="1">
                  <c:v>18.258717338425029</c:v>
                </c:pt>
                <c:pt idx="2">
                  <c:v>19.418721390796431</c:v>
                </c:pt>
                <c:pt idx="3">
                  <c:v>20.05672092126181</c:v>
                </c:pt>
                <c:pt idx="4">
                  <c:v>20.716984789627766</c:v>
                </c:pt>
                <c:pt idx="5">
                  <c:v>21.400280208165107</c:v>
                </c:pt>
                <c:pt idx="6">
                  <c:v>22.107400880387438</c:v>
                </c:pt>
                <c:pt idx="7">
                  <c:v>22.839167917409089</c:v>
                </c:pt>
                <c:pt idx="8">
                  <c:v>26.772944266082476</c:v>
                </c:pt>
                <c:pt idx="9">
                  <c:v>27.667759741625311</c:v>
                </c:pt>
                <c:pt idx="10">
                  <c:v>28.603340889452092</c:v>
                </c:pt>
              </c:numCache>
            </c:numRef>
          </c:val>
          <c:smooth val="0"/>
          <c:extLst>
            <c:ext xmlns:c16="http://schemas.microsoft.com/office/drawing/2014/chart" uri="{C3380CC4-5D6E-409C-BE32-E72D297353CC}">
              <c16:uniqueId val="{00000005-5246-4CCE-8EB4-38E95A781F2F}"/>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375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40"/>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'126P-NR'!$E$56</c:f>
              <c:strCache>
                <c:ptCount val="1"/>
                <c:pt idx="0">
                  <c:v>126 Phillip Street</c:v>
                </c:pt>
              </c:strCache>
            </c:strRef>
          </c:tx>
          <c:spPr>
            <a:ln w="28575" cap="rnd">
              <a:solidFill>
                <a:schemeClr val="accent2"/>
              </a:solidFill>
              <a:round/>
            </a:ln>
            <a:effectLst/>
          </c:spPr>
          <c:marker>
            <c:symbol val="none"/>
          </c:marker>
          <c:dLbls>
            <c:dLbl>
              <c:idx val="0"/>
              <c:layout>
                <c:manualLayout>
                  <c:x val="-0.13540095221753978"/>
                  <c:y val="7.7416479258570203E-2"/>
                </c:manualLayout>
              </c:layout>
              <c:dLblPos val="r"/>
              <c:showLegendKey val="0"/>
              <c:showVal val="1"/>
              <c:showCatName val="0"/>
              <c:showSerName val="1"/>
              <c:showPercent val="0"/>
              <c:showBubbleSize val="0"/>
              <c:separator>
</c:separator>
              <c:extLst>
                <c:ext xmlns:c15="http://schemas.microsoft.com/office/drawing/2012/chart" uri="{CE6537A1-D6FC-4f65-9D91-7224C49458BB}">
                  <c15:layout>
                    <c:manualLayout>
                      <c:w val="0.21249350156533664"/>
                      <c:h val="9.2188012379786202E-2"/>
                    </c:manualLayout>
                  </c15:layout>
                </c:ext>
                <c:ext xmlns:c16="http://schemas.microsoft.com/office/drawing/2014/chart" uri="{C3380CC4-5D6E-409C-BE32-E72D297353CC}">
                  <c16:uniqueId val="{00000000-A80B-4704-9495-8EC7ED9A66E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'126P-NR'!$F$55:$P$55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'126P-NR'!$F$56:$P$56</c:f>
              <c:numCache>
                <c:formatCode>0.00</c:formatCode>
                <c:ptCount val="11"/>
                <c:pt idx="0">
                  <c:v>5.1893950280212673</c:v>
                </c:pt>
                <c:pt idx="1">
                  <c:v>5.1893950280212673</c:v>
                </c:pt>
                <c:pt idx="2">
                  <c:v>5.1981210607315385</c:v>
                </c:pt>
                <c:pt idx="3">
                  <c:v>5.2635663060585705</c:v>
                </c:pt>
                <c:pt idx="4">
                  <c:v>5.2635663060585705</c:v>
                </c:pt>
                <c:pt idx="5">
                  <c:v>5.2635663060585705</c:v>
                </c:pt>
                <c:pt idx="6">
                  <c:v>5.2983154690224481</c:v>
                </c:pt>
                <c:pt idx="7">
                  <c:v>5.2983154690224481</c:v>
                </c:pt>
                <c:pt idx="8">
                  <c:v>5.5468797426384837</c:v>
                </c:pt>
                <c:pt idx="9">
                  <c:v>5.5468797426384837</c:v>
                </c:pt>
                <c:pt idx="10">
                  <c:v>5.6341400697411936</c:v>
                </c:pt>
              </c:numCache>
            </c:numRef>
          </c:val>
          <c:smooth val="0"/>
          <c:extLst>
            <c:ext xmlns:c16="http://schemas.microsoft.com/office/drawing/2014/chart" uri="{C3380CC4-5D6E-409C-BE32-E72D297353CC}">
              <c16:uniqueId val="{00000001-A80B-4704-9495-8EC7ED9A66E6}"/>
            </c:ext>
          </c:extLst>
        </c:ser>
        <c:ser>
          <c:idx val="1"/>
          <c:order val="1"/>
          <c:tx>
            <c:strRef>
              <c:f>'126P-NR'!$E$57</c:f>
              <c:strCache>
                <c:ptCount val="1"/>
                <c:pt idx="0">
                  <c:v>ICPF</c:v>
                </c:pt>
              </c:strCache>
            </c:strRef>
          </c:tx>
          <c:spPr>
            <a:ln w="28575" cap="rnd">
              <a:solidFill>
                <a:schemeClr val="accent5"/>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A80B-4704-9495-8EC7ED9A66E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3-A80B-4704-9495-8EC7ED9A66E6}"/>
            </c:ext>
          </c:extLst>
        </c:ser>
        <c:ser>
          <c:idx val="3"/>
          <c:order val="3"/>
          <c:tx>
            <c:strRef>
              <c:f>'126P-NR'!$E$59</c:f>
              <c:strCache>
                <c:ptCount val="1"/>
                <c:pt idx="0">
                  <c:v>IGO</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A80B-4704-9495-8EC7ED9A66E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'126P-NR'!$F$59:$P$59</c:f>
              <c:numCache>
                <c:formatCode>0.00</c:formatCode>
                <c:ptCount val="11"/>
                <c:pt idx="0">
                  <c:v>5.3773163530915085</c:v>
                </c:pt>
                <c:pt idx="1">
                  <c:v>5.3897415030978291</c:v>
                </c:pt>
                <c:pt idx="2">
                  <c:v>5.3989086851726711</c:v>
                </c:pt>
                <c:pt idx="3">
                  <c:v>5.4212093179158183</c:v>
                </c:pt>
                <c:pt idx="4">
                  <c:v>5.4717936463248549</c:v>
                </c:pt>
                <c:pt idx="5">
                  <c:v>5.4936944742974081</c:v>
                </c:pt>
                <c:pt idx="6">
                  <c:v>5.5096998051417883</c:v>
                </c:pt>
                <c:pt idx="7">
                  <c:v>5.5139146402024437</c:v>
                </c:pt>
                <c:pt idx="8">
                  <c:v>5.5351632663682917</c:v>
                </c:pt>
                <c:pt idx="9">
                  <c:v>5.5351632663682917</c:v>
                </c:pt>
                <c:pt idx="10">
                  <c:v>5.5316015265321372</c:v>
                </c:pt>
              </c:numCache>
            </c:numRef>
          </c:val>
          <c:smooth val="0"/>
          <c:extLst xmlns:c15="http://schemas.microsoft.com/office/drawing/2012/chart">
            <c:ext xmlns:c16="http://schemas.microsoft.com/office/drawing/2014/chart" uri="{C3380CC4-5D6E-409C-BE32-E72D297353CC}">
              <c16:uniqueId val="{00000006-A80B-4704-9495-8EC7ED9A66E6}"/>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2"/>
                <c:order val="2"/>
                <c:tx>
                  <c:strRef>
                    <c:extLst>
                      <c:ext uri="{02D57815-91ED-43cb-92C2-25804820EDAC}">
                        <c15:formulaRef>
                          <c15:sqref>'126P-NR'!$E$58</c15:sqref>
                        </c15:formulaRef>
                      </c:ext>
                    </c:extLst>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4-A80B-4704-9495-8EC7ED9A66E6}"/>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'126P-NR'!$F$55:$P$55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'126P-NR'!$F$58:$P$58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5-A80B-4704-9495-8EC7ED9A66E6}"/>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2"/>
          <c:order val="2"/>
          <c:tx>
            <c:strRef>
              <c:f>'126P-NR'!$E$51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1F58-4737-951F-326B4348E8DF}"/>
                </c:ext>
              </c:extLst>
            </c:dLbl>
            <c:dLbl>
              <c:idx val="1"/>
              <c:delete val="1"/>
              <c:extLst>
                <c:ext xmlns:c15="http://schemas.microsoft.com/office/drawing/2012/chart" uri="{CE6537A1-D6FC-4f65-9D91-7224C49458BB}"/>
                <c:ext xmlns:c16="http://schemas.microsoft.com/office/drawing/2014/chart" uri="{C3380CC4-5D6E-409C-BE32-E72D297353CC}">
                  <c16:uniqueId val="{00000007-1F58-4737-951F-326B4348E8DF}"/>
                </c:ext>
              </c:extLst>
            </c:dLbl>
            <c:dLbl>
              <c:idx val="2"/>
              <c:delete val="1"/>
              <c:extLst>
                <c:ext xmlns:c15="http://schemas.microsoft.com/office/drawing/2012/chart" uri="{CE6537A1-D6FC-4f65-9D91-7224C49458BB}"/>
                <c:ext xmlns:c16="http://schemas.microsoft.com/office/drawing/2014/chart" uri="{C3380CC4-5D6E-409C-BE32-E72D297353CC}">
                  <c16:uniqueId val="{00000008-1F58-4737-951F-326B4348E8DF}"/>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'126P-NR'!$F$51:$P$51</c:f>
              <c:numCache>
                <c:formatCode>"$"#,##0</c:formatCode>
                <c:ptCount val="11"/>
                <c:pt idx="0">
                  <c:v>0</c:v>
                </c:pt>
                <c:pt idx="1">
                  <c:v>5427.0088704943191</c:v>
                </c:pt>
                <c:pt idx="2">
                  <c:v>5616.9541809617076</c:v>
                </c:pt>
                <c:pt idx="3">
                  <c:v>49415.154407010414</c:v>
                </c:pt>
                <c:pt idx="4">
                  <c:v>51144.684811255895</c:v>
                </c:pt>
                <c:pt idx="5">
                  <c:v>71617.601290114457</c:v>
                </c:pt>
                <c:pt idx="6">
                  <c:v>85055.999907500343</c:v>
                </c:pt>
                <c:pt idx="7">
                  <c:v>87949.547251401586</c:v>
                </c:pt>
                <c:pt idx="8">
                  <c:v>344682.22226640198</c:v>
                </c:pt>
                <c:pt idx="9">
                  <c:v>439208.94425543491</c:v>
                </c:pt>
                <c:pt idx="10">
                  <c:v>454180.83260879142</c:v>
                </c:pt>
              </c:numCache>
            </c:numRef>
          </c:val>
          <c:extLst>
            <c:ext xmlns:c16="http://schemas.microsoft.com/office/drawing/2014/chart" uri="{C3380CC4-5D6E-409C-BE32-E72D297353CC}">
              <c16:uniqueId val="{00000002-1F58-4737-951F-326B4348E8DF}"/>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layout>
                <c:manualLayout>
                  <c:x val="-5.2916213881972082E-2"/>
                  <c:y val="8.5166216331950192E-2"/>
                </c:manualLayout>
              </c:layout>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1F58-4737-951F-326B4348E8DF}"/>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'126P-NR'!$F$6:$P$6</c:f>
              <c:numCache>
                <c:formatCode>#,##0_ ;\-#,##0\ </c:formatCode>
                <c:ptCount val="11"/>
                <c:pt idx="0">
                  <c:v>2816.9789999999998</c:v>
                </c:pt>
                <c:pt idx="1">
                  <c:v>2796.9789999999998</c:v>
                </c:pt>
                <c:pt idx="2">
                  <c:v>2796.9789999999998</c:v>
                </c:pt>
                <c:pt idx="3">
                  <c:v>2646.9789999999998</c:v>
                </c:pt>
                <c:pt idx="4">
                  <c:v>2646.9789999999998</c:v>
                </c:pt>
                <c:pt idx="5">
                  <c:v>2586.9789999999998</c:v>
                </c:pt>
                <c:pt idx="6">
                  <c:v>2586.9789999999998</c:v>
                </c:pt>
                <c:pt idx="7">
                  <c:v>2586.9789999999998</c:v>
                </c:pt>
                <c:pt idx="8">
                  <c:v>2086.9789999999998</c:v>
                </c:pt>
                <c:pt idx="9">
                  <c:v>1886.9789999999998</c:v>
                </c:pt>
                <c:pt idx="10">
                  <c:v>1886.9789999999998</c:v>
                </c:pt>
              </c:numCache>
            </c:numRef>
          </c:val>
          <c:smooth val="0"/>
          <c:extLst>
            <c:ext xmlns:c16="http://schemas.microsoft.com/office/drawing/2014/chart" uri="{C3380CC4-5D6E-409C-BE32-E72D297353CC}">
              <c16:uniqueId val="{00000000-1F58-4737-951F-326B4348E8DF}"/>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numFmt formatCode="&quot;$&quot;#,###\ &quot;p.a.&quot;" sourceLinked="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1F58-4737-951F-326B4348E8DF}"/>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F58-4737-951F-326B4348E8DF}"/>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'126P-NR'!$F$32:$P$32</c:f>
              <c:numCache>
                <c:formatCode>_-"$"* #,##0_-;\-"$"* #,##0_-;_-"$"* "-"??_-;_-@_-</c:formatCode>
                <c:ptCount val="11"/>
                <c:pt idx="0">
                  <c:v>624255.87</c:v>
                </c:pt>
                <c:pt idx="1">
                  <c:v>764388.50104981987</c:v>
                </c:pt>
                <c:pt idx="2">
                  <c:v>791142.0985865636</c:v>
                </c:pt>
                <c:pt idx="3">
                  <c:v>818832.07203709334</c:v>
                </c:pt>
                <c:pt idx="4">
                  <c:v>847491.19455839158</c:v>
                </c:pt>
                <c:pt idx="5">
                  <c:v>877153.38636793522</c:v>
                </c:pt>
                <c:pt idx="6">
                  <c:v>907853.75489081279</c:v>
                </c:pt>
                <c:pt idx="7">
                  <c:v>939628.63631199114</c:v>
                </c:pt>
                <c:pt idx="8">
                  <c:v>1127554.3635743894</c:v>
                </c:pt>
                <c:pt idx="9">
                  <c:v>1167018.7662994929</c:v>
                </c:pt>
                <c:pt idx="10">
                  <c:v>1207864.423119975</c:v>
                </c:pt>
              </c:numCache>
            </c:numRef>
          </c:val>
          <c:smooth val="0"/>
          <c:extLst>
            <c:ext xmlns:c16="http://schemas.microsoft.com/office/drawing/2014/chart" uri="{C3380CC4-5D6E-409C-BE32-E72D297353CC}">
              <c16:uniqueId val="{00000001-1F58-4737-951F-326B4348E8DF}"/>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1000"/>
        <c:minorUnit val="250"/>
      </c:valAx>
      <c:valAx>
        <c:axId val="831515424"/>
        <c:scaling>
          <c:orientation val="minMax"/>
          <c:max val="13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1.1840581928265615E-2"/>
          <c:y val="3.2363790633202306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0605406207057766E-2"/>
          <c:y val="0.11083387898661808"/>
          <c:w val="0.96527534313383223"/>
          <c:h val="0.82031567352170343"/>
        </c:manualLayout>
      </c:layout>
      <c:barChart>
        <c:barDir val="col"/>
        <c:grouping val="stacked"/>
        <c:varyColors val="0"/>
        <c:ser>
          <c:idx val="0"/>
          <c:order val="0"/>
          <c:tx>
            <c:strRef>
              <c:f>'126P-NR'!$B$27</c:f>
              <c:strCache>
                <c:ptCount val="1"/>
                <c:pt idx="0">
                  <c:v>Grid Electricity</c:v>
                </c:pt>
              </c:strCache>
            </c:strRef>
          </c:tx>
          <c:spPr>
            <a:solidFill>
              <a:srgbClr val="2DCCD3"/>
            </a:solidFill>
            <a:ln>
              <a:noFill/>
            </a:ln>
            <a:effectLst/>
          </c:spPr>
          <c:invertIfNegative val="0"/>
          <c:dLbls>
            <c:dLbl>
              <c:idx val="0"/>
              <c:layout>
                <c:manualLayout>
                  <c:x val="8.4661289259540431E-2"/>
                  <c:y val="-0.1093825338754570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E623-4F9D-AAB9-B3FF5108D219}"/>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'126P-NR'!$F$27:$P$27</c:f>
              <c:numCache>
                <c:formatCode>0</c:formatCode>
                <c:ptCount val="11"/>
                <c:pt idx="0" formatCode="#,##0_ ;\-#,##0\ ">
                  <c:v>2225.4134100000001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623-4F9D-AAB9-B3FF5108D219}"/>
            </c:ext>
          </c:extLst>
        </c:ser>
        <c:ser>
          <c:idx val="1"/>
          <c:order val="1"/>
          <c:tx>
            <c:strRef>
              <c:f>'126P-NR'!$B$26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63977634296E-2"/>
                  <c:y val="-1.189990238063417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E623-4F9D-AAB9-B3FF5108D219}"/>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'126P-NR'!$F$26:$P$26</c:f>
              <c:numCache>
                <c:formatCode>0</c:formatCode>
                <c:ptCount val="11"/>
                <c:pt idx="0">
                  <c:v>240.23924972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E623-4F9D-AAB9-B3FF5108D219}"/>
            </c:ext>
          </c:extLst>
        </c:ser>
        <c:ser>
          <c:idx val="2"/>
          <c:order val="2"/>
          <c:tx>
            <c:strRef>
              <c:f>'126P-NR'!$B$25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E623-4F9D-AAB9-B3FF5108D21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'126P-NR'!$F$25:$P$25</c:f>
              <c:numCache>
                <c:formatCode>0</c:formatCode>
                <c:ptCount val="11"/>
                <c:pt idx="0">
                  <c:v>149.50280291218795</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E623-4F9D-AAB9-B3FF5108D219}"/>
            </c:ext>
          </c:extLst>
        </c:ser>
        <c:ser>
          <c:idx val="6"/>
          <c:order val="3"/>
          <c:tx>
            <c:strRef>
              <c:f>'126P-NR'!$B$21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E623-4F9D-AAB9-B3FF5108D219}"/>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E623-4F9D-AAB9-B3FF5108D219}"/>
              </c:ext>
            </c:extLst>
          </c:dPt>
          <c:dLbls>
            <c:dLbl>
              <c:idx val="1"/>
              <c:layout>
                <c:manualLayout>
                  <c:x val="0.11451393623324747"/>
                  <c:y val="1.3964561134928466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32054356514787"/>
                      <c:h val="9.8103655465494308E-2"/>
                    </c:manualLayout>
                  </c15:layout>
                  <c15:dlblFieldTable/>
                  <c15:showDataLabelsRange val="0"/>
                </c:ext>
                <c:ext xmlns:c16="http://schemas.microsoft.com/office/drawing/2014/chart" uri="{C3380CC4-5D6E-409C-BE32-E72D297353CC}">
                  <c16:uniqueId val="{0000000A-E623-4F9D-AAB9-B3FF5108D219}"/>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E623-4F9D-AAB9-B3FF5108D219}"/>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'126P-NR'!$F$21:$P$21</c:f>
              <c:numCache>
                <c:formatCode>0</c:formatCode>
                <c:ptCount val="11"/>
                <c:pt idx="0">
                  <c:v>0</c:v>
                </c:pt>
                <c:pt idx="1">
                  <c:v>2075.3584179999998</c:v>
                </c:pt>
                <c:pt idx="2">
                  <c:v>2041.7946699999998</c:v>
                </c:pt>
                <c:pt idx="3">
                  <c:v>1752.3000979999999</c:v>
                </c:pt>
                <c:pt idx="4">
                  <c:v>1651.714896</c:v>
                </c:pt>
                <c:pt idx="5">
                  <c:v>1415.077513</c:v>
                </c:pt>
                <c:pt idx="6">
                  <c:v>1190.01034</c:v>
                </c:pt>
                <c:pt idx="7">
                  <c:v>990.81295699999998</c:v>
                </c:pt>
                <c:pt idx="8">
                  <c:v>678.26817499999993</c:v>
                </c:pt>
                <c:pt idx="9">
                  <c:v>543.44995199999994</c:v>
                </c:pt>
                <c:pt idx="10">
                  <c:v>498.16245599999996</c:v>
                </c:pt>
              </c:numCache>
            </c:numRef>
          </c:val>
          <c:extLst>
            <c:ext xmlns:c16="http://schemas.microsoft.com/office/drawing/2014/chart" uri="{C3380CC4-5D6E-409C-BE32-E72D297353CC}">
              <c16:uniqueId val="{0000000C-E623-4F9D-AAB9-B3FF5108D219}"/>
            </c:ext>
          </c:extLst>
        </c:ser>
        <c:ser>
          <c:idx val="7"/>
          <c:order val="4"/>
          <c:tx>
            <c:strRef>
              <c:f>'126P-NR'!$B$20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E623-4F9D-AAB9-B3FF5108D219}"/>
                </c:ext>
              </c:extLst>
            </c:dLbl>
            <c:dLbl>
              <c:idx val="1"/>
              <c:delete val="1"/>
              <c:extLst>
                <c:ext xmlns:c15="http://schemas.microsoft.com/office/drawing/2012/chart" uri="{CE6537A1-D6FC-4f65-9D91-7224C49458BB}"/>
                <c:ext xmlns:c16="http://schemas.microsoft.com/office/drawing/2014/chart" uri="{C3380CC4-5D6E-409C-BE32-E72D297353CC}">
                  <c16:uniqueId val="{0000000E-E623-4F9D-AAB9-B3FF5108D219}"/>
                </c:ext>
              </c:extLst>
            </c:dLbl>
            <c:dLbl>
              <c:idx val="2"/>
              <c:delete val="1"/>
              <c:extLst>
                <c:ext xmlns:c15="http://schemas.microsoft.com/office/drawing/2012/chart" uri="{CE6537A1-D6FC-4f65-9D91-7224C49458BB}"/>
                <c:ext xmlns:c16="http://schemas.microsoft.com/office/drawing/2014/chart" uri="{C3380CC4-5D6E-409C-BE32-E72D297353CC}">
                  <c16:uniqueId val="{0000000F-E623-4F9D-AAB9-B3FF5108D219}"/>
                </c:ext>
              </c:extLst>
            </c:dLbl>
            <c:dLbl>
              <c:idx val="3"/>
              <c:layout>
                <c:manualLayout>
                  <c:x val="0.14128330175888651"/>
                  <c:y val="-0.22817289254415002"/>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E623-4F9D-AAB9-B3FF5108D219}"/>
                </c:ext>
              </c:extLst>
            </c:dLbl>
            <c:dLbl>
              <c:idx val="4"/>
              <c:delete val="1"/>
              <c:extLst>
                <c:ext xmlns:c15="http://schemas.microsoft.com/office/drawing/2012/chart" uri="{CE6537A1-D6FC-4f65-9D91-7224C49458BB}"/>
                <c:ext xmlns:c16="http://schemas.microsoft.com/office/drawing/2014/chart" uri="{C3380CC4-5D6E-409C-BE32-E72D297353CC}">
                  <c16:uniqueId val="{00000011-E623-4F9D-AAB9-B3FF5108D219}"/>
                </c:ext>
              </c:extLst>
            </c:dLbl>
            <c:dLbl>
              <c:idx val="5"/>
              <c:delete val="1"/>
              <c:extLst>
                <c:ext xmlns:c15="http://schemas.microsoft.com/office/drawing/2012/chart" uri="{CE6537A1-D6FC-4f65-9D91-7224C49458BB}"/>
                <c:ext xmlns:c16="http://schemas.microsoft.com/office/drawing/2014/chart" uri="{C3380CC4-5D6E-409C-BE32-E72D297353CC}">
                  <c16:uniqueId val="{00000012-E623-4F9D-AAB9-B3FF5108D219}"/>
                </c:ext>
              </c:extLst>
            </c:dLbl>
            <c:dLbl>
              <c:idx val="6"/>
              <c:delete val="1"/>
              <c:extLst>
                <c:ext xmlns:c15="http://schemas.microsoft.com/office/drawing/2012/chart" uri="{CE6537A1-D6FC-4f65-9D91-7224C49458BB}"/>
                <c:ext xmlns:c16="http://schemas.microsoft.com/office/drawing/2014/chart" uri="{C3380CC4-5D6E-409C-BE32-E72D297353CC}">
                  <c16:uniqueId val="{00000013-E623-4F9D-AAB9-B3FF5108D219}"/>
                </c:ext>
              </c:extLst>
            </c:dLbl>
            <c:dLbl>
              <c:idx val="7"/>
              <c:delete val="1"/>
              <c:extLst>
                <c:ext xmlns:c15="http://schemas.microsoft.com/office/drawing/2012/chart" uri="{CE6537A1-D6FC-4f65-9D91-7224C49458BB}"/>
                <c:ext xmlns:c16="http://schemas.microsoft.com/office/drawing/2014/chart" uri="{C3380CC4-5D6E-409C-BE32-E72D297353CC}">
                  <c16:uniqueId val="{00000014-E623-4F9D-AAB9-B3FF5108D219}"/>
                </c:ext>
              </c:extLst>
            </c:dLbl>
            <c:dLbl>
              <c:idx val="8"/>
              <c:delete val="1"/>
              <c:extLst>
                <c:ext xmlns:c15="http://schemas.microsoft.com/office/drawing/2012/chart" uri="{CE6537A1-D6FC-4f65-9D91-7224C49458BB}"/>
                <c:ext xmlns:c16="http://schemas.microsoft.com/office/drawing/2014/chart" uri="{C3380CC4-5D6E-409C-BE32-E72D297353CC}">
                  <c16:uniqueId val="{00000015-E623-4F9D-AAB9-B3FF5108D219}"/>
                </c:ext>
              </c:extLst>
            </c:dLbl>
            <c:dLbl>
              <c:idx val="9"/>
              <c:delete val="1"/>
              <c:extLst>
                <c:ext xmlns:c15="http://schemas.microsoft.com/office/drawing/2012/chart" uri="{CE6537A1-D6FC-4f65-9D91-7224C49458BB}"/>
                <c:ext xmlns:c16="http://schemas.microsoft.com/office/drawing/2014/chart" uri="{C3380CC4-5D6E-409C-BE32-E72D297353CC}">
                  <c16:uniqueId val="{00000016-E623-4F9D-AAB9-B3FF5108D219}"/>
                </c:ext>
              </c:extLst>
            </c:dLbl>
            <c:dLbl>
              <c:idx val="10"/>
              <c:delete val="1"/>
              <c:extLst>
                <c:ext xmlns:c15="http://schemas.microsoft.com/office/drawing/2012/chart" uri="{CE6537A1-D6FC-4f65-9D91-7224C49458BB}"/>
                <c:ext xmlns:c16="http://schemas.microsoft.com/office/drawing/2014/chart" uri="{C3380CC4-5D6E-409C-BE32-E72D297353CC}">
                  <c16:uniqueId val="{00000017-E623-4F9D-AAB9-B3FF5108D219}"/>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'126P-NR'!$F$20:$P$20</c:f>
              <c:numCache>
                <c:formatCode>0</c:formatCode>
                <c:ptCount val="11"/>
                <c:pt idx="0">
                  <c:v>0</c:v>
                </c:pt>
                <c:pt idx="1">
                  <c:v>14.84</c:v>
                </c:pt>
                <c:pt idx="2">
                  <c:v>14.6</c:v>
                </c:pt>
                <c:pt idx="3">
                  <c:v>112.54</c:v>
                </c:pt>
                <c:pt idx="4">
                  <c:v>106.08</c:v>
                </c:pt>
                <c:pt idx="5">
                  <c:v>125.81000000000002</c:v>
                </c:pt>
                <c:pt idx="6">
                  <c:v>105.80000000000001</c:v>
                </c:pt>
                <c:pt idx="7">
                  <c:v>88.09</c:v>
                </c:pt>
                <c:pt idx="8">
                  <c:v>237.25</c:v>
                </c:pt>
                <c:pt idx="9">
                  <c:v>267.83999999999997</c:v>
                </c:pt>
                <c:pt idx="10">
                  <c:v>245.52</c:v>
                </c:pt>
              </c:numCache>
            </c:numRef>
          </c:val>
          <c:extLst>
            <c:ext xmlns:c16="http://schemas.microsoft.com/office/drawing/2014/chart" uri="{C3380CC4-5D6E-409C-BE32-E72D297353CC}">
              <c16:uniqueId val="{00000018-E623-4F9D-AAB9-B3FF5108D219}"/>
            </c:ext>
          </c:extLst>
        </c:ser>
        <c:ser>
          <c:idx val="4"/>
          <c:order val="5"/>
          <c:tx>
            <c:strRef>
              <c:f>'126P-NR'!$B$23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E623-4F9D-AAB9-B3FF5108D219}"/>
              </c:ext>
            </c:extLst>
          </c:dPt>
          <c:dLbls>
            <c:dLbl>
              <c:idx val="8"/>
              <c:layout>
                <c:manualLayout>
                  <c:x val="0.13856249953241001"/>
                  <c:y val="-8.4082449351910435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24-E623-4F9D-AAB9-B3FF5108D219}"/>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'126P-NR'!$F$23:$P$23</c:f>
              <c:numCache>
                <c:formatCode>0</c:formatCode>
                <c:ptCount val="11"/>
                <c:pt idx="0">
                  <c:v>0</c:v>
                </c:pt>
                <c:pt idx="1">
                  <c:v>0</c:v>
                </c:pt>
                <c:pt idx="2">
                  <c:v>0</c:v>
                </c:pt>
                <c:pt idx="3">
                  <c:v>0</c:v>
                </c:pt>
                <c:pt idx="4">
                  <c:v>0</c:v>
                </c:pt>
                <c:pt idx="5">
                  <c:v>0</c:v>
                </c:pt>
                <c:pt idx="6">
                  <c:v>15.974300000000001</c:v>
                </c:pt>
                <c:pt idx="7">
                  <c:v>15.974300000000001</c:v>
                </c:pt>
                <c:pt idx="8">
                  <c:v>72.657300000000006</c:v>
                </c:pt>
                <c:pt idx="9">
                  <c:v>72.657300000000006</c:v>
                </c:pt>
                <c:pt idx="10">
                  <c:v>72.657300000000006</c:v>
                </c:pt>
              </c:numCache>
            </c:numRef>
          </c:val>
          <c:extLst>
            <c:ext xmlns:c16="http://schemas.microsoft.com/office/drawing/2014/chart" uri="{C3380CC4-5D6E-409C-BE32-E72D297353CC}">
              <c16:uniqueId val="{0000001C-E623-4F9D-AAB9-B3FF5108D219}"/>
            </c:ext>
          </c:extLst>
        </c:ser>
        <c:ser>
          <c:idx val="5"/>
          <c:order val="6"/>
          <c:tx>
            <c:strRef>
              <c:f>'126P-NR'!$B$22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7.7410040163393992E-2"/>
                  <c:y val="-4.8176319168840825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E623-4F9D-AAB9-B3FF5108D219}"/>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'126P-NR'!$F$22:$P$22</c:f>
              <c:numCache>
                <c:formatCode>0</c:formatCode>
                <c:ptCount val="11"/>
                <c:pt idx="0">
                  <c:v>0</c:v>
                </c:pt>
                <c:pt idx="1">
                  <c:v>240.23924972</c:v>
                </c:pt>
                <c:pt idx="2">
                  <c:v>240.23924972</c:v>
                </c:pt>
                <c:pt idx="3">
                  <c:v>240.23924972</c:v>
                </c:pt>
                <c:pt idx="4">
                  <c:v>240.23924972</c:v>
                </c:pt>
                <c:pt idx="5">
                  <c:v>240.23924972</c:v>
                </c:pt>
                <c:pt idx="6">
                  <c:v>224.26494972</c:v>
                </c:pt>
                <c:pt idx="7">
                  <c:v>224.26494972</c:v>
                </c:pt>
                <c:pt idx="8">
                  <c:v>167.58194972000001</c:v>
                </c:pt>
                <c:pt idx="9">
                  <c:v>167.58194972000001</c:v>
                </c:pt>
                <c:pt idx="10">
                  <c:v>167.58194972000001</c:v>
                </c:pt>
              </c:numCache>
            </c:numRef>
          </c:val>
          <c:extLst>
            <c:ext xmlns:c16="http://schemas.microsoft.com/office/drawing/2014/chart" uri="{C3380CC4-5D6E-409C-BE32-E72D297353CC}">
              <c16:uniqueId val="{0000001E-E623-4F9D-AAB9-B3FF5108D219}"/>
            </c:ext>
          </c:extLst>
        </c:ser>
        <c:ser>
          <c:idx val="3"/>
          <c:order val="7"/>
          <c:tx>
            <c:strRef>
              <c:f>'126P-NR'!$B$24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E623-4F9D-AAB9-B3FF5108D219}"/>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'126P-NR'!$F$19:$P$19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'126P-NR'!$F$24:$P$24</c:f>
              <c:numCache>
                <c:formatCode>0</c:formatCode>
                <c:ptCount val="11"/>
                <c:pt idx="0">
                  <c:v>0</c:v>
                </c:pt>
                <c:pt idx="1">
                  <c:v>136.36445241861151</c:v>
                </c:pt>
                <c:pt idx="2">
                  <c:v>123.22610192503508</c:v>
                </c:pt>
                <c:pt idx="3">
                  <c:v>110.08775143145864</c:v>
                </c:pt>
                <c:pt idx="4">
                  <c:v>96.949400937882203</c:v>
                </c:pt>
                <c:pt idx="5">
                  <c:v>83.811050444305764</c:v>
                </c:pt>
                <c:pt idx="6">
                  <c:v>70.672699950729324</c:v>
                </c:pt>
                <c:pt idx="7">
                  <c:v>57.534349457152885</c:v>
                </c:pt>
                <c:pt idx="8">
                  <c:v>44.395998963576446</c:v>
                </c:pt>
                <c:pt idx="9">
                  <c:v>31.257648470000003</c:v>
                </c:pt>
                <c:pt idx="10">
                  <c:v>31.257648470000003</c:v>
                </c:pt>
              </c:numCache>
            </c:numRef>
          </c:val>
          <c:extLst>
            <c:ext xmlns:c16="http://schemas.microsoft.com/office/drawing/2014/chart" uri="{C3380CC4-5D6E-409C-BE32-E72D297353CC}">
              <c16:uniqueId val="{00000020-E623-4F9D-AAB9-B3FF5108D219}"/>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'126P-NR'!$E$17</c:f>
              <c:strCache>
                <c:ptCount val="1"/>
                <c:pt idx="0">
                  <c:v>kg.CO2-e/m2</c:v>
                </c:pt>
              </c:strCache>
            </c:strRef>
          </c:tx>
          <c:spPr>
            <a:ln w="28575" cap="rnd">
              <a:solidFill>
                <a:srgbClr val="2DCCD3"/>
              </a:solidFill>
              <a:round/>
            </a:ln>
            <a:effectLst/>
          </c:spPr>
          <c:marker>
            <c:symbol val="none"/>
          </c:marker>
          <c:dLbls>
            <c:dLbl>
              <c:idx val="0"/>
              <c:layout>
                <c:manualLayout>
                  <c:x val="-4.0844273430476377E-2"/>
                  <c:y val="-3.501105896315476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3-E623-4F9D-AAB9-B3FF5108D219}"/>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23-4F9D-AAB9-B3FF5108D219}"/>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'126P-NR'!$F$12:$P$12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'126P-NR'!$F$17:$P$17</c:f>
              <c:numCache>
                <c:formatCode>0.0</c:formatCode>
                <c:ptCount val="11"/>
                <c:pt idx="0">
                  <c:v>62.070527452582077</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E623-4F9D-AAB9-B3FF5108D219}"/>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75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65"/>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'130P-NR'!$E$57</c:f>
              <c:strCache>
                <c:ptCount val="1"/>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'130P-NR'!$F$55:$P$55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'130P-NR'!$F$57:$P$57</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F3B-46F9-9D58-9178D5E97375}"/>
            </c:ext>
          </c:extLst>
        </c:ser>
        <c:ser>
          <c:idx val="2"/>
          <c:order val="1"/>
          <c:tx>
            <c:strRef>
              <c:f>'130P-NR'!$E$56</c:f>
              <c:strCache>
                <c:ptCount val="1"/>
                <c:pt idx="0">
                  <c:v>130 Pitt Street</c:v>
                </c:pt>
              </c:strCache>
            </c:strRef>
          </c:tx>
          <c:spPr>
            <a:ln w="28575" cap="rnd">
              <a:solidFill>
                <a:srgbClr val="2DCCD3"/>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6F3B-46F9-9D58-9178D5E97375}"/>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'130P-NR'!$F$55:$P$55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'130P-NR'!$F$56:$P$56</c:f>
              <c:numCache>
                <c:formatCode>0.00</c:formatCode>
                <c:ptCount val="11"/>
                <c:pt idx="0">
                  <c:v>4.5300065231572084</c:v>
                </c:pt>
                <c:pt idx="1">
                  <c:v>4.5300065231572084</c:v>
                </c:pt>
                <c:pt idx="2">
                  <c:v>4.5300065231572084</c:v>
                </c:pt>
                <c:pt idx="3">
                  <c:v>4.5300065231572084</c:v>
                </c:pt>
                <c:pt idx="4">
                  <c:v>4.5300065231572084</c:v>
                </c:pt>
                <c:pt idx="5">
                  <c:v>4.5300065231572084</c:v>
                </c:pt>
                <c:pt idx="6">
                  <c:v>4.5300065231572084</c:v>
                </c:pt>
                <c:pt idx="7">
                  <c:v>4.5300065231572084</c:v>
                </c:pt>
                <c:pt idx="8">
                  <c:v>4.5300065231572084</c:v>
                </c:pt>
                <c:pt idx="9">
                  <c:v>4.5300065231572084</c:v>
                </c:pt>
                <c:pt idx="10">
                  <c:v>4.5300065231572084</c:v>
                </c:pt>
              </c:numCache>
            </c:numRef>
          </c:val>
          <c:smooth val="0"/>
          <c:extLst>
            <c:ext xmlns:c16="http://schemas.microsoft.com/office/drawing/2014/chart" uri="{C3380CC4-5D6E-409C-BE32-E72D297353CC}">
              <c16:uniqueId val="{00000002-6F3B-46F9-9D58-9178D5E97375}"/>
            </c:ext>
          </c:extLst>
        </c:ser>
        <c:ser>
          <c:idx val="0"/>
          <c:order val="2"/>
          <c:tx>
            <c:strRef>
              <c:f>'130P-NR'!$E$58</c:f>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6F3B-46F9-9D58-9178D5E97375}"/>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'130P-NR'!$F$55:$P$55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'130P-NR'!$F$58:$P$58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4-6F3B-46F9-9D58-9178D5E97375}"/>
            </c:ext>
          </c:extLst>
        </c:ser>
        <c:ser>
          <c:idx val="3"/>
          <c:order val="3"/>
          <c:tx>
            <c:strRef>
              <c:f>'130P-NR'!$E$59</c:f>
              <c:strCache>
                <c:ptCount val="1"/>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'130P-NR'!$F$55:$P$55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'130P-NR'!$F$59:$P$59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F3B-46F9-9D58-9178D5E97375}"/>
            </c:ext>
          </c:extLst>
        </c:ser>
        <c:dLbls>
          <c:showLegendKey val="0"/>
          <c:showVal val="0"/>
          <c:showCatName val="0"/>
          <c:showSerName val="0"/>
          <c:showPercent val="0"/>
          <c:showBubbleSize val="0"/>
        </c:dLbls>
        <c:smooth val="0"/>
        <c:axId val="1173658688"/>
        <c:axId val="1173670336"/>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5"/>
          <c:min val="4.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Emissions Intensity</a:t>
            </a:r>
            <a:r>
              <a:rPr lang="en-US" baseline="0"/>
              <a:t> (</a:t>
            </a:r>
            <a:r>
              <a:rPr lang="en-US"/>
              <a:t>kg.CO2-e/m2))</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lineChart>
        <c:grouping val="stacked"/>
        <c:varyColors val="0"/>
        <c:ser>
          <c:idx val="0"/>
          <c:order val="0"/>
          <c:tx>
            <c:strRef>
              <c:f>'130P-NR'!$E$17</c:f>
              <c:strCache>
                <c:ptCount val="1"/>
                <c:pt idx="0">
                  <c:v>kg.CO2-e/m2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'130P-NR'!$F$12:$P$12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'130P-NR'!$F$17:$P$17</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D0BC-47C8-8498-21290E350C6A}"/>
            </c:ext>
          </c:extLst>
        </c:ser>
        <c:dLbls>
          <c:showLegendKey val="0"/>
          <c:showVal val="0"/>
          <c:showCatName val="0"/>
          <c:showSerName val="0"/>
          <c:showPercent val="0"/>
          <c:showBubbleSize val="0"/>
        </c:dLbls>
        <c:smooth val="0"/>
        <c:axId val="894156608"/>
        <c:axId val="894155360"/>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75"/>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400">
                <a:latin typeface="Times New Roman" panose="02020603050405020304" pitchFamily="18" charset="0"/>
                <a:cs typeface="Times New Roman" panose="02020603050405020304" pitchFamily="18" charset="0"/>
              </a:rPr>
              <a:t>NABERS Energy</a:t>
            </a:r>
            <a:r>
              <a:rPr lang="en-AU" sz="1400" baseline="0">
                <a:latin typeface="Times New Roman" panose="02020603050405020304" pitchFamily="18" charset="0"/>
                <a:cs typeface="Times New Roman" panose="02020603050405020304" pitchFamily="18" charset="0"/>
              </a:rPr>
              <a:t> </a:t>
            </a:r>
            <a:endParaRPr lang="en-AU" sz="1400">
              <a:latin typeface="Times New Roman" panose="02020603050405020304" pitchFamily="18" charset="0"/>
              <a:cs typeface="Times New Roman" panose="02020603050405020304" pitchFamily="18" charset="0"/>
            </a:endParaRPr>
          </a:p>
        </c:rich>
      </c:tx>
      <c:layout>
        <c:manualLayout>
          <c:xMode val="edge"/>
          <c:yMode val="edge"/>
          <c:x val="8.9241230322504271E-3"/>
          <c:y val="1.84758414609631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5.4625587511525013E-2"/>
          <c:y val="0.14149517746428864"/>
          <c:w val="0.93253258028902852"/>
          <c:h val="0.76684881560138618"/>
        </c:manualLayout>
      </c:layout>
      <c:lineChart>
        <c:grouping val="standard"/>
        <c:varyColors val="0"/>
        <c:ser>
          <c:idx val="0"/>
          <c:order val="0"/>
          <c:tx>
            <c:strRef>
              <c:f>'135K-NR'!$E$58</c:f>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DFD4-4B2F-A664-F0DFB00D2D08}"/>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FD4-4B2F-A664-F0DFB00D2D08}"/>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DFD4-4B2F-A664-F0DFB00D2D0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'135K-NR'!$F$55:$P$55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3-DFD4-4B2F-A664-F0DFB00D2D08}"/>
            </c:ext>
          </c:extLst>
        </c:ser>
        <c:ser>
          <c:idx val="2"/>
          <c:order val="1"/>
          <c:tx>
            <c:strRef>
              <c:f>'135K-NR'!$E$59</c:f>
              <c:strCache>
                <c:ptCount val="1"/>
              </c:strCache>
            </c:strRef>
          </c:tx>
          <c:spPr>
            <a:ln w="28575" cap="rnd">
              <a:solidFill>
                <a:schemeClr val="accent3"/>
              </a:solidFill>
              <a:round/>
            </a:ln>
            <a:effectLst/>
          </c:spPr>
          <c:marker>
            <c:symbol val="none"/>
          </c:marker>
          <c:cat>
            <c:strRef>
              <c:f>'135K-NR'!$F$55:$P$55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'135K-NR'!$F$59:$P$59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4-DFD4-4B2F-A664-F0DFB00D2D08}"/>
            </c:ext>
          </c:extLst>
        </c:ser>
        <c:ser>
          <c:idx val="3"/>
          <c:order val="2"/>
          <c:tx>
            <c:strRef>
              <c:f>'135K-NR'!$E$57</c:f>
              <c:strCache>
                <c:ptCount val="1"/>
                <c:pt idx="0">
                  <c:v>ICPF</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FD4-4B2F-A664-F0DFB00D2D08}"/>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DFD4-4B2F-A664-F0DFB00D2D08}"/>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DFD4-4B2F-A664-F0DFB00D2D08}"/>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'135K-NR'!$F$55:$P$55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8-DFD4-4B2F-A664-F0DFB00D2D08}"/>
            </c:ext>
          </c:extLst>
        </c:ser>
        <c:ser>
          <c:idx val="1"/>
          <c:order val="3"/>
          <c:tx>
            <c:strRef>
              <c:f>'135K-NR'!$E$56</c:f>
              <c:strCache>
                <c:ptCount val="1"/>
                <c:pt idx="0">
                  <c:v>135 King Street</c:v>
                </c:pt>
              </c:strCache>
            </c:strRef>
          </c:tx>
          <c:spPr>
            <a:ln w="28575" cap="rnd">
              <a:solidFill>
                <a:schemeClr val="accent2"/>
              </a:solidFill>
              <a:round/>
            </a:ln>
            <a:effectLst/>
          </c:spPr>
          <c:marker>
            <c:symbol val="none"/>
          </c:marker>
          <c:dLbls>
            <c:dLbl>
              <c:idx val="0"/>
              <c:layout>
                <c:manualLayout>
                  <c:x val="-7.1905527503306976E-2"/>
                  <c:y val="-9.6773148136188758E-2"/>
                </c:manualLayout>
              </c:layout>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DFD4-4B2F-A664-F0DFB00D2D08}"/>
                </c:ext>
              </c:extLst>
            </c:dLbl>
            <c:dLbl>
              <c:idx val="1"/>
              <c:delete val="1"/>
              <c:extLst>
                <c:ext xmlns:c15="http://schemas.microsoft.com/office/drawing/2012/chart" uri="{CE6537A1-D6FC-4f65-9D91-7224C49458BB}"/>
                <c:ext xmlns:c16="http://schemas.microsoft.com/office/drawing/2014/chart" uri="{C3380CC4-5D6E-409C-BE32-E72D297353CC}">
                  <c16:uniqueId val="{0000000A-DFD4-4B2F-A664-F0DFB00D2D08}"/>
                </c:ext>
              </c:extLst>
            </c:dLbl>
            <c:dLbl>
              <c:idx val="2"/>
              <c:delete val="1"/>
              <c:extLst>
                <c:ext xmlns:c15="http://schemas.microsoft.com/office/drawing/2012/chart" uri="{CE6537A1-D6FC-4f65-9D91-7224C49458BB}"/>
                <c:ext xmlns:c16="http://schemas.microsoft.com/office/drawing/2014/chart" uri="{C3380CC4-5D6E-409C-BE32-E72D297353CC}">
                  <c16:uniqueId val="{0000000B-DFD4-4B2F-A664-F0DFB00D2D08}"/>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C-DFD4-4B2F-A664-F0DFB00D2D08}"/>
                </c:ext>
              </c:extLst>
            </c:dLbl>
            <c:dLbl>
              <c:idx val="4"/>
              <c:delete val="1"/>
              <c:extLst>
                <c:ext xmlns:c15="http://schemas.microsoft.com/office/drawing/2012/chart" uri="{CE6537A1-D6FC-4f65-9D91-7224C49458BB}"/>
                <c:ext xmlns:c16="http://schemas.microsoft.com/office/drawing/2014/chart" uri="{C3380CC4-5D6E-409C-BE32-E72D297353CC}">
                  <c16:uniqueId val="{0000000D-DFD4-4B2F-A664-F0DFB00D2D08}"/>
                </c:ext>
              </c:extLst>
            </c:dLbl>
            <c:dLbl>
              <c:idx val="5"/>
              <c:delete val="1"/>
              <c:extLst>
                <c:ext xmlns:c15="http://schemas.microsoft.com/office/drawing/2012/chart" uri="{CE6537A1-D6FC-4f65-9D91-7224C49458BB}"/>
                <c:ext xmlns:c16="http://schemas.microsoft.com/office/drawing/2014/chart" uri="{C3380CC4-5D6E-409C-BE32-E72D297353CC}">
                  <c16:uniqueId val="{0000000E-DFD4-4B2F-A664-F0DFB00D2D08}"/>
                </c:ext>
              </c:extLst>
            </c:dLbl>
            <c:dLbl>
              <c:idx val="6"/>
              <c:delete val="1"/>
              <c:extLst>
                <c:ext xmlns:c15="http://schemas.microsoft.com/office/drawing/2012/chart" uri="{CE6537A1-D6FC-4f65-9D91-7224C49458BB}"/>
                <c:ext xmlns:c16="http://schemas.microsoft.com/office/drawing/2014/chart" uri="{C3380CC4-5D6E-409C-BE32-E72D297353CC}">
                  <c16:uniqueId val="{0000000F-DFD4-4B2F-A664-F0DFB00D2D08}"/>
                </c:ext>
              </c:extLst>
            </c:dLbl>
            <c:dLbl>
              <c:idx val="7"/>
              <c:delete val="1"/>
              <c:extLst>
                <c:ext xmlns:c15="http://schemas.microsoft.com/office/drawing/2012/chart" uri="{CE6537A1-D6FC-4f65-9D91-7224C49458BB}"/>
                <c:ext xmlns:c16="http://schemas.microsoft.com/office/drawing/2014/chart" uri="{C3380CC4-5D6E-409C-BE32-E72D297353CC}">
                  <c16:uniqueId val="{00000010-DFD4-4B2F-A664-F0DFB00D2D08}"/>
                </c:ext>
              </c:extLst>
            </c:dLbl>
            <c:dLbl>
              <c:idx val="8"/>
              <c:delete val="1"/>
              <c:extLst>
                <c:ext xmlns:c15="http://schemas.microsoft.com/office/drawing/2012/chart" uri="{CE6537A1-D6FC-4f65-9D91-7224C49458BB}"/>
                <c:ext xmlns:c16="http://schemas.microsoft.com/office/drawing/2014/chart" uri="{C3380CC4-5D6E-409C-BE32-E72D297353CC}">
                  <c16:uniqueId val="{00000011-DFD4-4B2F-A664-F0DFB00D2D08}"/>
                </c:ext>
              </c:extLst>
            </c:dLbl>
            <c:dLbl>
              <c:idx val="9"/>
              <c:delete val="1"/>
              <c:extLst>
                <c:ext xmlns:c15="http://schemas.microsoft.com/office/drawing/2012/chart" uri="{CE6537A1-D6FC-4f65-9D91-7224C49458BB}"/>
                <c:ext xmlns:c16="http://schemas.microsoft.com/office/drawing/2014/chart" uri="{C3380CC4-5D6E-409C-BE32-E72D297353CC}">
                  <c16:uniqueId val="{00000012-DFD4-4B2F-A664-F0DFB00D2D08}"/>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3-DFD4-4B2F-A664-F0DFB00D2D08}"/>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'135K-NR'!$F$55:$P$55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'135K-NR'!$F$56:$P$56</c:f>
              <c:numCache>
                <c:formatCode>0.00</c:formatCode>
                <c:ptCount val="11"/>
                <c:pt idx="0">
                  <c:v>5.5572639747090102</c:v>
                </c:pt>
                <c:pt idx="1">
                  <c:v>5.5572639747090102</c:v>
                </c:pt>
                <c:pt idx="2">
                  <c:v>5.5572639747090102</c:v>
                </c:pt>
                <c:pt idx="3">
                  <c:v>5.5572639747090102</c:v>
                </c:pt>
                <c:pt idx="4">
                  <c:v>5.5572639747090102</c:v>
                </c:pt>
                <c:pt idx="5">
                  <c:v>5.65751459975733</c:v>
                </c:pt>
                <c:pt idx="6">
                  <c:v>5.7455724710361702</c:v>
                </c:pt>
                <c:pt idx="7">
                  <c:v>5.7455724710361702</c:v>
                </c:pt>
                <c:pt idx="8">
                  <c:v>5.7336862891148463</c:v>
                </c:pt>
                <c:pt idx="9">
                  <c:v>5.7336862891148463</c:v>
                </c:pt>
                <c:pt idx="10">
                  <c:v>5.7336862891148463</c:v>
                </c:pt>
              </c:numCache>
            </c:numRef>
          </c:val>
          <c:smooth val="0"/>
          <c:extLst>
            <c:ext xmlns:c16="http://schemas.microsoft.com/office/drawing/2014/chart" uri="{C3380CC4-5D6E-409C-BE32-E72D297353CC}">
              <c16:uniqueId val="{00000014-DFD4-4B2F-A664-F0DFB00D2D08}"/>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2"/>
          <c:order val="2"/>
          <c:tx>
            <c:strRef>
              <c:f>'135K-NR'!$E$51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60C0-4040-8CC1-8E3BBDF9F527}"/>
                </c:ext>
              </c:extLst>
            </c:dLbl>
            <c:dLbl>
              <c:idx val="1"/>
              <c:delete val="1"/>
              <c:extLst>
                <c:ext xmlns:c15="http://schemas.microsoft.com/office/drawing/2012/chart" uri="{CE6537A1-D6FC-4f65-9D91-7224C49458BB}"/>
                <c:ext xmlns:c16="http://schemas.microsoft.com/office/drawing/2014/chart" uri="{C3380CC4-5D6E-409C-BE32-E72D297353CC}">
                  <c16:uniqueId val="{00000001-60C0-4040-8CC1-8E3BBDF9F527}"/>
                </c:ext>
              </c:extLst>
            </c:dLbl>
            <c:dLbl>
              <c:idx val="2"/>
              <c:delete val="1"/>
              <c:extLst>
                <c:ext xmlns:c15="http://schemas.microsoft.com/office/drawing/2012/chart" uri="{CE6537A1-D6FC-4f65-9D91-7224C49458BB}"/>
                <c:ext xmlns:c16="http://schemas.microsoft.com/office/drawing/2014/chart" uri="{C3380CC4-5D6E-409C-BE32-E72D297353CC}">
                  <c16:uniqueId val="{00000002-60C0-4040-8CC1-8E3BBDF9F527}"/>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'135K-NR'!$F$30:$P$30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'135K-NR'!$F$51:$P$51</c:f>
              <c:numCache>
                <c:formatCode>"$"#,##0</c:formatCode>
                <c:ptCount val="11"/>
                <c:pt idx="0">
                  <c:v>0</c:v>
                </c:pt>
                <c:pt idx="1">
                  <c:v>0</c:v>
                </c:pt>
                <c:pt idx="2">
                  <c:v>0</c:v>
                </c:pt>
                <c:pt idx="3">
                  <c:v>0</c:v>
                </c:pt>
                <c:pt idx="4">
                  <c:v>0</c:v>
                </c:pt>
                <c:pt idx="5">
                  <c:v>93240.452268802212</c:v>
                </c:pt>
                <c:pt idx="6">
                  <c:v>96389.00025789073</c:v>
                </c:pt>
                <c:pt idx="7">
                  <c:v>99645.664875187911</c:v>
                </c:pt>
                <c:pt idx="8">
                  <c:v>110438.57955146534</c:v>
                </c:pt>
                <c:pt idx="9">
                  <c:v>114165.29578037071</c:v>
                </c:pt>
                <c:pt idx="10">
                  <c:v>118019.84632282599</c:v>
                </c:pt>
              </c:numCache>
            </c:numRef>
          </c:val>
          <c:extLst>
            <c:ext xmlns:c16="http://schemas.microsoft.com/office/drawing/2014/chart" uri="{C3380CC4-5D6E-409C-BE32-E72D297353CC}">
              <c16:uniqueId val="{00000003-60C0-4040-8CC1-8E3BBDF9F527}"/>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60C0-4040-8CC1-8E3BBDF9F527}"/>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'135K-NR'!$F$30:$P$30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'135K-NR'!$F$6:$P$6</c:f>
              <c:numCache>
                <c:formatCode>#,##0_ ;\-#,##0\ </c:formatCode>
                <c:ptCount val="11"/>
                <c:pt idx="0">
                  <c:v>1415.5930000000001</c:v>
                </c:pt>
                <c:pt idx="1">
                  <c:v>1415.5930000000001</c:v>
                </c:pt>
                <c:pt idx="2">
                  <c:v>1415.5930000000001</c:v>
                </c:pt>
                <c:pt idx="3">
                  <c:v>1415.5930000000001</c:v>
                </c:pt>
                <c:pt idx="4">
                  <c:v>1415.5930000000001</c:v>
                </c:pt>
                <c:pt idx="5">
                  <c:v>1185.5930000000001</c:v>
                </c:pt>
                <c:pt idx="6">
                  <c:v>1185.5930000000001</c:v>
                </c:pt>
                <c:pt idx="7">
                  <c:v>1185.5930000000001</c:v>
                </c:pt>
                <c:pt idx="8">
                  <c:v>1205.5930000000001</c:v>
                </c:pt>
                <c:pt idx="9">
                  <c:v>1205.5930000000001</c:v>
                </c:pt>
                <c:pt idx="10">
                  <c:v>1205.5930000000001</c:v>
                </c:pt>
              </c:numCache>
            </c:numRef>
          </c:val>
          <c:smooth val="0"/>
          <c:extLst>
            <c:ext xmlns:c16="http://schemas.microsoft.com/office/drawing/2014/chart" uri="{C3380CC4-5D6E-409C-BE32-E72D297353CC}">
              <c16:uniqueId val="{00000005-60C0-4040-8CC1-8E3BBDF9F527}"/>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60C0-4040-8CC1-8E3BBDF9F527}"/>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C0-4040-8CC1-8E3BBDF9F527}"/>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'135K-NR'!$F$30:$P$30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'135K-NR'!$F$32:$P$32</c:f>
              <c:numCache>
                <c:formatCode>_-"$"* #,##0_-;\-"$"* #,##0_-;_-"$"* "-"??_-;_-@_-</c:formatCode>
                <c:ptCount val="11"/>
                <c:pt idx="0">
                  <c:v>297195.53999999998</c:v>
                </c:pt>
                <c:pt idx="1">
                  <c:v>418666.11844491982</c:v>
                </c:pt>
                <c:pt idx="2">
                  <c:v>433319.43259049201</c:v>
                </c:pt>
                <c:pt idx="3">
                  <c:v>448485.6127311592</c:v>
                </c:pt>
                <c:pt idx="4">
                  <c:v>464182.60917674971</c:v>
                </c:pt>
                <c:pt idx="5">
                  <c:v>480429.00049793592</c:v>
                </c:pt>
                <c:pt idx="6">
                  <c:v>497244.01551536366</c:v>
                </c:pt>
                <c:pt idx="7">
                  <c:v>514647.55605840136</c:v>
                </c:pt>
                <c:pt idx="8">
                  <c:v>617577.06727008172</c:v>
                </c:pt>
                <c:pt idx="9">
                  <c:v>639192.26462453441</c:v>
                </c:pt>
                <c:pt idx="10">
                  <c:v>661563.99388639315</c:v>
                </c:pt>
              </c:numCache>
            </c:numRef>
          </c:val>
          <c:smooth val="0"/>
          <c:extLst>
            <c:ext xmlns:c16="http://schemas.microsoft.com/office/drawing/2014/chart" uri="{C3380CC4-5D6E-409C-BE32-E72D297353CC}">
              <c16:uniqueId val="{00000008-60C0-4040-8CC1-8E3BBDF9F527}"/>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1000"/>
        <c:minorUnit val="250"/>
      </c:valAx>
      <c:valAx>
        <c:axId val="831515424"/>
        <c:scaling>
          <c:orientation val="minMax"/>
          <c:max val="75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1.1840581928265615E-2"/>
          <c:y val="3.2363790633202306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1083387898661808"/>
          <c:w val="0.96393383157987933"/>
          <c:h val="0.82031567352170343"/>
        </c:manualLayout>
      </c:layout>
      <c:barChart>
        <c:barDir val="col"/>
        <c:grouping val="stacked"/>
        <c:varyColors val="0"/>
        <c:ser>
          <c:idx val="0"/>
          <c:order val="0"/>
          <c:tx>
            <c:strRef>
              <c:f>'135K-NR'!$B$27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5565-413A-8A33-60B148713137}"/>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'135K-NR'!$F$27:$P$27</c:f>
              <c:numCache>
                <c:formatCode>0</c:formatCode>
                <c:ptCount val="11"/>
                <c:pt idx="0" formatCode="#,##0_ ;\-#,##0\ ">
                  <c:v>1118.3184700000002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5565-413A-8A33-60B148713137}"/>
            </c:ext>
          </c:extLst>
        </c:ser>
        <c:ser>
          <c:idx val="1"/>
          <c:order val="1"/>
          <c:tx>
            <c:strRef>
              <c:f>'135K-NR'!$B$26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63977634296E-2"/>
                  <c:y val="-1.189990238063417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5565-413A-8A33-60B148713137}"/>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'135K-NR'!$F$26:$P$26</c:f>
              <c:numCache>
                <c:formatCode>0</c:formatCode>
                <c:ptCount val="11"/>
                <c:pt idx="0">
                  <c:v>47.945933910000001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5565-413A-8A33-60B148713137}"/>
            </c:ext>
          </c:extLst>
        </c:ser>
        <c:ser>
          <c:idx val="2"/>
          <c:order val="2"/>
          <c:tx>
            <c:strRef>
              <c:f>'135K-NR'!$B$25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5565-413A-8A33-60B148713137}"/>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'135K-NR'!$F$25:$P$25</c:f>
              <c:numCache>
                <c:formatCode>0</c:formatCode>
                <c:ptCount val="11"/>
                <c:pt idx="0">
                  <c:v>56.833416289870542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5565-413A-8A33-60B148713137}"/>
            </c:ext>
          </c:extLst>
        </c:ser>
        <c:ser>
          <c:idx val="6"/>
          <c:order val="3"/>
          <c:tx>
            <c:strRef>
              <c:f>'135K-NR'!$B$21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5565-413A-8A33-60B148713137}"/>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5565-413A-8A33-60B148713137}"/>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5565-413A-8A33-60B148713137}"/>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5565-413A-8A33-60B148713137}"/>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'135K-NR'!$F$21:$P$21</c:f>
              <c:numCache>
                <c:formatCode>0</c:formatCode>
                <c:ptCount val="11"/>
                <c:pt idx="0">
                  <c:v>0</c:v>
                </c:pt>
                <c:pt idx="1">
                  <c:v>1050.3700060000001</c:v>
                </c:pt>
                <c:pt idx="2">
                  <c:v>1033.3828900000001</c:v>
                </c:pt>
                <c:pt idx="3">
                  <c:v>937.12256600000012</c:v>
                </c:pt>
                <c:pt idx="4">
                  <c:v>883.33003200000007</c:v>
                </c:pt>
                <c:pt idx="5">
                  <c:v>648.51937100000009</c:v>
                </c:pt>
                <c:pt idx="6">
                  <c:v>545.37278000000003</c:v>
                </c:pt>
                <c:pt idx="7">
                  <c:v>454.08211900000003</c:v>
                </c:pt>
                <c:pt idx="8">
                  <c:v>391.81772500000005</c:v>
                </c:pt>
                <c:pt idx="9">
                  <c:v>347.21078399999999</c:v>
                </c:pt>
                <c:pt idx="10">
                  <c:v>318.27655200000004</c:v>
                </c:pt>
              </c:numCache>
            </c:numRef>
          </c:val>
          <c:extLst>
            <c:ext xmlns:c16="http://schemas.microsoft.com/office/drawing/2014/chart" uri="{C3380CC4-5D6E-409C-BE32-E72D297353CC}">
              <c16:uniqueId val="{0000000C-5565-413A-8A33-60B148713137}"/>
            </c:ext>
          </c:extLst>
        </c:ser>
        <c:ser>
          <c:idx val="7"/>
          <c:order val="4"/>
          <c:tx>
            <c:strRef>
              <c:f>'135K-NR'!$B$20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5565-413A-8A33-60B148713137}"/>
                </c:ext>
              </c:extLst>
            </c:dLbl>
            <c:dLbl>
              <c:idx val="1"/>
              <c:delete val="1"/>
              <c:extLst>
                <c:ext xmlns:c15="http://schemas.microsoft.com/office/drawing/2012/chart" uri="{CE6537A1-D6FC-4f65-9D91-7224C49458BB}"/>
                <c:ext xmlns:c16="http://schemas.microsoft.com/office/drawing/2014/chart" uri="{C3380CC4-5D6E-409C-BE32-E72D297353CC}">
                  <c16:uniqueId val="{0000000E-5565-413A-8A33-60B148713137}"/>
                </c:ext>
              </c:extLst>
            </c:dLbl>
            <c:dLbl>
              <c:idx val="2"/>
              <c:delete val="1"/>
              <c:extLst>
                <c:ext xmlns:c15="http://schemas.microsoft.com/office/drawing/2012/chart" uri="{CE6537A1-D6FC-4f65-9D91-7224C49458BB}"/>
                <c:ext xmlns:c16="http://schemas.microsoft.com/office/drawing/2014/chart" uri="{C3380CC4-5D6E-409C-BE32-E72D297353CC}">
                  <c16:uniqueId val="{0000000F-5565-413A-8A33-60B148713137}"/>
                </c:ext>
              </c:extLst>
            </c:dLbl>
            <c:dLbl>
              <c:idx val="3"/>
              <c:delete val="1"/>
              <c:extLst>
                <c:ext xmlns:c15="http://schemas.microsoft.com/office/drawing/2012/chart" uri="{CE6537A1-D6FC-4f65-9D91-7224C49458BB}">
                  <c15:layout>
                    <c:manualLayout>
                      <c:w val="0.14810087002139913"/>
                      <c:h val="7.7138654493762907E-2"/>
                    </c:manualLayout>
                  </c15:layout>
                </c:ext>
                <c:ext xmlns:c16="http://schemas.microsoft.com/office/drawing/2014/chart" uri="{C3380CC4-5D6E-409C-BE32-E72D297353CC}">
                  <c16:uniqueId val="{00000010-5565-413A-8A33-60B148713137}"/>
                </c:ext>
              </c:extLst>
            </c:dLbl>
            <c:dLbl>
              <c:idx val="4"/>
              <c:delete val="1"/>
              <c:extLst>
                <c:ext xmlns:c15="http://schemas.microsoft.com/office/drawing/2012/chart" uri="{CE6537A1-D6FC-4f65-9D91-7224C49458BB}"/>
                <c:ext xmlns:c16="http://schemas.microsoft.com/office/drawing/2014/chart" uri="{C3380CC4-5D6E-409C-BE32-E72D297353CC}">
                  <c16:uniqueId val="{00000011-5565-413A-8A33-60B148713137}"/>
                </c:ext>
              </c:extLst>
            </c:dLbl>
            <c:dLbl>
              <c:idx val="5"/>
              <c:layout>
                <c:manualLayout>
                  <c:x val="0.11074319512875949"/>
                  <c:y val="-0.14517451901414691"/>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5565-413A-8A33-60B148713137}"/>
                </c:ext>
              </c:extLst>
            </c:dLbl>
            <c:dLbl>
              <c:idx val="6"/>
              <c:delete val="1"/>
              <c:extLst>
                <c:ext xmlns:c15="http://schemas.microsoft.com/office/drawing/2012/chart" uri="{CE6537A1-D6FC-4f65-9D91-7224C49458BB}"/>
                <c:ext xmlns:c16="http://schemas.microsoft.com/office/drawing/2014/chart" uri="{C3380CC4-5D6E-409C-BE32-E72D297353CC}">
                  <c16:uniqueId val="{00000013-5565-413A-8A33-60B148713137}"/>
                </c:ext>
              </c:extLst>
            </c:dLbl>
            <c:dLbl>
              <c:idx val="7"/>
              <c:delete val="1"/>
              <c:extLst>
                <c:ext xmlns:c15="http://schemas.microsoft.com/office/drawing/2012/chart" uri="{CE6537A1-D6FC-4f65-9D91-7224C49458BB}"/>
                <c:ext xmlns:c16="http://schemas.microsoft.com/office/drawing/2014/chart" uri="{C3380CC4-5D6E-409C-BE32-E72D297353CC}">
                  <c16:uniqueId val="{00000014-5565-413A-8A33-60B148713137}"/>
                </c:ext>
              </c:extLst>
            </c:dLbl>
            <c:dLbl>
              <c:idx val="8"/>
              <c:delete val="1"/>
              <c:extLst>
                <c:ext xmlns:c15="http://schemas.microsoft.com/office/drawing/2012/chart" uri="{CE6537A1-D6FC-4f65-9D91-7224C49458BB}"/>
                <c:ext xmlns:c16="http://schemas.microsoft.com/office/drawing/2014/chart" uri="{C3380CC4-5D6E-409C-BE32-E72D297353CC}">
                  <c16:uniqueId val="{00000015-5565-413A-8A33-60B148713137}"/>
                </c:ext>
              </c:extLst>
            </c:dLbl>
            <c:dLbl>
              <c:idx val="9"/>
              <c:delete val="1"/>
              <c:extLst>
                <c:ext xmlns:c15="http://schemas.microsoft.com/office/drawing/2012/chart" uri="{CE6537A1-D6FC-4f65-9D91-7224C49458BB}"/>
                <c:ext xmlns:c16="http://schemas.microsoft.com/office/drawing/2014/chart" uri="{C3380CC4-5D6E-409C-BE32-E72D297353CC}">
                  <c16:uniqueId val="{00000016-5565-413A-8A33-60B148713137}"/>
                </c:ext>
              </c:extLst>
            </c:dLbl>
            <c:dLbl>
              <c:idx val="10"/>
              <c:delete val="1"/>
              <c:extLst>
                <c:ext xmlns:c15="http://schemas.microsoft.com/office/drawing/2012/chart" uri="{CE6537A1-D6FC-4f65-9D91-7224C49458BB}"/>
                <c:ext xmlns:c16="http://schemas.microsoft.com/office/drawing/2014/chart" uri="{C3380CC4-5D6E-409C-BE32-E72D297353CC}">
                  <c16:uniqueId val="{00000017-5565-413A-8A33-60B148713137}"/>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'135K-NR'!$F$20:$P$20</c:f>
              <c:numCache>
                <c:formatCode>0</c:formatCode>
                <c:ptCount val="11"/>
                <c:pt idx="0">
                  <c:v>0</c:v>
                </c:pt>
                <c:pt idx="1">
                  <c:v>0</c:v>
                </c:pt>
                <c:pt idx="2">
                  <c:v>0</c:v>
                </c:pt>
                <c:pt idx="3">
                  <c:v>0</c:v>
                </c:pt>
                <c:pt idx="4">
                  <c:v>0</c:v>
                </c:pt>
                <c:pt idx="5">
                  <c:v>125.81000000000002</c:v>
                </c:pt>
                <c:pt idx="6">
                  <c:v>105.80000000000001</c:v>
                </c:pt>
                <c:pt idx="7">
                  <c:v>88.09</c:v>
                </c:pt>
                <c:pt idx="8">
                  <c:v>68.25</c:v>
                </c:pt>
                <c:pt idx="9">
                  <c:v>60.48</c:v>
                </c:pt>
                <c:pt idx="10">
                  <c:v>55.440000000000005</c:v>
                </c:pt>
              </c:numCache>
            </c:numRef>
          </c:val>
          <c:extLst>
            <c:ext xmlns:c16="http://schemas.microsoft.com/office/drawing/2014/chart" uri="{C3380CC4-5D6E-409C-BE32-E72D297353CC}">
              <c16:uniqueId val="{00000018-5565-413A-8A33-60B148713137}"/>
            </c:ext>
          </c:extLst>
        </c:ser>
        <c:ser>
          <c:idx val="4"/>
          <c:order val="5"/>
          <c:tx>
            <c:strRef>
              <c:f>'135K-NR'!$B$23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5565-413A-8A33-60B148713137}"/>
              </c:ext>
            </c:extLst>
          </c:dPt>
          <c:dLbls>
            <c:dLbl>
              <c:idx val="8"/>
              <c:layout>
                <c:manualLayout>
                  <c:x val="0.13856249953241001"/>
                  <c:y val="-8.4082449351910435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B-5565-413A-8A33-60B148713137}"/>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'135K-NR'!$F$23:$P$23</c:f>
              <c:numCache>
                <c:formatCode>0</c:formatCode>
                <c:ptCount val="11"/>
                <c:pt idx="0">
                  <c:v>0</c:v>
                </c:pt>
                <c:pt idx="1">
                  <c:v>0</c:v>
                </c:pt>
                <c:pt idx="2">
                  <c:v>0</c:v>
                </c:pt>
                <c:pt idx="3">
                  <c:v>0</c:v>
                </c:pt>
                <c:pt idx="4">
                  <c:v>0</c:v>
                </c:pt>
                <c:pt idx="5">
                  <c:v>21.642600000000002</c:v>
                </c:pt>
                <c:pt idx="6">
                  <c:v>21.642600000000002</c:v>
                </c:pt>
                <c:pt idx="7">
                  <c:v>21.642600000000002</c:v>
                </c:pt>
                <c:pt idx="8">
                  <c:v>24.734400000000001</c:v>
                </c:pt>
                <c:pt idx="9">
                  <c:v>24.734400000000001</c:v>
                </c:pt>
                <c:pt idx="10">
                  <c:v>24.734400000000001</c:v>
                </c:pt>
              </c:numCache>
            </c:numRef>
          </c:val>
          <c:extLst>
            <c:ext xmlns:c16="http://schemas.microsoft.com/office/drawing/2014/chart" uri="{C3380CC4-5D6E-409C-BE32-E72D297353CC}">
              <c16:uniqueId val="{0000001C-5565-413A-8A33-60B148713137}"/>
            </c:ext>
          </c:extLst>
        </c:ser>
        <c:ser>
          <c:idx val="5"/>
          <c:order val="6"/>
          <c:tx>
            <c:strRef>
              <c:f>'135K-NR'!$B$22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7.7410040163393992E-2"/>
                  <c:y val="-4.8176319168840825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5565-413A-8A33-60B148713137}"/>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'135K-NR'!$F$22:$P$22</c:f>
              <c:numCache>
                <c:formatCode>0</c:formatCode>
                <c:ptCount val="11"/>
                <c:pt idx="0">
                  <c:v>0</c:v>
                </c:pt>
                <c:pt idx="1">
                  <c:v>47.945933910000001</c:v>
                </c:pt>
                <c:pt idx="2">
                  <c:v>47.945933910000001</c:v>
                </c:pt>
                <c:pt idx="3">
                  <c:v>47.945933910000001</c:v>
                </c:pt>
                <c:pt idx="4">
                  <c:v>47.945933910000001</c:v>
                </c:pt>
                <c:pt idx="5">
                  <c:v>26.303333910000003</c:v>
                </c:pt>
                <c:pt idx="6">
                  <c:v>26.303333910000003</c:v>
                </c:pt>
                <c:pt idx="7">
                  <c:v>26.303333910000003</c:v>
                </c:pt>
                <c:pt idx="8">
                  <c:v>23.211533910000004</c:v>
                </c:pt>
                <c:pt idx="9">
                  <c:v>23.211533910000004</c:v>
                </c:pt>
                <c:pt idx="10">
                  <c:v>23.211533910000004</c:v>
                </c:pt>
              </c:numCache>
            </c:numRef>
          </c:val>
          <c:extLst>
            <c:ext xmlns:c16="http://schemas.microsoft.com/office/drawing/2014/chart" uri="{C3380CC4-5D6E-409C-BE32-E72D297353CC}">
              <c16:uniqueId val="{0000001E-5565-413A-8A33-60B148713137}"/>
            </c:ext>
          </c:extLst>
        </c:ser>
        <c:ser>
          <c:idx val="3"/>
          <c:order val="7"/>
          <c:tx>
            <c:strRef>
              <c:f>'135K-NR'!$B$24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5565-413A-8A33-60B148713137}"/>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'135K-NR'!$F$24:$P$24</c:f>
              <c:numCache>
                <c:formatCode>0</c:formatCode>
                <c:ptCount val="11"/>
                <c:pt idx="0">
                  <c:v>0</c:v>
                </c:pt>
                <c:pt idx="1">
                  <c:v>52.405172293773816</c:v>
                </c:pt>
                <c:pt idx="2">
                  <c:v>47.976928297677091</c:v>
                </c:pt>
                <c:pt idx="3">
                  <c:v>43.548684301580366</c:v>
                </c:pt>
                <c:pt idx="4">
                  <c:v>39.12044030548364</c:v>
                </c:pt>
                <c:pt idx="5">
                  <c:v>34.692196309386915</c:v>
                </c:pt>
                <c:pt idx="6">
                  <c:v>30.26395231329019</c:v>
                </c:pt>
                <c:pt idx="7">
                  <c:v>25.835708317193461</c:v>
                </c:pt>
                <c:pt idx="8">
                  <c:v>21.407464321096732</c:v>
                </c:pt>
                <c:pt idx="9">
                  <c:v>16.979220325000007</c:v>
                </c:pt>
                <c:pt idx="10">
                  <c:v>16.979220325</c:v>
                </c:pt>
              </c:numCache>
            </c:numRef>
          </c:val>
          <c:extLst>
            <c:ext xmlns:c16="http://schemas.microsoft.com/office/drawing/2014/chart" uri="{C3380CC4-5D6E-409C-BE32-E72D297353CC}">
              <c16:uniqueId val="{00000020-5565-413A-8A33-60B148713137}"/>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'126P-NR'!$E$17</c:f>
              <c:strCache>
                <c:ptCount val="1"/>
                <c:pt idx="0">
                  <c:v>kg.CO2-e/m2</c:v>
                </c:pt>
              </c:strCache>
            </c:strRef>
          </c:tx>
          <c:spPr>
            <a:ln w="28575" cap="rnd">
              <a:solidFill>
                <a:srgbClr val="2DCCD3"/>
              </a:solidFill>
              <a:round/>
            </a:ln>
            <a:effectLst/>
          </c:spPr>
          <c:marker>
            <c:symbol val="none"/>
          </c:marker>
          <c:dLbls>
            <c:dLbl>
              <c:idx val="0"/>
              <c:layout>
                <c:manualLayout>
                  <c:x val="-4.0844273430476377E-2"/>
                  <c:y val="-3.501105896315476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1-5565-413A-8A33-60B148713137}"/>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5565-413A-8A33-60B148713137}"/>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'135K-NR'!$F$12:$P$12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'126P-NR'!$F$17:$P$17</c:f>
              <c:numCache>
                <c:formatCode>0.0</c:formatCode>
                <c:ptCount val="11"/>
                <c:pt idx="0">
                  <c:v>62.070527452582077</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5565-413A-8A33-60B148713137}"/>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3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65"/>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25" b="1" i="0" u="none" strike="noStrike" baseline="0">
                <a:solidFill>
                  <a:srgbClr val="000000"/>
                </a:solidFill>
                <a:latin typeface="Times New Roman" panose="02020603050405020304" pitchFamily="18" charset="0"/>
                <a:ea typeface="Arial"/>
                <a:cs typeface="Times New Roman" panose="02020603050405020304" pitchFamily="18" charset="0"/>
              </a:defRPr>
            </a:pPr>
            <a:r>
              <a:rPr lang="en-AU">
                <a:latin typeface="Times New Roman" panose="02020603050405020304" pitchFamily="18" charset="0"/>
                <a:cs typeface="Times New Roman" panose="02020603050405020304" pitchFamily="18" charset="0"/>
              </a:rPr>
              <a:t>Predicted NABERS Energy Performance</a:t>
            </a:r>
          </a:p>
        </c:rich>
      </c:tx>
      <c:layout>
        <c:manualLayout>
          <c:xMode val="edge"/>
          <c:yMode val="edge"/>
          <c:x val="5.659989242316108E-3"/>
          <c:y val="8.4561782083432332E-3"/>
        </c:manualLayout>
      </c:layout>
      <c:overlay val="0"/>
      <c:spPr>
        <a:noFill/>
        <a:ln w="25400">
          <a:noFill/>
        </a:ln>
      </c:spPr>
    </c:title>
    <c:autoTitleDeleted val="0"/>
    <c:plotArea>
      <c:layout>
        <c:manualLayout>
          <c:layoutTarget val="inner"/>
          <c:xMode val="edge"/>
          <c:yMode val="edge"/>
          <c:x val="3.8039037397169975E-2"/>
          <c:y val="0.13205320815789642"/>
          <c:w val="0.9494647556502378"/>
          <c:h val="0.75870570505264134"/>
        </c:manualLayout>
      </c:layout>
      <c:barChart>
        <c:barDir val="col"/>
        <c:grouping val="stacked"/>
        <c:varyColors val="0"/>
        <c:ser>
          <c:idx val="0"/>
          <c:order val="0"/>
          <c:tx>
            <c:strRef>
              <c:f>'151C-NR'!$BA$156</c:f>
              <c:strCache>
                <c:ptCount val="1"/>
                <c:pt idx="0">
                  <c:v>5.0</c:v>
                </c:pt>
              </c:strCache>
            </c:strRef>
          </c:tx>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003B-42DA-AE99-C039170471F7}"/>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003B-42DA-AE99-C039170471F7}"/>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003B-42DA-AE99-C039170471F7}"/>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003B-42DA-AE99-C039170471F7}"/>
              </c:ext>
            </c:extLst>
          </c:dPt>
          <c:dLbls>
            <c:dLbl>
              <c:idx val="0"/>
              <c:tx>
                <c:rich>
                  <a:bodyPr/>
                  <a:lstStyle/>
                  <a:p>
                    <a:r>
                      <a:rPr lang="en-US"/>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003B-42DA-AE99-C039170471F7}"/>
                </c:ext>
              </c:extLst>
            </c:dLbl>
            <c:dLbl>
              <c:idx val="1"/>
              <c:spPr>
                <a:noFill/>
                <a:ln w="25400">
                  <a:noFill/>
                </a:ln>
              </c:spPr>
              <c:txPr>
                <a:bodyPr/>
                <a:lstStyle/>
                <a:p>
                  <a:pPr>
                    <a:defRPr sz="1200" b="0" i="0" u="none" strike="noStrike" baseline="0">
                      <a:solidFill>
                        <a:schemeClr val="bg1"/>
                      </a:solidFill>
                      <a:latin typeface="Arial"/>
                      <a:ea typeface="Arial"/>
                      <a:cs typeface="Arial"/>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'151C-NR'!$BG$166:$BG$176</c:f>
              <c:numCache>
                <c:formatCode>0</c:formatCode>
                <c:ptCount val="11"/>
                <c:pt idx="0" formatCode="General">
                  <c:v>69.59</c:v>
                </c:pt>
                <c:pt idx="1">
                  <c:v>46</c:v>
                </c:pt>
                <c:pt idx="2" formatCode="0.0">
                  <c:v>46</c:v>
                </c:pt>
                <c:pt idx="3" formatCode="0.0">
                  <c:v>46</c:v>
                </c:pt>
                <c:pt idx="4" formatCode="0.0">
                  <c:v>46</c:v>
                </c:pt>
                <c:pt idx="5" formatCode="0.0">
                  <c:v>46</c:v>
                </c:pt>
                <c:pt idx="6" formatCode="0.0">
                  <c:v>46</c:v>
                </c:pt>
                <c:pt idx="7" formatCode="0.0">
                  <c:v>46</c:v>
                </c:pt>
                <c:pt idx="8" formatCode="0.0">
                  <c:v>46</c:v>
                </c:pt>
                <c:pt idx="9" formatCode="0.0">
                  <c:v>46</c:v>
                </c:pt>
                <c:pt idx="10" formatCode="0.0">
                  <c:v>48.210634889016028</c:v>
                </c:pt>
              </c:numCache>
            </c:numRef>
          </c:val>
          <c:extLst>
            <c:ext xmlns:c16="http://schemas.microsoft.com/office/drawing/2014/chart" uri="{C3380CC4-5D6E-409C-BE32-E72D297353CC}">
              <c16:uniqueId val="{00000009-003B-42DA-AE99-C039170471F7}"/>
            </c:ext>
          </c:extLst>
        </c:ser>
        <c:ser>
          <c:idx val="1"/>
          <c:order val="1"/>
          <c:tx>
            <c:strRef>
              <c:f>'151C-NR'!$BA$157</c:f>
              <c:strCache>
                <c:ptCount val="1"/>
                <c:pt idx="0">
                  <c:v>4.5</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003B-42DA-AE99-C039170471F7}"/>
                </c:ext>
              </c:extLst>
            </c:dLbl>
            <c:dLbl>
              <c:idx val="2"/>
              <c:delete val="1"/>
              <c:extLst>
                <c:ext xmlns:c15="http://schemas.microsoft.com/office/drawing/2012/chart" uri="{CE6537A1-D6FC-4f65-9D91-7224C49458BB}"/>
                <c:ext xmlns:c16="http://schemas.microsoft.com/office/drawing/2014/chart" uri="{C3380CC4-5D6E-409C-BE32-E72D297353CC}">
                  <c16:uniqueId val="{0000000B-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'151C-NR'!$BH$166:$BH$168</c:f>
              <c:numCache>
                <c:formatCode>General</c:formatCode>
                <c:ptCount val="3"/>
                <c:pt idx="0">
                  <c:v>15.329999999999998</c:v>
                </c:pt>
              </c:numCache>
            </c:numRef>
          </c:val>
          <c:extLst>
            <c:ext xmlns:c16="http://schemas.microsoft.com/office/drawing/2014/chart" uri="{C3380CC4-5D6E-409C-BE32-E72D297353CC}">
              <c16:uniqueId val="{0000000C-003B-42DA-AE99-C039170471F7}"/>
            </c:ext>
          </c:extLst>
        </c:ser>
        <c:ser>
          <c:idx val="2"/>
          <c:order val="2"/>
          <c:tx>
            <c:strRef>
              <c:f>'151C-NR'!$BA$158</c:f>
              <c:strCache>
                <c:ptCount val="1"/>
                <c:pt idx="0">
                  <c:v>4.0</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003B-42DA-AE99-C039170471F7}"/>
                </c:ext>
              </c:extLst>
            </c:dLbl>
            <c:dLbl>
              <c:idx val="2"/>
              <c:delete val="1"/>
              <c:extLst>
                <c:ext xmlns:c15="http://schemas.microsoft.com/office/drawing/2012/chart" uri="{CE6537A1-D6FC-4f65-9D91-7224C49458BB}"/>
                <c:ext xmlns:c16="http://schemas.microsoft.com/office/drawing/2014/chart" uri="{C3380CC4-5D6E-409C-BE32-E72D297353CC}">
                  <c16:uniqueId val="{0000000E-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'151C-NR'!$BI$166:$BI$168</c:f>
              <c:numCache>
                <c:formatCode>General</c:formatCode>
                <c:ptCount val="3"/>
                <c:pt idx="0">
                  <c:v>15.329999999999998</c:v>
                </c:pt>
              </c:numCache>
            </c:numRef>
          </c:val>
          <c:extLst>
            <c:ext xmlns:c16="http://schemas.microsoft.com/office/drawing/2014/chart" uri="{C3380CC4-5D6E-409C-BE32-E72D297353CC}">
              <c16:uniqueId val="{0000000F-003B-42DA-AE99-C039170471F7}"/>
            </c:ext>
          </c:extLst>
        </c:ser>
        <c:ser>
          <c:idx val="3"/>
          <c:order val="3"/>
          <c:tx>
            <c:strRef>
              <c:f>'151C-NR'!$BA$159</c:f>
              <c:strCache>
                <c:ptCount val="1"/>
                <c:pt idx="0">
                  <c:v>3.5</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003B-42DA-AE99-C039170471F7}"/>
                </c:ext>
              </c:extLst>
            </c:dLbl>
            <c:dLbl>
              <c:idx val="2"/>
              <c:delete val="1"/>
              <c:extLst>
                <c:ext xmlns:c15="http://schemas.microsoft.com/office/drawing/2012/chart" uri="{CE6537A1-D6FC-4f65-9D91-7224C49458BB}"/>
                <c:ext xmlns:c16="http://schemas.microsoft.com/office/drawing/2014/chart" uri="{C3380CC4-5D6E-409C-BE32-E72D297353CC}">
                  <c16:uniqueId val="{00000011-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'151C-NR'!$BJ$166:$BJ$168</c:f>
              <c:numCache>
                <c:formatCode>General</c:formatCode>
                <c:ptCount val="3"/>
                <c:pt idx="0">
                  <c:v>15.319999999999993</c:v>
                </c:pt>
              </c:numCache>
            </c:numRef>
          </c:val>
          <c:extLst>
            <c:ext xmlns:c16="http://schemas.microsoft.com/office/drawing/2014/chart" uri="{C3380CC4-5D6E-409C-BE32-E72D297353CC}">
              <c16:uniqueId val="{00000012-003B-42DA-AE99-C039170471F7}"/>
            </c:ext>
          </c:extLst>
        </c:ser>
        <c:ser>
          <c:idx val="4"/>
          <c:order val="4"/>
          <c:tx>
            <c:strRef>
              <c:f>'151C-NR'!$BA$160</c:f>
              <c:strCache>
                <c:ptCount val="1"/>
                <c:pt idx="0">
                  <c:v>3.0</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003B-42DA-AE99-C039170471F7}"/>
                </c:ext>
              </c:extLst>
            </c:dLbl>
            <c:dLbl>
              <c:idx val="2"/>
              <c:delete val="1"/>
              <c:extLst>
                <c:ext xmlns:c15="http://schemas.microsoft.com/office/drawing/2012/chart" uri="{CE6537A1-D6FC-4f65-9D91-7224C49458BB}"/>
                <c:ext xmlns:c16="http://schemas.microsoft.com/office/drawing/2014/chart" uri="{C3380CC4-5D6E-409C-BE32-E72D297353CC}">
                  <c16:uniqueId val="{00000014-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'151C-NR'!$BK$166:$BK$168</c:f>
              <c:numCache>
                <c:formatCode>General</c:formatCode>
                <c:ptCount val="3"/>
                <c:pt idx="0">
                  <c:v>15.330000000000013</c:v>
                </c:pt>
              </c:numCache>
            </c:numRef>
          </c:val>
          <c:extLst>
            <c:ext xmlns:c16="http://schemas.microsoft.com/office/drawing/2014/chart" uri="{C3380CC4-5D6E-409C-BE32-E72D297353CC}">
              <c16:uniqueId val="{00000015-003B-42DA-AE99-C039170471F7}"/>
            </c:ext>
          </c:extLst>
        </c:ser>
        <c:ser>
          <c:idx val="5"/>
          <c:order val="5"/>
          <c:tx>
            <c:strRef>
              <c:f>'151C-NR'!$BA$161</c:f>
              <c:strCache>
                <c:ptCount val="1"/>
                <c:pt idx="0">
                  <c:v>2.5</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003B-42DA-AE99-C039170471F7}"/>
                </c:ext>
              </c:extLst>
            </c:dLbl>
            <c:dLbl>
              <c:idx val="2"/>
              <c:delete val="1"/>
              <c:extLst>
                <c:ext xmlns:c15="http://schemas.microsoft.com/office/drawing/2012/chart" uri="{CE6537A1-D6FC-4f65-9D91-7224C49458BB}"/>
                <c:ext xmlns:c16="http://schemas.microsoft.com/office/drawing/2014/chart" uri="{C3380CC4-5D6E-409C-BE32-E72D297353CC}">
                  <c16:uniqueId val="{00000017-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'151C-NR'!$BL$166:$BL$168</c:f>
              <c:numCache>
                <c:formatCode>General</c:formatCode>
                <c:ptCount val="3"/>
                <c:pt idx="0">
                  <c:v>15.329999999999984</c:v>
                </c:pt>
              </c:numCache>
            </c:numRef>
          </c:val>
          <c:extLst>
            <c:ext xmlns:c16="http://schemas.microsoft.com/office/drawing/2014/chart" uri="{C3380CC4-5D6E-409C-BE32-E72D297353CC}">
              <c16:uniqueId val="{00000018-003B-42DA-AE99-C039170471F7}"/>
            </c:ext>
          </c:extLst>
        </c:ser>
        <c:ser>
          <c:idx val="6"/>
          <c:order val="6"/>
          <c:tx>
            <c:strRef>
              <c:f>'151C-NR'!$BA$162</c:f>
              <c:strCache>
                <c:ptCount val="1"/>
                <c:pt idx="0">
                  <c:v>2.0</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003B-42DA-AE99-C039170471F7}"/>
                </c:ext>
              </c:extLst>
            </c:dLbl>
            <c:dLbl>
              <c:idx val="2"/>
              <c:delete val="1"/>
              <c:extLst>
                <c:ext xmlns:c15="http://schemas.microsoft.com/office/drawing/2012/chart" uri="{CE6537A1-D6FC-4f65-9D91-7224C49458BB}"/>
                <c:ext xmlns:c16="http://schemas.microsoft.com/office/drawing/2014/chart" uri="{C3380CC4-5D6E-409C-BE32-E72D297353CC}">
                  <c16:uniqueId val="{0000001A-003B-42DA-AE99-C039170471F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'151C-NR'!$BM$166:$BM$168</c:f>
              <c:numCache>
                <c:formatCode>General</c:formatCode>
                <c:ptCount val="3"/>
                <c:pt idx="0">
                  <c:v>15.330000000000013</c:v>
                </c:pt>
              </c:numCache>
            </c:numRef>
          </c:val>
          <c:extLst>
            <c:ext xmlns:c16="http://schemas.microsoft.com/office/drawing/2014/chart" uri="{C3380CC4-5D6E-409C-BE32-E72D297353CC}">
              <c16:uniqueId val="{0000001B-003B-42DA-AE99-C039170471F7}"/>
            </c:ext>
          </c:extLst>
        </c:ser>
        <c:ser>
          <c:idx val="7"/>
          <c:order val="7"/>
          <c:tx>
            <c:strRef>
              <c:f>'151C-NR'!$BA$163</c:f>
              <c:strCache>
                <c:ptCount val="1"/>
                <c:pt idx="0">
                  <c:v>1.5</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'151C-NR'!$BN$166</c:f>
              <c:numCache>
                <c:formatCode>General</c:formatCode>
                <c:ptCount val="1"/>
                <c:pt idx="0">
                  <c:v>15.329999999999984</c:v>
                </c:pt>
              </c:numCache>
            </c:numRef>
          </c:val>
          <c:extLst>
            <c:ext xmlns:c16="http://schemas.microsoft.com/office/drawing/2014/chart" uri="{C3380CC4-5D6E-409C-BE32-E72D297353CC}">
              <c16:uniqueId val="{0000001C-003B-42DA-AE99-C039170471F7}"/>
            </c:ext>
          </c:extLst>
        </c:ser>
        <c:ser>
          <c:idx val="8"/>
          <c:order val="8"/>
          <c:tx>
            <c:strRef>
              <c:f>'151C-NR'!$BA$164</c:f>
              <c:strCache>
                <c:ptCount val="1"/>
                <c:pt idx="0">
                  <c:v>1.0</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'151C-NR'!$BF$166:$BF$176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'151C-NR'!$BO$166</c:f>
              <c:numCache>
                <c:formatCode>General</c:formatCode>
                <c:ptCount val="1"/>
                <c:pt idx="0">
                  <c:v>15.320000000000022</c:v>
                </c:pt>
              </c:numCache>
            </c:numRef>
          </c:val>
          <c:extLst>
            <c:ext xmlns:c16="http://schemas.microsoft.com/office/drawing/2014/chart" uri="{C3380CC4-5D6E-409C-BE32-E72D297353CC}">
              <c16:uniqueId val="{0000001D-003B-42DA-AE99-C039170471F7}"/>
            </c:ext>
          </c:extLst>
        </c:ser>
        <c:dLbls>
          <c:showLegendKey val="0"/>
          <c:showVal val="0"/>
          <c:showCatName val="0"/>
          <c:showSerName val="0"/>
          <c:showPercent val="0"/>
          <c:showBubbleSize val="0"/>
        </c:dLbls>
        <c:gapWidth val="150"/>
        <c:overlap val="100"/>
        <c:axId val="161837824"/>
        <c:axId val="161839360"/>
      </c:barChart>
      <c:lineChart>
        <c:grouping val="standard"/>
        <c:varyColors val="0"/>
        <c:ser>
          <c:idx val="9"/>
          <c:order val="9"/>
          <c:spPr>
            <a:ln w="22225">
              <a:solidFill>
                <a:schemeClr val="tx1"/>
              </a:solidFill>
              <a:prstDash val="dash"/>
            </a:ln>
          </c:spPr>
          <c:marker>
            <c:symbol val="none"/>
          </c:marker>
          <c:val>
            <c:numRef>
              <c:f>'151C-NR'!$BE$166:$BE$176</c:f>
              <c:numCache>
                <c:formatCode>General</c:formatCode>
                <c:ptCount val="11"/>
                <c:pt idx="0">
                  <c:v>84.92</c:v>
                </c:pt>
                <c:pt idx="1">
                  <c:v>84.92</c:v>
                </c:pt>
                <c:pt idx="2">
                  <c:v>84.92</c:v>
                </c:pt>
                <c:pt idx="3">
                  <c:v>84.92</c:v>
                </c:pt>
                <c:pt idx="4">
                  <c:v>84.92</c:v>
                </c:pt>
                <c:pt idx="5">
                  <c:v>84.92</c:v>
                </c:pt>
                <c:pt idx="6">
                  <c:v>84.92</c:v>
                </c:pt>
                <c:pt idx="7">
                  <c:v>84.92</c:v>
                </c:pt>
                <c:pt idx="8">
                  <c:v>84.92</c:v>
                </c:pt>
                <c:pt idx="9">
                  <c:v>84.92</c:v>
                </c:pt>
                <c:pt idx="10">
                  <c:v>84.92</c:v>
                </c:pt>
              </c:numCache>
            </c:numRef>
          </c:val>
          <c:smooth val="0"/>
          <c:extLst>
            <c:ext xmlns:c16="http://schemas.microsoft.com/office/drawing/2014/chart" uri="{C3380CC4-5D6E-409C-BE32-E72D297353CC}">
              <c16:uniqueId val="{0000001E-003B-42DA-AE99-C039170471F7}"/>
            </c:ext>
          </c:extLst>
        </c:ser>
        <c:dLbls>
          <c:showLegendKey val="0"/>
          <c:showVal val="0"/>
          <c:showCatName val="0"/>
          <c:showSerName val="0"/>
          <c:showPercent val="0"/>
          <c:showBubbleSize val="0"/>
        </c:dLbls>
        <c:marker val="1"/>
        <c:smooth val="0"/>
        <c:axId val="161837824"/>
        <c:axId val="161839360"/>
      </c:lineChart>
      <c:catAx>
        <c:axId val="1618378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9360"/>
        <c:crosses val="autoZero"/>
        <c:auto val="1"/>
        <c:lblAlgn val="ctr"/>
        <c:lblOffset val="100"/>
        <c:tickLblSkip val="1"/>
        <c:tickMarkSkip val="1"/>
        <c:noMultiLvlLbl val="0"/>
      </c:catAx>
      <c:valAx>
        <c:axId val="161839360"/>
        <c:scaling>
          <c:orientation val="minMax"/>
          <c:max val="1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782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chemeClr val="bg1"/>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600">
                <a:latin typeface="Times New Roman" panose="02020603050405020304" pitchFamily="18" charset="0"/>
                <a:cs typeface="Times New Roman" panose="02020603050405020304" pitchFamily="18" charset="0"/>
              </a:rPr>
              <a:t>NABERS Energy</a:t>
            </a:r>
          </a:p>
        </c:rich>
      </c:tx>
      <c:layout>
        <c:manualLayout>
          <c:xMode val="edge"/>
          <c:yMode val="edge"/>
          <c:x val="1.1367038225919023E-2"/>
          <c:y val="3.95414062172822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9.6969193159990613E-2"/>
          <c:y val="9.0093317381232219E-2"/>
          <c:w val="0.8881039872558939"/>
          <c:h val="0.70454065450816084"/>
        </c:manualLayout>
      </c:layout>
      <c:lineChart>
        <c:grouping val="standard"/>
        <c:varyColors val="0"/>
        <c:ser>
          <c:idx val="0"/>
          <c:order val="0"/>
          <c:tx>
            <c:strRef>
              <c:f>'151C-NR'!$E$56</c:f>
              <c:strCache>
                <c:ptCount val="1"/>
                <c:pt idx="0">
                  <c:v>151 Clarence Street</c:v>
                </c:pt>
              </c:strCache>
            </c:strRef>
          </c:tx>
          <c:spPr>
            <a:ln w="28575" cap="rnd">
              <a:solidFill>
                <a:schemeClr val="accent2"/>
              </a:solidFill>
              <a:round/>
            </a:ln>
            <a:effectLst/>
          </c:spPr>
          <c:marker>
            <c:symbol val="none"/>
          </c:marker>
          <c:dLbls>
            <c:dLbl>
              <c:idx val="0"/>
              <c:layout>
                <c:manualLayout>
                  <c:x val="-8.6414079230510935E-2"/>
                  <c:y val="-0.12204080439805574"/>
                </c:manualLayout>
              </c:layout>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CAE7-4B70-909E-1766FF118588}"/>
                </c:ext>
              </c:extLst>
            </c:dLbl>
            <c:dLbl>
              <c:idx val="7"/>
              <c:delete val="1"/>
              <c:extLst>
                <c:ext xmlns:c15="http://schemas.microsoft.com/office/drawing/2012/chart" uri="{CE6537A1-D6FC-4f65-9D91-7224C49458BB}"/>
                <c:ext xmlns:c16="http://schemas.microsoft.com/office/drawing/2014/chart" uri="{C3380CC4-5D6E-409C-BE32-E72D297353CC}">
                  <c16:uniqueId val="{00000003-6B57-4201-86C4-1F1C68BC2A11}"/>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B57-4201-86C4-1F1C68BC2A11}"/>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B57-4201-86C4-1F1C68BC2A11}"/>
                </c:ext>
              </c:extLst>
            </c:dLbl>
            <c:dLbl>
              <c:idx val="10"/>
              <c:layout>
                <c:manualLayout>
                  <c:x val="-1.4939301528347229E-2"/>
                  <c:y val="-6.7936491101994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B57-4201-86C4-1F1C68BC2A1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'151C-NR'!$F$55:$P$55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'151C-NR'!$F$56:$P$56</c:f>
              <c:numCache>
                <c:formatCode>0.00</c:formatCode>
                <c:ptCount val="11"/>
                <c:pt idx="0">
                  <c:v>5.6779709728409253</c:v>
                </c:pt>
                <c:pt idx="1">
                  <c:v>5.6779709728409253</c:v>
                </c:pt>
                <c:pt idx="2">
                  <c:v>5.6779709728409253</c:v>
                </c:pt>
                <c:pt idx="3">
                  <c:v>5.6779709728409253</c:v>
                </c:pt>
                <c:pt idx="4">
                  <c:v>5.6779709728409253</c:v>
                </c:pt>
                <c:pt idx="5">
                  <c:v>5.6779709728409253</c:v>
                </c:pt>
                <c:pt idx="6">
                  <c:v>5.6779709728409253</c:v>
                </c:pt>
                <c:pt idx="7">
                  <c:v>5.6779709728409253</c:v>
                </c:pt>
                <c:pt idx="8">
                  <c:v>5.6779709728409253</c:v>
                </c:pt>
                <c:pt idx="9">
                  <c:v>5.6779709728409253</c:v>
                </c:pt>
                <c:pt idx="10">
                  <c:v>5.6144378534554962</c:v>
                </c:pt>
              </c:numCache>
            </c:numRef>
          </c:val>
          <c:smooth val="0"/>
          <c:extLst>
            <c:ext xmlns:c16="http://schemas.microsoft.com/office/drawing/2014/chart" uri="{C3380CC4-5D6E-409C-BE32-E72D297353CC}">
              <c16:uniqueId val="{00000001-CAE7-4B70-909E-1766FF118588}"/>
            </c:ext>
          </c:extLst>
        </c:ser>
        <c:ser>
          <c:idx val="2"/>
          <c:order val="2"/>
          <c:tx>
            <c:strRef>
              <c:f>'151C-NR'!$E$58</c:f>
              <c:strCache>
                <c:ptCount val="1"/>
                <c:pt idx="0">
                  <c:v>IOM</c:v>
                </c:pt>
              </c:strCache>
              <c:extLst xmlns:c15="http://schemas.microsoft.com/office/drawing/2012/chart"/>
            </c:strRef>
          </c:tx>
          <c:spPr>
            <a:ln w="28575" cap="rnd">
              <a:solidFill>
                <a:srgbClr val="00857D"/>
              </a:solidFill>
              <a:round/>
            </a:ln>
            <a:effectLst/>
          </c:spPr>
          <c:marker>
            <c:symbol val="none"/>
          </c:marker>
          <c:dLbls>
            <c:dLbl>
              <c:idx val="0"/>
              <c:dLblPos val="t"/>
              <c:showLegendKey val="0"/>
              <c:showVal val="1"/>
              <c:showCatName val="0"/>
              <c:showSerName val="1"/>
              <c:showPercent val="0"/>
              <c:showBubbleSize val="0"/>
              <c:separator> </c:separator>
              <c:extLst xmlns:c15="http://schemas.microsoft.com/office/drawing/2012/chart">
                <c:ext xmlns:c15="http://schemas.microsoft.com/office/drawing/2012/chart" uri="{CE6537A1-D6FC-4f65-9D91-7224C49458BB}"/>
                <c:ext xmlns:c16="http://schemas.microsoft.com/office/drawing/2014/chart" uri="{C3380CC4-5D6E-409C-BE32-E72D297353CC}">
                  <c16:uniqueId val="{00000006-CAE7-4B70-909E-1766FF118588}"/>
                </c:ext>
              </c:extLst>
            </c:dLbl>
            <c:dLbl>
              <c:idx val="10"/>
              <c:layout>
                <c:manualLayout>
                  <c:x val="-2.8487286973954359E-2"/>
                  <c:y val="6.87300932787319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B57-4201-86C4-1F1C68BC2A11}"/>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f>'151C-NR'!$F$55:$P$55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extLst xmlns:c15="http://schemas.microsoft.com/office/drawing/2012/chart"/>
            </c:strRef>
          </c:cat>
          <c:val>
            <c:numRef>
              <c:f>'151C-NR'!$F$58:$P$58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CAE7-4B70-909E-1766FF118588}"/>
            </c:ext>
          </c:extLst>
        </c:ser>
        <c:ser>
          <c:idx val="3"/>
          <c:order val="3"/>
          <c:tx>
            <c:strRef>
              <c:f>'151C-NR'!$E$59</c:f>
              <c:strCache>
                <c:ptCount val="1"/>
                <c:pt idx="0">
                  <c:v>IGO</c:v>
                </c:pt>
              </c:strCache>
            </c:strRef>
          </c:tx>
          <c:spPr>
            <a:ln w="28575" cap="rnd">
              <a:solidFill>
                <a:schemeClr val="accent4"/>
              </a:solidFill>
              <a:round/>
            </a:ln>
            <a:effectLst/>
          </c:spPr>
          <c:marker>
            <c:symbol val="none"/>
          </c:marker>
          <c:dLbls>
            <c:dLbl>
              <c:idx val="0"/>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CAE7-4B70-909E-1766FF118588}"/>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B57-4201-86C4-1F1C68BC2A11}"/>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B57-4201-86C4-1F1C68BC2A11}"/>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B57-4201-86C4-1F1C68BC2A11}"/>
                </c:ext>
              </c:extLst>
            </c:dLbl>
            <c:dLbl>
              <c:idx val="4"/>
              <c:delete val="1"/>
              <c:extLst>
                <c:ext xmlns:c15="http://schemas.microsoft.com/office/drawing/2012/chart" uri="{CE6537A1-D6FC-4f65-9D91-7224C49458BB}"/>
                <c:ext xmlns:c16="http://schemas.microsoft.com/office/drawing/2014/chart" uri="{C3380CC4-5D6E-409C-BE32-E72D297353CC}">
                  <c16:uniqueId val="{00000004-6B57-4201-86C4-1F1C68BC2A11}"/>
                </c:ext>
              </c:extLst>
            </c:dLbl>
            <c:dLbl>
              <c:idx val="5"/>
              <c:delete val="1"/>
              <c:extLst>
                <c:ext xmlns:c15="http://schemas.microsoft.com/office/drawing/2012/chart" uri="{CE6537A1-D6FC-4f65-9D91-7224C49458BB}"/>
                <c:ext xmlns:c16="http://schemas.microsoft.com/office/drawing/2014/chart" uri="{C3380CC4-5D6E-409C-BE32-E72D297353CC}">
                  <c16:uniqueId val="{00000001-6B57-4201-86C4-1F1C68BC2A11}"/>
                </c:ext>
              </c:extLst>
            </c:dLbl>
            <c:dLbl>
              <c:idx val="6"/>
              <c:delete val="1"/>
              <c:extLst>
                <c:ext xmlns:c15="http://schemas.microsoft.com/office/drawing/2012/chart" uri="{CE6537A1-D6FC-4f65-9D91-7224C49458BB}"/>
                <c:ext xmlns:c16="http://schemas.microsoft.com/office/drawing/2014/chart" uri="{C3380CC4-5D6E-409C-BE32-E72D297353CC}">
                  <c16:uniqueId val="{00000002-6B57-4201-86C4-1F1C68BC2A11}"/>
                </c:ext>
              </c:extLst>
            </c:dLbl>
            <c:dLbl>
              <c:idx val="10"/>
              <c:layout>
                <c:manualLayout>
                  <c:x val="-2.9534858653150014E-2"/>
                  <c:y val="-6.019551748865752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B57-4201-86C4-1F1C68BC2A1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'151C-NR'!$F$55:$P$55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'151C-NR'!$F$59:$P$59</c:f>
              <c:numCache>
                <c:formatCode>0.00</c:formatCode>
                <c:ptCount val="11"/>
                <c:pt idx="0">
                  <c:v>5.3773163530915085</c:v>
                </c:pt>
                <c:pt idx="1">
                  <c:v>5.3897415030978291</c:v>
                </c:pt>
                <c:pt idx="2">
                  <c:v>5.3989086851726711</c:v>
                </c:pt>
                <c:pt idx="3">
                  <c:v>5.4212093179158183</c:v>
                </c:pt>
                <c:pt idx="4">
                  <c:v>5.4717936463248549</c:v>
                </c:pt>
                <c:pt idx="5">
                  <c:v>5.4936944742974081</c:v>
                </c:pt>
                <c:pt idx="6">
                  <c:v>5.5096998051417883</c:v>
                </c:pt>
                <c:pt idx="7">
                  <c:v>5.5139146402024437</c:v>
                </c:pt>
                <c:pt idx="8">
                  <c:v>5.5351632663682917</c:v>
                </c:pt>
                <c:pt idx="9">
                  <c:v>5.5351632663682917</c:v>
                </c:pt>
                <c:pt idx="10">
                  <c:v>5.5316015265321372</c:v>
                </c:pt>
              </c:numCache>
            </c:numRef>
          </c:val>
          <c:smooth val="0"/>
          <c:extLst xmlns:c15="http://schemas.microsoft.com/office/drawing/2012/chart">
            <c:ext xmlns:c16="http://schemas.microsoft.com/office/drawing/2014/chart" uri="{C3380CC4-5D6E-409C-BE32-E72D297353CC}">
              <c16:uniqueId val="{00000005-CAE7-4B70-909E-1766FF118588}"/>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1"/>
                <c:order val="1"/>
                <c:tx>
                  <c:strRef>
                    <c:extLst>
                      <c:ext uri="{02D57815-91ED-43cb-92C2-25804820EDAC}">
                        <c15:formulaRef>
                          <c15:sqref>'151C-NR'!$E$57</c15:sqref>
                        </c15:formulaRef>
                      </c:ext>
                    </c:extLst>
                    <c:strCache>
                      <c:ptCount val="1"/>
                    </c:strCache>
                  </c:strRef>
                </c:tx>
                <c:spPr>
                  <a:ln w="28575" cap="rnd">
                    <a:solidFill>
                      <a:schemeClr val="accent5"/>
                    </a:solidFill>
                    <a:round/>
                  </a:ln>
                  <a:effectLst/>
                </c:spPr>
                <c:marker>
                  <c:symbol val="none"/>
                </c:marker>
                <c:dLbls>
                  <c:dLbl>
                    <c:idx val="0"/>
                    <c:dLblPos val="b"/>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2-CAE7-4B70-909E-1766FF11858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b"/>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'151C-NR'!$F$55:$P$55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'151C-NR'!$F$57:$P$57</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CAE7-4B70-909E-1766FF118588}"/>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85"/>
          <c:min val="5.2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Emissions Intensity</a:t>
            </a:r>
            <a:r>
              <a:rPr lang="en-US" sz="1600" baseline="0">
                <a:latin typeface="Times New Roman" panose="02020603050405020304" pitchFamily="18" charset="0"/>
                <a:cs typeface="Times New Roman" panose="02020603050405020304" pitchFamily="18" charset="0"/>
              </a:rPr>
              <a:t> (</a:t>
            </a:r>
            <a:r>
              <a:rPr lang="en-US" sz="1600">
                <a:latin typeface="Times New Roman" panose="02020603050405020304" pitchFamily="18" charset="0"/>
                <a:cs typeface="Times New Roman" panose="02020603050405020304" pitchFamily="18" charset="0"/>
              </a:rPr>
              <a:t>kg.CO2-e/m2)</a:t>
            </a:r>
          </a:p>
        </c:rich>
      </c:tx>
      <c:layout>
        <c:manualLayout>
          <c:xMode val="edge"/>
          <c:yMode val="edge"/>
          <c:x val="7.9233548287634421E-3"/>
          <c:y val="2.3222170950477107E-2"/>
        </c:manualLayout>
      </c:layout>
      <c:overlay val="0"/>
      <c:spPr>
        <a:noFill/>
        <a:ln>
          <a:noFill/>
        </a:ln>
        <a:effectLst/>
      </c:spPr>
      <c:txPr>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1083387898661808"/>
          <c:w val="0.96393383157987933"/>
          <c:h val="0.82031567352170343"/>
        </c:manualLayout>
      </c:layout>
      <c:barChart>
        <c:barDir val="col"/>
        <c:grouping val="stacked"/>
        <c:varyColors val="0"/>
        <c:ser>
          <c:idx val="0"/>
          <c:order val="0"/>
          <c:tx>
            <c:strRef>
              <c:f>'151C-NR'!$B$27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7F42-488C-9F12-0AF0E8A66FD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'151C-NR'!$F$27:$P$27</c:f>
              <c:numCache>
                <c:formatCode>0</c:formatCode>
                <c:ptCount val="11"/>
                <c:pt idx="0" formatCode="#,##0_ ;\-#,##0\ ">
                  <c:v>836.82093000000009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7F42-488C-9F12-0AF0E8A66FDA}"/>
            </c:ext>
          </c:extLst>
        </c:ser>
        <c:ser>
          <c:idx val="1"/>
          <c:order val="1"/>
          <c:tx>
            <c:strRef>
              <c:f>'151C-NR'!$B$26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52195498695E-2"/>
                  <c:y val="6.1852513759638869E-3"/>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7F42-488C-9F12-0AF0E8A66FDA}"/>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'151C-NR'!$F$26:$P$26</c:f>
              <c:numCache>
                <c:formatCode>0</c:formatCode>
                <c:ptCount val="11"/>
                <c:pt idx="0">
                  <c:v>44.682178299999997</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7F42-488C-9F12-0AF0E8A66FDA}"/>
            </c:ext>
          </c:extLst>
        </c:ser>
        <c:ser>
          <c:idx val="2"/>
          <c:order val="2"/>
          <c:tx>
            <c:strRef>
              <c:f>'151C-NR'!$B$25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7F42-488C-9F12-0AF0E8A66FDA}"/>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'151C-NR'!$F$25:$P$25</c:f>
              <c:numCache>
                <c:formatCode>0</c:formatCode>
                <c:ptCount val="11"/>
                <c:pt idx="0">
                  <c:v>58.131336524848592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7F42-488C-9F12-0AF0E8A66FDA}"/>
            </c:ext>
          </c:extLst>
        </c:ser>
        <c:ser>
          <c:idx val="6"/>
          <c:order val="3"/>
          <c:tx>
            <c:strRef>
              <c:f>'151C-NR'!$B$21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7F42-488C-9F12-0AF0E8A66FDA}"/>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7F42-488C-9F12-0AF0E8A66FDA}"/>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7F42-488C-9F12-0AF0E8A66FDA}"/>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7F42-488C-9F12-0AF0E8A66FDA}"/>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'151C-NR'!$F$21:$P$21</c:f>
              <c:numCache>
                <c:formatCode>0</c:formatCode>
                <c:ptCount val="11"/>
                <c:pt idx="0">
                  <c:v>0</c:v>
                </c:pt>
                <c:pt idx="1">
                  <c:v>785.97611400000005</c:v>
                </c:pt>
                <c:pt idx="2">
                  <c:v>773.26490999999999</c:v>
                </c:pt>
                <c:pt idx="3">
                  <c:v>701.23475400000007</c:v>
                </c:pt>
                <c:pt idx="4">
                  <c:v>660.98260800000003</c:v>
                </c:pt>
                <c:pt idx="5">
                  <c:v>579.41904900000009</c:v>
                </c:pt>
                <c:pt idx="6">
                  <c:v>487.26282000000003</c:v>
                </c:pt>
                <c:pt idx="7">
                  <c:v>405.69926100000004</c:v>
                </c:pt>
                <c:pt idx="8">
                  <c:v>344.26177500000006</c:v>
                </c:pt>
                <c:pt idx="9">
                  <c:v>339.628896</c:v>
                </c:pt>
                <c:pt idx="10">
                  <c:v>311.32648800000004</c:v>
                </c:pt>
              </c:numCache>
            </c:numRef>
          </c:val>
          <c:extLst>
            <c:ext xmlns:c16="http://schemas.microsoft.com/office/drawing/2014/chart" uri="{C3380CC4-5D6E-409C-BE32-E72D297353CC}">
              <c16:uniqueId val="{0000000C-7F42-488C-9F12-0AF0E8A66FDA}"/>
            </c:ext>
          </c:extLst>
        </c:ser>
        <c:ser>
          <c:idx val="7"/>
          <c:order val="4"/>
          <c:tx>
            <c:strRef>
              <c:f>'151C-NR'!$B$20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'151C-NR'!$F$20:$P$20</c:f>
              <c:numCache>
                <c:formatCode>0</c:formatCode>
                <c:ptCount val="11"/>
                <c:pt idx="0">
                  <c:v>0</c:v>
                </c:pt>
                <c:pt idx="1">
                  <c:v>0</c:v>
                </c:pt>
                <c:pt idx="2">
                  <c:v>0</c:v>
                </c:pt>
                <c:pt idx="3">
                  <c:v>0</c:v>
                </c:pt>
                <c:pt idx="4">
                  <c:v>0</c:v>
                </c:pt>
                <c:pt idx="5">
                  <c:v>0</c:v>
                </c:pt>
                <c:pt idx="6">
                  <c:v>0</c:v>
                </c:pt>
                <c:pt idx="7">
                  <c:v>0</c:v>
                </c:pt>
                <c:pt idx="8">
                  <c:v>0</c:v>
                </c:pt>
                <c:pt idx="9">
                  <c:v>-34.559999999999995</c:v>
                </c:pt>
                <c:pt idx="10">
                  <c:v>-31.68</c:v>
                </c:pt>
              </c:numCache>
            </c:numRef>
          </c:val>
          <c:extLst>
            <c:ext xmlns:c16="http://schemas.microsoft.com/office/drawing/2014/chart" uri="{C3380CC4-5D6E-409C-BE32-E72D297353CC}">
              <c16:uniqueId val="{00000018-7F42-488C-9F12-0AF0E8A66FDA}"/>
            </c:ext>
          </c:extLst>
        </c:ser>
        <c:ser>
          <c:idx val="4"/>
          <c:order val="5"/>
          <c:tx>
            <c:strRef>
              <c:f>'151C-NR'!$B$23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7F42-488C-9F12-0AF0E8A66FDA}"/>
              </c:ext>
            </c:extLst>
          </c:dPt>
          <c:dLbls>
            <c:dLbl>
              <c:idx val="10"/>
              <c:layout>
                <c:manualLayout>
                  <c:x val="-0.10051164954978777"/>
                  <c:y val="-0.14166672600103006"/>
                </c:manualLayout>
              </c:layout>
              <c:tx>
                <c:rich>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fld id="{77B249DE-AF94-4DC2-8D97-3ADAFF6EEFAC}" type="SERIESNAME">
                      <a:rPr lang="en-US" sz="1200"/>
                      <a:pPr>
                        <a:defRPr/>
                      </a:pPr>
                      <a:t>[SERIES NAME]</a:t>
                    </a:fld>
                    <a:endParaRPr lang="en-AU"/>
                  </a:p>
                </c:rich>
              </c:tx>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dlblFieldTable/>
                  <c15:showDataLabelsRange val="0"/>
                </c:ext>
                <c:ext xmlns:c16="http://schemas.microsoft.com/office/drawing/2014/chart" uri="{C3380CC4-5D6E-409C-BE32-E72D297353CC}">
                  <c16:uniqueId val="{0000001A-7F42-488C-9F12-0AF0E8A66FDA}"/>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'151C-NR'!$F$23:$P$23</c:f>
              <c:numCache>
                <c:formatCode>0</c:formatCode>
                <c:ptCount val="11"/>
                <c:pt idx="0">
                  <c:v>0</c:v>
                </c:pt>
                <c:pt idx="1">
                  <c:v>0</c:v>
                </c:pt>
                <c:pt idx="2">
                  <c:v>0</c:v>
                </c:pt>
                <c:pt idx="3">
                  <c:v>0</c:v>
                </c:pt>
                <c:pt idx="4">
                  <c:v>0</c:v>
                </c:pt>
                <c:pt idx="5">
                  <c:v>0</c:v>
                </c:pt>
                <c:pt idx="6">
                  <c:v>0</c:v>
                </c:pt>
                <c:pt idx="7">
                  <c:v>0</c:v>
                </c:pt>
                <c:pt idx="8">
                  <c:v>0</c:v>
                </c:pt>
                <c:pt idx="9">
                  <c:v>0</c:v>
                </c:pt>
                <c:pt idx="10">
                  <c:v>39.523510000000002</c:v>
                </c:pt>
              </c:numCache>
            </c:numRef>
          </c:val>
          <c:extLst>
            <c:ext xmlns:c16="http://schemas.microsoft.com/office/drawing/2014/chart" uri="{C3380CC4-5D6E-409C-BE32-E72D297353CC}">
              <c16:uniqueId val="{0000001C-7F42-488C-9F12-0AF0E8A66FDA}"/>
            </c:ext>
          </c:extLst>
        </c:ser>
        <c:ser>
          <c:idx val="5"/>
          <c:order val="6"/>
          <c:tx>
            <c:strRef>
              <c:f>'151C-NR'!$B$22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9.8442915904458209E-2"/>
                  <c:y val="-4.2082044979745901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7F42-488C-9F12-0AF0E8A66FD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'151C-NR'!$F$22:$P$22</c:f>
              <c:numCache>
                <c:formatCode>0</c:formatCode>
                <c:ptCount val="11"/>
                <c:pt idx="0">
                  <c:v>0</c:v>
                </c:pt>
                <c:pt idx="1">
                  <c:v>44.682178299999997</c:v>
                </c:pt>
                <c:pt idx="2">
                  <c:v>44.682178299999997</c:v>
                </c:pt>
                <c:pt idx="3">
                  <c:v>44.682178299999997</c:v>
                </c:pt>
                <c:pt idx="4">
                  <c:v>44.682178299999997</c:v>
                </c:pt>
                <c:pt idx="5">
                  <c:v>44.682178299999997</c:v>
                </c:pt>
                <c:pt idx="6">
                  <c:v>44.682178299999997</c:v>
                </c:pt>
                <c:pt idx="7">
                  <c:v>44.682178299999997</c:v>
                </c:pt>
                <c:pt idx="8">
                  <c:v>44.682178299999997</c:v>
                </c:pt>
                <c:pt idx="9">
                  <c:v>44.682178299999997</c:v>
                </c:pt>
                <c:pt idx="10">
                  <c:v>5.1586683000000013</c:v>
                </c:pt>
              </c:numCache>
            </c:numRef>
          </c:val>
          <c:extLst>
            <c:ext xmlns:c16="http://schemas.microsoft.com/office/drawing/2014/chart" uri="{C3380CC4-5D6E-409C-BE32-E72D297353CC}">
              <c16:uniqueId val="{0000001E-7F42-488C-9F12-0AF0E8A66FDA}"/>
            </c:ext>
          </c:extLst>
        </c:ser>
        <c:ser>
          <c:idx val="3"/>
          <c:order val="7"/>
          <c:tx>
            <c:strRef>
              <c:f>'151C-NR'!$B$24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343864049855E-2"/>
                  <c:y val="-7.076873170341961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7F42-488C-9F12-0AF0E8A66FDA}"/>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'151C-NR'!$F$24:$P$24</c:f>
              <c:numCache>
                <c:formatCode>0</c:formatCode>
                <c:ptCount val="11"/>
                <c:pt idx="0">
                  <c:v>0</c:v>
                </c:pt>
                <c:pt idx="1">
                  <c:v>54.537590214865418</c:v>
                </c:pt>
                <c:pt idx="2">
                  <c:v>50.943843904882236</c:v>
                </c:pt>
                <c:pt idx="3">
                  <c:v>47.350097594899054</c:v>
                </c:pt>
                <c:pt idx="4">
                  <c:v>43.75635128491588</c:v>
                </c:pt>
                <c:pt idx="5">
                  <c:v>40.162604974932705</c:v>
                </c:pt>
                <c:pt idx="6">
                  <c:v>36.568858664949524</c:v>
                </c:pt>
                <c:pt idx="7">
                  <c:v>32.975112354966342</c:v>
                </c:pt>
                <c:pt idx="8">
                  <c:v>29.381366044983167</c:v>
                </c:pt>
                <c:pt idx="9">
                  <c:v>25.787619734999989</c:v>
                </c:pt>
                <c:pt idx="10">
                  <c:v>25.787619734999993</c:v>
                </c:pt>
              </c:numCache>
            </c:numRef>
          </c:val>
          <c:extLst>
            <c:ext xmlns:c16="http://schemas.microsoft.com/office/drawing/2014/chart" uri="{C3380CC4-5D6E-409C-BE32-E72D297353CC}">
              <c16:uniqueId val="{00000020-7F42-488C-9F12-0AF0E8A66FDA}"/>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'151C-NR'!$E$17</c:f>
              <c:strCache>
                <c:ptCount val="1"/>
                <c:pt idx="0">
                  <c:v>kg.CO2-e/m2</c:v>
                </c:pt>
              </c:strCache>
            </c:strRef>
          </c:tx>
          <c:spPr>
            <a:ln w="28575" cap="rnd">
              <a:solidFill>
                <a:srgbClr val="2DCCD3"/>
              </a:solidFill>
              <a:round/>
            </a:ln>
            <a:effectLst/>
          </c:spPr>
          <c:marker>
            <c:symbol val="none"/>
          </c:marker>
          <c:dLbls>
            <c:dLbl>
              <c:idx val="0"/>
              <c:layout>
                <c:manualLayout>
                  <c:x val="-3.6978414448514116E-2"/>
                  <c:y val="-3.802525745180269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1-7F42-488C-9F12-0AF0E8A66FDA}"/>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7F42-488C-9F12-0AF0E8A66FDA}"/>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'151C-NR'!$F$12:$P$12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'151C-NR'!$F$17:$P$17</c:f>
              <c:numCache>
                <c:formatCode>0.0</c:formatCode>
                <c:ptCount val="11"/>
                <c:pt idx="0">
                  <c:v>46.051482298806548</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7F42-488C-9F12-0AF0E8A66FDA}"/>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97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48"/>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Energy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6.8796337171610336E-2"/>
          <c:y val="0.19326558970827673"/>
          <c:w val="0.91646040707638288"/>
          <c:h val="0.70766322199873155"/>
        </c:manualLayout>
      </c:layout>
      <c:barChart>
        <c:barDir val="col"/>
        <c:grouping val="clustered"/>
        <c:varyColors val="0"/>
        <c:ser>
          <c:idx val="2"/>
          <c:order val="2"/>
          <c:tx>
            <c:strRef>
              <c:f>'151C-NR'!$E$51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A10B-4669-9AF7-0B89C50601F6}"/>
                </c:ext>
              </c:extLst>
            </c:dLbl>
            <c:dLbl>
              <c:idx val="1"/>
              <c:delete val="1"/>
              <c:extLst>
                <c:ext xmlns:c15="http://schemas.microsoft.com/office/drawing/2012/chart" uri="{CE6537A1-D6FC-4f65-9D91-7224C49458BB}"/>
                <c:ext xmlns:c16="http://schemas.microsoft.com/office/drawing/2014/chart" uri="{C3380CC4-5D6E-409C-BE32-E72D297353CC}">
                  <c16:uniqueId val="{00000001-A10B-4669-9AF7-0B89C50601F6}"/>
                </c:ext>
              </c:extLst>
            </c:dLbl>
            <c:dLbl>
              <c:idx val="2"/>
              <c:delete val="1"/>
              <c:extLst>
                <c:ext xmlns:c15="http://schemas.microsoft.com/office/drawing/2012/chart" uri="{CE6537A1-D6FC-4f65-9D91-7224C49458BB}"/>
                <c:ext xmlns:c16="http://schemas.microsoft.com/office/drawing/2014/chart" uri="{C3380CC4-5D6E-409C-BE32-E72D297353CC}">
                  <c16:uniqueId val="{00000002-A10B-4669-9AF7-0B89C50601F6}"/>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4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'151C-NR'!$F$30:$P$30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'151C-NR'!$F$51:$P$51</c:f>
              <c:numCache>
                <c:formatCode>"$"#,##0</c:formatCode>
                <c:ptCount val="11"/>
                <c:pt idx="0">
                  <c:v>0</c:v>
                </c:pt>
                <c:pt idx="1">
                  <c:v>0</c:v>
                </c:pt>
                <c:pt idx="2">
                  <c:v>0</c:v>
                </c:pt>
                <c:pt idx="3">
                  <c:v>0</c:v>
                </c:pt>
                <c:pt idx="4">
                  <c:v>0</c:v>
                </c:pt>
                <c:pt idx="5">
                  <c:v>0</c:v>
                </c:pt>
                <c:pt idx="6">
                  <c:v>0</c:v>
                </c:pt>
                <c:pt idx="7">
                  <c:v>0</c:v>
                </c:pt>
                <c:pt idx="8">
                  <c:v>0</c:v>
                </c:pt>
                <c:pt idx="9">
                  <c:v>-54392.862708216882</c:v>
                </c:pt>
                <c:pt idx="10">
                  <c:v>-26492.669381232467</c:v>
                </c:pt>
              </c:numCache>
            </c:numRef>
          </c:val>
          <c:extLst>
            <c:ext xmlns:c16="http://schemas.microsoft.com/office/drawing/2014/chart" uri="{C3380CC4-5D6E-409C-BE32-E72D297353CC}">
              <c16:uniqueId val="{00000003-A10B-4669-9AF7-0B89C50601F6}"/>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layout>
                <c:manualLayout>
                  <c:x val="-4.7182708450950434E-2"/>
                  <c:y val="-9.9541657470590267E-2"/>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accent2"/>
                      </a:solidFill>
                      <a:latin typeface="+mn-lt"/>
                      <a:ea typeface="+mn-ea"/>
                      <a:cs typeface="+mn-cs"/>
                    </a:defRPr>
                  </a:pPr>
                  <a:endParaRPr lang="en-US"/>
                </a:p>
              </c:txPr>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A10B-4669-9AF7-0B89C50601F6}"/>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'151C-NR'!$F$6:$P$6</c:f>
              <c:numCache>
                <c:formatCode>#,##0_ ;\-#,##0\ </c:formatCode>
                <c:ptCount val="11"/>
                <c:pt idx="0">
                  <c:v>1059.2670000000001</c:v>
                </c:pt>
                <c:pt idx="1">
                  <c:v>1059.2670000000001</c:v>
                </c:pt>
                <c:pt idx="2">
                  <c:v>1059.2670000000001</c:v>
                </c:pt>
                <c:pt idx="3">
                  <c:v>1059.2670000000001</c:v>
                </c:pt>
                <c:pt idx="4">
                  <c:v>1059.2670000000001</c:v>
                </c:pt>
                <c:pt idx="5">
                  <c:v>1059.2670000000001</c:v>
                </c:pt>
                <c:pt idx="6">
                  <c:v>1059.2670000000001</c:v>
                </c:pt>
                <c:pt idx="7">
                  <c:v>1059.2670000000001</c:v>
                </c:pt>
                <c:pt idx="8">
                  <c:v>1059.2670000000001</c:v>
                </c:pt>
                <c:pt idx="9">
                  <c:v>1179.2670000000001</c:v>
                </c:pt>
                <c:pt idx="10">
                  <c:v>1179.2670000000001</c:v>
                </c:pt>
              </c:numCache>
            </c:numRef>
          </c:val>
          <c:smooth val="0"/>
          <c:extLst>
            <c:ext xmlns:c16="http://schemas.microsoft.com/office/drawing/2014/chart" uri="{C3380CC4-5D6E-409C-BE32-E72D297353CC}">
              <c16:uniqueId val="{00000005-A10B-4669-9AF7-0B89C50601F6}"/>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A10B-4669-9AF7-0B89C50601F6}"/>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0B-4669-9AF7-0B89C50601F6}"/>
                </c:ext>
              </c:extLst>
            </c:dLbl>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'151C-NR'!$F$36:$P$36</c:f>
              <c:numCache>
                <c:formatCode>_-"$"* #,##0_-;\-"$"* #,##0_-;_-"$"* "-"??_-;_-@_-</c:formatCode>
                <c:ptCount val="11"/>
                <c:pt idx="0">
                  <c:v>264387.2648</c:v>
                </c:pt>
                <c:pt idx="1">
                  <c:v>338255.73251097632</c:v>
                </c:pt>
                <c:pt idx="2">
                  <c:v>355713.39980764367</c:v>
                </c:pt>
                <c:pt idx="3">
                  <c:v>367624.51936196681</c:v>
                </c:pt>
                <c:pt idx="4">
                  <c:v>379956.40266753081</c:v>
                </c:pt>
                <c:pt idx="5">
                  <c:v>392723.66628661682</c:v>
                </c:pt>
                <c:pt idx="6">
                  <c:v>405941.43505611515</c:v>
                </c:pt>
                <c:pt idx="7">
                  <c:v>419625.35977798526</c:v>
                </c:pt>
                <c:pt idx="8">
                  <c:v>497578.08978574804</c:v>
                </c:pt>
                <c:pt idx="9">
                  <c:v>514476.00074853108</c:v>
                </c:pt>
                <c:pt idx="10">
                  <c:v>532184.12532212166</c:v>
                </c:pt>
              </c:numCache>
            </c:numRef>
          </c:val>
          <c:smooth val="0"/>
          <c:extLst>
            <c:ext xmlns:c16="http://schemas.microsoft.com/office/drawing/2014/chart" uri="{C3380CC4-5D6E-409C-BE32-E72D297353CC}">
              <c16:uniqueId val="{00000008-A10B-4669-9AF7-0B89C50601F6}"/>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25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9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'179T-NR'!$E$57</c:f>
              <c:strCache>
                <c:ptCount val="1"/>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'179T-NR'!$F$55:$P$55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'179T-NR'!$F$57:$P$57</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D12D-4076-BC22-1EE1067B39F3}"/>
            </c:ext>
          </c:extLst>
        </c:ser>
        <c:ser>
          <c:idx val="2"/>
          <c:order val="1"/>
          <c:tx>
            <c:strRef>
              <c:f>'179T-NR'!$E$56</c:f>
              <c:strCache>
                <c:ptCount val="1"/>
                <c:pt idx="0">
                  <c:v>179 Turbot Street</c:v>
                </c:pt>
              </c:strCache>
            </c:strRef>
          </c:tx>
          <c:spPr>
            <a:ln w="28575" cap="rnd">
              <a:solidFill>
                <a:srgbClr val="2DCCD3"/>
              </a:solidFill>
              <a:round/>
            </a:ln>
            <a:effectLst/>
          </c:spPr>
          <c:marker>
            <c:symbol val="none"/>
          </c:marker>
          <c:dLbls>
            <c:dLbl>
              <c:idx val="0"/>
              <c:layout>
                <c:manualLayout>
                  <c:x val="-7.5956502050782804E-2"/>
                  <c:y val="-7.4101030436943813E-2"/>
                </c:manualLayout>
              </c:layout>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D12D-4076-BC22-1EE1067B39F3}"/>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0D-48F3-8C70-A8A9A546A16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'179T-NR'!$F$55:$P$55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'179T-NR'!$F$56:$P$56</c:f>
              <c:numCache>
                <c:formatCode>0.00</c:formatCode>
                <c:ptCount val="11"/>
                <c:pt idx="0">
                  <c:v>5.1171842068287203</c:v>
                </c:pt>
                <c:pt idx="1">
                  <c:v>5.1171842068287203</c:v>
                </c:pt>
                <c:pt idx="2">
                  <c:v>5.1171842068287203</c:v>
                </c:pt>
                <c:pt idx="3">
                  <c:v>5.1171842068287203</c:v>
                </c:pt>
                <c:pt idx="4">
                  <c:v>5.1171842068287203</c:v>
                </c:pt>
                <c:pt idx="5">
                  <c:v>5.1818870820185845</c:v>
                </c:pt>
                <c:pt idx="6">
                  <c:v>5.1818870820185845</c:v>
                </c:pt>
                <c:pt idx="7">
                  <c:v>5.1818870820185845</c:v>
                </c:pt>
                <c:pt idx="8">
                  <c:v>5.1818870820185845</c:v>
                </c:pt>
                <c:pt idx="9">
                  <c:v>5.1818870820185845</c:v>
                </c:pt>
                <c:pt idx="10">
                  <c:v>5.1818870820185845</c:v>
                </c:pt>
              </c:numCache>
            </c:numRef>
          </c:val>
          <c:smooth val="0"/>
          <c:extLst>
            <c:ext xmlns:c16="http://schemas.microsoft.com/office/drawing/2014/chart" uri="{C3380CC4-5D6E-409C-BE32-E72D297353CC}">
              <c16:uniqueId val="{00000002-D12D-4076-BC22-1EE1067B39F3}"/>
            </c:ext>
          </c:extLst>
        </c:ser>
        <c:ser>
          <c:idx val="0"/>
          <c:order val="2"/>
          <c:tx>
            <c:strRef>
              <c:f>'179T-NR'!$E$58</c:f>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12D-4076-BC22-1EE1067B39F3}"/>
                </c:ext>
              </c:extLst>
            </c:dLbl>
            <c:dLbl>
              <c:idx val="1"/>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0D-48F3-8C70-A8A9A546A162}"/>
                </c:ext>
              </c:extLst>
            </c:dLbl>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80D-48F3-8C70-A8A9A546A162}"/>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0D-48F3-8C70-A8A9A546A16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'179T-NR'!$F$55:$P$55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4-D12D-4076-BC22-1EE1067B39F3}"/>
            </c:ext>
          </c:extLst>
        </c:ser>
        <c:ser>
          <c:idx val="3"/>
          <c:order val="3"/>
          <c:tx>
            <c:strRef>
              <c:f>'179T-NR'!$E$59</c:f>
              <c:strCache>
                <c:ptCount val="1"/>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'179T-NR'!$F$55:$P$55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'179T-NR'!$F$59:$P$59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D12D-4076-BC22-1EE1067B39F3}"/>
            </c:ext>
          </c:extLst>
        </c:ser>
        <c:dLbls>
          <c:showLegendKey val="0"/>
          <c:showVal val="0"/>
          <c:showCatName val="0"/>
          <c:showSerName val="0"/>
          <c:showPercent val="0"/>
          <c:showBubbleSize val="0"/>
        </c:dLbls>
        <c:smooth val="0"/>
        <c:axId val="1173658688"/>
        <c:axId val="1173670336"/>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in val="5"/>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81869283754849"/>
          <c:y val="0.10440462433187489"/>
          <c:w val="0.60825946185279822"/>
          <c:h val="0.79119070116235468"/>
        </c:manualLayout>
      </c:layout>
      <c:doughnutChart>
        <c:varyColors val="1"/>
        <c:ser>
          <c:idx val="0"/>
          <c:order val="0"/>
          <c:dPt>
            <c:idx val="0"/>
            <c:bubble3D val="0"/>
            <c:spPr>
              <a:pattFill prst="wdUpDiag">
                <a:fgClr>
                  <a:schemeClr val="accent6">
                    <a:lumMod val="60000"/>
                    <a:lumOff val="40000"/>
                  </a:schemeClr>
                </a:fgClr>
                <a:bgClr>
                  <a:schemeClr val="bg1"/>
                </a:bgClr>
              </a:pattFill>
              <a:ln w="9525">
                <a:solidFill>
                  <a:srgbClr val="2DCCD3"/>
                </a:solidFill>
                <a:prstDash val="dash"/>
              </a:ln>
              <a:effectLst/>
            </c:spPr>
            <c:extLst>
              <c:ext xmlns:c16="http://schemas.microsoft.com/office/drawing/2014/chart" uri="{C3380CC4-5D6E-409C-BE32-E72D297353CC}">
                <c16:uniqueId val="{00000001-78AA-46F6-B44F-3039B3992161}"/>
              </c:ext>
            </c:extLst>
          </c:dPt>
          <c:dPt>
            <c:idx val="1"/>
            <c:bubble3D val="0"/>
            <c:spPr>
              <a:solidFill>
                <a:schemeClr val="accent2">
                  <a:alpha val="22000"/>
                </a:schemeClr>
              </a:solidFill>
              <a:ln w="12700">
                <a:solidFill>
                  <a:srgbClr val="2DCCD3"/>
                </a:solidFill>
                <a:prstDash val="dash"/>
              </a:ln>
              <a:effectLst/>
            </c:spPr>
            <c:extLst>
              <c:ext xmlns:c16="http://schemas.microsoft.com/office/drawing/2014/chart" uri="{C3380CC4-5D6E-409C-BE32-E72D297353CC}">
                <c16:uniqueId val="{00000003-78AA-46F6-B44F-3039B3992161}"/>
              </c:ext>
            </c:extLst>
          </c:dPt>
          <c:dPt>
            <c:idx val="2"/>
            <c:bubble3D val="0"/>
            <c:spPr>
              <a:solidFill>
                <a:schemeClr val="accent5">
                  <a:alpha val="46000"/>
                </a:schemeClr>
              </a:solidFill>
              <a:ln w="19050">
                <a:solidFill>
                  <a:schemeClr val="lt1"/>
                </a:solidFill>
              </a:ln>
              <a:effectLst/>
            </c:spPr>
            <c:extLst>
              <c:ext xmlns:c16="http://schemas.microsoft.com/office/drawing/2014/chart" uri="{C3380CC4-5D6E-409C-BE32-E72D297353CC}">
                <c16:uniqueId val="{00000005-78AA-46F6-B44F-3039B3992161}"/>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78AA-46F6-B44F-3039B3992161}"/>
              </c:ext>
            </c:extLst>
          </c:dPt>
          <c:dPt>
            <c:idx val="4"/>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9-78AA-46F6-B44F-3039B3992161}"/>
              </c:ext>
            </c:extLst>
          </c:dPt>
          <c:dLbls>
            <c:dLbl>
              <c:idx val="0"/>
              <c:layout>
                <c:manualLayout>
                  <c:x val="0.21111111111111111"/>
                  <c:y val="-8.7962962962962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AA-46F6-B44F-3039B3992161}"/>
                </c:ext>
              </c:extLst>
            </c:dLbl>
            <c:dLbl>
              <c:idx val="1"/>
              <c:layout>
                <c:manualLayout>
                  <c:x val="-0.16197486374956024"/>
                  <c:y val="-0.23596481266607516"/>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6769855517842748"/>
                      <c:h val="0.10310895445909703"/>
                    </c:manualLayout>
                  </c15:layout>
                </c:ext>
                <c:ext xmlns:c16="http://schemas.microsoft.com/office/drawing/2014/chart" uri="{C3380CC4-5D6E-409C-BE32-E72D297353CC}">
                  <c16:uniqueId val="{00000003-78AA-46F6-B44F-3039B3992161}"/>
                </c:ext>
              </c:extLst>
            </c:dLbl>
            <c:dLbl>
              <c:idx val="2"/>
              <c:layout>
                <c:manualLayout>
                  <c:x val="0.17030140887321976"/>
                  <c:y val="-0.177429621297337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AA-46F6-B44F-3039B3992161}"/>
                </c:ext>
              </c:extLst>
            </c:dLbl>
            <c:dLbl>
              <c:idx val="3"/>
              <c:layout>
                <c:manualLayout>
                  <c:x val="0.19954883736248089"/>
                  <c:y val="-0.1362163466091823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AA-46F6-B44F-3039B3992161}"/>
                </c:ext>
              </c:extLst>
            </c:dLbl>
            <c:dLbl>
              <c:idx val="4"/>
              <c:layout>
                <c:manualLayout>
                  <c:x val="0.18358493037348253"/>
                  <c:y val="-8.48139516623210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8AA-46F6-B44F-3039B3992161}"/>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'1M-DUMMY'!$B$20:$B$24</c:f>
              <c:strCache>
                <c:ptCount val="5"/>
                <c:pt idx="0">
                  <c:v>Energy Efficiency</c:v>
                </c:pt>
                <c:pt idx="1">
                  <c:v>Renewable Electricity</c:v>
                </c:pt>
                <c:pt idx="2">
                  <c:v>Gas Offsets</c:v>
                </c:pt>
                <c:pt idx="3">
                  <c:v>Electrification</c:v>
                </c:pt>
                <c:pt idx="4">
                  <c:v>Scope 3 Offsets</c:v>
                </c:pt>
              </c:strCache>
            </c:strRef>
          </c:cat>
          <c:val>
            <c:numRef>
              <c:f>'1M-DUMMY'!$Q$20:$Q$24</c:f>
              <c:numCache>
                <c:formatCode>0</c:formatCode>
                <c:ptCount val="5"/>
                <c:pt idx="0">
                  <c:v>2344.39</c:v>
                </c:pt>
                <c:pt idx="1">
                  <c:v>6825.2802500000007</c:v>
                </c:pt>
                <c:pt idx="2">
                  <c:v>543.53380229999993</c:v>
                </c:pt>
                <c:pt idx="3">
                  <c:v>288.56800000000004</c:v>
                </c:pt>
                <c:pt idx="4">
                  <c:v>408.54706356700223</c:v>
                </c:pt>
              </c:numCache>
            </c:numRef>
          </c:val>
          <c:extLst>
            <c:ext xmlns:c16="http://schemas.microsoft.com/office/drawing/2014/chart" uri="{C3380CC4-5D6E-409C-BE32-E72D297353CC}">
              <c16:uniqueId val="{0000000A-78AA-46F6-B44F-3039B3992161}"/>
            </c:ext>
          </c:extLst>
        </c:ser>
        <c:dLbls>
          <c:showLegendKey val="0"/>
          <c:showVal val="0"/>
          <c:showCatName val="0"/>
          <c:showSerName val="0"/>
          <c:showPercent val="0"/>
          <c:showBubbleSize val="0"/>
          <c:showLeaderLines val="1"/>
        </c:dLbls>
        <c:firstSliceAng val="9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5.4628671482347048E-2"/>
          <c:y val="0.20054968839280449"/>
          <c:w val="0.93076621340279109"/>
          <c:h val="0.69890162698228475"/>
        </c:manualLayout>
      </c:layout>
      <c:barChart>
        <c:barDir val="col"/>
        <c:grouping val="clustered"/>
        <c:varyColors val="0"/>
        <c:ser>
          <c:idx val="2"/>
          <c:order val="2"/>
          <c:tx>
            <c:v>Total Savings ($/m2 p.a.)</c:v>
          </c:tx>
          <c:spPr>
            <a:solidFill>
              <a:srgbClr val="00857D"/>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C-4B4B-4BFE-B39A-64B4D246D349}"/>
                </c:ext>
              </c:extLst>
            </c:dLbl>
            <c:dLbl>
              <c:idx val="1"/>
              <c:delete val="1"/>
              <c:extLst>
                <c:ext xmlns:c15="http://schemas.microsoft.com/office/drawing/2012/chart" uri="{CE6537A1-D6FC-4f65-9D91-7224C49458BB}"/>
                <c:ext xmlns:c16="http://schemas.microsoft.com/office/drawing/2014/chart" uri="{C3380CC4-5D6E-409C-BE32-E72D297353CC}">
                  <c16:uniqueId val="{0000000B-4B4B-4BFE-B39A-64B4D246D349}"/>
                </c:ext>
              </c:extLst>
            </c:dLbl>
            <c:dLbl>
              <c:idx val="2"/>
              <c:delete val="1"/>
              <c:extLst>
                <c:ext xmlns:c15="http://schemas.microsoft.com/office/drawing/2012/chart" uri="{CE6537A1-D6FC-4f65-9D91-7224C49458BB}"/>
                <c:ext xmlns:c16="http://schemas.microsoft.com/office/drawing/2014/chart" uri="{C3380CC4-5D6E-409C-BE32-E72D297353CC}">
                  <c16:uniqueId val="{0000000A-4B4B-4BFE-B39A-64B4D246D349}"/>
                </c:ext>
              </c:extLst>
            </c:dLbl>
            <c:dLbl>
              <c:idx val="3"/>
              <c:delete val="1"/>
              <c:extLst>
                <c:ext xmlns:c15="http://schemas.microsoft.com/office/drawing/2012/chart" uri="{CE6537A1-D6FC-4f65-9D91-7224C49458BB}"/>
                <c:ext xmlns:c16="http://schemas.microsoft.com/office/drawing/2014/chart" uri="{C3380CC4-5D6E-409C-BE32-E72D297353CC}">
                  <c16:uniqueId val="{00000009-4B4B-4BFE-B39A-64B4D246D349}"/>
                </c:ext>
              </c:extLst>
            </c:dLbl>
            <c:dLbl>
              <c:idx val="4"/>
              <c:layout>
                <c:manualLayout>
                  <c:x val="-2.9249769582165939E-2"/>
                  <c:y val="7.3502197397384231E-3"/>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D-4B4B-4BFE-B39A-64B4D246D349}"/>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'567C-NR'!$F$30:$P$30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'179T-NR'!$F$51:$P$51</c:f>
              <c:numCache>
                <c:formatCode>"$"#,##0.00</c:formatCode>
                <c:ptCount val="11"/>
                <c:pt idx="0">
                  <c:v>0</c:v>
                </c:pt>
                <c:pt idx="1">
                  <c:v>0</c:v>
                </c:pt>
                <c:pt idx="2">
                  <c:v>0</c:v>
                </c:pt>
                <c:pt idx="3">
                  <c:v>0</c:v>
                </c:pt>
                <c:pt idx="4">
                  <c:v>0</c:v>
                </c:pt>
                <c:pt idx="5">
                  <c:v>0.35614346026785321</c:v>
                </c:pt>
                <c:pt idx="6">
                  <c:v>0.36860848137722818</c:v>
                </c:pt>
                <c:pt idx="7">
                  <c:v>0.38150977822543058</c:v>
                </c:pt>
                <c:pt idx="8">
                  <c:v>0.45781173387051766</c:v>
                </c:pt>
                <c:pt idx="9">
                  <c:v>0.47383514455598491</c:v>
                </c:pt>
                <c:pt idx="10">
                  <c:v>0.4904193746154466</c:v>
                </c:pt>
              </c:numCache>
            </c:numRef>
          </c:val>
          <c:extLst>
            <c:ext xmlns:c16="http://schemas.microsoft.com/office/drawing/2014/chart" uri="{C3380CC4-5D6E-409C-BE32-E72D297353CC}">
              <c16:uniqueId val="{00000000-4B4B-4BFE-B39A-64B4D246D349}"/>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4B4B-4BFE-B39A-64B4D246D349}"/>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4B-4BFE-B39A-64B4D246D34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4B-4BFE-B39A-64B4D246D349}"/>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4B-4BFE-B39A-64B4D246D34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'179T-NR'!$F$6:$P$6</c:f>
              <c:numCache>
                <c:formatCode>#,##0_ ;\-#,##0\ </c:formatCode>
                <c:ptCount val="11"/>
                <c:pt idx="0">
                  <c:v>894.80700000000002</c:v>
                </c:pt>
                <c:pt idx="1">
                  <c:v>894.80700000000002</c:v>
                </c:pt>
                <c:pt idx="2">
                  <c:v>894.80700000000002</c:v>
                </c:pt>
                <c:pt idx="3">
                  <c:v>894.80700000000002</c:v>
                </c:pt>
                <c:pt idx="4">
                  <c:v>894.80700000000002</c:v>
                </c:pt>
                <c:pt idx="5">
                  <c:v>853.80700000000002</c:v>
                </c:pt>
                <c:pt idx="6">
                  <c:v>853.80700000000002</c:v>
                </c:pt>
                <c:pt idx="7">
                  <c:v>853.80700000000002</c:v>
                </c:pt>
                <c:pt idx="8">
                  <c:v>853.80700000000002</c:v>
                </c:pt>
                <c:pt idx="9">
                  <c:v>853.80700000000002</c:v>
                </c:pt>
                <c:pt idx="10">
                  <c:v>853.80700000000002</c:v>
                </c:pt>
              </c:numCache>
            </c:numRef>
          </c:val>
          <c:smooth val="0"/>
          <c:extLst>
            <c:ext xmlns:c16="http://schemas.microsoft.com/office/drawing/2014/chart" uri="{C3380CC4-5D6E-409C-BE32-E72D297353CC}">
              <c16:uniqueId val="{00000005-4B4B-4BFE-B39A-64B4D246D349}"/>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6-4B4B-4BFE-B39A-64B4D246D349}"/>
                </c:ext>
              </c:extLst>
            </c:dLbl>
            <c:dLbl>
              <c:idx val="10"/>
              <c:layout>
                <c:manualLayout>
                  <c:x val="-8.7970787005246937E-3"/>
                  <c:y val="-0.1347544660194480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7-4B4B-4BFE-B39A-64B4D246D34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'179T-NR'!$F$37:$P$37</c:f>
              <c:numCache>
                <c:formatCode>_("$"* #,##0.00_);_("$"* \(#,##0.00\);_("$"* "-"??_);_(@_)</c:formatCode>
                <c:ptCount val="11"/>
                <c:pt idx="0">
                  <c:v>5.6911124112330551</c:v>
                </c:pt>
                <c:pt idx="1">
                  <c:v>6.7734369249653597</c:v>
                </c:pt>
                <c:pt idx="2">
                  <c:v>7.2073193625336263</c:v>
                </c:pt>
                <c:pt idx="3">
                  <c:v>7.4326554198532149</c:v>
                </c:pt>
                <c:pt idx="4">
                  <c:v>7.6665793485140421</c:v>
                </c:pt>
                <c:pt idx="5">
                  <c:v>7.9093917240130533</c:v>
                </c:pt>
                <c:pt idx="6">
                  <c:v>8.161403641989585</c:v>
                </c:pt>
                <c:pt idx="7">
                  <c:v>8.4229370864303501</c:v>
                </c:pt>
                <c:pt idx="8">
                  <c:v>10.068162074677524</c:v>
                </c:pt>
                <c:pt idx="9">
                  <c:v>10.397834282932477</c:v>
                </c:pt>
                <c:pt idx="10">
                  <c:v>10.759777823098693</c:v>
                </c:pt>
              </c:numCache>
            </c:numRef>
          </c:val>
          <c:smooth val="0"/>
          <c:extLst>
            <c:ext xmlns:c16="http://schemas.microsoft.com/office/drawing/2014/chart" uri="{C3380CC4-5D6E-409C-BE32-E72D297353CC}">
              <c16:uniqueId val="{00000008-4B4B-4BFE-B39A-64B4D246D349}"/>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95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17"/>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9.2114704151059212E-3"/>
          <c:y val="4.9948319838603846E-3"/>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3742140493435628"/>
          <c:w val="0.96393383876116501"/>
          <c:h val="0.79372794933429736"/>
        </c:manualLayout>
      </c:layout>
      <c:barChart>
        <c:barDir val="col"/>
        <c:grouping val="stacked"/>
        <c:varyColors val="0"/>
        <c:ser>
          <c:idx val="0"/>
          <c:order val="0"/>
          <c:tx>
            <c:strRef>
              <c:f>'179T-NR'!$B$27</c:f>
              <c:strCache>
                <c:ptCount val="1"/>
                <c:pt idx="0">
                  <c:v>Grid Electricity</c:v>
                </c:pt>
              </c:strCache>
            </c:strRef>
          </c:tx>
          <c:spPr>
            <a:solidFill>
              <a:srgbClr val="2DCCD3"/>
            </a:solidFill>
            <a:ln>
              <a:noFill/>
            </a:ln>
            <a:effectLst/>
          </c:spPr>
          <c:invertIfNegative val="0"/>
          <c:dLbls>
            <c:dLbl>
              <c:idx val="0"/>
              <c:layout>
                <c:manualLayout>
                  <c:x val="0.10495099707116599"/>
                  <c:y val="-0.3015336854761062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AEAC-4E75-B077-150E51638A9F}"/>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'179T-NR'!$F$27:$P$27</c:f>
              <c:numCache>
                <c:formatCode>0</c:formatCode>
                <c:ptCount val="11"/>
                <c:pt idx="0" formatCode="#,##0_ ;\-#,##0\ ">
                  <c:v>787.43016</c:v>
                </c:pt>
                <c:pt idx="1">
                  <c:v>393.71508</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AEAC-4E75-B077-150E51638A9F}"/>
            </c:ext>
          </c:extLst>
        </c:ser>
        <c:ser>
          <c:idx val="1"/>
          <c:order val="1"/>
          <c:tx>
            <c:strRef>
              <c:f>'179T-NR'!$B$26</c:f>
              <c:strCache>
                <c:ptCount val="1"/>
                <c:pt idx="0">
                  <c:v>Gas</c:v>
                </c:pt>
              </c:strCache>
            </c:strRef>
          </c:tx>
          <c:spPr>
            <a:solidFill>
              <a:srgbClr val="00857D"/>
            </a:solidFill>
            <a:ln>
              <a:solidFill>
                <a:srgbClr val="2DCCD3">
                  <a:alpha val="96000"/>
                </a:srgbClr>
              </a:solidFill>
            </a:ln>
            <a:effectLst/>
          </c:spPr>
          <c:invertIfNegative val="0"/>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'179T-NR'!$F$26:$P$26</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AEAC-4E75-B077-150E51638A9F}"/>
            </c:ext>
          </c:extLst>
        </c:ser>
        <c:ser>
          <c:idx val="2"/>
          <c:order val="2"/>
          <c:tx>
            <c:strRef>
              <c:f>'179T-NR'!$B$25</c:f>
              <c:strCache>
                <c:ptCount val="1"/>
                <c:pt idx="0">
                  <c:v>Scope 3</c:v>
                </c:pt>
              </c:strCache>
            </c:strRef>
          </c:tx>
          <c:spPr>
            <a:solidFill>
              <a:srgbClr val="B8C6D0"/>
            </a:solidFill>
            <a:ln>
              <a:noFill/>
            </a:ln>
            <a:effectLst/>
          </c:spPr>
          <c:invertIfNegative val="0"/>
          <c:dLbls>
            <c:dLbl>
              <c:idx val="0"/>
              <c:layout>
                <c:manualLayout>
                  <c:x val="7.6412073727482682E-2"/>
                  <c:y val="-4.7802627179410639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AEAC-4E75-B077-150E51638A9F}"/>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chemeClr val="tx1">
                          <a:lumMod val="35000"/>
                          <a:lumOff val="65000"/>
                        </a:schemeClr>
                      </a:solidFill>
                      <a:round/>
                    </a:ln>
                    <a:effectLst/>
                  </c:spPr>
                </c15:leaderLines>
              </c:ext>
            </c:extLst>
          </c:dLbls>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'179T-NR'!$F$25:$P$25</c:f>
              <c:numCache>
                <c:formatCode>0</c:formatCode>
                <c:ptCount val="11"/>
                <c:pt idx="0">
                  <c:v>97.845387975000008</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AEAC-4E75-B077-150E51638A9F}"/>
            </c:ext>
          </c:extLst>
        </c:ser>
        <c:ser>
          <c:idx val="6"/>
          <c:order val="3"/>
          <c:tx>
            <c:strRef>
              <c:f>'179T-NR'!$B$21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6-AEAC-4E75-B077-150E51638A9F}"/>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8-AEAC-4E75-B077-150E51638A9F}"/>
              </c:ext>
            </c:extLst>
          </c:dPt>
          <c:dLbls>
            <c:dLbl>
              <c:idx val="1"/>
              <c:layout>
                <c:manualLayout>
                  <c:x val="0.11751800499035951"/>
                  <c:y val="-6.584811970302784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315950502950358"/>
                      <c:h val="7.1963017800873733E-2"/>
                    </c:manualLayout>
                  </c15:layout>
                  <c15:dlblFieldTable/>
                  <c15:showDataLabelsRange val="0"/>
                </c:ext>
                <c:ext xmlns:c16="http://schemas.microsoft.com/office/drawing/2014/chart" uri="{C3380CC4-5D6E-409C-BE32-E72D297353CC}">
                  <c16:uniqueId val="{00000009-AEAC-4E75-B077-150E51638A9F}"/>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A-AEAC-4E75-B077-150E51638A9F}"/>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15875" cap="flat" cmpd="sng" algn="ctr">
                      <a:solidFill>
                        <a:srgbClr val="2DCCD3"/>
                      </a:solidFill>
                      <a:round/>
                    </a:ln>
                    <a:effectLst/>
                  </c:spPr>
                </c15:leaderLines>
              </c:ext>
            </c:extLst>
          </c:dLbls>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'179T-NR'!$F$21:$P$21</c:f>
              <c:numCache>
                <c:formatCode>0</c:formatCode>
                <c:ptCount val="11"/>
                <c:pt idx="0">
                  <c:v>0</c:v>
                </c:pt>
                <c:pt idx="1">
                  <c:v>393.71508</c:v>
                </c:pt>
                <c:pt idx="2">
                  <c:v>550.30630499999995</c:v>
                </c:pt>
                <c:pt idx="3">
                  <c:v>486.77500800000007</c:v>
                </c:pt>
                <c:pt idx="4">
                  <c:v>457.246377</c:v>
                </c:pt>
                <c:pt idx="5">
                  <c:v>411.53497399999998</c:v>
                </c:pt>
                <c:pt idx="6">
                  <c:v>388.48218500000002</c:v>
                </c:pt>
                <c:pt idx="7">
                  <c:v>366.28320300000001</c:v>
                </c:pt>
                <c:pt idx="8">
                  <c:v>344.93802800000003</c:v>
                </c:pt>
                <c:pt idx="9">
                  <c:v>326.15427399999999</c:v>
                </c:pt>
                <c:pt idx="10">
                  <c:v>314.20097600000003</c:v>
                </c:pt>
              </c:numCache>
            </c:numRef>
          </c:val>
          <c:extLst>
            <c:ext xmlns:c16="http://schemas.microsoft.com/office/drawing/2014/chart" uri="{C3380CC4-5D6E-409C-BE32-E72D297353CC}">
              <c16:uniqueId val="{0000000B-AEAC-4E75-B077-150E51638A9F}"/>
            </c:ext>
          </c:extLst>
        </c:ser>
        <c:ser>
          <c:idx val="7"/>
          <c:order val="4"/>
          <c:tx>
            <c:strRef>
              <c:f>'179T-NR'!$B$20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C-AEAC-4E75-B077-150E51638A9F}"/>
                </c:ext>
              </c:extLst>
            </c:dLbl>
            <c:dLbl>
              <c:idx val="1"/>
              <c:delete val="1"/>
              <c:extLst>
                <c:ext xmlns:c15="http://schemas.microsoft.com/office/drawing/2012/chart" uri="{CE6537A1-D6FC-4f65-9D91-7224C49458BB}"/>
                <c:ext xmlns:c16="http://schemas.microsoft.com/office/drawing/2014/chart" uri="{C3380CC4-5D6E-409C-BE32-E72D297353CC}">
                  <c16:uniqueId val="{0000000D-AEAC-4E75-B077-150E51638A9F}"/>
                </c:ext>
              </c:extLst>
            </c:dLbl>
            <c:dLbl>
              <c:idx val="2"/>
              <c:delete val="1"/>
              <c:extLst>
                <c:ext xmlns:c15="http://schemas.microsoft.com/office/drawing/2012/chart" uri="{CE6537A1-D6FC-4f65-9D91-7224C49458BB}"/>
                <c:ext xmlns:c16="http://schemas.microsoft.com/office/drawing/2014/chart" uri="{C3380CC4-5D6E-409C-BE32-E72D297353CC}">
                  <c16:uniqueId val="{0000000E-AEAC-4E75-B077-150E51638A9F}"/>
                </c:ext>
              </c:extLst>
            </c:dLbl>
            <c:dLbl>
              <c:idx val="3"/>
              <c:delete val="1"/>
              <c:extLst>
                <c:ext xmlns:c15="http://schemas.microsoft.com/office/drawing/2012/chart" uri="{CE6537A1-D6FC-4f65-9D91-7224C49458BB}">
                  <c15:layout>
                    <c:manualLayout>
                      <c:w val="0.14810087002139913"/>
                      <c:h val="7.7138654493762907E-2"/>
                    </c:manualLayout>
                  </c15:layout>
                </c:ext>
                <c:ext xmlns:c16="http://schemas.microsoft.com/office/drawing/2014/chart" uri="{C3380CC4-5D6E-409C-BE32-E72D297353CC}">
                  <c16:uniqueId val="{0000000F-AEAC-4E75-B077-150E51638A9F}"/>
                </c:ext>
              </c:extLst>
            </c:dLbl>
            <c:dLbl>
              <c:idx val="4"/>
              <c:delete val="1"/>
              <c:extLst>
                <c:ext xmlns:c15="http://schemas.microsoft.com/office/drawing/2012/chart" uri="{CE6537A1-D6FC-4f65-9D91-7224C49458BB}"/>
                <c:ext xmlns:c16="http://schemas.microsoft.com/office/drawing/2014/chart" uri="{C3380CC4-5D6E-409C-BE32-E72D297353CC}">
                  <c16:uniqueId val="{00000010-AEAC-4E75-B077-150E51638A9F}"/>
                </c:ext>
              </c:extLst>
            </c:dLbl>
            <c:dLbl>
              <c:idx val="5"/>
              <c:layout>
                <c:manualLayout>
                  <c:x val="0.13900913123723338"/>
                  <c:y val="-8.4231335886574318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AEAC-4E75-B077-150E51638A9F}"/>
                </c:ext>
              </c:extLst>
            </c:dLbl>
            <c:dLbl>
              <c:idx val="6"/>
              <c:delete val="1"/>
              <c:extLst>
                <c:ext xmlns:c15="http://schemas.microsoft.com/office/drawing/2012/chart" uri="{CE6537A1-D6FC-4f65-9D91-7224C49458BB}"/>
                <c:ext xmlns:c16="http://schemas.microsoft.com/office/drawing/2014/chart" uri="{C3380CC4-5D6E-409C-BE32-E72D297353CC}">
                  <c16:uniqueId val="{00000012-AEAC-4E75-B077-150E51638A9F}"/>
                </c:ext>
              </c:extLst>
            </c:dLbl>
            <c:dLbl>
              <c:idx val="7"/>
              <c:delete val="1"/>
              <c:extLst>
                <c:ext xmlns:c15="http://schemas.microsoft.com/office/drawing/2012/chart" uri="{CE6537A1-D6FC-4f65-9D91-7224C49458BB}"/>
                <c:ext xmlns:c16="http://schemas.microsoft.com/office/drawing/2014/chart" uri="{C3380CC4-5D6E-409C-BE32-E72D297353CC}">
                  <c16:uniqueId val="{00000013-AEAC-4E75-B077-150E51638A9F}"/>
                </c:ext>
              </c:extLst>
            </c:dLbl>
            <c:dLbl>
              <c:idx val="8"/>
              <c:delete val="1"/>
              <c:extLst>
                <c:ext xmlns:c15="http://schemas.microsoft.com/office/drawing/2012/chart" uri="{CE6537A1-D6FC-4f65-9D91-7224C49458BB}"/>
                <c:ext xmlns:c16="http://schemas.microsoft.com/office/drawing/2014/chart" uri="{C3380CC4-5D6E-409C-BE32-E72D297353CC}">
                  <c16:uniqueId val="{00000014-AEAC-4E75-B077-150E51638A9F}"/>
                </c:ext>
              </c:extLst>
            </c:dLbl>
            <c:dLbl>
              <c:idx val="9"/>
              <c:delete val="1"/>
              <c:extLst>
                <c:ext xmlns:c15="http://schemas.microsoft.com/office/drawing/2012/chart" uri="{CE6537A1-D6FC-4f65-9D91-7224C49458BB}"/>
                <c:ext xmlns:c16="http://schemas.microsoft.com/office/drawing/2014/chart" uri="{C3380CC4-5D6E-409C-BE32-E72D297353CC}">
                  <c16:uniqueId val="{00000015-AEAC-4E75-B077-150E51638A9F}"/>
                </c:ext>
              </c:extLst>
            </c:dLbl>
            <c:dLbl>
              <c:idx val="10"/>
              <c:delete val="1"/>
              <c:extLst>
                <c:ext xmlns:c15="http://schemas.microsoft.com/office/drawing/2012/chart" uri="{CE6537A1-D6FC-4f65-9D91-7224C49458BB}"/>
                <c:ext xmlns:c16="http://schemas.microsoft.com/office/drawing/2014/chart" uri="{C3380CC4-5D6E-409C-BE32-E72D297353CC}">
                  <c16:uniqueId val="{00000016-AEAC-4E75-B077-150E51638A9F}"/>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'179T-NR'!$F$20:$P$20</c:f>
              <c:numCache>
                <c:formatCode>0</c:formatCode>
                <c:ptCount val="11"/>
                <c:pt idx="0">
                  <c:v>0</c:v>
                </c:pt>
                <c:pt idx="1">
                  <c:v>0</c:v>
                </c:pt>
                <c:pt idx="2">
                  <c:v>0</c:v>
                </c:pt>
                <c:pt idx="3">
                  <c:v>0</c:v>
                </c:pt>
                <c:pt idx="4">
                  <c:v>0</c:v>
                </c:pt>
                <c:pt idx="5">
                  <c:v>19.762</c:v>
                </c:pt>
                <c:pt idx="6">
                  <c:v>18.655000000000001</c:v>
                </c:pt>
                <c:pt idx="7">
                  <c:v>17.588999999999999</c:v>
                </c:pt>
                <c:pt idx="8">
                  <c:v>16.564</c:v>
                </c:pt>
                <c:pt idx="9">
                  <c:v>15.662000000000001</c:v>
                </c:pt>
                <c:pt idx="10">
                  <c:v>15.087999999999999</c:v>
                </c:pt>
              </c:numCache>
            </c:numRef>
          </c:val>
          <c:extLst>
            <c:ext xmlns:c16="http://schemas.microsoft.com/office/drawing/2014/chart" uri="{C3380CC4-5D6E-409C-BE32-E72D297353CC}">
              <c16:uniqueId val="{00000017-AEAC-4E75-B077-150E51638A9F}"/>
            </c:ext>
          </c:extLst>
        </c:ser>
        <c:ser>
          <c:idx val="4"/>
          <c:order val="5"/>
          <c:tx>
            <c:strRef>
              <c:f>'179T-NR'!$B$23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9-AEAC-4E75-B077-150E51638A9F}"/>
              </c:ext>
            </c:extLst>
          </c:dPt>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'179T-NR'!$F$23:$P$23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A-AEAC-4E75-B077-150E51638A9F}"/>
            </c:ext>
          </c:extLst>
        </c:ser>
        <c:ser>
          <c:idx val="5"/>
          <c:order val="6"/>
          <c:tx>
            <c:strRef>
              <c:f>'179T-NR'!$B$22</c:f>
              <c:strCache>
                <c:ptCount val="1"/>
                <c:pt idx="0">
                  <c:v>Gas Offsets</c:v>
                </c:pt>
              </c:strCache>
            </c:strRef>
          </c:tx>
          <c:spPr>
            <a:solidFill>
              <a:srgbClr val="00857D">
                <a:alpha val="40000"/>
              </a:srgbClr>
            </a:solidFill>
            <a:ln w="12700">
              <a:solidFill>
                <a:srgbClr val="00857D"/>
              </a:solidFill>
              <a:prstDash val="dash"/>
            </a:ln>
            <a:effectLst/>
          </c:spPr>
          <c:invertIfNegative val="0"/>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'179T-NR'!$F$22:$P$22</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B-AEAC-4E75-B077-150E51638A9F}"/>
            </c:ext>
          </c:extLst>
        </c:ser>
        <c:ser>
          <c:idx val="3"/>
          <c:order val="7"/>
          <c:tx>
            <c:strRef>
              <c:f>'179T-NR'!$B$24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285187631006E-2"/>
                  <c:y val="-9.8895775900278149E-3"/>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C-AEAC-4E75-B077-150E51638A9F}"/>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'179T-NR'!$F$19:$P$19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'179T-NR'!$F$24:$P$24</c:f>
              <c:numCache>
                <c:formatCode>0</c:formatCode>
                <c:ptCount val="11"/>
                <c:pt idx="0">
                  <c:v>0</c:v>
                </c:pt>
                <c:pt idx="1">
                  <c:v>89.570962375000008</c:v>
                </c:pt>
                <c:pt idx="2">
                  <c:v>81.296536775000007</c:v>
                </c:pt>
                <c:pt idx="3">
                  <c:v>73.022111175000006</c:v>
                </c:pt>
                <c:pt idx="4">
                  <c:v>64.747685575000006</c:v>
                </c:pt>
                <c:pt idx="5">
                  <c:v>56.473259975000005</c:v>
                </c:pt>
                <c:pt idx="6">
                  <c:v>48.198834375000004</c:v>
                </c:pt>
                <c:pt idx="7">
                  <c:v>39.924408775000003</c:v>
                </c:pt>
                <c:pt idx="8">
                  <c:v>31.649983174999999</c:v>
                </c:pt>
                <c:pt idx="9">
                  <c:v>23.375557574999998</c:v>
                </c:pt>
                <c:pt idx="10">
                  <c:v>23.375557574999998</c:v>
                </c:pt>
              </c:numCache>
            </c:numRef>
          </c:val>
          <c:extLst>
            <c:ext xmlns:c16="http://schemas.microsoft.com/office/drawing/2014/chart" uri="{C3380CC4-5D6E-409C-BE32-E72D297353CC}">
              <c16:uniqueId val="{0000001D-AEAC-4E75-B077-150E51638A9F}"/>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'179T-NR'!$E$17</c:f>
              <c:strCache>
                <c:ptCount val="1"/>
                <c:pt idx="0">
                  <c:v>kg.CO2-e/m2</c:v>
                </c:pt>
              </c:strCache>
            </c:strRef>
          </c:tx>
          <c:spPr>
            <a:ln w="28575" cap="rnd">
              <a:solidFill>
                <a:srgbClr val="2DCCD3"/>
              </a:solidFill>
              <a:round/>
            </a:ln>
            <a:effectLst/>
          </c:spPr>
          <c:marker>
            <c:symbol val="none"/>
          </c:marker>
          <c:dLbls>
            <c:dLbl>
              <c:idx val="0"/>
              <c:layout>
                <c:manualLayout>
                  <c:x val="-3.6978476752226472E-2"/>
                  <c:y val="-4.0303398669599214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1E-AEAC-4E75-B077-150E51638A9F}"/>
                </c:ext>
              </c:extLst>
            </c:dLbl>
            <c:dLbl>
              <c:idx val="1"/>
              <c:layout>
                <c:manualLayout>
                  <c:x val="-2.8091753934334725E-2"/>
                  <c:y val="-0.106668438528512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AEAC-4E75-B077-150E51638A9F}"/>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'179T-NR'!$F$12:$P$12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'179T-NR'!$F$17:$P$17</c:f>
              <c:numCache>
                <c:formatCode>0.0</c:formatCode>
                <c:ptCount val="11"/>
                <c:pt idx="0">
                  <c:v>35.719639605188831</c:v>
                </c:pt>
                <c:pt idx="1">
                  <c:v>15.885857004519044</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0-AEAC-4E75-B077-150E51638A9F}"/>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88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35.6"/>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'201K-NR'!$E$56</c:f>
              <c:strCache>
                <c:ptCount val="1"/>
                <c:pt idx="0">
                  <c:v>201 Kent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FCF7-4488-9368-5311E2D250F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'201K-NR'!$F$55:$P$55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'201K-NR'!$F$56:$P$56</c:f>
              <c:numCache>
                <c:formatCode>0.00</c:formatCode>
                <c:ptCount val="11"/>
                <c:pt idx="0">
                  <c:v>5.5342721655410259</c:v>
                </c:pt>
                <c:pt idx="1">
                  <c:v>5.5342721655410259</c:v>
                </c:pt>
                <c:pt idx="2">
                  <c:v>5.5546713464728459</c:v>
                </c:pt>
                <c:pt idx="3">
                  <c:v>5.8931708217041399</c:v>
                </c:pt>
                <c:pt idx="4">
                  <c:v>5.8931708217041399</c:v>
                </c:pt>
                <c:pt idx="5">
                  <c:v>5.910170139147322</c:v>
                </c:pt>
                <c:pt idx="6">
                  <c:v>5.910170139147322</c:v>
                </c:pt>
                <c:pt idx="7">
                  <c:v>5.910170139147322</c:v>
                </c:pt>
                <c:pt idx="8">
                  <c:v>5.9478053687578303</c:v>
                </c:pt>
                <c:pt idx="9">
                  <c:v>6.1177985431896591</c:v>
                </c:pt>
                <c:pt idx="10">
                  <c:v>6.4800970628414092</c:v>
                </c:pt>
              </c:numCache>
            </c:numRef>
          </c:val>
          <c:smooth val="0"/>
          <c:extLst>
            <c:ext xmlns:c16="http://schemas.microsoft.com/office/drawing/2014/chart" uri="{C3380CC4-5D6E-409C-BE32-E72D297353CC}">
              <c16:uniqueId val="{00000001-FCF7-4488-9368-5311E2D250FA}"/>
            </c:ext>
          </c:extLst>
        </c:ser>
        <c:ser>
          <c:idx val="1"/>
          <c:order val="1"/>
          <c:tx>
            <c:strRef>
              <c:f>'201K-NR'!$E$57</c:f>
              <c:strCache>
                <c:ptCount val="1"/>
                <c:pt idx="0">
                  <c:v>ICPF</c:v>
                </c:pt>
              </c:strCache>
            </c:strRef>
          </c:tx>
          <c:spPr>
            <a:ln w="28575" cap="rnd">
              <a:solidFill>
                <a:schemeClr val="accent5"/>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FCF7-4488-9368-5311E2D250F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3-FCF7-4488-9368-5311E2D250FA}"/>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2"/>
                <c:order val="2"/>
                <c:tx>
                  <c:strRef>
                    <c:extLst>
                      <c:ext uri="{02D57815-91ED-43cb-92C2-25804820EDAC}">
                        <c15:formulaRef>
                          <c15:sqref>'201K-NR'!$E$58</c15:sqref>
                        </c15:formulaRef>
                      </c:ext>
                    </c:extLst>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6-FCF7-4488-9368-5311E2D250F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'201K-NR'!$F$55:$P$55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'201K-NR'!$F$58:$P$58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7-FCF7-4488-9368-5311E2D250F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'201K-NR'!$E$59</c15:sqref>
                        </c15:formulaRef>
                      </c:ext>
                    </c:extLst>
                    <c:strCache>
                      <c:ptCount val="1"/>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xmlns:c15="http://schemas.microsoft.com/office/drawing/2012/chart">
                      <c:ext xmlns:c15="http://schemas.microsoft.com/office/drawing/2012/chart" uri="{CE6537A1-D6FC-4f65-9D91-7224C49458BB}"/>
                      <c:ext xmlns:c16="http://schemas.microsoft.com/office/drawing/2014/chart" uri="{C3380CC4-5D6E-409C-BE32-E72D297353CC}">
                        <c16:uniqueId val="{00000004-FCF7-4488-9368-5311E2D250F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'201K-NR'!$F$55:$P$55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xmlns:c15="http://schemas.microsoft.com/office/drawing/2012/chart">
                      <c:ext xmlns:c15="http://schemas.microsoft.com/office/drawing/2012/chart" uri="{02D57815-91ED-43cb-92C2-25804820EDAC}">
                        <c15:formulaRef>
                          <c15:sqref>'201K-NR'!$F$59:$P$59</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5-FCF7-4488-9368-5311E2D250FA}"/>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6.5"/>
          <c:min val="5.2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1.1840581928265615E-2"/>
          <c:y val="3.2363790633202306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1.112739478809653E-2"/>
          <c:y val="0.11464720059427319"/>
          <c:w val="0.97475336186809891"/>
          <c:h val="0.81650234003455724"/>
        </c:manualLayout>
      </c:layout>
      <c:barChart>
        <c:barDir val="col"/>
        <c:grouping val="stacked"/>
        <c:varyColors val="0"/>
        <c:ser>
          <c:idx val="0"/>
          <c:order val="0"/>
          <c:tx>
            <c:strRef>
              <c:f>'201K-NR'!$B$27</c:f>
              <c:strCache>
                <c:ptCount val="1"/>
                <c:pt idx="0">
                  <c:v>Grid Electricity</c:v>
                </c:pt>
              </c:strCache>
            </c:strRef>
          </c:tx>
          <c:spPr>
            <a:solidFill>
              <a:srgbClr val="2DCCD3"/>
            </a:solidFill>
            <a:ln>
              <a:noFill/>
            </a:ln>
            <a:effectLst/>
          </c:spPr>
          <c:invertIfNegative val="0"/>
          <c:dLbls>
            <c:dLbl>
              <c:idx val="0"/>
              <c:layout>
                <c:manualLayout>
                  <c:x val="8.4661289259540431E-2"/>
                  <c:y val="-0.1093825338754570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8BD5-44BB-9B9A-A3833A39E0A8}"/>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'201K-NR'!$F$27:$P$27</c:f>
              <c:numCache>
                <c:formatCode>0</c:formatCode>
                <c:ptCount val="11"/>
                <c:pt idx="0" formatCode="#,##0_ ;\-#,##0\ ">
                  <c:v>1202.15248</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8BD5-44BB-9B9A-A3833A39E0A8}"/>
            </c:ext>
          </c:extLst>
        </c:ser>
        <c:ser>
          <c:idx val="1"/>
          <c:order val="1"/>
          <c:tx>
            <c:strRef>
              <c:f>'201K-NR'!$B$26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5.335429772661511E-2"/>
                  <c:y val="-2.7054186705939929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8BD5-44BB-9B9A-A3833A39E0A8}"/>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'201K-NR'!$F$26:$P$26</c:f>
              <c:numCache>
                <c:formatCode>0</c:formatCode>
                <c:ptCount val="11"/>
                <c:pt idx="0">
                  <c:v>77.220951389999996</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BD5-44BB-9B9A-A3833A39E0A8}"/>
            </c:ext>
          </c:extLst>
        </c:ser>
        <c:ser>
          <c:idx val="2"/>
          <c:order val="2"/>
          <c:tx>
            <c:strRef>
              <c:f>'201K-NR'!$B$25</c:f>
              <c:strCache>
                <c:ptCount val="1"/>
                <c:pt idx="0">
                  <c:v>Scope 3</c:v>
                </c:pt>
              </c:strCache>
            </c:strRef>
          </c:tx>
          <c:spPr>
            <a:solidFill>
              <a:srgbClr val="B8C6D0"/>
            </a:solidFill>
            <a:ln>
              <a:noFill/>
            </a:ln>
            <a:effectLst/>
          </c:spPr>
          <c:invertIfNegative val="0"/>
          <c:dLbls>
            <c:dLbl>
              <c:idx val="0"/>
              <c:layout>
                <c:manualLayout>
                  <c:x val="9.8951081358995233E-2"/>
                  <c:y val="-6.6280145644634067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BD5-44BB-9B9A-A3833A39E0A8}"/>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'201K-NR'!$F$25:$P$25</c:f>
              <c:numCache>
                <c:formatCode>0</c:formatCode>
                <c:ptCount val="11"/>
                <c:pt idx="0">
                  <c:v>95.801844534882051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8BD5-44BB-9B9A-A3833A39E0A8}"/>
            </c:ext>
          </c:extLst>
        </c:ser>
        <c:ser>
          <c:idx val="6"/>
          <c:order val="3"/>
          <c:tx>
            <c:strRef>
              <c:f>'201K-NR'!$B$21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8BD5-44BB-9B9A-A3833A39E0A8}"/>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8BD5-44BB-9B9A-A3833A39E0A8}"/>
              </c:ext>
            </c:extLst>
          </c:dPt>
          <c:dLbls>
            <c:dLbl>
              <c:idx val="1"/>
              <c:layout>
                <c:manualLayout>
                  <c:x val="0.11451393623324747"/>
                  <c:y val="1.3964561134928466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4932054356514787"/>
                      <c:h val="9.8103655465494308E-2"/>
                    </c:manualLayout>
                  </c15:layout>
                  <c15:dlblFieldTable/>
                  <c15:showDataLabelsRange val="0"/>
                </c:ext>
                <c:ext xmlns:c16="http://schemas.microsoft.com/office/drawing/2014/chart" uri="{C3380CC4-5D6E-409C-BE32-E72D297353CC}">
                  <c16:uniqueId val="{0000000A-8BD5-44BB-9B9A-A3833A39E0A8}"/>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8BD5-44BB-9B9A-A3833A39E0A8}"/>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'201K-NR'!$F$21:$P$21</c:f>
              <c:numCache>
                <c:formatCode>0</c:formatCode>
                <c:ptCount val="11"/>
                <c:pt idx="0">
                  <c:v>0</c:v>
                </c:pt>
                <c:pt idx="1">
                  <c:v>1106.8503040000001</c:v>
                </c:pt>
                <c:pt idx="2">
                  <c:v>1088.94976</c:v>
                </c:pt>
                <c:pt idx="3">
                  <c:v>673.06334400000003</c:v>
                </c:pt>
                <c:pt idx="4">
                  <c:v>634.42828799999995</c:v>
                </c:pt>
                <c:pt idx="5">
                  <c:v>542.46646400000009</c:v>
                </c:pt>
                <c:pt idx="6">
                  <c:v>456.18752000000001</c:v>
                </c:pt>
                <c:pt idx="7">
                  <c:v>379.82569599999999</c:v>
                </c:pt>
                <c:pt idx="8">
                  <c:v>312.5564</c:v>
                </c:pt>
                <c:pt idx="9">
                  <c:v>58.09305599999999</c:v>
                </c:pt>
                <c:pt idx="10">
                  <c:v>53.251967999999998</c:v>
                </c:pt>
              </c:numCache>
            </c:numRef>
          </c:val>
          <c:extLst>
            <c:ext xmlns:c16="http://schemas.microsoft.com/office/drawing/2014/chart" uri="{C3380CC4-5D6E-409C-BE32-E72D297353CC}">
              <c16:uniqueId val="{0000000C-8BD5-44BB-9B9A-A3833A39E0A8}"/>
            </c:ext>
          </c:extLst>
        </c:ser>
        <c:ser>
          <c:idx val="7"/>
          <c:order val="4"/>
          <c:tx>
            <c:strRef>
              <c:f>'201K-NR'!$B$20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8BD5-44BB-9B9A-A3833A39E0A8}"/>
                </c:ext>
              </c:extLst>
            </c:dLbl>
            <c:dLbl>
              <c:idx val="1"/>
              <c:delete val="1"/>
              <c:extLst>
                <c:ext xmlns:c15="http://schemas.microsoft.com/office/drawing/2012/chart" uri="{CE6537A1-D6FC-4f65-9D91-7224C49458BB}"/>
                <c:ext xmlns:c16="http://schemas.microsoft.com/office/drawing/2014/chart" uri="{C3380CC4-5D6E-409C-BE32-E72D297353CC}">
                  <c16:uniqueId val="{0000000E-8BD5-44BB-9B9A-A3833A39E0A8}"/>
                </c:ext>
              </c:extLst>
            </c:dLbl>
            <c:dLbl>
              <c:idx val="2"/>
              <c:delete val="1"/>
              <c:extLst>
                <c:ext xmlns:c15="http://schemas.microsoft.com/office/drawing/2012/chart" uri="{CE6537A1-D6FC-4f65-9D91-7224C49458BB}"/>
                <c:ext xmlns:c16="http://schemas.microsoft.com/office/drawing/2014/chart" uri="{C3380CC4-5D6E-409C-BE32-E72D297353CC}">
                  <c16:uniqueId val="{0000000F-8BD5-44BB-9B9A-A3833A39E0A8}"/>
                </c:ext>
              </c:extLst>
            </c:dLbl>
            <c:dLbl>
              <c:idx val="3"/>
              <c:layout>
                <c:manualLayout>
                  <c:x val="0.13204578646781892"/>
                  <c:y val="-0.15978230743672733"/>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8BD5-44BB-9B9A-A3833A39E0A8}"/>
                </c:ext>
              </c:extLst>
            </c:dLbl>
            <c:dLbl>
              <c:idx val="4"/>
              <c:delete val="1"/>
              <c:extLst>
                <c:ext xmlns:c15="http://schemas.microsoft.com/office/drawing/2012/chart" uri="{CE6537A1-D6FC-4f65-9D91-7224C49458BB}"/>
                <c:ext xmlns:c16="http://schemas.microsoft.com/office/drawing/2014/chart" uri="{C3380CC4-5D6E-409C-BE32-E72D297353CC}">
                  <c16:uniqueId val="{00000011-8BD5-44BB-9B9A-A3833A39E0A8}"/>
                </c:ext>
              </c:extLst>
            </c:dLbl>
            <c:dLbl>
              <c:idx val="5"/>
              <c:delete val="1"/>
              <c:extLst>
                <c:ext xmlns:c15="http://schemas.microsoft.com/office/drawing/2012/chart" uri="{CE6537A1-D6FC-4f65-9D91-7224C49458BB}"/>
                <c:ext xmlns:c16="http://schemas.microsoft.com/office/drawing/2014/chart" uri="{C3380CC4-5D6E-409C-BE32-E72D297353CC}">
                  <c16:uniqueId val="{00000012-8BD5-44BB-9B9A-A3833A39E0A8}"/>
                </c:ext>
              </c:extLst>
            </c:dLbl>
            <c:dLbl>
              <c:idx val="6"/>
              <c:delete val="1"/>
              <c:extLst>
                <c:ext xmlns:c15="http://schemas.microsoft.com/office/drawing/2012/chart" uri="{CE6537A1-D6FC-4f65-9D91-7224C49458BB}"/>
                <c:ext xmlns:c16="http://schemas.microsoft.com/office/drawing/2014/chart" uri="{C3380CC4-5D6E-409C-BE32-E72D297353CC}">
                  <c16:uniqueId val="{00000013-8BD5-44BB-9B9A-A3833A39E0A8}"/>
                </c:ext>
              </c:extLst>
            </c:dLbl>
            <c:dLbl>
              <c:idx val="7"/>
              <c:delete val="1"/>
              <c:extLst>
                <c:ext xmlns:c15="http://schemas.microsoft.com/office/drawing/2012/chart" uri="{CE6537A1-D6FC-4f65-9D91-7224C49458BB}"/>
                <c:ext xmlns:c16="http://schemas.microsoft.com/office/drawing/2014/chart" uri="{C3380CC4-5D6E-409C-BE32-E72D297353CC}">
                  <c16:uniqueId val="{00000014-8BD5-44BB-9B9A-A3833A39E0A8}"/>
                </c:ext>
              </c:extLst>
            </c:dLbl>
            <c:dLbl>
              <c:idx val="8"/>
              <c:delete val="1"/>
              <c:extLst>
                <c:ext xmlns:c15="http://schemas.microsoft.com/office/drawing/2012/chart" uri="{CE6537A1-D6FC-4f65-9D91-7224C49458BB}"/>
                <c:ext xmlns:c16="http://schemas.microsoft.com/office/drawing/2014/chart" uri="{C3380CC4-5D6E-409C-BE32-E72D297353CC}">
                  <c16:uniqueId val="{00000015-8BD5-44BB-9B9A-A3833A39E0A8}"/>
                </c:ext>
              </c:extLst>
            </c:dLbl>
            <c:dLbl>
              <c:idx val="9"/>
              <c:delete val="1"/>
              <c:extLst>
                <c:ext xmlns:c15="http://schemas.microsoft.com/office/drawing/2012/chart" uri="{CE6537A1-D6FC-4f65-9D91-7224C49458BB}"/>
                <c:ext xmlns:c16="http://schemas.microsoft.com/office/drawing/2014/chart" uri="{C3380CC4-5D6E-409C-BE32-E72D297353CC}">
                  <c16:uniqueId val="{00000016-8BD5-44BB-9B9A-A3833A39E0A8}"/>
                </c:ext>
              </c:extLst>
            </c:dLbl>
            <c:dLbl>
              <c:idx val="10"/>
              <c:delete val="1"/>
              <c:extLst>
                <c:ext xmlns:c15="http://schemas.microsoft.com/office/drawing/2012/chart" uri="{CE6537A1-D6FC-4f65-9D91-7224C49458BB}"/>
                <c:ext xmlns:c16="http://schemas.microsoft.com/office/drawing/2014/chart" uri="{C3380CC4-5D6E-409C-BE32-E72D297353CC}">
                  <c16:uniqueId val="{00000017-8BD5-44BB-9B9A-A3833A39E0A8}"/>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'201K-NR'!$F$20:$P$20</c:f>
              <c:numCache>
                <c:formatCode>0</c:formatCode>
                <c:ptCount val="11"/>
                <c:pt idx="0">
                  <c:v>0</c:v>
                </c:pt>
                <c:pt idx="1">
                  <c:v>22.259999999999998</c:v>
                </c:pt>
                <c:pt idx="2">
                  <c:v>21.9</c:v>
                </c:pt>
                <c:pt idx="3">
                  <c:v>334.31</c:v>
                </c:pt>
                <c:pt idx="4">
                  <c:v>315.12</c:v>
                </c:pt>
                <c:pt idx="5">
                  <c:v>289.91000000000003</c:v>
                </c:pt>
                <c:pt idx="6">
                  <c:v>243.8</c:v>
                </c:pt>
                <c:pt idx="7">
                  <c:v>202.99</c:v>
                </c:pt>
                <c:pt idx="8">
                  <c:v>182</c:v>
                </c:pt>
                <c:pt idx="9">
                  <c:v>380.15999999999997</c:v>
                </c:pt>
                <c:pt idx="10">
                  <c:v>348.48</c:v>
                </c:pt>
              </c:numCache>
            </c:numRef>
          </c:val>
          <c:extLst>
            <c:ext xmlns:c16="http://schemas.microsoft.com/office/drawing/2014/chart" uri="{C3380CC4-5D6E-409C-BE32-E72D297353CC}">
              <c16:uniqueId val="{00000018-8BD5-44BB-9B9A-A3833A39E0A8}"/>
            </c:ext>
          </c:extLst>
        </c:ser>
        <c:ser>
          <c:idx val="4"/>
          <c:order val="5"/>
          <c:tx>
            <c:strRef>
              <c:f>'201K-NR'!$B$23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8BD5-44BB-9B9A-A3833A39E0A8}"/>
              </c:ext>
            </c:extLst>
          </c:dPt>
          <c:dLbls>
            <c:dLbl>
              <c:idx val="4"/>
              <c:layout>
                <c:manualLayout>
                  <c:x val="0.17893620282205411"/>
                  <c:y val="-4.3766160248493113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13144614285418715"/>
                      <c:h val="8.5441384631637099E-2"/>
                    </c:manualLayout>
                  </c15:layout>
                </c:ext>
                <c:ext xmlns:c16="http://schemas.microsoft.com/office/drawing/2014/chart" uri="{C3380CC4-5D6E-409C-BE32-E72D297353CC}">
                  <c16:uniqueId val="{0000001B-8BD5-44BB-9B9A-A3833A39E0A8}"/>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rgbClr val="00857D"/>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'201K-NR'!$F$23:$P$23</c:f>
              <c:numCache>
                <c:formatCode>0</c:formatCode>
                <c:ptCount val="11"/>
                <c:pt idx="0">
                  <c:v>0</c:v>
                </c:pt>
                <c:pt idx="1">
                  <c:v>0</c:v>
                </c:pt>
                <c:pt idx="2">
                  <c:v>0</c:v>
                </c:pt>
                <c:pt idx="3">
                  <c:v>18.550799999999999</c:v>
                </c:pt>
                <c:pt idx="4">
                  <c:v>18.550799999999999</c:v>
                </c:pt>
                <c:pt idx="5">
                  <c:v>18.550799999999999</c:v>
                </c:pt>
                <c:pt idx="6">
                  <c:v>18.550799999999999</c:v>
                </c:pt>
                <c:pt idx="7">
                  <c:v>18.550799999999999</c:v>
                </c:pt>
                <c:pt idx="8">
                  <c:v>39.162800000000004</c:v>
                </c:pt>
                <c:pt idx="9">
                  <c:v>39.162800000000004</c:v>
                </c:pt>
                <c:pt idx="10">
                  <c:v>57.7136</c:v>
                </c:pt>
              </c:numCache>
            </c:numRef>
          </c:val>
          <c:extLst>
            <c:ext xmlns:c16="http://schemas.microsoft.com/office/drawing/2014/chart" uri="{C3380CC4-5D6E-409C-BE32-E72D297353CC}">
              <c16:uniqueId val="{0000001C-8BD5-44BB-9B9A-A3833A39E0A8}"/>
            </c:ext>
          </c:extLst>
        </c:ser>
        <c:ser>
          <c:idx val="5"/>
          <c:order val="6"/>
          <c:tx>
            <c:strRef>
              <c:f>'201K-NR'!$B$22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7.7410040163393992E-2"/>
                  <c:y val="-4.8176319168840825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8BD5-44BB-9B9A-A3833A39E0A8}"/>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'201K-NR'!$F$22:$P$22</c:f>
              <c:numCache>
                <c:formatCode>0</c:formatCode>
                <c:ptCount val="11"/>
                <c:pt idx="0">
                  <c:v>0</c:v>
                </c:pt>
                <c:pt idx="1">
                  <c:v>77.220951389999996</c:v>
                </c:pt>
                <c:pt idx="2">
                  <c:v>77.220951389999996</c:v>
                </c:pt>
                <c:pt idx="3">
                  <c:v>58.670151390000008</c:v>
                </c:pt>
                <c:pt idx="4">
                  <c:v>58.670151390000008</c:v>
                </c:pt>
                <c:pt idx="5">
                  <c:v>58.670151390000008</c:v>
                </c:pt>
                <c:pt idx="6">
                  <c:v>58.670151390000008</c:v>
                </c:pt>
                <c:pt idx="7">
                  <c:v>58.670151390000008</c:v>
                </c:pt>
                <c:pt idx="8">
                  <c:v>38.058151390000006</c:v>
                </c:pt>
                <c:pt idx="9">
                  <c:v>38.058151390000006</c:v>
                </c:pt>
                <c:pt idx="10">
                  <c:v>19.507351390000007</c:v>
                </c:pt>
              </c:numCache>
            </c:numRef>
          </c:val>
          <c:extLst>
            <c:ext xmlns:c16="http://schemas.microsoft.com/office/drawing/2014/chart" uri="{C3380CC4-5D6E-409C-BE32-E72D297353CC}">
              <c16:uniqueId val="{0000001E-8BD5-44BB-9B9A-A3833A39E0A8}"/>
            </c:ext>
          </c:extLst>
        </c:ser>
        <c:ser>
          <c:idx val="3"/>
          <c:order val="7"/>
          <c:tx>
            <c:strRef>
              <c:f>'201K-NR'!$B$24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8BD5-44BB-9B9A-A3833A39E0A8}"/>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'201K-NR'!$F$19:$P$19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'201K-NR'!$F$24:$P$24</c:f>
              <c:numCache>
                <c:formatCode>0</c:formatCode>
                <c:ptCount val="11"/>
                <c:pt idx="0">
                  <c:v>0</c:v>
                </c:pt>
                <c:pt idx="1">
                  <c:v>88.900793189339595</c:v>
                </c:pt>
                <c:pt idx="2">
                  <c:v>81.999741843797153</c:v>
                </c:pt>
                <c:pt idx="3">
                  <c:v>75.098690498254712</c:v>
                </c:pt>
                <c:pt idx="4">
                  <c:v>68.197639152712256</c:v>
                </c:pt>
                <c:pt idx="5">
                  <c:v>61.296587807169807</c:v>
                </c:pt>
                <c:pt idx="6">
                  <c:v>54.395536461627358</c:v>
                </c:pt>
                <c:pt idx="7">
                  <c:v>47.49448511608491</c:v>
                </c:pt>
                <c:pt idx="8">
                  <c:v>40.593433770542461</c:v>
                </c:pt>
                <c:pt idx="9">
                  <c:v>33.692382425000005</c:v>
                </c:pt>
                <c:pt idx="10">
                  <c:v>33.692382424999998</c:v>
                </c:pt>
              </c:numCache>
            </c:numRef>
          </c:val>
          <c:extLst>
            <c:ext xmlns:c16="http://schemas.microsoft.com/office/drawing/2014/chart" uri="{C3380CC4-5D6E-409C-BE32-E72D297353CC}">
              <c16:uniqueId val="{00000020-8BD5-44BB-9B9A-A3833A39E0A8}"/>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'201K-NR'!$E$17</c:f>
              <c:strCache>
                <c:ptCount val="1"/>
                <c:pt idx="0">
                  <c:v>kg.CO2-e/m2</c:v>
                </c:pt>
              </c:strCache>
            </c:strRef>
          </c:tx>
          <c:spPr>
            <a:ln w="28575" cap="rnd">
              <a:solidFill>
                <a:srgbClr val="2DCCD3"/>
              </a:solidFill>
              <a:round/>
            </a:ln>
            <a:effectLst/>
          </c:spPr>
          <c:marker>
            <c:symbol val="none"/>
          </c:marker>
          <c:dLbls>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BD5-44BB-9B9A-A3833A39E0A8}"/>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'201K-NR'!$F$12:$P$12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'201K-NR'!$F$17:$P$17</c:f>
              <c:numCache>
                <c:formatCode>0.0</c:formatCode>
                <c:ptCount val="11"/>
                <c:pt idx="0">
                  <c:v>35.209444553470114</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8BD5-44BB-9B9A-A3833A39E0A8}"/>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49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37.5"/>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2"/>
          <c:order val="2"/>
          <c:tx>
            <c:strRef>
              <c:f>'201K-NR'!$E$50</c:f>
              <c:strCache>
                <c:ptCount val="1"/>
                <c:pt idx="0">
                  <c:v>TOTAL SAVINGS ($)</c:v>
                </c:pt>
              </c:strCache>
            </c:strRef>
          </c:tx>
          <c:spPr>
            <a:solidFill>
              <a:srgbClr val="0085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'201K-NR'!$F$51:$P$51</c:f>
              <c:numCache>
                <c:formatCode>"$"#,##0</c:formatCode>
                <c:ptCount val="11"/>
                <c:pt idx="0">
                  <c:v>0</c:v>
                </c:pt>
                <c:pt idx="1">
                  <c:v>9912.8406927641481</c:v>
                </c:pt>
                <c:pt idx="2">
                  <c:v>10259.79011701094</c:v>
                </c:pt>
                <c:pt idx="3">
                  <c:v>189427.70078535745</c:v>
                </c:pt>
                <c:pt idx="4">
                  <c:v>195970.89633548621</c:v>
                </c:pt>
                <c:pt idx="5">
                  <c:v>212221.01312468079</c:v>
                </c:pt>
                <c:pt idx="6">
                  <c:v>219559.06253327668</c:v>
                </c:pt>
                <c:pt idx="7">
                  <c:v>227152.42179005052</c:v>
                </c:pt>
                <c:pt idx="8">
                  <c:v>298708.19528978568</c:v>
                </c:pt>
                <c:pt idx="9">
                  <c:v>692365.52439198736</c:v>
                </c:pt>
                <c:pt idx="10">
                  <c:v>729270.43598629022</c:v>
                </c:pt>
              </c:numCache>
            </c:numRef>
          </c:val>
          <c:extLst>
            <c:ext xmlns:c16="http://schemas.microsoft.com/office/drawing/2014/chart" uri="{C3380CC4-5D6E-409C-BE32-E72D297353CC}">
              <c16:uniqueId val="{00000000-983C-40B3-8137-51F90B198AFD}"/>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83C-40B3-8137-51F90B198AFD}"/>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'201K-NR'!$F$6:$P$6</c:f>
              <c:numCache>
                <c:formatCode>#,##0_ ;\-#,##0\ </c:formatCode>
                <c:ptCount val="11"/>
                <c:pt idx="0">
                  <c:v>1521.712</c:v>
                </c:pt>
                <c:pt idx="1">
                  <c:v>1491.712</c:v>
                </c:pt>
                <c:pt idx="2">
                  <c:v>1491.712</c:v>
                </c:pt>
                <c:pt idx="3">
                  <c:v>1016.712</c:v>
                </c:pt>
                <c:pt idx="4">
                  <c:v>1016.712</c:v>
                </c:pt>
                <c:pt idx="5">
                  <c:v>991.71199999999999</c:v>
                </c:pt>
                <c:pt idx="6">
                  <c:v>991.71199999999999</c:v>
                </c:pt>
                <c:pt idx="7">
                  <c:v>991.71199999999999</c:v>
                </c:pt>
                <c:pt idx="8">
                  <c:v>961.71199999999999</c:v>
                </c:pt>
                <c:pt idx="9">
                  <c:v>201.71199999999999</c:v>
                </c:pt>
                <c:pt idx="10">
                  <c:v>201.71199999999999</c:v>
                </c:pt>
              </c:numCache>
            </c:numRef>
          </c:val>
          <c:smooth val="0"/>
          <c:extLst>
            <c:ext xmlns:c16="http://schemas.microsoft.com/office/drawing/2014/chart" uri="{C3380CC4-5D6E-409C-BE32-E72D297353CC}">
              <c16:uniqueId val="{00000002-983C-40B3-8137-51F90B198AFD}"/>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numFmt formatCode="&quot;$&quot;#,###\ &quot;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15:layout>
                    <c:manualLayout>
                      <c:w val="0.22225241703684342"/>
                      <c:h val="0.1324966706743661"/>
                    </c:manualLayout>
                  </c15:layout>
                </c:ext>
                <c:ext xmlns:c16="http://schemas.microsoft.com/office/drawing/2014/chart" uri="{C3380CC4-5D6E-409C-BE32-E72D297353CC}">
                  <c16:uniqueId val="{00000003-983C-40B3-8137-51F90B198AFD}"/>
                </c:ext>
              </c:extLst>
            </c:dLbl>
            <c:dLbl>
              <c:idx val="10"/>
              <c:layout>
                <c:manualLayout>
                  <c:x val="-8.2702491931617265E-4"/>
                  <c:y val="-8.539041864676078E-2"/>
                </c:manualLayout>
              </c:layout>
              <c:numFmt formatCode="&quot;$&quot;#,###\ &quot;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4-983C-40B3-8137-51F90B198AFD}"/>
                </c:ext>
              </c:extLst>
            </c:dLbl>
            <c:numFmt formatCode="&quot;$&quot;#,###\ &quot;p.a.&quot;" sourceLinked="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'201K-NR'!$F$30:$P$30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'201K-NR'!$F$36:$P$36</c:f>
              <c:numCache>
                <c:formatCode>_-"$"* #,##0_-;\-"$"* #,##0_-;_-"$"* "-"??_-;_-@_-</c:formatCode>
                <c:ptCount val="11"/>
                <c:pt idx="0">
                  <c:v>528685.40480000002</c:v>
                </c:pt>
                <c:pt idx="1">
                  <c:v>540340.62914856349</c:v>
                </c:pt>
                <c:pt idx="2">
                  <c:v>568618.17105642613</c:v>
                </c:pt>
                <c:pt idx="3">
                  <c:v>587578.13014932175</c:v>
                </c:pt>
                <c:pt idx="4">
                  <c:v>607210.38250756753</c:v>
                </c:pt>
                <c:pt idx="5">
                  <c:v>627538.28447012906</c:v>
                </c:pt>
                <c:pt idx="6">
                  <c:v>648586.004630076</c:v>
                </c:pt>
                <c:pt idx="7">
                  <c:v>670378.55210694287</c:v>
                </c:pt>
                <c:pt idx="8">
                  <c:v>794926.58981116069</c:v>
                </c:pt>
                <c:pt idx="9">
                  <c:v>821856.79613173695</c:v>
                </c:pt>
                <c:pt idx="10">
                  <c:v>850151.19243109424</c:v>
                </c:pt>
              </c:numCache>
            </c:numRef>
          </c:val>
          <c:smooth val="0"/>
          <c:extLst>
            <c:ext xmlns:c16="http://schemas.microsoft.com/office/drawing/2014/chart" uri="{C3380CC4-5D6E-409C-BE32-E72D297353CC}">
              <c16:uniqueId val="{00000005-983C-40B3-8137-51F90B198AFD}"/>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8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10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81869283754849"/>
          <c:y val="0.10440462433187489"/>
          <c:w val="0.60825946185279822"/>
          <c:h val="0.79119070116235468"/>
        </c:manualLayout>
      </c:layout>
      <c:doughnutChart>
        <c:varyColors val="1"/>
        <c:ser>
          <c:idx val="0"/>
          <c:order val="0"/>
          <c:dPt>
            <c:idx val="0"/>
            <c:bubble3D val="0"/>
            <c:spPr>
              <a:pattFill prst="wdUpDiag">
                <a:fgClr>
                  <a:schemeClr val="accent6">
                    <a:lumMod val="60000"/>
                    <a:lumOff val="40000"/>
                  </a:schemeClr>
                </a:fgClr>
                <a:bgClr>
                  <a:schemeClr val="bg1"/>
                </a:bgClr>
              </a:pattFill>
              <a:ln w="9525">
                <a:solidFill>
                  <a:srgbClr val="2DCCD3"/>
                </a:solidFill>
                <a:prstDash val="dash"/>
              </a:ln>
              <a:effectLst/>
            </c:spPr>
            <c:extLst>
              <c:ext xmlns:c16="http://schemas.microsoft.com/office/drawing/2014/chart" uri="{C3380CC4-5D6E-409C-BE32-E72D297353CC}">
                <c16:uniqueId val="{00000001-FDB0-418F-8D7C-440869733AFB}"/>
              </c:ext>
            </c:extLst>
          </c:dPt>
          <c:dPt>
            <c:idx val="1"/>
            <c:bubble3D val="0"/>
            <c:spPr>
              <a:solidFill>
                <a:schemeClr val="accent2">
                  <a:alpha val="22000"/>
                </a:schemeClr>
              </a:solidFill>
              <a:ln w="12700">
                <a:solidFill>
                  <a:srgbClr val="2DCCD3"/>
                </a:solidFill>
                <a:prstDash val="dash"/>
              </a:ln>
              <a:effectLst/>
            </c:spPr>
            <c:extLst>
              <c:ext xmlns:c16="http://schemas.microsoft.com/office/drawing/2014/chart" uri="{C3380CC4-5D6E-409C-BE32-E72D297353CC}">
                <c16:uniqueId val="{00000003-FDB0-418F-8D7C-440869733AFB}"/>
              </c:ext>
            </c:extLst>
          </c:dPt>
          <c:dPt>
            <c:idx val="2"/>
            <c:bubble3D val="0"/>
            <c:spPr>
              <a:solidFill>
                <a:schemeClr val="accent5">
                  <a:alpha val="46000"/>
                </a:schemeClr>
              </a:solidFill>
              <a:ln w="19050">
                <a:solidFill>
                  <a:schemeClr val="lt1"/>
                </a:solidFill>
              </a:ln>
              <a:effectLst/>
            </c:spPr>
            <c:extLst>
              <c:ext xmlns:c16="http://schemas.microsoft.com/office/drawing/2014/chart" uri="{C3380CC4-5D6E-409C-BE32-E72D297353CC}">
                <c16:uniqueId val="{00000005-FDB0-418F-8D7C-440869733AFB}"/>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FDB0-418F-8D7C-440869733AFB}"/>
              </c:ext>
            </c:extLst>
          </c:dPt>
          <c:dPt>
            <c:idx val="4"/>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9-FDB0-418F-8D7C-440869733AFB}"/>
              </c:ext>
            </c:extLst>
          </c:dPt>
          <c:dLbls>
            <c:dLbl>
              <c:idx val="0"/>
              <c:layout>
                <c:manualLayout>
                  <c:x val="0.21111111111111111"/>
                  <c:y val="-8.7962962962962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DB0-418F-8D7C-440869733AFB}"/>
                </c:ext>
              </c:extLst>
            </c:dLbl>
            <c:dLbl>
              <c:idx val="1"/>
              <c:layout>
                <c:manualLayout>
                  <c:x val="-0.16197486374956024"/>
                  <c:y val="-0.23596481266607516"/>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6769855517842748"/>
                      <c:h val="0.10310895445909703"/>
                    </c:manualLayout>
                  </c15:layout>
                </c:ext>
                <c:ext xmlns:c16="http://schemas.microsoft.com/office/drawing/2014/chart" uri="{C3380CC4-5D6E-409C-BE32-E72D297353CC}">
                  <c16:uniqueId val="{00000003-FDB0-418F-8D7C-440869733AFB}"/>
                </c:ext>
              </c:extLst>
            </c:dLbl>
            <c:dLbl>
              <c:idx val="2"/>
              <c:layout>
                <c:manualLayout>
                  <c:x val="0.17030140887321976"/>
                  <c:y val="-0.177429621297337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DB0-418F-8D7C-440869733AFB}"/>
                </c:ext>
              </c:extLst>
            </c:dLbl>
            <c:dLbl>
              <c:idx val="3"/>
              <c:layout>
                <c:manualLayout>
                  <c:x val="0.19954883736248089"/>
                  <c:y val="-0.1362163466091823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DB0-418F-8D7C-440869733AFB}"/>
                </c:ext>
              </c:extLst>
            </c:dLbl>
            <c:dLbl>
              <c:idx val="4"/>
              <c:layout>
                <c:manualLayout>
                  <c:x val="0.18358493037348253"/>
                  <c:y val="-8.48139516623210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DB0-418F-8D7C-440869733AFB}"/>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'1M-DUMMY'!$B$20:$B$24</c:f>
              <c:strCache>
                <c:ptCount val="5"/>
                <c:pt idx="0">
                  <c:v>Energy Efficiency</c:v>
                </c:pt>
                <c:pt idx="1">
                  <c:v>Renewable Electricity</c:v>
                </c:pt>
                <c:pt idx="2">
                  <c:v>Gas Offsets</c:v>
                </c:pt>
                <c:pt idx="3">
                  <c:v>Electrification</c:v>
                </c:pt>
                <c:pt idx="4">
                  <c:v>Scope 3 Offsets</c:v>
                </c:pt>
              </c:strCache>
            </c:strRef>
          </c:cat>
          <c:val>
            <c:numRef>
              <c:f>'1M-DUMMY'!$Q$20:$Q$24</c:f>
              <c:numCache>
                <c:formatCode>0</c:formatCode>
                <c:ptCount val="5"/>
                <c:pt idx="0">
                  <c:v>2344.39</c:v>
                </c:pt>
                <c:pt idx="1">
                  <c:v>6825.2802500000007</c:v>
                </c:pt>
                <c:pt idx="2">
                  <c:v>543.53380229999993</c:v>
                </c:pt>
                <c:pt idx="3">
                  <c:v>288.56800000000004</c:v>
                </c:pt>
                <c:pt idx="4">
                  <c:v>408.54706356700223</c:v>
                </c:pt>
              </c:numCache>
            </c:numRef>
          </c:val>
          <c:extLst>
            <c:ext xmlns:c16="http://schemas.microsoft.com/office/drawing/2014/chart" uri="{C3380CC4-5D6E-409C-BE32-E72D297353CC}">
              <c16:uniqueId val="{0000000A-FDB0-418F-8D7C-440869733AFB}"/>
            </c:ext>
          </c:extLst>
        </c:ser>
        <c:dLbls>
          <c:showLegendKey val="0"/>
          <c:showVal val="0"/>
          <c:showCatName val="0"/>
          <c:showSerName val="0"/>
          <c:showPercent val="0"/>
          <c:showBubbleSize val="0"/>
          <c:showLeaderLines val="1"/>
        </c:dLbls>
        <c:firstSliceAng val="9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8.723998960159806E-3"/>
          <c:y val="1.8122683398356727E-3"/>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2470849822769281E-2"/>
          <c:y val="0.10545786768684476"/>
          <c:w val="0.96340992407767989"/>
          <c:h val="0.82569191080874571"/>
        </c:manualLayout>
      </c:layout>
      <c:barChart>
        <c:barDir val="col"/>
        <c:grouping val="stacked"/>
        <c:varyColors val="0"/>
        <c:ser>
          <c:idx val="0"/>
          <c:order val="0"/>
          <c:tx>
            <c:strRef>
              <c:f>'220L-NR'!$B$27</c:f>
              <c:strCache>
                <c:ptCount val="1"/>
                <c:pt idx="0">
                  <c:v>Grid Electricity</c:v>
                </c:pt>
              </c:strCache>
            </c:strRef>
          </c:tx>
          <c:spPr>
            <a:solidFill>
              <a:srgbClr val="2DCCD3"/>
            </a:solidFill>
            <a:ln>
              <a:noFill/>
            </a:ln>
            <a:effectLst/>
          </c:spPr>
          <c:invertIfNegative val="0"/>
          <c:dLbls>
            <c:dLbl>
              <c:idx val="0"/>
              <c:layout>
                <c:manualLayout>
                  <c:x val="9.2541751146259454E-2"/>
                  <c:y val="-0.10324342536501044"/>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D20D-462F-AF65-BAA018268B64}"/>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'220L-NR'!$F$27:$P$27</c:f>
              <c:numCache>
                <c:formatCode>0</c:formatCode>
                <c:ptCount val="11"/>
                <c:pt idx="0" formatCode="#,##0_ ;\-#,##0\ ">
                  <c:v>878.43892000000017</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D20D-462F-AF65-BAA018268B64}"/>
            </c:ext>
          </c:extLst>
        </c:ser>
        <c:ser>
          <c:idx val="1"/>
          <c:order val="1"/>
          <c:tx>
            <c:strRef>
              <c:f>'220L-NR'!$B$26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5.2506592222907746E-2"/>
                  <c:y val="-2.743363492651902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D20D-462F-AF65-BAA018268B64}"/>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'220L-NR'!$F$26:$P$26</c:f>
              <c:numCache>
                <c:formatCode>0</c:formatCode>
                <c:ptCount val="11"/>
                <c:pt idx="0">
                  <c:v>254.29544852999999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D20D-462F-AF65-BAA018268B64}"/>
            </c:ext>
          </c:extLst>
        </c:ser>
        <c:ser>
          <c:idx val="2"/>
          <c:order val="2"/>
          <c:tx>
            <c:strRef>
              <c:f>'220L-NR'!$B$25</c:f>
              <c:strCache>
                <c:ptCount val="1"/>
                <c:pt idx="0">
                  <c:v>Scope 3</c:v>
                </c:pt>
              </c:strCache>
            </c:strRef>
          </c:tx>
          <c:spPr>
            <a:solidFill>
              <a:srgbClr val="B8C6D0"/>
            </a:solidFill>
            <a:ln>
              <a:noFill/>
            </a:ln>
            <a:effectLst/>
          </c:spPr>
          <c:invertIfNegative val="0"/>
          <c:dLbls>
            <c:dLbl>
              <c:idx val="0"/>
              <c:layout>
                <c:manualLayout>
                  <c:x val="7.0465252459753977E-2"/>
                  <c:y val="-4.281869347712189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D20D-462F-AF65-BAA018268B64}"/>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'220L-NR'!$F$25:$P$25</c:f>
              <c:numCache>
                <c:formatCode>0</c:formatCode>
                <c:ptCount val="11"/>
                <c:pt idx="0">
                  <c:v>43.59746813872124</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D20D-462F-AF65-BAA018268B64}"/>
            </c:ext>
          </c:extLst>
        </c:ser>
        <c:ser>
          <c:idx val="6"/>
          <c:order val="3"/>
          <c:tx>
            <c:strRef>
              <c:f>'220L-NR'!$B$21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D20D-462F-AF65-BAA018268B64}"/>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D20D-462F-AF65-BAA018268B64}"/>
              </c:ext>
            </c:extLst>
          </c:dPt>
          <c:dLbls>
            <c:dLbl>
              <c:idx val="1"/>
              <c:layout>
                <c:manualLayout>
                  <c:x val="0.16527143412945969"/>
                  <c:y val="-0.10081241771847109"/>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34701652095678"/>
                      <c:h val="5.8544328819902854E-2"/>
                    </c:manualLayout>
                  </c15:layout>
                  <c15:dlblFieldTable/>
                  <c15:showDataLabelsRange val="0"/>
                </c:ext>
                <c:ext xmlns:c16="http://schemas.microsoft.com/office/drawing/2014/chart" uri="{C3380CC4-5D6E-409C-BE32-E72D297353CC}">
                  <c16:uniqueId val="{0000000A-D20D-462F-AF65-BAA018268B64}"/>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D20D-462F-AF65-BAA018268B64}"/>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'220L-NR'!$F$21:$P$21</c:f>
              <c:numCache>
                <c:formatCode>0</c:formatCode>
                <c:ptCount val="11"/>
                <c:pt idx="0">
                  <c:v>0</c:v>
                </c:pt>
                <c:pt idx="1">
                  <c:v>825.06541600000003</c:v>
                </c:pt>
                <c:pt idx="2">
                  <c:v>811.72203999999999</c:v>
                </c:pt>
                <c:pt idx="3">
                  <c:v>736.10957600000006</c:v>
                </c:pt>
                <c:pt idx="4">
                  <c:v>693.8555520000001</c:v>
                </c:pt>
                <c:pt idx="5">
                  <c:v>608.23555600000009</c:v>
                </c:pt>
                <c:pt idx="6">
                  <c:v>511.49608000000006</c:v>
                </c:pt>
                <c:pt idx="7">
                  <c:v>425.87608400000005</c:v>
                </c:pt>
                <c:pt idx="8">
                  <c:v>361.38310000000007</c:v>
                </c:pt>
                <c:pt idx="9">
                  <c:v>320.24102399999998</c:v>
                </c:pt>
                <c:pt idx="10">
                  <c:v>293.55427200000003</c:v>
                </c:pt>
              </c:numCache>
            </c:numRef>
          </c:val>
          <c:extLst>
            <c:ext xmlns:c16="http://schemas.microsoft.com/office/drawing/2014/chart" uri="{C3380CC4-5D6E-409C-BE32-E72D297353CC}">
              <c16:uniqueId val="{0000000C-D20D-462F-AF65-BAA018268B64}"/>
            </c:ext>
          </c:extLst>
        </c:ser>
        <c:ser>
          <c:idx val="7"/>
          <c:order val="4"/>
          <c:tx>
            <c:strRef>
              <c:f>'220L-NR'!$B$20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'220L-NR'!$F$20:$P$20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8-D20D-462F-AF65-BAA018268B64}"/>
            </c:ext>
          </c:extLst>
        </c:ser>
        <c:ser>
          <c:idx val="4"/>
          <c:order val="5"/>
          <c:tx>
            <c:strRef>
              <c:f>'220L-NR'!$B$23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D20D-462F-AF65-BAA018268B64}"/>
              </c:ext>
            </c:extLst>
          </c:dPt>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'220L-NR'!$F$23:$P$23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C-D20D-462F-AF65-BAA018268B64}"/>
            </c:ext>
          </c:extLst>
        </c:ser>
        <c:ser>
          <c:idx val="5"/>
          <c:order val="6"/>
          <c:tx>
            <c:strRef>
              <c:f>'220L-NR'!$B$22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0.11944238172952004"/>
                  <c:y val="-0.11276337694831751"/>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D20D-462F-AF65-BAA018268B64}"/>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'220L-NR'!$F$22:$P$22</c:f>
              <c:numCache>
                <c:formatCode>0</c:formatCode>
                <c:ptCount val="11"/>
                <c:pt idx="0">
                  <c:v>0</c:v>
                </c:pt>
                <c:pt idx="1">
                  <c:v>254.29544852999999</c:v>
                </c:pt>
                <c:pt idx="2">
                  <c:v>254.29544852999999</c:v>
                </c:pt>
                <c:pt idx="3">
                  <c:v>254.29544852999999</c:v>
                </c:pt>
                <c:pt idx="4">
                  <c:v>254.29544852999999</c:v>
                </c:pt>
                <c:pt idx="5">
                  <c:v>254.29544852999999</c:v>
                </c:pt>
                <c:pt idx="6">
                  <c:v>254.29544852999999</c:v>
                </c:pt>
                <c:pt idx="7">
                  <c:v>254.29544852999999</c:v>
                </c:pt>
                <c:pt idx="8">
                  <c:v>254.29544852999999</c:v>
                </c:pt>
                <c:pt idx="9">
                  <c:v>254.29544852999999</c:v>
                </c:pt>
                <c:pt idx="10">
                  <c:v>254.29544852999999</c:v>
                </c:pt>
              </c:numCache>
            </c:numRef>
          </c:val>
          <c:extLst>
            <c:ext xmlns:c16="http://schemas.microsoft.com/office/drawing/2014/chart" uri="{C3380CC4-5D6E-409C-BE32-E72D297353CC}">
              <c16:uniqueId val="{0000001E-D20D-462F-AF65-BAA018268B64}"/>
            </c:ext>
          </c:extLst>
        </c:ser>
        <c:ser>
          <c:idx val="3"/>
          <c:order val="7"/>
          <c:tx>
            <c:strRef>
              <c:f>'220L-NR'!$B$24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0.1282419609297073"/>
                  <c:y val="-0.11055716901563681"/>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D20D-462F-AF65-BAA018268B64}"/>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'220L-NR'!$F$19:$P$19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'220L-NR'!$F$24:$P$24</c:f>
              <c:numCache>
                <c:formatCode>0</c:formatCode>
                <c:ptCount val="11"/>
                <c:pt idx="0">
                  <c:v>0</c:v>
                </c:pt>
                <c:pt idx="1">
                  <c:v>40.087651570196655</c:v>
                </c:pt>
                <c:pt idx="2">
                  <c:v>36.577835001672071</c:v>
                </c:pt>
                <c:pt idx="3">
                  <c:v>33.068018433147486</c:v>
                </c:pt>
                <c:pt idx="4">
                  <c:v>29.558201864622902</c:v>
                </c:pt>
                <c:pt idx="5">
                  <c:v>26.048385296098317</c:v>
                </c:pt>
                <c:pt idx="6">
                  <c:v>22.538568727573733</c:v>
                </c:pt>
                <c:pt idx="7">
                  <c:v>19.028752159049152</c:v>
                </c:pt>
                <c:pt idx="8">
                  <c:v>15.518935590524569</c:v>
                </c:pt>
                <c:pt idx="9">
                  <c:v>12.009119021999986</c:v>
                </c:pt>
                <c:pt idx="10">
                  <c:v>12.009119021999998</c:v>
                </c:pt>
              </c:numCache>
            </c:numRef>
          </c:val>
          <c:extLst>
            <c:ext xmlns:c16="http://schemas.microsoft.com/office/drawing/2014/chart" uri="{C3380CC4-5D6E-409C-BE32-E72D297353CC}">
              <c16:uniqueId val="{00000020-D20D-462F-AF65-BAA018268B64}"/>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'220L-NR'!$E$17</c:f>
              <c:strCache>
                <c:ptCount val="1"/>
                <c:pt idx="0">
                  <c:v>kg.CO2-e/m2</c:v>
                </c:pt>
              </c:strCache>
            </c:strRef>
          </c:tx>
          <c:spPr>
            <a:ln w="28575" cap="rnd">
              <a:solidFill>
                <a:srgbClr val="2DCCD3"/>
              </a:solidFill>
              <a:round/>
            </a:ln>
            <a:effectLst/>
          </c:spPr>
          <c:marker>
            <c:symbol val="none"/>
          </c:marker>
          <c:dLbls>
            <c:dLbl>
              <c:idx val="0"/>
              <c:layout>
                <c:manualLayout>
                  <c:x val="-2.7381266269607872E-2"/>
                  <c:y val="-3.4321570859693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D20D-462F-AF65-BAA018268B64}"/>
                </c:ext>
              </c:extLst>
            </c:dLbl>
            <c:dLbl>
              <c:idx val="1"/>
              <c:layout>
                <c:manualLayout>
                  <c:x val="-1.8824457740554187E-2"/>
                  <c:y val="-4.95500089911190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D20D-462F-AF65-BAA018268B64}"/>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'220L-NR'!$F$12:$P$12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'220L-NR'!$F$17:$P$17</c:f>
              <c:numCache>
                <c:formatCode>0.0</c:formatCode>
                <c:ptCount val="11"/>
                <c:pt idx="0">
                  <c:v>56.389043510316924</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D20D-462F-AF65-BAA018268B64}"/>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2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58"/>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a:latin typeface="Times New Roman" panose="02020603050405020304" pitchFamily="18" charset="0"/>
                <a:cs typeface="Times New Roman" panose="02020603050405020304" pitchFamily="18" charset="0"/>
              </a:rPr>
              <a:t>NABERS Energy</a:t>
            </a:r>
          </a:p>
        </c:rich>
      </c:tx>
      <c:layout>
        <c:manualLayout>
          <c:xMode val="edge"/>
          <c:yMode val="edge"/>
          <c:x val="4.5703457557543003E-3"/>
          <c:y val="1.26425059840001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1"/>
          <c:order val="0"/>
          <c:tx>
            <c:strRef>
              <c:f>'220L-NR'!$E$57</c:f>
              <c:strCache>
                <c:ptCount val="1"/>
                <c:pt idx="0">
                  <c:v>ICPF</c:v>
                </c:pt>
              </c:strCache>
            </c:strRef>
          </c:tx>
          <c:spPr>
            <a:ln w="28575" cap="rnd">
              <a:solidFill>
                <a:schemeClr val="accent2"/>
              </a:solidFill>
              <a:round/>
            </a:ln>
            <a:effectLst/>
          </c:spPr>
          <c:marker>
            <c:symbol val="none"/>
          </c:marker>
          <c:dLbls>
            <c:dLbl>
              <c:idx val="0"/>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1A08-43CC-984E-194CB9C261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'220L-NR'!$F$55:$P$55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1-1A08-43CC-984E-194CB9C26158}"/>
            </c:ext>
          </c:extLst>
        </c:ser>
        <c:ser>
          <c:idx val="2"/>
          <c:order val="1"/>
          <c:tx>
            <c:strRef>
              <c:f>'220L-NR'!$E$56</c:f>
              <c:strCache>
                <c:ptCount val="1"/>
                <c:pt idx="0">
                  <c:v>220 London Circuit</c:v>
                </c:pt>
              </c:strCache>
            </c:strRef>
          </c:tx>
          <c:spPr>
            <a:ln w="28575" cap="rnd">
              <a:solidFill>
                <a:schemeClr val="accent3"/>
              </a:solidFill>
              <a:round/>
            </a:ln>
            <a:effectLst/>
          </c:spPr>
          <c:marker>
            <c:symbol val="none"/>
          </c:marker>
          <c:dLbls>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1A08-43CC-984E-194CB9C26158}"/>
                </c:ext>
              </c:extLst>
            </c:dLbl>
            <c:dLbl>
              <c:idx val="2"/>
              <c:delete val="1"/>
              <c:extLst>
                <c:ext xmlns:c15="http://schemas.microsoft.com/office/drawing/2012/chart" uri="{CE6537A1-D6FC-4f65-9D91-7224C49458BB}"/>
                <c:ext xmlns:c16="http://schemas.microsoft.com/office/drawing/2014/chart" uri="{C3380CC4-5D6E-409C-BE32-E72D297353CC}">
                  <c16:uniqueId val="{00000003-1A08-43CC-984E-194CB9C26158}"/>
                </c:ext>
              </c:extLst>
            </c:dLbl>
            <c:dLbl>
              <c:idx val="4"/>
              <c:delete val="1"/>
              <c:extLst>
                <c:ext xmlns:c15="http://schemas.microsoft.com/office/drawing/2012/chart" uri="{CE6537A1-D6FC-4f65-9D91-7224C49458BB}"/>
                <c:ext xmlns:c16="http://schemas.microsoft.com/office/drawing/2014/chart" uri="{C3380CC4-5D6E-409C-BE32-E72D297353CC}">
                  <c16:uniqueId val="{00000004-1A08-43CC-984E-194CB9C26158}"/>
                </c:ext>
              </c:extLst>
            </c:dLbl>
            <c:dLbl>
              <c:idx val="5"/>
              <c:delete val="1"/>
              <c:extLst>
                <c:ext xmlns:c15="http://schemas.microsoft.com/office/drawing/2012/chart" uri="{CE6537A1-D6FC-4f65-9D91-7224C49458BB}"/>
                <c:ext xmlns:c16="http://schemas.microsoft.com/office/drawing/2014/chart" uri="{C3380CC4-5D6E-409C-BE32-E72D297353CC}">
                  <c16:uniqueId val="{00000005-1A08-43CC-984E-194CB9C26158}"/>
                </c:ext>
              </c:extLst>
            </c:dLbl>
            <c:dLbl>
              <c:idx val="6"/>
              <c:delete val="1"/>
              <c:extLst>
                <c:ext xmlns:c15="http://schemas.microsoft.com/office/drawing/2012/chart" uri="{CE6537A1-D6FC-4f65-9D91-7224C49458BB}"/>
                <c:ext xmlns:c16="http://schemas.microsoft.com/office/drawing/2014/chart" uri="{C3380CC4-5D6E-409C-BE32-E72D297353CC}">
                  <c16:uniqueId val="{00000006-1A08-43CC-984E-194CB9C26158}"/>
                </c:ext>
              </c:extLst>
            </c:dLbl>
            <c:dLbl>
              <c:idx val="7"/>
              <c:delete val="1"/>
              <c:extLst>
                <c:ext xmlns:c15="http://schemas.microsoft.com/office/drawing/2012/chart" uri="{CE6537A1-D6FC-4f65-9D91-7224C49458BB}"/>
                <c:ext xmlns:c16="http://schemas.microsoft.com/office/drawing/2014/chart" uri="{C3380CC4-5D6E-409C-BE32-E72D297353CC}">
                  <c16:uniqueId val="{00000007-1A08-43CC-984E-194CB9C26158}"/>
                </c:ext>
              </c:extLst>
            </c:dLbl>
            <c:dLbl>
              <c:idx val="9"/>
              <c:delete val="1"/>
              <c:extLst>
                <c:ext xmlns:c15="http://schemas.microsoft.com/office/drawing/2012/chart" uri="{CE6537A1-D6FC-4f65-9D91-7224C49458BB}"/>
                <c:ext xmlns:c16="http://schemas.microsoft.com/office/drawing/2014/chart" uri="{C3380CC4-5D6E-409C-BE32-E72D297353CC}">
                  <c16:uniqueId val="{00000008-1A08-43CC-984E-194CB9C261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'220L-NR'!$F$55:$P$55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'220L-NR'!$F$56:$P$56</c:f>
              <c:numCache>
                <c:formatCode>0.00</c:formatCode>
                <c:ptCount val="11"/>
                <c:pt idx="0">
                  <c:v>4.790932811480757</c:v>
                </c:pt>
                <c:pt idx="1">
                  <c:v>4.790932811480757</c:v>
                </c:pt>
                <c:pt idx="2">
                  <c:v>4.790932811480757</c:v>
                </c:pt>
                <c:pt idx="3">
                  <c:v>4.790932811480757</c:v>
                </c:pt>
                <c:pt idx="4">
                  <c:v>4.790932811480757</c:v>
                </c:pt>
                <c:pt idx="5">
                  <c:v>4.790932811480757</c:v>
                </c:pt>
                <c:pt idx="6">
                  <c:v>4.790932811480757</c:v>
                </c:pt>
                <c:pt idx="7">
                  <c:v>4.790932811480757</c:v>
                </c:pt>
                <c:pt idx="8">
                  <c:v>4.790932811480757</c:v>
                </c:pt>
                <c:pt idx="9">
                  <c:v>4.790932811480757</c:v>
                </c:pt>
                <c:pt idx="10">
                  <c:v>4.790932811480757</c:v>
                </c:pt>
              </c:numCache>
            </c:numRef>
          </c:val>
          <c:smooth val="0"/>
          <c:extLst>
            <c:ext xmlns:c16="http://schemas.microsoft.com/office/drawing/2014/chart" uri="{C3380CC4-5D6E-409C-BE32-E72D297353CC}">
              <c16:uniqueId val="{00000009-1A08-43CC-984E-194CB9C26158}"/>
            </c:ext>
          </c:extLst>
        </c:ser>
        <c:ser>
          <c:idx val="3"/>
          <c:order val="3"/>
          <c:tx>
            <c:strRef>
              <c:f>'220L-NR'!$E$59</c:f>
              <c:strCache>
                <c:ptCount val="1"/>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1A08-43CC-984E-194CB9C261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'220L-NR'!$F$55:$P$55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'220L-NR'!$F$59:$P$59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B-1A08-43CC-984E-194CB9C26158}"/>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0"/>
                <c:order val="2"/>
                <c:tx>
                  <c:strRef>
                    <c:extLst>
                      <c:ext uri="{02D57815-91ED-43cb-92C2-25804820EDAC}">
                        <c15:formulaRef>
                          <c15:sqref>'220L-NR'!$E$58</c15:sqref>
                        </c15:formulaRef>
                      </c:ext>
                    </c:extLst>
                    <c:strCache>
                      <c:ptCount val="1"/>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C-1A08-43CC-984E-194CB9C261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'220L-NR'!$F$55:$P$55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'220L-NR'!$F$58:$P$58</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D-1A08-43CC-984E-194CB9C26158}"/>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75"/>
          <c:min val="4.5"/>
        </c:scaling>
        <c:delete val="0"/>
        <c:axPos val="l"/>
        <c:majorGridlines>
          <c:spPr>
            <a:ln w="9525" cap="flat" cmpd="sng" algn="ctr">
              <a:solidFill>
                <a:schemeClr val="tx1">
                  <a:lumMod val="15000"/>
                  <a:lumOff val="85000"/>
                </a:schemeClr>
              </a:solidFill>
              <a:round/>
            </a:ln>
            <a:effectLst/>
          </c:spPr>
        </c:majorGridlines>
        <c:numFmt formatCode="0.00\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a:latin typeface="Times New Roman" panose="02020603050405020304" pitchFamily="18" charset="0"/>
                <a:cs typeface="Times New Roman" panose="02020603050405020304" pitchFamily="18" charset="0"/>
              </a:rPr>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0"/>
          <c:order val="0"/>
          <c:tx>
            <c:strRef>
              <c:f>'259Q-NR'!$E$56</c:f>
              <c:strCache>
                <c:ptCount val="1"/>
                <c:pt idx="0">
                  <c:v>259 Queen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9FA-47AF-A3B0-715AA85CF230}"/>
                </c:ext>
              </c:extLst>
            </c:dLbl>
            <c:dLbl>
              <c:idx val="1"/>
              <c:delete val="1"/>
              <c:extLst>
                <c:ext xmlns:c15="http://schemas.microsoft.com/office/drawing/2012/chart" uri="{CE6537A1-D6FC-4f65-9D91-7224C49458BB}"/>
                <c:ext xmlns:c16="http://schemas.microsoft.com/office/drawing/2014/chart" uri="{C3380CC4-5D6E-409C-BE32-E72D297353CC}">
                  <c16:uniqueId val="{00000001-09FA-47AF-A3B0-715AA85CF23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'259Q-NR'!$F$55:$P$55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'259Q-NR'!$F$56:$P$56</c:f>
              <c:numCache>
                <c:formatCode>0.00</c:formatCode>
                <c:ptCount val="11"/>
                <c:pt idx="0">
                  <c:v>5.4825066741604607</c:v>
                </c:pt>
                <c:pt idx="1">
                  <c:v>5.4825066741604607</c:v>
                </c:pt>
                <c:pt idx="2">
                  <c:v>5.4825066741604607</c:v>
                </c:pt>
                <c:pt idx="3">
                  <c:v>5.4825066802171643</c:v>
                </c:pt>
                <c:pt idx="4">
                  <c:v>5.4825066802171643</c:v>
                </c:pt>
                <c:pt idx="5">
                  <c:v>5.5895153057815321</c:v>
                </c:pt>
                <c:pt idx="6">
                  <c:v>5.5895153057815321</c:v>
                </c:pt>
                <c:pt idx="7">
                  <c:v>5.5895153057815321</c:v>
                </c:pt>
                <c:pt idx="8">
                  <c:v>5.5895153057815321</c:v>
                </c:pt>
                <c:pt idx="9">
                  <c:v>5.6624228737996827</c:v>
                </c:pt>
                <c:pt idx="10">
                  <c:v>5.6624228737996827</c:v>
                </c:pt>
              </c:numCache>
            </c:numRef>
          </c:val>
          <c:smooth val="0"/>
          <c:extLst>
            <c:ext xmlns:c16="http://schemas.microsoft.com/office/drawing/2014/chart" uri="{C3380CC4-5D6E-409C-BE32-E72D297353CC}">
              <c16:uniqueId val="{00000002-09FA-47AF-A3B0-715AA85CF230}"/>
            </c:ext>
          </c:extLst>
        </c:ser>
        <c:ser>
          <c:idx val="1"/>
          <c:order val="1"/>
          <c:tx>
            <c:strRef>
              <c:f>'259Q-NR'!$E$57</c:f>
              <c:strCache>
                <c:ptCount val="1"/>
                <c:pt idx="0">
                  <c:v>ICPF</c:v>
                </c:pt>
              </c:strCache>
            </c:strRef>
          </c:tx>
          <c:spPr>
            <a:ln w="28575" cap="rnd">
              <a:solidFill>
                <a:schemeClr val="accent5"/>
              </a:solidFill>
              <a:round/>
            </a:ln>
            <a:effectLst/>
          </c:spPr>
          <c:marker>
            <c:symbol val="none"/>
          </c:marker>
          <c:dLbls>
            <c:dLbl>
              <c:idx val="0"/>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9FA-47AF-A3B0-715AA85CF23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'259Q-NR'!$F$55:$P$55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4-09FA-47AF-A3B0-715AA85CF230}"/>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2"/>
                <c:order val="2"/>
                <c:tx>
                  <c:strRef>
                    <c:extLst>
                      <c:ext uri="{02D57815-91ED-43cb-92C2-25804820EDAC}">
                        <c15:formulaRef>
                          <c15:sqref>'259Q-NR'!$E$58</c15:sqref>
                        </c15:formulaRef>
                      </c:ext>
                    </c:extLst>
                    <c:strCache>
                      <c:ptCount val="1"/>
                      <c:pt idx="0">
                        <c:v>IOM</c:v>
                      </c:pt>
                    </c:strCache>
                  </c:strRef>
                </c:tx>
                <c:spPr>
                  <a:ln w="28575" cap="rnd">
                    <a:solidFill>
                      <a:srgbClr val="FFFFFF"/>
                    </a:solidFill>
                    <a:round/>
                  </a:ln>
                  <a:effectLst/>
                </c:spPr>
                <c:marker>
                  <c:symbol val="none"/>
                </c:marker>
                <c:dLbls>
                  <c:dLbl>
                    <c:idx val="0"/>
                    <c:dLblPos val="b"/>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5-09FA-47AF-A3B0-715AA85CF23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'259Q-NR'!$F$55:$P$55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'259Q-NR'!$F$58:$P$58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6-09FA-47AF-A3B0-715AA85CF23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'259Q-NR'!$E$58</c15:sqref>
                        </c15:formulaRef>
                      </c:ext>
                    </c:extLst>
                    <c:strCache>
                      <c:ptCount val="1"/>
                      <c:pt idx="0">
                        <c:v>IOM</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'259Q-NR'!$F$55:$P$55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xmlns:c15="http://schemas.microsoft.com/office/drawing/2012/chart">
                      <c:ext xmlns:c15="http://schemas.microsoft.com/office/drawing/2012/chart" uri="{02D57815-91ED-43cb-92C2-25804820EDAC}">
                        <c15:formulaRef>
                          <c15:sqref>'259Q-NR'!$F$58:$P$58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xmlns:c15="http://schemas.microsoft.com/office/drawing/2012/chart">
                  <c:ext xmlns:c16="http://schemas.microsoft.com/office/drawing/2014/chart" uri="{C3380CC4-5D6E-409C-BE32-E72D297353CC}">
                    <c16:uniqueId val="{00000007-09FA-47AF-A3B0-715AA85CF230}"/>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9.2114704151059212E-3"/>
          <c:y val="4.9948319838603846E-3"/>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0998475302244147"/>
          <c:w val="0.96393383876116501"/>
          <c:h val="0.82116450985035894"/>
        </c:manualLayout>
      </c:layout>
      <c:barChart>
        <c:barDir val="col"/>
        <c:grouping val="stacked"/>
        <c:varyColors val="0"/>
        <c:ser>
          <c:idx val="0"/>
          <c:order val="0"/>
          <c:tx>
            <c:strRef>
              <c:f>'259Q-NR'!$B$27</c:f>
              <c:strCache>
                <c:ptCount val="1"/>
                <c:pt idx="0">
                  <c:v>Grid Electricity</c:v>
                </c:pt>
              </c:strCache>
            </c:strRef>
          </c:tx>
          <c:spPr>
            <a:solidFill>
              <a:srgbClr val="2DCCD3"/>
            </a:solidFill>
            <a:ln>
              <a:noFill/>
            </a:ln>
            <a:effectLst/>
          </c:spPr>
          <c:invertIfNegative val="0"/>
          <c:dLbls>
            <c:dLbl>
              <c:idx val="0"/>
              <c:layout>
                <c:manualLayout>
                  <c:x val="0.12083776586734245"/>
                  <c:y val="-0.3015337741813459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A98E-40E3-82FA-214B53ED061D}"/>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'259Q-NR'!$F$27:$P$27</c:f>
              <c:numCache>
                <c:formatCode>0</c:formatCode>
                <c:ptCount val="11"/>
                <c:pt idx="0" formatCode="#,##0_ ;\-#,##0\ ">
                  <c:v>1653.6150399999999</c:v>
                </c:pt>
                <c:pt idx="1">
                  <c:v>826.80751999999995</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A98E-40E3-82FA-214B53ED061D}"/>
            </c:ext>
          </c:extLst>
        </c:ser>
        <c:ser>
          <c:idx val="1"/>
          <c:order val="1"/>
          <c:tx>
            <c:strRef>
              <c:f>'259Q-NR'!$B$26</c:f>
              <c:strCache>
                <c:ptCount val="1"/>
                <c:pt idx="0">
                  <c:v>Gas</c:v>
                </c:pt>
              </c:strCache>
            </c:strRef>
          </c:tx>
          <c:spPr>
            <a:solidFill>
              <a:srgbClr val="00857D"/>
            </a:solidFill>
            <a:ln>
              <a:solidFill>
                <a:srgbClr val="2DCCD3">
                  <a:alpha val="96000"/>
                </a:srgbClr>
              </a:solidFill>
            </a:ln>
            <a:effectLst/>
          </c:spPr>
          <c:invertIfNegative val="0"/>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'259Q-NR'!$F$26:$P$26</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A98E-40E3-82FA-214B53ED061D}"/>
            </c:ext>
          </c:extLst>
        </c:ser>
        <c:ser>
          <c:idx val="2"/>
          <c:order val="2"/>
          <c:tx>
            <c:strRef>
              <c:f>'259Q-NR'!$B$25</c:f>
              <c:strCache>
                <c:ptCount val="1"/>
                <c:pt idx="0">
                  <c:v>Scope 3</c:v>
                </c:pt>
              </c:strCache>
            </c:strRef>
          </c:tx>
          <c:spPr>
            <a:solidFill>
              <a:srgbClr val="B8C6D0"/>
            </a:solidFill>
            <a:ln>
              <a:noFill/>
            </a:ln>
            <a:effectLst/>
          </c:spPr>
          <c:invertIfNegative val="0"/>
          <c:dLbls>
            <c:dLbl>
              <c:idx val="0"/>
              <c:layout>
                <c:manualLayout>
                  <c:x val="7.6412073727482682E-2"/>
                  <c:y val="-4.7802627179410639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A98E-40E3-82FA-214B53ED061D}"/>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chemeClr val="tx1">
                          <a:lumMod val="35000"/>
                          <a:lumOff val="65000"/>
                        </a:schemeClr>
                      </a:solidFill>
                      <a:round/>
                    </a:ln>
                    <a:effectLst/>
                  </c:spPr>
                </c15:leaderLines>
              </c:ext>
            </c:extLst>
          </c:dLbls>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'259Q-NR'!$F$25:$P$25</c:f>
              <c:numCache>
                <c:formatCode>0</c:formatCode>
                <c:ptCount val="11"/>
                <c:pt idx="0">
                  <c:v>156.98270326973631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A98E-40E3-82FA-214B53ED061D}"/>
            </c:ext>
          </c:extLst>
        </c:ser>
        <c:ser>
          <c:idx val="6"/>
          <c:order val="3"/>
          <c:tx>
            <c:strRef>
              <c:f>'259Q-NR'!$B$21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A98E-40E3-82FA-214B53ED061D}"/>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A98E-40E3-82FA-214B53ED061D}"/>
              </c:ext>
            </c:extLst>
          </c:dPt>
          <c:dLbls>
            <c:dLbl>
              <c:idx val="1"/>
              <c:layout>
                <c:manualLayout>
                  <c:x val="0.13208082648668623"/>
                  <c:y val="-6.237635740981895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6315950502950358"/>
                      <c:h val="7.1963017800873733E-2"/>
                    </c:manualLayout>
                  </c15:layout>
                  <c15:dlblFieldTable/>
                  <c15:showDataLabelsRange val="0"/>
                </c:ext>
                <c:ext xmlns:c16="http://schemas.microsoft.com/office/drawing/2014/chart" uri="{C3380CC4-5D6E-409C-BE32-E72D297353CC}">
                  <c16:uniqueId val="{0000000A-A98E-40E3-82FA-214B53ED061D}"/>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A98E-40E3-82FA-214B53ED061D}"/>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15875" cap="flat" cmpd="sng" algn="ctr">
                      <a:solidFill>
                        <a:srgbClr val="2DCCD3"/>
                      </a:solidFill>
                      <a:round/>
                    </a:ln>
                    <a:effectLst/>
                  </c:spPr>
                </c15:leaderLines>
              </c:ext>
            </c:extLst>
          </c:dLbls>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'259Q-NR'!$F$21:$P$21</c:f>
              <c:numCache>
                <c:formatCode>0</c:formatCode>
                <c:ptCount val="11"/>
                <c:pt idx="0">
                  <c:v>0</c:v>
                </c:pt>
                <c:pt idx="1">
                  <c:v>826.80751999999995</c:v>
                </c:pt>
                <c:pt idx="2">
                  <c:v>1155.6514199999999</c:v>
                </c:pt>
                <c:pt idx="3">
                  <c:v>1022.2347465600001</c:v>
                </c:pt>
                <c:pt idx="4">
                  <c:v>960.22418288999995</c:v>
                </c:pt>
                <c:pt idx="5">
                  <c:v>820.57125517999987</c:v>
                </c:pt>
                <c:pt idx="6">
                  <c:v>774.60564545</c:v>
                </c:pt>
                <c:pt idx="7">
                  <c:v>730.34246570999994</c:v>
                </c:pt>
                <c:pt idx="8">
                  <c:v>687.78171596000004</c:v>
                </c:pt>
                <c:pt idx="9">
                  <c:v>604.34500617999993</c:v>
                </c:pt>
                <c:pt idx="10">
                  <c:v>582.19623631999991</c:v>
                </c:pt>
              </c:numCache>
            </c:numRef>
          </c:val>
          <c:extLst>
            <c:ext xmlns:c16="http://schemas.microsoft.com/office/drawing/2014/chart" uri="{C3380CC4-5D6E-409C-BE32-E72D297353CC}">
              <c16:uniqueId val="{0000000C-A98E-40E3-82FA-214B53ED061D}"/>
            </c:ext>
          </c:extLst>
        </c:ser>
        <c:ser>
          <c:idx val="7"/>
          <c:order val="4"/>
          <c:tx>
            <c:strRef>
              <c:f>'259Q-NR'!$B$20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A98E-40E3-82FA-214B53ED061D}"/>
                </c:ext>
              </c:extLst>
            </c:dLbl>
            <c:dLbl>
              <c:idx val="1"/>
              <c:delete val="1"/>
              <c:extLst>
                <c:ext xmlns:c15="http://schemas.microsoft.com/office/drawing/2012/chart" uri="{CE6537A1-D6FC-4f65-9D91-7224C49458BB}"/>
                <c:ext xmlns:c16="http://schemas.microsoft.com/office/drawing/2014/chart" uri="{C3380CC4-5D6E-409C-BE32-E72D297353CC}">
                  <c16:uniqueId val="{0000000E-A98E-40E3-82FA-214B53ED061D}"/>
                </c:ext>
              </c:extLst>
            </c:dLbl>
            <c:dLbl>
              <c:idx val="2"/>
              <c:delete val="1"/>
              <c:extLst>
                <c:ext xmlns:c15="http://schemas.microsoft.com/office/drawing/2012/chart" uri="{CE6537A1-D6FC-4f65-9D91-7224C49458BB}"/>
                <c:ext xmlns:c16="http://schemas.microsoft.com/office/drawing/2014/chart" uri="{C3380CC4-5D6E-409C-BE32-E72D297353CC}">
                  <c16:uniqueId val="{0000000F-A98E-40E3-82FA-214B53ED061D}"/>
                </c:ext>
              </c:extLst>
            </c:dLbl>
            <c:dLbl>
              <c:idx val="3"/>
              <c:delete val="1"/>
              <c:extLst>
                <c:ext xmlns:c15="http://schemas.microsoft.com/office/drawing/2012/chart" uri="{CE6537A1-D6FC-4f65-9D91-7224C49458BB}">
                  <c15:layout>
                    <c:manualLayout>
                      <c:w val="0.14810087002139913"/>
                      <c:h val="7.7138654493762907E-2"/>
                    </c:manualLayout>
                  </c15:layout>
                </c:ext>
                <c:ext xmlns:c16="http://schemas.microsoft.com/office/drawing/2014/chart" uri="{C3380CC4-5D6E-409C-BE32-E72D297353CC}">
                  <c16:uniqueId val="{00000010-A98E-40E3-82FA-214B53ED061D}"/>
                </c:ext>
              </c:extLst>
            </c:dLbl>
            <c:dLbl>
              <c:idx val="4"/>
              <c:delete val="1"/>
              <c:extLst>
                <c:ext xmlns:c15="http://schemas.microsoft.com/office/drawing/2012/chart" uri="{CE6537A1-D6FC-4f65-9D91-7224C49458BB}"/>
                <c:ext xmlns:c16="http://schemas.microsoft.com/office/drawing/2014/chart" uri="{C3380CC4-5D6E-409C-BE32-E72D297353CC}">
                  <c16:uniqueId val="{00000011-A98E-40E3-82FA-214B53ED061D}"/>
                </c:ext>
              </c:extLst>
            </c:dLbl>
            <c:dLbl>
              <c:idx val="5"/>
              <c:layout>
                <c:manualLayout>
                  <c:x val="0.13900913123723338"/>
                  <c:y val="-8.4231335886574318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A98E-40E3-82FA-214B53ED061D}"/>
                </c:ext>
              </c:extLst>
            </c:dLbl>
            <c:dLbl>
              <c:idx val="6"/>
              <c:delete val="1"/>
              <c:extLst>
                <c:ext xmlns:c15="http://schemas.microsoft.com/office/drawing/2012/chart" uri="{CE6537A1-D6FC-4f65-9D91-7224C49458BB}"/>
                <c:ext xmlns:c16="http://schemas.microsoft.com/office/drawing/2014/chart" uri="{C3380CC4-5D6E-409C-BE32-E72D297353CC}">
                  <c16:uniqueId val="{00000013-A98E-40E3-82FA-214B53ED061D}"/>
                </c:ext>
              </c:extLst>
            </c:dLbl>
            <c:dLbl>
              <c:idx val="7"/>
              <c:delete val="1"/>
              <c:extLst>
                <c:ext xmlns:c15="http://schemas.microsoft.com/office/drawing/2012/chart" uri="{CE6537A1-D6FC-4f65-9D91-7224C49458BB}"/>
                <c:ext xmlns:c16="http://schemas.microsoft.com/office/drawing/2014/chart" uri="{C3380CC4-5D6E-409C-BE32-E72D297353CC}">
                  <c16:uniqueId val="{00000014-A98E-40E3-82FA-214B53ED061D}"/>
                </c:ext>
              </c:extLst>
            </c:dLbl>
            <c:dLbl>
              <c:idx val="8"/>
              <c:delete val="1"/>
              <c:extLst>
                <c:ext xmlns:c15="http://schemas.microsoft.com/office/drawing/2012/chart" uri="{CE6537A1-D6FC-4f65-9D91-7224C49458BB}"/>
                <c:ext xmlns:c16="http://schemas.microsoft.com/office/drawing/2014/chart" uri="{C3380CC4-5D6E-409C-BE32-E72D297353CC}">
                  <c16:uniqueId val="{00000015-A98E-40E3-82FA-214B53ED061D}"/>
                </c:ext>
              </c:extLst>
            </c:dLbl>
            <c:dLbl>
              <c:idx val="9"/>
              <c:delete val="1"/>
              <c:extLst>
                <c:ext xmlns:c15="http://schemas.microsoft.com/office/drawing/2012/chart" uri="{CE6537A1-D6FC-4f65-9D91-7224C49458BB}"/>
                <c:ext xmlns:c16="http://schemas.microsoft.com/office/drawing/2014/chart" uri="{C3380CC4-5D6E-409C-BE32-E72D297353CC}">
                  <c16:uniqueId val="{00000016-A98E-40E3-82FA-214B53ED061D}"/>
                </c:ext>
              </c:extLst>
            </c:dLbl>
            <c:dLbl>
              <c:idx val="10"/>
              <c:delete val="1"/>
              <c:extLst>
                <c:ext xmlns:c15="http://schemas.microsoft.com/office/drawing/2012/chart" uri="{CE6537A1-D6FC-4f65-9D91-7224C49458BB}"/>
                <c:ext xmlns:c16="http://schemas.microsoft.com/office/drawing/2014/chart" uri="{C3380CC4-5D6E-409C-BE32-E72D297353CC}">
                  <c16:uniqueId val="{00000017-A98E-40E3-82FA-214B53ED061D}"/>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'259Q-NR'!$F$20:$P$20</c:f>
              <c:numCache>
                <c:formatCode>0</c:formatCode>
                <c:ptCount val="11"/>
                <c:pt idx="0">
                  <c:v>0</c:v>
                </c:pt>
                <c:pt idx="1">
                  <c:v>0</c:v>
                </c:pt>
                <c:pt idx="2">
                  <c:v>0</c:v>
                </c:pt>
                <c:pt idx="3">
                  <c:v>5.4399999862653205E-6</c:v>
                </c:pt>
                <c:pt idx="4">
                  <c:v>5.1099999870984907E-6</c:v>
                </c:pt>
                <c:pt idx="5">
                  <c:v>85.158800820000039</c:v>
                </c:pt>
                <c:pt idx="6">
                  <c:v>80.388494550000047</c:v>
                </c:pt>
                <c:pt idx="7">
                  <c:v>75.79486629000003</c:v>
                </c:pt>
                <c:pt idx="8">
                  <c:v>71.377916040000045</c:v>
                </c:pt>
                <c:pt idx="9">
                  <c:v>113.47424982000004</c:v>
                </c:pt>
                <c:pt idx="10">
                  <c:v>109.31550768000002</c:v>
                </c:pt>
              </c:numCache>
            </c:numRef>
          </c:val>
          <c:extLst>
            <c:ext xmlns:c16="http://schemas.microsoft.com/office/drawing/2014/chart" uri="{C3380CC4-5D6E-409C-BE32-E72D297353CC}">
              <c16:uniqueId val="{00000018-A98E-40E3-82FA-214B53ED061D}"/>
            </c:ext>
          </c:extLst>
        </c:ser>
        <c:ser>
          <c:idx val="4"/>
          <c:order val="5"/>
          <c:tx>
            <c:strRef>
              <c:f>'259Q-NR'!$B$23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A98E-40E3-82FA-214B53ED061D}"/>
              </c:ext>
            </c:extLst>
          </c:dPt>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'259Q-NR'!$F$23:$P$23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C-A98E-40E3-82FA-214B53ED061D}"/>
            </c:ext>
          </c:extLst>
        </c:ser>
        <c:ser>
          <c:idx val="5"/>
          <c:order val="6"/>
          <c:tx>
            <c:strRef>
              <c:f>'259Q-NR'!$B$22</c:f>
              <c:strCache>
                <c:ptCount val="1"/>
                <c:pt idx="0">
                  <c:v>Gas Offsets</c:v>
                </c:pt>
              </c:strCache>
            </c:strRef>
          </c:tx>
          <c:spPr>
            <a:solidFill>
              <a:srgbClr val="00857D">
                <a:alpha val="40000"/>
              </a:srgbClr>
            </a:solidFill>
            <a:ln w="12700">
              <a:solidFill>
                <a:srgbClr val="00857D"/>
              </a:solidFill>
              <a:prstDash val="dash"/>
            </a:ln>
            <a:effectLst/>
          </c:spPr>
          <c:invertIfNegative val="0"/>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'259Q-NR'!$F$22:$P$22</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E-A98E-40E3-82FA-214B53ED061D}"/>
            </c:ext>
          </c:extLst>
        </c:ser>
        <c:ser>
          <c:idx val="3"/>
          <c:order val="7"/>
          <c:tx>
            <c:strRef>
              <c:f>'259Q-NR'!$B$24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285187631006E-2"/>
                  <c:y val="-9.8895775900278149E-3"/>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A98E-40E3-82FA-214B53ED061D}"/>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'259Q-NR'!$F$19:$P$19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'259Q-NR'!$F$24:$P$24</c:f>
              <c:numCache>
                <c:formatCode>0</c:formatCode>
                <c:ptCount val="11"/>
                <c:pt idx="0">
                  <c:v>0</c:v>
                </c:pt>
                <c:pt idx="1">
                  <c:v>141.69279965921004</c:v>
                </c:pt>
                <c:pt idx="2">
                  <c:v>126.40289604868379</c:v>
                </c:pt>
                <c:pt idx="3">
                  <c:v>111.11299243815752</c:v>
                </c:pt>
                <c:pt idx="4">
                  <c:v>95.823088827631253</c:v>
                </c:pt>
                <c:pt idx="5">
                  <c:v>80.533185217104986</c:v>
                </c:pt>
                <c:pt idx="6">
                  <c:v>65.243281606578734</c:v>
                </c:pt>
                <c:pt idx="7">
                  <c:v>49.953377996052467</c:v>
                </c:pt>
                <c:pt idx="8">
                  <c:v>34.663474385526214</c:v>
                </c:pt>
                <c:pt idx="9">
                  <c:v>19.373570774999951</c:v>
                </c:pt>
                <c:pt idx="10">
                  <c:v>19.373570775000001</c:v>
                </c:pt>
              </c:numCache>
            </c:numRef>
          </c:val>
          <c:extLst>
            <c:ext xmlns:c16="http://schemas.microsoft.com/office/drawing/2014/chart" uri="{C3380CC4-5D6E-409C-BE32-E72D297353CC}">
              <c16:uniqueId val="{00000020-A98E-40E3-82FA-214B53ED061D}"/>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'259Q-NR'!$E$17</c:f>
              <c:strCache>
                <c:ptCount val="1"/>
                <c:pt idx="0">
                  <c:v>kg.CO2-e/m2</c:v>
                </c:pt>
              </c:strCache>
            </c:strRef>
          </c:tx>
          <c:spPr>
            <a:ln w="28575" cap="rnd">
              <a:solidFill>
                <a:srgbClr val="2DCCD3"/>
              </a:solidFill>
              <a:round/>
            </a:ln>
            <a:effectLst/>
          </c:spPr>
          <c:marker>
            <c:symbol val="none"/>
          </c:marker>
          <c:dLbls>
            <c:dLbl>
              <c:idx val="0"/>
              <c:layout>
                <c:manualLayout>
                  <c:x val="-3.6978476752226472E-2"/>
                  <c:y val="-4.0303398669599214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1-A98E-40E3-82FA-214B53ED061D}"/>
                </c:ext>
              </c:extLst>
            </c:dLbl>
            <c:dLbl>
              <c:idx val="1"/>
              <c:layout>
                <c:manualLayout>
                  <c:x val="-2.8091753934334725E-2"/>
                  <c:y val="-0.1066684385285128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A98E-40E3-82FA-214B53ED061D}"/>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'259Q-NR'!$F$12:$P$12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'259Q-NR'!$F$17:$P$17</c:f>
              <c:numCache>
                <c:formatCode>0.0</c:formatCode>
                <c:ptCount val="11"/>
                <c:pt idx="0">
                  <c:v>73.143643179677468</c:v>
                </c:pt>
                <c:pt idx="1">
                  <c:v>33.400966308475397</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A98E-40E3-82FA-214B53ED061D}"/>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83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74"/>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2"/>
          <c:order val="2"/>
          <c:tx>
            <c:v>Total Savings ($)</c:v>
          </c:tx>
          <c:spPr>
            <a:solidFill>
              <a:srgbClr val="0085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'259Q-NR'!$F$30:$P$30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'259Q-NR'!$F$51:$P$51</c:f>
              <c:numCache>
                <c:formatCode>"$"#,##0.00</c:formatCode>
                <c:ptCount val="11"/>
                <c:pt idx="0">
                  <c:v>0</c:v>
                </c:pt>
                <c:pt idx="1">
                  <c:v>0</c:v>
                </c:pt>
                <c:pt idx="2">
                  <c:v>0</c:v>
                </c:pt>
                <c:pt idx="3">
                  <c:v>9.0780681128733819E-8</c:v>
                </c:pt>
                <c:pt idx="4">
                  <c:v>9.3958004874181718E-8</c:v>
                </c:pt>
                <c:pt idx="5">
                  <c:v>1.7181324488013245</c:v>
                </c:pt>
                <c:pt idx="6">
                  <c:v>1.7782670845093711</c:v>
                </c:pt>
                <c:pt idx="7">
                  <c:v>1.8405064324672005</c:v>
                </c:pt>
                <c:pt idx="8">
                  <c:v>2.2086077189606406</c:v>
                </c:pt>
                <c:pt idx="9">
                  <c:v>3.8433540529770469</c:v>
                </c:pt>
                <c:pt idx="10">
                  <c:v>3.9778714448312402</c:v>
                </c:pt>
              </c:numCache>
            </c:numRef>
          </c:val>
          <c:extLst>
            <c:ext xmlns:c16="http://schemas.microsoft.com/office/drawing/2014/chart" uri="{C3380CC4-5D6E-409C-BE32-E72D297353CC}">
              <c16:uniqueId val="{00000000-C7A6-42FD-B261-8E1E3869926B}"/>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C7A6-42FD-B261-8E1E3869926B}"/>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C9-4973-980B-1C6FFE8054E4}"/>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C9-4973-980B-1C6FFE8054E4}"/>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C9-4973-980B-1C6FFE8054E4}"/>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'259Q-NR'!$F$6:$P$6</c:f>
              <c:numCache>
                <c:formatCode>#,##0_ ;\-#,##0\ </c:formatCode>
                <c:ptCount val="11"/>
                <c:pt idx="0">
                  <c:v>1879.1079999999999</c:v>
                </c:pt>
                <c:pt idx="1">
                  <c:v>1879.1079999999999</c:v>
                </c:pt>
                <c:pt idx="2">
                  <c:v>1879.1079999999999</c:v>
                </c:pt>
                <c:pt idx="3">
                  <c:v>1879.10799</c:v>
                </c:pt>
                <c:pt idx="4">
                  <c:v>1879.10799</c:v>
                </c:pt>
                <c:pt idx="5">
                  <c:v>1702.4299899999999</c:v>
                </c:pt>
                <c:pt idx="6">
                  <c:v>1702.4299899999999</c:v>
                </c:pt>
                <c:pt idx="7">
                  <c:v>1702.4299899999999</c:v>
                </c:pt>
                <c:pt idx="8">
                  <c:v>1702.4299899999999</c:v>
                </c:pt>
                <c:pt idx="9">
                  <c:v>1582.0549899999999</c:v>
                </c:pt>
                <c:pt idx="10">
                  <c:v>1582.0549899999999</c:v>
                </c:pt>
              </c:numCache>
            </c:numRef>
          </c:val>
          <c:smooth val="0"/>
          <c:extLst>
            <c:ext xmlns:c16="http://schemas.microsoft.com/office/drawing/2014/chart" uri="{C3380CC4-5D6E-409C-BE32-E72D297353CC}">
              <c16:uniqueId val="{00000002-C7A6-42FD-B261-8E1E3869926B}"/>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3-C7A6-42FD-B261-8E1E3869926B}"/>
                </c:ext>
              </c:extLst>
            </c:dLbl>
            <c:dLbl>
              <c:idx val="1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4-C7A6-42FD-B261-8E1E3869926B}"/>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'259Q-NR'!$F$37:$P$37</c:f>
              <c:numCache>
                <c:formatCode>_("$"* #,##0.00_);_("$"* \(#,##0.00\);_("$"* "-"??_);_(@_)</c:formatCode>
                <c:ptCount val="11"/>
                <c:pt idx="0">
                  <c:v>12.026565807546257</c:v>
                </c:pt>
                <c:pt idx="1">
                  <c:v>15.924451533402801</c:v>
                </c:pt>
                <c:pt idx="2">
                  <c:v>16.788189083978295</c:v>
                </c:pt>
                <c:pt idx="3">
                  <c:v>17.327991897347211</c:v>
                </c:pt>
                <c:pt idx="4">
                  <c:v>17.887984924704039</c:v>
                </c:pt>
                <c:pt idx="5">
                  <c:v>18.468874823538357</c:v>
                </c:pt>
                <c:pt idx="6">
                  <c:v>19.071392984351878</c:v>
                </c:pt>
                <c:pt idx="7">
                  <c:v>19.696296396313869</c:v>
                </c:pt>
                <c:pt idx="8">
                  <c:v>23.574279326195363</c:v>
                </c:pt>
                <c:pt idx="9">
                  <c:v>24.359377991161882</c:v>
                </c:pt>
                <c:pt idx="10">
                  <c:v>25.210312668350827</c:v>
                </c:pt>
              </c:numCache>
            </c:numRef>
          </c:val>
          <c:smooth val="0"/>
          <c:extLst>
            <c:ext xmlns:c16="http://schemas.microsoft.com/office/drawing/2014/chart" uri="{C3380CC4-5D6E-409C-BE32-E72D297353CC}">
              <c16:uniqueId val="{00000005-C7A6-42FD-B261-8E1E3869926B}"/>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0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28.5"/>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600">
                <a:latin typeface="Times New Roman" panose="02020603050405020304" pitchFamily="18" charset="0"/>
                <a:cs typeface="Times New Roman" panose="02020603050405020304" pitchFamily="18" charset="0"/>
              </a:rPr>
              <a:t>NABERS Energy</a:t>
            </a:r>
          </a:p>
        </c:rich>
      </c:tx>
      <c:layout>
        <c:manualLayout>
          <c:xMode val="edge"/>
          <c:yMode val="edge"/>
          <c:x val="1.1367052148464079E-2"/>
          <c:y val="1.5353786973544569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9.1521265369829352E-2"/>
          <c:y val="0.10253800004168789"/>
          <c:w val="0.88813536292551143"/>
          <c:h val="0.74613123482076726"/>
        </c:manualLayout>
      </c:layout>
      <c:lineChart>
        <c:grouping val="standard"/>
        <c:varyColors val="0"/>
        <c:ser>
          <c:idx val="0"/>
          <c:order val="0"/>
          <c:tx>
            <c:strRef>
              <c:f>'347K-NR'!$E$56</c:f>
              <c:strCache>
                <c:ptCount val="1"/>
                <c:pt idx="0">
                  <c:v>347 Kent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272C-44B9-A2F9-1BCFE1E00E7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'347K-NR'!$F$55:$P$55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'347K-NR'!$F$56:$P$56</c:f>
              <c:numCache>
                <c:formatCode>0.00</c:formatCode>
                <c:ptCount val="11"/>
                <c:pt idx="0">
                  <c:v>5.1319155051013077</c:v>
                </c:pt>
                <c:pt idx="1">
                  <c:v>5.1319155051013077</c:v>
                </c:pt>
                <c:pt idx="2">
                  <c:v>5.1319155051013077</c:v>
                </c:pt>
                <c:pt idx="3">
                  <c:v>5.1439247095331417</c:v>
                </c:pt>
                <c:pt idx="4">
                  <c:v>5.3327172387454072</c:v>
                </c:pt>
                <c:pt idx="5">
                  <c:v>5.3327172387454072</c:v>
                </c:pt>
                <c:pt idx="6">
                  <c:v>5.3327172387454072</c:v>
                </c:pt>
                <c:pt idx="7">
                  <c:v>5.3327172387454072</c:v>
                </c:pt>
                <c:pt idx="8">
                  <c:v>5.3190057657589067</c:v>
                </c:pt>
                <c:pt idx="9">
                  <c:v>5.3190057657589067</c:v>
                </c:pt>
                <c:pt idx="10">
                  <c:v>5.3190057657589067</c:v>
                </c:pt>
              </c:numCache>
            </c:numRef>
          </c:val>
          <c:smooth val="0"/>
          <c:extLst>
            <c:ext xmlns:c16="http://schemas.microsoft.com/office/drawing/2014/chart" uri="{C3380CC4-5D6E-409C-BE32-E72D297353CC}">
              <c16:uniqueId val="{00000003-272C-44B9-A2F9-1BCFE1E00E7A}"/>
            </c:ext>
          </c:extLst>
        </c:ser>
        <c:ser>
          <c:idx val="2"/>
          <c:order val="2"/>
          <c:tx>
            <c:strRef>
              <c:f>'126P-NR'!$E$58</c:f>
              <c:strCache>
                <c:ptCount val="1"/>
                <c:pt idx="0">
                  <c:v>IOM</c:v>
                </c:pt>
              </c:strCache>
              <c:extLst xmlns:c15="http://schemas.microsoft.com/office/drawing/2012/chart"/>
            </c:strRef>
          </c:tx>
          <c:spPr>
            <a:ln w="28575" cap="rnd">
              <a:solidFill>
                <a:srgbClr val="00857D"/>
              </a:solidFill>
              <a:round/>
            </a:ln>
            <a:effectLst/>
          </c:spPr>
          <c:marker>
            <c:symbol val="none"/>
          </c:marker>
          <c:dLbls>
            <c:dLbl>
              <c:idx val="0"/>
              <c:dLblPos val="t"/>
              <c:showLegendKey val="0"/>
              <c:showVal val="1"/>
              <c:showCatName val="0"/>
              <c:showSerName val="1"/>
              <c:showPercent val="0"/>
              <c:showBubbleSize val="0"/>
              <c:separator> </c:separator>
              <c:extLst xmlns:c15="http://schemas.microsoft.com/office/drawing/2012/chart">
                <c:ext xmlns:c15="http://schemas.microsoft.com/office/drawing/2012/chart" uri="{CE6537A1-D6FC-4f65-9D91-7224C49458BB}"/>
                <c:ext xmlns:c16="http://schemas.microsoft.com/office/drawing/2014/chart" uri="{C3380CC4-5D6E-409C-BE32-E72D297353CC}">
                  <c16:uniqueId val="{00000008-272C-44B9-A2F9-1BCFE1E00E7A}"/>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0F-4B6D-BCEC-35D05061E8F6}"/>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f>'347K-NR'!$F$55:$P$55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extLst xmlns:c15="http://schemas.microsoft.com/office/drawing/2012/chart"/>
            </c:strRef>
          </c:cat>
          <c:val>
            <c:numRef>
              <c:f>'126P-NR'!$F$58:$P$58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9-272C-44B9-A2F9-1BCFE1E00E7A}"/>
            </c:ext>
          </c:extLst>
        </c:ser>
        <c:ser>
          <c:idx val="3"/>
          <c:order val="3"/>
          <c:tx>
            <c:strRef>
              <c:f>'347K-NR'!$E$59</c:f>
              <c:strCache>
                <c:ptCount val="1"/>
                <c:pt idx="0">
                  <c:v>IGO</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272C-44B9-A2F9-1BCFE1E00E7A}"/>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'347K-NR'!$F$55:$P$55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'347K-NR'!$F$59:$P$59</c:f>
              <c:numCache>
                <c:formatCode>0.00</c:formatCode>
                <c:ptCount val="11"/>
                <c:pt idx="0">
                  <c:v>5.3773163530915085</c:v>
                </c:pt>
                <c:pt idx="1">
                  <c:v>5.3897415030978291</c:v>
                </c:pt>
                <c:pt idx="2">
                  <c:v>5.3989086851726711</c:v>
                </c:pt>
                <c:pt idx="3">
                  <c:v>5.4212093179158183</c:v>
                </c:pt>
                <c:pt idx="4">
                  <c:v>5.4717936463248549</c:v>
                </c:pt>
                <c:pt idx="5">
                  <c:v>5.4936944742974081</c:v>
                </c:pt>
                <c:pt idx="6">
                  <c:v>5.5096998051417883</c:v>
                </c:pt>
                <c:pt idx="7">
                  <c:v>5.5139146402024437</c:v>
                </c:pt>
                <c:pt idx="8">
                  <c:v>5.5351632663682917</c:v>
                </c:pt>
                <c:pt idx="9">
                  <c:v>5.5351632663682917</c:v>
                </c:pt>
                <c:pt idx="10">
                  <c:v>5.5316015265321372</c:v>
                </c:pt>
              </c:numCache>
            </c:numRef>
          </c:val>
          <c:smooth val="0"/>
          <c:extLst xmlns:c15="http://schemas.microsoft.com/office/drawing/2012/chart">
            <c:ext xmlns:c16="http://schemas.microsoft.com/office/drawing/2014/chart" uri="{C3380CC4-5D6E-409C-BE32-E72D297353CC}">
              <c16:uniqueId val="{00000007-272C-44B9-A2F9-1BCFE1E00E7A}"/>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1"/>
                <c:order val="1"/>
                <c:tx>
                  <c:strRef>
                    <c:extLst>
                      <c:ext uri="{02D57815-91ED-43cb-92C2-25804820EDAC}">
                        <c15:formulaRef>
                          <c15:sqref>'151C-NR'!$E$57</c15:sqref>
                        </c15:formulaRef>
                      </c:ext>
                    </c:extLst>
                    <c:strCache>
                      <c:ptCount val="1"/>
                    </c:strCache>
                  </c:strRef>
                </c:tx>
                <c:spPr>
                  <a:ln w="28575" cap="rnd">
                    <a:solidFill>
                      <a:schemeClr val="accent5"/>
                    </a:solidFill>
                    <a:round/>
                  </a:ln>
                  <a:effectLst/>
                </c:spPr>
                <c:marker>
                  <c:symbol val="none"/>
                </c:marker>
                <c:dLbls>
                  <c:dLbl>
                    <c:idx val="0"/>
                    <c:dLblPos val="b"/>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4-272C-44B9-A2F9-1BCFE1E00E7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b"/>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'347K-NR'!$F$55:$P$55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'151C-NR'!$F$57:$P$57</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272C-44B9-A2F9-1BCFE1E00E7A}"/>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8"/>
          <c:min val="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Emissions Intensity</a:t>
            </a:r>
            <a:r>
              <a:rPr lang="en-US" sz="1600" baseline="0">
                <a:latin typeface="Times New Roman" panose="02020603050405020304" pitchFamily="18" charset="0"/>
                <a:cs typeface="Times New Roman" panose="02020603050405020304" pitchFamily="18" charset="0"/>
              </a:rPr>
              <a:t> (</a:t>
            </a:r>
            <a:r>
              <a:rPr lang="en-US" sz="1600">
                <a:latin typeface="Times New Roman" panose="02020603050405020304" pitchFamily="18" charset="0"/>
                <a:cs typeface="Times New Roman" panose="02020603050405020304" pitchFamily="18" charset="0"/>
              </a:rPr>
              <a:t>kg.CO2-e/m2))</a:t>
            </a:r>
          </a:p>
        </c:rich>
      </c:tx>
      <c:layout>
        <c:manualLayout>
          <c:xMode val="edge"/>
          <c:yMode val="edge"/>
          <c:x val="9.2114704151059212E-3"/>
          <c:y val="4.9948319838603846E-3"/>
        </c:manualLayout>
      </c:layout>
      <c:overlay val="0"/>
      <c:spPr>
        <a:noFill/>
        <a:ln>
          <a:noFill/>
        </a:ln>
        <a:effectLst/>
      </c:spPr>
      <c:txPr>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8.6826029248028361E-2"/>
          <c:w val="0.96393383876116501"/>
          <c:h val="0.84432334673303555"/>
        </c:manualLayout>
      </c:layout>
      <c:barChart>
        <c:barDir val="col"/>
        <c:grouping val="stacked"/>
        <c:varyColors val="0"/>
        <c:ser>
          <c:idx val="0"/>
          <c:order val="0"/>
          <c:tx>
            <c:strRef>
              <c:f>'347K-NR'!$B$27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F59F-420D-A31B-43DF026B63B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'347K-NR'!$F$27:$P$27</c:f>
              <c:numCache>
                <c:formatCode>0</c:formatCode>
                <c:ptCount val="11"/>
                <c:pt idx="0" formatCode="#,##0_ ;\-#,##0\ ">
                  <c:v>1172.2051600000002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F59F-420D-A31B-43DF026B63BA}"/>
            </c:ext>
          </c:extLst>
        </c:ser>
        <c:ser>
          <c:idx val="1"/>
          <c:order val="1"/>
          <c:tx>
            <c:strRef>
              <c:f>'347K-NR'!$B$26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8090653479836723E-2"/>
                  <c:y val="3.3526323632867741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F59F-420D-A31B-43DF026B63BA}"/>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'347K-NR'!$F$26:$P$26</c:f>
              <c:numCache>
                <c:formatCode>0</c:formatCode>
                <c:ptCount val="11"/>
                <c:pt idx="0">
                  <c:v>60.697083939999999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F59F-420D-A31B-43DF026B63BA}"/>
            </c:ext>
          </c:extLst>
        </c:ser>
        <c:ser>
          <c:idx val="2"/>
          <c:order val="2"/>
          <c:tx>
            <c:strRef>
              <c:f>'347K-NR'!$B$25</c:f>
              <c:strCache>
                <c:ptCount val="1"/>
                <c:pt idx="0">
                  <c:v>Scope 3</c:v>
                </c:pt>
              </c:strCache>
            </c:strRef>
          </c:tx>
          <c:spPr>
            <a:solidFill>
              <a:srgbClr val="B8C6D0"/>
            </a:solidFill>
            <a:ln>
              <a:noFill/>
            </a:ln>
            <a:effectLst/>
          </c:spPr>
          <c:invertIfNegative val="0"/>
          <c:dLbls>
            <c:dLbl>
              <c:idx val="0"/>
              <c:layout>
                <c:manualLayout>
                  <c:x val="7.1116500527899751E-2"/>
                  <c:y val="-2.603742452196733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F59F-420D-A31B-43DF026B63BA}"/>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chemeClr val="tx1">
                          <a:lumMod val="35000"/>
                          <a:lumOff val="65000"/>
                        </a:schemeClr>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'347K-NR'!$F$25:$P$25</c:f>
              <c:numCache>
                <c:formatCode>0</c:formatCode>
                <c:ptCount val="11"/>
                <c:pt idx="0">
                  <c:v>37.491256923622053</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F59F-420D-A31B-43DF026B63BA}"/>
            </c:ext>
          </c:extLst>
        </c:ser>
        <c:ser>
          <c:idx val="6"/>
          <c:order val="3"/>
          <c:tx>
            <c:strRef>
              <c:f>'347K-NR'!$B$21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F59F-420D-A31B-43DF026B63BA}"/>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F59F-420D-A31B-43DF026B63BA}"/>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F59F-420D-A31B-43DF026B63BA}"/>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F59F-420D-A31B-43DF026B63BA}"/>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'347K-NR'!$F$21:$P$21</c:f>
              <c:numCache>
                <c:formatCode>0</c:formatCode>
                <c:ptCount val="11"/>
                <c:pt idx="0">
                  <c:v>0</c:v>
                </c:pt>
                <c:pt idx="1">
                  <c:v>1100.9825680000001</c:v>
                </c:pt>
                <c:pt idx="2">
                  <c:v>1083.1769200000001</c:v>
                </c:pt>
                <c:pt idx="3">
                  <c:v>995.51824800000009</c:v>
                </c:pt>
                <c:pt idx="4">
                  <c:v>807.33369600000003</c:v>
                </c:pt>
                <c:pt idx="5">
                  <c:v>707.71078800000009</c:v>
                </c:pt>
                <c:pt idx="6">
                  <c:v>595.14984000000004</c:v>
                </c:pt>
                <c:pt idx="7">
                  <c:v>495.52693200000004</c:v>
                </c:pt>
                <c:pt idx="8">
                  <c:v>426.98630000000003</c:v>
                </c:pt>
                <c:pt idx="9">
                  <c:v>378.37555199999997</c:v>
                </c:pt>
                <c:pt idx="10">
                  <c:v>346.84425600000003</c:v>
                </c:pt>
              </c:numCache>
            </c:numRef>
          </c:val>
          <c:extLst>
            <c:ext xmlns:c16="http://schemas.microsoft.com/office/drawing/2014/chart" uri="{C3380CC4-5D6E-409C-BE32-E72D297353CC}">
              <c16:uniqueId val="{0000000C-F59F-420D-A31B-43DF026B63BA}"/>
            </c:ext>
          </c:extLst>
        </c:ser>
        <c:ser>
          <c:idx val="7"/>
          <c:order val="4"/>
          <c:tx>
            <c:strRef>
              <c:f>'347K-NR'!$B$20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F59F-420D-A31B-43DF026B63BA}"/>
                </c:ext>
              </c:extLst>
            </c:dLbl>
            <c:dLbl>
              <c:idx val="1"/>
              <c:delete val="1"/>
              <c:extLst>
                <c:ext xmlns:c15="http://schemas.microsoft.com/office/drawing/2012/chart" uri="{CE6537A1-D6FC-4f65-9D91-7224C49458BB}"/>
                <c:ext xmlns:c16="http://schemas.microsoft.com/office/drawing/2014/chart" uri="{C3380CC4-5D6E-409C-BE32-E72D297353CC}">
                  <c16:uniqueId val="{0000000E-F59F-420D-A31B-43DF026B63BA}"/>
                </c:ext>
              </c:extLst>
            </c:dLbl>
            <c:dLbl>
              <c:idx val="2"/>
              <c:delete val="1"/>
              <c:extLst>
                <c:ext xmlns:c15="http://schemas.microsoft.com/office/drawing/2012/chart" uri="{CE6537A1-D6FC-4f65-9D91-7224C49458BB}"/>
                <c:ext xmlns:c16="http://schemas.microsoft.com/office/drawing/2014/chart" uri="{C3380CC4-5D6E-409C-BE32-E72D297353CC}">
                  <c16:uniqueId val="{0000000F-F59F-420D-A31B-43DF026B63BA}"/>
                </c:ext>
              </c:extLst>
            </c:dLbl>
            <c:dLbl>
              <c:idx val="3"/>
              <c:layout>
                <c:manualLayout>
                  <c:x val="0.13741746548704312"/>
                  <c:y val="-8.04776890926827E-2"/>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F59F-420D-A31B-43DF026B63BA}"/>
                </c:ext>
              </c:extLst>
            </c:dLbl>
            <c:dLbl>
              <c:idx val="4"/>
              <c:layout>
                <c:manualLayout>
                  <c:x val="0.11176975248902407"/>
                  <c:y val="-6.0757977295174452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F59F-420D-A31B-43DF026B63BA}"/>
                </c:ext>
              </c:extLst>
            </c:dLbl>
            <c:dLbl>
              <c:idx val="5"/>
              <c:delete val="1"/>
              <c:extLst>
                <c:ext xmlns:c15="http://schemas.microsoft.com/office/drawing/2012/chart" uri="{CE6537A1-D6FC-4f65-9D91-7224C49458BB}"/>
                <c:ext xmlns:c16="http://schemas.microsoft.com/office/drawing/2014/chart" uri="{C3380CC4-5D6E-409C-BE32-E72D297353CC}">
                  <c16:uniqueId val="{00000012-F59F-420D-A31B-43DF026B63BA}"/>
                </c:ext>
              </c:extLst>
            </c:dLbl>
            <c:dLbl>
              <c:idx val="6"/>
              <c:delete val="1"/>
              <c:extLst>
                <c:ext xmlns:c15="http://schemas.microsoft.com/office/drawing/2012/chart" uri="{CE6537A1-D6FC-4f65-9D91-7224C49458BB}"/>
                <c:ext xmlns:c16="http://schemas.microsoft.com/office/drawing/2014/chart" uri="{C3380CC4-5D6E-409C-BE32-E72D297353CC}">
                  <c16:uniqueId val="{00000013-F59F-420D-A31B-43DF026B63BA}"/>
                </c:ext>
              </c:extLst>
            </c:dLbl>
            <c:dLbl>
              <c:idx val="7"/>
              <c:delete val="1"/>
              <c:extLst>
                <c:ext xmlns:c15="http://schemas.microsoft.com/office/drawing/2012/chart" uri="{CE6537A1-D6FC-4f65-9D91-7224C49458BB}"/>
                <c:ext xmlns:c16="http://schemas.microsoft.com/office/drawing/2014/chart" uri="{C3380CC4-5D6E-409C-BE32-E72D297353CC}">
                  <c16:uniqueId val="{00000014-F59F-420D-A31B-43DF026B63BA}"/>
                </c:ext>
              </c:extLst>
            </c:dLbl>
            <c:dLbl>
              <c:idx val="8"/>
              <c:delete val="1"/>
              <c:extLst>
                <c:ext xmlns:c15="http://schemas.microsoft.com/office/drawing/2012/chart" uri="{CE6537A1-D6FC-4f65-9D91-7224C49458BB}"/>
                <c:ext xmlns:c16="http://schemas.microsoft.com/office/drawing/2014/chart" uri="{C3380CC4-5D6E-409C-BE32-E72D297353CC}">
                  <c16:uniqueId val="{00000015-F59F-420D-A31B-43DF026B63BA}"/>
                </c:ext>
              </c:extLst>
            </c:dLbl>
            <c:dLbl>
              <c:idx val="9"/>
              <c:delete val="1"/>
              <c:extLst>
                <c:ext xmlns:c15="http://schemas.microsoft.com/office/drawing/2012/chart" uri="{CE6537A1-D6FC-4f65-9D91-7224C49458BB}"/>
                <c:ext xmlns:c16="http://schemas.microsoft.com/office/drawing/2014/chart" uri="{C3380CC4-5D6E-409C-BE32-E72D297353CC}">
                  <c16:uniqueId val="{00000016-F59F-420D-A31B-43DF026B63BA}"/>
                </c:ext>
              </c:extLst>
            </c:dLbl>
            <c:dLbl>
              <c:idx val="10"/>
              <c:delete val="1"/>
              <c:extLst>
                <c:ext xmlns:c15="http://schemas.microsoft.com/office/drawing/2012/chart" uri="{CE6537A1-D6FC-4f65-9D91-7224C49458BB}"/>
                <c:ext xmlns:c16="http://schemas.microsoft.com/office/drawing/2014/chart" uri="{C3380CC4-5D6E-409C-BE32-E72D297353CC}">
                  <c16:uniqueId val="{00000017-F59F-420D-A31B-43DF026B63BA}"/>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'347K-NR'!$F$20:$P$20</c:f>
              <c:numCache>
                <c:formatCode>0</c:formatCode>
                <c:ptCount val="11"/>
                <c:pt idx="0">
                  <c:v>0</c:v>
                </c:pt>
                <c:pt idx="1">
                  <c:v>0</c:v>
                </c:pt>
                <c:pt idx="2">
                  <c:v>0</c:v>
                </c:pt>
                <c:pt idx="3">
                  <c:v>-13.24</c:v>
                </c:pt>
                <c:pt idx="4">
                  <c:v>118.56</c:v>
                </c:pt>
                <c:pt idx="5">
                  <c:v>103.93</c:v>
                </c:pt>
                <c:pt idx="6">
                  <c:v>87.4</c:v>
                </c:pt>
                <c:pt idx="7">
                  <c:v>72.77</c:v>
                </c:pt>
                <c:pt idx="8">
                  <c:v>55.25</c:v>
                </c:pt>
                <c:pt idx="9">
                  <c:v>48.959999999999994</c:v>
                </c:pt>
                <c:pt idx="10">
                  <c:v>44.88</c:v>
                </c:pt>
              </c:numCache>
            </c:numRef>
          </c:val>
          <c:extLst>
            <c:ext xmlns:c16="http://schemas.microsoft.com/office/drawing/2014/chart" uri="{C3380CC4-5D6E-409C-BE32-E72D297353CC}">
              <c16:uniqueId val="{00000018-F59F-420D-A31B-43DF026B63BA}"/>
            </c:ext>
          </c:extLst>
        </c:ser>
        <c:ser>
          <c:idx val="4"/>
          <c:order val="5"/>
          <c:tx>
            <c:strRef>
              <c:f>'347K-NR'!$B$23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F59F-420D-A31B-43DF026B63BA}"/>
              </c:ext>
            </c:extLst>
          </c:dPt>
          <c:dLbls>
            <c:dLbl>
              <c:idx val="3"/>
              <c:layout>
                <c:manualLayout>
                  <c:x val="0.1002073643005043"/>
                  <c:y val="-3.3416887512346005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23-F59F-420D-A31B-43DF026B63BA}"/>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'347K-NR'!$F$23:$P$23</c:f>
              <c:numCache>
                <c:formatCode>0</c:formatCode>
                <c:ptCount val="11"/>
                <c:pt idx="0">
                  <c:v>0</c:v>
                </c:pt>
                <c:pt idx="1">
                  <c:v>0</c:v>
                </c:pt>
                <c:pt idx="2">
                  <c:v>0</c:v>
                </c:pt>
                <c:pt idx="3">
                  <c:v>27.125441787439613</c:v>
                </c:pt>
                <c:pt idx="4">
                  <c:v>27.125441787439613</c:v>
                </c:pt>
                <c:pt idx="5">
                  <c:v>27.125441787439613</c:v>
                </c:pt>
                <c:pt idx="6">
                  <c:v>27.125441787439613</c:v>
                </c:pt>
                <c:pt idx="7">
                  <c:v>27.125441787439613</c:v>
                </c:pt>
                <c:pt idx="8">
                  <c:v>30.986540708534616</c:v>
                </c:pt>
                <c:pt idx="9">
                  <c:v>30.986540708534616</c:v>
                </c:pt>
                <c:pt idx="10">
                  <c:v>30.986540708534616</c:v>
                </c:pt>
              </c:numCache>
            </c:numRef>
          </c:val>
          <c:extLst>
            <c:ext xmlns:c16="http://schemas.microsoft.com/office/drawing/2014/chart" uri="{C3380CC4-5D6E-409C-BE32-E72D297353CC}">
              <c16:uniqueId val="{0000001B-F59F-420D-A31B-43DF026B63BA}"/>
            </c:ext>
          </c:extLst>
        </c:ser>
        <c:ser>
          <c:idx val="5"/>
          <c:order val="6"/>
          <c:tx>
            <c:strRef>
              <c:f>'347K-NR'!$B$22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9.8442915904458209E-2"/>
                  <c:y val="-4.2082044979745901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C-F59F-420D-A31B-43DF026B63B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'347K-NR'!$F$22:$P$22</c:f>
              <c:numCache>
                <c:formatCode>0</c:formatCode>
                <c:ptCount val="11"/>
                <c:pt idx="0">
                  <c:v>0</c:v>
                </c:pt>
                <c:pt idx="1">
                  <c:v>60.697083939999999</c:v>
                </c:pt>
                <c:pt idx="2">
                  <c:v>60.697083939999999</c:v>
                </c:pt>
                <c:pt idx="3">
                  <c:v>33.571642152560386</c:v>
                </c:pt>
                <c:pt idx="4">
                  <c:v>33.571642152560386</c:v>
                </c:pt>
                <c:pt idx="5">
                  <c:v>33.571642152560386</c:v>
                </c:pt>
                <c:pt idx="6">
                  <c:v>33.571642152560386</c:v>
                </c:pt>
                <c:pt idx="7">
                  <c:v>33.571642152560386</c:v>
                </c:pt>
                <c:pt idx="8">
                  <c:v>29.71054323146538</c:v>
                </c:pt>
                <c:pt idx="9">
                  <c:v>29.71054323146538</c:v>
                </c:pt>
                <c:pt idx="10">
                  <c:v>29.71054323146538</c:v>
                </c:pt>
              </c:numCache>
            </c:numRef>
          </c:val>
          <c:extLst>
            <c:ext xmlns:c16="http://schemas.microsoft.com/office/drawing/2014/chart" uri="{C3380CC4-5D6E-409C-BE32-E72D297353CC}">
              <c16:uniqueId val="{0000001D-F59F-420D-A31B-43DF026B63BA}"/>
            </c:ext>
          </c:extLst>
        </c:ser>
        <c:ser>
          <c:idx val="3"/>
          <c:order val="7"/>
          <c:tx>
            <c:strRef>
              <c:f>'347K-NR'!$B$24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343864049855E-2"/>
                  <c:y val="-7.076873170341961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E-F59F-420D-A31B-43DF026B63BA}"/>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'347K-NR'!$F$19:$P$19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'347K-NR'!$F$24:$P$24</c:f>
              <c:numCache>
                <c:formatCode>0</c:formatCode>
                <c:ptCount val="11"/>
                <c:pt idx="0">
                  <c:v>0</c:v>
                </c:pt>
                <c:pt idx="1">
                  <c:v>35.0550034832196</c:v>
                </c:pt>
                <c:pt idx="2">
                  <c:v>32.618750042817148</c:v>
                </c:pt>
                <c:pt idx="3">
                  <c:v>30.182496602414698</c:v>
                </c:pt>
                <c:pt idx="4">
                  <c:v>27.746243162012249</c:v>
                </c:pt>
                <c:pt idx="5">
                  <c:v>25.309989721609796</c:v>
                </c:pt>
                <c:pt idx="6">
                  <c:v>22.873736281207343</c:v>
                </c:pt>
                <c:pt idx="7">
                  <c:v>20.437482840804893</c:v>
                </c:pt>
                <c:pt idx="8">
                  <c:v>18.001229400402444</c:v>
                </c:pt>
                <c:pt idx="9">
                  <c:v>15.564975959999991</c:v>
                </c:pt>
                <c:pt idx="10">
                  <c:v>15.56497596</c:v>
                </c:pt>
              </c:numCache>
            </c:numRef>
          </c:val>
          <c:extLst>
            <c:ext xmlns:c16="http://schemas.microsoft.com/office/drawing/2014/chart" uri="{C3380CC4-5D6E-409C-BE32-E72D297353CC}">
              <c16:uniqueId val="{0000001F-F59F-420D-A31B-43DF026B63BA}"/>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'347K-NR'!$E$17</c:f>
              <c:strCache>
                <c:ptCount val="1"/>
                <c:pt idx="0">
                  <c:v>kg.CO2-e/m2</c:v>
                </c:pt>
              </c:strCache>
            </c:strRef>
          </c:tx>
          <c:spPr>
            <a:ln w="28575" cap="rnd">
              <a:solidFill>
                <a:srgbClr val="2DCCD3"/>
              </a:solidFill>
              <a:round/>
            </a:ln>
            <a:effectLst/>
          </c:spPr>
          <c:marker>
            <c:symbol val="none"/>
          </c:marker>
          <c:dLbls>
            <c:dLbl>
              <c:idx val="0"/>
              <c:layout>
                <c:manualLayout>
                  <c:x val="-3.6978440661779431E-2"/>
                  <c:y val="-2.2934285215213158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0-F59F-420D-A31B-43DF026B63BA}"/>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59F-420D-A31B-43DF026B63BA}"/>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'347K-NR'!$F$12:$P$12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'347K-NR'!$F$17:$P$17</c:f>
              <c:numCache>
                <c:formatCode>0.0</c:formatCode>
                <c:ptCount val="11"/>
                <c:pt idx="0">
                  <c:v>47.369159956136414</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F59F-420D-A31B-43DF026B63BA}"/>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3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48"/>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Energy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6.8796337171610336E-2"/>
          <c:y val="0.19326558970827673"/>
          <c:w val="0.91646040707638288"/>
          <c:h val="0.70766322199873155"/>
        </c:manualLayout>
      </c:layout>
      <c:barChart>
        <c:barDir val="col"/>
        <c:grouping val="clustered"/>
        <c:varyColors val="0"/>
        <c:ser>
          <c:idx val="2"/>
          <c:order val="2"/>
          <c:tx>
            <c:strRef>
              <c:f>'347K-NR'!$E$51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F505-4DDD-BAB3-65B933019C28}"/>
                </c:ext>
              </c:extLst>
            </c:dLbl>
            <c:dLbl>
              <c:idx val="1"/>
              <c:delete val="1"/>
              <c:extLst>
                <c:ext xmlns:c15="http://schemas.microsoft.com/office/drawing/2012/chart" uri="{CE6537A1-D6FC-4f65-9D91-7224C49458BB}"/>
                <c:ext xmlns:c16="http://schemas.microsoft.com/office/drawing/2014/chart" uri="{C3380CC4-5D6E-409C-BE32-E72D297353CC}">
                  <c16:uniqueId val="{00000001-F505-4DDD-BAB3-65B933019C28}"/>
                </c:ext>
              </c:extLst>
            </c:dLbl>
            <c:dLbl>
              <c:idx val="2"/>
              <c:delete val="1"/>
              <c:extLst>
                <c:ext xmlns:c15="http://schemas.microsoft.com/office/drawing/2012/chart" uri="{CE6537A1-D6FC-4f65-9D91-7224C49458BB}"/>
                <c:ext xmlns:c16="http://schemas.microsoft.com/office/drawing/2014/chart" uri="{C3380CC4-5D6E-409C-BE32-E72D297353CC}">
                  <c16:uniqueId val="{00000002-F505-4DDD-BAB3-65B933019C28}"/>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4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'347K-NR'!$F$30:$P$30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'347K-NR'!$F$51:$P$51</c:f>
              <c:numCache>
                <c:formatCode>"$"#,##0</c:formatCode>
                <c:ptCount val="11"/>
                <c:pt idx="0">
                  <c:v>0</c:v>
                </c:pt>
                <c:pt idx="1">
                  <c:v>0</c:v>
                </c:pt>
                <c:pt idx="2">
                  <c:v>0</c:v>
                </c:pt>
                <c:pt idx="3">
                  <c:v>9517.6764832721674</c:v>
                </c:pt>
                <c:pt idx="4">
                  <c:v>78026.800055168453</c:v>
                </c:pt>
                <c:pt idx="5">
                  <c:v>80627.77184527996</c:v>
                </c:pt>
                <c:pt idx="6">
                  <c:v>83317.587564523506</c:v>
                </c:pt>
                <c:pt idx="7">
                  <c:v>86099.291047912731</c:v>
                </c:pt>
                <c:pt idx="8">
                  <c:v>94197.355494156829</c:v>
                </c:pt>
                <c:pt idx="9">
                  <c:v>97335.330326410476</c:v>
                </c:pt>
                <c:pt idx="10">
                  <c:v>100580.31845155649</c:v>
                </c:pt>
              </c:numCache>
            </c:numRef>
          </c:val>
          <c:extLst>
            <c:ext xmlns:c16="http://schemas.microsoft.com/office/drawing/2014/chart" uri="{C3380CC4-5D6E-409C-BE32-E72D297353CC}">
              <c16:uniqueId val="{00000003-F505-4DDD-BAB3-65B933019C28}"/>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layout>
                <c:manualLayout>
                  <c:x val="-8.3735383572141164E-2"/>
                  <c:y val="-5.8280081007132799E-2"/>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accent2"/>
                      </a:solidFill>
                      <a:latin typeface="+mn-lt"/>
                      <a:ea typeface="+mn-ea"/>
                      <a:cs typeface="+mn-cs"/>
                    </a:defRPr>
                  </a:pPr>
                  <a:endParaRPr lang="en-US"/>
                </a:p>
              </c:txPr>
              <c:dLblPos val="r"/>
              <c:showLegendKey val="0"/>
              <c:showVal val="1"/>
              <c:showCatName val="0"/>
              <c:showSerName val="1"/>
              <c:showPercent val="0"/>
              <c:showBubbleSize val="0"/>
              <c:separator>
</c:separator>
              <c:extLst>
                <c:ext xmlns:c15="http://schemas.microsoft.com/office/drawing/2012/chart" uri="{CE6537A1-D6FC-4f65-9D91-7224C49458BB}">
                  <c15:layout>
                    <c:manualLayout>
                      <c:w val="0.12856921800493581"/>
                      <c:h val="0.14194871614145502"/>
                    </c:manualLayout>
                  </c15:layout>
                </c:ext>
                <c:ext xmlns:c16="http://schemas.microsoft.com/office/drawing/2014/chart" uri="{C3380CC4-5D6E-409C-BE32-E72D297353CC}">
                  <c16:uniqueId val="{00000004-F505-4DDD-BAB3-65B933019C28}"/>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'347K-NR'!$F$8:$P$8</c:f>
              <c:numCache>
                <c:formatCode>#,##0_ ;\-#,##0\ </c:formatCode>
                <c:ptCount val="11"/>
                <c:pt idx="0">
                  <c:v>1177.8979999999999</c:v>
                </c:pt>
                <c:pt idx="1">
                  <c:v>1177.8979999999999</c:v>
                </c:pt>
                <c:pt idx="2">
                  <c:v>1177.8979999999999</c:v>
                </c:pt>
                <c:pt idx="3">
                  <c:v>651.49703381642507</c:v>
                </c:pt>
                <c:pt idx="4">
                  <c:v>651.49703381642507</c:v>
                </c:pt>
                <c:pt idx="5">
                  <c:v>651.49703381642507</c:v>
                </c:pt>
                <c:pt idx="6">
                  <c:v>651.49703381642507</c:v>
                </c:pt>
                <c:pt idx="7">
                  <c:v>651.49703381642507</c:v>
                </c:pt>
                <c:pt idx="8">
                  <c:v>576.56788727858293</c:v>
                </c:pt>
                <c:pt idx="9">
                  <c:v>576.56788727858293</c:v>
                </c:pt>
                <c:pt idx="10">
                  <c:v>576.56788727858293</c:v>
                </c:pt>
              </c:numCache>
            </c:numRef>
          </c:val>
          <c:smooth val="0"/>
          <c:extLst>
            <c:ext xmlns:c16="http://schemas.microsoft.com/office/drawing/2014/chart" uri="{C3380CC4-5D6E-409C-BE32-E72D297353CC}">
              <c16:uniqueId val="{00000005-F505-4DDD-BAB3-65B933019C28}"/>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505-4DDD-BAB3-65B933019C28}"/>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05-4DDD-BAB3-65B933019C28}"/>
                </c:ext>
              </c:extLst>
            </c:dLbl>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'347K-NR'!$F$36:$P$36</c:f>
              <c:numCache>
                <c:formatCode>_-"$"* #,##0_-;\-"$"* #,##0_-;_-"$"* "-"??_-;_-@_-</c:formatCode>
                <c:ptCount val="11"/>
                <c:pt idx="0">
                  <c:v>364365.15879999998</c:v>
                </c:pt>
                <c:pt idx="1">
                  <c:v>465191.11537283816</c:v>
                </c:pt>
                <c:pt idx="2">
                  <c:v>486922.26217337797</c:v>
                </c:pt>
                <c:pt idx="3">
                  <c:v>503468.42584688525</c:v>
                </c:pt>
                <c:pt idx="4">
                  <c:v>520594.20206984686</c:v>
                </c:pt>
                <c:pt idx="5">
                  <c:v>538319.73870215355</c:v>
                </c:pt>
                <c:pt idx="6">
                  <c:v>556665.88462141191</c:v>
                </c:pt>
                <c:pt idx="7">
                  <c:v>575654.21413384285</c:v>
                </c:pt>
                <c:pt idx="8">
                  <c:v>683596.21268737246</c:v>
                </c:pt>
                <c:pt idx="9">
                  <c:v>707026.78182306758</c:v>
                </c:pt>
                <c:pt idx="10">
                  <c:v>731423.1965178434</c:v>
                </c:pt>
              </c:numCache>
            </c:numRef>
          </c:val>
          <c:smooth val="0"/>
          <c:extLst>
            <c:ext xmlns:c16="http://schemas.microsoft.com/office/drawing/2014/chart" uri="{C3380CC4-5D6E-409C-BE32-E72D297353CC}">
              <c16:uniqueId val="{00000008-F505-4DDD-BAB3-65B933019C28}"/>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25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9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600">
                <a:latin typeface="Times New Roman" panose="02020603050405020304" pitchFamily="18" charset="0"/>
                <a:cs typeface="Times New Roman" panose="02020603050405020304" pitchFamily="18" charset="0"/>
              </a:rPr>
              <a:t>NABERS Energy</a:t>
            </a:r>
          </a:p>
        </c:rich>
      </c:tx>
      <c:layout>
        <c:manualLayout>
          <c:xMode val="edge"/>
          <c:yMode val="edge"/>
          <c:x val="1.1367052148464079E-2"/>
          <c:y val="1.5353786973544569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9.1521265369829352E-2"/>
          <c:y val="0.10253800004168789"/>
          <c:w val="0.88813536292551143"/>
          <c:h val="0.74613123482076726"/>
        </c:manualLayout>
      </c:layout>
      <c:lineChart>
        <c:grouping val="standard"/>
        <c:varyColors val="0"/>
        <c:ser>
          <c:idx val="0"/>
          <c:order val="0"/>
          <c:tx>
            <c:strRef>
              <c:f>'388G-NR'!$E$56</c:f>
              <c:strCache>
                <c:ptCount val="1"/>
                <c:pt idx="0">
                  <c:v>388 George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E0B1-43B2-A3E7-3EB592BA24B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'388G-NR'!$F$55:$P$55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'388G-NR'!$F$56:$P$56</c:f>
              <c:numCache>
                <c:formatCode>0.00</c:formatCode>
                <c:ptCount val="11"/>
                <c:pt idx="0">
                  <c:v>5.0456962207213678</c:v>
                </c:pt>
                <c:pt idx="1">
                  <c:v>5.0456962207213678</c:v>
                </c:pt>
                <c:pt idx="2">
                  <c:v>5.0456962207213678</c:v>
                </c:pt>
                <c:pt idx="3">
                  <c:v>5.0456962207213678</c:v>
                </c:pt>
                <c:pt idx="4">
                  <c:v>5.0456962207213678</c:v>
                </c:pt>
                <c:pt idx="5">
                  <c:v>5.0456962207213678</c:v>
                </c:pt>
                <c:pt idx="6">
                  <c:v>5.0456962207213678</c:v>
                </c:pt>
                <c:pt idx="7">
                  <c:v>5.0456962207213678</c:v>
                </c:pt>
                <c:pt idx="8">
                  <c:v>5.0456962207213678</c:v>
                </c:pt>
                <c:pt idx="9">
                  <c:v>5.0456962207213678</c:v>
                </c:pt>
                <c:pt idx="10">
                  <c:v>5.0456962207213678</c:v>
                </c:pt>
              </c:numCache>
            </c:numRef>
          </c:val>
          <c:smooth val="0"/>
          <c:extLst>
            <c:ext xmlns:c16="http://schemas.microsoft.com/office/drawing/2014/chart" uri="{C3380CC4-5D6E-409C-BE32-E72D297353CC}">
              <c16:uniqueId val="{00000001-E0B1-43B2-A3E7-3EB592BA24BB}"/>
            </c:ext>
          </c:extLst>
        </c:ser>
        <c:ser>
          <c:idx val="2"/>
          <c:order val="2"/>
          <c:tx>
            <c:strRef>
              <c:f>'388G-NR'!$E$58</c:f>
              <c:strCache>
                <c:ptCount val="1"/>
              </c:strCache>
            </c:strRef>
          </c:tx>
          <c:spPr>
            <a:ln w="28575" cap="rnd">
              <a:solidFill>
                <a:srgbClr val="00857D"/>
              </a:solidFill>
              <a:round/>
            </a:ln>
            <a:effectLst/>
          </c:spPr>
          <c:marker>
            <c:symbol val="none"/>
          </c:marker>
          <c:dLbls>
            <c:dLbl>
              <c:idx val="0"/>
              <c:dLblPos val="t"/>
              <c:showLegendKey val="0"/>
              <c:showVal val="1"/>
              <c:showCatName val="0"/>
              <c:showSerName val="1"/>
              <c:showPercent val="0"/>
              <c:showBubbleSize val="0"/>
              <c:separator> </c:separator>
              <c:extLst xmlns:c15="http://schemas.microsoft.com/office/drawing/2012/chart">
                <c:ext xmlns:c15="http://schemas.microsoft.com/office/drawing/2012/chart" uri="{CE6537A1-D6FC-4f65-9D91-7224C49458BB}"/>
                <c:ext xmlns:c16="http://schemas.microsoft.com/office/drawing/2014/chart" uri="{C3380CC4-5D6E-409C-BE32-E72D297353CC}">
                  <c16:uniqueId val="{00000002-E0B1-43B2-A3E7-3EB592BA24BB}"/>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0B1-43B2-A3E7-3EB592BA24B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f>'388G-NR'!$F$55:$P$55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'388G-NR'!$F$58:$P$58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xmlns:c15="http://schemas.microsoft.com/office/drawing/2012/chart">
            <c:ext xmlns:c16="http://schemas.microsoft.com/office/drawing/2014/chart" uri="{C3380CC4-5D6E-409C-BE32-E72D297353CC}">
              <c16:uniqueId val="{00000004-E0B1-43B2-A3E7-3EB592BA24BB}"/>
            </c:ext>
          </c:extLst>
        </c:ser>
        <c:ser>
          <c:idx val="3"/>
          <c:order val="3"/>
          <c:tx>
            <c:strRef>
              <c:f>'388G-NR'!$E$59</c:f>
              <c:strCache>
                <c:ptCount val="1"/>
                <c:pt idx="0">
                  <c:v>IGO</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E0B1-43B2-A3E7-3EB592BA24B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'388G-NR'!$F$55:$P$55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'388G-NR'!$F$59:$P$59</c:f>
              <c:numCache>
                <c:formatCode>0.00</c:formatCode>
                <c:ptCount val="11"/>
                <c:pt idx="0">
                  <c:v>5.3773163530915085</c:v>
                </c:pt>
                <c:pt idx="1">
                  <c:v>5.3897415030978291</c:v>
                </c:pt>
                <c:pt idx="2">
                  <c:v>5.3989086851726711</c:v>
                </c:pt>
                <c:pt idx="3">
                  <c:v>5.4212093179158183</c:v>
                </c:pt>
                <c:pt idx="4">
                  <c:v>5.4717936463248549</c:v>
                </c:pt>
                <c:pt idx="5">
                  <c:v>5.4936944742974081</c:v>
                </c:pt>
                <c:pt idx="6">
                  <c:v>5.5096998051417883</c:v>
                </c:pt>
                <c:pt idx="7">
                  <c:v>5.5139146402024437</c:v>
                </c:pt>
                <c:pt idx="8">
                  <c:v>5.5351632663682917</c:v>
                </c:pt>
                <c:pt idx="9">
                  <c:v>5.5351632663682917</c:v>
                </c:pt>
                <c:pt idx="10">
                  <c:v>5.5316015265321372</c:v>
                </c:pt>
              </c:numCache>
            </c:numRef>
          </c:val>
          <c:smooth val="0"/>
          <c:extLst xmlns:c15="http://schemas.microsoft.com/office/drawing/2012/chart">
            <c:ext xmlns:c16="http://schemas.microsoft.com/office/drawing/2014/chart" uri="{C3380CC4-5D6E-409C-BE32-E72D297353CC}">
              <c16:uniqueId val="{00000006-E0B1-43B2-A3E7-3EB592BA24BB}"/>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1"/>
                <c:order val="1"/>
                <c:tx>
                  <c:strRef>
                    <c:extLst>
                      <c:ext uri="{02D57815-91ED-43cb-92C2-25804820EDAC}">
                        <c15:formulaRef>
                          <c15:sqref>'388G-NR'!$E$57</c15:sqref>
                        </c15:formulaRef>
                      </c:ext>
                    </c:extLst>
                    <c:strCache>
                      <c:ptCount val="1"/>
                    </c:strCache>
                  </c:strRef>
                </c:tx>
                <c:spPr>
                  <a:ln w="28575" cap="rnd">
                    <a:solidFill>
                      <a:schemeClr val="accent5"/>
                    </a:solidFill>
                    <a:round/>
                  </a:ln>
                  <a:effectLst/>
                </c:spPr>
                <c:marker>
                  <c:symbol val="none"/>
                </c:marker>
                <c:dLbls>
                  <c:dLbl>
                    <c:idx val="0"/>
                    <c:dLblPos val="b"/>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7-E0B1-43B2-A3E7-3EB592BA24BB}"/>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b"/>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'388G-NR'!$F$55:$P$55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'388G-NR'!$F$57:$P$57</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8-E0B1-43B2-A3E7-3EB592BA24BB}"/>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8"/>
          <c:min val="4.7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Emissions Intensity</a:t>
            </a:r>
            <a:r>
              <a:rPr lang="en-US" sz="1600" baseline="0">
                <a:latin typeface="Times New Roman" panose="02020603050405020304" pitchFamily="18" charset="0"/>
                <a:cs typeface="Times New Roman" panose="02020603050405020304" pitchFamily="18" charset="0"/>
              </a:rPr>
              <a:t> (</a:t>
            </a:r>
            <a:r>
              <a:rPr lang="en-US" sz="1600">
                <a:latin typeface="Times New Roman" panose="02020603050405020304" pitchFamily="18" charset="0"/>
                <a:cs typeface="Times New Roman" panose="02020603050405020304" pitchFamily="18" charset="0"/>
              </a:rPr>
              <a:t>kg.CO2-e/m2)</a:t>
            </a:r>
          </a:p>
        </c:rich>
      </c:tx>
      <c:layout>
        <c:manualLayout>
          <c:xMode val="edge"/>
          <c:yMode val="edge"/>
          <c:x val="1.1796260781022591E-2"/>
          <c:y val="4.9949516264310399E-3"/>
        </c:manualLayout>
      </c:layout>
      <c:overlay val="0"/>
      <c:spPr>
        <a:noFill/>
        <a:ln>
          <a:noFill/>
        </a:ln>
        <a:effectLst/>
      </c:spPr>
      <c:txPr>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176649851705544"/>
          <c:w val="0.96393383876116501"/>
          <c:h val="0.81348432964446726"/>
        </c:manualLayout>
      </c:layout>
      <c:barChart>
        <c:barDir val="col"/>
        <c:grouping val="stacked"/>
        <c:varyColors val="0"/>
        <c:ser>
          <c:idx val="0"/>
          <c:order val="0"/>
          <c:tx>
            <c:strRef>
              <c:f>'388G-NR'!$B$27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D4ED-4DFB-82BA-9CCC14DED80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'388G-NR'!$F$27:$P$27</c:f>
              <c:numCache>
                <c:formatCode>0</c:formatCode>
                <c:ptCount val="11"/>
                <c:pt idx="0" formatCode="#,##0_ ;\-#,##0\ ">
                  <c:v>1874.5823100000002</c:v>
                </c:pt>
                <c:pt idx="1">
                  <c:v>880.34181899999999</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D4ED-4DFB-82BA-9CCC14DED80A}"/>
            </c:ext>
          </c:extLst>
        </c:ser>
        <c:ser>
          <c:idx val="1"/>
          <c:order val="1"/>
          <c:tx>
            <c:strRef>
              <c:f>'388G-NR'!$B$26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8090653479836723E-2"/>
                  <c:y val="3.3526323632867741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D4ED-4DFB-82BA-9CCC14DED80A}"/>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'388G-NR'!$F$26:$P$26</c:f>
              <c:numCache>
                <c:formatCode>0</c:formatCode>
                <c:ptCount val="11"/>
                <c:pt idx="0">
                  <c:v>196.69001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D4ED-4DFB-82BA-9CCC14DED80A}"/>
            </c:ext>
          </c:extLst>
        </c:ser>
        <c:ser>
          <c:idx val="2"/>
          <c:order val="2"/>
          <c:tx>
            <c:strRef>
              <c:f>'388G-NR'!$B$25</c:f>
              <c:strCache>
                <c:ptCount val="1"/>
                <c:pt idx="0">
                  <c:v>Scope 3</c:v>
                </c:pt>
              </c:strCache>
            </c:strRef>
          </c:tx>
          <c:spPr>
            <a:solidFill>
              <a:srgbClr val="B8C6D0"/>
            </a:solidFill>
            <a:ln>
              <a:noFill/>
            </a:ln>
            <a:effectLst/>
          </c:spPr>
          <c:invertIfNegative val="0"/>
          <c:dLbls>
            <c:dLbl>
              <c:idx val="0"/>
              <c:layout>
                <c:manualLayout>
                  <c:x val="7.1116500527899751E-2"/>
                  <c:y val="-2.6037424521967337E-3"/>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D4ED-4DFB-82BA-9CCC14DED80A}"/>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chemeClr val="tx1">
                          <a:lumMod val="35000"/>
                          <a:lumOff val="65000"/>
                        </a:schemeClr>
                      </a:solidFill>
                      <a:round/>
                    </a:ln>
                    <a:effectLst/>
                  </c:spPr>
                </c15:leaderLines>
              </c:ext>
            </c:extLst>
          </c:dLbls>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'388G-NR'!$F$25:$P$25</c:f>
              <c:numCache>
                <c:formatCode>0</c:formatCode>
                <c:ptCount val="11"/>
                <c:pt idx="0">
                  <c:v>86.791927762814993</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D4ED-4DFB-82BA-9CCC14DED80A}"/>
            </c:ext>
          </c:extLst>
        </c:ser>
        <c:ser>
          <c:idx val="6"/>
          <c:order val="3"/>
          <c:tx>
            <c:strRef>
              <c:f>'388G-NR'!$B$21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D4ED-4DFB-82BA-9CCC14DED80A}"/>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D4ED-4DFB-82BA-9CCC14DED80A}"/>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D4ED-4DFB-82BA-9CCC14DED80A}"/>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D4ED-4DFB-82BA-9CCC14DED80A}"/>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'388G-NR'!$F$21:$P$21</c:f>
              <c:numCache>
                <c:formatCode>0</c:formatCode>
                <c:ptCount val="11"/>
                <c:pt idx="0">
                  <c:v>0</c:v>
                </c:pt>
                <c:pt idx="1">
                  <c:v>880.34181899999999</c:v>
                </c:pt>
                <c:pt idx="2">
                  <c:v>1732.2089700000001</c:v>
                </c:pt>
                <c:pt idx="3">
                  <c:v>1570.8525180000001</c:v>
                </c:pt>
                <c:pt idx="4">
                  <c:v>1480.682736</c:v>
                </c:pt>
                <c:pt idx="5">
                  <c:v>1297.9702830000001</c:v>
                </c:pt>
                <c:pt idx="6">
                  <c:v>1091.5289400000001</c:v>
                </c:pt>
                <c:pt idx="7">
                  <c:v>908.81648700000005</c:v>
                </c:pt>
                <c:pt idx="8">
                  <c:v>771.18892500000004</c:v>
                </c:pt>
                <c:pt idx="9">
                  <c:v>683.39203199999997</c:v>
                </c:pt>
                <c:pt idx="10">
                  <c:v>626.44269600000007</c:v>
                </c:pt>
              </c:numCache>
            </c:numRef>
          </c:val>
          <c:extLst>
            <c:ext xmlns:c16="http://schemas.microsoft.com/office/drawing/2014/chart" uri="{C3380CC4-5D6E-409C-BE32-E72D297353CC}">
              <c16:uniqueId val="{0000000C-D4ED-4DFB-82BA-9CCC14DED80A}"/>
            </c:ext>
          </c:extLst>
        </c:ser>
        <c:ser>
          <c:idx val="7"/>
          <c:order val="4"/>
          <c:tx>
            <c:strRef>
              <c:f>'388G-NR'!$B$20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'388G-NR'!$F$20:$P$20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8-D4ED-4DFB-82BA-9CCC14DED80A}"/>
            </c:ext>
          </c:extLst>
        </c:ser>
        <c:ser>
          <c:idx val="4"/>
          <c:order val="5"/>
          <c:tx>
            <c:strRef>
              <c:f>'388G-NR'!$B$23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D4ED-4DFB-82BA-9CCC14DED80A}"/>
              </c:ext>
            </c:extLst>
          </c:dPt>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'388G-NR'!$F$23:$P$23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C-D4ED-4DFB-82BA-9CCC14DED80A}"/>
            </c:ext>
          </c:extLst>
        </c:ser>
        <c:ser>
          <c:idx val="5"/>
          <c:order val="6"/>
          <c:tx>
            <c:strRef>
              <c:f>'388G-NR'!$B$22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9.8442915904458209E-2"/>
                  <c:y val="-4.2082044979745901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D4ED-4DFB-82BA-9CCC14DED80A}"/>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'388G-NR'!$F$22:$P$22</c:f>
              <c:numCache>
                <c:formatCode>0</c:formatCode>
                <c:ptCount val="11"/>
                <c:pt idx="0">
                  <c:v>0</c:v>
                </c:pt>
                <c:pt idx="1">
                  <c:v>196.69001</c:v>
                </c:pt>
                <c:pt idx="2">
                  <c:v>196.69001</c:v>
                </c:pt>
                <c:pt idx="3">
                  <c:v>196.69001</c:v>
                </c:pt>
                <c:pt idx="4">
                  <c:v>196.69001</c:v>
                </c:pt>
                <c:pt idx="5">
                  <c:v>196.69001</c:v>
                </c:pt>
                <c:pt idx="6">
                  <c:v>196.69001</c:v>
                </c:pt>
                <c:pt idx="7">
                  <c:v>196.69001</c:v>
                </c:pt>
                <c:pt idx="8">
                  <c:v>196.69001</c:v>
                </c:pt>
                <c:pt idx="9">
                  <c:v>196.69001</c:v>
                </c:pt>
                <c:pt idx="10">
                  <c:v>196.69001</c:v>
                </c:pt>
              </c:numCache>
            </c:numRef>
          </c:val>
          <c:extLst>
            <c:ext xmlns:c16="http://schemas.microsoft.com/office/drawing/2014/chart" uri="{C3380CC4-5D6E-409C-BE32-E72D297353CC}">
              <c16:uniqueId val="{0000001E-D4ED-4DFB-82BA-9CCC14DED80A}"/>
            </c:ext>
          </c:extLst>
        </c:ser>
        <c:ser>
          <c:idx val="3"/>
          <c:order val="7"/>
          <c:tx>
            <c:strRef>
              <c:f>'388G-NR'!$B$24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343864049855E-2"/>
                  <c:y val="-7.076873170341961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D4ED-4DFB-82BA-9CCC14DED80A}"/>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'388G-NR'!$F$19:$P$19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'388G-NR'!$F$24:$P$24</c:f>
              <c:numCache>
                <c:formatCode>0</c:formatCode>
                <c:ptCount val="11"/>
                <c:pt idx="0">
                  <c:v>0</c:v>
                </c:pt>
                <c:pt idx="1">
                  <c:v>79.60561430528</c:v>
                </c:pt>
                <c:pt idx="2">
                  <c:v>72.419300847744992</c:v>
                </c:pt>
                <c:pt idx="3">
                  <c:v>65.232987390209999</c:v>
                </c:pt>
                <c:pt idx="4">
                  <c:v>58.046673932674992</c:v>
                </c:pt>
                <c:pt idx="5">
                  <c:v>50.860360475139998</c:v>
                </c:pt>
                <c:pt idx="6">
                  <c:v>43.674047017604991</c:v>
                </c:pt>
                <c:pt idx="7">
                  <c:v>36.487733560069998</c:v>
                </c:pt>
                <c:pt idx="8">
                  <c:v>29.301420102534994</c:v>
                </c:pt>
                <c:pt idx="9">
                  <c:v>22.115106644999994</c:v>
                </c:pt>
                <c:pt idx="10">
                  <c:v>22.115106645000001</c:v>
                </c:pt>
              </c:numCache>
            </c:numRef>
          </c:val>
          <c:extLst>
            <c:ext xmlns:c16="http://schemas.microsoft.com/office/drawing/2014/chart" uri="{C3380CC4-5D6E-409C-BE32-E72D297353CC}">
              <c16:uniqueId val="{00000020-D4ED-4DFB-82BA-9CCC14DED80A}"/>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'388G-NR'!$E$17</c:f>
              <c:strCache>
                <c:ptCount val="1"/>
                <c:pt idx="0">
                  <c:v>kg.CO2-e/m2</c:v>
                </c:pt>
              </c:strCache>
            </c:strRef>
          </c:tx>
          <c:spPr>
            <a:ln w="28575" cap="rnd">
              <a:solidFill>
                <a:srgbClr val="2DCCD3"/>
              </a:solidFill>
              <a:round/>
            </a:ln>
            <a:effectLst/>
          </c:spPr>
          <c:marker>
            <c:symbol val="none"/>
          </c:marker>
          <c:dLbls>
            <c:dLbl>
              <c:idx val="0"/>
              <c:layout>
                <c:manualLayout>
                  <c:x val="-3.6978440661779431E-2"/>
                  <c:y val="-2.2934285215213158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1-D4ED-4DFB-82BA-9CCC14DED80A}"/>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D4ED-4DFB-82BA-9CCC14DED80A}"/>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'388G-NR'!$F$12:$P$12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'388G-NR'!$F$17:$P$17</c:f>
              <c:numCache>
                <c:formatCode>0.0</c:formatCode>
                <c:ptCount val="11"/>
                <c:pt idx="0">
                  <c:v>52.312904461804344</c:v>
                </c:pt>
                <c:pt idx="1">
                  <c:v>21.340067849610939</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D4ED-4DFB-82BA-9CCC14DED80A}"/>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2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53"/>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Energy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6.8796337171610336E-2"/>
          <c:y val="0.19326558970827673"/>
          <c:w val="0.91646040707638288"/>
          <c:h val="0.70766322199873155"/>
        </c:manualLayout>
      </c:layout>
      <c:barChart>
        <c:barDir val="col"/>
        <c:grouping val="clustered"/>
        <c:varyColors val="0"/>
        <c:ser>
          <c:idx val="2"/>
          <c:order val="2"/>
          <c:tx>
            <c:strRef>
              <c:f>'388G-NR'!$E$51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B692-4345-BB6A-49D1100CE38B}"/>
                </c:ext>
              </c:extLst>
            </c:dLbl>
            <c:dLbl>
              <c:idx val="1"/>
              <c:delete val="1"/>
              <c:extLst>
                <c:ext xmlns:c15="http://schemas.microsoft.com/office/drawing/2012/chart" uri="{CE6537A1-D6FC-4f65-9D91-7224C49458BB}"/>
                <c:ext xmlns:c16="http://schemas.microsoft.com/office/drawing/2014/chart" uri="{C3380CC4-5D6E-409C-BE32-E72D297353CC}">
                  <c16:uniqueId val="{00000001-B692-4345-BB6A-49D1100CE38B}"/>
                </c:ext>
              </c:extLst>
            </c:dLbl>
            <c:dLbl>
              <c:idx val="2"/>
              <c:delete val="1"/>
              <c:extLst>
                <c:ext xmlns:c15="http://schemas.microsoft.com/office/drawing/2012/chart" uri="{CE6537A1-D6FC-4f65-9D91-7224C49458BB}"/>
                <c:ext xmlns:c16="http://schemas.microsoft.com/office/drawing/2014/chart" uri="{C3380CC4-5D6E-409C-BE32-E72D297353CC}">
                  <c16:uniqueId val="{00000002-B692-4345-BB6A-49D1100CE38B}"/>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4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'388G-NR'!$F$30:$P$30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'388G-NR'!$F$51:$P$51</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B692-4345-BB6A-49D1100CE38B}"/>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layout>
                <c:manualLayout>
                  <c:x val="-8.3735383572141164E-2"/>
                  <c:y val="-5.8280081007132799E-2"/>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accent2"/>
                      </a:solidFill>
                      <a:latin typeface="+mn-lt"/>
                      <a:ea typeface="+mn-ea"/>
                      <a:cs typeface="+mn-cs"/>
                    </a:defRPr>
                  </a:pPr>
                  <a:endParaRPr lang="en-US"/>
                </a:p>
              </c:txPr>
              <c:dLblPos val="r"/>
              <c:showLegendKey val="0"/>
              <c:showVal val="1"/>
              <c:showCatName val="0"/>
              <c:showSerName val="1"/>
              <c:showPercent val="0"/>
              <c:showBubbleSize val="0"/>
              <c:separator>
</c:separator>
              <c:extLst>
                <c:ext xmlns:c15="http://schemas.microsoft.com/office/drawing/2012/chart" uri="{CE6537A1-D6FC-4f65-9D91-7224C49458BB}">
                  <c15:layout>
                    <c:manualLayout>
                      <c:w val="0.12856921800493581"/>
                      <c:h val="0.14194871614145502"/>
                    </c:manualLayout>
                  </c15:layout>
                </c:ext>
                <c:ext xmlns:c16="http://schemas.microsoft.com/office/drawing/2014/chart" uri="{C3380CC4-5D6E-409C-BE32-E72D297353CC}">
                  <c16:uniqueId val="{00000004-B692-4345-BB6A-49D1100CE38B}"/>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'388G-NR'!$F$8:$P$8</c:f>
              <c:numCache>
                <c:formatCode>#,##0_ ;\-#,##0\ </c:formatCode>
                <c:ptCount val="11"/>
                <c:pt idx="0">
                  <c:v>3817</c:v>
                </c:pt>
                <c:pt idx="1">
                  <c:v>3817</c:v>
                </c:pt>
                <c:pt idx="2">
                  <c:v>3817</c:v>
                </c:pt>
                <c:pt idx="3">
                  <c:v>3817</c:v>
                </c:pt>
                <c:pt idx="4">
                  <c:v>3817</c:v>
                </c:pt>
                <c:pt idx="5">
                  <c:v>3817</c:v>
                </c:pt>
                <c:pt idx="6">
                  <c:v>3817</c:v>
                </c:pt>
                <c:pt idx="7">
                  <c:v>3817</c:v>
                </c:pt>
                <c:pt idx="8">
                  <c:v>3817</c:v>
                </c:pt>
                <c:pt idx="9">
                  <c:v>3817</c:v>
                </c:pt>
                <c:pt idx="10">
                  <c:v>3817</c:v>
                </c:pt>
              </c:numCache>
            </c:numRef>
          </c:val>
          <c:smooth val="0"/>
          <c:extLst>
            <c:ext xmlns:c16="http://schemas.microsoft.com/office/drawing/2014/chart" uri="{C3380CC4-5D6E-409C-BE32-E72D297353CC}">
              <c16:uniqueId val="{00000005-B692-4345-BB6A-49D1100CE38B}"/>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B692-4345-BB6A-49D1100CE38B}"/>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692-4345-BB6A-49D1100CE38B}"/>
                </c:ext>
              </c:extLst>
            </c:dLbl>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'388G-NR'!$F$36:$P$36</c:f>
              <c:numCache>
                <c:formatCode>_-"$"* #,##0_-;\-"$"* #,##0_-;_-"$"* "-"??_-;_-@_-</c:formatCode>
                <c:ptCount val="11"/>
                <c:pt idx="0">
                  <c:v>497159.06480000005</c:v>
                </c:pt>
                <c:pt idx="1">
                  <c:v>343838.49161833432</c:v>
                </c:pt>
                <c:pt idx="2">
                  <c:v>371587.70598793885</c:v>
                </c:pt>
                <c:pt idx="3">
                  <c:v>383152.32510474545</c:v>
                </c:pt>
                <c:pt idx="4">
                  <c:v>395123.45788192499</c:v>
                </c:pt>
                <c:pt idx="5">
                  <c:v>407514.93211958115</c:v>
                </c:pt>
                <c:pt idx="6">
                  <c:v>420341.04758548108</c:v>
                </c:pt>
                <c:pt idx="7">
                  <c:v>433616.59217376332</c:v>
                </c:pt>
                <c:pt idx="8">
                  <c:v>499584.88365262281</c:v>
                </c:pt>
                <c:pt idx="9">
                  <c:v>515633.66769090039</c:v>
                </c:pt>
                <c:pt idx="10">
                  <c:v>532674.50145386369</c:v>
                </c:pt>
              </c:numCache>
            </c:numRef>
          </c:val>
          <c:smooth val="0"/>
          <c:extLst>
            <c:ext xmlns:c16="http://schemas.microsoft.com/office/drawing/2014/chart" uri="{C3380CC4-5D6E-409C-BE32-E72D297353CC}">
              <c16:uniqueId val="{00000008-B692-4345-BB6A-49D1100CE38B}"/>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25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9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95B2-452E-A59E-A0855D705B1B}"/>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95B2-452E-A59E-A0855D705B1B}"/>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95B2-452E-A59E-A0855D705B1B}"/>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95B2-452E-A59E-A0855D705B1B}"/>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5B2-452E-A59E-A0855D705B1B}"/>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5B2-452E-A59E-A0855D705B1B}"/>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5B2-452E-A59E-A0855D705B1B}"/>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5B2-452E-A59E-A0855D705B1B}"/>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09-95B2-452E-A59E-A0855D705B1B}"/>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95B2-452E-A59E-A0855D705B1B}"/>
                </c:ext>
              </c:extLst>
            </c:dLbl>
            <c:dLbl>
              <c:idx val="2"/>
              <c:delete val="1"/>
              <c:extLst>
                <c:ext xmlns:c15="http://schemas.microsoft.com/office/drawing/2012/chart" uri="{CE6537A1-D6FC-4f65-9D91-7224C49458BB}"/>
                <c:ext xmlns:c16="http://schemas.microsoft.com/office/drawing/2014/chart" uri="{C3380CC4-5D6E-409C-BE32-E72D297353CC}">
                  <c16:uniqueId val="{0000000B-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0C-95B2-452E-A59E-A0855D705B1B}"/>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95B2-452E-A59E-A0855D705B1B}"/>
                </c:ext>
              </c:extLst>
            </c:dLbl>
            <c:dLbl>
              <c:idx val="2"/>
              <c:delete val="1"/>
              <c:extLst>
                <c:ext xmlns:c15="http://schemas.microsoft.com/office/drawing/2012/chart" uri="{CE6537A1-D6FC-4f65-9D91-7224C49458BB}"/>
                <c:ext xmlns:c16="http://schemas.microsoft.com/office/drawing/2014/chart" uri="{C3380CC4-5D6E-409C-BE32-E72D297353CC}">
                  <c16:uniqueId val="{0000000E-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0F-95B2-452E-A59E-A0855D705B1B}"/>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95B2-452E-A59E-A0855D705B1B}"/>
                </c:ext>
              </c:extLst>
            </c:dLbl>
            <c:dLbl>
              <c:idx val="2"/>
              <c:delete val="1"/>
              <c:extLst>
                <c:ext xmlns:c15="http://schemas.microsoft.com/office/drawing/2012/chart" uri="{CE6537A1-D6FC-4f65-9D91-7224C49458BB}"/>
                <c:ext xmlns:c16="http://schemas.microsoft.com/office/drawing/2014/chart" uri="{C3380CC4-5D6E-409C-BE32-E72D297353CC}">
                  <c16:uniqueId val="{00000011-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12-95B2-452E-A59E-A0855D705B1B}"/>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95B2-452E-A59E-A0855D705B1B}"/>
                </c:ext>
              </c:extLst>
            </c:dLbl>
            <c:dLbl>
              <c:idx val="2"/>
              <c:delete val="1"/>
              <c:extLst>
                <c:ext xmlns:c15="http://schemas.microsoft.com/office/drawing/2012/chart" uri="{CE6537A1-D6FC-4f65-9D91-7224C49458BB}"/>
                <c:ext xmlns:c16="http://schemas.microsoft.com/office/drawing/2014/chart" uri="{C3380CC4-5D6E-409C-BE32-E72D297353CC}">
                  <c16:uniqueId val="{00000014-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15-95B2-452E-A59E-A0855D705B1B}"/>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95B2-452E-A59E-A0855D705B1B}"/>
                </c:ext>
              </c:extLst>
            </c:dLbl>
            <c:dLbl>
              <c:idx val="2"/>
              <c:delete val="1"/>
              <c:extLst>
                <c:ext xmlns:c15="http://schemas.microsoft.com/office/drawing/2012/chart" uri="{CE6537A1-D6FC-4f65-9D91-7224C49458BB}"/>
                <c:ext xmlns:c16="http://schemas.microsoft.com/office/drawing/2014/chart" uri="{C3380CC4-5D6E-409C-BE32-E72D297353CC}">
                  <c16:uniqueId val="{00000017-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18-95B2-452E-A59E-A0855D705B1B}"/>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95B2-452E-A59E-A0855D705B1B}"/>
                </c:ext>
              </c:extLst>
            </c:dLbl>
            <c:dLbl>
              <c:idx val="2"/>
              <c:delete val="1"/>
              <c:extLst>
                <c:ext xmlns:c15="http://schemas.microsoft.com/office/drawing/2012/chart" uri="{CE6537A1-D6FC-4f65-9D91-7224C49458BB}"/>
                <c:ext xmlns:c16="http://schemas.microsoft.com/office/drawing/2014/chart" uri="{C3380CC4-5D6E-409C-BE32-E72D297353CC}">
                  <c16:uniqueId val="{0000001A-95B2-452E-A59E-A0855D705B1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1B-95B2-452E-A59E-A0855D705B1B}"/>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1C-95B2-452E-A59E-A0855D705B1B}"/>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'1M-OS'!#REF!</c15:sqref>
                        </c15:formulaRef>
                      </c:ext>
                    </c:extLst>
                    <c:strCache>
                      <c:ptCount val="1"/>
                      <c:pt idx="0">
                        <c:v>#REF!</c:v>
                      </c:pt>
                    </c:strCache>
                  </c:strRef>
                </c15:cat>
              </c15:filteredCategoryTitle>
            </c:ext>
            <c:ext xmlns:c16="http://schemas.microsoft.com/office/drawing/2014/chart" uri="{C3380CC4-5D6E-409C-BE32-E72D297353CC}">
              <c16:uniqueId val="{0000001D-95B2-452E-A59E-A0855D705B1B}"/>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'1M-OS'!#REF!</c:f>
              <c:numCache>
                <c:formatCode>General</c:formatCode>
                <c:ptCount val="1"/>
                <c:pt idx="0">
                  <c:v>1</c:v>
                </c:pt>
              </c:numCache>
            </c:numRef>
          </c:val>
          <c:smooth val="0"/>
          <c:extLst>
            <c:ext xmlns:c16="http://schemas.microsoft.com/office/drawing/2014/chart" uri="{C3380CC4-5D6E-409C-BE32-E72D297353CC}">
              <c16:uniqueId val="{0000001E-95B2-452E-A59E-A0855D705B1B}"/>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'40M-NR'!$E$56</c:f>
              <c:strCache>
                <c:ptCount val="1"/>
                <c:pt idx="0">
                  <c:v>40 Mount Street</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BF5D-4624-8555-62FF37D73E3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'40M-NR'!$F$55:$P$55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'40M-NR'!$F$56:$P$56</c:f>
              <c:numCache>
                <c:formatCode>0.00</c:formatCode>
                <c:ptCount val="11"/>
                <c:pt idx="0">
                  <c:v>5.8216697801408248</c:v>
                </c:pt>
                <c:pt idx="1">
                  <c:v>5.8216697801408248</c:v>
                </c:pt>
                <c:pt idx="2">
                  <c:v>5.8107065289353068</c:v>
                </c:pt>
                <c:pt idx="3">
                  <c:v>5.8107065289353068</c:v>
                </c:pt>
                <c:pt idx="4">
                  <c:v>5.8107065289353068</c:v>
                </c:pt>
                <c:pt idx="5">
                  <c:v>5.8499647687555969</c:v>
                </c:pt>
                <c:pt idx="6">
                  <c:v>5.8761369286357903</c:v>
                </c:pt>
                <c:pt idx="7">
                  <c:v>5.8761369286357903</c:v>
                </c:pt>
                <c:pt idx="8">
                  <c:v>5.8662850006524447</c:v>
                </c:pt>
                <c:pt idx="9">
                  <c:v>5.8662850006524447</c:v>
                </c:pt>
                <c:pt idx="10">
                  <c:v>5.8662850006524447</c:v>
                </c:pt>
              </c:numCache>
            </c:numRef>
          </c:val>
          <c:smooth val="0"/>
          <c:extLst>
            <c:ext xmlns:c16="http://schemas.microsoft.com/office/drawing/2014/chart" uri="{C3380CC4-5D6E-409C-BE32-E72D297353CC}">
              <c16:uniqueId val="{00000000-BF5D-4624-8555-62FF37D73E3A}"/>
            </c:ext>
          </c:extLst>
        </c:ser>
        <c:ser>
          <c:idx val="1"/>
          <c:order val="1"/>
          <c:tx>
            <c:strRef>
              <c:f>'40M-NR'!$E$57</c:f>
              <c:strCache>
                <c:ptCount val="1"/>
                <c:pt idx="0">
                  <c:v>ICPF</c:v>
                </c:pt>
              </c:strCache>
            </c:strRef>
          </c:tx>
          <c:spPr>
            <a:ln w="28575" cap="rnd">
              <a:solidFill>
                <a:schemeClr val="accent5"/>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BF5D-4624-8555-62FF37D73E3A}"/>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1-BF5D-4624-8555-62FF37D73E3A}"/>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3"/>
                <c:order val="2"/>
                <c:tx>
                  <c:strRef>
                    <c:extLst>
                      <c:ext uri="{02D57815-91ED-43cb-92C2-25804820EDAC}">
                        <c15:formulaRef>
                          <c15:sqref>'40M-NR'!$E$58</c15:sqref>
                        </c15:formulaRef>
                      </c:ext>
                    </c:extLst>
                    <c:strCache>
                      <c:ptCount val="1"/>
                    </c:strCache>
                  </c:strRef>
                </c:tx>
                <c:spPr>
                  <a:ln w="28575" cap="rnd">
                    <a:solidFill>
                      <a:schemeClr val="accent4"/>
                    </a:solidFill>
                    <a:round/>
                  </a:ln>
                  <a:effectLst/>
                </c:spPr>
                <c:marker>
                  <c:symbol val="none"/>
                </c:marker>
                <c:cat>
                  <c:strRef>
                    <c:extLst>
                      <c:ext uri="{02D57815-91ED-43cb-92C2-25804820EDAC}">
                        <c15:formulaRef>
                          <c15:sqref>'40M-NR'!$F$55:$P$55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'40M-NR'!$F$58:$P$58</c15:sqref>
                        </c15:formulaRef>
                      </c:ext>
                    </c:extLst>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3-BF5D-4624-8555-62FF37D73E3A}"/>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6"/>
          <c:min val="5.2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2"/>
          <c:order val="2"/>
          <c:tx>
            <c:strRef>
              <c:f>'40M-NR'!$E$51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E626-4EE0-BA8F-4350BEF92618}"/>
                </c:ext>
              </c:extLst>
            </c:dLbl>
            <c:dLbl>
              <c:idx val="1"/>
              <c:delete val="1"/>
              <c:extLst>
                <c:ext xmlns:c15="http://schemas.microsoft.com/office/drawing/2012/chart" uri="{CE6537A1-D6FC-4f65-9D91-7224C49458BB}"/>
                <c:ext xmlns:c16="http://schemas.microsoft.com/office/drawing/2014/chart" uri="{C3380CC4-5D6E-409C-BE32-E72D297353CC}">
                  <c16:uniqueId val="{00000001-E626-4EE0-BA8F-4350BEF92618}"/>
                </c:ext>
              </c:extLst>
            </c:dLbl>
            <c:dLbl>
              <c:idx val="2"/>
              <c:delete val="1"/>
              <c:extLst>
                <c:ext xmlns:c15="http://schemas.microsoft.com/office/drawing/2012/chart" uri="{CE6537A1-D6FC-4f65-9D91-7224C49458BB}"/>
                <c:ext xmlns:c16="http://schemas.microsoft.com/office/drawing/2014/chart" uri="{C3380CC4-5D6E-409C-BE32-E72D297353CC}">
                  <c16:uniqueId val="{00000002-E626-4EE0-BA8F-4350BEF92618}"/>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'40M-NR'!$F$51:$P$51</c:f>
              <c:numCache>
                <c:formatCode>"$"#,##0</c:formatCode>
                <c:ptCount val="11"/>
                <c:pt idx="0">
                  <c:v>0</c:v>
                </c:pt>
                <c:pt idx="1">
                  <c:v>-1933.5549137278576</c:v>
                </c:pt>
                <c:pt idx="2">
                  <c:v>-2033.106757078669</c:v>
                </c:pt>
                <c:pt idx="3">
                  <c:v>-2137.0992375878268</c:v>
                </c:pt>
                <c:pt idx="4">
                  <c:v>-2245.7164672351209</c:v>
                </c:pt>
                <c:pt idx="5">
                  <c:v>29423.56207433145</c:v>
                </c:pt>
                <c:pt idx="6">
                  <c:v>30417.508428340661</c:v>
                </c:pt>
                <c:pt idx="7">
                  <c:v>31445.166555182426</c:v>
                </c:pt>
                <c:pt idx="8">
                  <c:v>31436.384948576335</c:v>
                </c:pt>
                <c:pt idx="9">
                  <c:v>32474.380991817452</c:v>
                </c:pt>
                <c:pt idx="10">
                  <c:v>33547.091792093473</c:v>
                </c:pt>
              </c:numCache>
            </c:numRef>
          </c:val>
          <c:extLst>
            <c:ext xmlns:c16="http://schemas.microsoft.com/office/drawing/2014/chart" uri="{C3380CC4-5D6E-409C-BE32-E72D297353CC}">
              <c16:uniqueId val="{00000003-E626-4EE0-BA8F-4350BEF92618}"/>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layout>
                <c:manualLayout>
                  <c:x val="-4.7182681901655227E-2"/>
                  <c:y val="-9.5702074958940689E-2"/>
                </c:manualLayout>
              </c:layout>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E626-4EE0-BA8F-4350BEF92618}"/>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'40M-NR'!$F$6:$P$6</c:f>
              <c:numCache>
                <c:formatCode>#,##0_ ;\-#,##0\ </c:formatCode>
                <c:ptCount val="11"/>
                <c:pt idx="0">
                  <c:v>1211</c:v>
                </c:pt>
                <c:pt idx="1">
                  <c:v>1241</c:v>
                </c:pt>
                <c:pt idx="2">
                  <c:v>1241</c:v>
                </c:pt>
                <c:pt idx="3">
                  <c:v>1241</c:v>
                </c:pt>
                <c:pt idx="4">
                  <c:v>1241</c:v>
                </c:pt>
                <c:pt idx="5">
                  <c:v>1141</c:v>
                </c:pt>
                <c:pt idx="6">
                  <c:v>1141</c:v>
                </c:pt>
                <c:pt idx="7">
                  <c:v>1141</c:v>
                </c:pt>
                <c:pt idx="8">
                  <c:v>1161</c:v>
                </c:pt>
                <c:pt idx="9">
                  <c:v>1161</c:v>
                </c:pt>
                <c:pt idx="10">
                  <c:v>1161</c:v>
                </c:pt>
              </c:numCache>
            </c:numRef>
          </c:val>
          <c:smooth val="0"/>
          <c:extLst>
            <c:ext xmlns:c16="http://schemas.microsoft.com/office/drawing/2014/chart" uri="{C3380CC4-5D6E-409C-BE32-E72D297353CC}">
              <c16:uniqueId val="{00000005-E626-4EE0-BA8F-4350BEF92618}"/>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E626-4EE0-BA8F-4350BEF92618}"/>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26-4EE0-BA8F-4350BEF92618}"/>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'40M-NR'!$F$32:$P$32</c:f>
              <c:numCache>
                <c:formatCode>_-"$"* #,##0_-;\-"$"* #,##0_-;_-"$"* "-"??_-;_-@_-</c:formatCode>
                <c:ptCount val="11"/>
                <c:pt idx="0">
                  <c:v>340315.33999999997</c:v>
                </c:pt>
                <c:pt idx="1">
                  <c:v>335408.21521375299</c:v>
                </c:pt>
                <c:pt idx="2">
                  <c:v>347147.5027462343</c:v>
                </c:pt>
                <c:pt idx="3">
                  <c:v>359297.66534235253</c:v>
                </c:pt>
                <c:pt idx="4">
                  <c:v>371873.08362933481</c:v>
                </c:pt>
                <c:pt idx="5">
                  <c:v>384888.64155636152</c:v>
                </c:pt>
                <c:pt idx="6">
                  <c:v>398359.74401083414</c:v>
                </c:pt>
                <c:pt idx="7">
                  <c:v>412302.33505121327</c:v>
                </c:pt>
                <c:pt idx="8">
                  <c:v>494762.80206145596</c:v>
                </c:pt>
                <c:pt idx="9">
                  <c:v>512079.5001336069</c:v>
                </c:pt>
                <c:pt idx="10">
                  <c:v>530002.2826382831</c:v>
                </c:pt>
              </c:numCache>
            </c:numRef>
          </c:val>
          <c:smooth val="0"/>
          <c:extLst>
            <c:ext xmlns:c16="http://schemas.microsoft.com/office/drawing/2014/chart" uri="{C3380CC4-5D6E-409C-BE32-E72D297353CC}">
              <c16:uniqueId val="{00000008-E626-4EE0-BA8F-4350BEF92618}"/>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7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1.1840581928265615E-2"/>
          <c:y val="3.2363790633202306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1083387898661808"/>
          <c:w val="0.96393383157987933"/>
          <c:h val="0.82031567352170343"/>
        </c:manualLayout>
      </c:layout>
      <c:barChart>
        <c:barDir val="col"/>
        <c:grouping val="stacked"/>
        <c:varyColors val="0"/>
        <c:ser>
          <c:idx val="0"/>
          <c:order val="0"/>
          <c:tx>
            <c:strRef>
              <c:f>'40M-NR'!$B$27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B35E-4C29-80BF-B10A0281BA2C}"/>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'40M-NR'!$F$27:$P$27</c:f>
              <c:numCache>
                <c:formatCode>0</c:formatCode>
                <c:ptCount val="11"/>
                <c:pt idx="0" formatCode="#,##0_ ;\-#,##0\ ">
                  <c:v>956.69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B35E-4C29-80BF-B10A0281BA2C}"/>
            </c:ext>
          </c:extLst>
        </c:ser>
        <c:ser>
          <c:idx val="1"/>
          <c:order val="1"/>
          <c:tx>
            <c:strRef>
              <c:f>'40M-NR'!$B$26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63977634296E-2"/>
                  <c:y val="-1.189990238063417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B35E-4C29-80BF-B10A0281BA2C}"/>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'40M-NR'!$F$26:$P$26</c:f>
              <c:numCache>
                <c:formatCode>0</c:formatCode>
                <c:ptCount val="11"/>
                <c:pt idx="0">
                  <c:v>113.57212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B35E-4C29-80BF-B10A0281BA2C}"/>
            </c:ext>
          </c:extLst>
        </c:ser>
        <c:ser>
          <c:idx val="2"/>
          <c:order val="2"/>
          <c:tx>
            <c:strRef>
              <c:f>'40M-NR'!$B$25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B35E-4C29-80BF-B10A0281BA2C}"/>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'40M-NR'!$F$25:$P$25</c:f>
              <c:numCache>
                <c:formatCode>0</c:formatCode>
                <c:ptCount val="11"/>
                <c:pt idx="0">
                  <c:v>55.33126712744113</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B35E-4C29-80BF-B10A0281BA2C}"/>
            </c:ext>
          </c:extLst>
        </c:ser>
        <c:ser>
          <c:idx val="6"/>
          <c:order val="3"/>
          <c:tx>
            <c:strRef>
              <c:f>'40M-NR'!$B$21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B35E-4C29-80BF-B10A0281BA2C}"/>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B35E-4C29-80BF-B10A0281BA2C}"/>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B35E-4C29-80BF-B10A0281BA2C}"/>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B35E-4C29-80BF-B10A0281BA2C}"/>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'40M-NR'!$F$21:$P$21</c:f>
              <c:numCache>
                <c:formatCode>0</c:formatCode>
                <c:ptCount val="11"/>
                <c:pt idx="0">
                  <c:v>0</c:v>
                </c:pt>
                <c:pt idx="1">
                  <c:v>920.822</c:v>
                </c:pt>
                <c:pt idx="2">
                  <c:v>905.93</c:v>
                </c:pt>
                <c:pt idx="3">
                  <c:v>821.54200000000003</c:v>
                </c:pt>
                <c:pt idx="4">
                  <c:v>774.38400000000001</c:v>
                </c:pt>
                <c:pt idx="5">
                  <c:v>624.12700000000007</c:v>
                </c:pt>
                <c:pt idx="6">
                  <c:v>524.86</c:v>
                </c:pt>
                <c:pt idx="7">
                  <c:v>437.00299999999999</c:v>
                </c:pt>
                <c:pt idx="8">
                  <c:v>377.32499999999999</c:v>
                </c:pt>
                <c:pt idx="9">
                  <c:v>334.36799999999999</c:v>
                </c:pt>
                <c:pt idx="10">
                  <c:v>306.50400000000002</c:v>
                </c:pt>
              </c:numCache>
            </c:numRef>
          </c:val>
          <c:extLst>
            <c:ext xmlns:c16="http://schemas.microsoft.com/office/drawing/2014/chart" uri="{C3380CC4-5D6E-409C-BE32-E72D297353CC}">
              <c16:uniqueId val="{0000000C-B35E-4C29-80BF-B10A0281BA2C}"/>
            </c:ext>
          </c:extLst>
        </c:ser>
        <c:ser>
          <c:idx val="7"/>
          <c:order val="4"/>
          <c:tx>
            <c:strRef>
              <c:f>'40M-NR'!$B$20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B35E-4C29-80BF-B10A0281BA2C}"/>
                </c:ext>
              </c:extLst>
            </c:dLbl>
            <c:dLbl>
              <c:idx val="1"/>
              <c:delete val="1"/>
              <c:extLst>
                <c:ext xmlns:c15="http://schemas.microsoft.com/office/drawing/2012/chart" uri="{CE6537A1-D6FC-4f65-9D91-7224C49458BB}"/>
                <c:ext xmlns:c16="http://schemas.microsoft.com/office/drawing/2014/chart" uri="{C3380CC4-5D6E-409C-BE32-E72D297353CC}">
                  <c16:uniqueId val="{0000000E-B35E-4C29-80BF-B10A0281BA2C}"/>
                </c:ext>
              </c:extLst>
            </c:dLbl>
            <c:dLbl>
              <c:idx val="2"/>
              <c:delete val="1"/>
              <c:extLst>
                <c:ext xmlns:c15="http://schemas.microsoft.com/office/drawing/2012/chart" uri="{CE6537A1-D6FC-4f65-9D91-7224C49458BB}"/>
                <c:ext xmlns:c16="http://schemas.microsoft.com/office/drawing/2014/chart" uri="{C3380CC4-5D6E-409C-BE32-E72D297353CC}">
                  <c16:uniqueId val="{0000000F-B35E-4C29-80BF-B10A0281BA2C}"/>
                </c:ext>
              </c:extLst>
            </c:dLbl>
            <c:dLbl>
              <c:idx val="3"/>
              <c:layout>
                <c:manualLayout>
                  <c:x val="0.14128330175888651"/>
                  <c:y val="-0.22817289254415002"/>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B35E-4C29-80BF-B10A0281BA2C}"/>
                </c:ext>
              </c:extLst>
            </c:dLbl>
            <c:dLbl>
              <c:idx val="4"/>
              <c:delete val="1"/>
              <c:extLst>
                <c:ext xmlns:c15="http://schemas.microsoft.com/office/drawing/2012/chart" uri="{CE6537A1-D6FC-4f65-9D91-7224C49458BB}"/>
                <c:ext xmlns:c16="http://schemas.microsoft.com/office/drawing/2014/chart" uri="{C3380CC4-5D6E-409C-BE32-E72D297353CC}">
                  <c16:uniqueId val="{00000011-B35E-4C29-80BF-B10A0281BA2C}"/>
                </c:ext>
              </c:extLst>
            </c:dLbl>
            <c:dLbl>
              <c:idx val="5"/>
              <c:layout>
                <c:manualLayout>
                  <c:x val="0.10270880209042377"/>
                  <c:y val="-9.6751653693834816E-2"/>
                </c:manualLayout>
              </c:layout>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B35E-4C29-80BF-B10A0281BA2C}"/>
                </c:ext>
              </c:extLst>
            </c:dLbl>
            <c:dLbl>
              <c:idx val="6"/>
              <c:delete val="1"/>
              <c:extLst>
                <c:ext xmlns:c15="http://schemas.microsoft.com/office/drawing/2012/chart" uri="{CE6537A1-D6FC-4f65-9D91-7224C49458BB}"/>
                <c:ext xmlns:c16="http://schemas.microsoft.com/office/drawing/2014/chart" uri="{C3380CC4-5D6E-409C-BE32-E72D297353CC}">
                  <c16:uniqueId val="{00000013-B35E-4C29-80BF-B10A0281BA2C}"/>
                </c:ext>
              </c:extLst>
            </c:dLbl>
            <c:dLbl>
              <c:idx val="7"/>
              <c:delete val="1"/>
              <c:extLst>
                <c:ext xmlns:c15="http://schemas.microsoft.com/office/drawing/2012/chart" uri="{CE6537A1-D6FC-4f65-9D91-7224C49458BB}"/>
                <c:ext xmlns:c16="http://schemas.microsoft.com/office/drawing/2014/chart" uri="{C3380CC4-5D6E-409C-BE32-E72D297353CC}">
                  <c16:uniqueId val="{00000014-B35E-4C29-80BF-B10A0281BA2C}"/>
                </c:ext>
              </c:extLst>
            </c:dLbl>
            <c:dLbl>
              <c:idx val="8"/>
              <c:delete val="1"/>
              <c:extLst>
                <c:ext xmlns:c15="http://schemas.microsoft.com/office/drawing/2012/chart" uri="{CE6537A1-D6FC-4f65-9D91-7224C49458BB}"/>
                <c:ext xmlns:c16="http://schemas.microsoft.com/office/drawing/2014/chart" uri="{C3380CC4-5D6E-409C-BE32-E72D297353CC}">
                  <c16:uniqueId val="{00000015-B35E-4C29-80BF-B10A0281BA2C}"/>
                </c:ext>
              </c:extLst>
            </c:dLbl>
            <c:dLbl>
              <c:idx val="9"/>
              <c:delete val="1"/>
              <c:extLst>
                <c:ext xmlns:c15="http://schemas.microsoft.com/office/drawing/2012/chart" uri="{CE6537A1-D6FC-4f65-9D91-7224C49458BB}"/>
                <c:ext xmlns:c16="http://schemas.microsoft.com/office/drawing/2014/chart" uri="{C3380CC4-5D6E-409C-BE32-E72D297353CC}">
                  <c16:uniqueId val="{00000016-B35E-4C29-80BF-B10A0281BA2C}"/>
                </c:ext>
              </c:extLst>
            </c:dLbl>
            <c:dLbl>
              <c:idx val="10"/>
              <c:delete val="1"/>
              <c:extLst>
                <c:ext xmlns:c15="http://schemas.microsoft.com/office/drawing/2012/chart" uri="{CE6537A1-D6FC-4f65-9D91-7224C49458BB}"/>
                <c:ext xmlns:c16="http://schemas.microsoft.com/office/drawing/2014/chart" uri="{C3380CC4-5D6E-409C-BE32-E72D297353CC}">
                  <c16:uniqueId val="{00000017-B35E-4C29-80BF-B10A0281BA2C}"/>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'40M-NR'!$F$20:$P$20</c:f>
              <c:numCache>
                <c:formatCode>0</c:formatCode>
                <c:ptCount val="11"/>
                <c:pt idx="0">
                  <c:v>0</c:v>
                </c:pt>
                <c:pt idx="1">
                  <c:v>-22.259999999999998</c:v>
                </c:pt>
                <c:pt idx="2">
                  <c:v>-21.9</c:v>
                </c:pt>
                <c:pt idx="3">
                  <c:v>-19.86</c:v>
                </c:pt>
                <c:pt idx="4">
                  <c:v>-18.72</c:v>
                </c:pt>
                <c:pt idx="5">
                  <c:v>38.290000000000006</c:v>
                </c:pt>
                <c:pt idx="6">
                  <c:v>32.200000000000003</c:v>
                </c:pt>
                <c:pt idx="7">
                  <c:v>26.810000000000002</c:v>
                </c:pt>
                <c:pt idx="8">
                  <c:v>16.25</c:v>
                </c:pt>
                <c:pt idx="9">
                  <c:v>14.399999999999999</c:v>
                </c:pt>
                <c:pt idx="10">
                  <c:v>13.200000000000001</c:v>
                </c:pt>
              </c:numCache>
            </c:numRef>
          </c:val>
          <c:extLst>
            <c:ext xmlns:c16="http://schemas.microsoft.com/office/drawing/2014/chart" uri="{C3380CC4-5D6E-409C-BE32-E72D297353CC}">
              <c16:uniqueId val="{00000018-B35E-4C29-80BF-B10A0281BA2C}"/>
            </c:ext>
          </c:extLst>
        </c:ser>
        <c:ser>
          <c:idx val="4"/>
          <c:order val="5"/>
          <c:tx>
            <c:strRef>
              <c:f>'40M-NR'!$B$23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B35E-4C29-80BF-B10A0281BA2C}"/>
              </c:ext>
            </c:extLst>
          </c:dPt>
          <c:dLbls>
            <c:dLbl>
              <c:idx val="8"/>
              <c:layout>
                <c:manualLayout>
                  <c:x val="0.13856249953241001"/>
                  <c:y val="-8.4082449351910435E-2"/>
                </c:manualLayout>
              </c:layout>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B-B35E-4C29-80BF-B10A0281BA2C}"/>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'40M-NR'!$F$23:$P$23</c:f>
              <c:numCache>
                <c:formatCode>0</c:formatCode>
                <c:ptCount val="11"/>
                <c:pt idx="0">
                  <c:v>0</c:v>
                </c:pt>
                <c:pt idx="1">
                  <c:v>10.769770000000001</c:v>
                </c:pt>
                <c:pt idx="2">
                  <c:v>10.769770000000001</c:v>
                </c:pt>
                <c:pt idx="3">
                  <c:v>10.769770000000001</c:v>
                </c:pt>
                <c:pt idx="4">
                  <c:v>10.769770000000001</c:v>
                </c:pt>
                <c:pt idx="5">
                  <c:v>10.769770000000001</c:v>
                </c:pt>
                <c:pt idx="6">
                  <c:v>10.769770000000001</c:v>
                </c:pt>
                <c:pt idx="7">
                  <c:v>10.769770000000001</c:v>
                </c:pt>
                <c:pt idx="8">
                  <c:v>14.789110000000001</c:v>
                </c:pt>
                <c:pt idx="9">
                  <c:v>14.789110000000001</c:v>
                </c:pt>
                <c:pt idx="10">
                  <c:v>14.789110000000001</c:v>
                </c:pt>
              </c:numCache>
            </c:numRef>
          </c:val>
          <c:extLst>
            <c:ext xmlns:c16="http://schemas.microsoft.com/office/drawing/2014/chart" uri="{C3380CC4-5D6E-409C-BE32-E72D297353CC}">
              <c16:uniqueId val="{0000001C-B35E-4C29-80BF-B10A0281BA2C}"/>
            </c:ext>
          </c:extLst>
        </c:ser>
        <c:ser>
          <c:idx val="5"/>
          <c:order val="6"/>
          <c:tx>
            <c:strRef>
              <c:f>'40M-NR'!$B$22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7.7410040163393992E-2"/>
                  <c:y val="-4.8176319168840825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B35E-4C29-80BF-B10A0281BA2C}"/>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'40M-NR'!$F$22:$P$22</c:f>
              <c:numCache>
                <c:formatCode>0</c:formatCode>
                <c:ptCount val="11"/>
                <c:pt idx="0">
                  <c:v>0</c:v>
                </c:pt>
                <c:pt idx="1">
                  <c:v>102.80235</c:v>
                </c:pt>
                <c:pt idx="2">
                  <c:v>102.80235</c:v>
                </c:pt>
                <c:pt idx="3">
                  <c:v>102.80235</c:v>
                </c:pt>
                <c:pt idx="4">
                  <c:v>102.80235</c:v>
                </c:pt>
                <c:pt idx="5">
                  <c:v>102.80235</c:v>
                </c:pt>
                <c:pt idx="6">
                  <c:v>102.80235</c:v>
                </c:pt>
                <c:pt idx="7">
                  <c:v>102.80235</c:v>
                </c:pt>
                <c:pt idx="8">
                  <c:v>98.783010000000004</c:v>
                </c:pt>
                <c:pt idx="9">
                  <c:v>98.783010000000004</c:v>
                </c:pt>
                <c:pt idx="10">
                  <c:v>98.783010000000004</c:v>
                </c:pt>
              </c:numCache>
            </c:numRef>
          </c:val>
          <c:extLst>
            <c:ext xmlns:c16="http://schemas.microsoft.com/office/drawing/2014/chart" uri="{C3380CC4-5D6E-409C-BE32-E72D297353CC}">
              <c16:uniqueId val="{0000001E-B35E-4C29-80BF-B10A0281BA2C}"/>
            </c:ext>
          </c:extLst>
        </c:ser>
        <c:ser>
          <c:idx val="3"/>
          <c:order val="7"/>
          <c:tx>
            <c:strRef>
              <c:f>'40M-NR'!$B$24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B35E-4C29-80BF-B10A0281BA2C}"/>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'40M-NR'!$F$24:$P$24</c:f>
              <c:numCache>
                <c:formatCode>0</c:formatCode>
                <c:ptCount val="11"/>
                <c:pt idx="0">
                  <c:v>0</c:v>
                </c:pt>
                <c:pt idx="1">
                  <c:v>50.419914320503224</c:v>
                </c:pt>
                <c:pt idx="2">
                  <c:v>45.508561513565319</c:v>
                </c:pt>
                <c:pt idx="3">
                  <c:v>40.597208706627413</c:v>
                </c:pt>
                <c:pt idx="4">
                  <c:v>35.685855899689507</c:v>
                </c:pt>
                <c:pt idx="5">
                  <c:v>30.774503092751601</c:v>
                </c:pt>
                <c:pt idx="6">
                  <c:v>25.863150285813695</c:v>
                </c:pt>
                <c:pt idx="7">
                  <c:v>20.951797478875793</c:v>
                </c:pt>
                <c:pt idx="8">
                  <c:v>16.040444671937891</c:v>
                </c:pt>
                <c:pt idx="9">
                  <c:v>11.129091864999985</c:v>
                </c:pt>
                <c:pt idx="10">
                  <c:v>11.129091864999999</c:v>
                </c:pt>
              </c:numCache>
            </c:numRef>
          </c:val>
          <c:extLst>
            <c:ext xmlns:c16="http://schemas.microsoft.com/office/drawing/2014/chart" uri="{C3380CC4-5D6E-409C-BE32-E72D297353CC}">
              <c16:uniqueId val="{00000020-B35E-4C29-80BF-B10A0281BA2C}"/>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'40M-NR'!$E$17</c:f>
              <c:strCache>
                <c:ptCount val="1"/>
                <c:pt idx="0">
                  <c:v>kg.CO2-e/m2</c:v>
                </c:pt>
              </c:strCache>
            </c:strRef>
          </c:tx>
          <c:spPr>
            <a:ln w="28575" cap="rnd">
              <a:solidFill>
                <a:srgbClr val="2DCCD3"/>
              </a:solidFill>
              <a:round/>
            </a:ln>
            <a:effectLst/>
          </c:spPr>
          <c:marker>
            <c:symbol val="none"/>
          </c:marker>
          <c:dLbls>
            <c:dLbl>
              <c:idx val="0"/>
              <c:layout>
                <c:manualLayout>
                  <c:x val="-4.0844273430476377E-2"/>
                  <c:y val="-3.501105896315476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1-B35E-4C29-80BF-B10A0281BA2C}"/>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B35E-4C29-80BF-B10A0281BA2C}"/>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'40M-NR'!$F$12:$P$12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'40M-NR'!$F$17:$P$17</c:f>
              <c:numCache>
                <c:formatCode>0.0</c:formatCode>
                <c:ptCount val="11"/>
                <c:pt idx="0">
                  <c:v>39.639152948564636</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B35E-4C29-80BF-B10A0281BA2C}"/>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2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42"/>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600">
                <a:latin typeface="Times New Roman" panose="02020603050405020304" pitchFamily="18" charset="0"/>
                <a:cs typeface="Times New Roman" panose="02020603050405020304" pitchFamily="18" charset="0"/>
              </a:rPr>
              <a:t>NABERS Energy</a:t>
            </a:r>
            <a:r>
              <a:rPr lang="en-AU" sz="1600" baseline="0">
                <a:latin typeface="Times New Roman" panose="02020603050405020304" pitchFamily="18" charset="0"/>
                <a:cs typeface="Times New Roman" panose="02020603050405020304" pitchFamily="18" charset="0"/>
              </a:rPr>
              <a:t> </a:t>
            </a:r>
            <a:endParaRPr lang="en-AU" sz="1600">
              <a:latin typeface="Times New Roman" panose="02020603050405020304" pitchFamily="18" charset="0"/>
              <a:cs typeface="Times New Roman" panose="02020603050405020304" pitchFamily="18" charset="0"/>
            </a:endParaRPr>
          </a:p>
        </c:rich>
      </c:tx>
      <c:layout>
        <c:manualLayout>
          <c:xMode val="edge"/>
          <c:yMode val="edge"/>
          <c:x val="8.9241230322504271E-3"/>
          <c:y val="1.847584146096313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5.4625587511525013E-2"/>
          <c:y val="0.14149517746428864"/>
          <c:w val="0.93253258028902852"/>
          <c:h val="0.76684881560138618"/>
        </c:manualLayout>
      </c:layout>
      <c:lineChart>
        <c:grouping val="standard"/>
        <c:varyColors val="0"/>
        <c:ser>
          <c:idx val="3"/>
          <c:order val="2"/>
          <c:tx>
            <c:strRef>
              <c:f>'420G-NR'!$E$57</c:f>
              <c:strCache>
                <c:ptCount val="1"/>
                <c:pt idx="0">
                  <c:v>ICPF</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2C48-44BE-B7BA-CED846A7F0FE}"/>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2C48-44BE-B7BA-CED846A7F0FE}"/>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2C48-44BE-B7BA-CED846A7F0FE}"/>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'420G-NR'!$F$55:$P$55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C-2C48-44BE-B7BA-CED846A7F0FE}"/>
            </c:ext>
          </c:extLst>
        </c:ser>
        <c:ser>
          <c:idx val="1"/>
          <c:order val="3"/>
          <c:tx>
            <c:strRef>
              <c:f>'420G-NR'!$E$56</c:f>
              <c:strCache>
                <c:ptCount val="1"/>
                <c:pt idx="0">
                  <c:v>420 George Street</c:v>
                </c:pt>
              </c:strCache>
            </c:strRef>
          </c:tx>
          <c:spPr>
            <a:ln w="28575" cap="rnd">
              <a:solidFill>
                <a:schemeClr val="accent2"/>
              </a:solidFill>
              <a:round/>
            </a:ln>
            <a:effectLst/>
          </c:spPr>
          <c:marker>
            <c:symbol val="none"/>
          </c:marker>
          <c:dLbls>
            <c:dLbl>
              <c:idx val="0"/>
              <c:layout>
                <c:manualLayout>
                  <c:x val="-7.1905527503306976E-2"/>
                  <c:y val="-9.6773148136188758E-2"/>
                </c:manualLayout>
              </c:layout>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E-2C48-44BE-B7BA-CED846A7F0FE}"/>
                </c:ext>
              </c:extLst>
            </c:dLbl>
            <c:dLbl>
              <c:idx val="1"/>
              <c:delete val="1"/>
              <c:extLst>
                <c:ext xmlns:c15="http://schemas.microsoft.com/office/drawing/2012/chart" uri="{CE6537A1-D6FC-4f65-9D91-7224C49458BB}"/>
                <c:ext xmlns:c16="http://schemas.microsoft.com/office/drawing/2014/chart" uri="{C3380CC4-5D6E-409C-BE32-E72D297353CC}">
                  <c16:uniqueId val="{0000000F-2C48-44BE-B7BA-CED846A7F0FE}"/>
                </c:ext>
              </c:extLst>
            </c:dLbl>
            <c:dLbl>
              <c:idx val="2"/>
              <c:delete val="1"/>
              <c:extLst>
                <c:ext xmlns:c15="http://schemas.microsoft.com/office/drawing/2012/chart" uri="{CE6537A1-D6FC-4f65-9D91-7224C49458BB}"/>
                <c:ext xmlns:c16="http://schemas.microsoft.com/office/drawing/2014/chart" uri="{C3380CC4-5D6E-409C-BE32-E72D297353CC}">
                  <c16:uniqueId val="{00000010-2C48-44BE-B7BA-CED846A7F0FE}"/>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8-2C48-44BE-B7BA-CED846A7F0FE}"/>
                </c:ext>
              </c:extLst>
            </c:dLbl>
            <c:dLbl>
              <c:idx val="4"/>
              <c:delete val="1"/>
              <c:extLst>
                <c:ext xmlns:c15="http://schemas.microsoft.com/office/drawing/2012/chart" uri="{CE6537A1-D6FC-4f65-9D91-7224C49458BB}"/>
                <c:ext xmlns:c16="http://schemas.microsoft.com/office/drawing/2014/chart" uri="{C3380CC4-5D6E-409C-BE32-E72D297353CC}">
                  <c16:uniqueId val="{00000011-2C48-44BE-B7BA-CED846A7F0FE}"/>
                </c:ext>
              </c:extLst>
            </c:dLbl>
            <c:dLbl>
              <c:idx val="5"/>
              <c:delete val="1"/>
              <c:extLst>
                <c:ext xmlns:c15="http://schemas.microsoft.com/office/drawing/2012/chart" uri="{CE6537A1-D6FC-4f65-9D91-7224C49458BB}"/>
                <c:ext xmlns:c16="http://schemas.microsoft.com/office/drawing/2014/chart" uri="{C3380CC4-5D6E-409C-BE32-E72D297353CC}">
                  <c16:uniqueId val="{00000012-2C48-44BE-B7BA-CED846A7F0FE}"/>
                </c:ext>
              </c:extLst>
            </c:dLbl>
            <c:dLbl>
              <c:idx val="6"/>
              <c:delete val="1"/>
              <c:extLst>
                <c:ext xmlns:c15="http://schemas.microsoft.com/office/drawing/2012/chart" uri="{CE6537A1-D6FC-4f65-9D91-7224C49458BB}"/>
                <c:ext xmlns:c16="http://schemas.microsoft.com/office/drawing/2014/chart" uri="{C3380CC4-5D6E-409C-BE32-E72D297353CC}">
                  <c16:uniqueId val="{00000013-2C48-44BE-B7BA-CED846A7F0FE}"/>
                </c:ext>
              </c:extLst>
            </c:dLbl>
            <c:dLbl>
              <c:idx val="7"/>
              <c:delete val="1"/>
              <c:extLst>
                <c:ext xmlns:c15="http://schemas.microsoft.com/office/drawing/2012/chart" uri="{CE6537A1-D6FC-4f65-9D91-7224C49458BB}"/>
                <c:ext xmlns:c16="http://schemas.microsoft.com/office/drawing/2014/chart" uri="{C3380CC4-5D6E-409C-BE32-E72D297353CC}">
                  <c16:uniqueId val="{00000014-2C48-44BE-B7BA-CED846A7F0FE}"/>
                </c:ext>
              </c:extLst>
            </c:dLbl>
            <c:dLbl>
              <c:idx val="8"/>
              <c:delete val="1"/>
              <c:extLst>
                <c:ext xmlns:c15="http://schemas.microsoft.com/office/drawing/2012/chart" uri="{CE6537A1-D6FC-4f65-9D91-7224C49458BB}"/>
                <c:ext xmlns:c16="http://schemas.microsoft.com/office/drawing/2014/chart" uri="{C3380CC4-5D6E-409C-BE32-E72D297353CC}">
                  <c16:uniqueId val="{00000015-2C48-44BE-B7BA-CED846A7F0FE}"/>
                </c:ext>
              </c:extLst>
            </c:dLbl>
            <c:dLbl>
              <c:idx val="9"/>
              <c:delete val="1"/>
              <c:extLst>
                <c:ext xmlns:c15="http://schemas.microsoft.com/office/drawing/2012/chart" uri="{CE6537A1-D6FC-4f65-9D91-7224C49458BB}"/>
                <c:ext xmlns:c16="http://schemas.microsoft.com/office/drawing/2014/chart" uri="{C3380CC4-5D6E-409C-BE32-E72D297353CC}">
                  <c16:uniqueId val="{00000016-2C48-44BE-B7BA-CED846A7F0FE}"/>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17-2C48-44BE-B7BA-CED846A7F0F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1"/>
            <c:showPercent val="0"/>
            <c:showBubbleSize val="0"/>
            <c:separator>
</c:separator>
            <c:showLeaderLines val="0"/>
            <c:extLst>
              <c:ext xmlns:c15="http://schemas.microsoft.com/office/drawing/2012/chart" uri="{CE6537A1-D6FC-4f65-9D91-7224C49458BB}">
                <c15:showLeaderLines val="0"/>
              </c:ext>
            </c:extLst>
          </c:dLbls>
          <c:cat>
            <c:strRef>
              <c:f>'420G-NR'!$F$55:$P$55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'420G-NR'!$F$56:$P$56</c:f>
              <c:numCache>
                <c:formatCode>0.00</c:formatCode>
                <c:ptCount val="11"/>
                <c:pt idx="0">
                  <c:v>5.448052881161086</c:v>
                </c:pt>
                <c:pt idx="1">
                  <c:v>5.448052881161086</c:v>
                </c:pt>
                <c:pt idx="2">
                  <c:v>5.5006819299584313</c:v>
                </c:pt>
                <c:pt idx="3">
                  <c:v>5.5006819299584313</c:v>
                </c:pt>
                <c:pt idx="4">
                  <c:v>5.5006819299584313</c:v>
                </c:pt>
                <c:pt idx="5">
                  <c:v>5.632254551951795</c:v>
                </c:pt>
                <c:pt idx="6">
                  <c:v>5.6487011297009655</c:v>
                </c:pt>
                <c:pt idx="7">
                  <c:v>5.6487011297009655</c:v>
                </c:pt>
                <c:pt idx="8">
                  <c:v>5.6413803315520532</c:v>
                </c:pt>
                <c:pt idx="9">
                  <c:v>5.6864549189699458</c:v>
                </c:pt>
                <c:pt idx="10">
                  <c:v>5.7061908122689511</c:v>
                </c:pt>
              </c:numCache>
            </c:numRef>
          </c:val>
          <c:smooth val="0"/>
          <c:extLst>
            <c:ext xmlns:c16="http://schemas.microsoft.com/office/drawing/2014/chart" uri="{C3380CC4-5D6E-409C-BE32-E72D297353CC}">
              <c16:uniqueId val="{0000000D-2C48-44BE-B7BA-CED846A7F0FE}"/>
            </c:ext>
          </c:extLst>
        </c:ser>
        <c:dLbls>
          <c:showLegendKey val="0"/>
          <c:showVal val="0"/>
          <c:showCatName val="0"/>
          <c:showSerName val="0"/>
          <c:showPercent val="0"/>
          <c:showBubbleSize val="0"/>
        </c:dLbls>
        <c:smooth val="0"/>
        <c:axId val="590140096"/>
        <c:axId val="590143424"/>
        <c:extLst>
          <c:ext xmlns:c15="http://schemas.microsoft.com/office/drawing/2012/chart" uri="{02D57815-91ED-43cb-92C2-25804820EDAC}">
            <c15:filteredLineSeries>
              <c15:ser>
                <c:idx val="0"/>
                <c:order val="0"/>
                <c:tx>
                  <c:strRef>
                    <c:extLst>
                      <c:ext uri="{02D57815-91ED-43cb-92C2-25804820EDAC}">
                        <c15:formulaRef>
                          <c15:sqref>'420G-NR'!$E$58</c15:sqref>
                        </c15:formulaRef>
                      </c:ext>
                    </c:extLst>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0-2C48-44BE-B7BA-CED846A7F0FE}"/>
                      </c:ext>
                    </c:extLst>
                  </c:dLbl>
                  <c:dLbl>
                    <c:idx val="3"/>
                    <c:dLblPos val="t"/>
                    <c:showLegendKey val="0"/>
                    <c:showVal val="1"/>
                    <c:showCatName val="0"/>
                    <c:showSerName val="0"/>
                    <c:showPercent val="0"/>
                    <c:showBubbleSize val="0"/>
                    <c:separator> </c:separator>
                    <c:extLst>
                      <c:ext uri="{CE6537A1-D6FC-4f65-9D91-7224C49458BB}"/>
                      <c:ext xmlns:c16="http://schemas.microsoft.com/office/drawing/2014/chart" uri="{C3380CC4-5D6E-409C-BE32-E72D297353CC}">
                        <c16:uniqueId val="{00000001-2C48-44BE-B7BA-CED846A7F0FE}"/>
                      </c:ext>
                    </c:extLst>
                  </c:dLbl>
                  <c:dLbl>
                    <c:idx val="10"/>
                    <c:dLblPos val="t"/>
                    <c:showLegendKey val="0"/>
                    <c:showVal val="1"/>
                    <c:showCatName val="0"/>
                    <c:showSerName val="0"/>
                    <c:showPercent val="0"/>
                    <c:showBubbleSize val="0"/>
                    <c:separator> </c:separator>
                    <c:extLst>
                      <c:ext uri="{CE6537A1-D6FC-4f65-9D91-7224C49458BB}"/>
                      <c:ext xmlns:c16="http://schemas.microsoft.com/office/drawing/2014/chart" uri="{C3380CC4-5D6E-409C-BE32-E72D297353CC}">
                        <c16:uniqueId val="{00000002-2C48-44BE-B7BA-CED846A7F0F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'420G-NR'!$F$55:$P$55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'420G-NR'!$F$58:$P$58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3-2C48-44BE-B7BA-CED846A7F0FE}"/>
                  </c:ext>
                </c:extLst>
              </c15:ser>
            </c15:filteredLineSeries>
            <c15:filteredLineSeries>
              <c15:ser>
                <c:idx val="2"/>
                <c:order val="1"/>
                <c:tx>
                  <c:strRef>
                    <c:extLst xmlns:c15="http://schemas.microsoft.com/office/drawing/2012/chart">
                      <c:ext xmlns:c15="http://schemas.microsoft.com/office/drawing/2012/chart" uri="{02D57815-91ED-43cb-92C2-25804820EDAC}">
                        <c15:formulaRef>
                          <c15:sqref>'420G-NR'!$E$58</c15:sqref>
                        </c15:formulaRef>
                      </c:ext>
                    </c:extLst>
                    <c:strCache>
                      <c:ptCount val="1"/>
                      <c:pt idx="0">
                        <c:v>IOM</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'420G-NR'!$F$55:$P$55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xmlns:c15="http://schemas.microsoft.com/office/drawing/2012/chart">
                      <c:ext xmlns:c15="http://schemas.microsoft.com/office/drawing/2012/chart" uri="{02D57815-91ED-43cb-92C2-25804820EDAC}">
                        <c15:formulaRef>
                          <c15:sqref>'420G-NR'!$F$58:$P$58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xmlns:c15="http://schemas.microsoft.com/office/drawing/2012/chart">
                  <c:ext xmlns:c16="http://schemas.microsoft.com/office/drawing/2014/chart" uri="{C3380CC4-5D6E-409C-BE32-E72D297353CC}">
                    <c16:uniqueId val="{00000008-2C48-44BE-B7BA-CED846A7F0FE}"/>
                  </c:ext>
                </c:extLst>
              </c15:ser>
            </c15:filteredLineSeries>
          </c:ext>
        </c:extLst>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2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Emissions Intensity</a:t>
            </a:r>
            <a:r>
              <a:rPr lang="en-US" sz="1600" baseline="0">
                <a:latin typeface="Times New Roman" panose="02020603050405020304" pitchFamily="18" charset="0"/>
                <a:cs typeface="Times New Roman" panose="02020603050405020304" pitchFamily="18" charset="0"/>
              </a:rPr>
              <a:t> (</a:t>
            </a:r>
            <a:r>
              <a:rPr lang="en-US" sz="1600">
                <a:latin typeface="Times New Roman" panose="02020603050405020304" pitchFamily="18" charset="0"/>
                <a:cs typeface="Times New Roman" panose="02020603050405020304" pitchFamily="18" charset="0"/>
              </a:rPr>
              <a:t>kg.CO2-e/m2))</a:t>
            </a:r>
          </a:p>
        </c:rich>
      </c:tx>
      <c:layout>
        <c:manualLayout>
          <c:xMode val="edge"/>
          <c:yMode val="edge"/>
          <c:x val="9.2115046044066937E-3"/>
          <c:y val="2.3222156026687549E-2"/>
        </c:manualLayout>
      </c:layout>
      <c:overlay val="0"/>
      <c:spPr>
        <a:noFill/>
        <a:ln>
          <a:noFill/>
        </a:ln>
        <a:effectLst/>
      </c:spPr>
      <c:txPr>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07498177761E-2"/>
          <c:y val="0.10478499596578682"/>
          <c:w val="0.96393383157987933"/>
          <c:h val="0.82031567352170343"/>
        </c:manualLayout>
      </c:layout>
      <c:barChart>
        <c:barDir val="col"/>
        <c:grouping val="stacked"/>
        <c:varyColors val="0"/>
        <c:ser>
          <c:idx val="0"/>
          <c:order val="0"/>
          <c:tx>
            <c:strRef>
              <c:f>'420G-NR'!$B$27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4076-49AA-AC85-C280E9D1A555}"/>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'420G-NR'!$F$27:$P$27</c:f>
              <c:numCache>
                <c:formatCode>0</c:formatCode>
                <c:ptCount val="11"/>
                <c:pt idx="0" formatCode="#,##0_ ;\-#,##0\ ">
                  <c:v>1351.1701800000001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4076-49AA-AC85-C280E9D1A555}"/>
            </c:ext>
          </c:extLst>
        </c:ser>
        <c:ser>
          <c:idx val="1"/>
          <c:order val="1"/>
          <c:tx>
            <c:strRef>
              <c:f>'420G-NR'!$B$26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63977634296E-2"/>
                  <c:y val="-1.189990238063417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4076-49AA-AC85-C280E9D1A555}"/>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'420G-NR'!$F$26:$P$26</c:f>
              <c:numCache>
                <c:formatCode>0</c:formatCode>
                <c:ptCount val="11"/>
                <c:pt idx="0">
                  <c:v>47.945933910000001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4076-49AA-AC85-C280E9D1A555}"/>
            </c:ext>
          </c:extLst>
        </c:ser>
        <c:ser>
          <c:idx val="2"/>
          <c:order val="2"/>
          <c:tx>
            <c:strRef>
              <c:f>'420G-NR'!$B$25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4076-49AA-AC85-C280E9D1A555}"/>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'420G-NR'!$F$25:$P$25</c:f>
              <c:numCache>
                <c:formatCode>0</c:formatCode>
                <c:ptCount val="11"/>
                <c:pt idx="0">
                  <c:v>80.05610105427472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4076-49AA-AC85-C280E9D1A555}"/>
            </c:ext>
          </c:extLst>
        </c:ser>
        <c:ser>
          <c:idx val="6"/>
          <c:order val="3"/>
          <c:tx>
            <c:strRef>
              <c:f>'420G-NR'!$B$21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4076-49AA-AC85-C280E9D1A555}"/>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4076-49AA-AC85-C280E9D1A555}"/>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4076-49AA-AC85-C280E9D1A555}"/>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4076-49AA-AC85-C280E9D1A555}"/>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'420G-NR'!$F$21:$P$21</c:f>
              <c:numCache>
                <c:formatCode>0</c:formatCode>
                <c:ptCount val="11"/>
                <c:pt idx="0">
                  <c:v>0</c:v>
                </c:pt>
                <c:pt idx="1">
                  <c:v>1209.7137640000001</c:v>
                </c:pt>
                <c:pt idx="2">
                  <c:v>1190.14966</c:v>
                </c:pt>
                <c:pt idx="3">
                  <c:v>1079.2864040000002</c:v>
                </c:pt>
                <c:pt idx="4">
                  <c:v>1017.3334080000001</c:v>
                </c:pt>
                <c:pt idx="5">
                  <c:v>768.72207400000013</c:v>
                </c:pt>
                <c:pt idx="6">
                  <c:v>646.4573200000001</c:v>
                </c:pt>
                <c:pt idx="7">
                  <c:v>538.24598600000002</c:v>
                </c:pt>
                <c:pt idx="8">
                  <c:v>463.23615000000007</c:v>
                </c:pt>
                <c:pt idx="9">
                  <c:v>390.33849600000002</c:v>
                </c:pt>
                <c:pt idx="10">
                  <c:v>357.81028800000007</c:v>
                </c:pt>
              </c:numCache>
            </c:numRef>
          </c:val>
          <c:extLst>
            <c:ext xmlns:c16="http://schemas.microsoft.com/office/drawing/2014/chart" uri="{C3380CC4-5D6E-409C-BE32-E72D297353CC}">
              <c16:uniqueId val="{0000000C-4076-49AA-AC85-C280E9D1A555}"/>
            </c:ext>
          </c:extLst>
        </c:ser>
        <c:ser>
          <c:idx val="7"/>
          <c:order val="4"/>
          <c:tx>
            <c:strRef>
              <c:f>'420G-NR'!$B$20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4076-49AA-AC85-C280E9D1A555}"/>
                </c:ext>
              </c:extLst>
            </c:dLbl>
            <c:dLbl>
              <c:idx val="1"/>
              <c:delete val="1"/>
              <c:extLst>
                <c:ext xmlns:c15="http://schemas.microsoft.com/office/drawing/2012/chart" uri="{CE6537A1-D6FC-4f65-9D91-7224C49458BB}"/>
                <c:ext xmlns:c16="http://schemas.microsoft.com/office/drawing/2014/chart" uri="{C3380CC4-5D6E-409C-BE32-E72D297353CC}">
                  <c16:uniqueId val="{0000000E-4076-49AA-AC85-C280E9D1A555}"/>
                </c:ext>
              </c:extLst>
            </c:dLbl>
            <c:dLbl>
              <c:idx val="2"/>
              <c:delete val="1"/>
              <c:extLst>
                <c:ext xmlns:c15="http://schemas.microsoft.com/office/drawing/2012/chart" uri="{CE6537A1-D6FC-4f65-9D91-7224C49458BB}"/>
                <c:ext xmlns:c16="http://schemas.microsoft.com/office/drawing/2014/chart" uri="{C3380CC4-5D6E-409C-BE32-E72D297353CC}">
                  <c16:uniqueId val="{0000000F-4076-49AA-AC85-C280E9D1A555}"/>
                </c:ext>
              </c:extLst>
            </c:dLbl>
            <c:dLbl>
              <c:idx val="3"/>
              <c:layout>
                <c:manualLayout>
                  <c:x val="0.16364855054136507"/>
                  <c:y val="-0.11342080796668988"/>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4076-49AA-AC85-C280E9D1A555}"/>
                </c:ext>
              </c:extLst>
            </c:dLbl>
            <c:dLbl>
              <c:idx val="4"/>
              <c:delete val="1"/>
              <c:extLst>
                <c:ext xmlns:c15="http://schemas.microsoft.com/office/drawing/2012/chart" uri="{CE6537A1-D6FC-4f65-9D91-7224C49458BB}"/>
                <c:ext xmlns:c16="http://schemas.microsoft.com/office/drawing/2014/chart" uri="{C3380CC4-5D6E-409C-BE32-E72D297353CC}">
                  <c16:uniqueId val="{00000011-4076-49AA-AC85-C280E9D1A555}"/>
                </c:ext>
              </c:extLst>
            </c:dLbl>
            <c:dLbl>
              <c:idx val="5"/>
              <c:delete val="1"/>
              <c:extLst>
                <c:ext xmlns:c15="http://schemas.microsoft.com/office/drawing/2012/chart" uri="{CE6537A1-D6FC-4f65-9D91-7224C49458BB}"/>
                <c:ext xmlns:c16="http://schemas.microsoft.com/office/drawing/2014/chart" uri="{C3380CC4-5D6E-409C-BE32-E72D297353CC}">
                  <c16:uniqueId val="{00000012-4076-49AA-AC85-C280E9D1A555}"/>
                </c:ext>
              </c:extLst>
            </c:dLbl>
            <c:dLbl>
              <c:idx val="6"/>
              <c:delete val="1"/>
              <c:extLst>
                <c:ext xmlns:c15="http://schemas.microsoft.com/office/drawing/2012/chart" uri="{CE6537A1-D6FC-4f65-9D91-7224C49458BB}"/>
                <c:ext xmlns:c16="http://schemas.microsoft.com/office/drawing/2014/chart" uri="{C3380CC4-5D6E-409C-BE32-E72D297353CC}">
                  <c16:uniqueId val="{00000013-4076-49AA-AC85-C280E9D1A555}"/>
                </c:ext>
              </c:extLst>
            </c:dLbl>
            <c:dLbl>
              <c:idx val="7"/>
              <c:delete val="1"/>
              <c:extLst>
                <c:ext xmlns:c15="http://schemas.microsoft.com/office/drawing/2012/chart" uri="{CE6537A1-D6FC-4f65-9D91-7224C49458BB}"/>
                <c:ext xmlns:c16="http://schemas.microsoft.com/office/drawing/2014/chart" uri="{C3380CC4-5D6E-409C-BE32-E72D297353CC}">
                  <c16:uniqueId val="{00000014-4076-49AA-AC85-C280E9D1A555}"/>
                </c:ext>
              </c:extLst>
            </c:dLbl>
            <c:dLbl>
              <c:idx val="8"/>
              <c:delete val="1"/>
              <c:extLst>
                <c:ext xmlns:c15="http://schemas.microsoft.com/office/drawing/2012/chart" uri="{CE6537A1-D6FC-4f65-9D91-7224C49458BB}"/>
                <c:ext xmlns:c16="http://schemas.microsoft.com/office/drawing/2014/chart" uri="{C3380CC4-5D6E-409C-BE32-E72D297353CC}">
                  <c16:uniqueId val="{00000015-4076-49AA-AC85-C280E9D1A555}"/>
                </c:ext>
              </c:extLst>
            </c:dLbl>
            <c:dLbl>
              <c:idx val="9"/>
              <c:delete val="1"/>
              <c:extLst>
                <c:ext xmlns:c15="http://schemas.microsoft.com/office/drawing/2012/chart" uri="{CE6537A1-D6FC-4f65-9D91-7224C49458BB}"/>
                <c:ext xmlns:c16="http://schemas.microsoft.com/office/drawing/2014/chart" uri="{C3380CC4-5D6E-409C-BE32-E72D297353CC}">
                  <c16:uniqueId val="{00000016-4076-49AA-AC85-C280E9D1A555}"/>
                </c:ext>
              </c:extLst>
            </c:dLbl>
            <c:dLbl>
              <c:idx val="10"/>
              <c:delete val="1"/>
              <c:extLst>
                <c:ext xmlns:c15="http://schemas.microsoft.com/office/drawing/2012/chart" uri="{CE6537A1-D6FC-4f65-9D91-7224C49458BB}"/>
                <c:ext xmlns:c16="http://schemas.microsoft.com/office/drawing/2014/chart" uri="{C3380CC4-5D6E-409C-BE32-E72D297353CC}">
                  <c16:uniqueId val="{00000017-4076-49AA-AC85-C280E9D1A555}"/>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'420G-NR'!$F$20:$P$20</c:f>
              <c:numCache>
                <c:formatCode>0</c:formatCode>
                <c:ptCount val="11"/>
                <c:pt idx="0">
                  <c:v>0</c:v>
                </c:pt>
                <c:pt idx="1">
                  <c:v>59.36</c:v>
                </c:pt>
                <c:pt idx="2">
                  <c:v>58.4</c:v>
                </c:pt>
                <c:pt idx="3">
                  <c:v>52.96</c:v>
                </c:pt>
                <c:pt idx="4">
                  <c:v>49.92</c:v>
                </c:pt>
                <c:pt idx="5">
                  <c:v>166.83500000000001</c:v>
                </c:pt>
                <c:pt idx="6">
                  <c:v>140.30000000000001</c:v>
                </c:pt>
                <c:pt idx="7">
                  <c:v>116.815</c:v>
                </c:pt>
                <c:pt idx="8">
                  <c:v>92.625</c:v>
                </c:pt>
                <c:pt idx="9">
                  <c:v>102.24</c:v>
                </c:pt>
                <c:pt idx="10">
                  <c:v>93.72</c:v>
                </c:pt>
              </c:numCache>
            </c:numRef>
          </c:val>
          <c:extLst>
            <c:ext xmlns:c16="http://schemas.microsoft.com/office/drawing/2014/chart" uri="{C3380CC4-5D6E-409C-BE32-E72D297353CC}">
              <c16:uniqueId val="{00000018-4076-49AA-AC85-C280E9D1A555}"/>
            </c:ext>
          </c:extLst>
        </c:ser>
        <c:ser>
          <c:idx val="4"/>
          <c:order val="5"/>
          <c:tx>
            <c:strRef>
              <c:f>'420G-NR'!$B$23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4076-49AA-AC85-C280E9D1A555}"/>
              </c:ext>
            </c:extLst>
          </c:dPt>
          <c:dLbls>
            <c:dLbl>
              <c:idx val="9"/>
              <c:layout>
                <c:manualLayout>
                  <c:x val="8.6882936282529605E-2"/>
                  <c:y val="-6.6538321214817439E-2"/>
                </c:manualLayout>
              </c:layout>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24-4076-49AA-AC85-C280E9D1A555}"/>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rgbClr val="00857D"/>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'420G-NR'!$F$23:$P$23</c:f>
              <c:numCache>
                <c:formatCode>0</c:formatCode>
                <c:ptCount val="11"/>
                <c:pt idx="0">
                  <c:v>0</c:v>
                </c:pt>
                <c:pt idx="1">
                  <c:v>0</c:v>
                </c:pt>
                <c:pt idx="2">
                  <c:v>0</c:v>
                </c:pt>
                <c:pt idx="3">
                  <c:v>0</c:v>
                </c:pt>
                <c:pt idx="4">
                  <c:v>0</c:v>
                </c:pt>
                <c:pt idx="5">
                  <c:v>0</c:v>
                </c:pt>
                <c:pt idx="6">
                  <c:v>0</c:v>
                </c:pt>
                <c:pt idx="7">
                  <c:v>0</c:v>
                </c:pt>
                <c:pt idx="8">
                  <c:v>7.2141999999999999</c:v>
                </c:pt>
                <c:pt idx="9">
                  <c:v>30.402699999999999</c:v>
                </c:pt>
                <c:pt idx="10">
                  <c:v>30.402699999999999</c:v>
                </c:pt>
              </c:numCache>
            </c:numRef>
          </c:val>
          <c:extLst>
            <c:ext xmlns:c16="http://schemas.microsoft.com/office/drawing/2014/chart" uri="{C3380CC4-5D6E-409C-BE32-E72D297353CC}">
              <c16:uniqueId val="{0000001C-4076-49AA-AC85-C280E9D1A555}"/>
            </c:ext>
          </c:extLst>
        </c:ser>
        <c:ser>
          <c:idx val="5"/>
          <c:order val="6"/>
          <c:tx>
            <c:strRef>
              <c:f>'420G-NR'!$B$22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9.3177232897681705E-2"/>
                  <c:y val="-2.695968930366718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4076-49AA-AC85-C280E9D1A555}"/>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'420G-NR'!$F$22:$P$22</c:f>
              <c:numCache>
                <c:formatCode>0</c:formatCode>
                <c:ptCount val="11"/>
                <c:pt idx="0">
                  <c:v>0</c:v>
                </c:pt>
                <c:pt idx="1">
                  <c:v>47.945933910000001</c:v>
                </c:pt>
                <c:pt idx="2">
                  <c:v>47.945933910000001</c:v>
                </c:pt>
                <c:pt idx="3">
                  <c:v>47.945933910000001</c:v>
                </c:pt>
                <c:pt idx="4">
                  <c:v>47.945933910000001</c:v>
                </c:pt>
                <c:pt idx="5">
                  <c:v>47.945933910000001</c:v>
                </c:pt>
                <c:pt idx="6">
                  <c:v>47.945933910000001</c:v>
                </c:pt>
                <c:pt idx="7">
                  <c:v>47.945933910000001</c:v>
                </c:pt>
                <c:pt idx="8">
                  <c:v>40.731733910000003</c:v>
                </c:pt>
                <c:pt idx="9">
                  <c:v>17.543233909999998</c:v>
                </c:pt>
                <c:pt idx="10">
                  <c:v>17.543233909999998</c:v>
                </c:pt>
              </c:numCache>
            </c:numRef>
          </c:val>
          <c:extLst>
            <c:ext xmlns:c16="http://schemas.microsoft.com/office/drawing/2014/chart" uri="{C3380CC4-5D6E-409C-BE32-E72D297353CC}">
              <c16:uniqueId val="{0000001E-4076-49AA-AC85-C280E9D1A555}"/>
            </c:ext>
          </c:extLst>
        </c:ser>
        <c:ser>
          <c:idx val="3"/>
          <c:order val="7"/>
          <c:tx>
            <c:strRef>
              <c:f>'420G-NR'!$B$24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320652142361E-2"/>
                  <c:y val="-5.2621952787798479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4076-49AA-AC85-C280E9D1A555}"/>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'420G-NR'!$F$24:$P$24</c:f>
              <c:numCache>
                <c:formatCode>0</c:formatCode>
                <c:ptCount val="11"/>
                <c:pt idx="0">
                  <c:v>0</c:v>
                </c:pt>
                <c:pt idx="1">
                  <c:v>73.824683137688638</c:v>
                </c:pt>
                <c:pt idx="2">
                  <c:v>67.593265221102556</c:v>
                </c:pt>
                <c:pt idx="3">
                  <c:v>61.361847304516473</c:v>
                </c:pt>
                <c:pt idx="4">
                  <c:v>55.130429387930391</c:v>
                </c:pt>
                <c:pt idx="5">
                  <c:v>48.899011471344309</c:v>
                </c:pt>
                <c:pt idx="6">
                  <c:v>42.667593554758227</c:v>
                </c:pt>
                <c:pt idx="7">
                  <c:v>36.436175638172145</c:v>
                </c:pt>
                <c:pt idx="8">
                  <c:v>30.204757721586066</c:v>
                </c:pt>
                <c:pt idx="9">
                  <c:v>23.973339804999988</c:v>
                </c:pt>
                <c:pt idx="10">
                  <c:v>23.973339804999998</c:v>
                </c:pt>
              </c:numCache>
            </c:numRef>
          </c:val>
          <c:extLst>
            <c:ext xmlns:c16="http://schemas.microsoft.com/office/drawing/2014/chart" uri="{C3380CC4-5D6E-409C-BE32-E72D297353CC}">
              <c16:uniqueId val="{00000020-4076-49AA-AC85-C280E9D1A555}"/>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'420G-NR'!$E$17</c:f>
              <c:strCache>
                <c:ptCount val="1"/>
                <c:pt idx="0">
                  <c:v>Scope 1, 2, 3</c:v>
                </c:pt>
              </c:strCache>
            </c:strRef>
          </c:tx>
          <c:spPr>
            <a:ln w="28575" cap="rnd">
              <a:solidFill>
                <a:srgbClr val="2DCCD3"/>
              </a:solidFill>
              <a:round/>
            </a:ln>
            <a:effectLst/>
          </c:spPr>
          <c:marker>
            <c:symbol val="none"/>
          </c:marker>
          <c:dLbls>
            <c:dLbl>
              <c:idx val="0"/>
              <c:layout>
                <c:manualLayout>
                  <c:x val="-4.0844273430476377E-2"/>
                  <c:y val="-3.501105896315476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1-4076-49AA-AC85-C280E9D1A555}"/>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4076-49AA-AC85-C280E9D1A555}"/>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'420G-NR'!$F$12:$P$12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'420G-NR'!$F$17:$P$17</c:f>
              <c:numCache>
                <c:formatCode>0.0</c:formatCode>
                <c:ptCount val="11"/>
                <c:pt idx="0">
                  <c:v>39.383678975565111</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4076-49AA-AC85-C280E9D1A555}"/>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51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41"/>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Energy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6.8796337171610336E-2"/>
          <c:y val="0.20062740692717002"/>
          <c:w val="0.91646040707638288"/>
          <c:h val="0.70030145409024502"/>
        </c:manualLayout>
      </c:layout>
      <c:barChart>
        <c:barDir val="col"/>
        <c:grouping val="clustered"/>
        <c:varyColors val="0"/>
        <c:ser>
          <c:idx val="2"/>
          <c:order val="2"/>
          <c:tx>
            <c:strRef>
              <c:f>'420G-NR'!$E$51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E98-4638-81F0-BDFCFE8ABDE2}"/>
                </c:ext>
              </c:extLst>
            </c:dLbl>
            <c:dLbl>
              <c:idx val="1"/>
              <c:delete val="1"/>
              <c:extLst>
                <c:ext xmlns:c15="http://schemas.microsoft.com/office/drawing/2012/chart" uri="{CE6537A1-D6FC-4f65-9D91-7224C49458BB}"/>
                <c:ext xmlns:c16="http://schemas.microsoft.com/office/drawing/2014/chart" uri="{C3380CC4-5D6E-409C-BE32-E72D297353CC}">
                  <c16:uniqueId val="{00000001-0E98-4638-81F0-BDFCFE8ABDE2}"/>
                </c:ext>
              </c:extLst>
            </c:dLbl>
            <c:dLbl>
              <c:idx val="2"/>
              <c:delete val="1"/>
              <c:extLst>
                <c:ext xmlns:c15="http://schemas.microsoft.com/office/drawing/2012/chart" uri="{CE6537A1-D6FC-4f65-9D91-7224C49458BB}"/>
                <c:ext xmlns:c16="http://schemas.microsoft.com/office/drawing/2014/chart" uri="{C3380CC4-5D6E-409C-BE32-E72D297353CC}">
                  <c16:uniqueId val="{00000002-0E98-4638-81F0-BDFCFE8ABDE2}"/>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4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'420G-NR'!$F$30:$P$30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'420G-NR'!$F$51:$P$51</c:f>
              <c:numCache>
                <c:formatCode>"$"#,##0</c:formatCode>
                <c:ptCount val="11"/>
                <c:pt idx="0">
                  <c:v>0</c:v>
                </c:pt>
                <c:pt idx="1">
                  <c:v>23630.899093420303</c:v>
                </c:pt>
                <c:pt idx="2">
                  <c:v>24457.980561690056</c:v>
                </c:pt>
                <c:pt idx="3">
                  <c:v>25314.009881349164</c:v>
                </c:pt>
                <c:pt idx="4">
                  <c:v>26200.000227196375</c:v>
                </c:pt>
                <c:pt idx="5">
                  <c:v>103383.56339650258</c:v>
                </c:pt>
                <c:pt idx="6">
                  <c:v>107001.98811538017</c:v>
                </c:pt>
                <c:pt idx="7">
                  <c:v>110747.05769941863</c:v>
                </c:pt>
                <c:pt idx="8">
                  <c:v>129318.62979873398</c:v>
                </c:pt>
                <c:pt idx="9">
                  <c:v>182338.82181492716</c:v>
                </c:pt>
                <c:pt idx="10">
                  <c:v>188554.74497347744</c:v>
                </c:pt>
              </c:numCache>
            </c:numRef>
          </c:val>
          <c:extLst>
            <c:ext xmlns:c16="http://schemas.microsoft.com/office/drawing/2014/chart" uri="{C3380CC4-5D6E-409C-BE32-E72D297353CC}">
              <c16:uniqueId val="{00000003-0E98-4638-81F0-BDFCFE8ABDE2}"/>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accent2"/>
                      </a:solidFill>
                      <a:latin typeface="+mn-lt"/>
                      <a:ea typeface="+mn-ea"/>
                      <a:cs typeface="+mn-cs"/>
                    </a:defRPr>
                  </a:pPr>
                  <a:endParaRPr lang="en-US"/>
                </a:p>
              </c:txPr>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0E98-4638-81F0-BDFCFE8ABDE2}"/>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'420G-NR'!$F$6:$P$6</c:f>
              <c:numCache>
                <c:formatCode>#,##0_ ;\-#,##0\ </c:formatCode>
                <c:ptCount val="11"/>
                <c:pt idx="0">
                  <c:v>1710.3420000000001</c:v>
                </c:pt>
                <c:pt idx="1">
                  <c:v>1630.3420000000001</c:v>
                </c:pt>
                <c:pt idx="2">
                  <c:v>1630.3420000000001</c:v>
                </c:pt>
                <c:pt idx="3">
                  <c:v>1630.3420000000001</c:v>
                </c:pt>
                <c:pt idx="4">
                  <c:v>1630.3420000000001</c:v>
                </c:pt>
                <c:pt idx="5">
                  <c:v>1405.3420000000001</c:v>
                </c:pt>
                <c:pt idx="6">
                  <c:v>1405.3420000000001</c:v>
                </c:pt>
                <c:pt idx="7">
                  <c:v>1405.3420000000001</c:v>
                </c:pt>
                <c:pt idx="8">
                  <c:v>1425.3420000000001</c:v>
                </c:pt>
                <c:pt idx="9">
                  <c:v>1355.3420000000001</c:v>
                </c:pt>
                <c:pt idx="10">
                  <c:v>1355.3420000000001</c:v>
                </c:pt>
              </c:numCache>
            </c:numRef>
          </c:val>
          <c:smooth val="0"/>
          <c:extLst>
            <c:ext xmlns:c16="http://schemas.microsoft.com/office/drawing/2014/chart" uri="{C3380CC4-5D6E-409C-BE32-E72D297353CC}">
              <c16:uniqueId val="{00000005-0E98-4638-81F0-BDFCFE8ABDE2}"/>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0E98-4638-81F0-BDFCFE8ABDE2}"/>
                </c:ext>
              </c:extLst>
            </c:dLbl>
            <c:dLbl>
              <c:idx val="1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E98-4638-81F0-BDFCFE8ABDE2}"/>
                </c:ext>
              </c:extLst>
            </c:dLbl>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'420G-NR'!$F$36:$P$36</c:f>
              <c:numCache>
                <c:formatCode>_-"$"* #,##0_-;\-"$"* #,##0_-;_-"$"* "-"??_-;_-@_-</c:formatCode>
                <c:ptCount val="11"/>
                <c:pt idx="0">
                  <c:v>431298.06319999998</c:v>
                </c:pt>
                <c:pt idx="1">
                  <c:v>530630.27321186534</c:v>
                </c:pt>
                <c:pt idx="2">
                  <c:v>556007.59080716479</c:v>
                </c:pt>
                <c:pt idx="3">
                  <c:v>574720.43235981371</c:v>
                </c:pt>
                <c:pt idx="4">
                  <c:v>594097.38214245718</c:v>
                </c:pt>
                <c:pt idx="5">
                  <c:v>614161.56612708571</c:v>
                </c:pt>
                <c:pt idx="6">
                  <c:v>634936.9161602282</c:v>
                </c:pt>
                <c:pt idx="7">
                  <c:v>656448.19806252525</c:v>
                </c:pt>
                <c:pt idx="8">
                  <c:v>781191.63672945078</c:v>
                </c:pt>
                <c:pt idx="9">
                  <c:v>807839.03300306923</c:v>
                </c:pt>
                <c:pt idx="10">
                  <c:v>835801.36991434952</c:v>
                </c:pt>
              </c:numCache>
            </c:numRef>
          </c:val>
          <c:smooth val="0"/>
          <c:extLst>
            <c:ext xmlns:c16="http://schemas.microsoft.com/office/drawing/2014/chart" uri="{C3380CC4-5D6E-409C-BE32-E72D297353CC}">
              <c16:uniqueId val="{00000008-0E98-4638-81F0-BDFCFE8ABDE2}"/>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9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1000000"/>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a:latin typeface="Times New Roman" panose="02020603050405020304" pitchFamily="18" charset="0"/>
                <a:cs typeface="Times New Roman" panose="02020603050405020304" pitchFamily="18" charset="0"/>
              </a:rPr>
              <a:t>NABERS Energy</a:t>
            </a:r>
          </a:p>
        </c:rich>
      </c:tx>
      <c:layout>
        <c:manualLayout>
          <c:xMode val="edge"/>
          <c:yMode val="edge"/>
          <c:x val="4.5703457557543003E-3"/>
          <c:y val="1.26425059840001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1"/>
          <c:order val="0"/>
          <c:tx>
            <c:strRef>
              <c:f>'567C-NR'!$E$57</c:f>
              <c:strCache>
                <c:ptCount val="1"/>
                <c:pt idx="0">
                  <c:v>ICPF</c:v>
                </c:pt>
              </c:strCache>
            </c:strRef>
          </c:tx>
          <c:spPr>
            <a:ln w="28575" cap="rnd">
              <a:solidFill>
                <a:schemeClr val="accent2"/>
              </a:solidFill>
              <a:round/>
            </a:ln>
            <a:effectLst/>
          </c:spPr>
          <c:marker>
            <c:symbol val="none"/>
          </c:marker>
          <c:dLbls>
            <c:dLbl>
              <c:idx val="0"/>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4589-4B93-844C-95595E252C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'567C-NR'!$F$55:$P$55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9-75FC-455E-AAA5-801A6B8A30FD}"/>
            </c:ext>
          </c:extLst>
        </c:ser>
        <c:ser>
          <c:idx val="2"/>
          <c:order val="1"/>
          <c:tx>
            <c:strRef>
              <c:f>'567C-NR'!$E$56</c:f>
              <c:strCache>
                <c:ptCount val="1"/>
                <c:pt idx="0">
                  <c:v>567 Collins Street</c:v>
                </c:pt>
              </c:strCache>
            </c:strRef>
          </c:tx>
          <c:spPr>
            <a:ln w="28575" cap="rnd">
              <a:solidFill>
                <a:schemeClr val="accent3"/>
              </a:solidFill>
              <a:round/>
            </a:ln>
            <a:effectLst/>
          </c:spPr>
          <c:marker>
            <c:symbol val="none"/>
          </c:marker>
          <c:dLbls>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4589-4B93-844C-95595E252C0F}"/>
                </c:ext>
              </c:extLst>
            </c:dLbl>
            <c:dLbl>
              <c:idx val="2"/>
              <c:delete val="1"/>
              <c:extLst>
                <c:ext xmlns:c15="http://schemas.microsoft.com/office/drawing/2012/chart" uri="{CE6537A1-D6FC-4f65-9D91-7224C49458BB}"/>
                <c:ext xmlns:c16="http://schemas.microsoft.com/office/drawing/2014/chart" uri="{C3380CC4-5D6E-409C-BE32-E72D297353CC}">
                  <c16:uniqueId val="{00000000-DBBF-4991-86B1-881740B5DA97}"/>
                </c:ext>
              </c:extLst>
            </c:dLbl>
            <c:dLbl>
              <c:idx val="4"/>
              <c:delete val="1"/>
              <c:extLst>
                <c:ext xmlns:c15="http://schemas.microsoft.com/office/drawing/2012/chart" uri="{CE6537A1-D6FC-4f65-9D91-7224C49458BB}"/>
                <c:ext xmlns:c16="http://schemas.microsoft.com/office/drawing/2014/chart" uri="{C3380CC4-5D6E-409C-BE32-E72D297353CC}">
                  <c16:uniqueId val="{00000001-DBBF-4991-86B1-881740B5DA97}"/>
                </c:ext>
              </c:extLst>
            </c:dLbl>
            <c:dLbl>
              <c:idx val="5"/>
              <c:delete val="1"/>
              <c:extLst>
                <c:ext xmlns:c15="http://schemas.microsoft.com/office/drawing/2012/chart" uri="{CE6537A1-D6FC-4f65-9D91-7224C49458BB}"/>
                <c:ext xmlns:c16="http://schemas.microsoft.com/office/drawing/2014/chart" uri="{C3380CC4-5D6E-409C-BE32-E72D297353CC}">
                  <c16:uniqueId val="{00000002-DBBF-4991-86B1-881740B5DA97}"/>
                </c:ext>
              </c:extLst>
            </c:dLbl>
            <c:dLbl>
              <c:idx val="6"/>
              <c:delete val="1"/>
              <c:extLst>
                <c:ext xmlns:c15="http://schemas.microsoft.com/office/drawing/2012/chart" uri="{CE6537A1-D6FC-4f65-9D91-7224C49458BB}"/>
                <c:ext xmlns:c16="http://schemas.microsoft.com/office/drawing/2014/chart" uri="{C3380CC4-5D6E-409C-BE32-E72D297353CC}">
                  <c16:uniqueId val="{00000003-DBBF-4991-86B1-881740B5DA97}"/>
                </c:ext>
              </c:extLst>
            </c:dLbl>
            <c:dLbl>
              <c:idx val="7"/>
              <c:delete val="1"/>
              <c:extLst>
                <c:ext xmlns:c15="http://schemas.microsoft.com/office/drawing/2012/chart" uri="{CE6537A1-D6FC-4f65-9D91-7224C49458BB}"/>
                <c:ext xmlns:c16="http://schemas.microsoft.com/office/drawing/2014/chart" uri="{C3380CC4-5D6E-409C-BE32-E72D297353CC}">
                  <c16:uniqueId val="{00000004-DBBF-4991-86B1-881740B5DA97}"/>
                </c:ext>
              </c:extLst>
            </c:dLbl>
            <c:dLbl>
              <c:idx val="9"/>
              <c:delete val="1"/>
              <c:extLst>
                <c:ext xmlns:c15="http://schemas.microsoft.com/office/drawing/2012/chart" uri="{CE6537A1-D6FC-4f65-9D91-7224C49458BB}"/>
                <c:ext xmlns:c16="http://schemas.microsoft.com/office/drawing/2014/chart" uri="{C3380CC4-5D6E-409C-BE32-E72D297353CC}">
                  <c16:uniqueId val="{00000005-DBBF-4991-86B1-881740B5DA9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'567C-NR'!$F$55:$P$55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'567C-NR'!$F$56:$P$56</c:f>
              <c:numCache>
                <c:formatCode>0.00</c:formatCode>
                <c:ptCount val="11"/>
                <c:pt idx="0">
                  <c:v>5.7139636967611818</c:v>
                </c:pt>
                <c:pt idx="1">
                  <c:v>5.7617711039606681</c:v>
                </c:pt>
                <c:pt idx="2">
                  <c:v>5.7937039159584529</c:v>
                </c:pt>
                <c:pt idx="3">
                  <c:v>5.8427640888844419</c:v>
                </c:pt>
                <c:pt idx="4">
                  <c:v>5.8534472086170686</c:v>
                </c:pt>
                <c:pt idx="5">
                  <c:v>5.9377135394345757</c:v>
                </c:pt>
                <c:pt idx="6">
                  <c:v>5.9859989346342308</c:v>
                </c:pt>
                <c:pt idx="7">
                  <c:v>6.0022160697127509</c:v>
                </c:pt>
                <c:pt idx="8">
                  <c:v>6.0022160697127509</c:v>
                </c:pt>
                <c:pt idx="9">
                  <c:v>6.0022160697127509</c:v>
                </c:pt>
                <c:pt idx="10">
                  <c:v>6.0022160697127509</c:v>
                </c:pt>
              </c:numCache>
            </c:numRef>
          </c:val>
          <c:smooth val="0"/>
          <c:extLst>
            <c:ext xmlns:c16="http://schemas.microsoft.com/office/drawing/2014/chart" uri="{C3380CC4-5D6E-409C-BE32-E72D297353CC}">
              <c16:uniqueId val="{0000000A-75FC-455E-AAA5-801A6B8A30FD}"/>
            </c:ext>
          </c:extLst>
        </c:ser>
        <c:ser>
          <c:idx val="3"/>
          <c:order val="3"/>
          <c:tx>
            <c:strRef>
              <c:f>'567C-NR'!$E$59</c:f>
              <c:strCache>
                <c:ptCount val="1"/>
                <c:pt idx="0">
                  <c:v>IGO</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4589-4B93-844C-95595E252C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'567C-NR'!$F$55:$P$55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'567C-NR'!$F$59:$P$59</c:f>
              <c:numCache>
                <c:formatCode>0.00</c:formatCode>
                <c:ptCount val="11"/>
                <c:pt idx="0">
                  <c:v>5.3773163530915085</c:v>
                </c:pt>
                <c:pt idx="1">
                  <c:v>5.3897415030978291</c:v>
                </c:pt>
                <c:pt idx="2">
                  <c:v>5.3989086851726711</c:v>
                </c:pt>
                <c:pt idx="3">
                  <c:v>5.4212093179158183</c:v>
                </c:pt>
                <c:pt idx="4">
                  <c:v>5.4717936463248549</c:v>
                </c:pt>
                <c:pt idx="5">
                  <c:v>5.4936944742974081</c:v>
                </c:pt>
                <c:pt idx="6">
                  <c:v>5.5096998051417883</c:v>
                </c:pt>
                <c:pt idx="7">
                  <c:v>5.5139146402024437</c:v>
                </c:pt>
                <c:pt idx="8">
                  <c:v>5.5351632663682917</c:v>
                </c:pt>
                <c:pt idx="9">
                  <c:v>5.5351632663682917</c:v>
                </c:pt>
                <c:pt idx="10">
                  <c:v>5.5316015265321372</c:v>
                </c:pt>
              </c:numCache>
            </c:numRef>
          </c:val>
          <c:smooth val="0"/>
          <c:extLst>
            <c:ext xmlns:c16="http://schemas.microsoft.com/office/drawing/2014/chart" uri="{C3380CC4-5D6E-409C-BE32-E72D297353CC}">
              <c16:uniqueId val="{0000000C-75FC-455E-AAA5-801A6B8A30FD}"/>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0"/>
                <c:order val="2"/>
                <c:tx>
                  <c:strRef>
                    <c:extLst>
                      <c:ext uri="{02D57815-91ED-43cb-92C2-25804820EDAC}">
                        <c15:formulaRef>
                          <c15:sqref>'567C-NR'!$E$58</c15:sqref>
                        </c15:formulaRef>
                      </c:ext>
                    </c:extLst>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1-4589-4B93-844C-95595E252C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'567C-NR'!$F$55:$P$55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'567C-NR'!$F$58:$P$58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B-75FC-455E-AAA5-801A6B8A30FD}"/>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6.25"/>
          <c:min val="5.25"/>
        </c:scaling>
        <c:delete val="0"/>
        <c:axPos val="l"/>
        <c:majorGridlines>
          <c:spPr>
            <a:ln w="9525" cap="flat" cmpd="sng" algn="ctr">
              <a:solidFill>
                <a:schemeClr val="tx1">
                  <a:lumMod val="15000"/>
                  <a:lumOff val="85000"/>
                </a:schemeClr>
              </a:solidFill>
              <a:round/>
            </a:ln>
            <a:effectLst/>
          </c:spPr>
        </c:majorGridlines>
        <c:numFmt formatCode="0.00\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881869283754849"/>
          <c:y val="0.10440462433187489"/>
          <c:w val="0.60825946185279822"/>
          <c:h val="0.79119070116235468"/>
        </c:manualLayout>
      </c:layout>
      <c:doughnutChart>
        <c:varyColors val="1"/>
        <c:ser>
          <c:idx val="0"/>
          <c:order val="0"/>
          <c:dPt>
            <c:idx val="0"/>
            <c:bubble3D val="0"/>
            <c:spPr>
              <a:pattFill prst="wdUpDiag">
                <a:fgClr>
                  <a:schemeClr val="accent6">
                    <a:lumMod val="60000"/>
                    <a:lumOff val="40000"/>
                  </a:schemeClr>
                </a:fgClr>
                <a:bgClr>
                  <a:schemeClr val="bg1"/>
                </a:bgClr>
              </a:pattFill>
              <a:ln w="9525">
                <a:solidFill>
                  <a:srgbClr val="2DCCD3"/>
                </a:solidFill>
                <a:prstDash val="dash"/>
              </a:ln>
              <a:effectLst/>
            </c:spPr>
            <c:extLst>
              <c:ext xmlns:c16="http://schemas.microsoft.com/office/drawing/2014/chart" uri="{C3380CC4-5D6E-409C-BE32-E72D297353CC}">
                <c16:uniqueId val="{00000001-CA39-4A0B-8FCE-DE72368922E6}"/>
              </c:ext>
            </c:extLst>
          </c:dPt>
          <c:dPt>
            <c:idx val="1"/>
            <c:bubble3D val="0"/>
            <c:spPr>
              <a:solidFill>
                <a:schemeClr val="accent2">
                  <a:alpha val="22000"/>
                </a:schemeClr>
              </a:solidFill>
              <a:ln w="12700">
                <a:solidFill>
                  <a:srgbClr val="2DCCD3"/>
                </a:solidFill>
                <a:prstDash val="dash"/>
              </a:ln>
              <a:effectLst/>
            </c:spPr>
            <c:extLst>
              <c:ext xmlns:c16="http://schemas.microsoft.com/office/drawing/2014/chart" uri="{C3380CC4-5D6E-409C-BE32-E72D297353CC}">
                <c16:uniqueId val="{00000003-CA39-4A0B-8FCE-DE72368922E6}"/>
              </c:ext>
            </c:extLst>
          </c:dPt>
          <c:dPt>
            <c:idx val="2"/>
            <c:bubble3D val="0"/>
            <c:spPr>
              <a:solidFill>
                <a:schemeClr val="accent5">
                  <a:alpha val="46000"/>
                </a:schemeClr>
              </a:solidFill>
              <a:ln w="19050">
                <a:solidFill>
                  <a:schemeClr val="lt1"/>
                </a:solidFill>
              </a:ln>
              <a:effectLst/>
            </c:spPr>
            <c:extLst>
              <c:ext xmlns:c16="http://schemas.microsoft.com/office/drawing/2014/chart" uri="{C3380CC4-5D6E-409C-BE32-E72D297353CC}">
                <c16:uniqueId val="{00000005-CA39-4A0B-8FCE-DE72368922E6}"/>
              </c:ext>
            </c:extLst>
          </c:dPt>
          <c:dPt>
            <c:idx val="3"/>
            <c:bubble3D val="0"/>
            <c:spPr>
              <a:solidFill>
                <a:schemeClr val="accent5"/>
              </a:solidFill>
              <a:ln w="19050">
                <a:solidFill>
                  <a:schemeClr val="lt1"/>
                </a:solidFill>
              </a:ln>
              <a:effectLst/>
            </c:spPr>
            <c:extLst>
              <c:ext xmlns:c16="http://schemas.microsoft.com/office/drawing/2014/chart" uri="{C3380CC4-5D6E-409C-BE32-E72D297353CC}">
                <c16:uniqueId val="{00000007-CA39-4A0B-8FCE-DE72368922E6}"/>
              </c:ext>
            </c:extLst>
          </c:dPt>
          <c:dPt>
            <c:idx val="4"/>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9-CA39-4A0B-8FCE-DE72368922E6}"/>
              </c:ext>
            </c:extLst>
          </c:dPt>
          <c:dLbls>
            <c:dLbl>
              <c:idx val="0"/>
              <c:layout>
                <c:manualLayout>
                  <c:x val="0.21111111111111111"/>
                  <c:y val="-8.7962962962962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A39-4A0B-8FCE-DE72368922E6}"/>
                </c:ext>
              </c:extLst>
            </c:dLbl>
            <c:dLbl>
              <c:idx val="1"/>
              <c:layout>
                <c:manualLayout>
                  <c:x val="-0.16197486374956024"/>
                  <c:y val="-0.23596481266607516"/>
                </c:manualLayout>
              </c:layout>
              <c:spPr>
                <a:solidFill>
                  <a:schemeClr val="bg1"/>
                </a:solid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36769855517842748"/>
                      <c:h val="0.10310895445909703"/>
                    </c:manualLayout>
                  </c15:layout>
                </c:ext>
                <c:ext xmlns:c16="http://schemas.microsoft.com/office/drawing/2014/chart" uri="{C3380CC4-5D6E-409C-BE32-E72D297353CC}">
                  <c16:uniqueId val="{00000003-CA39-4A0B-8FCE-DE72368922E6}"/>
                </c:ext>
              </c:extLst>
            </c:dLbl>
            <c:dLbl>
              <c:idx val="2"/>
              <c:layout>
                <c:manualLayout>
                  <c:x val="0.17030140887321976"/>
                  <c:y val="-0.1774296212973378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A39-4A0B-8FCE-DE72368922E6}"/>
                </c:ext>
              </c:extLst>
            </c:dLbl>
            <c:dLbl>
              <c:idx val="3"/>
              <c:layout>
                <c:manualLayout>
                  <c:x val="0.19954883736248089"/>
                  <c:y val="-0.1362163466091823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A39-4A0B-8FCE-DE72368922E6}"/>
                </c:ext>
              </c:extLst>
            </c:dLbl>
            <c:dLbl>
              <c:idx val="4"/>
              <c:layout>
                <c:manualLayout>
                  <c:x val="0.18358493037348253"/>
                  <c:y val="-8.48139516623210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A39-4A0B-8FCE-DE72368922E6}"/>
                </c:ext>
              </c:extLst>
            </c:dLbl>
            <c:spPr>
              <a:solidFill>
                <a:schemeClr val="bg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'1M-DUMMY'!$B$20:$B$24</c:f>
              <c:strCache>
                <c:ptCount val="5"/>
                <c:pt idx="0">
                  <c:v>Energy Efficiency</c:v>
                </c:pt>
                <c:pt idx="1">
                  <c:v>Renewable Electricity</c:v>
                </c:pt>
                <c:pt idx="2">
                  <c:v>Gas Offsets</c:v>
                </c:pt>
                <c:pt idx="3">
                  <c:v>Electrification</c:v>
                </c:pt>
                <c:pt idx="4">
                  <c:v>Scope 3 Offsets</c:v>
                </c:pt>
              </c:strCache>
            </c:strRef>
          </c:cat>
          <c:val>
            <c:numRef>
              <c:f>'1M-DUMMY'!$Q$20:$Q$24</c:f>
              <c:numCache>
                <c:formatCode>0</c:formatCode>
                <c:ptCount val="5"/>
                <c:pt idx="0">
                  <c:v>2344.39</c:v>
                </c:pt>
                <c:pt idx="1">
                  <c:v>6825.2802500000007</c:v>
                </c:pt>
                <c:pt idx="2">
                  <c:v>543.53380229999993</c:v>
                </c:pt>
                <c:pt idx="3">
                  <c:v>288.56800000000004</c:v>
                </c:pt>
                <c:pt idx="4">
                  <c:v>408.54706356700223</c:v>
                </c:pt>
              </c:numCache>
            </c:numRef>
          </c:val>
          <c:extLst>
            <c:ext xmlns:c16="http://schemas.microsoft.com/office/drawing/2014/chart" uri="{C3380CC4-5D6E-409C-BE32-E72D297353CC}">
              <c16:uniqueId val="{0000000A-CA39-4A0B-8FCE-DE72368922E6}"/>
            </c:ext>
          </c:extLst>
        </c:ser>
        <c:dLbls>
          <c:showLegendKey val="0"/>
          <c:showVal val="0"/>
          <c:showCatName val="0"/>
          <c:showSerName val="0"/>
          <c:showPercent val="0"/>
          <c:showBubbleSize val="0"/>
          <c:showLeaderLines val="1"/>
        </c:dLbls>
        <c:firstSliceAng val="9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8.7239660404208556E-3"/>
          <c:y val="2.0141747751117406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2470849822769281E-2"/>
          <c:y val="8.7108473759791305E-2"/>
          <c:w val="0.96340992407767989"/>
          <c:h val="0.84404117626979958"/>
        </c:manualLayout>
      </c:layout>
      <c:barChart>
        <c:barDir val="col"/>
        <c:grouping val="stacked"/>
        <c:varyColors val="0"/>
        <c:ser>
          <c:idx val="0"/>
          <c:order val="0"/>
          <c:tx>
            <c:strRef>
              <c:f>'567C-NR'!$B$27</c:f>
              <c:strCache>
                <c:ptCount val="1"/>
                <c:pt idx="0">
                  <c:v>Grid Electricity</c:v>
                </c:pt>
              </c:strCache>
            </c:strRef>
          </c:tx>
          <c:spPr>
            <a:solidFill>
              <a:srgbClr val="2DCCD3"/>
            </a:solidFill>
            <a:ln>
              <a:noFill/>
            </a:ln>
            <a:effectLst/>
          </c:spPr>
          <c:invertIfNegative val="0"/>
          <c:dLbls>
            <c:dLbl>
              <c:idx val="0"/>
              <c:layout>
                <c:manualLayout>
                  <c:x val="9.2541751146259454E-2"/>
                  <c:y val="-0.10324342536501044"/>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67B3-4E45-B372-155A46E44529}"/>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'567C-NR'!$F$27:$P$27</c:f>
              <c:numCache>
                <c:formatCode>0</c:formatCode>
                <c:ptCount val="11"/>
                <c:pt idx="0" formatCode="#,##0_ ;\-#,##0\ ">
                  <c:v>1176.00242</c:v>
                </c:pt>
                <c:pt idx="1">
                  <c:v>526.3401852500001</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67B3-4E45-B372-155A46E44529}"/>
            </c:ext>
          </c:extLst>
        </c:ser>
        <c:ser>
          <c:idx val="1"/>
          <c:order val="1"/>
          <c:tx>
            <c:strRef>
              <c:f>'567C-NR'!$B$26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5.2506592222907746E-2"/>
                  <c:y val="-2.743363492651902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67B3-4E45-B372-155A46E44529}"/>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'567C-NR'!$F$26:$P$26</c:f>
              <c:numCache>
                <c:formatCode>0</c:formatCode>
                <c:ptCount val="11"/>
                <c:pt idx="0">
                  <c:v>282.04043725000002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67B3-4E45-B372-155A46E44529}"/>
            </c:ext>
          </c:extLst>
        </c:ser>
        <c:ser>
          <c:idx val="2"/>
          <c:order val="2"/>
          <c:tx>
            <c:strRef>
              <c:f>'567C-NR'!$B$25</c:f>
              <c:strCache>
                <c:ptCount val="1"/>
                <c:pt idx="0">
                  <c:v>Scope 3</c:v>
                </c:pt>
              </c:strCache>
            </c:strRef>
          </c:tx>
          <c:spPr>
            <a:solidFill>
              <a:srgbClr val="B8C6D0"/>
            </a:solidFill>
            <a:ln>
              <a:noFill/>
            </a:ln>
            <a:effectLst/>
          </c:spPr>
          <c:invertIfNegative val="0"/>
          <c:dLbls>
            <c:dLbl>
              <c:idx val="0"/>
              <c:layout>
                <c:manualLayout>
                  <c:x val="6.9152224862505066E-2"/>
                  <c:y val="-5.8121903768144426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B3-4E45-B372-155A46E4452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'567C-NR'!$F$25:$P$25</c:f>
              <c:numCache>
                <c:formatCode>0</c:formatCode>
                <c:ptCount val="11"/>
                <c:pt idx="0">
                  <c:v>106.314639384</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67B3-4E45-B372-155A46E44529}"/>
            </c:ext>
          </c:extLst>
        </c:ser>
        <c:ser>
          <c:idx val="6"/>
          <c:order val="3"/>
          <c:tx>
            <c:strRef>
              <c:f>'567C-NR'!$B$21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67B3-4E45-B372-155A46E44529}"/>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67B3-4E45-B372-155A46E44529}"/>
              </c:ext>
            </c:extLst>
          </c:dPt>
          <c:dLbls>
            <c:dLbl>
              <c:idx val="1"/>
              <c:layout>
                <c:manualLayout>
                  <c:x val="0.14652717271115193"/>
                  <c:y val="-5.8151021878672608E-3"/>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1334701652095678"/>
                      <c:h val="5.8544328819902854E-2"/>
                    </c:manualLayout>
                  </c15:layout>
                  <c15:dlblFieldTable/>
                  <c15:showDataLabelsRange val="0"/>
                </c:ext>
                <c:ext xmlns:c16="http://schemas.microsoft.com/office/drawing/2014/chart" uri="{C3380CC4-5D6E-409C-BE32-E72D297353CC}">
                  <c16:uniqueId val="{0000000A-67B3-4E45-B372-155A46E44529}"/>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67B3-4E45-B372-155A46E44529}"/>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'567C-NR'!$F$21:$P$21</c:f>
              <c:numCache>
                <c:formatCode>0</c:formatCode>
                <c:ptCount val="11"/>
                <c:pt idx="0">
                  <c:v>0</c:v>
                </c:pt>
                <c:pt idx="1">
                  <c:v>526.3401852500001</c:v>
                </c:pt>
                <c:pt idx="2">
                  <c:v>920.35022200000014</c:v>
                </c:pt>
                <c:pt idx="3">
                  <c:v>830.09574550000002</c:v>
                </c:pt>
                <c:pt idx="4">
                  <c:v>798.17747550000001</c:v>
                </c:pt>
                <c:pt idx="5">
                  <c:v>697.78618649999999</c:v>
                </c:pt>
                <c:pt idx="6">
                  <c:v>656.85738300000003</c:v>
                </c:pt>
                <c:pt idx="7">
                  <c:v>695.74967449999997</c:v>
                </c:pt>
                <c:pt idx="8">
                  <c:v>611.59596599999998</c:v>
                </c:pt>
                <c:pt idx="9">
                  <c:v>546.40647350000006</c:v>
                </c:pt>
                <c:pt idx="10">
                  <c:v>519.14541299999996</c:v>
                </c:pt>
              </c:numCache>
            </c:numRef>
          </c:val>
          <c:extLst>
            <c:ext xmlns:c16="http://schemas.microsoft.com/office/drawing/2014/chart" uri="{C3380CC4-5D6E-409C-BE32-E72D297353CC}">
              <c16:uniqueId val="{0000000C-67B3-4E45-B372-155A46E44529}"/>
            </c:ext>
          </c:extLst>
        </c:ser>
        <c:ser>
          <c:idx val="7"/>
          <c:order val="4"/>
          <c:tx>
            <c:strRef>
              <c:f>'567C-NR'!$B$20</c:f>
              <c:strCache>
                <c:ptCount val="1"/>
                <c:pt idx="0">
                  <c:v>Energy Efficiency</c:v>
                </c:pt>
              </c:strCache>
            </c:strRef>
          </c:tx>
          <c:spPr>
            <a:pattFill prst="wdUpDiag">
              <a:fgClr>
                <a:srgbClr val="00857D">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67B3-4E45-B372-155A46E44529}"/>
                </c:ext>
              </c:extLst>
            </c:dLbl>
            <c:dLbl>
              <c:idx val="1"/>
              <c:delete val="1"/>
              <c:extLst>
                <c:ext xmlns:c15="http://schemas.microsoft.com/office/drawing/2012/chart" uri="{CE6537A1-D6FC-4f65-9D91-7224C49458BB}"/>
                <c:ext xmlns:c16="http://schemas.microsoft.com/office/drawing/2014/chart" uri="{C3380CC4-5D6E-409C-BE32-E72D297353CC}">
                  <c16:uniqueId val="{0000000E-67B3-4E45-B372-155A46E44529}"/>
                </c:ext>
              </c:extLst>
            </c:dLbl>
            <c:dLbl>
              <c:idx val="2"/>
              <c:delete val="1"/>
              <c:extLst>
                <c:ext xmlns:c15="http://schemas.microsoft.com/office/drawing/2012/chart" uri="{CE6537A1-D6FC-4f65-9D91-7224C49458BB}"/>
                <c:ext xmlns:c16="http://schemas.microsoft.com/office/drawing/2014/chart" uri="{C3380CC4-5D6E-409C-BE32-E72D297353CC}">
                  <c16:uniqueId val="{0000000F-67B3-4E45-B372-155A46E44529}"/>
                </c:ext>
              </c:extLst>
            </c:dLbl>
            <c:dLbl>
              <c:idx val="3"/>
              <c:layout>
                <c:manualLayout>
                  <c:x val="0.13352583008543131"/>
                  <c:y val="1.0270299143233361E-2"/>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67B3-4E45-B372-155A46E44529}"/>
                </c:ext>
              </c:extLst>
            </c:dLbl>
            <c:dLbl>
              <c:idx val="4"/>
              <c:delete val="1"/>
              <c:extLst>
                <c:ext xmlns:c15="http://schemas.microsoft.com/office/drawing/2012/chart" uri="{CE6537A1-D6FC-4f65-9D91-7224C49458BB}"/>
                <c:ext xmlns:c16="http://schemas.microsoft.com/office/drawing/2014/chart" uri="{C3380CC4-5D6E-409C-BE32-E72D297353CC}">
                  <c16:uniqueId val="{00000011-67B3-4E45-B372-155A46E44529}"/>
                </c:ext>
              </c:extLst>
            </c:dLbl>
            <c:dLbl>
              <c:idx val="5"/>
              <c:delete val="1"/>
              <c:extLst>
                <c:ext xmlns:c15="http://schemas.microsoft.com/office/drawing/2012/chart" uri="{CE6537A1-D6FC-4f65-9D91-7224C49458BB}"/>
                <c:ext xmlns:c16="http://schemas.microsoft.com/office/drawing/2014/chart" uri="{C3380CC4-5D6E-409C-BE32-E72D297353CC}">
                  <c16:uniqueId val="{00000012-67B3-4E45-B372-155A46E44529}"/>
                </c:ext>
              </c:extLst>
            </c:dLbl>
            <c:dLbl>
              <c:idx val="6"/>
              <c:delete val="1"/>
              <c:extLst>
                <c:ext xmlns:c15="http://schemas.microsoft.com/office/drawing/2012/chart" uri="{CE6537A1-D6FC-4f65-9D91-7224C49458BB}"/>
                <c:ext xmlns:c16="http://schemas.microsoft.com/office/drawing/2014/chart" uri="{C3380CC4-5D6E-409C-BE32-E72D297353CC}">
                  <c16:uniqueId val="{00000013-67B3-4E45-B372-155A46E44529}"/>
                </c:ext>
              </c:extLst>
            </c:dLbl>
            <c:dLbl>
              <c:idx val="7"/>
              <c:delete val="1"/>
              <c:extLst>
                <c:ext xmlns:c15="http://schemas.microsoft.com/office/drawing/2012/chart" uri="{CE6537A1-D6FC-4f65-9D91-7224C49458BB}"/>
                <c:ext xmlns:c16="http://schemas.microsoft.com/office/drawing/2014/chart" uri="{C3380CC4-5D6E-409C-BE32-E72D297353CC}">
                  <c16:uniqueId val="{00000014-67B3-4E45-B372-155A46E44529}"/>
                </c:ext>
              </c:extLst>
            </c:dLbl>
            <c:dLbl>
              <c:idx val="8"/>
              <c:delete val="1"/>
              <c:extLst>
                <c:ext xmlns:c15="http://schemas.microsoft.com/office/drawing/2012/chart" uri="{CE6537A1-D6FC-4f65-9D91-7224C49458BB}"/>
                <c:ext xmlns:c16="http://schemas.microsoft.com/office/drawing/2014/chart" uri="{C3380CC4-5D6E-409C-BE32-E72D297353CC}">
                  <c16:uniqueId val="{00000015-67B3-4E45-B372-155A46E44529}"/>
                </c:ext>
              </c:extLst>
            </c:dLbl>
            <c:dLbl>
              <c:idx val="9"/>
              <c:delete val="1"/>
              <c:extLst>
                <c:ext xmlns:c15="http://schemas.microsoft.com/office/drawing/2012/chart" uri="{CE6537A1-D6FC-4f65-9D91-7224C49458BB}"/>
                <c:ext xmlns:c16="http://schemas.microsoft.com/office/drawing/2014/chart" uri="{C3380CC4-5D6E-409C-BE32-E72D297353CC}">
                  <c16:uniqueId val="{00000016-67B3-4E45-B372-155A46E44529}"/>
                </c:ext>
              </c:extLst>
            </c:dLbl>
            <c:dLbl>
              <c:idx val="10"/>
              <c:delete val="1"/>
              <c:extLst>
                <c:ext xmlns:c15="http://schemas.microsoft.com/office/drawing/2012/chart" uri="{CE6537A1-D6FC-4f65-9D91-7224C49458BB}"/>
                <c:ext xmlns:c16="http://schemas.microsoft.com/office/drawing/2014/chart" uri="{C3380CC4-5D6E-409C-BE32-E72D297353CC}">
                  <c16:uniqueId val="{00000017-67B3-4E45-B372-155A46E44529}"/>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'567C-NR'!$F$20:$P$20</c:f>
              <c:numCache>
                <c:formatCode>0</c:formatCode>
                <c:ptCount val="11"/>
                <c:pt idx="0">
                  <c:v>0</c:v>
                </c:pt>
                <c:pt idx="1">
                  <c:v>76.026299999999921</c:v>
                </c:pt>
                <c:pt idx="2">
                  <c:v>66.46919999999993</c:v>
                </c:pt>
                <c:pt idx="3">
                  <c:v>106.87139999999997</c:v>
                </c:pt>
                <c:pt idx="4">
                  <c:v>113.22439999999996</c:v>
                </c:pt>
                <c:pt idx="5">
                  <c:v>195.72</c:v>
                </c:pt>
                <c:pt idx="6">
                  <c:v>184.24</c:v>
                </c:pt>
                <c:pt idx="7">
                  <c:v>54.590999999999994</c:v>
                </c:pt>
                <c:pt idx="8">
                  <c:v>47.988</c:v>
                </c:pt>
                <c:pt idx="9">
                  <c:v>42.873000000000005</c:v>
                </c:pt>
                <c:pt idx="10">
                  <c:v>40.734000000000002</c:v>
                </c:pt>
              </c:numCache>
            </c:numRef>
          </c:val>
          <c:extLst>
            <c:ext xmlns:c16="http://schemas.microsoft.com/office/drawing/2014/chart" uri="{C3380CC4-5D6E-409C-BE32-E72D297353CC}">
              <c16:uniqueId val="{00000018-67B3-4E45-B372-155A46E44529}"/>
            </c:ext>
          </c:extLst>
        </c:ser>
        <c:ser>
          <c:idx val="4"/>
          <c:order val="5"/>
          <c:tx>
            <c:strRef>
              <c:f>'567C-NR'!$B$23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67B3-4E45-B372-155A46E44529}"/>
              </c:ext>
            </c:extLst>
          </c:dPt>
          <c:dLbls>
            <c:dLbl>
              <c:idx val="4"/>
              <c:layout>
                <c:manualLayout>
                  <c:x val="0.12122260959309272"/>
                  <c:y val="-0.19264656974304736"/>
                </c:manualLayout>
              </c:layout>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0.12243553258367047"/>
                      <c:h val="7.9356777273544649E-2"/>
                    </c:manualLayout>
                  </c15:layout>
                </c:ext>
                <c:ext xmlns:c16="http://schemas.microsoft.com/office/drawing/2014/chart" uri="{C3380CC4-5D6E-409C-BE32-E72D297353CC}">
                  <c16:uniqueId val="{0000001B-67B3-4E45-B372-155A46E4452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rgbClr val="00857D"/>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'567C-NR'!$F$23:$P$23</c:f>
              <c:numCache>
                <c:formatCode>0</c:formatCode>
                <c:ptCount val="11"/>
                <c:pt idx="0">
                  <c:v>0</c:v>
                </c:pt>
                <c:pt idx="1">
                  <c:v>10.756795306599322</c:v>
                </c:pt>
                <c:pt idx="2">
                  <c:v>10.756795306599322</c:v>
                </c:pt>
                <c:pt idx="3">
                  <c:v>10.756795306599322</c:v>
                </c:pt>
                <c:pt idx="4">
                  <c:v>10.756795306599322</c:v>
                </c:pt>
                <c:pt idx="5">
                  <c:v>37.655791257336439</c:v>
                </c:pt>
                <c:pt idx="6">
                  <c:v>50.206553729075424</c:v>
                </c:pt>
                <c:pt idx="7">
                  <c:v>253.59546372907542</c:v>
                </c:pt>
                <c:pt idx="8">
                  <c:v>253.59546372907542</c:v>
                </c:pt>
                <c:pt idx="9">
                  <c:v>253.59546372907542</c:v>
                </c:pt>
                <c:pt idx="10">
                  <c:v>253.59546372907542</c:v>
                </c:pt>
              </c:numCache>
            </c:numRef>
          </c:val>
          <c:extLst>
            <c:ext xmlns:c16="http://schemas.microsoft.com/office/drawing/2014/chart" uri="{C3380CC4-5D6E-409C-BE32-E72D297353CC}">
              <c16:uniqueId val="{0000001D-67B3-4E45-B372-155A46E44529}"/>
            </c:ext>
          </c:extLst>
        </c:ser>
        <c:ser>
          <c:idx val="5"/>
          <c:order val="6"/>
          <c:tx>
            <c:strRef>
              <c:f>'567C-NR'!$B$22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0.12070564559445963"/>
                  <c:y val="-0.1618909165813624"/>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E-67B3-4E45-B372-155A46E44529}"/>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'567C-NR'!$F$22:$P$22</c:f>
              <c:numCache>
                <c:formatCode>0</c:formatCode>
                <c:ptCount val="11"/>
                <c:pt idx="0">
                  <c:v>0</c:v>
                </c:pt>
                <c:pt idx="1">
                  <c:v>271.28364194340065</c:v>
                </c:pt>
                <c:pt idx="2">
                  <c:v>271.28364194340065</c:v>
                </c:pt>
                <c:pt idx="3">
                  <c:v>271.28364194340065</c:v>
                </c:pt>
                <c:pt idx="4">
                  <c:v>271.28364194340065</c:v>
                </c:pt>
                <c:pt idx="5">
                  <c:v>244.38464599266356</c:v>
                </c:pt>
                <c:pt idx="6">
                  <c:v>231.83388352092459</c:v>
                </c:pt>
                <c:pt idx="7">
                  <c:v>28.444973520924574</c:v>
                </c:pt>
                <c:pt idx="8">
                  <c:v>28.444973520924574</c:v>
                </c:pt>
                <c:pt idx="9">
                  <c:v>28.444973520924574</c:v>
                </c:pt>
                <c:pt idx="10">
                  <c:v>28.444973520924574</c:v>
                </c:pt>
              </c:numCache>
            </c:numRef>
          </c:val>
          <c:extLst>
            <c:ext xmlns:c16="http://schemas.microsoft.com/office/drawing/2014/chart" uri="{C3380CC4-5D6E-409C-BE32-E72D297353CC}">
              <c16:uniqueId val="{0000001F-67B3-4E45-B372-155A46E44529}"/>
            </c:ext>
          </c:extLst>
        </c:ser>
        <c:ser>
          <c:idx val="3"/>
          <c:order val="7"/>
          <c:tx>
            <c:strRef>
              <c:f>'567C-NR'!$B$24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0.12697872726448042"/>
                  <c:y val="-0.1627552419216406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20-67B3-4E45-B372-155A46E44529}"/>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'567C-NR'!$F$19:$P$19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'567C-NR'!$F$24:$P$24</c:f>
              <c:numCache>
                <c:formatCode>0</c:formatCode>
                <c:ptCount val="11"/>
                <c:pt idx="0">
                  <c:v>0</c:v>
                </c:pt>
                <c:pt idx="1">
                  <c:v>99.565693868000011</c:v>
                </c:pt>
                <c:pt idx="2">
                  <c:v>92.816748352000005</c:v>
                </c:pt>
                <c:pt idx="3">
                  <c:v>86.067802835999998</c:v>
                </c:pt>
                <c:pt idx="4">
                  <c:v>79.318857320000006</c:v>
                </c:pt>
                <c:pt idx="5">
                  <c:v>72.569911804000014</c:v>
                </c:pt>
                <c:pt idx="6">
                  <c:v>65.820966288000008</c:v>
                </c:pt>
                <c:pt idx="7">
                  <c:v>59.072020772000009</c:v>
                </c:pt>
                <c:pt idx="8">
                  <c:v>52.32307525600001</c:v>
                </c:pt>
                <c:pt idx="9">
                  <c:v>45.574129740000004</c:v>
                </c:pt>
                <c:pt idx="10">
                  <c:v>45.574129739999997</c:v>
                </c:pt>
              </c:numCache>
            </c:numRef>
          </c:val>
          <c:extLst>
            <c:ext xmlns:c16="http://schemas.microsoft.com/office/drawing/2014/chart" uri="{C3380CC4-5D6E-409C-BE32-E72D297353CC}">
              <c16:uniqueId val="{00000021-67B3-4E45-B372-155A46E44529}"/>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'567C-NR'!$E$17</c:f>
              <c:strCache>
                <c:ptCount val="1"/>
                <c:pt idx="0">
                  <c:v>kg.CO2-e/m2</c:v>
                </c:pt>
              </c:strCache>
            </c:strRef>
          </c:tx>
          <c:spPr>
            <a:ln w="28575" cap="rnd">
              <a:solidFill>
                <a:srgbClr val="2DCCD3"/>
              </a:solidFill>
              <a:round/>
            </a:ln>
            <a:effectLst/>
          </c:spPr>
          <c:marker>
            <c:symbol val="none"/>
          </c:marker>
          <c:dLbls>
            <c:dLbl>
              <c:idx val="0"/>
              <c:layout>
                <c:manualLayout>
                  <c:x val="-2.7381266269607872E-2"/>
                  <c:y val="-3.4321570859693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6F3-4390-B484-9497F23EC55A}"/>
                </c:ext>
              </c:extLst>
            </c:dLbl>
            <c:dLbl>
              <c:idx val="1"/>
              <c:layout>
                <c:manualLayout>
                  <c:x val="-1.8824457740554187E-2"/>
                  <c:y val="-4.955000899111909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67B3-4E45-B372-155A46E4452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'567C-NR'!$F$12:$P$12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'567C-NR'!$F$17:$P$17</c:f>
              <c:numCache>
                <c:formatCode>0.0</c:formatCode>
                <c:ptCount val="11"/>
                <c:pt idx="0">
                  <c:v>28.416513716989702</c:v>
                </c:pt>
                <c:pt idx="1">
                  <c:v>9.5609559363136025</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3-67B3-4E45-B372-155A46E44529}"/>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75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31"/>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2"/>
          <c:order val="2"/>
          <c:tx>
            <c:strRef>
              <c:f>'567C-NR'!$E$50</c:f>
              <c:strCache>
                <c:ptCount val="1"/>
                <c:pt idx="0">
                  <c:v>TOTAL SAVINGS ($)</c:v>
                </c:pt>
              </c:strCache>
            </c:strRef>
          </c:tx>
          <c:spPr>
            <a:solidFill>
              <a:srgbClr val="00857D"/>
            </a:solidFill>
            <a:ln>
              <a:noFill/>
            </a:ln>
            <a:effectLst/>
          </c:spPr>
          <c:invertIfNegative val="0"/>
          <c:cat>
            <c:strRef>
              <c:f>'567C-NR'!$F$30:$P$30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'567C-NR'!$F$51:$P$51</c:f>
              <c:numCache>
                <c:formatCode>"$"#,##0.00</c:formatCode>
                <c:ptCount val="11"/>
                <c:pt idx="0">
                  <c:v>0</c:v>
                </c:pt>
                <c:pt idx="1">
                  <c:v>0.74140071387766726</c:v>
                </c:pt>
                <c:pt idx="2">
                  <c:v>0.7667523641963635</c:v>
                </c:pt>
                <c:pt idx="3">
                  <c:v>1.2549185801063847</c:v>
                </c:pt>
                <c:pt idx="4">
                  <c:v>1.4023187408585129</c:v>
                </c:pt>
                <c:pt idx="5">
                  <c:v>2.8209415972489689</c:v>
                </c:pt>
                <c:pt idx="6">
                  <c:v>3.0915771075475202</c:v>
                </c:pt>
                <c:pt idx="7">
                  <c:v>4.4536887418969195</c:v>
                </c:pt>
                <c:pt idx="8">
                  <c:v>4.7197406573329284</c:v>
                </c:pt>
                <c:pt idx="9">
                  <c:v>4.8583474278015011</c:v>
                </c:pt>
                <c:pt idx="10">
                  <c:v>5.0012858136250493</c:v>
                </c:pt>
              </c:numCache>
            </c:numRef>
          </c:val>
          <c:extLst>
            <c:ext xmlns:c16="http://schemas.microsoft.com/office/drawing/2014/chart" uri="{C3380CC4-5D6E-409C-BE32-E72D297353CC}">
              <c16:uniqueId val="{00000003-A175-459E-BFF0-67B5DDE893DA}"/>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A175-459E-BFF0-67B5DDE893DA}"/>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A0-4E1E-8E3B-A645978080D2}"/>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A0-4E1E-8E3B-A645978080D2}"/>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A0-4E1E-8E3B-A645978080D2}"/>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'567C-NR'!$F$6:$P$6</c:f>
              <c:numCache>
                <c:formatCode>#,##0_ ;\-#,##0\ </c:formatCode>
                <c:ptCount val="11"/>
                <c:pt idx="0">
                  <c:v>1278.2635</c:v>
                </c:pt>
                <c:pt idx="1">
                  <c:v>1192.1635000000001</c:v>
                </c:pt>
                <c:pt idx="2">
                  <c:v>1192.1635000000001</c:v>
                </c:pt>
                <c:pt idx="3">
                  <c:v>1132.4635000000001</c:v>
                </c:pt>
                <c:pt idx="4">
                  <c:v>1119.4635000000001</c:v>
                </c:pt>
                <c:pt idx="5">
                  <c:v>998.26350000000002</c:v>
                </c:pt>
                <c:pt idx="6">
                  <c:v>998.26350000000002</c:v>
                </c:pt>
                <c:pt idx="7">
                  <c:v>1185.2635</c:v>
                </c:pt>
                <c:pt idx="8">
                  <c:v>1185.2635</c:v>
                </c:pt>
                <c:pt idx="9">
                  <c:v>1185.2635</c:v>
                </c:pt>
                <c:pt idx="10">
                  <c:v>1185.2635</c:v>
                </c:pt>
              </c:numCache>
            </c:numRef>
          </c:val>
          <c:smooth val="0"/>
          <c:extLst>
            <c:ext xmlns:c16="http://schemas.microsoft.com/office/drawing/2014/chart" uri="{C3380CC4-5D6E-409C-BE32-E72D297353CC}">
              <c16:uniqueId val="{00000005-A175-459E-BFF0-67B5DDE893DA}"/>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6-A175-459E-BFF0-67B5DDE893DA}"/>
                </c:ext>
              </c:extLst>
            </c:dLbl>
            <c:dLbl>
              <c:idx val="10"/>
              <c:layout>
                <c:manualLayout>
                  <c:x val="-8.7970787005246937E-3"/>
                  <c:y val="-0.1347544660194480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7-A175-459E-BFF0-67B5DDE893DA}"/>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'567C-NR'!$F$37:$P$37</c:f>
              <c:numCache>
                <c:formatCode>_("$"* #,##0.00_);_("$"* \(#,##0.00\);_("$"* "-"??_);_(@_)</c:formatCode>
                <c:ptCount val="11"/>
                <c:pt idx="0">
                  <c:v>10.945954115274926</c:v>
                </c:pt>
                <c:pt idx="1">
                  <c:v>12.365877919158658</c:v>
                </c:pt>
                <c:pt idx="2">
                  <c:v>13.179853088350313</c:v>
                </c:pt>
                <c:pt idx="3">
                  <c:v>13.603770243048423</c:v>
                </c:pt>
                <c:pt idx="4">
                  <c:v>14.042297959380825</c:v>
                </c:pt>
                <c:pt idx="5">
                  <c:v>14.495933087392739</c:v>
                </c:pt>
                <c:pt idx="6">
                  <c:v>14.965189431292615</c:v>
                </c:pt>
                <c:pt idx="7">
                  <c:v>15.450598329780178</c:v>
                </c:pt>
                <c:pt idx="8">
                  <c:v>17.825468026027632</c:v>
                </c:pt>
                <c:pt idx="9">
                  <c:v>18.410395766538027</c:v>
                </c:pt>
                <c:pt idx="10">
                  <c:v>19.02283118569412</c:v>
                </c:pt>
              </c:numCache>
            </c:numRef>
          </c:val>
          <c:smooth val="0"/>
          <c:extLst>
            <c:ext xmlns:c16="http://schemas.microsoft.com/office/drawing/2014/chart" uri="{C3380CC4-5D6E-409C-BE32-E72D297353CC}">
              <c16:uniqueId val="{00000008-A175-459E-BFF0-67B5DDE893DA}"/>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25"/>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a:latin typeface="Times New Roman" panose="02020603050405020304" pitchFamily="18" charset="0"/>
                <a:cs typeface="Times New Roman" panose="02020603050405020304" pitchFamily="18" charset="0"/>
              </a:rPr>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1"/>
          <c:order val="0"/>
          <c:tx>
            <c:strRef>
              <c:f>'6OC-NR'!$E$57</c:f>
              <c:strCache>
                <c:ptCount val="1"/>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'6OC-NR'!$F$57:$P$57</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B05-4191-ADC3-1612E05A6955}"/>
            </c:ext>
          </c:extLst>
        </c:ser>
        <c:ser>
          <c:idx val="2"/>
          <c:order val="1"/>
          <c:tx>
            <c:strRef>
              <c:f>'6OC-NR'!$E$56</c:f>
              <c:strCache>
                <c:ptCount val="1"/>
                <c:pt idx="0">
                  <c:v>6 O'Connell Street</c:v>
                </c:pt>
              </c:strCache>
            </c:strRef>
          </c:tx>
          <c:spPr>
            <a:ln w="28575" cap="rnd">
              <a:solidFill>
                <a:srgbClr val="2DCCD3"/>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6B05-4191-ADC3-1612E05A6955}"/>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'6OC-NR'!$F$56:$P$56</c:f>
              <c:numCache>
                <c:formatCode>0.00</c:formatCode>
                <c:ptCount val="11"/>
                <c:pt idx="0">
                  <c:v>4.7628832354859751</c:v>
                </c:pt>
                <c:pt idx="1">
                  <c:v>4.7628832354859751</c:v>
                </c:pt>
                <c:pt idx="2">
                  <c:v>4.7628832354859751</c:v>
                </c:pt>
                <c:pt idx="3">
                  <c:v>5.3353020390224728</c:v>
                </c:pt>
                <c:pt idx="4">
                  <c:v>5.5160533147163555</c:v>
                </c:pt>
                <c:pt idx="5">
                  <c:v>5.5160533147163555</c:v>
                </c:pt>
                <c:pt idx="6">
                  <c:v>5.5160533147163555</c:v>
                </c:pt>
                <c:pt idx="7">
                  <c:v>5.5160533147163555</c:v>
                </c:pt>
                <c:pt idx="8">
                  <c:v>5.7079394155118459</c:v>
                </c:pt>
                <c:pt idx="9">
                  <c:v>5.7716680110315162</c:v>
                </c:pt>
                <c:pt idx="10">
                  <c:v>5.7716680110315162</c:v>
                </c:pt>
              </c:numCache>
            </c:numRef>
          </c:val>
          <c:smooth val="0"/>
          <c:extLst>
            <c:ext xmlns:c16="http://schemas.microsoft.com/office/drawing/2014/chart" uri="{C3380CC4-5D6E-409C-BE32-E72D297353CC}">
              <c16:uniqueId val="{00000002-6B05-4191-ADC3-1612E05A6955}"/>
            </c:ext>
          </c:extLst>
        </c:ser>
        <c:ser>
          <c:idx val="0"/>
          <c:order val="2"/>
          <c:tx>
            <c:strRef>
              <c:f>'6OC-NR'!$E$58</c:f>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6B05-4191-ADC3-1612E05A6955}"/>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4-6B05-4191-ADC3-1612E05A6955}"/>
            </c:ext>
          </c:extLst>
        </c:ser>
        <c:ser>
          <c:idx val="3"/>
          <c:order val="3"/>
          <c:tx>
            <c:strRef>
              <c:f>'6OC-NR'!$E$59</c:f>
              <c:strCache>
                <c:ptCount val="1"/>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'6OC-NR'!$F$59:$P$59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5-6B05-4191-ADC3-1612E05A6955}"/>
            </c:ext>
          </c:extLst>
        </c:ser>
        <c:dLbls>
          <c:showLegendKey val="0"/>
          <c:showVal val="0"/>
          <c:showCatName val="0"/>
          <c:showSerName val="0"/>
          <c:showPercent val="0"/>
          <c:showBubbleSize val="0"/>
        </c:dLbls>
        <c:smooth val="0"/>
        <c:axId val="1173658688"/>
        <c:axId val="1173670336"/>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6"/>
          <c:min val="4.75"/>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Emissions Intensity</a:t>
            </a:r>
            <a:r>
              <a:rPr lang="en-US" sz="1600" baseline="0">
                <a:latin typeface="Times New Roman" panose="02020603050405020304" pitchFamily="18" charset="0"/>
                <a:cs typeface="Times New Roman" panose="02020603050405020304" pitchFamily="18" charset="0"/>
              </a:rPr>
              <a:t> (</a:t>
            </a:r>
            <a:r>
              <a:rPr lang="en-US" sz="1600">
                <a:latin typeface="Times New Roman" panose="02020603050405020304" pitchFamily="18" charset="0"/>
                <a:cs typeface="Times New Roman" panose="02020603050405020304" pitchFamily="18" charset="0"/>
              </a:rPr>
              <a:t>kg.CO2-e/m2)</a:t>
            </a:r>
          </a:p>
        </c:rich>
      </c:tx>
      <c:layout>
        <c:manualLayout>
          <c:xMode val="edge"/>
          <c:yMode val="edge"/>
          <c:x val="1.1994013017075917E-2"/>
          <c:y val="1.1131597805905927E-2"/>
        </c:manualLayout>
      </c:layout>
      <c:overlay val="0"/>
      <c:spPr>
        <a:noFill/>
        <a:ln>
          <a:noFill/>
        </a:ln>
        <a:effectLst/>
      </c:spPr>
      <c:txPr>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1.8611922006743144E-2"/>
          <c:y val="0.11083387898661808"/>
          <c:w val="0.96726881584691693"/>
          <c:h val="0.82031567352170343"/>
        </c:manualLayout>
      </c:layout>
      <c:barChart>
        <c:barDir val="col"/>
        <c:grouping val="stacked"/>
        <c:varyColors val="0"/>
        <c:ser>
          <c:idx val="0"/>
          <c:order val="0"/>
          <c:tx>
            <c:strRef>
              <c:f>'6OC-NR'!$B$27</c:f>
              <c:strCache>
                <c:ptCount val="1"/>
                <c:pt idx="0">
                  <c:v>Grid Electricity</c:v>
                </c:pt>
              </c:strCache>
            </c:strRef>
          </c:tx>
          <c:spPr>
            <a:solidFill>
              <a:srgbClr val="2DCCD3"/>
            </a:solidFill>
            <a:ln>
              <a:noFill/>
            </a:ln>
            <a:effectLst/>
          </c:spPr>
          <c:invertIfNegative val="0"/>
          <c:dLbls>
            <c:dLbl>
              <c:idx val="0"/>
              <c:layout>
                <c:manualLayout>
                  <c:x val="9.8681352205723785E-2"/>
                  <c:y val="-0.2091091508726466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FE2C-4326-B2CA-0CDC0633749F}"/>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'6OC-NR'!$F$27:$P$27</c:f>
              <c:numCache>
                <c:formatCode>0</c:formatCode>
                <c:ptCount val="11"/>
                <c:pt idx="0" formatCode="#,##0_ ;\-#,##0\ ">
                  <c:v>775.09665000000007</c:v>
                </c:pt>
                <c:pt idx="1">
                  <c:v>364.00108499999999</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FE2C-4326-B2CA-0CDC0633749F}"/>
            </c:ext>
          </c:extLst>
        </c:ser>
        <c:ser>
          <c:idx val="1"/>
          <c:order val="1"/>
          <c:tx>
            <c:strRef>
              <c:f>'60MP-NR'!$B$26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52195498695E-2"/>
                  <c:y val="6.1852513759638869E-3"/>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FE2C-4326-B2CA-0CDC0633749F}"/>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'6OC-NR'!$F$26:$P$26</c:f>
              <c:numCache>
                <c:formatCode>0</c:formatCode>
                <c:ptCount val="11"/>
                <c:pt idx="0">
                  <c:v>149.07361043999998</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FE2C-4326-B2CA-0CDC0633749F}"/>
            </c:ext>
          </c:extLst>
        </c:ser>
        <c:ser>
          <c:idx val="2"/>
          <c:order val="2"/>
          <c:tx>
            <c:strRef>
              <c:f>'6OC-NR'!$B$25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FE2C-4326-B2CA-0CDC0633749F}"/>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'6OC-NR'!$F$25:$P$25</c:f>
              <c:numCache>
                <c:formatCode>0</c:formatCode>
                <c:ptCount val="11"/>
                <c:pt idx="0">
                  <c:v>75.513339619454001</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FE2C-4326-B2CA-0CDC0633749F}"/>
            </c:ext>
          </c:extLst>
        </c:ser>
        <c:ser>
          <c:idx val="6"/>
          <c:order val="3"/>
          <c:tx>
            <c:strRef>
              <c:f>'6OC-NR'!$B$21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FE2C-4326-B2CA-0CDC0633749F}"/>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FE2C-4326-B2CA-0CDC0633749F}"/>
              </c:ext>
            </c:extLst>
          </c:dPt>
          <c:dLbls>
            <c:dLbl>
              <c:idx val="1"/>
              <c:layout>
                <c:manualLayout>
                  <c:x val="0.13863296146097967"/>
                  <c:y val="-1.0385223113909886E-3"/>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FE2C-4326-B2CA-0CDC0633749F}"/>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FE2C-4326-B2CA-0CDC0633749F}"/>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'6OC-NR'!$F$21:$P$21</c:f>
              <c:numCache>
                <c:formatCode>0</c:formatCode>
                <c:ptCount val="11"/>
                <c:pt idx="0">
                  <c:v>0</c:v>
                </c:pt>
                <c:pt idx="1">
                  <c:v>364.00108499999999</c:v>
                </c:pt>
                <c:pt idx="2">
                  <c:v>716.22854999999993</c:v>
                </c:pt>
                <c:pt idx="3">
                  <c:v>649.51137000000006</c:v>
                </c:pt>
                <c:pt idx="4">
                  <c:v>351.217152</c:v>
                </c:pt>
                <c:pt idx="5">
                  <c:v>307.87785600000001</c:v>
                </c:pt>
                <c:pt idx="6">
                  <c:v>258.91007999999999</c:v>
                </c:pt>
                <c:pt idx="7">
                  <c:v>215.57078399999997</c:v>
                </c:pt>
                <c:pt idx="8">
                  <c:v>182.9256</c:v>
                </c:pt>
                <c:pt idx="9">
                  <c:v>137.72447999999997</c:v>
                </c:pt>
                <c:pt idx="10">
                  <c:v>126.24743999999998</c:v>
                </c:pt>
              </c:numCache>
            </c:numRef>
          </c:val>
          <c:extLst>
            <c:ext xmlns:c16="http://schemas.microsoft.com/office/drawing/2014/chart" uri="{C3380CC4-5D6E-409C-BE32-E72D297353CC}">
              <c16:uniqueId val="{0000000C-FE2C-4326-B2CA-0CDC0633749F}"/>
            </c:ext>
          </c:extLst>
        </c:ser>
        <c:ser>
          <c:idx val="7"/>
          <c:order val="4"/>
          <c:tx>
            <c:strRef>
              <c:f>'6OC-NR'!$B$20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4"/>
              <c:layout>
                <c:manualLayout>
                  <c:x val="0.11222444889779559"/>
                  <c:y val="-0.2629685577760890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1-FE2C-4326-B2CA-0CDC0633749F}"/>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'6OC-NR'!$F$20:$P$20</c:f>
              <c:numCache>
                <c:formatCode>0</c:formatCode>
                <c:ptCount val="11"/>
                <c:pt idx="0">
                  <c:v>0</c:v>
                </c:pt>
                <c:pt idx="1">
                  <c:v>0</c:v>
                </c:pt>
                <c:pt idx="2">
                  <c:v>0</c:v>
                </c:pt>
                <c:pt idx="3">
                  <c:v>0</c:v>
                </c:pt>
                <c:pt idx="4">
                  <c:v>261.01108800000003</c:v>
                </c:pt>
                <c:pt idx="5">
                  <c:v>228.80298900000003</c:v>
                </c:pt>
                <c:pt idx="6">
                  <c:v>192.41202000000001</c:v>
                </c:pt>
                <c:pt idx="7">
                  <c:v>160.20392100000001</c:v>
                </c:pt>
                <c:pt idx="8">
                  <c:v>135.94327500000003</c:v>
                </c:pt>
                <c:pt idx="9">
                  <c:v>144.8424</c:v>
                </c:pt>
                <c:pt idx="10">
                  <c:v>132.77220000000003</c:v>
                </c:pt>
              </c:numCache>
            </c:numRef>
          </c:val>
          <c:extLst>
            <c:ext xmlns:c16="http://schemas.microsoft.com/office/drawing/2014/chart" uri="{C3380CC4-5D6E-409C-BE32-E72D297353CC}">
              <c16:uniqueId val="{00000018-FE2C-4326-B2CA-0CDC0633749F}"/>
            </c:ext>
          </c:extLst>
        </c:ser>
        <c:ser>
          <c:idx val="4"/>
          <c:order val="5"/>
          <c:tx>
            <c:strRef>
              <c:f>'6OC-NR'!$B$23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FE2C-4326-B2CA-0CDC0633749F}"/>
              </c:ext>
            </c:extLst>
          </c:dPt>
          <c:dLbls>
            <c:dLbl>
              <c:idx val="9"/>
              <c:layout>
                <c:manualLayout>
                  <c:x val="9.3520374081496327E-2"/>
                  <c:y val="-0.13299559243848191"/>
                </c:manualLayout>
              </c:layout>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6-9A54-438C-9958-8444785F80BF}"/>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'6OC-NR'!$F$23:$P$23</c:f>
              <c:numCache>
                <c:formatCode>0</c:formatCode>
                <c:ptCount val="11"/>
                <c:pt idx="0">
                  <c:v>0</c:v>
                </c:pt>
                <c:pt idx="1">
                  <c:v>0</c:v>
                </c:pt>
                <c:pt idx="2">
                  <c:v>0</c:v>
                </c:pt>
                <c:pt idx="3">
                  <c:v>0</c:v>
                </c:pt>
                <c:pt idx="4">
                  <c:v>5.1749517799999971</c:v>
                </c:pt>
                <c:pt idx="5">
                  <c:v>5.1749517799999971</c:v>
                </c:pt>
                <c:pt idx="6">
                  <c:v>5.1749517799999971</c:v>
                </c:pt>
                <c:pt idx="7">
                  <c:v>5.1749517799999971</c:v>
                </c:pt>
                <c:pt idx="8">
                  <c:v>5.1749517799999971</c:v>
                </c:pt>
                <c:pt idx="9">
                  <c:v>58.098271449999999</c:v>
                </c:pt>
                <c:pt idx="10">
                  <c:v>58.098271449999999</c:v>
                </c:pt>
              </c:numCache>
            </c:numRef>
          </c:val>
          <c:extLst>
            <c:ext xmlns:c16="http://schemas.microsoft.com/office/drawing/2014/chart" uri="{C3380CC4-5D6E-409C-BE32-E72D297353CC}">
              <c16:uniqueId val="{0000001B-FE2C-4326-B2CA-0CDC0633749F}"/>
            </c:ext>
          </c:extLst>
        </c:ser>
        <c:ser>
          <c:idx val="5"/>
          <c:order val="6"/>
          <c:tx>
            <c:strRef>
              <c:f>'6OC-NR'!$B$22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0.1001655805048417"/>
                  <c:y val="-0.10253465132568379"/>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C-FE2C-4326-B2CA-0CDC0633749F}"/>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'6OC-NR'!$F$22:$P$22</c:f>
              <c:numCache>
                <c:formatCode>0</c:formatCode>
                <c:ptCount val="11"/>
                <c:pt idx="0">
                  <c:v>0</c:v>
                </c:pt>
                <c:pt idx="1">
                  <c:v>149.07361043999998</c:v>
                </c:pt>
                <c:pt idx="2">
                  <c:v>149.07361043999998</c:v>
                </c:pt>
                <c:pt idx="3">
                  <c:v>149.07361043999998</c:v>
                </c:pt>
                <c:pt idx="4">
                  <c:v>143.89865866</c:v>
                </c:pt>
                <c:pt idx="5">
                  <c:v>143.89865866</c:v>
                </c:pt>
                <c:pt idx="6">
                  <c:v>143.89865866</c:v>
                </c:pt>
                <c:pt idx="7">
                  <c:v>143.89865866</c:v>
                </c:pt>
                <c:pt idx="8">
                  <c:v>143.89865866</c:v>
                </c:pt>
                <c:pt idx="9">
                  <c:v>90.975338989999997</c:v>
                </c:pt>
                <c:pt idx="10">
                  <c:v>90.975338989999997</c:v>
                </c:pt>
              </c:numCache>
            </c:numRef>
          </c:val>
          <c:extLst>
            <c:ext xmlns:c16="http://schemas.microsoft.com/office/drawing/2014/chart" uri="{C3380CC4-5D6E-409C-BE32-E72D297353CC}">
              <c16:uniqueId val="{0000001D-FE2C-4326-B2CA-0CDC0633749F}"/>
            </c:ext>
          </c:extLst>
        </c:ser>
        <c:ser>
          <c:idx val="3"/>
          <c:order val="7"/>
          <c:tx>
            <c:strRef>
              <c:f>'6OC-NR'!$B$24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0.10791504268379279"/>
                  <c:y val="-8.2859252916061651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E-FE2C-4326-B2CA-0CDC0633749F}"/>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'6OC-NR'!$F$24:$P$24</c:f>
              <c:numCache>
                <c:formatCode>0</c:formatCode>
                <c:ptCount val="11"/>
                <c:pt idx="0">
                  <c:v>0</c:v>
                </c:pt>
                <c:pt idx="1">
                  <c:v>70.090973697848</c:v>
                </c:pt>
                <c:pt idx="2">
                  <c:v>64.668607776241998</c:v>
                </c:pt>
                <c:pt idx="3">
                  <c:v>59.246241854635997</c:v>
                </c:pt>
                <c:pt idx="4">
                  <c:v>53.823875933029996</c:v>
                </c:pt>
                <c:pt idx="5">
                  <c:v>48.401510011423994</c:v>
                </c:pt>
                <c:pt idx="6">
                  <c:v>42.979144089817993</c:v>
                </c:pt>
                <c:pt idx="7">
                  <c:v>37.556778168211991</c:v>
                </c:pt>
                <c:pt idx="8">
                  <c:v>32.13441224660599</c:v>
                </c:pt>
                <c:pt idx="9">
                  <c:v>26.712046324999989</c:v>
                </c:pt>
                <c:pt idx="10">
                  <c:v>26.712046324999999</c:v>
                </c:pt>
              </c:numCache>
            </c:numRef>
          </c:val>
          <c:extLst>
            <c:ext xmlns:c16="http://schemas.microsoft.com/office/drawing/2014/chart" uri="{C3380CC4-5D6E-409C-BE32-E72D297353CC}">
              <c16:uniqueId val="{0000001F-FE2C-4326-B2CA-0CDC0633749F}"/>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'6OC-NR'!$E$17</c:f>
              <c:strCache>
                <c:ptCount val="1"/>
                <c:pt idx="0">
                  <c:v>kg.CO2-e/m2</c:v>
                </c:pt>
              </c:strCache>
            </c:strRef>
          </c:tx>
          <c:spPr>
            <a:ln w="28575" cap="rnd">
              <a:solidFill>
                <a:srgbClr val="2DCCD3"/>
              </a:solidFill>
              <a:round/>
            </a:ln>
            <a:effectLst/>
          </c:spPr>
          <c:marker>
            <c:symbol val="none"/>
          </c:marker>
          <c:dLbls>
            <c:dLbl>
              <c:idx val="0"/>
              <c:layout>
                <c:manualLayout>
                  <c:x val="-3.6978414448514116E-2"/>
                  <c:y val="-3.802525745180269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0-FE2C-4326-B2CA-0CDC0633749F}"/>
                </c:ext>
              </c:extLst>
            </c:dLbl>
            <c:dLbl>
              <c:idx val="1"/>
              <c:layout>
                <c:manualLayout>
                  <c:x val="2.0442634916625138E-3"/>
                  <c:y val="-2.29564958279415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E2C-4326-B2CA-0CDC0633749F}"/>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'6OC-NR'!$F$17:$P$17</c:f>
              <c:numCache>
                <c:formatCode>0.0</c:formatCode>
                <c:ptCount val="11"/>
                <c:pt idx="0">
                  <c:v>77.870927039847786</c:v>
                </c:pt>
                <c:pt idx="1">
                  <c:v>28.35407315952234</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FE2C-4326-B2CA-0CDC0633749F}"/>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03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80"/>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clustered"/>
        <c:varyColors val="0"/>
        <c:ser>
          <c:idx val="2"/>
          <c:order val="2"/>
          <c:tx>
            <c:v>Total Savings ($)</c:v>
          </c:tx>
          <c:spPr>
            <a:solidFill>
              <a:srgbClr val="0085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'6OC-NR'!$F$30:$P$30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'6OC-NR'!$F$51:$P$51</c:f>
              <c:numCache>
                <c:formatCode>"$"#,##0.00</c:formatCode>
                <c:ptCount val="11"/>
                <c:pt idx="0">
                  <c:v>0</c:v>
                </c:pt>
                <c:pt idx="1">
                  <c:v>0.99897435623005426</c:v>
                </c:pt>
                <c:pt idx="2">
                  <c:v>0</c:v>
                </c:pt>
                <c:pt idx="3">
                  <c:v>0</c:v>
                </c:pt>
                <c:pt idx="4">
                  <c:v>11.23504005431883</c:v>
                </c:pt>
                <c:pt idx="5">
                  <c:v>11.626158131187333</c:v>
                </c:pt>
                <c:pt idx="6">
                  <c:v>12.030927486662884</c:v>
                </c:pt>
                <c:pt idx="7">
                  <c:v>12.449824779874206</c:v>
                </c:pt>
                <c:pt idx="8">
                  <c:v>14.888073063014192</c:v>
                </c:pt>
                <c:pt idx="9">
                  <c:v>21.699553083164059</c:v>
                </c:pt>
                <c:pt idx="10">
                  <c:v>22.433111365075479</c:v>
                </c:pt>
              </c:numCache>
            </c:numRef>
          </c:val>
          <c:extLst>
            <c:ext xmlns:c16="http://schemas.microsoft.com/office/drawing/2014/chart" uri="{C3380CC4-5D6E-409C-BE32-E72D297353CC}">
              <c16:uniqueId val="{00000000-5977-410C-9B6F-C0127DFA455B}"/>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b"/>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977-410C-9B6F-C0127DFA455B}"/>
                </c:ext>
              </c:extLst>
            </c:dLbl>
            <c:dLbl>
              <c:idx val="1"/>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77-410C-9B6F-C0127DFA455B}"/>
                </c:ext>
              </c:extLst>
            </c:dLbl>
            <c:dLbl>
              <c:idx val="2"/>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77-410C-9B6F-C0127DFA455B}"/>
                </c:ext>
              </c:extLst>
            </c:dLbl>
            <c:dLbl>
              <c:idx val="3"/>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77-410C-9B6F-C0127DFA455B}"/>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'6OC-NR'!$F$6:$P$6</c:f>
              <c:numCache>
                <c:formatCode>#,##0_ ;\-#,##0\ </c:formatCode>
                <c:ptCount val="11"/>
                <c:pt idx="0">
                  <c:v>981.13499999999999</c:v>
                </c:pt>
                <c:pt idx="1">
                  <c:v>981.13499999999999</c:v>
                </c:pt>
                <c:pt idx="2">
                  <c:v>981.13499999999999</c:v>
                </c:pt>
                <c:pt idx="3">
                  <c:v>981.13499999999999</c:v>
                </c:pt>
                <c:pt idx="4">
                  <c:v>562.84799999999996</c:v>
                </c:pt>
                <c:pt idx="5">
                  <c:v>562.84799999999996</c:v>
                </c:pt>
                <c:pt idx="6">
                  <c:v>562.84799999999996</c:v>
                </c:pt>
                <c:pt idx="7">
                  <c:v>562.84799999999996</c:v>
                </c:pt>
                <c:pt idx="8">
                  <c:v>562.84799999999996</c:v>
                </c:pt>
                <c:pt idx="9">
                  <c:v>478.20999999999992</c:v>
                </c:pt>
                <c:pt idx="10">
                  <c:v>478.20999999999992</c:v>
                </c:pt>
              </c:numCache>
            </c:numRef>
          </c:val>
          <c:smooth val="0"/>
          <c:extLst>
            <c:ext xmlns:c16="http://schemas.microsoft.com/office/drawing/2014/chart" uri="{C3380CC4-5D6E-409C-BE32-E72D297353CC}">
              <c16:uniqueId val="{00000002-5977-410C-9B6F-C0127DFA455B}"/>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b"/>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3-5977-410C-9B6F-C0127DFA455B}"/>
                </c:ext>
              </c:extLst>
            </c:dLbl>
            <c:dLbl>
              <c:idx val="10"/>
              <c:layout>
                <c:manualLayout>
                  <c:x val="-8.2702491931617265E-4"/>
                  <c:y val="-8.539041864676078E-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4-5977-410C-9B6F-C0127DFA455B}"/>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'6OC-NR'!$F$37:$P$37</c:f>
              <c:numCache>
                <c:formatCode>_("$"* #,##0.00_);_("$"* \(#,##0.00\);_("$"* "-"??_);_(@_)</c:formatCode>
                <c:ptCount val="11"/>
                <c:pt idx="0">
                  <c:v>21.699544443319287</c:v>
                </c:pt>
                <c:pt idx="1">
                  <c:v>30.835548312517538</c:v>
                </c:pt>
                <c:pt idx="2">
                  <c:v>31.846564416625228</c:v>
                </c:pt>
                <c:pt idx="3">
                  <c:v>32.86662546675376</c:v>
                </c:pt>
                <c:pt idx="4">
                  <c:v>33.922247790953215</c:v>
                </c:pt>
                <c:pt idx="5">
                  <c:v>35.014645198102571</c:v>
                </c:pt>
                <c:pt idx="6">
                  <c:v>36.145073055320168</c:v>
                </c:pt>
                <c:pt idx="7">
                  <c:v>37.314829714749933</c:v>
                </c:pt>
                <c:pt idx="8">
                  <c:v>43.227556931187692</c:v>
                </c:pt>
                <c:pt idx="9">
                  <c:v>44.644626084791298</c:v>
                </c:pt>
                <c:pt idx="10">
                  <c:v>46.136295036145498</c:v>
                </c:pt>
              </c:numCache>
            </c:numRef>
          </c:val>
          <c:smooth val="0"/>
          <c:extLst>
            <c:ext xmlns:c16="http://schemas.microsoft.com/office/drawing/2014/chart" uri="{C3380CC4-5D6E-409C-BE32-E72D297353CC}">
              <c16:uniqueId val="{00000005-5977-410C-9B6F-C0127DFA455B}"/>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0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48"/>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'60MP-NR'!$E$56</c:f>
              <c:strCache>
                <c:ptCount val="1"/>
                <c:pt idx="0">
                  <c:v>60 Martin Place</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72B7-452D-B4CF-89D5218F262D}"/>
                </c:ext>
              </c:extLst>
            </c:dLbl>
            <c:dLbl>
              <c:idx val="1"/>
              <c:delete val="1"/>
              <c:extLst>
                <c:ext xmlns:c15="http://schemas.microsoft.com/office/drawing/2012/chart" uri="{CE6537A1-D6FC-4f65-9D91-7224C49458BB}"/>
                <c:ext xmlns:c16="http://schemas.microsoft.com/office/drawing/2014/chart" uri="{C3380CC4-5D6E-409C-BE32-E72D297353CC}">
                  <c16:uniqueId val="{00000000-2A79-42B0-8123-C6CF8F9CCEBC}"/>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'60MP-NR'!$F$55:$P$55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'60MP-NR'!$F$56:$P$56</c:f>
              <c:numCache>
                <c:formatCode>0.00</c:formatCode>
                <c:ptCount val="11"/>
                <c:pt idx="0">
                  <c:v>5.2669923839632133</c:v>
                </c:pt>
                <c:pt idx="1">
                  <c:v>5.2669923839632133</c:v>
                </c:pt>
                <c:pt idx="2">
                  <c:v>5.2669923839632133</c:v>
                </c:pt>
                <c:pt idx="3">
                  <c:v>5.2669923839632133</c:v>
                </c:pt>
                <c:pt idx="4">
                  <c:v>5.2669923839632133</c:v>
                </c:pt>
                <c:pt idx="5">
                  <c:v>5.2669923839632133</c:v>
                </c:pt>
                <c:pt idx="6">
                  <c:v>5.2669923839632133</c:v>
                </c:pt>
                <c:pt idx="7">
                  <c:v>5.2669923839632133</c:v>
                </c:pt>
                <c:pt idx="8">
                  <c:v>5.2669923839632133</c:v>
                </c:pt>
                <c:pt idx="9">
                  <c:v>5.2669923839632133</c:v>
                </c:pt>
                <c:pt idx="10">
                  <c:v>5.2669923839632133</c:v>
                </c:pt>
              </c:numCache>
            </c:numRef>
          </c:val>
          <c:smooth val="0"/>
          <c:extLst>
            <c:ext xmlns:c16="http://schemas.microsoft.com/office/drawing/2014/chart" uri="{C3380CC4-5D6E-409C-BE32-E72D297353CC}">
              <c16:uniqueId val="{00000001-72B7-452D-B4CF-89D5218F262D}"/>
            </c:ext>
          </c:extLst>
        </c:ser>
        <c:ser>
          <c:idx val="1"/>
          <c:order val="1"/>
          <c:tx>
            <c:strRef>
              <c:f>'60MP-NR'!$E$57</c:f>
              <c:strCache>
                <c:ptCount val="1"/>
                <c:pt idx="0">
                  <c:v>ICPF</c:v>
                </c:pt>
              </c:strCache>
            </c:strRef>
          </c:tx>
          <c:spPr>
            <a:ln w="28575" cap="rnd">
              <a:solidFill>
                <a:schemeClr val="accent5"/>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72B7-452D-B4CF-89D5218F262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'60MP-NR'!$F$55:$P$55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3-72B7-452D-B4CF-89D5218F262D}"/>
            </c:ext>
          </c:extLst>
        </c:ser>
        <c:dLbls>
          <c:showLegendKey val="0"/>
          <c:showVal val="0"/>
          <c:showCatName val="0"/>
          <c:showSerName val="0"/>
          <c:showPercent val="0"/>
          <c:showBubbleSize val="0"/>
        </c:dLbls>
        <c:smooth val="0"/>
        <c:axId val="1173658688"/>
        <c:axId val="1173670336"/>
        <c:extLst>
          <c:ext xmlns:c15="http://schemas.microsoft.com/office/drawing/2012/chart" uri="{02D57815-91ED-43cb-92C2-25804820EDAC}">
            <c15:filteredLineSeries>
              <c15:ser>
                <c:idx val="2"/>
                <c:order val="2"/>
                <c:tx>
                  <c:strRef>
                    <c:extLst>
                      <c:ext uri="{02D57815-91ED-43cb-92C2-25804820EDAC}">
                        <c15:formulaRef>
                          <c15:sqref>'60MP-NR'!$E$58</c15:sqref>
                        </c15:formulaRef>
                      </c:ext>
                    </c:extLst>
                    <c:strCache>
                      <c:ptCount val="1"/>
                      <c:pt idx="0">
                        <c:v>IOM</c:v>
                      </c:pt>
                    </c:strCache>
                  </c:strRef>
                </c:tx>
                <c:spPr>
                  <a:ln w="28575" cap="rnd">
                    <a:solidFill>
                      <a:srgbClr val="FFFFFF"/>
                    </a:solidFill>
                    <a:round/>
                  </a:ln>
                  <a:effectLst/>
                </c:spPr>
                <c:marker>
                  <c:symbol val="none"/>
                </c:marker>
                <c:dLbls>
                  <c:dLbl>
                    <c:idx val="0"/>
                    <c:dLblPos val="b"/>
                    <c:showLegendKey val="0"/>
                    <c:showVal val="1"/>
                    <c:showCatName val="0"/>
                    <c:showSerName val="1"/>
                    <c:showPercent val="0"/>
                    <c:showBubbleSize val="0"/>
                    <c:separator> </c:separator>
                    <c:extLst>
                      <c:ext uri="{CE6537A1-D6FC-4f65-9D91-7224C49458BB}"/>
                      <c:ext xmlns:c16="http://schemas.microsoft.com/office/drawing/2014/chart" uri="{C3380CC4-5D6E-409C-BE32-E72D297353CC}">
                        <c16:uniqueId val="{00000004-72B7-452D-B4CF-89D5218F262D}"/>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'60MP-NR'!$F$55:$P$55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c:ext uri="{02D57815-91ED-43cb-92C2-25804820EDAC}">
                        <c15:formulaRef>
                          <c15:sqref>'60MP-NR'!$F$58:$P$58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5-72B7-452D-B4CF-89D5218F262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'60MP-NR'!$E$58</c15:sqref>
                        </c15:formulaRef>
                      </c:ext>
                    </c:extLst>
                    <c:strCache>
                      <c:ptCount val="1"/>
                      <c:pt idx="0">
                        <c:v>IOM</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'60MP-NR'!$F$55:$P$55</c15:sqref>
                        </c15:formulaRef>
                      </c:ext>
                    </c:extLst>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extLst xmlns:c15="http://schemas.microsoft.com/office/drawing/2012/chart">
                      <c:ext xmlns:c15="http://schemas.microsoft.com/office/drawing/2012/chart" uri="{02D57815-91ED-43cb-92C2-25804820EDAC}">
                        <c15:formulaRef>
                          <c15:sqref>'60MP-NR'!$F$58:$P$58</c15:sqref>
                        </c15:formulaRef>
                      </c:ext>
                    </c:extLst>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xmlns:c15="http://schemas.microsoft.com/office/drawing/2012/chart">
                  <c:ext xmlns:c16="http://schemas.microsoft.com/office/drawing/2014/chart" uri="{C3380CC4-5D6E-409C-BE32-E72D297353CC}">
                    <c16:uniqueId val="{00000006-72B7-452D-B4CF-89D5218F262D}"/>
                  </c:ext>
                </c:extLst>
              </c15:ser>
            </c15:filteredLineSeries>
          </c:ext>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75"/>
          <c:min val="5.2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legend>
      <c:legendPos val="b"/>
      <c:layout>
        <c:manualLayout>
          <c:xMode val="edge"/>
          <c:yMode val="edge"/>
          <c:x val="0.22296068582611731"/>
          <c:y val="0.93227507914434016"/>
          <c:w val="0.53917769855560149"/>
          <c:h val="5.2297924056660401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Energy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6.8796348983165348E-2"/>
          <c:y val="0.19326548569107993"/>
          <c:w val="0.91646040707638288"/>
          <c:h val="0.70766322199873155"/>
        </c:manualLayout>
      </c:layout>
      <c:barChart>
        <c:barDir val="col"/>
        <c:grouping val="clustered"/>
        <c:varyColors val="0"/>
        <c:ser>
          <c:idx val="2"/>
          <c:order val="2"/>
          <c:tx>
            <c:strRef>
              <c:f>'60MP-NR'!$E$51</c:f>
              <c:strCache>
                <c:ptCount val="1"/>
                <c:pt idx="0">
                  <c:v>TOTAL SAVINGS</c:v>
                </c:pt>
              </c:strCache>
            </c:strRef>
          </c:tx>
          <c:spPr>
            <a:solidFill>
              <a:srgbClr val="00857D"/>
            </a:solidFill>
            <a:ln>
              <a:noFill/>
            </a:ln>
            <a:effectLst/>
          </c:spPr>
          <c:invertIfNegative val="0"/>
          <c:dLbls>
            <c:dLbl>
              <c:idx val="0"/>
              <c:dLblPos val="outEnd"/>
              <c:showLegendKey val="0"/>
              <c:showVal val="0"/>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0AA4-4387-8F8D-FC1DC85D705D}"/>
                </c:ext>
              </c:extLst>
            </c:dLbl>
            <c:dLbl>
              <c:idx val="1"/>
              <c:delete val="1"/>
              <c:extLst>
                <c:ext xmlns:c15="http://schemas.microsoft.com/office/drawing/2012/chart" uri="{CE6537A1-D6FC-4f65-9D91-7224C49458BB}"/>
                <c:ext xmlns:c16="http://schemas.microsoft.com/office/drawing/2014/chart" uri="{C3380CC4-5D6E-409C-BE32-E72D297353CC}">
                  <c16:uniqueId val="{00000001-0AA4-4387-8F8D-FC1DC85D705D}"/>
                </c:ext>
              </c:extLst>
            </c:dLbl>
            <c:dLbl>
              <c:idx val="2"/>
              <c:delete val="1"/>
              <c:extLst>
                <c:ext xmlns:c15="http://schemas.microsoft.com/office/drawing/2012/chart" uri="{CE6537A1-D6FC-4f65-9D91-7224C49458BB}"/>
                <c:ext xmlns:c16="http://schemas.microsoft.com/office/drawing/2014/chart" uri="{C3380CC4-5D6E-409C-BE32-E72D297353CC}">
                  <c16:uniqueId val="{00000002-0AA4-4387-8F8D-FC1DC85D705D}"/>
                </c:ext>
              </c:extLst>
            </c:dLbl>
            <c:numFmt formatCode="&quot;$&quot;#,##0" sourceLinked="0"/>
            <c:spPr>
              <a:noFill/>
              <a:ln>
                <a:noFill/>
              </a:ln>
              <a:effectLst/>
            </c:spPr>
            <c:txPr>
              <a:bodyPr rot="0" spcFirstLastPara="1" vertOverflow="clip" horzOverflow="clip" vert="horz" wrap="square" lIns="38100" tIns="19050" rIns="38100" bIns="19050" anchor="ctr" anchorCtr="1">
                <a:spAutoFit/>
              </a:bodyPr>
              <a:lstStyle/>
              <a:p>
                <a:pPr>
                  <a:defRPr lang="en-US" sz="1400" b="0" i="0" u="none" strike="noStrike" kern="1200" baseline="0">
                    <a:solidFill>
                      <a:schemeClr val="accent5"/>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'151C-NR'!$F$30:$P$30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'60MP-NR'!$F$51:$P$51</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0AA4-4387-8F8D-FC1DC85D705D}"/>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layout>
                <c:manualLayout>
                  <c:x val="-4.7182708450950434E-2"/>
                  <c:y val="-9.9541657470590267E-2"/>
                </c:manualLayout>
              </c:layout>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accent2"/>
                      </a:solidFill>
                      <a:latin typeface="+mn-lt"/>
                      <a:ea typeface="+mn-ea"/>
                      <a:cs typeface="+mn-cs"/>
                    </a:defRPr>
                  </a:pPr>
                  <a:endParaRPr lang="en-US"/>
                </a:p>
              </c:txPr>
              <c:dLblPos val="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0AA4-4387-8F8D-FC1DC85D705D}"/>
                </c:ext>
              </c:extLst>
            </c:dLbl>
            <c:dLbl>
              <c:idx val="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0A-4CFB-8E69-594CB76604A9}"/>
                </c:ext>
              </c:extLst>
            </c:dLbl>
            <c:dLbl>
              <c:idx val="9"/>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0A-4CFB-8E69-594CB76604A9}"/>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0A-4CFB-8E69-594CB76604A9}"/>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'40M-NR'!$F$30:$P$30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'60MP-NR'!$F$6:$P$6</c:f>
              <c:numCache>
                <c:formatCode>#,##0_ ;\-#,##0\ </c:formatCode>
                <c:ptCount val="11"/>
                <c:pt idx="0">
                  <c:v>2594.9870000000001</c:v>
                </c:pt>
                <c:pt idx="1">
                  <c:v>2594.9870000000001</c:v>
                </c:pt>
                <c:pt idx="2">
                  <c:v>2594.9870000000001</c:v>
                </c:pt>
                <c:pt idx="3">
                  <c:v>2594.9870000000001</c:v>
                </c:pt>
                <c:pt idx="4">
                  <c:v>2594.9870000000001</c:v>
                </c:pt>
                <c:pt idx="5">
                  <c:v>2594.9870000000001</c:v>
                </c:pt>
                <c:pt idx="6">
                  <c:v>2594.9870000000001</c:v>
                </c:pt>
                <c:pt idx="7">
                  <c:v>2594.9870000000001</c:v>
                </c:pt>
                <c:pt idx="8">
                  <c:v>2594.9870000000001</c:v>
                </c:pt>
                <c:pt idx="9">
                  <c:v>2594.9870000000001</c:v>
                </c:pt>
                <c:pt idx="10">
                  <c:v>2594.9870000000001</c:v>
                </c:pt>
              </c:numCache>
            </c:numRef>
          </c:val>
          <c:smooth val="0"/>
          <c:extLst>
            <c:ext xmlns:c16="http://schemas.microsoft.com/office/drawing/2014/chart" uri="{C3380CC4-5D6E-409C-BE32-E72D297353CC}">
              <c16:uniqueId val="{00000005-0AA4-4387-8F8D-FC1DC85D705D}"/>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c:v>
          </c:tx>
          <c:spPr>
            <a:ln w="28575" cap="rnd">
              <a:solidFill>
                <a:sysClr val="windowText" lastClr="000000"/>
              </a:solidFill>
              <a:round/>
            </a:ln>
            <a:effectLst/>
          </c:spPr>
          <c:marker>
            <c:symbol val="none"/>
          </c:marker>
          <c:dLbls>
            <c:dLbl>
              <c:idx val="0"/>
              <c:dLblPos val="b"/>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0AA4-4387-8F8D-FC1DC85D705D}"/>
                </c:ext>
              </c:extLst>
            </c:dLbl>
            <c:dLbl>
              <c:idx val="10"/>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AA4-4387-8F8D-FC1DC85D705D}"/>
                </c:ext>
              </c:extLst>
            </c:dLbl>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chemeClr val="tx1"/>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'60MP-NR'!$F$30:$P$30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'60MP-NR'!$F$36:$P$36</c:f>
              <c:numCache>
                <c:formatCode>_-"$"* #,##0_-;\-"$"* #,##0_-;_-"$"* "-"??_-;_-@_-</c:formatCode>
                <c:ptCount val="11"/>
                <c:pt idx="0">
                  <c:v>659905.63659999997</c:v>
                </c:pt>
                <c:pt idx="1">
                  <c:v>814425.37737017381</c:v>
                </c:pt>
                <c:pt idx="2">
                  <c:v>865212.44212564768</c:v>
                </c:pt>
                <c:pt idx="3">
                  <c:v>893239.63294480043</c:v>
                </c:pt>
                <c:pt idx="4">
                  <c:v>922261.85481135955</c:v>
                </c:pt>
                <c:pt idx="5">
                  <c:v>952313.42311516951</c:v>
                </c:pt>
                <c:pt idx="6">
                  <c:v>983429.83896381373</c:v>
                </c:pt>
                <c:pt idx="7">
                  <c:v>1015647.8302231102</c:v>
                </c:pt>
                <c:pt idx="8">
                  <c:v>1191844.9142044776</c:v>
                </c:pt>
                <c:pt idx="9">
                  <c:v>1231380.7439109336</c:v>
                </c:pt>
                <c:pt idx="10">
                  <c:v>1273199.7492271031</c:v>
                </c:pt>
              </c:numCache>
            </c:numRef>
          </c:val>
          <c:smooth val="0"/>
          <c:extLst>
            <c:ext xmlns:c16="http://schemas.microsoft.com/office/drawing/2014/chart" uri="{C3380CC4-5D6E-409C-BE32-E72D297353CC}">
              <c16:uniqueId val="{00000008-0AA4-4387-8F8D-FC1DC85D705D}"/>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1720000.0000000002"/>
          <c:min val="0"/>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600">
                <a:latin typeface="Times New Roman" panose="02020603050405020304" pitchFamily="18" charset="0"/>
                <a:cs typeface="Times New Roman" panose="02020603050405020304" pitchFamily="18" charset="0"/>
              </a:rPr>
              <a:t>Emissions Intensity</a:t>
            </a:r>
            <a:r>
              <a:rPr lang="en-US" sz="1600" baseline="0">
                <a:latin typeface="Times New Roman" panose="02020603050405020304" pitchFamily="18" charset="0"/>
                <a:cs typeface="Times New Roman" panose="02020603050405020304" pitchFamily="18" charset="0"/>
              </a:rPr>
              <a:t> (</a:t>
            </a:r>
            <a:r>
              <a:rPr lang="en-US" sz="1600">
                <a:latin typeface="Times New Roman" panose="02020603050405020304" pitchFamily="18" charset="0"/>
                <a:cs typeface="Times New Roman" panose="02020603050405020304" pitchFamily="18" charset="0"/>
              </a:rPr>
              <a:t>kg.CO2-e/m2))</a:t>
            </a:r>
          </a:p>
        </c:rich>
      </c:tx>
      <c:layout>
        <c:manualLayout>
          <c:xMode val="edge"/>
          <c:yMode val="edge"/>
          <c:x val="9.2115046044066937E-3"/>
          <c:y val="2.3222156026687549E-2"/>
        </c:manualLayout>
      </c:layout>
      <c:overlay val="0"/>
      <c:spPr>
        <a:noFill/>
        <a:ln>
          <a:noFill/>
        </a:ln>
        <a:effectLst/>
      </c:spPr>
      <c:txPr>
        <a:bodyPr rot="0" spcFirstLastPara="1" vertOverflow="ellipsis" vert="horz" wrap="square" anchor="ctr" anchorCtr="1"/>
        <a:lstStyle/>
        <a:p>
          <a:pPr algn="l">
            <a:defRPr lang="en-US" sz="16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1946917761010879E-2"/>
          <c:y val="0.11083387898661808"/>
          <c:w val="0.96393383157987933"/>
          <c:h val="0.82031567352170343"/>
        </c:manualLayout>
      </c:layout>
      <c:barChart>
        <c:barDir val="col"/>
        <c:grouping val="stacked"/>
        <c:varyColors val="0"/>
        <c:ser>
          <c:idx val="0"/>
          <c:order val="0"/>
          <c:tx>
            <c:strRef>
              <c:f>'60MP-NR'!$B$27</c:f>
              <c:strCache>
                <c:ptCount val="1"/>
                <c:pt idx="0">
                  <c:v>Grid Electricity</c:v>
                </c:pt>
              </c:strCache>
            </c:strRef>
          </c:tx>
          <c:spPr>
            <a:solidFill>
              <a:srgbClr val="2DCCD3"/>
            </a:solidFill>
            <a:ln>
              <a:noFill/>
            </a:ln>
            <a:effectLst/>
          </c:spPr>
          <c:invertIfNegative val="0"/>
          <c:dLbls>
            <c:dLbl>
              <c:idx val="0"/>
              <c:layout>
                <c:manualLayout>
                  <c:x val="0.11554215070226236"/>
                  <c:y val="-0.12145295512127646"/>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C358-4003-8FBB-2A2996A92A95}"/>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'60MP-NR'!$F$27:$P$27</c:f>
              <c:numCache>
                <c:formatCode>0</c:formatCode>
                <c:ptCount val="11"/>
                <c:pt idx="0" formatCode="#,##0_ ;\-#,##0\ ">
                  <c:v>2050.03973</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C358-4003-8FBB-2A2996A92A95}"/>
            </c:ext>
          </c:extLst>
        </c:ser>
        <c:ser>
          <c:idx val="1"/>
          <c:order val="1"/>
          <c:tx>
            <c:strRef>
              <c:f>'60MP-NR'!$B$26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52195498695E-2"/>
                  <c:y val="6.1852513759638869E-3"/>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C358-4003-8FBB-2A2996A92A95}"/>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'60MP-NR'!$F$26:$P$26</c:f>
              <c:numCache>
                <c:formatCode>0</c:formatCode>
                <c:ptCount val="11"/>
                <c:pt idx="0">
                  <c:v>247.50132109</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C358-4003-8FBB-2A2996A92A95}"/>
            </c:ext>
          </c:extLst>
        </c:ser>
        <c:ser>
          <c:idx val="2"/>
          <c:order val="2"/>
          <c:tx>
            <c:strRef>
              <c:f>'151C-NR'!$B$25</c:f>
              <c:strCache>
                <c:ptCount val="1"/>
                <c:pt idx="0">
                  <c:v>Scope 3</c:v>
                </c:pt>
              </c:strCache>
            </c:strRef>
          </c:tx>
          <c:spPr>
            <a:solidFill>
              <a:srgbClr val="B8C6D0"/>
            </a:solidFill>
            <a:ln>
              <a:noFill/>
            </a:ln>
            <a:effectLst/>
          </c:spPr>
          <c:invertIfNegative val="0"/>
          <c:dLbls>
            <c:dLbl>
              <c:idx val="0"/>
              <c:layout>
                <c:manualLayout>
                  <c:x val="5.6722515675011555E-2"/>
                  <c:y val="-1.475524461979775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C358-4003-8FBB-2A2996A92A95}"/>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'60MP-NR'!$F$25:$P$25</c:f>
              <c:numCache>
                <c:formatCode>0</c:formatCode>
                <c:ptCount val="11"/>
                <c:pt idx="0">
                  <c:v>162.67169963696915</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C358-4003-8FBB-2A2996A92A95}"/>
            </c:ext>
          </c:extLst>
        </c:ser>
        <c:ser>
          <c:idx val="6"/>
          <c:order val="3"/>
          <c:tx>
            <c:strRef>
              <c:f>'60MP-NR'!$B$21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C358-4003-8FBB-2A2996A92A95}"/>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C358-4003-8FBB-2A2996A92A95}"/>
              </c:ext>
            </c:extLst>
          </c:dPt>
          <c:dLbls>
            <c:dLbl>
              <c:idx val="1"/>
              <c:layout>
                <c:manualLayout>
                  <c:x val="0.14002420358583936"/>
                  <c:y val="-5.24232590863156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19228519423287774"/>
                      <c:h val="9.8103672733675207E-2"/>
                    </c:manualLayout>
                  </c15:layout>
                  <c15:dlblFieldTable/>
                  <c15:showDataLabelsRange val="0"/>
                </c:ext>
                <c:ext xmlns:c16="http://schemas.microsoft.com/office/drawing/2014/chart" uri="{C3380CC4-5D6E-409C-BE32-E72D297353CC}">
                  <c16:uniqueId val="{0000000A-C358-4003-8FBB-2A2996A92A95}"/>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C358-4003-8FBB-2A2996A92A95}"/>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'60MP-NR'!$F$21:$P$21</c:f>
              <c:numCache>
                <c:formatCode>0</c:formatCode>
                <c:ptCount val="11"/>
                <c:pt idx="0">
                  <c:v>0</c:v>
                </c:pt>
                <c:pt idx="1">
                  <c:v>1925.480354</c:v>
                </c:pt>
                <c:pt idx="2">
                  <c:v>1894.34051</c:v>
                </c:pt>
                <c:pt idx="3">
                  <c:v>1717.8813940000002</c:v>
                </c:pt>
                <c:pt idx="4">
                  <c:v>1619.271888</c:v>
                </c:pt>
                <c:pt idx="5">
                  <c:v>1419.4578890000003</c:v>
                </c:pt>
                <c:pt idx="6">
                  <c:v>1193.6940200000001</c:v>
                </c:pt>
                <c:pt idx="7">
                  <c:v>993.88002100000006</c:v>
                </c:pt>
                <c:pt idx="8">
                  <c:v>843.37077500000009</c:v>
                </c:pt>
                <c:pt idx="9">
                  <c:v>747.35625599999992</c:v>
                </c:pt>
                <c:pt idx="10">
                  <c:v>685.07656800000007</c:v>
                </c:pt>
              </c:numCache>
            </c:numRef>
          </c:val>
          <c:extLst>
            <c:ext xmlns:c16="http://schemas.microsoft.com/office/drawing/2014/chart" uri="{C3380CC4-5D6E-409C-BE32-E72D297353CC}">
              <c16:uniqueId val="{0000000C-C358-4003-8FBB-2A2996A92A95}"/>
            </c:ext>
          </c:extLst>
        </c:ser>
        <c:ser>
          <c:idx val="7"/>
          <c:order val="4"/>
          <c:tx>
            <c:strRef>
              <c:f>'60MP-NR'!$B$20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D-C358-4003-8FBB-2A2996A92A95}"/>
                </c:ext>
              </c:extLst>
            </c:dLbl>
            <c:dLbl>
              <c:idx val="1"/>
              <c:delete val="1"/>
              <c:extLst>
                <c:ext xmlns:c15="http://schemas.microsoft.com/office/drawing/2012/chart" uri="{CE6537A1-D6FC-4f65-9D91-7224C49458BB}"/>
                <c:ext xmlns:c16="http://schemas.microsoft.com/office/drawing/2014/chart" uri="{C3380CC4-5D6E-409C-BE32-E72D297353CC}">
                  <c16:uniqueId val="{0000000E-C358-4003-8FBB-2A2996A92A95}"/>
                </c:ext>
              </c:extLst>
            </c:dLbl>
            <c:dLbl>
              <c:idx val="2"/>
              <c:delete val="1"/>
              <c:extLst>
                <c:ext xmlns:c15="http://schemas.microsoft.com/office/drawing/2012/chart" uri="{CE6537A1-D6FC-4f65-9D91-7224C49458BB}"/>
                <c:ext xmlns:c16="http://schemas.microsoft.com/office/drawing/2014/chart" uri="{C3380CC4-5D6E-409C-BE32-E72D297353CC}">
                  <c16:uniqueId val="{0000000F-C358-4003-8FBB-2A2996A92A95}"/>
                </c:ext>
              </c:extLst>
            </c:dLbl>
            <c:dLbl>
              <c:idx val="3"/>
              <c:layout>
                <c:manualLayout>
                  <c:x val="0.13741746548704312"/>
                  <c:y val="-8.04776890926827E-2"/>
                </c:manualLayout>
              </c:layout>
              <c:numFmt formatCode="General" sourceLinked="0"/>
              <c:spPr>
                <a:xfrm>
                  <a:off x="4507023" y="1112741"/>
                  <a:ext cx="1763854" cy="321628"/>
                </a:xfrm>
                <a:noFill/>
                <a:ln>
                  <a:noFill/>
                </a:ln>
                <a:effectLst/>
              </c:spPr>
              <c:txPr>
                <a:bodyPr rot="0" spcFirstLastPara="1" vertOverflow="clip" horzOverflow="clip" vert="horz" wrap="none" lIns="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gd name="adj1" fmla="val 15048"/>
                        <a:gd name="adj2" fmla="val -13396"/>
                        <a:gd name="adj3" fmla="val 113831"/>
                        <a:gd name="adj4" fmla="val -15593"/>
                        <a:gd name="adj5" fmla="val 338660"/>
                        <a:gd name="adj6" fmla="val -19822"/>
                      </a:avLst>
                    </a:prstGeom>
                    <a:noFill/>
                    <a:ln>
                      <a:noFill/>
                    </a:ln>
                  </c15:spPr>
                  <c15:layout>
                    <c:manualLayout>
                      <c:w val="0.14810087002139913"/>
                      <c:h val="7.7138654493762907E-2"/>
                    </c:manualLayout>
                  </c15:layout>
                </c:ext>
                <c:ext xmlns:c16="http://schemas.microsoft.com/office/drawing/2014/chart" uri="{C3380CC4-5D6E-409C-BE32-E72D297353CC}">
                  <c16:uniqueId val="{00000010-C358-4003-8FBB-2A2996A92A95}"/>
                </c:ext>
              </c:extLst>
            </c:dLbl>
            <c:dLbl>
              <c:idx val="4"/>
              <c:delete val="1"/>
              <c:extLst>
                <c:ext xmlns:c15="http://schemas.microsoft.com/office/drawing/2012/chart" uri="{CE6537A1-D6FC-4f65-9D91-7224C49458BB}"/>
                <c:ext xmlns:c16="http://schemas.microsoft.com/office/drawing/2014/chart" uri="{C3380CC4-5D6E-409C-BE32-E72D297353CC}">
                  <c16:uniqueId val="{00000011-C358-4003-8FBB-2A2996A92A95}"/>
                </c:ext>
              </c:extLst>
            </c:dLbl>
            <c:dLbl>
              <c:idx val="5"/>
              <c:delete val="1"/>
              <c:extLst>
                <c:ext xmlns:c15="http://schemas.microsoft.com/office/drawing/2012/chart" uri="{CE6537A1-D6FC-4f65-9D91-7224C49458BB}"/>
                <c:ext xmlns:c16="http://schemas.microsoft.com/office/drawing/2014/chart" uri="{C3380CC4-5D6E-409C-BE32-E72D297353CC}">
                  <c16:uniqueId val="{00000012-C358-4003-8FBB-2A2996A92A95}"/>
                </c:ext>
              </c:extLst>
            </c:dLbl>
            <c:dLbl>
              <c:idx val="6"/>
              <c:delete val="1"/>
              <c:extLst>
                <c:ext xmlns:c15="http://schemas.microsoft.com/office/drawing/2012/chart" uri="{CE6537A1-D6FC-4f65-9D91-7224C49458BB}"/>
                <c:ext xmlns:c16="http://schemas.microsoft.com/office/drawing/2014/chart" uri="{C3380CC4-5D6E-409C-BE32-E72D297353CC}">
                  <c16:uniqueId val="{00000013-C358-4003-8FBB-2A2996A92A95}"/>
                </c:ext>
              </c:extLst>
            </c:dLbl>
            <c:dLbl>
              <c:idx val="7"/>
              <c:delete val="1"/>
              <c:extLst>
                <c:ext xmlns:c15="http://schemas.microsoft.com/office/drawing/2012/chart" uri="{CE6537A1-D6FC-4f65-9D91-7224C49458BB}"/>
                <c:ext xmlns:c16="http://schemas.microsoft.com/office/drawing/2014/chart" uri="{C3380CC4-5D6E-409C-BE32-E72D297353CC}">
                  <c16:uniqueId val="{00000014-C358-4003-8FBB-2A2996A92A95}"/>
                </c:ext>
              </c:extLst>
            </c:dLbl>
            <c:dLbl>
              <c:idx val="8"/>
              <c:delete val="1"/>
              <c:extLst>
                <c:ext xmlns:c15="http://schemas.microsoft.com/office/drawing/2012/chart" uri="{CE6537A1-D6FC-4f65-9D91-7224C49458BB}"/>
                <c:ext xmlns:c16="http://schemas.microsoft.com/office/drawing/2014/chart" uri="{C3380CC4-5D6E-409C-BE32-E72D297353CC}">
                  <c16:uniqueId val="{00000015-C358-4003-8FBB-2A2996A92A95}"/>
                </c:ext>
              </c:extLst>
            </c:dLbl>
            <c:dLbl>
              <c:idx val="9"/>
              <c:delete val="1"/>
              <c:extLst>
                <c:ext xmlns:c15="http://schemas.microsoft.com/office/drawing/2012/chart" uri="{CE6537A1-D6FC-4f65-9D91-7224C49458BB}"/>
                <c:ext xmlns:c16="http://schemas.microsoft.com/office/drawing/2014/chart" uri="{C3380CC4-5D6E-409C-BE32-E72D297353CC}">
                  <c16:uniqueId val="{00000016-C358-4003-8FBB-2A2996A92A95}"/>
                </c:ext>
              </c:extLst>
            </c:dLbl>
            <c:dLbl>
              <c:idx val="10"/>
              <c:delete val="1"/>
              <c:extLst>
                <c:ext xmlns:c15="http://schemas.microsoft.com/office/drawing/2012/chart" uri="{CE6537A1-D6FC-4f65-9D91-7224C49458BB}"/>
                <c:ext xmlns:c16="http://schemas.microsoft.com/office/drawing/2014/chart" uri="{C3380CC4-5D6E-409C-BE32-E72D297353CC}">
                  <c16:uniqueId val="{00000017-C358-4003-8FBB-2A2996A92A95}"/>
                </c:ext>
              </c:extLst>
            </c:dLbl>
            <c:numFmt formatCode="General" sourceLinked="0"/>
            <c:spPr>
              <a:noFill/>
              <a:ln>
                <a:noFill/>
              </a:ln>
              <a:effectLst/>
            </c:spPr>
            <c:txPr>
              <a:bodyPr rot="0" spcFirstLastPara="1" vertOverflow="clip" horzOverflow="clip" vert="horz" wrap="none" lIns="0" tIns="18288" rIns="36576" bIns="18288" anchor="ctr" anchorCtr="0">
                <a:spAutoFit/>
              </a:bodyPr>
              <a:lstStyle/>
              <a:p>
                <a:pPr algn="l">
                  <a:defRPr lang="en-US" sz="1200" b="0" i="0" u="none" strike="noStrike" kern="1200" baseline="0">
                    <a:solidFill>
                      <a:schemeClr val="tx1"/>
                    </a:solidFill>
                    <a:latin typeface="+mn-lt"/>
                    <a:ea typeface="+mn-ea"/>
                    <a:cs typeface="+mn-cs"/>
                  </a:defRPr>
                </a:pPr>
                <a:endParaRPr lang="en-US"/>
              </a:p>
            </c:txPr>
            <c:dLblPos val="inEnd"/>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2DCCD3"/>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'60MP-NR'!$F$20:$P$20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8-C358-4003-8FBB-2A2996A92A95}"/>
            </c:ext>
          </c:extLst>
        </c:ser>
        <c:ser>
          <c:idx val="4"/>
          <c:order val="5"/>
          <c:tx>
            <c:strRef>
              <c:f>'60MP-NR'!$B$23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C358-4003-8FBB-2A2996A92A95}"/>
              </c:ext>
            </c:extLst>
          </c:dPt>
          <c:dLbls>
            <c:dLbl>
              <c:idx val="10"/>
              <c:layout>
                <c:manualLayout>
                  <c:x val="-0.10051164954978777"/>
                  <c:y val="-0.14166672600103006"/>
                </c:manualLayout>
              </c:layout>
              <c:tx>
                <c:rich>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fld id="{77B249DE-AF94-4DC2-8D97-3ADAFF6EEFAC}" type="SERIESNAME">
                      <a:rPr lang="en-US" sz="1200"/>
                      <a:pPr>
                        <a:defRPr/>
                      </a:pPr>
                      <a:t>[SERIES NAME]</a:t>
                    </a:fld>
                    <a:endParaRPr lang="en-AU"/>
                  </a:p>
                </c:rich>
              </c:tx>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dlblFieldTable/>
                  <c15:showDataLabelsRange val="0"/>
                </c:ext>
                <c:ext xmlns:c16="http://schemas.microsoft.com/office/drawing/2014/chart" uri="{C3380CC4-5D6E-409C-BE32-E72D297353CC}">
                  <c16:uniqueId val="{0000001A-C358-4003-8FBB-2A2996A92A95}"/>
                </c:ext>
              </c:extLst>
            </c:dLbl>
            <c:spPr>
              <a:solidFill>
                <a:srgbClr val="FFFFFF"/>
              </a:solid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'60MP-NR'!$F$23:$P$23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1B-C358-4003-8FBB-2A2996A92A95}"/>
            </c:ext>
          </c:extLst>
        </c:ser>
        <c:ser>
          <c:idx val="5"/>
          <c:order val="6"/>
          <c:tx>
            <c:strRef>
              <c:f>'60MP-NR'!$B$22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9.8442915904458209E-2"/>
                  <c:y val="-4.2082044979745901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C-C358-4003-8FBB-2A2996A92A95}"/>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'60MP-NR'!$F$22:$P$22</c:f>
              <c:numCache>
                <c:formatCode>0</c:formatCode>
                <c:ptCount val="11"/>
                <c:pt idx="0">
                  <c:v>0</c:v>
                </c:pt>
                <c:pt idx="1">
                  <c:v>247.50132109</c:v>
                </c:pt>
                <c:pt idx="2">
                  <c:v>247.50132109</c:v>
                </c:pt>
                <c:pt idx="3">
                  <c:v>247.50132109</c:v>
                </c:pt>
                <c:pt idx="4">
                  <c:v>247.50132109</c:v>
                </c:pt>
                <c:pt idx="5">
                  <c:v>247.50132109</c:v>
                </c:pt>
                <c:pt idx="6">
                  <c:v>247.50132109</c:v>
                </c:pt>
                <c:pt idx="7">
                  <c:v>247.50132109</c:v>
                </c:pt>
                <c:pt idx="8">
                  <c:v>247.50132109</c:v>
                </c:pt>
                <c:pt idx="9">
                  <c:v>247.50132109</c:v>
                </c:pt>
                <c:pt idx="10">
                  <c:v>247.50132109</c:v>
                </c:pt>
              </c:numCache>
            </c:numRef>
          </c:val>
          <c:extLst>
            <c:ext xmlns:c16="http://schemas.microsoft.com/office/drawing/2014/chart" uri="{C3380CC4-5D6E-409C-BE32-E72D297353CC}">
              <c16:uniqueId val="{0000001D-C358-4003-8FBB-2A2996A92A95}"/>
            </c:ext>
          </c:extLst>
        </c:ser>
        <c:ser>
          <c:idx val="3"/>
          <c:order val="7"/>
          <c:tx>
            <c:strRef>
              <c:f>'60MP-NR'!$B$24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8.9055343864049855E-2"/>
                  <c:y val="-7.076873170341961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E-C358-4003-8FBB-2A2996A92A95}"/>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'60MP-NR'!$F$24:$P$24</c:f>
              <c:numCache>
                <c:formatCode>0</c:formatCode>
                <c:ptCount val="11"/>
                <c:pt idx="0">
                  <c:v>0</c:v>
                </c:pt>
                <c:pt idx="1">
                  <c:v>147.86093967730591</c:v>
                </c:pt>
                <c:pt idx="2">
                  <c:v>133.05017971764266</c:v>
                </c:pt>
                <c:pt idx="3">
                  <c:v>118.23941975797941</c:v>
                </c:pt>
                <c:pt idx="4">
                  <c:v>103.42865979831616</c:v>
                </c:pt>
                <c:pt idx="5">
                  <c:v>88.617899838652932</c:v>
                </c:pt>
                <c:pt idx="6">
                  <c:v>73.807139878989688</c:v>
                </c:pt>
                <c:pt idx="7">
                  <c:v>58.996379919326458</c:v>
                </c:pt>
                <c:pt idx="8">
                  <c:v>44.185619959663214</c:v>
                </c:pt>
                <c:pt idx="9">
                  <c:v>29.374859999999977</c:v>
                </c:pt>
                <c:pt idx="10">
                  <c:v>29.374860000000002</c:v>
                </c:pt>
              </c:numCache>
            </c:numRef>
          </c:val>
          <c:extLst>
            <c:ext xmlns:c16="http://schemas.microsoft.com/office/drawing/2014/chart" uri="{C3380CC4-5D6E-409C-BE32-E72D297353CC}">
              <c16:uniqueId val="{0000001F-C358-4003-8FBB-2A2996A92A95}"/>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'60MP-NR'!$E$17</c:f>
              <c:strCache>
                <c:ptCount val="1"/>
                <c:pt idx="0">
                  <c:v>kg.CO2-e/m2</c:v>
                </c:pt>
              </c:strCache>
            </c:strRef>
          </c:tx>
          <c:spPr>
            <a:ln w="28575" cap="rnd">
              <a:solidFill>
                <a:srgbClr val="2DCCD3"/>
              </a:solidFill>
              <a:round/>
            </a:ln>
            <a:effectLst/>
          </c:spPr>
          <c:marker>
            <c:symbol val="none"/>
          </c:marker>
          <c:dLbls>
            <c:dLbl>
              <c:idx val="0"/>
              <c:layout>
                <c:manualLayout>
                  <c:x val="-3.6978414448514116E-2"/>
                  <c:y val="-3.8025257451802699E-2"/>
                </c:manualLayout>
              </c:layout>
              <c:spPr>
                <a:noFill/>
                <a:ln>
                  <a:noFill/>
                </a:ln>
                <a:effectLst/>
              </c:spPr>
              <c:txPr>
                <a:bodyPr rot="0" spcFirstLastPara="1" vertOverflow="ellipsis" vert="horz" wrap="square" lIns="38100" tIns="19050" rIns="38100" bIns="19050" anchor="ctr" anchorCtr="1">
                  <a:noAutofit/>
                </a:bodyPr>
                <a:lstStyle/>
                <a:p>
                  <a:pPr>
                    <a:defRPr lang="en-US" sz="12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5.9210834174066723E-2"/>
                      <c:h val="7.313628271712104E-2"/>
                    </c:manualLayout>
                  </c15:layout>
                </c:ext>
                <c:ext xmlns:c16="http://schemas.microsoft.com/office/drawing/2014/chart" uri="{C3380CC4-5D6E-409C-BE32-E72D297353CC}">
                  <c16:uniqueId val="{00000020-C358-4003-8FBB-2A2996A92A95}"/>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C358-4003-8FBB-2A2996A92A95}"/>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'60MP-NR'!$F$12:$P$12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'60MP-NR'!$F$17:$P$17</c:f>
              <c:numCache>
                <c:formatCode>0.0</c:formatCode>
                <c:ptCount val="11"/>
                <c:pt idx="0">
                  <c:v>61.600800008186923</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C358-4003-8FBB-2A2996A92A95}"/>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6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65"/>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b"/>
        <c:numFmt formatCode="General" sourceLinked="1"/>
        <c:majorTickMark val="out"/>
        <c:minorTickMark val="none"/>
        <c:tickLblPos val="nextTo"/>
        <c:crossAx val="458577487"/>
        <c:crosses val="autoZero"/>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A6D2-4BDF-A122-6E407387891D}"/>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A6D2-4BDF-A122-6E407387891D}"/>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A6D2-4BDF-A122-6E407387891D}"/>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A6D2-4BDF-A122-6E407387891D}"/>
              </c:ext>
            </c:extLst>
          </c:dPt>
          <c:dLbls>
            <c:dLbl>
              <c:idx val="0"/>
              <c:tx>
                <c:rich>
                  <a:bodyPr/>
                  <a:lstStyle/>
                  <a:p>
                    <a:r>
                      <a:rPr lang="en-AU"/>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6D2-4BDF-A122-6E407387891D}"/>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D2-4BDF-A122-6E407387891D}"/>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D2-4BDF-A122-6E407387891D}"/>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D2-4BDF-A122-6E407387891D}"/>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09-A6D2-4BDF-A122-6E407387891D}"/>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A6D2-4BDF-A122-6E407387891D}"/>
                </c:ext>
              </c:extLst>
            </c:dLbl>
            <c:dLbl>
              <c:idx val="2"/>
              <c:delete val="1"/>
              <c:extLst>
                <c:ext xmlns:c15="http://schemas.microsoft.com/office/drawing/2012/chart" uri="{CE6537A1-D6FC-4f65-9D91-7224C49458BB}"/>
                <c:ext xmlns:c16="http://schemas.microsoft.com/office/drawing/2014/chart" uri="{C3380CC4-5D6E-409C-BE32-E72D297353CC}">
                  <c16:uniqueId val="{0000000B-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0C-A6D2-4BDF-A122-6E407387891D}"/>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A6D2-4BDF-A122-6E407387891D}"/>
                </c:ext>
              </c:extLst>
            </c:dLbl>
            <c:dLbl>
              <c:idx val="2"/>
              <c:delete val="1"/>
              <c:extLst>
                <c:ext xmlns:c15="http://schemas.microsoft.com/office/drawing/2012/chart" uri="{CE6537A1-D6FC-4f65-9D91-7224C49458BB}"/>
                <c:ext xmlns:c16="http://schemas.microsoft.com/office/drawing/2014/chart" uri="{C3380CC4-5D6E-409C-BE32-E72D297353CC}">
                  <c16:uniqueId val="{0000000E-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0F-A6D2-4BDF-A122-6E407387891D}"/>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A6D2-4BDF-A122-6E407387891D}"/>
                </c:ext>
              </c:extLst>
            </c:dLbl>
            <c:dLbl>
              <c:idx val="2"/>
              <c:delete val="1"/>
              <c:extLst>
                <c:ext xmlns:c15="http://schemas.microsoft.com/office/drawing/2012/chart" uri="{CE6537A1-D6FC-4f65-9D91-7224C49458BB}"/>
                <c:ext xmlns:c16="http://schemas.microsoft.com/office/drawing/2014/chart" uri="{C3380CC4-5D6E-409C-BE32-E72D297353CC}">
                  <c16:uniqueId val="{00000011-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12-A6D2-4BDF-A122-6E407387891D}"/>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A6D2-4BDF-A122-6E407387891D}"/>
                </c:ext>
              </c:extLst>
            </c:dLbl>
            <c:dLbl>
              <c:idx val="2"/>
              <c:delete val="1"/>
              <c:extLst>
                <c:ext xmlns:c15="http://schemas.microsoft.com/office/drawing/2012/chart" uri="{CE6537A1-D6FC-4f65-9D91-7224C49458BB}"/>
                <c:ext xmlns:c16="http://schemas.microsoft.com/office/drawing/2014/chart" uri="{C3380CC4-5D6E-409C-BE32-E72D297353CC}">
                  <c16:uniqueId val="{00000014-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15-A6D2-4BDF-A122-6E407387891D}"/>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A6D2-4BDF-A122-6E407387891D}"/>
                </c:ext>
              </c:extLst>
            </c:dLbl>
            <c:dLbl>
              <c:idx val="2"/>
              <c:delete val="1"/>
              <c:extLst>
                <c:ext xmlns:c15="http://schemas.microsoft.com/office/drawing/2012/chart" uri="{CE6537A1-D6FC-4f65-9D91-7224C49458BB}"/>
                <c:ext xmlns:c16="http://schemas.microsoft.com/office/drawing/2014/chart" uri="{C3380CC4-5D6E-409C-BE32-E72D297353CC}">
                  <c16:uniqueId val="{00000017-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18-A6D2-4BDF-A122-6E407387891D}"/>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A6D2-4BDF-A122-6E407387891D}"/>
                </c:ext>
              </c:extLst>
            </c:dLbl>
            <c:dLbl>
              <c:idx val="2"/>
              <c:delete val="1"/>
              <c:extLst>
                <c:ext xmlns:c15="http://schemas.microsoft.com/office/drawing/2012/chart" uri="{CE6537A1-D6FC-4f65-9D91-7224C49458BB}"/>
                <c:ext xmlns:c16="http://schemas.microsoft.com/office/drawing/2014/chart" uri="{C3380CC4-5D6E-409C-BE32-E72D297353CC}">
                  <c16:uniqueId val="{0000001A-A6D2-4BDF-A122-6E407387891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1B-A6D2-4BDF-A122-6E407387891D}"/>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1C-A6D2-4BDF-A122-6E407387891D}"/>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'135K-OS'!#REF!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'135K-OS'!#REF!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'135K-OS'!#REF!</c15:sqref>
                        </c15:formulaRef>
                      </c:ext>
                    </c:extLst>
                    <c:strCache>
                      <c:ptCount val="1"/>
                      <c:pt idx="0">
                        <c:v>#REF!</c:v>
                      </c:pt>
                    </c:strCache>
                  </c:strRef>
                </c15:cat>
              </c15:filteredCategoryTitle>
            </c:ext>
            <c:ext xmlns:c16="http://schemas.microsoft.com/office/drawing/2014/chart" uri="{C3380CC4-5D6E-409C-BE32-E72D297353CC}">
              <c16:uniqueId val="{0000001D-A6D2-4BDF-A122-6E407387891D}"/>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'135K-OS'!#REF!</c:f>
              <c:numCache>
                <c:formatCode>General</c:formatCode>
                <c:ptCount val="1"/>
                <c:pt idx="0">
                  <c:v>1</c:v>
                </c:pt>
              </c:numCache>
            </c:numRef>
          </c:val>
          <c:smooth val="0"/>
          <c:extLst>
            <c:ext xmlns:c16="http://schemas.microsoft.com/office/drawing/2014/chart" uri="{C3380CC4-5D6E-409C-BE32-E72D297353CC}">
              <c16:uniqueId val="{0000001E-A6D2-4BDF-A122-6E407387891D}"/>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0825-4161-A696-34808F705597}"/>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0825-4161-A696-34808F705597}"/>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0825-4161-A696-34808F705597}"/>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0825-4161-A696-34808F705597}"/>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0825-4161-A696-34808F705597}"/>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25-4161-A696-34808F705597}"/>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25-4161-A696-34808F705597}"/>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825-4161-A696-34808F705597}"/>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09-0825-4161-A696-34808F705597}"/>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0825-4161-A696-34808F705597}"/>
                </c:ext>
              </c:extLst>
            </c:dLbl>
            <c:dLbl>
              <c:idx val="2"/>
              <c:delete val="1"/>
              <c:extLst>
                <c:ext xmlns:c15="http://schemas.microsoft.com/office/drawing/2012/chart" uri="{CE6537A1-D6FC-4f65-9D91-7224C49458BB}"/>
                <c:ext xmlns:c16="http://schemas.microsoft.com/office/drawing/2014/chart" uri="{C3380CC4-5D6E-409C-BE32-E72D297353CC}">
                  <c16:uniqueId val="{0000000B-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0C-0825-4161-A696-34808F705597}"/>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0825-4161-A696-34808F705597}"/>
                </c:ext>
              </c:extLst>
            </c:dLbl>
            <c:dLbl>
              <c:idx val="2"/>
              <c:delete val="1"/>
              <c:extLst>
                <c:ext xmlns:c15="http://schemas.microsoft.com/office/drawing/2012/chart" uri="{CE6537A1-D6FC-4f65-9D91-7224C49458BB}"/>
                <c:ext xmlns:c16="http://schemas.microsoft.com/office/drawing/2014/chart" uri="{C3380CC4-5D6E-409C-BE32-E72D297353CC}">
                  <c16:uniqueId val="{0000000E-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0F-0825-4161-A696-34808F705597}"/>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0825-4161-A696-34808F705597}"/>
                </c:ext>
              </c:extLst>
            </c:dLbl>
            <c:dLbl>
              <c:idx val="2"/>
              <c:delete val="1"/>
              <c:extLst>
                <c:ext xmlns:c15="http://schemas.microsoft.com/office/drawing/2012/chart" uri="{CE6537A1-D6FC-4f65-9D91-7224C49458BB}"/>
                <c:ext xmlns:c16="http://schemas.microsoft.com/office/drawing/2014/chart" uri="{C3380CC4-5D6E-409C-BE32-E72D297353CC}">
                  <c16:uniqueId val="{00000011-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12-0825-4161-A696-34808F705597}"/>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0825-4161-A696-34808F705597}"/>
                </c:ext>
              </c:extLst>
            </c:dLbl>
            <c:dLbl>
              <c:idx val="2"/>
              <c:delete val="1"/>
              <c:extLst>
                <c:ext xmlns:c15="http://schemas.microsoft.com/office/drawing/2012/chart" uri="{CE6537A1-D6FC-4f65-9D91-7224C49458BB}"/>
                <c:ext xmlns:c16="http://schemas.microsoft.com/office/drawing/2014/chart" uri="{C3380CC4-5D6E-409C-BE32-E72D297353CC}">
                  <c16:uniqueId val="{00000014-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15-0825-4161-A696-34808F705597}"/>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0825-4161-A696-34808F705597}"/>
                </c:ext>
              </c:extLst>
            </c:dLbl>
            <c:dLbl>
              <c:idx val="2"/>
              <c:delete val="1"/>
              <c:extLst>
                <c:ext xmlns:c15="http://schemas.microsoft.com/office/drawing/2012/chart" uri="{CE6537A1-D6FC-4f65-9D91-7224C49458BB}"/>
                <c:ext xmlns:c16="http://schemas.microsoft.com/office/drawing/2014/chart" uri="{C3380CC4-5D6E-409C-BE32-E72D297353CC}">
                  <c16:uniqueId val="{00000017-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18-0825-4161-A696-34808F705597}"/>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0825-4161-A696-34808F705597}"/>
                </c:ext>
              </c:extLst>
            </c:dLbl>
            <c:dLbl>
              <c:idx val="2"/>
              <c:delete val="1"/>
              <c:extLst>
                <c:ext xmlns:c15="http://schemas.microsoft.com/office/drawing/2012/chart" uri="{CE6537A1-D6FC-4f65-9D91-7224C49458BB}"/>
                <c:ext xmlns:c16="http://schemas.microsoft.com/office/drawing/2014/chart" uri="{C3380CC4-5D6E-409C-BE32-E72D297353CC}">
                  <c16:uniqueId val="{0000001A-0825-4161-A696-34808F7055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1B-0825-4161-A696-34808F705597}"/>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1C-0825-4161-A696-34808F705597}"/>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'126P-OS'!#REF!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'126P-OS'!#REF!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'126P-OS'!#REF!</c15:sqref>
                        </c15:formulaRef>
                      </c:ext>
                    </c:extLst>
                    <c:strCache>
                      <c:ptCount val="1"/>
                      <c:pt idx="0">
                        <c:v>#REF!</c:v>
                      </c:pt>
                    </c:strCache>
                  </c:strRef>
                </c15:cat>
              </c15:filteredCategoryTitle>
            </c:ext>
            <c:ext xmlns:c16="http://schemas.microsoft.com/office/drawing/2014/chart" uri="{C3380CC4-5D6E-409C-BE32-E72D297353CC}">
              <c16:uniqueId val="{0000001D-0825-4161-A696-34808F705597}"/>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'126P-OS'!#REF!</c:f>
              <c:numCache>
                <c:formatCode>General</c:formatCode>
                <c:ptCount val="1"/>
                <c:pt idx="0">
                  <c:v>1</c:v>
                </c:pt>
              </c:numCache>
            </c:numRef>
          </c:val>
          <c:smooth val="0"/>
          <c:extLst>
            <c:ext xmlns:c16="http://schemas.microsoft.com/office/drawing/2014/chart" uri="{C3380CC4-5D6E-409C-BE32-E72D297353CC}">
              <c16:uniqueId val="{0000001E-0825-4161-A696-34808F705597}"/>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9084-40D3-99DE-850CDE405340}"/>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9084-40D3-99DE-850CDE405340}"/>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9084-40D3-99DE-850CDE405340}"/>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9084-40D3-99DE-850CDE405340}"/>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084-40D3-99DE-850CDE40534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84-40D3-99DE-850CDE40534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84-40D3-99DE-850CDE40534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84-40D3-99DE-850CDE405340}"/>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09-9084-40D3-99DE-850CDE405340}"/>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9084-40D3-99DE-850CDE405340}"/>
                </c:ext>
              </c:extLst>
            </c:dLbl>
            <c:dLbl>
              <c:idx val="2"/>
              <c:delete val="1"/>
              <c:extLst>
                <c:ext xmlns:c15="http://schemas.microsoft.com/office/drawing/2012/chart" uri="{CE6537A1-D6FC-4f65-9D91-7224C49458BB}"/>
                <c:ext xmlns:c16="http://schemas.microsoft.com/office/drawing/2014/chart" uri="{C3380CC4-5D6E-409C-BE32-E72D297353CC}">
                  <c16:uniqueId val="{0000000B-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0C-9084-40D3-99DE-850CDE405340}"/>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9084-40D3-99DE-850CDE405340}"/>
                </c:ext>
              </c:extLst>
            </c:dLbl>
            <c:dLbl>
              <c:idx val="2"/>
              <c:delete val="1"/>
              <c:extLst>
                <c:ext xmlns:c15="http://schemas.microsoft.com/office/drawing/2012/chart" uri="{CE6537A1-D6FC-4f65-9D91-7224C49458BB}"/>
                <c:ext xmlns:c16="http://schemas.microsoft.com/office/drawing/2014/chart" uri="{C3380CC4-5D6E-409C-BE32-E72D297353CC}">
                  <c16:uniqueId val="{0000000E-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0F-9084-40D3-99DE-850CDE405340}"/>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9084-40D3-99DE-850CDE405340}"/>
                </c:ext>
              </c:extLst>
            </c:dLbl>
            <c:dLbl>
              <c:idx val="2"/>
              <c:delete val="1"/>
              <c:extLst>
                <c:ext xmlns:c15="http://schemas.microsoft.com/office/drawing/2012/chart" uri="{CE6537A1-D6FC-4f65-9D91-7224C49458BB}"/>
                <c:ext xmlns:c16="http://schemas.microsoft.com/office/drawing/2014/chart" uri="{C3380CC4-5D6E-409C-BE32-E72D297353CC}">
                  <c16:uniqueId val="{00000011-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12-9084-40D3-99DE-850CDE405340}"/>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9084-40D3-99DE-850CDE405340}"/>
                </c:ext>
              </c:extLst>
            </c:dLbl>
            <c:dLbl>
              <c:idx val="2"/>
              <c:delete val="1"/>
              <c:extLst>
                <c:ext xmlns:c15="http://schemas.microsoft.com/office/drawing/2012/chart" uri="{CE6537A1-D6FC-4f65-9D91-7224C49458BB}"/>
                <c:ext xmlns:c16="http://schemas.microsoft.com/office/drawing/2014/chart" uri="{C3380CC4-5D6E-409C-BE32-E72D297353CC}">
                  <c16:uniqueId val="{00000014-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15-9084-40D3-99DE-850CDE405340}"/>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9084-40D3-99DE-850CDE405340}"/>
                </c:ext>
              </c:extLst>
            </c:dLbl>
            <c:dLbl>
              <c:idx val="2"/>
              <c:delete val="1"/>
              <c:extLst>
                <c:ext xmlns:c15="http://schemas.microsoft.com/office/drawing/2012/chart" uri="{CE6537A1-D6FC-4f65-9D91-7224C49458BB}"/>
                <c:ext xmlns:c16="http://schemas.microsoft.com/office/drawing/2014/chart" uri="{C3380CC4-5D6E-409C-BE32-E72D297353CC}">
                  <c16:uniqueId val="{00000017-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18-9084-40D3-99DE-850CDE405340}"/>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9084-40D3-99DE-850CDE405340}"/>
                </c:ext>
              </c:extLst>
            </c:dLbl>
            <c:dLbl>
              <c:idx val="2"/>
              <c:delete val="1"/>
              <c:extLst>
                <c:ext xmlns:c15="http://schemas.microsoft.com/office/drawing/2012/chart" uri="{CE6537A1-D6FC-4f65-9D91-7224C49458BB}"/>
                <c:ext xmlns:c16="http://schemas.microsoft.com/office/drawing/2014/chart" uri="{C3380CC4-5D6E-409C-BE32-E72D297353CC}">
                  <c16:uniqueId val="{0000001A-9084-40D3-99DE-850CDE40534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1B-9084-40D3-99DE-850CDE405340}"/>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1C-9084-40D3-99DE-850CDE405340}"/>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'40M-OS'!#REF!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'40M-OS'!#REF!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'40M-OS'!#REF!</c15:sqref>
                        </c15:formulaRef>
                      </c:ext>
                    </c:extLst>
                    <c:strCache>
                      <c:ptCount val="1"/>
                      <c:pt idx="0">
                        <c:v>#REF!</c:v>
                      </c:pt>
                    </c:strCache>
                  </c:strRef>
                </c15:cat>
              </c15:filteredCategoryTitle>
            </c:ext>
            <c:ext xmlns:c16="http://schemas.microsoft.com/office/drawing/2014/chart" uri="{C3380CC4-5D6E-409C-BE32-E72D297353CC}">
              <c16:uniqueId val="{0000001D-9084-40D3-99DE-850CDE405340}"/>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'40M-OS'!#REF!</c:f>
              <c:numCache>
                <c:formatCode>General</c:formatCode>
                <c:ptCount val="1"/>
                <c:pt idx="0">
                  <c:v>1</c:v>
                </c:pt>
              </c:numCache>
            </c:numRef>
          </c:val>
          <c:smooth val="0"/>
          <c:extLst>
            <c:ext xmlns:c16="http://schemas.microsoft.com/office/drawing/2014/chart" uri="{C3380CC4-5D6E-409C-BE32-E72D297353CC}">
              <c16:uniqueId val="{0000001E-9084-40D3-99DE-850CDE405340}"/>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F544-41F7-8BA7-74535F7597E6}"/>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F544-41F7-8BA7-74535F7597E6}"/>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F544-41F7-8BA7-74535F7597E6}"/>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F544-41F7-8BA7-74535F7597E6}"/>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F544-41F7-8BA7-74535F7597E6}"/>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44-41F7-8BA7-74535F7597E6}"/>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44-41F7-8BA7-74535F7597E6}"/>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44-41F7-8BA7-74535F7597E6}"/>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09-F544-41F7-8BA7-74535F7597E6}"/>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F544-41F7-8BA7-74535F7597E6}"/>
                </c:ext>
              </c:extLst>
            </c:dLbl>
            <c:dLbl>
              <c:idx val="2"/>
              <c:delete val="1"/>
              <c:extLst>
                <c:ext xmlns:c15="http://schemas.microsoft.com/office/drawing/2012/chart" uri="{CE6537A1-D6FC-4f65-9D91-7224C49458BB}"/>
                <c:ext xmlns:c16="http://schemas.microsoft.com/office/drawing/2014/chart" uri="{C3380CC4-5D6E-409C-BE32-E72D297353CC}">
                  <c16:uniqueId val="{0000000B-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0C-F544-41F7-8BA7-74535F7597E6}"/>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F544-41F7-8BA7-74535F7597E6}"/>
                </c:ext>
              </c:extLst>
            </c:dLbl>
            <c:dLbl>
              <c:idx val="2"/>
              <c:delete val="1"/>
              <c:extLst>
                <c:ext xmlns:c15="http://schemas.microsoft.com/office/drawing/2012/chart" uri="{CE6537A1-D6FC-4f65-9D91-7224C49458BB}"/>
                <c:ext xmlns:c16="http://schemas.microsoft.com/office/drawing/2014/chart" uri="{C3380CC4-5D6E-409C-BE32-E72D297353CC}">
                  <c16:uniqueId val="{0000000E-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0F-F544-41F7-8BA7-74535F7597E6}"/>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F544-41F7-8BA7-74535F7597E6}"/>
                </c:ext>
              </c:extLst>
            </c:dLbl>
            <c:dLbl>
              <c:idx val="2"/>
              <c:delete val="1"/>
              <c:extLst>
                <c:ext xmlns:c15="http://schemas.microsoft.com/office/drawing/2012/chart" uri="{CE6537A1-D6FC-4f65-9D91-7224C49458BB}"/>
                <c:ext xmlns:c16="http://schemas.microsoft.com/office/drawing/2014/chart" uri="{C3380CC4-5D6E-409C-BE32-E72D297353CC}">
                  <c16:uniqueId val="{00000011-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12-F544-41F7-8BA7-74535F7597E6}"/>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F544-41F7-8BA7-74535F7597E6}"/>
                </c:ext>
              </c:extLst>
            </c:dLbl>
            <c:dLbl>
              <c:idx val="2"/>
              <c:delete val="1"/>
              <c:extLst>
                <c:ext xmlns:c15="http://schemas.microsoft.com/office/drawing/2012/chart" uri="{CE6537A1-D6FC-4f65-9D91-7224C49458BB}"/>
                <c:ext xmlns:c16="http://schemas.microsoft.com/office/drawing/2014/chart" uri="{C3380CC4-5D6E-409C-BE32-E72D297353CC}">
                  <c16:uniqueId val="{00000014-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15-F544-41F7-8BA7-74535F7597E6}"/>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F544-41F7-8BA7-74535F7597E6}"/>
                </c:ext>
              </c:extLst>
            </c:dLbl>
            <c:dLbl>
              <c:idx val="2"/>
              <c:delete val="1"/>
              <c:extLst>
                <c:ext xmlns:c15="http://schemas.microsoft.com/office/drawing/2012/chart" uri="{CE6537A1-D6FC-4f65-9D91-7224C49458BB}"/>
                <c:ext xmlns:c16="http://schemas.microsoft.com/office/drawing/2014/chart" uri="{C3380CC4-5D6E-409C-BE32-E72D297353CC}">
                  <c16:uniqueId val="{00000017-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18-F544-41F7-8BA7-74535F7597E6}"/>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F544-41F7-8BA7-74535F7597E6}"/>
                </c:ext>
              </c:extLst>
            </c:dLbl>
            <c:dLbl>
              <c:idx val="2"/>
              <c:delete val="1"/>
              <c:extLst>
                <c:ext xmlns:c15="http://schemas.microsoft.com/office/drawing/2012/chart" uri="{CE6537A1-D6FC-4f65-9D91-7224C49458BB}"/>
                <c:ext xmlns:c16="http://schemas.microsoft.com/office/drawing/2014/chart" uri="{C3380CC4-5D6E-409C-BE32-E72D297353CC}">
                  <c16:uniqueId val="{0000001A-F544-41F7-8BA7-74535F7597E6}"/>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1B-F544-41F7-8BA7-74535F7597E6}"/>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1C-F544-41F7-8BA7-74535F7597E6}"/>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'420G-OS'!#REF!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'420G-OS'!#REF!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'420G-OS'!#REF!</c15:sqref>
                        </c15:formulaRef>
                      </c:ext>
                    </c:extLst>
                    <c:strCache>
                      <c:ptCount val="1"/>
                      <c:pt idx="0">
                        <c:v>#REF!</c:v>
                      </c:pt>
                    </c:strCache>
                  </c:strRef>
                </c15:cat>
              </c15:filteredCategoryTitle>
            </c:ext>
            <c:ext xmlns:c16="http://schemas.microsoft.com/office/drawing/2014/chart" uri="{C3380CC4-5D6E-409C-BE32-E72D297353CC}">
              <c16:uniqueId val="{0000001D-F544-41F7-8BA7-74535F7597E6}"/>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'420G-OS'!#REF!</c:f>
              <c:numCache>
                <c:formatCode>General</c:formatCode>
                <c:ptCount val="1"/>
                <c:pt idx="0">
                  <c:v>1</c:v>
                </c:pt>
              </c:numCache>
            </c:numRef>
          </c:val>
          <c:smooth val="0"/>
          <c:extLst>
            <c:ext xmlns:c16="http://schemas.microsoft.com/office/drawing/2014/chart" uri="{C3380CC4-5D6E-409C-BE32-E72D297353CC}">
              <c16:uniqueId val="{0000001E-F544-41F7-8BA7-74535F7597E6}"/>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9106-4546-B7C2-BFAA089FAB3B}"/>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9106-4546-B7C2-BFAA089FAB3B}"/>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9106-4546-B7C2-BFAA089FAB3B}"/>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9106-4546-B7C2-BFAA089FAB3B}"/>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106-4546-B7C2-BFAA089FAB3B}"/>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106-4546-B7C2-BFAA089FAB3B}"/>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06-4546-B7C2-BFAA089FAB3B}"/>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06-4546-B7C2-BFAA089FAB3B}"/>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09-9106-4546-B7C2-BFAA089FAB3B}"/>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9106-4546-B7C2-BFAA089FAB3B}"/>
                </c:ext>
              </c:extLst>
            </c:dLbl>
            <c:dLbl>
              <c:idx val="2"/>
              <c:delete val="1"/>
              <c:extLst>
                <c:ext xmlns:c15="http://schemas.microsoft.com/office/drawing/2012/chart" uri="{CE6537A1-D6FC-4f65-9D91-7224C49458BB}"/>
                <c:ext xmlns:c16="http://schemas.microsoft.com/office/drawing/2014/chart" uri="{C3380CC4-5D6E-409C-BE32-E72D297353CC}">
                  <c16:uniqueId val="{0000000B-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0C-9106-4546-B7C2-BFAA089FAB3B}"/>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9106-4546-B7C2-BFAA089FAB3B}"/>
                </c:ext>
              </c:extLst>
            </c:dLbl>
            <c:dLbl>
              <c:idx val="2"/>
              <c:delete val="1"/>
              <c:extLst>
                <c:ext xmlns:c15="http://schemas.microsoft.com/office/drawing/2012/chart" uri="{CE6537A1-D6FC-4f65-9D91-7224C49458BB}"/>
                <c:ext xmlns:c16="http://schemas.microsoft.com/office/drawing/2014/chart" uri="{C3380CC4-5D6E-409C-BE32-E72D297353CC}">
                  <c16:uniqueId val="{0000000E-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0F-9106-4546-B7C2-BFAA089FAB3B}"/>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9106-4546-B7C2-BFAA089FAB3B}"/>
                </c:ext>
              </c:extLst>
            </c:dLbl>
            <c:dLbl>
              <c:idx val="2"/>
              <c:delete val="1"/>
              <c:extLst>
                <c:ext xmlns:c15="http://schemas.microsoft.com/office/drawing/2012/chart" uri="{CE6537A1-D6FC-4f65-9D91-7224C49458BB}"/>
                <c:ext xmlns:c16="http://schemas.microsoft.com/office/drawing/2014/chart" uri="{C3380CC4-5D6E-409C-BE32-E72D297353CC}">
                  <c16:uniqueId val="{00000011-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12-9106-4546-B7C2-BFAA089FAB3B}"/>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9106-4546-B7C2-BFAA089FAB3B}"/>
                </c:ext>
              </c:extLst>
            </c:dLbl>
            <c:dLbl>
              <c:idx val="2"/>
              <c:delete val="1"/>
              <c:extLst>
                <c:ext xmlns:c15="http://schemas.microsoft.com/office/drawing/2012/chart" uri="{CE6537A1-D6FC-4f65-9D91-7224C49458BB}"/>
                <c:ext xmlns:c16="http://schemas.microsoft.com/office/drawing/2014/chart" uri="{C3380CC4-5D6E-409C-BE32-E72D297353CC}">
                  <c16:uniqueId val="{00000014-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15-9106-4546-B7C2-BFAA089FAB3B}"/>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9106-4546-B7C2-BFAA089FAB3B}"/>
                </c:ext>
              </c:extLst>
            </c:dLbl>
            <c:dLbl>
              <c:idx val="2"/>
              <c:delete val="1"/>
              <c:extLst>
                <c:ext xmlns:c15="http://schemas.microsoft.com/office/drawing/2012/chart" uri="{CE6537A1-D6FC-4f65-9D91-7224C49458BB}"/>
                <c:ext xmlns:c16="http://schemas.microsoft.com/office/drawing/2014/chart" uri="{C3380CC4-5D6E-409C-BE32-E72D297353CC}">
                  <c16:uniqueId val="{00000017-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18-9106-4546-B7C2-BFAA089FAB3B}"/>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9106-4546-B7C2-BFAA089FAB3B}"/>
                </c:ext>
              </c:extLst>
            </c:dLbl>
            <c:dLbl>
              <c:idx val="2"/>
              <c:delete val="1"/>
              <c:extLst>
                <c:ext xmlns:c15="http://schemas.microsoft.com/office/drawing/2012/chart" uri="{CE6537A1-D6FC-4f65-9D91-7224C49458BB}"/>
                <c:ext xmlns:c16="http://schemas.microsoft.com/office/drawing/2014/chart" uri="{C3380CC4-5D6E-409C-BE32-E72D297353CC}">
                  <c16:uniqueId val="{0000001A-9106-4546-B7C2-BFAA089FAB3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1B-9106-4546-B7C2-BFAA089FAB3B}"/>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1C-9106-4546-B7C2-BFAA089FAB3B}"/>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'201K-OS'!#REF!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'201K-OS'!#REF!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'201K-OS'!#REF!</c15:sqref>
                        </c15:formulaRef>
                      </c:ext>
                    </c:extLst>
                    <c:strCache>
                      <c:ptCount val="1"/>
                      <c:pt idx="0">
                        <c:v>#REF!</c:v>
                      </c:pt>
                    </c:strCache>
                  </c:strRef>
                </c15:cat>
              </c15:filteredCategoryTitle>
            </c:ext>
            <c:ext xmlns:c16="http://schemas.microsoft.com/office/drawing/2014/chart" uri="{C3380CC4-5D6E-409C-BE32-E72D297353CC}">
              <c16:uniqueId val="{0000001D-9106-4546-B7C2-BFAA089FAB3B}"/>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'201K-OS'!#REF!</c:f>
              <c:numCache>
                <c:formatCode>General</c:formatCode>
                <c:ptCount val="1"/>
                <c:pt idx="0">
                  <c:v>1</c:v>
                </c:pt>
              </c:numCache>
            </c:numRef>
          </c:val>
          <c:smooth val="0"/>
          <c:extLst>
            <c:ext xmlns:c16="http://schemas.microsoft.com/office/drawing/2014/chart" uri="{C3380CC4-5D6E-409C-BE32-E72D297353CC}">
              <c16:uniqueId val="{0000001E-9106-4546-B7C2-BFAA089FAB3B}"/>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E939-4E35-9392-01C33062692D}"/>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E939-4E35-9392-01C33062692D}"/>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E939-4E35-9392-01C33062692D}"/>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E939-4E35-9392-01C33062692D}"/>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939-4E35-9392-01C33062692D}"/>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39-4E35-9392-01C33062692D}"/>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39-4E35-9392-01C33062692D}"/>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39-4E35-9392-01C33062692D}"/>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09-E939-4E35-9392-01C33062692D}"/>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E939-4E35-9392-01C33062692D}"/>
                </c:ext>
              </c:extLst>
            </c:dLbl>
            <c:dLbl>
              <c:idx val="2"/>
              <c:delete val="1"/>
              <c:extLst>
                <c:ext xmlns:c15="http://schemas.microsoft.com/office/drawing/2012/chart" uri="{CE6537A1-D6FC-4f65-9D91-7224C49458BB}"/>
                <c:ext xmlns:c16="http://schemas.microsoft.com/office/drawing/2014/chart" uri="{C3380CC4-5D6E-409C-BE32-E72D297353CC}">
                  <c16:uniqueId val="{0000000B-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0C-E939-4E35-9392-01C33062692D}"/>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E939-4E35-9392-01C33062692D}"/>
                </c:ext>
              </c:extLst>
            </c:dLbl>
            <c:dLbl>
              <c:idx val="2"/>
              <c:delete val="1"/>
              <c:extLst>
                <c:ext xmlns:c15="http://schemas.microsoft.com/office/drawing/2012/chart" uri="{CE6537A1-D6FC-4f65-9D91-7224C49458BB}"/>
                <c:ext xmlns:c16="http://schemas.microsoft.com/office/drawing/2014/chart" uri="{C3380CC4-5D6E-409C-BE32-E72D297353CC}">
                  <c16:uniqueId val="{0000000E-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0F-E939-4E35-9392-01C33062692D}"/>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E939-4E35-9392-01C33062692D}"/>
                </c:ext>
              </c:extLst>
            </c:dLbl>
            <c:dLbl>
              <c:idx val="2"/>
              <c:delete val="1"/>
              <c:extLst>
                <c:ext xmlns:c15="http://schemas.microsoft.com/office/drawing/2012/chart" uri="{CE6537A1-D6FC-4f65-9D91-7224C49458BB}"/>
                <c:ext xmlns:c16="http://schemas.microsoft.com/office/drawing/2014/chart" uri="{C3380CC4-5D6E-409C-BE32-E72D297353CC}">
                  <c16:uniqueId val="{00000011-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12-E939-4E35-9392-01C33062692D}"/>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E939-4E35-9392-01C33062692D}"/>
                </c:ext>
              </c:extLst>
            </c:dLbl>
            <c:dLbl>
              <c:idx val="2"/>
              <c:delete val="1"/>
              <c:extLst>
                <c:ext xmlns:c15="http://schemas.microsoft.com/office/drawing/2012/chart" uri="{CE6537A1-D6FC-4f65-9D91-7224C49458BB}"/>
                <c:ext xmlns:c16="http://schemas.microsoft.com/office/drawing/2014/chart" uri="{C3380CC4-5D6E-409C-BE32-E72D297353CC}">
                  <c16:uniqueId val="{00000014-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15-E939-4E35-9392-01C33062692D}"/>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E939-4E35-9392-01C33062692D}"/>
                </c:ext>
              </c:extLst>
            </c:dLbl>
            <c:dLbl>
              <c:idx val="2"/>
              <c:delete val="1"/>
              <c:extLst>
                <c:ext xmlns:c15="http://schemas.microsoft.com/office/drawing/2012/chart" uri="{CE6537A1-D6FC-4f65-9D91-7224C49458BB}"/>
                <c:ext xmlns:c16="http://schemas.microsoft.com/office/drawing/2014/chart" uri="{C3380CC4-5D6E-409C-BE32-E72D297353CC}">
                  <c16:uniqueId val="{00000017-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18-E939-4E35-9392-01C33062692D}"/>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E939-4E35-9392-01C33062692D}"/>
                </c:ext>
              </c:extLst>
            </c:dLbl>
            <c:dLbl>
              <c:idx val="2"/>
              <c:delete val="1"/>
              <c:extLst>
                <c:ext xmlns:c15="http://schemas.microsoft.com/office/drawing/2012/chart" uri="{CE6537A1-D6FC-4f65-9D91-7224C49458BB}"/>
                <c:ext xmlns:c16="http://schemas.microsoft.com/office/drawing/2014/chart" uri="{C3380CC4-5D6E-409C-BE32-E72D297353CC}">
                  <c16:uniqueId val="{0000001A-E939-4E35-9392-01C33062692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1B-E939-4E35-9392-01C33062692D}"/>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1C-E939-4E35-9392-01C33062692D}"/>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'20B-OS'!#REF!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'20B-OS'!#REF!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'20B-OS'!#REF!</c15:sqref>
                        </c15:formulaRef>
                      </c:ext>
                    </c:extLst>
                    <c:strCache>
                      <c:ptCount val="1"/>
                      <c:pt idx="0">
                        <c:v>#REF!</c:v>
                      </c:pt>
                    </c:strCache>
                  </c:strRef>
                </c15:cat>
              </c15:filteredCategoryTitle>
            </c:ext>
            <c:ext xmlns:c16="http://schemas.microsoft.com/office/drawing/2014/chart" uri="{C3380CC4-5D6E-409C-BE32-E72D297353CC}">
              <c16:uniqueId val="{0000001D-E939-4E35-9392-01C33062692D}"/>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'20B-OS'!#REF!</c:f>
              <c:numCache>
                <c:formatCode>General</c:formatCode>
                <c:ptCount val="1"/>
                <c:pt idx="0">
                  <c:v>1</c:v>
                </c:pt>
              </c:numCache>
            </c:numRef>
          </c:val>
          <c:smooth val="0"/>
          <c:extLst>
            <c:ext xmlns:c16="http://schemas.microsoft.com/office/drawing/2014/chart" uri="{C3380CC4-5D6E-409C-BE32-E72D297353CC}">
              <c16:uniqueId val="{0000001E-E939-4E35-9392-01C33062692D}"/>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6327-47CF-BFBB-840317AC6A8D}"/>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6327-47CF-BFBB-840317AC6A8D}"/>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6327-47CF-BFBB-840317AC6A8D}"/>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6327-47CF-BFBB-840317AC6A8D}"/>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6327-47CF-BFBB-840317AC6A8D}"/>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27-47CF-BFBB-840317AC6A8D}"/>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27-47CF-BFBB-840317AC6A8D}"/>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27-47CF-BFBB-840317AC6A8D}"/>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09-6327-47CF-BFBB-840317AC6A8D}"/>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6327-47CF-BFBB-840317AC6A8D}"/>
                </c:ext>
              </c:extLst>
            </c:dLbl>
            <c:dLbl>
              <c:idx val="2"/>
              <c:delete val="1"/>
              <c:extLst>
                <c:ext xmlns:c15="http://schemas.microsoft.com/office/drawing/2012/chart" uri="{CE6537A1-D6FC-4f65-9D91-7224C49458BB}"/>
                <c:ext xmlns:c16="http://schemas.microsoft.com/office/drawing/2014/chart" uri="{C3380CC4-5D6E-409C-BE32-E72D297353CC}">
                  <c16:uniqueId val="{0000000B-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0C-6327-47CF-BFBB-840317AC6A8D}"/>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6327-47CF-BFBB-840317AC6A8D}"/>
                </c:ext>
              </c:extLst>
            </c:dLbl>
            <c:dLbl>
              <c:idx val="2"/>
              <c:delete val="1"/>
              <c:extLst>
                <c:ext xmlns:c15="http://schemas.microsoft.com/office/drawing/2012/chart" uri="{CE6537A1-D6FC-4f65-9D91-7224C49458BB}"/>
                <c:ext xmlns:c16="http://schemas.microsoft.com/office/drawing/2014/chart" uri="{C3380CC4-5D6E-409C-BE32-E72D297353CC}">
                  <c16:uniqueId val="{0000000E-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0F-6327-47CF-BFBB-840317AC6A8D}"/>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6327-47CF-BFBB-840317AC6A8D}"/>
                </c:ext>
              </c:extLst>
            </c:dLbl>
            <c:dLbl>
              <c:idx val="2"/>
              <c:delete val="1"/>
              <c:extLst>
                <c:ext xmlns:c15="http://schemas.microsoft.com/office/drawing/2012/chart" uri="{CE6537A1-D6FC-4f65-9D91-7224C49458BB}"/>
                <c:ext xmlns:c16="http://schemas.microsoft.com/office/drawing/2014/chart" uri="{C3380CC4-5D6E-409C-BE32-E72D297353CC}">
                  <c16:uniqueId val="{00000011-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12-6327-47CF-BFBB-840317AC6A8D}"/>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6327-47CF-BFBB-840317AC6A8D}"/>
                </c:ext>
              </c:extLst>
            </c:dLbl>
            <c:dLbl>
              <c:idx val="2"/>
              <c:delete val="1"/>
              <c:extLst>
                <c:ext xmlns:c15="http://schemas.microsoft.com/office/drawing/2012/chart" uri="{CE6537A1-D6FC-4f65-9D91-7224C49458BB}"/>
                <c:ext xmlns:c16="http://schemas.microsoft.com/office/drawing/2014/chart" uri="{C3380CC4-5D6E-409C-BE32-E72D297353CC}">
                  <c16:uniqueId val="{00000014-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15-6327-47CF-BFBB-840317AC6A8D}"/>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6327-47CF-BFBB-840317AC6A8D}"/>
                </c:ext>
              </c:extLst>
            </c:dLbl>
            <c:dLbl>
              <c:idx val="2"/>
              <c:delete val="1"/>
              <c:extLst>
                <c:ext xmlns:c15="http://schemas.microsoft.com/office/drawing/2012/chart" uri="{CE6537A1-D6FC-4f65-9D91-7224C49458BB}"/>
                <c:ext xmlns:c16="http://schemas.microsoft.com/office/drawing/2014/chart" uri="{C3380CC4-5D6E-409C-BE32-E72D297353CC}">
                  <c16:uniqueId val="{00000017-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18-6327-47CF-BFBB-840317AC6A8D}"/>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6327-47CF-BFBB-840317AC6A8D}"/>
                </c:ext>
              </c:extLst>
            </c:dLbl>
            <c:dLbl>
              <c:idx val="2"/>
              <c:delete val="1"/>
              <c:extLst>
                <c:ext xmlns:c15="http://schemas.microsoft.com/office/drawing/2012/chart" uri="{CE6537A1-D6FC-4f65-9D91-7224C49458BB}"/>
                <c:ext xmlns:c16="http://schemas.microsoft.com/office/drawing/2014/chart" uri="{C3380CC4-5D6E-409C-BE32-E72D297353CC}">
                  <c16:uniqueId val="{0000001A-6327-47CF-BFBB-840317AC6A8D}"/>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1B-6327-47CF-BFBB-840317AC6A8D}"/>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1C-6327-47CF-BFBB-840317AC6A8D}"/>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'347K-OS'!#REF!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'347K-OS'!#REF!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'347K-OS'!#REF!</c15:sqref>
                        </c15:formulaRef>
                      </c:ext>
                    </c:extLst>
                    <c:strCache>
                      <c:ptCount val="1"/>
                      <c:pt idx="0">
                        <c:v>#REF!</c:v>
                      </c:pt>
                    </c:strCache>
                  </c:strRef>
                </c15:cat>
              </c15:filteredCategoryTitle>
            </c:ext>
            <c:ext xmlns:c16="http://schemas.microsoft.com/office/drawing/2014/chart" uri="{C3380CC4-5D6E-409C-BE32-E72D297353CC}">
              <c16:uniqueId val="{0000001D-6327-47CF-BFBB-840317AC6A8D}"/>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'347K-OS'!#REF!</c:f>
              <c:numCache>
                <c:formatCode>General</c:formatCode>
                <c:ptCount val="1"/>
                <c:pt idx="0">
                  <c:v>1</c:v>
                </c:pt>
              </c:numCache>
            </c:numRef>
          </c:val>
          <c:smooth val="0"/>
          <c:extLst>
            <c:ext xmlns:c16="http://schemas.microsoft.com/office/drawing/2014/chart" uri="{C3380CC4-5D6E-409C-BE32-E72D297353CC}">
              <c16:uniqueId val="{0000001E-6327-47CF-BFBB-840317AC6A8D}"/>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B284-44AA-9419-1F0F920C4FD0}"/>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B284-44AA-9419-1F0F920C4FD0}"/>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B284-44AA-9419-1F0F920C4FD0}"/>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B284-44AA-9419-1F0F920C4FD0}"/>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B284-44AA-9419-1F0F920C4FD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84-44AA-9419-1F0F920C4FD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284-44AA-9419-1F0F920C4FD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284-44AA-9419-1F0F920C4FD0}"/>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09-B284-44AA-9419-1F0F920C4FD0}"/>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B284-44AA-9419-1F0F920C4FD0}"/>
                </c:ext>
              </c:extLst>
            </c:dLbl>
            <c:dLbl>
              <c:idx val="2"/>
              <c:delete val="1"/>
              <c:extLst>
                <c:ext xmlns:c15="http://schemas.microsoft.com/office/drawing/2012/chart" uri="{CE6537A1-D6FC-4f65-9D91-7224C49458BB}"/>
                <c:ext xmlns:c16="http://schemas.microsoft.com/office/drawing/2014/chart" uri="{C3380CC4-5D6E-409C-BE32-E72D297353CC}">
                  <c16:uniqueId val="{0000000B-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0C-B284-44AA-9419-1F0F920C4FD0}"/>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B284-44AA-9419-1F0F920C4FD0}"/>
                </c:ext>
              </c:extLst>
            </c:dLbl>
            <c:dLbl>
              <c:idx val="2"/>
              <c:delete val="1"/>
              <c:extLst>
                <c:ext xmlns:c15="http://schemas.microsoft.com/office/drawing/2012/chart" uri="{CE6537A1-D6FC-4f65-9D91-7224C49458BB}"/>
                <c:ext xmlns:c16="http://schemas.microsoft.com/office/drawing/2014/chart" uri="{C3380CC4-5D6E-409C-BE32-E72D297353CC}">
                  <c16:uniqueId val="{0000000E-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0F-B284-44AA-9419-1F0F920C4FD0}"/>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B284-44AA-9419-1F0F920C4FD0}"/>
                </c:ext>
              </c:extLst>
            </c:dLbl>
            <c:dLbl>
              <c:idx val="2"/>
              <c:delete val="1"/>
              <c:extLst>
                <c:ext xmlns:c15="http://schemas.microsoft.com/office/drawing/2012/chart" uri="{CE6537A1-D6FC-4f65-9D91-7224C49458BB}"/>
                <c:ext xmlns:c16="http://schemas.microsoft.com/office/drawing/2014/chart" uri="{C3380CC4-5D6E-409C-BE32-E72D297353CC}">
                  <c16:uniqueId val="{00000011-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12-B284-44AA-9419-1F0F920C4FD0}"/>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B284-44AA-9419-1F0F920C4FD0}"/>
                </c:ext>
              </c:extLst>
            </c:dLbl>
            <c:dLbl>
              <c:idx val="2"/>
              <c:delete val="1"/>
              <c:extLst>
                <c:ext xmlns:c15="http://schemas.microsoft.com/office/drawing/2012/chart" uri="{CE6537A1-D6FC-4f65-9D91-7224C49458BB}"/>
                <c:ext xmlns:c16="http://schemas.microsoft.com/office/drawing/2014/chart" uri="{C3380CC4-5D6E-409C-BE32-E72D297353CC}">
                  <c16:uniqueId val="{00000014-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15-B284-44AA-9419-1F0F920C4FD0}"/>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B284-44AA-9419-1F0F920C4FD0}"/>
                </c:ext>
              </c:extLst>
            </c:dLbl>
            <c:dLbl>
              <c:idx val="2"/>
              <c:delete val="1"/>
              <c:extLst>
                <c:ext xmlns:c15="http://schemas.microsoft.com/office/drawing/2012/chart" uri="{CE6537A1-D6FC-4f65-9D91-7224C49458BB}"/>
                <c:ext xmlns:c16="http://schemas.microsoft.com/office/drawing/2014/chart" uri="{C3380CC4-5D6E-409C-BE32-E72D297353CC}">
                  <c16:uniqueId val="{00000017-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18-B284-44AA-9419-1F0F920C4FD0}"/>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B284-44AA-9419-1F0F920C4FD0}"/>
                </c:ext>
              </c:extLst>
            </c:dLbl>
            <c:dLbl>
              <c:idx val="2"/>
              <c:delete val="1"/>
              <c:extLst>
                <c:ext xmlns:c15="http://schemas.microsoft.com/office/drawing/2012/chart" uri="{CE6537A1-D6FC-4f65-9D91-7224C49458BB}"/>
                <c:ext xmlns:c16="http://schemas.microsoft.com/office/drawing/2014/chart" uri="{C3380CC4-5D6E-409C-BE32-E72D297353CC}">
                  <c16:uniqueId val="{0000001A-B284-44AA-9419-1F0F920C4F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1B-B284-44AA-9419-1F0F920C4FD0}"/>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1C-B284-44AA-9419-1F0F920C4FD0}"/>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'117C-OS'!#REF!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'117C-OS'!#REF!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'117C-OS'!#REF!</c15:sqref>
                        </c15:formulaRef>
                      </c:ext>
                    </c:extLst>
                    <c:strCache>
                      <c:ptCount val="1"/>
                      <c:pt idx="0">
                        <c:v>#REF!</c:v>
                      </c:pt>
                    </c:strCache>
                  </c:strRef>
                </c15:cat>
              </c15:filteredCategoryTitle>
            </c:ext>
            <c:ext xmlns:c16="http://schemas.microsoft.com/office/drawing/2014/chart" uri="{C3380CC4-5D6E-409C-BE32-E72D297353CC}">
              <c16:uniqueId val="{0000001D-B284-44AA-9419-1F0F920C4FD0}"/>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'117C-OS'!#REF!</c:f>
              <c:numCache>
                <c:formatCode>General</c:formatCode>
                <c:ptCount val="1"/>
                <c:pt idx="0">
                  <c:v>1</c:v>
                </c:pt>
              </c:numCache>
            </c:numRef>
          </c:val>
          <c:smooth val="0"/>
          <c:extLst>
            <c:ext xmlns:c16="http://schemas.microsoft.com/office/drawing/2014/chart" uri="{C3380CC4-5D6E-409C-BE32-E72D297353CC}">
              <c16:uniqueId val="{0000001E-B284-44AA-9419-1F0F920C4FD0}"/>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EDE9-4F59-B812-8F56C21F28B7}"/>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EDE9-4F59-B812-8F56C21F28B7}"/>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EDE9-4F59-B812-8F56C21F28B7}"/>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EDE9-4F59-B812-8F56C21F28B7}"/>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DE9-4F59-B812-8F56C21F28B7}"/>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DE9-4F59-B812-8F56C21F28B7}"/>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DE9-4F59-B812-8F56C21F28B7}"/>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DE9-4F59-B812-8F56C21F28B7}"/>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09-EDE9-4F59-B812-8F56C21F28B7}"/>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EDE9-4F59-B812-8F56C21F28B7}"/>
                </c:ext>
              </c:extLst>
            </c:dLbl>
            <c:dLbl>
              <c:idx val="2"/>
              <c:delete val="1"/>
              <c:extLst>
                <c:ext xmlns:c15="http://schemas.microsoft.com/office/drawing/2012/chart" uri="{CE6537A1-D6FC-4f65-9D91-7224C49458BB}"/>
                <c:ext xmlns:c16="http://schemas.microsoft.com/office/drawing/2014/chart" uri="{C3380CC4-5D6E-409C-BE32-E72D297353CC}">
                  <c16:uniqueId val="{0000000B-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0C-EDE9-4F59-B812-8F56C21F28B7}"/>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EDE9-4F59-B812-8F56C21F28B7}"/>
                </c:ext>
              </c:extLst>
            </c:dLbl>
            <c:dLbl>
              <c:idx val="2"/>
              <c:delete val="1"/>
              <c:extLst>
                <c:ext xmlns:c15="http://schemas.microsoft.com/office/drawing/2012/chart" uri="{CE6537A1-D6FC-4f65-9D91-7224C49458BB}"/>
                <c:ext xmlns:c16="http://schemas.microsoft.com/office/drawing/2014/chart" uri="{C3380CC4-5D6E-409C-BE32-E72D297353CC}">
                  <c16:uniqueId val="{0000000E-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0F-EDE9-4F59-B812-8F56C21F28B7}"/>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EDE9-4F59-B812-8F56C21F28B7}"/>
                </c:ext>
              </c:extLst>
            </c:dLbl>
            <c:dLbl>
              <c:idx val="2"/>
              <c:delete val="1"/>
              <c:extLst>
                <c:ext xmlns:c15="http://schemas.microsoft.com/office/drawing/2012/chart" uri="{CE6537A1-D6FC-4f65-9D91-7224C49458BB}"/>
                <c:ext xmlns:c16="http://schemas.microsoft.com/office/drawing/2014/chart" uri="{C3380CC4-5D6E-409C-BE32-E72D297353CC}">
                  <c16:uniqueId val="{00000011-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12-EDE9-4F59-B812-8F56C21F28B7}"/>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EDE9-4F59-B812-8F56C21F28B7}"/>
                </c:ext>
              </c:extLst>
            </c:dLbl>
            <c:dLbl>
              <c:idx val="2"/>
              <c:delete val="1"/>
              <c:extLst>
                <c:ext xmlns:c15="http://schemas.microsoft.com/office/drawing/2012/chart" uri="{CE6537A1-D6FC-4f65-9D91-7224C49458BB}"/>
                <c:ext xmlns:c16="http://schemas.microsoft.com/office/drawing/2014/chart" uri="{C3380CC4-5D6E-409C-BE32-E72D297353CC}">
                  <c16:uniqueId val="{00000014-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15-EDE9-4F59-B812-8F56C21F28B7}"/>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EDE9-4F59-B812-8F56C21F28B7}"/>
                </c:ext>
              </c:extLst>
            </c:dLbl>
            <c:dLbl>
              <c:idx val="2"/>
              <c:delete val="1"/>
              <c:extLst>
                <c:ext xmlns:c15="http://schemas.microsoft.com/office/drawing/2012/chart" uri="{CE6537A1-D6FC-4f65-9D91-7224C49458BB}"/>
                <c:ext xmlns:c16="http://schemas.microsoft.com/office/drawing/2014/chart" uri="{C3380CC4-5D6E-409C-BE32-E72D297353CC}">
                  <c16:uniqueId val="{00000017-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18-EDE9-4F59-B812-8F56C21F28B7}"/>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EDE9-4F59-B812-8F56C21F28B7}"/>
                </c:ext>
              </c:extLst>
            </c:dLbl>
            <c:dLbl>
              <c:idx val="2"/>
              <c:delete val="1"/>
              <c:extLst>
                <c:ext xmlns:c15="http://schemas.microsoft.com/office/drawing/2012/chart" uri="{CE6537A1-D6FC-4f65-9D91-7224C49458BB}"/>
                <c:ext xmlns:c16="http://schemas.microsoft.com/office/drawing/2014/chart" uri="{C3380CC4-5D6E-409C-BE32-E72D297353CC}">
                  <c16:uniqueId val="{0000001A-EDE9-4F59-B812-8F56C21F28B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1B-EDE9-4F59-B812-8F56C21F28B7}"/>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1C-EDE9-4F59-B812-8F56C21F28B7}"/>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'60MP-OS'!#REF!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'60MP-OS'!#REF!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'60MP-OS'!#REF!</c15:sqref>
                        </c15:formulaRef>
                      </c:ext>
                    </c:extLst>
                    <c:strCache>
                      <c:ptCount val="1"/>
                      <c:pt idx="0">
                        <c:v>#REF!</c:v>
                      </c:pt>
                    </c:strCache>
                  </c:strRef>
                </c15:cat>
              </c15:filteredCategoryTitle>
            </c:ext>
            <c:ext xmlns:c16="http://schemas.microsoft.com/office/drawing/2014/chart" uri="{C3380CC4-5D6E-409C-BE32-E72D297353CC}">
              <c16:uniqueId val="{0000001D-EDE9-4F59-B812-8F56C21F28B7}"/>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'60MP-OS'!#REF!</c:f>
              <c:numCache>
                <c:formatCode>General</c:formatCode>
                <c:ptCount val="1"/>
                <c:pt idx="0">
                  <c:v>1</c:v>
                </c:pt>
              </c:numCache>
            </c:numRef>
          </c:val>
          <c:smooth val="0"/>
          <c:extLst>
            <c:ext xmlns:c16="http://schemas.microsoft.com/office/drawing/2014/chart" uri="{C3380CC4-5D6E-409C-BE32-E72D297353CC}">
              <c16:uniqueId val="{0000001E-EDE9-4F59-B812-8F56C21F28B7}"/>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C12E-468C-B2E4-A962DEF2B2F2}"/>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C12E-468C-B2E4-A962DEF2B2F2}"/>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C12E-468C-B2E4-A962DEF2B2F2}"/>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C12E-468C-B2E4-A962DEF2B2F2}"/>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C12E-468C-B2E4-A962DEF2B2F2}"/>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2E-468C-B2E4-A962DEF2B2F2}"/>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12E-468C-B2E4-A962DEF2B2F2}"/>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12E-468C-B2E4-A962DEF2B2F2}"/>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09-C12E-468C-B2E4-A962DEF2B2F2}"/>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C12E-468C-B2E4-A962DEF2B2F2}"/>
                </c:ext>
              </c:extLst>
            </c:dLbl>
            <c:dLbl>
              <c:idx val="2"/>
              <c:delete val="1"/>
              <c:extLst>
                <c:ext xmlns:c15="http://schemas.microsoft.com/office/drawing/2012/chart" uri="{CE6537A1-D6FC-4f65-9D91-7224C49458BB}"/>
                <c:ext xmlns:c16="http://schemas.microsoft.com/office/drawing/2014/chart" uri="{C3380CC4-5D6E-409C-BE32-E72D297353CC}">
                  <c16:uniqueId val="{0000000B-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0C-C12E-468C-B2E4-A962DEF2B2F2}"/>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C12E-468C-B2E4-A962DEF2B2F2}"/>
                </c:ext>
              </c:extLst>
            </c:dLbl>
            <c:dLbl>
              <c:idx val="2"/>
              <c:delete val="1"/>
              <c:extLst>
                <c:ext xmlns:c15="http://schemas.microsoft.com/office/drawing/2012/chart" uri="{CE6537A1-D6FC-4f65-9D91-7224C49458BB}"/>
                <c:ext xmlns:c16="http://schemas.microsoft.com/office/drawing/2014/chart" uri="{C3380CC4-5D6E-409C-BE32-E72D297353CC}">
                  <c16:uniqueId val="{0000000E-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0F-C12E-468C-B2E4-A962DEF2B2F2}"/>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C12E-468C-B2E4-A962DEF2B2F2}"/>
                </c:ext>
              </c:extLst>
            </c:dLbl>
            <c:dLbl>
              <c:idx val="2"/>
              <c:delete val="1"/>
              <c:extLst>
                <c:ext xmlns:c15="http://schemas.microsoft.com/office/drawing/2012/chart" uri="{CE6537A1-D6FC-4f65-9D91-7224C49458BB}"/>
                <c:ext xmlns:c16="http://schemas.microsoft.com/office/drawing/2014/chart" uri="{C3380CC4-5D6E-409C-BE32-E72D297353CC}">
                  <c16:uniqueId val="{00000011-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12-C12E-468C-B2E4-A962DEF2B2F2}"/>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C12E-468C-B2E4-A962DEF2B2F2}"/>
                </c:ext>
              </c:extLst>
            </c:dLbl>
            <c:dLbl>
              <c:idx val="2"/>
              <c:delete val="1"/>
              <c:extLst>
                <c:ext xmlns:c15="http://schemas.microsoft.com/office/drawing/2012/chart" uri="{CE6537A1-D6FC-4f65-9D91-7224C49458BB}"/>
                <c:ext xmlns:c16="http://schemas.microsoft.com/office/drawing/2014/chart" uri="{C3380CC4-5D6E-409C-BE32-E72D297353CC}">
                  <c16:uniqueId val="{00000014-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15-C12E-468C-B2E4-A962DEF2B2F2}"/>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C12E-468C-B2E4-A962DEF2B2F2}"/>
                </c:ext>
              </c:extLst>
            </c:dLbl>
            <c:dLbl>
              <c:idx val="2"/>
              <c:delete val="1"/>
              <c:extLst>
                <c:ext xmlns:c15="http://schemas.microsoft.com/office/drawing/2012/chart" uri="{CE6537A1-D6FC-4f65-9D91-7224C49458BB}"/>
                <c:ext xmlns:c16="http://schemas.microsoft.com/office/drawing/2014/chart" uri="{C3380CC4-5D6E-409C-BE32-E72D297353CC}">
                  <c16:uniqueId val="{00000017-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18-C12E-468C-B2E4-A962DEF2B2F2}"/>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C12E-468C-B2E4-A962DEF2B2F2}"/>
                </c:ext>
              </c:extLst>
            </c:dLbl>
            <c:dLbl>
              <c:idx val="2"/>
              <c:delete val="1"/>
              <c:extLst>
                <c:ext xmlns:c15="http://schemas.microsoft.com/office/drawing/2012/chart" uri="{CE6537A1-D6FC-4f65-9D91-7224C49458BB}"/>
                <c:ext xmlns:c16="http://schemas.microsoft.com/office/drawing/2014/chart" uri="{C3380CC4-5D6E-409C-BE32-E72D297353CC}">
                  <c16:uniqueId val="{0000001A-C12E-468C-B2E4-A962DEF2B2F2}"/>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1B-C12E-468C-B2E4-A962DEF2B2F2}"/>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1C-C12E-468C-B2E4-A962DEF2B2F2}"/>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'130P-OS'!#REF!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'130P-OS'!#REF!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'130P-OS'!#REF!</c15:sqref>
                        </c15:formulaRef>
                      </c:ext>
                    </c:extLst>
                    <c:strCache>
                      <c:ptCount val="1"/>
                      <c:pt idx="0">
                        <c:v>#REF!</c:v>
                      </c:pt>
                    </c:strCache>
                  </c:strRef>
                </c15:cat>
              </c15:filteredCategoryTitle>
            </c:ext>
            <c:ext xmlns:c16="http://schemas.microsoft.com/office/drawing/2014/chart" uri="{C3380CC4-5D6E-409C-BE32-E72D297353CC}">
              <c16:uniqueId val="{0000001D-C12E-468C-B2E4-A962DEF2B2F2}"/>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'130P-OS'!#REF!</c:f>
              <c:numCache>
                <c:formatCode>General</c:formatCode>
                <c:ptCount val="1"/>
                <c:pt idx="0">
                  <c:v>1</c:v>
                </c:pt>
              </c:numCache>
            </c:numRef>
          </c:val>
          <c:smooth val="0"/>
          <c:extLst>
            <c:ext xmlns:c16="http://schemas.microsoft.com/office/drawing/2014/chart" uri="{C3380CC4-5D6E-409C-BE32-E72D297353CC}">
              <c16:uniqueId val="{0000001E-C12E-468C-B2E4-A962DEF2B2F2}"/>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5FC4-4BD9-AF8C-158E7D1EE428}"/>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5FC4-4BD9-AF8C-158E7D1EE428}"/>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5FC4-4BD9-AF8C-158E7D1EE428}"/>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5FC4-4BD9-AF8C-158E7D1EE428}"/>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5FC4-4BD9-AF8C-158E7D1EE428}"/>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C4-4BD9-AF8C-158E7D1EE428}"/>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C4-4BD9-AF8C-158E7D1EE428}"/>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C4-4BD9-AF8C-158E7D1EE428}"/>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09-5FC4-4BD9-AF8C-158E7D1EE428}"/>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5FC4-4BD9-AF8C-158E7D1EE428}"/>
                </c:ext>
              </c:extLst>
            </c:dLbl>
            <c:dLbl>
              <c:idx val="2"/>
              <c:delete val="1"/>
              <c:extLst>
                <c:ext xmlns:c15="http://schemas.microsoft.com/office/drawing/2012/chart" uri="{CE6537A1-D6FC-4f65-9D91-7224C49458BB}"/>
                <c:ext xmlns:c16="http://schemas.microsoft.com/office/drawing/2014/chart" uri="{C3380CC4-5D6E-409C-BE32-E72D297353CC}">
                  <c16:uniqueId val="{0000000B-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0C-5FC4-4BD9-AF8C-158E7D1EE428}"/>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5FC4-4BD9-AF8C-158E7D1EE428}"/>
                </c:ext>
              </c:extLst>
            </c:dLbl>
            <c:dLbl>
              <c:idx val="2"/>
              <c:delete val="1"/>
              <c:extLst>
                <c:ext xmlns:c15="http://schemas.microsoft.com/office/drawing/2012/chart" uri="{CE6537A1-D6FC-4f65-9D91-7224C49458BB}"/>
                <c:ext xmlns:c16="http://schemas.microsoft.com/office/drawing/2014/chart" uri="{C3380CC4-5D6E-409C-BE32-E72D297353CC}">
                  <c16:uniqueId val="{0000000E-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0F-5FC4-4BD9-AF8C-158E7D1EE428}"/>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5FC4-4BD9-AF8C-158E7D1EE428}"/>
                </c:ext>
              </c:extLst>
            </c:dLbl>
            <c:dLbl>
              <c:idx val="2"/>
              <c:delete val="1"/>
              <c:extLst>
                <c:ext xmlns:c15="http://schemas.microsoft.com/office/drawing/2012/chart" uri="{CE6537A1-D6FC-4f65-9D91-7224C49458BB}"/>
                <c:ext xmlns:c16="http://schemas.microsoft.com/office/drawing/2014/chart" uri="{C3380CC4-5D6E-409C-BE32-E72D297353CC}">
                  <c16:uniqueId val="{00000011-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12-5FC4-4BD9-AF8C-158E7D1EE428}"/>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5FC4-4BD9-AF8C-158E7D1EE428}"/>
                </c:ext>
              </c:extLst>
            </c:dLbl>
            <c:dLbl>
              <c:idx val="2"/>
              <c:delete val="1"/>
              <c:extLst>
                <c:ext xmlns:c15="http://schemas.microsoft.com/office/drawing/2012/chart" uri="{CE6537A1-D6FC-4f65-9D91-7224C49458BB}"/>
                <c:ext xmlns:c16="http://schemas.microsoft.com/office/drawing/2014/chart" uri="{C3380CC4-5D6E-409C-BE32-E72D297353CC}">
                  <c16:uniqueId val="{00000014-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15-5FC4-4BD9-AF8C-158E7D1EE428}"/>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5FC4-4BD9-AF8C-158E7D1EE428}"/>
                </c:ext>
              </c:extLst>
            </c:dLbl>
            <c:dLbl>
              <c:idx val="2"/>
              <c:delete val="1"/>
              <c:extLst>
                <c:ext xmlns:c15="http://schemas.microsoft.com/office/drawing/2012/chart" uri="{CE6537A1-D6FC-4f65-9D91-7224C49458BB}"/>
                <c:ext xmlns:c16="http://schemas.microsoft.com/office/drawing/2014/chart" uri="{C3380CC4-5D6E-409C-BE32-E72D297353CC}">
                  <c16:uniqueId val="{00000017-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18-5FC4-4BD9-AF8C-158E7D1EE428}"/>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5FC4-4BD9-AF8C-158E7D1EE428}"/>
                </c:ext>
              </c:extLst>
            </c:dLbl>
            <c:dLbl>
              <c:idx val="2"/>
              <c:delete val="1"/>
              <c:extLst>
                <c:ext xmlns:c15="http://schemas.microsoft.com/office/drawing/2012/chart" uri="{CE6537A1-D6FC-4f65-9D91-7224C49458BB}"/>
                <c:ext xmlns:c16="http://schemas.microsoft.com/office/drawing/2014/chart" uri="{C3380CC4-5D6E-409C-BE32-E72D297353CC}">
                  <c16:uniqueId val="{0000001A-5FC4-4BD9-AF8C-158E7D1EE42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1B-5FC4-4BD9-AF8C-158E7D1EE428}"/>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1C-5FC4-4BD9-AF8C-158E7D1EE428}"/>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'151C-OS'!#REF!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'151C-OS'!#REF!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'151C-OS'!#REF!</c15:sqref>
                        </c15:formulaRef>
                      </c:ext>
                    </c:extLst>
                    <c:strCache>
                      <c:ptCount val="1"/>
                      <c:pt idx="0">
                        <c:v>#REF!</c:v>
                      </c:pt>
                    </c:strCache>
                  </c:strRef>
                </c15:cat>
              </c15:filteredCategoryTitle>
            </c:ext>
            <c:ext xmlns:c16="http://schemas.microsoft.com/office/drawing/2014/chart" uri="{C3380CC4-5D6E-409C-BE32-E72D297353CC}">
              <c16:uniqueId val="{0000001D-5FC4-4BD9-AF8C-158E7D1EE428}"/>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'151C-OS'!#REF!</c:f>
              <c:numCache>
                <c:formatCode>General</c:formatCode>
                <c:ptCount val="1"/>
                <c:pt idx="0">
                  <c:v>1</c:v>
                </c:pt>
              </c:numCache>
            </c:numRef>
          </c:val>
          <c:smooth val="0"/>
          <c:extLst>
            <c:ext xmlns:c16="http://schemas.microsoft.com/office/drawing/2014/chart" uri="{C3380CC4-5D6E-409C-BE32-E72D297353CC}">
              <c16:uniqueId val="{0000001E-5FC4-4BD9-AF8C-158E7D1EE428}"/>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529B-4F7B-93AE-9CEF5AEC7013}"/>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529B-4F7B-93AE-9CEF5AEC7013}"/>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529B-4F7B-93AE-9CEF5AEC7013}"/>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529B-4F7B-93AE-9CEF5AEC7013}"/>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529B-4F7B-93AE-9CEF5AEC7013}"/>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9B-4F7B-93AE-9CEF5AEC7013}"/>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9B-4F7B-93AE-9CEF5AEC7013}"/>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9B-4F7B-93AE-9CEF5AEC7013}"/>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09-529B-4F7B-93AE-9CEF5AEC7013}"/>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529B-4F7B-93AE-9CEF5AEC7013}"/>
                </c:ext>
              </c:extLst>
            </c:dLbl>
            <c:dLbl>
              <c:idx val="2"/>
              <c:delete val="1"/>
              <c:extLst>
                <c:ext xmlns:c15="http://schemas.microsoft.com/office/drawing/2012/chart" uri="{CE6537A1-D6FC-4f65-9D91-7224C49458BB}"/>
                <c:ext xmlns:c16="http://schemas.microsoft.com/office/drawing/2014/chart" uri="{C3380CC4-5D6E-409C-BE32-E72D297353CC}">
                  <c16:uniqueId val="{0000000B-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0C-529B-4F7B-93AE-9CEF5AEC7013}"/>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529B-4F7B-93AE-9CEF5AEC7013}"/>
                </c:ext>
              </c:extLst>
            </c:dLbl>
            <c:dLbl>
              <c:idx val="2"/>
              <c:delete val="1"/>
              <c:extLst>
                <c:ext xmlns:c15="http://schemas.microsoft.com/office/drawing/2012/chart" uri="{CE6537A1-D6FC-4f65-9D91-7224C49458BB}"/>
                <c:ext xmlns:c16="http://schemas.microsoft.com/office/drawing/2014/chart" uri="{C3380CC4-5D6E-409C-BE32-E72D297353CC}">
                  <c16:uniqueId val="{0000000E-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0F-529B-4F7B-93AE-9CEF5AEC7013}"/>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529B-4F7B-93AE-9CEF5AEC7013}"/>
                </c:ext>
              </c:extLst>
            </c:dLbl>
            <c:dLbl>
              <c:idx val="2"/>
              <c:delete val="1"/>
              <c:extLst>
                <c:ext xmlns:c15="http://schemas.microsoft.com/office/drawing/2012/chart" uri="{CE6537A1-D6FC-4f65-9D91-7224C49458BB}"/>
                <c:ext xmlns:c16="http://schemas.microsoft.com/office/drawing/2014/chart" uri="{C3380CC4-5D6E-409C-BE32-E72D297353CC}">
                  <c16:uniqueId val="{00000011-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12-529B-4F7B-93AE-9CEF5AEC7013}"/>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529B-4F7B-93AE-9CEF5AEC7013}"/>
                </c:ext>
              </c:extLst>
            </c:dLbl>
            <c:dLbl>
              <c:idx val="2"/>
              <c:delete val="1"/>
              <c:extLst>
                <c:ext xmlns:c15="http://schemas.microsoft.com/office/drawing/2012/chart" uri="{CE6537A1-D6FC-4f65-9D91-7224C49458BB}"/>
                <c:ext xmlns:c16="http://schemas.microsoft.com/office/drawing/2014/chart" uri="{C3380CC4-5D6E-409C-BE32-E72D297353CC}">
                  <c16:uniqueId val="{00000014-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15-529B-4F7B-93AE-9CEF5AEC7013}"/>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529B-4F7B-93AE-9CEF5AEC7013}"/>
                </c:ext>
              </c:extLst>
            </c:dLbl>
            <c:dLbl>
              <c:idx val="2"/>
              <c:delete val="1"/>
              <c:extLst>
                <c:ext xmlns:c15="http://schemas.microsoft.com/office/drawing/2012/chart" uri="{CE6537A1-D6FC-4f65-9D91-7224C49458BB}"/>
                <c:ext xmlns:c16="http://schemas.microsoft.com/office/drawing/2014/chart" uri="{C3380CC4-5D6E-409C-BE32-E72D297353CC}">
                  <c16:uniqueId val="{00000017-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18-529B-4F7B-93AE-9CEF5AEC7013}"/>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529B-4F7B-93AE-9CEF5AEC7013}"/>
                </c:ext>
              </c:extLst>
            </c:dLbl>
            <c:dLbl>
              <c:idx val="2"/>
              <c:delete val="1"/>
              <c:extLst>
                <c:ext xmlns:c15="http://schemas.microsoft.com/office/drawing/2012/chart" uri="{CE6537A1-D6FC-4f65-9D91-7224C49458BB}"/>
                <c:ext xmlns:c16="http://schemas.microsoft.com/office/drawing/2014/chart" uri="{C3380CC4-5D6E-409C-BE32-E72D297353CC}">
                  <c16:uniqueId val="{0000001A-529B-4F7B-93AE-9CEF5AEC7013}"/>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1B-529B-4F7B-93AE-9CEF5AEC7013}"/>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1C-529B-4F7B-93AE-9CEF5AEC7013}"/>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'6O''C-OS'!#REF!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'6O''C-OS'!#REF!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'6O''C-OS'!#REF!</c15:sqref>
                        </c15:formulaRef>
                      </c:ext>
                    </c:extLst>
                    <c:strCache>
                      <c:ptCount val="1"/>
                      <c:pt idx="0">
                        <c:v>#REF!</c:v>
                      </c:pt>
                    </c:strCache>
                  </c:strRef>
                </c15:cat>
              </c15:filteredCategoryTitle>
            </c:ext>
            <c:ext xmlns:c16="http://schemas.microsoft.com/office/drawing/2014/chart" uri="{C3380CC4-5D6E-409C-BE32-E72D297353CC}">
              <c16:uniqueId val="{0000001D-529B-4F7B-93AE-9CEF5AEC7013}"/>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'6O''C-OS'!#REF!</c:f>
              <c:numCache>
                <c:formatCode>General</c:formatCode>
                <c:ptCount val="1"/>
                <c:pt idx="0">
                  <c:v>1</c:v>
                </c:pt>
              </c:numCache>
            </c:numRef>
          </c:val>
          <c:smooth val="0"/>
          <c:extLst>
            <c:ext xmlns:c16="http://schemas.microsoft.com/office/drawing/2014/chart" uri="{C3380CC4-5D6E-409C-BE32-E72D297353CC}">
              <c16:uniqueId val="{0000001E-529B-4F7B-93AE-9CEF5AEC7013}"/>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6027-4B1B-BFB6-77C7690ABDC7}"/>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6027-4B1B-BFB6-77C7690ABDC7}"/>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6027-4B1B-BFB6-77C7690ABDC7}"/>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6027-4B1B-BFB6-77C7690ABDC7}"/>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6027-4B1B-BFB6-77C7690ABDC7}"/>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27-4B1B-BFB6-77C7690ABDC7}"/>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27-4B1B-BFB6-77C7690ABDC7}"/>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27-4B1B-BFB6-77C7690ABDC7}"/>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09-6027-4B1B-BFB6-77C7690ABDC7}"/>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6027-4B1B-BFB6-77C7690ABDC7}"/>
                </c:ext>
              </c:extLst>
            </c:dLbl>
            <c:dLbl>
              <c:idx val="2"/>
              <c:delete val="1"/>
              <c:extLst>
                <c:ext xmlns:c15="http://schemas.microsoft.com/office/drawing/2012/chart" uri="{CE6537A1-D6FC-4f65-9D91-7224C49458BB}"/>
                <c:ext xmlns:c16="http://schemas.microsoft.com/office/drawing/2014/chart" uri="{C3380CC4-5D6E-409C-BE32-E72D297353CC}">
                  <c16:uniqueId val="{0000000B-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0C-6027-4B1B-BFB6-77C7690ABDC7}"/>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6027-4B1B-BFB6-77C7690ABDC7}"/>
                </c:ext>
              </c:extLst>
            </c:dLbl>
            <c:dLbl>
              <c:idx val="2"/>
              <c:delete val="1"/>
              <c:extLst>
                <c:ext xmlns:c15="http://schemas.microsoft.com/office/drawing/2012/chart" uri="{CE6537A1-D6FC-4f65-9D91-7224C49458BB}"/>
                <c:ext xmlns:c16="http://schemas.microsoft.com/office/drawing/2014/chart" uri="{C3380CC4-5D6E-409C-BE32-E72D297353CC}">
                  <c16:uniqueId val="{0000000E-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0F-6027-4B1B-BFB6-77C7690ABDC7}"/>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6027-4B1B-BFB6-77C7690ABDC7}"/>
                </c:ext>
              </c:extLst>
            </c:dLbl>
            <c:dLbl>
              <c:idx val="2"/>
              <c:delete val="1"/>
              <c:extLst>
                <c:ext xmlns:c15="http://schemas.microsoft.com/office/drawing/2012/chart" uri="{CE6537A1-D6FC-4f65-9D91-7224C49458BB}"/>
                <c:ext xmlns:c16="http://schemas.microsoft.com/office/drawing/2014/chart" uri="{C3380CC4-5D6E-409C-BE32-E72D297353CC}">
                  <c16:uniqueId val="{00000011-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12-6027-4B1B-BFB6-77C7690ABDC7}"/>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6027-4B1B-BFB6-77C7690ABDC7}"/>
                </c:ext>
              </c:extLst>
            </c:dLbl>
            <c:dLbl>
              <c:idx val="2"/>
              <c:delete val="1"/>
              <c:extLst>
                <c:ext xmlns:c15="http://schemas.microsoft.com/office/drawing/2012/chart" uri="{CE6537A1-D6FC-4f65-9D91-7224C49458BB}"/>
                <c:ext xmlns:c16="http://schemas.microsoft.com/office/drawing/2014/chart" uri="{C3380CC4-5D6E-409C-BE32-E72D297353CC}">
                  <c16:uniqueId val="{00000014-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15-6027-4B1B-BFB6-77C7690ABDC7}"/>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6027-4B1B-BFB6-77C7690ABDC7}"/>
                </c:ext>
              </c:extLst>
            </c:dLbl>
            <c:dLbl>
              <c:idx val="2"/>
              <c:delete val="1"/>
              <c:extLst>
                <c:ext xmlns:c15="http://schemas.microsoft.com/office/drawing/2012/chart" uri="{CE6537A1-D6FC-4f65-9D91-7224C49458BB}"/>
                <c:ext xmlns:c16="http://schemas.microsoft.com/office/drawing/2014/chart" uri="{C3380CC4-5D6E-409C-BE32-E72D297353CC}">
                  <c16:uniqueId val="{00000017-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18-6027-4B1B-BFB6-77C7690ABDC7}"/>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6027-4B1B-BFB6-77C7690ABDC7}"/>
                </c:ext>
              </c:extLst>
            </c:dLbl>
            <c:dLbl>
              <c:idx val="2"/>
              <c:delete val="1"/>
              <c:extLst>
                <c:ext xmlns:c15="http://schemas.microsoft.com/office/drawing/2012/chart" uri="{CE6537A1-D6FC-4f65-9D91-7224C49458BB}"/>
                <c:ext xmlns:c16="http://schemas.microsoft.com/office/drawing/2014/chart" uri="{C3380CC4-5D6E-409C-BE32-E72D297353CC}">
                  <c16:uniqueId val="{0000001A-6027-4B1B-BFB6-77C7690ABDC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1B-6027-4B1B-BFB6-77C7690ABDC7}"/>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1C-6027-4B1B-BFB6-77C7690ABDC7}"/>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'179T-OS'!#REF!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'179T-OS'!#REF!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'179T-OS'!#REF!</c15:sqref>
                        </c15:formulaRef>
                      </c:ext>
                    </c:extLst>
                    <c:strCache>
                      <c:ptCount val="1"/>
                      <c:pt idx="0">
                        <c:v>#REF!</c:v>
                      </c:pt>
                    </c:strCache>
                  </c:strRef>
                </c15:cat>
              </c15:filteredCategoryTitle>
            </c:ext>
            <c:ext xmlns:c16="http://schemas.microsoft.com/office/drawing/2014/chart" uri="{C3380CC4-5D6E-409C-BE32-E72D297353CC}">
              <c16:uniqueId val="{0000001D-6027-4B1B-BFB6-77C7690ABDC7}"/>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'179T-OS'!#REF!</c:f>
              <c:numCache>
                <c:formatCode>General</c:formatCode>
                <c:ptCount val="1"/>
                <c:pt idx="0">
                  <c:v>1</c:v>
                </c:pt>
              </c:numCache>
            </c:numRef>
          </c:val>
          <c:smooth val="0"/>
          <c:extLst>
            <c:ext xmlns:c16="http://schemas.microsoft.com/office/drawing/2014/chart" uri="{C3380CC4-5D6E-409C-BE32-E72D297353CC}">
              <c16:uniqueId val="{0000001E-6027-4B1B-BFB6-77C7690ABDC7}"/>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A5D5-423A-9A15-FDA90DF62F15}"/>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A5D5-423A-9A15-FDA90DF62F15}"/>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A5D5-423A-9A15-FDA90DF62F15}"/>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A5D5-423A-9A15-FDA90DF62F15}"/>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A5D5-423A-9A15-FDA90DF62F15}"/>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5D5-423A-9A15-FDA90DF62F15}"/>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5D5-423A-9A15-FDA90DF62F15}"/>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5D5-423A-9A15-FDA90DF62F15}"/>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09-A5D5-423A-9A15-FDA90DF62F15}"/>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A5D5-423A-9A15-FDA90DF62F15}"/>
                </c:ext>
              </c:extLst>
            </c:dLbl>
            <c:dLbl>
              <c:idx val="2"/>
              <c:delete val="1"/>
              <c:extLst>
                <c:ext xmlns:c15="http://schemas.microsoft.com/office/drawing/2012/chart" uri="{CE6537A1-D6FC-4f65-9D91-7224C49458BB}"/>
                <c:ext xmlns:c16="http://schemas.microsoft.com/office/drawing/2014/chart" uri="{C3380CC4-5D6E-409C-BE32-E72D297353CC}">
                  <c16:uniqueId val="{0000000B-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0C-A5D5-423A-9A15-FDA90DF62F15}"/>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A5D5-423A-9A15-FDA90DF62F15}"/>
                </c:ext>
              </c:extLst>
            </c:dLbl>
            <c:dLbl>
              <c:idx val="2"/>
              <c:delete val="1"/>
              <c:extLst>
                <c:ext xmlns:c15="http://schemas.microsoft.com/office/drawing/2012/chart" uri="{CE6537A1-D6FC-4f65-9D91-7224C49458BB}"/>
                <c:ext xmlns:c16="http://schemas.microsoft.com/office/drawing/2014/chart" uri="{C3380CC4-5D6E-409C-BE32-E72D297353CC}">
                  <c16:uniqueId val="{0000000E-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0F-A5D5-423A-9A15-FDA90DF62F15}"/>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A5D5-423A-9A15-FDA90DF62F15}"/>
                </c:ext>
              </c:extLst>
            </c:dLbl>
            <c:dLbl>
              <c:idx val="2"/>
              <c:delete val="1"/>
              <c:extLst>
                <c:ext xmlns:c15="http://schemas.microsoft.com/office/drawing/2012/chart" uri="{CE6537A1-D6FC-4f65-9D91-7224C49458BB}"/>
                <c:ext xmlns:c16="http://schemas.microsoft.com/office/drawing/2014/chart" uri="{C3380CC4-5D6E-409C-BE32-E72D297353CC}">
                  <c16:uniqueId val="{00000011-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12-A5D5-423A-9A15-FDA90DF62F15}"/>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A5D5-423A-9A15-FDA90DF62F15}"/>
                </c:ext>
              </c:extLst>
            </c:dLbl>
            <c:dLbl>
              <c:idx val="2"/>
              <c:delete val="1"/>
              <c:extLst>
                <c:ext xmlns:c15="http://schemas.microsoft.com/office/drawing/2012/chart" uri="{CE6537A1-D6FC-4f65-9D91-7224C49458BB}"/>
                <c:ext xmlns:c16="http://schemas.microsoft.com/office/drawing/2014/chart" uri="{C3380CC4-5D6E-409C-BE32-E72D297353CC}">
                  <c16:uniqueId val="{00000014-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15-A5D5-423A-9A15-FDA90DF62F15}"/>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A5D5-423A-9A15-FDA90DF62F15}"/>
                </c:ext>
              </c:extLst>
            </c:dLbl>
            <c:dLbl>
              <c:idx val="2"/>
              <c:delete val="1"/>
              <c:extLst>
                <c:ext xmlns:c15="http://schemas.microsoft.com/office/drawing/2012/chart" uri="{CE6537A1-D6FC-4f65-9D91-7224C49458BB}"/>
                <c:ext xmlns:c16="http://schemas.microsoft.com/office/drawing/2014/chart" uri="{C3380CC4-5D6E-409C-BE32-E72D297353CC}">
                  <c16:uniqueId val="{00000017-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18-A5D5-423A-9A15-FDA90DF62F15}"/>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A5D5-423A-9A15-FDA90DF62F15}"/>
                </c:ext>
              </c:extLst>
            </c:dLbl>
            <c:dLbl>
              <c:idx val="2"/>
              <c:delete val="1"/>
              <c:extLst>
                <c:ext xmlns:c15="http://schemas.microsoft.com/office/drawing/2012/chart" uri="{CE6537A1-D6FC-4f65-9D91-7224C49458BB}"/>
                <c:ext xmlns:c16="http://schemas.microsoft.com/office/drawing/2014/chart" uri="{C3380CC4-5D6E-409C-BE32-E72D297353CC}">
                  <c16:uniqueId val="{0000001A-A5D5-423A-9A15-FDA90DF62F1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1B-A5D5-423A-9A15-FDA90DF62F15}"/>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1C-A5D5-423A-9A15-FDA90DF62F15}"/>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'259Q-OS'!#REF!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'259Q-OS'!#REF!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'259Q-OS'!#REF!</c15:sqref>
                        </c15:formulaRef>
                      </c:ext>
                    </c:extLst>
                    <c:strCache>
                      <c:ptCount val="1"/>
                      <c:pt idx="0">
                        <c:v>#REF!</c:v>
                      </c:pt>
                    </c:strCache>
                  </c:strRef>
                </c15:cat>
              </c15:filteredCategoryTitle>
            </c:ext>
            <c:ext xmlns:c16="http://schemas.microsoft.com/office/drawing/2014/chart" uri="{C3380CC4-5D6E-409C-BE32-E72D297353CC}">
              <c16:uniqueId val="{0000001D-A5D5-423A-9A15-FDA90DF62F15}"/>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'259Q-OS'!#REF!</c:f>
              <c:numCache>
                <c:formatCode>General</c:formatCode>
                <c:ptCount val="1"/>
                <c:pt idx="0">
                  <c:v>1</c:v>
                </c:pt>
              </c:numCache>
            </c:numRef>
          </c:val>
          <c:smooth val="0"/>
          <c:extLst>
            <c:ext xmlns:c16="http://schemas.microsoft.com/office/drawing/2014/chart" uri="{C3380CC4-5D6E-409C-BE32-E72D297353CC}">
              <c16:uniqueId val="{0000001E-A5D5-423A-9A15-FDA90DF62F15}"/>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4D17-4877-9B87-C586F88F8D98}"/>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4D17-4877-9B87-C586F88F8D98}"/>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4D17-4877-9B87-C586F88F8D98}"/>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4D17-4877-9B87-C586F88F8D98}"/>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4D17-4877-9B87-C586F88F8D98}"/>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D17-4877-9B87-C586F88F8D98}"/>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17-4877-9B87-C586F88F8D98}"/>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D17-4877-9B87-C586F88F8D98}"/>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09-4D17-4877-9B87-C586F88F8D98}"/>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4D17-4877-9B87-C586F88F8D98}"/>
                </c:ext>
              </c:extLst>
            </c:dLbl>
            <c:dLbl>
              <c:idx val="2"/>
              <c:delete val="1"/>
              <c:extLst>
                <c:ext xmlns:c15="http://schemas.microsoft.com/office/drawing/2012/chart" uri="{CE6537A1-D6FC-4f65-9D91-7224C49458BB}"/>
                <c:ext xmlns:c16="http://schemas.microsoft.com/office/drawing/2014/chart" uri="{C3380CC4-5D6E-409C-BE32-E72D297353CC}">
                  <c16:uniqueId val="{0000000B-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0C-4D17-4877-9B87-C586F88F8D98}"/>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4D17-4877-9B87-C586F88F8D98}"/>
                </c:ext>
              </c:extLst>
            </c:dLbl>
            <c:dLbl>
              <c:idx val="2"/>
              <c:delete val="1"/>
              <c:extLst>
                <c:ext xmlns:c15="http://schemas.microsoft.com/office/drawing/2012/chart" uri="{CE6537A1-D6FC-4f65-9D91-7224C49458BB}"/>
                <c:ext xmlns:c16="http://schemas.microsoft.com/office/drawing/2014/chart" uri="{C3380CC4-5D6E-409C-BE32-E72D297353CC}">
                  <c16:uniqueId val="{0000000E-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0F-4D17-4877-9B87-C586F88F8D98}"/>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4D17-4877-9B87-C586F88F8D98}"/>
                </c:ext>
              </c:extLst>
            </c:dLbl>
            <c:dLbl>
              <c:idx val="2"/>
              <c:delete val="1"/>
              <c:extLst>
                <c:ext xmlns:c15="http://schemas.microsoft.com/office/drawing/2012/chart" uri="{CE6537A1-D6FC-4f65-9D91-7224C49458BB}"/>
                <c:ext xmlns:c16="http://schemas.microsoft.com/office/drawing/2014/chart" uri="{C3380CC4-5D6E-409C-BE32-E72D297353CC}">
                  <c16:uniqueId val="{00000011-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12-4D17-4877-9B87-C586F88F8D98}"/>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4D17-4877-9B87-C586F88F8D98}"/>
                </c:ext>
              </c:extLst>
            </c:dLbl>
            <c:dLbl>
              <c:idx val="2"/>
              <c:delete val="1"/>
              <c:extLst>
                <c:ext xmlns:c15="http://schemas.microsoft.com/office/drawing/2012/chart" uri="{CE6537A1-D6FC-4f65-9D91-7224C49458BB}"/>
                <c:ext xmlns:c16="http://schemas.microsoft.com/office/drawing/2014/chart" uri="{C3380CC4-5D6E-409C-BE32-E72D297353CC}">
                  <c16:uniqueId val="{00000014-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15-4D17-4877-9B87-C586F88F8D98}"/>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4D17-4877-9B87-C586F88F8D98}"/>
                </c:ext>
              </c:extLst>
            </c:dLbl>
            <c:dLbl>
              <c:idx val="2"/>
              <c:delete val="1"/>
              <c:extLst>
                <c:ext xmlns:c15="http://schemas.microsoft.com/office/drawing/2012/chart" uri="{CE6537A1-D6FC-4f65-9D91-7224C49458BB}"/>
                <c:ext xmlns:c16="http://schemas.microsoft.com/office/drawing/2014/chart" uri="{C3380CC4-5D6E-409C-BE32-E72D297353CC}">
                  <c16:uniqueId val="{00000017-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18-4D17-4877-9B87-C586F88F8D98}"/>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4D17-4877-9B87-C586F88F8D98}"/>
                </c:ext>
              </c:extLst>
            </c:dLbl>
            <c:dLbl>
              <c:idx val="2"/>
              <c:delete val="1"/>
              <c:extLst>
                <c:ext xmlns:c15="http://schemas.microsoft.com/office/drawing/2012/chart" uri="{CE6537A1-D6FC-4f65-9D91-7224C49458BB}"/>
                <c:ext xmlns:c16="http://schemas.microsoft.com/office/drawing/2014/chart" uri="{C3380CC4-5D6E-409C-BE32-E72D297353CC}">
                  <c16:uniqueId val="{0000001A-4D17-4877-9B87-C586F88F8D98}"/>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1B-4D17-4877-9B87-C586F88F8D98}"/>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1C-4D17-4877-9B87-C586F88F8D98}"/>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'120C-OS'!#REF!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'120C-OS'!#REF!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'120C-OS'!#REF!</c15:sqref>
                        </c15:formulaRef>
                      </c:ext>
                    </c:extLst>
                    <c:strCache>
                      <c:ptCount val="1"/>
                      <c:pt idx="0">
                        <c:v>#REF!</c:v>
                      </c:pt>
                    </c:strCache>
                  </c:strRef>
                </c15:cat>
              </c15:filteredCategoryTitle>
            </c:ext>
            <c:ext xmlns:c16="http://schemas.microsoft.com/office/drawing/2014/chart" uri="{C3380CC4-5D6E-409C-BE32-E72D297353CC}">
              <c16:uniqueId val="{0000001D-4D17-4877-9B87-C586F88F8D98}"/>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'120C-OS'!#REF!</c:f>
              <c:numCache>
                <c:formatCode>General</c:formatCode>
                <c:ptCount val="1"/>
                <c:pt idx="0">
                  <c:v>1</c:v>
                </c:pt>
              </c:numCache>
            </c:numRef>
          </c:val>
          <c:smooth val="0"/>
          <c:extLst>
            <c:ext xmlns:c16="http://schemas.microsoft.com/office/drawing/2014/chart" uri="{C3380CC4-5D6E-409C-BE32-E72D297353CC}">
              <c16:uniqueId val="{0000001E-4D17-4877-9B87-C586F88F8D98}"/>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4377-4599-973B-27D5D6CC002E}"/>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4377-4599-973B-27D5D6CC002E}"/>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4377-4599-973B-27D5D6CC002E}"/>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4377-4599-973B-27D5D6CC002E}"/>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4377-4599-973B-27D5D6CC002E}"/>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377-4599-973B-27D5D6CC002E}"/>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77-4599-973B-27D5D6CC002E}"/>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377-4599-973B-27D5D6CC002E}"/>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09-4377-4599-973B-27D5D6CC002E}"/>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4377-4599-973B-27D5D6CC002E}"/>
                </c:ext>
              </c:extLst>
            </c:dLbl>
            <c:dLbl>
              <c:idx val="2"/>
              <c:delete val="1"/>
              <c:extLst>
                <c:ext xmlns:c15="http://schemas.microsoft.com/office/drawing/2012/chart" uri="{CE6537A1-D6FC-4f65-9D91-7224C49458BB}"/>
                <c:ext xmlns:c16="http://schemas.microsoft.com/office/drawing/2014/chart" uri="{C3380CC4-5D6E-409C-BE32-E72D297353CC}">
                  <c16:uniqueId val="{0000000B-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0C-4377-4599-973B-27D5D6CC002E}"/>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4377-4599-973B-27D5D6CC002E}"/>
                </c:ext>
              </c:extLst>
            </c:dLbl>
            <c:dLbl>
              <c:idx val="2"/>
              <c:delete val="1"/>
              <c:extLst>
                <c:ext xmlns:c15="http://schemas.microsoft.com/office/drawing/2012/chart" uri="{CE6537A1-D6FC-4f65-9D91-7224C49458BB}"/>
                <c:ext xmlns:c16="http://schemas.microsoft.com/office/drawing/2014/chart" uri="{C3380CC4-5D6E-409C-BE32-E72D297353CC}">
                  <c16:uniqueId val="{0000000E-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0F-4377-4599-973B-27D5D6CC002E}"/>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4377-4599-973B-27D5D6CC002E}"/>
                </c:ext>
              </c:extLst>
            </c:dLbl>
            <c:dLbl>
              <c:idx val="2"/>
              <c:delete val="1"/>
              <c:extLst>
                <c:ext xmlns:c15="http://schemas.microsoft.com/office/drawing/2012/chart" uri="{CE6537A1-D6FC-4f65-9D91-7224C49458BB}"/>
                <c:ext xmlns:c16="http://schemas.microsoft.com/office/drawing/2014/chart" uri="{C3380CC4-5D6E-409C-BE32-E72D297353CC}">
                  <c16:uniqueId val="{00000011-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12-4377-4599-973B-27D5D6CC002E}"/>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4377-4599-973B-27D5D6CC002E}"/>
                </c:ext>
              </c:extLst>
            </c:dLbl>
            <c:dLbl>
              <c:idx val="2"/>
              <c:delete val="1"/>
              <c:extLst>
                <c:ext xmlns:c15="http://schemas.microsoft.com/office/drawing/2012/chart" uri="{CE6537A1-D6FC-4f65-9D91-7224C49458BB}"/>
                <c:ext xmlns:c16="http://schemas.microsoft.com/office/drawing/2014/chart" uri="{C3380CC4-5D6E-409C-BE32-E72D297353CC}">
                  <c16:uniqueId val="{00000014-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15-4377-4599-973B-27D5D6CC002E}"/>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4377-4599-973B-27D5D6CC002E}"/>
                </c:ext>
              </c:extLst>
            </c:dLbl>
            <c:dLbl>
              <c:idx val="2"/>
              <c:delete val="1"/>
              <c:extLst>
                <c:ext xmlns:c15="http://schemas.microsoft.com/office/drawing/2012/chart" uri="{CE6537A1-D6FC-4f65-9D91-7224C49458BB}"/>
                <c:ext xmlns:c16="http://schemas.microsoft.com/office/drawing/2014/chart" uri="{C3380CC4-5D6E-409C-BE32-E72D297353CC}">
                  <c16:uniqueId val="{00000017-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18-4377-4599-973B-27D5D6CC002E}"/>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4377-4599-973B-27D5D6CC002E}"/>
                </c:ext>
              </c:extLst>
            </c:dLbl>
            <c:dLbl>
              <c:idx val="2"/>
              <c:delete val="1"/>
              <c:extLst>
                <c:ext xmlns:c15="http://schemas.microsoft.com/office/drawing/2012/chart" uri="{CE6537A1-D6FC-4f65-9D91-7224C49458BB}"/>
                <c:ext xmlns:c16="http://schemas.microsoft.com/office/drawing/2014/chart" uri="{C3380CC4-5D6E-409C-BE32-E72D297353CC}">
                  <c16:uniqueId val="{0000001A-4377-4599-973B-27D5D6CC002E}"/>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1B-4377-4599-973B-27D5D6CC002E}"/>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1C-4377-4599-973B-27D5D6CC002E}"/>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'567C-OS'!#REF!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'567C-OS'!#REF!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'567C-OS'!#REF!</c15:sqref>
                        </c15:formulaRef>
                      </c:ext>
                    </c:extLst>
                    <c:strCache>
                      <c:ptCount val="1"/>
                      <c:pt idx="0">
                        <c:v>#REF!</c:v>
                      </c:pt>
                    </c:strCache>
                  </c:strRef>
                </c15:cat>
              </c15:filteredCategoryTitle>
            </c:ext>
            <c:ext xmlns:c16="http://schemas.microsoft.com/office/drawing/2014/chart" uri="{C3380CC4-5D6E-409C-BE32-E72D297353CC}">
              <c16:uniqueId val="{0000001D-4377-4599-973B-27D5D6CC002E}"/>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'567C-OS'!#REF!</c:f>
              <c:numCache>
                <c:formatCode>General</c:formatCode>
                <c:ptCount val="1"/>
                <c:pt idx="0">
                  <c:v>1</c:v>
                </c:pt>
              </c:numCache>
            </c:numRef>
          </c:val>
          <c:smooth val="0"/>
          <c:extLst>
            <c:ext xmlns:c16="http://schemas.microsoft.com/office/drawing/2014/chart" uri="{C3380CC4-5D6E-409C-BE32-E72D297353CC}">
              <c16:uniqueId val="{0000001E-4377-4599-973B-27D5D6CC002E}"/>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1036-4DB6-B6E7-C2ED604C554B}"/>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1036-4DB6-B6E7-C2ED604C554B}"/>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1036-4DB6-B6E7-C2ED604C554B}"/>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1036-4DB6-B6E7-C2ED604C554B}"/>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1036-4DB6-B6E7-C2ED604C554B}"/>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036-4DB6-B6E7-C2ED604C554B}"/>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36-4DB6-B6E7-C2ED604C554B}"/>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036-4DB6-B6E7-C2ED604C554B}"/>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09-1036-4DB6-B6E7-C2ED604C554B}"/>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1036-4DB6-B6E7-C2ED604C554B}"/>
                </c:ext>
              </c:extLst>
            </c:dLbl>
            <c:dLbl>
              <c:idx val="2"/>
              <c:delete val="1"/>
              <c:extLst>
                <c:ext xmlns:c15="http://schemas.microsoft.com/office/drawing/2012/chart" uri="{CE6537A1-D6FC-4f65-9D91-7224C49458BB}"/>
                <c:ext xmlns:c16="http://schemas.microsoft.com/office/drawing/2014/chart" uri="{C3380CC4-5D6E-409C-BE32-E72D297353CC}">
                  <c16:uniqueId val="{0000000B-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0C-1036-4DB6-B6E7-C2ED604C554B}"/>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1036-4DB6-B6E7-C2ED604C554B}"/>
                </c:ext>
              </c:extLst>
            </c:dLbl>
            <c:dLbl>
              <c:idx val="2"/>
              <c:delete val="1"/>
              <c:extLst>
                <c:ext xmlns:c15="http://schemas.microsoft.com/office/drawing/2012/chart" uri="{CE6537A1-D6FC-4f65-9D91-7224C49458BB}"/>
                <c:ext xmlns:c16="http://schemas.microsoft.com/office/drawing/2014/chart" uri="{C3380CC4-5D6E-409C-BE32-E72D297353CC}">
                  <c16:uniqueId val="{0000000E-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0F-1036-4DB6-B6E7-C2ED604C554B}"/>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1036-4DB6-B6E7-C2ED604C554B}"/>
                </c:ext>
              </c:extLst>
            </c:dLbl>
            <c:dLbl>
              <c:idx val="2"/>
              <c:delete val="1"/>
              <c:extLst>
                <c:ext xmlns:c15="http://schemas.microsoft.com/office/drawing/2012/chart" uri="{CE6537A1-D6FC-4f65-9D91-7224C49458BB}"/>
                <c:ext xmlns:c16="http://schemas.microsoft.com/office/drawing/2014/chart" uri="{C3380CC4-5D6E-409C-BE32-E72D297353CC}">
                  <c16:uniqueId val="{00000011-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12-1036-4DB6-B6E7-C2ED604C554B}"/>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1036-4DB6-B6E7-C2ED604C554B}"/>
                </c:ext>
              </c:extLst>
            </c:dLbl>
            <c:dLbl>
              <c:idx val="2"/>
              <c:delete val="1"/>
              <c:extLst>
                <c:ext xmlns:c15="http://schemas.microsoft.com/office/drawing/2012/chart" uri="{CE6537A1-D6FC-4f65-9D91-7224C49458BB}"/>
                <c:ext xmlns:c16="http://schemas.microsoft.com/office/drawing/2014/chart" uri="{C3380CC4-5D6E-409C-BE32-E72D297353CC}">
                  <c16:uniqueId val="{00000014-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15-1036-4DB6-B6E7-C2ED604C554B}"/>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1036-4DB6-B6E7-C2ED604C554B}"/>
                </c:ext>
              </c:extLst>
            </c:dLbl>
            <c:dLbl>
              <c:idx val="2"/>
              <c:delete val="1"/>
              <c:extLst>
                <c:ext xmlns:c15="http://schemas.microsoft.com/office/drawing/2012/chart" uri="{CE6537A1-D6FC-4f65-9D91-7224C49458BB}"/>
                <c:ext xmlns:c16="http://schemas.microsoft.com/office/drawing/2014/chart" uri="{C3380CC4-5D6E-409C-BE32-E72D297353CC}">
                  <c16:uniqueId val="{00000017-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18-1036-4DB6-B6E7-C2ED604C554B}"/>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1036-4DB6-B6E7-C2ED604C554B}"/>
                </c:ext>
              </c:extLst>
            </c:dLbl>
            <c:dLbl>
              <c:idx val="2"/>
              <c:delete val="1"/>
              <c:extLst>
                <c:ext xmlns:c15="http://schemas.microsoft.com/office/drawing/2012/chart" uri="{CE6537A1-D6FC-4f65-9D91-7224C49458BB}"/>
                <c:ext xmlns:c16="http://schemas.microsoft.com/office/drawing/2014/chart" uri="{C3380CC4-5D6E-409C-BE32-E72D297353CC}">
                  <c16:uniqueId val="{0000001A-1036-4DB6-B6E7-C2ED604C554B}"/>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1B-1036-4DB6-B6E7-C2ED604C554B}"/>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1C-1036-4DB6-B6E7-C2ED604C554B}"/>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'575B-OS'!#REF!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'575B-OS'!#REF!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'575B-OS'!#REF!</c15:sqref>
                        </c15:formulaRef>
                      </c:ext>
                    </c:extLst>
                    <c:strCache>
                      <c:ptCount val="1"/>
                      <c:pt idx="0">
                        <c:v>#REF!</c:v>
                      </c:pt>
                    </c:strCache>
                  </c:strRef>
                </c15:cat>
              </c15:filteredCategoryTitle>
            </c:ext>
            <c:ext xmlns:c16="http://schemas.microsoft.com/office/drawing/2014/chart" uri="{C3380CC4-5D6E-409C-BE32-E72D297353CC}">
              <c16:uniqueId val="{0000001D-1036-4DB6-B6E7-C2ED604C554B}"/>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'575B-OS'!#REF!</c:f>
              <c:numCache>
                <c:formatCode>General</c:formatCode>
                <c:ptCount val="1"/>
                <c:pt idx="0">
                  <c:v>1</c:v>
                </c:pt>
              </c:numCache>
            </c:numRef>
          </c:val>
          <c:smooth val="0"/>
          <c:extLst>
            <c:ext xmlns:c16="http://schemas.microsoft.com/office/drawing/2014/chart" uri="{C3380CC4-5D6E-409C-BE32-E72D297353CC}">
              <c16:uniqueId val="{0000001E-1036-4DB6-B6E7-C2ED604C554B}"/>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AU" sz="1400">
                <a:latin typeface="Times New Roman" panose="02020603050405020304" pitchFamily="18" charset="0"/>
                <a:cs typeface="Times New Roman" panose="02020603050405020304" pitchFamily="18" charset="0"/>
              </a:rPr>
              <a:t>NABERS Energy</a:t>
            </a:r>
            <a:r>
              <a:rPr lang="en-AU" sz="1400" baseline="0">
                <a:latin typeface="Times New Roman" panose="02020603050405020304" pitchFamily="18" charset="0"/>
                <a:cs typeface="Times New Roman" panose="02020603050405020304" pitchFamily="18" charset="0"/>
              </a:rPr>
              <a:t> </a:t>
            </a:r>
            <a:endParaRPr lang="en-AU" sz="1400">
              <a:latin typeface="Times New Roman" panose="02020603050405020304" pitchFamily="18" charset="0"/>
              <a:cs typeface="Times New Roman" panose="02020603050405020304" pitchFamily="18" charset="0"/>
            </a:endParaRPr>
          </a:p>
        </c:rich>
      </c:tx>
      <c:layout>
        <c:manualLayout>
          <c:xMode val="edge"/>
          <c:yMode val="edge"/>
          <c:x val="8.9241230322504271E-3"/>
          <c:y val="1.84758414609631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lineChart>
        <c:grouping val="standard"/>
        <c:varyColors val="0"/>
        <c:ser>
          <c:idx val="1"/>
          <c:order val="0"/>
          <c:tx>
            <c:strRef>
              <c:f>'QV1-NR'!$E$56</c:f>
              <c:strCache>
                <c:ptCount val="1"/>
                <c:pt idx="0">
                  <c:v>QV1</c:v>
                </c:pt>
              </c:strCache>
            </c:strRef>
          </c:tx>
          <c:spPr>
            <a:ln w="28575" cap="rnd">
              <a:solidFill>
                <a:schemeClr val="accent2"/>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9237-4560-8BAA-1FA5EFDEF837}"/>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9237-4560-8BAA-1FA5EFDEF837}"/>
                </c:ext>
              </c:extLst>
            </c:dLbl>
            <c:dLbl>
              <c:idx val="10"/>
              <c:dLblPos val="b"/>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9237-4560-8BAA-1FA5EFDEF83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2"/>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'QV1-NR'!$F$56:$P$56</c:f>
              <c:numCache>
                <c:formatCode>0.00</c:formatCode>
                <c:ptCount val="11"/>
                <c:pt idx="0">
                  <c:v>5.6286137879911049</c:v>
                </c:pt>
                <c:pt idx="1">
                  <c:v>5.6286137879911049</c:v>
                </c:pt>
                <c:pt idx="2">
                  <c:v>5.6286137879911049</c:v>
                </c:pt>
                <c:pt idx="3">
                  <c:v>5.6286137879911049</c:v>
                </c:pt>
                <c:pt idx="4">
                  <c:v>5.6286137879911049</c:v>
                </c:pt>
                <c:pt idx="5">
                  <c:v>5.6262326096847133</c:v>
                </c:pt>
                <c:pt idx="6">
                  <c:v>5.6005773337384372</c:v>
                </c:pt>
                <c:pt idx="7">
                  <c:v>5.6005773337384372</c:v>
                </c:pt>
                <c:pt idx="8">
                  <c:v>5.6005773337384372</c:v>
                </c:pt>
                <c:pt idx="9">
                  <c:v>5.6005773337384372</c:v>
                </c:pt>
                <c:pt idx="10">
                  <c:v>5.6005773337384372</c:v>
                </c:pt>
              </c:numCache>
            </c:numRef>
          </c:val>
          <c:smooth val="0"/>
          <c:extLst>
            <c:ext xmlns:c16="http://schemas.microsoft.com/office/drawing/2014/chart" uri="{C3380CC4-5D6E-409C-BE32-E72D297353CC}">
              <c16:uniqueId val="{00000007-9237-4560-8BAA-1FA5EFDEF837}"/>
            </c:ext>
          </c:extLst>
        </c:ser>
        <c:ser>
          <c:idx val="2"/>
          <c:order val="1"/>
          <c:tx>
            <c:strRef>
              <c:f>'QV1-NR'!$E$58</c:f>
              <c:strCache>
                <c:ptCount val="1"/>
              </c:strCache>
            </c:strRef>
          </c:tx>
          <c:spPr>
            <a:ln w="28575" cap="rnd">
              <a:solidFill>
                <a:schemeClr val="accent3"/>
              </a:solidFill>
              <a:round/>
            </a:ln>
            <a:effectLst/>
          </c:spPr>
          <c:marker>
            <c:symbol val="none"/>
          </c:marker>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'QV1-NR'!$F$58:$P$58</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8-9237-4560-8BAA-1FA5EFDEF837}"/>
            </c:ext>
          </c:extLst>
        </c:ser>
        <c:ser>
          <c:idx val="3"/>
          <c:order val="2"/>
          <c:tx>
            <c:strRef>
              <c:f>'QV1-NR'!$E$57</c:f>
              <c:strCache>
                <c:ptCount val="1"/>
                <c:pt idx="0">
                  <c:v>ICPF</c:v>
                </c:pt>
              </c:strCache>
            </c:strRef>
          </c:tx>
          <c:spPr>
            <a:ln w="28575" cap="rnd">
              <a:solidFill>
                <a:schemeClr val="accent4"/>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9237-4560-8BAA-1FA5EFDEF837}"/>
                </c:ext>
              </c:extLst>
            </c:dLbl>
            <c:dLbl>
              <c:idx val="3"/>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A-9237-4560-8BAA-1FA5EFDEF837}"/>
                </c:ext>
              </c:extLst>
            </c:dLbl>
            <c:dLbl>
              <c:idx val="1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B-9237-4560-8BAA-1FA5EFDEF83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'1M-DUMMY'!$F$55:$P$55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'QV1-NR'!$F$57:$P$57</c:f>
              <c:numCache>
                <c:formatCode>0.00</c:formatCode>
                <c:ptCount val="11"/>
                <c:pt idx="0">
                  <c:v>5.2939894644512195</c:v>
                </c:pt>
                <c:pt idx="1">
                  <c:v>5.2979162441742069</c:v>
                </c:pt>
                <c:pt idx="2">
                  <c:v>5.3084382327323487</c:v>
                </c:pt>
                <c:pt idx="3">
                  <c:v>5.3896758583664868</c:v>
                </c:pt>
                <c:pt idx="4">
                  <c:v>5.3955950251223559</c:v>
                </c:pt>
                <c:pt idx="5">
                  <c:v>5.4346681904031584</c:v>
                </c:pt>
                <c:pt idx="6">
                  <c:v>5.4494614148100462</c:v>
                </c:pt>
                <c:pt idx="7">
                  <c:v>5.4515664832300406</c:v>
                </c:pt>
                <c:pt idx="8">
                  <c:v>5.4802157545291266</c:v>
                </c:pt>
                <c:pt idx="9">
                  <c:v>5.5092024034949612</c:v>
                </c:pt>
                <c:pt idx="10">
                  <c:v>5.558571873208872</c:v>
                </c:pt>
              </c:numCache>
            </c:numRef>
          </c:val>
          <c:smooth val="0"/>
          <c:extLst>
            <c:ext xmlns:c16="http://schemas.microsoft.com/office/drawing/2014/chart" uri="{C3380CC4-5D6E-409C-BE32-E72D297353CC}">
              <c16:uniqueId val="{0000000C-9237-4560-8BAA-1FA5EFDEF837}"/>
            </c:ext>
          </c:extLst>
        </c:ser>
        <c:dLbls>
          <c:showLegendKey val="0"/>
          <c:showVal val="0"/>
          <c:showCatName val="0"/>
          <c:showSerName val="0"/>
          <c:showPercent val="0"/>
          <c:showBubbleSize val="0"/>
        </c:dLbls>
        <c:smooth val="0"/>
        <c:axId val="590140096"/>
        <c:axId val="590143424"/>
      </c:lineChart>
      <c:catAx>
        <c:axId val="590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0143424"/>
        <c:crosses val="autoZero"/>
        <c:auto val="1"/>
        <c:lblAlgn val="ctr"/>
        <c:lblOffset val="100"/>
        <c:noMultiLvlLbl val="0"/>
      </c:catAx>
      <c:valAx>
        <c:axId val="590143424"/>
        <c:scaling>
          <c:orientation val="minMax"/>
          <c:max val="6"/>
          <c:min val="5"/>
        </c:scaling>
        <c:delete val="0"/>
        <c:axPos val="l"/>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90140096"/>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Emissions Intensity</a:t>
            </a:r>
            <a:r>
              <a:rPr lang="en-US" sz="1400" baseline="0">
                <a:latin typeface="Times New Roman" panose="02020603050405020304" pitchFamily="18" charset="0"/>
                <a:cs typeface="Times New Roman" panose="02020603050405020304" pitchFamily="18" charset="0"/>
              </a:rPr>
              <a:t> (</a:t>
            </a:r>
            <a:r>
              <a:rPr lang="en-US" sz="1400">
                <a:latin typeface="Times New Roman" panose="02020603050405020304" pitchFamily="18" charset="0"/>
                <a:cs typeface="Times New Roman" panose="02020603050405020304" pitchFamily="18" charset="0"/>
              </a:rPr>
              <a:t>kg.CO2-e/m2))</a:t>
            </a:r>
          </a:p>
        </c:rich>
      </c:tx>
      <c:layout>
        <c:manualLayout>
          <c:xMode val="edge"/>
          <c:yMode val="edge"/>
          <c:x val="4.9175099961695761E-3"/>
          <c:y val="2.3282426443230975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2.2470849822769281E-2"/>
          <c:y val="8.7437613344855461E-2"/>
          <c:w val="0.96340992407767989"/>
          <c:h val="0.84371171870357486"/>
        </c:manualLayout>
      </c:layout>
      <c:barChart>
        <c:barDir val="col"/>
        <c:grouping val="stacked"/>
        <c:varyColors val="0"/>
        <c:ser>
          <c:idx val="0"/>
          <c:order val="0"/>
          <c:tx>
            <c:strRef>
              <c:f>'QV1-NR'!$B$27</c:f>
              <c:strCache>
                <c:ptCount val="1"/>
                <c:pt idx="0">
                  <c:v>Grid Electricity</c:v>
                </c:pt>
              </c:strCache>
            </c:strRef>
          </c:tx>
          <c:spPr>
            <a:solidFill>
              <a:srgbClr val="2DCCD3"/>
            </a:solidFill>
            <a:ln>
              <a:noFill/>
            </a:ln>
            <a:effectLst/>
          </c:spPr>
          <c:invertIfNegative val="0"/>
          <c:dLbls>
            <c:dLbl>
              <c:idx val="0"/>
              <c:layout>
                <c:manualLayout>
                  <c:x val="8.4661289259540431E-2"/>
                  <c:y val="-0.10938253387545707"/>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ysClr val="windowText" lastClr="000000"/>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00-8100-4F6E-8CB3-9775A25DA140}"/>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100" b="0"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2DCCD3"/>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'QV1-NR'!$F$27:$P$27</c:f>
              <c:numCache>
                <c:formatCode>0</c:formatCode>
                <c:ptCount val="11"/>
                <c:pt idx="0" formatCode="#,##0_ ;\-#,##0\ ">
                  <c:v>1642.1247899999998</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8100-4F6E-8CB3-9775A25DA140}"/>
            </c:ext>
          </c:extLst>
        </c:ser>
        <c:ser>
          <c:idx val="1"/>
          <c:order val="1"/>
          <c:tx>
            <c:strRef>
              <c:f>'QV1-NR'!$B$26</c:f>
              <c:strCache>
                <c:ptCount val="1"/>
                <c:pt idx="0">
                  <c:v>Gas</c:v>
                </c:pt>
              </c:strCache>
            </c:strRef>
          </c:tx>
          <c:spPr>
            <a:solidFill>
              <a:srgbClr val="00857D"/>
            </a:solidFill>
            <a:ln>
              <a:solidFill>
                <a:srgbClr val="2DCCD3">
                  <a:alpha val="96000"/>
                </a:srgbClr>
              </a:solidFill>
            </a:ln>
            <a:effectLst/>
          </c:spPr>
          <c:invertIfNegative val="0"/>
          <c:dLbls>
            <c:dLbl>
              <c:idx val="0"/>
              <c:layout>
                <c:manualLayout>
                  <c:x val="4.9399163977634296E-2"/>
                  <c:y val="-1.1899902380634177E-2"/>
                </c:manualLayout>
              </c:layout>
              <c:spPr>
                <a:noFill/>
                <a:ln>
                  <a:noFill/>
                </a:ln>
                <a:effectLst/>
              </c:spPr>
              <c:txPr>
                <a:bodyPr rot="0" spcFirstLastPara="1" vertOverflow="clip" horzOverflow="clip"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layout>
                    <c:manualLayout>
                      <c:w val="4.1476865751493293E-2"/>
                      <c:h val="6.0128109058177066E-2"/>
                    </c:manualLayout>
                  </c15:layout>
                </c:ext>
                <c:ext xmlns:c16="http://schemas.microsoft.com/office/drawing/2014/chart" uri="{C3380CC4-5D6E-409C-BE32-E72D297353CC}">
                  <c16:uniqueId val="{00000002-8100-4F6E-8CB3-9775A25DA140}"/>
                </c:ext>
              </c:extLst>
            </c:dLbl>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2700" cap="flat" cmpd="sng" algn="ctr">
                      <a:solidFill>
                        <a:srgbClr val="00857D"/>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'QV1-NR'!$F$26:$P$26</c:f>
              <c:numCache>
                <c:formatCode>0</c:formatCode>
                <c:ptCount val="11"/>
                <c:pt idx="0">
                  <c:v>111.59406880800002</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100-4F6E-8CB3-9775A25DA140}"/>
            </c:ext>
          </c:extLst>
        </c:ser>
        <c:ser>
          <c:idx val="2"/>
          <c:order val="2"/>
          <c:tx>
            <c:strRef>
              <c:f>'QV1-NR'!$B$25</c:f>
              <c:strCache>
                <c:ptCount val="1"/>
                <c:pt idx="0">
                  <c:v>Scope 3</c:v>
                </c:pt>
              </c:strCache>
            </c:strRef>
          </c:tx>
          <c:spPr>
            <a:solidFill>
              <a:srgbClr val="B8C6D0"/>
            </a:solidFill>
            <a:ln>
              <a:noFill/>
            </a:ln>
            <a:effectLst/>
          </c:spPr>
          <c:invertIfNegative val="0"/>
          <c:dLbls>
            <c:dLbl>
              <c:idx val="0"/>
              <c:layout>
                <c:manualLayout>
                  <c:x val="6.1639151310316706E-2"/>
                  <c:y val="-6.0028263118605513E-2"/>
                </c:manualLayout>
              </c:layout>
              <c:dLblPos val="ct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8100-4F6E-8CB3-9775A25DA140}"/>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'QV1-NR'!$F$25:$P$25</c:f>
              <c:numCache>
                <c:formatCode>0</c:formatCode>
                <c:ptCount val="11"/>
                <c:pt idx="0">
                  <c:v>106.52684795796</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5-8100-4F6E-8CB3-9775A25DA140}"/>
            </c:ext>
          </c:extLst>
        </c:ser>
        <c:ser>
          <c:idx val="6"/>
          <c:order val="3"/>
          <c:tx>
            <c:strRef>
              <c:f>'QV1-NR'!$B$21</c:f>
              <c:strCache>
                <c:ptCount val="1"/>
                <c:pt idx="0">
                  <c:v>Renewable Electricity</c:v>
                </c:pt>
              </c:strCache>
            </c:strRef>
          </c:tx>
          <c:spPr>
            <a:solidFill>
              <a:srgbClr val="2DCCD3">
                <a:alpha val="15000"/>
              </a:srgbClr>
            </a:solidFill>
            <a:ln w="9525">
              <a:solidFill>
                <a:srgbClr val="2DCCD3">
                  <a:lumMod val="60000"/>
                  <a:lumOff val="40000"/>
                  <a:alpha val="82000"/>
                </a:srgbClr>
              </a:solidFill>
              <a:prstDash val="lgDash"/>
            </a:ln>
            <a:effectLst/>
          </c:spPr>
          <c:invertIfNegative val="0"/>
          <c:dPt>
            <c:idx val="3"/>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7-8100-4F6E-8CB3-9775A25DA140}"/>
              </c:ext>
            </c:extLst>
          </c:dPt>
          <c:dPt>
            <c:idx val="6"/>
            <c:invertIfNegative val="0"/>
            <c:bubble3D val="0"/>
            <c:spPr>
              <a:solidFill>
                <a:srgbClr val="2DCCD3">
                  <a:alpha val="15000"/>
                </a:srgbClr>
              </a:solidFill>
              <a:ln w="9525">
                <a:solidFill>
                  <a:srgbClr val="2DCCD3">
                    <a:lumMod val="60000"/>
                    <a:lumOff val="40000"/>
                    <a:alpha val="82000"/>
                  </a:srgbClr>
                </a:solidFill>
                <a:prstDash val="lgDash"/>
              </a:ln>
              <a:effectLst/>
            </c:spPr>
            <c:extLst>
              <c:ext xmlns:c16="http://schemas.microsoft.com/office/drawing/2014/chart" uri="{C3380CC4-5D6E-409C-BE32-E72D297353CC}">
                <c16:uniqueId val="{00000009-8100-4F6E-8CB3-9775A25DA140}"/>
              </c:ext>
            </c:extLst>
          </c:dPt>
          <c:dLbls>
            <c:dLbl>
              <c:idx val="1"/>
              <c:layout>
                <c:manualLayout>
                  <c:x val="0.14458792182005947"/>
                  <c:y val="-3.4792798993989391E-2"/>
                </c:manualLayout>
              </c:layout>
              <c:tx>
                <c:rich>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fld id="{351BE7A2-01DA-464E-B0E4-9FED0C1B3344}" type="SERIESNAME">
                      <a:rPr lang="en-US" sz="1200">
                        <a:solidFill>
                          <a:schemeClr val="tx1"/>
                        </a:solidFill>
                      </a:rPr>
                      <a:pPr algn="l">
                        <a:defRPr sz="1200"/>
                      </a:pPr>
                      <a:t>[SERIES NAME]</a:t>
                    </a:fld>
                    <a:endParaRPr lang="en-AU"/>
                  </a:p>
                </c:rich>
              </c:tx>
              <c:spPr>
                <a:noFill/>
                <a:ln>
                  <a:noFill/>
                </a:ln>
                <a:effectLst/>
              </c:spPr>
              <c:txPr>
                <a:bodyPr rot="0" spcFirstLastPara="1" vertOverflow="clip" horzOverflow="clip" vert="horz" wrap="square" lIns="38100" tIns="19050" rIns="38100" bIns="19050" anchor="ctr" anchorCtr="0">
                  <a:noAutofit/>
                </a:bodyPr>
                <a:lstStyle/>
                <a:p>
                  <a:pPr algn="l">
                    <a:defRPr lang="en-US" sz="1200" b="0" i="0" u="none" strike="noStrike" kern="1200" baseline="0">
                      <a:solidFill>
                        <a:schemeClr val="tx1"/>
                      </a:solidFill>
                      <a:latin typeface="+mn-lt"/>
                      <a:ea typeface="+mn-ea"/>
                      <a:cs typeface="+mn-cs"/>
                    </a:defRPr>
                  </a:pPr>
                  <a:endParaRPr lang="en-US"/>
                </a:p>
              </c:txPr>
              <c:dLblPos val="ctr"/>
              <c:showLegendKey val="0"/>
              <c:showVal val="0"/>
              <c:showCatName val="0"/>
              <c:showSerName val="1"/>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0946857402546643"/>
                      <c:h val="7.0272960656718439E-2"/>
                    </c:manualLayout>
                  </c15:layout>
                  <c15:dlblFieldTable/>
                  <c15:showDataLabelsRange val="0"/>
                </c:ext>
                <c:ext xmlns:c16="http://schemas.microsoft.com/office/drawing/2014/chart" uri="{C3380CC4-5D6E-409C-BE32-E72D297353CC}">
                  <c16:uniqueId val="{0000000A-8100-4F6E-8CB3-9775A25DA140}"/>
                </c:ext>
              </c:extLst>
            </c:dLbl>
            <c:dLbl>
              <c:idx val="2"/>
              <c:delete val="1"/>
              <c:extLst>
                <c:ext xmlns:c15="http://schemas.microsoft.com/office/drawing/2012/chart" uri="{CE6537A1-D6FC-4f65-9D91-7224C49458BB}">
                  <c15:layout>
                    <c:manualLayout>
                      <c:w val="0.11705533211226295"/>
                      <c:h val="5.0272195015968468E-2"/>
                    </c:manualLayout>
                  </c15:layout>
                </c:ext>
                <c:ext xmlns:c16="http://schemas.microsoft.com/office/drawing/2014/chart" uri="{C3380CC4-5D6E-409C-BE32-E72D297353CC}">
                  <c16:uniqueId val="{0000000B-8100-4F6E-8CB3-9775A25DA140}"/>
                </c:ext>
              </c:extLst>
            </c:dLbl>
            <c:spPr>
              <a:solidFill>
                <a:srgbClr val="FFFFFF"/>
              </a:solidFill>
              <a:ln>
                <a:solidFill>
                  <a:srgbClr val="FFFFFF"/>
                </a:solidFill>
              </a:ln>
              <a:effectLst/>
            </c:spPr>
            <c:txPr>
              <a:bodyPr rot="0" spcFirstLastPara="1" vertOverflow="clip" horzOverflow="clip" vert="horz" wrap="square" lIns="38100" tIns="19050" rIns="38100" bIns="19050" anchor="ctr" anchorCtr="0">
                <a:spAutoFit/>
              </a:bodyPr>
              <a:lstStyle/>
              <a:p>
                <a:pPr algn="l">
                  <a:defRPr lang="en-US"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rgbClr val="2DCCD3"/>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'QV1-NR'!$F$21:$P$21</c:f>
              <c:numCache>
                <c:formatCode>0</c:formatCode>
                <c:ptCount val="11"/>
                <c:pt idx="0">
                  <c:v>0</c:v>
                </c:pt>
                <c:pt idx="1">
                  <c:v>1642.1247899999998</c:v>
                </c:pt>
                <c:pt idx="2">
                  <c:v>1597.3192022783082</c:v>
                </c:pt>
                <c:pt idx="3">
                  <c:v>1517.4532421643928</c:v>
                </c:pt>
                <c:pt idx="4">
                  <c:v>1365.7079179479535</c:v>
                </c:pt>
                <c:pt idx="5">
                  <c:v>1396.3026397553101</c:v>
                </c:pt>
                <c:pt idx="6">
                  <c:v>1298.5614549724385</c:v>
                </c:pt>
                <c:pt idx="7">
                  <c:v>1233.6333822238166</c:v>
                </c:pt>
                <c:pt idx="8">
                  <c:v>1171.9517131126258</c:v>
                </c:pt>
                <c:pt idx="9">
                  <c:v>1113.3541274569943</c:v>
                </c:pt>
                <c:pt idx="10">
                  <c:v>1057.6864210841447</c:v>
                </c:pt>
              </c:numCache>
            </c:numRef>
          </c:val>
          <c:extLst>
            <c:ext xmlns:c16="http://schemas.microsoft.com/office/drawing/2014/chart" uri="{C3380CC4-5D6E-409C-BE32-E72D297353CC}">
              <c16:uniqueId val="{0000000C-8100-4F6E-8CB3-9775A25DA140}"/>
            </c:ext>
          </c:extLst>
        </c:ser>
        <c:ser>
          <c:idx val="7"/>
          <c:order val="4"/>
          <c:tx>
            <c:strRef>
              <c:f>'QV1-NR'!$B$20</c:f>
              <c:strCache>
                <c:ptCount val="1"/>
                <c:pt idx="0">
                  <c:v>Energy Efficiency</c:v>
                </c:pt>
              </c:strCache>
            </c:strRef>
          </c:tx>
          <c:spPr>
            <a:pattFill prst="wdUpDiag">
              <a:fgClr>
                <a:srgbClr val="ABEAEC">
                  <a:lumMod val="40000"/>
                  <a:lumOff val="60000"/>
                </a:srgbClr>
              </a:fgClr>
              <a:bgClr>
                <a:srgbClr val="FFFFFF"/>
              </a:bgClr>
            </a:pattFill>
            <a:ln w="9525" cmpd="sng">
              <a:solidFill>
                <a:srgbClr val="2DCCD3">
                  <a:alpha val="44000"/>
                </a:srgbClr>
              </a:solidFill>
              <a:prstDash val="lgDash"/>
            </a:ln>
            <a:effectLst>
              <a:glow>
                <a:srgbClr val="253746">
                  <a:alpha val="40000"/>
                </a:srgbClr>
              </a:glow>
            </a:effectLst>
          </c:spPr>
          <c:invertIfNegative val="0"/>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'QV1-NR'!$F$20:$P$20</c:f>
              <c:numCache>
                <c:formatCode>0</c:formatCode>
                <c:ptCount val="11"/>
                <c:pt idx="0">
                  <c:v>0</c:v>
                </c:pt>
                <c:pt idx="1">
                  <c:v>0</c:v>
                </c:pt>
                <c:pt idx="2">
                  <c:v>0</c:v>
                </c:pt>
                <c:pt idx="3">
                  <c:v>0</c:v>
                </c:pt>
                <c:pt idx="4">
                  <c:v>0</c:v>
                </c:pt>
                <c:pt idx="5">
                  <c:v>-98.880117704754497</c:v>
                </c:pt>
                <c:pt idx="6">
                  <c:v>-91.958509465421685</c:v>
                </c:pt>
                <c:pt idx="7">
                  <c:v>-87.360583992150595</c:v>
                </c:pt>
                <c:pt idx="8">
                  <c:v>-82.992554792543075</c:v>
                </c:pt>
                <c:pt idx="9">
                  <c:v>-78.842927052915911</c:v>
                </c:pt>
                <c:pt idx="10">
                  <c:v>-74.900780700270118</c:v>
                </c:pt>
              </c:numCache>
            </c:numRef>
          </c:val>
          <c:extLst>
            <c:ext xmlns:c16="http://schemas.microsoft.com/office/drawing/2014/chart" uri="{C3380CC4-5D6E-409C-BE32-E72D297353CC}">
              <c16:uniqueId val="{00000018-8100-4F6E-8CB3-9775A25DA140}"/>
            </c:ext>
          </c:extLst>
        </c:ser>
        <c:ser>
          <c:idx val="4"/>
          <c:order val="5"/>
          <c:tx>
            <c:strRef>
              <c:f>'QV1-NR'!$B$23</c:f>
              <c:strCache>
                <c:ptCount val="1"/>
                <c:pt idx="0">
                  <c:v>Electrification</c:v>
                </c:pt>
              </c:strCache>
            </c:strRef>
          </c:tx>
          <c:spPr>
            <a:pattFill prst="dkUpDiag">
              <a:fgClr>
                <a:srgbClr val="FFFFFF"/>
              </a:fgClr>
              <a:bgClr>
                <a:srgbClr val="00857D"/>
              </a:bgClr>
            </a:pattFill>
            <a:ln w="6350">
              <a:solidFill>
                <a:srgbClr val="00857D"/>
              </a:solidFill>
            </a:ln>
            <a:effectLst/>
          </c:spPr>
          <c:invertIfNegative val="0"/>
          <c:dPt>
            <c:idx val="10"/>
            <c:invertIfNegative val="0"/>
            <c:bubble3D val="0"/>
            <c:spPr>
              <a:pattFill prst="dkUpDiag">
                <a:fgClr>
                  <a:srgbClr val="FFFFFF"/>
                </a:fgClr>
                <a:bgClr>
                  <a:srgbClr val="00857D"/>
                </a:bgClr>
              </a:pattFill>
              <a:ln w="3175">
                <a:solidFill>
                  <a:srgbClr val="00857D"/>
                </a:solidFill>
              </a:ln>
              <a:effectLst/>
            </c:spPr>
            <c:extLst>
              <c:ext xmlns:c16="http://schemas.microsoft.com/office/drawing/2014/chart" uri="{C3380CC4-5D6E-409C-BE32-E72D297353CC}">
                <c16:uniqueId val="{0000001A-8100-4F6E-8CB3-9775A25DA140}"/>
              </c:ext>
            </c:extLst>
          </c:dPt>
          <c:dLbls>
            <c:dLbl>
              <c:idx val="4"/>
              <c:delete val="1"/>
              <c:extLst>
                <c:ext xmlns:c15="http://schemas.microsoft.com/office/drawing/2012/chart" uri="{CE6537A1-D6FC-4f65-9D91-7224C49458BB}">
                  <c15:layout>
                    <c:manualLayout>
                      <c:w val="9.5795027173193714E-2"/>
                      <c:h val="7.9356752148980914E-2"/>
                    </c:manualLayout>
                  </c15:layout>
                </c:ext>
                <c:ext xmlns:c16="http://schemas.microsoft.com/office/drawing/2014/chart" uri="{C3380CC4-5D6E-409C-BE32-E72D297353CC}">
                  <c16:uniqueId val="{0000001B-8100-4F6E-8CB3-9775A25DA140}"/>
                </c:ext>
              </c:extLst>
            </c:dLbl>
            <c:dLbl>
              <c:idx val="7"/>
              <c:layout>
                <c:manualLayout>
                  <c:x val="0.10991168943992628"/>
                  <c:y val="-0.11497838291175964"/>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25-8100-4F6E-8CB3-9775A25DA140}"/>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5"/>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15875" cap="flat" cmpd="sng" algn="ctr">
                      <a:solidFill>
                        <a:srgbClr val="00857D"/>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'QV1-NR'!$F$23:$P$23</c:f>
              <c:numCache>
                <c:formatCode>0</c:formatCode>
                <c:ptCount val="11"/>
                <c:pt idx="0">
                  <c:v>0</c:v>
                </c:pt>
                <c:pt idx="1">
                  <c:v>0</c:v>
                </c:pt>
                <c:pt idx="2">
                  <c:v>0</c:v>
                </c:pt>
                <c:pt idx="3">
                  <c:v>0</c:v>
                </c:pt>
                <c:pt idx="4">
                  <c:v>0</c:v>
                </c:pt>
                <c:pt idx="5">
                  <c:v>0</c:v>
                </c:pt>
                <c:pt idx="6">
                  <c:v>88.322419999999994</c:v>
                </c:pt>
                <c:pt idx="7">
                  <c:v>88.322419999999994</c:v>
                </c:pt>
                <c:pt idx="8">
                  <c:v>88.322419999999994</c:v>
                </c:pt>
                <c:pt idx="9">
                  <c:v>88.322419999999994</c:v>
                </c:pt>
                <c:pt idx="10">
                  <c:v>88.322419999999994</c:v>
                </c:pt>
              </c:numCache>
            </c:numRef>
          </c:val>
          <c:extLst>
            <c:ext xmlns:c16="http://schemas.microsoft.com/office/drawing/2014/chart" uri="{C3380CC4-5D6E-409C-BE32-E72D297353CC}">
              <c16:uniqueId val="{0000001C-8100-4F6E-8CB3-9775A25DA140}"/>
            </c:ext>
          </c:extLst>
        </c:ser>
        <c:ser>
          <c:idx val="5"/>
          <c:order val="6"/>
          <c:tx>
            <c:strRef>
              <c:f>'QV1-NR'!$B$22</c:f>
              <c:strCache>
                <c:ptCount val="1"/>
                <c:pt idx="0">
                  <c:v>Gas Offsets</c:v>
                </c:pt>
              </c:strCache>
            </c:strRef>
          </c:tx>
          <c:spPr>
            <a:solidFill>
              <a:srgbClr val="00857D">
                <a:alpha val="40000"/>
              </a:srgbClr>
            </a:solidFill>
            <a:ln w="12700">
              <a:solidFill>
                <a:srgbClr val="00857D"/>
              </a:solidFill>
              <a:prstDash val="dash"/>
            </a:ln>
            <a:effectLst/>
          </c:spPr>
          <c:invertIfNegative val="0"/>
          <c:dLbls>
            <c:dLbl>
              <c:idx val="2"/>
              <c:layout>
                <c:manualLayout>
                  <c:x val="7.9947676838438952E-2"/>
                  <c:y val="-7.6007030007921902E-2"/>
                </c:manualLayout>
              </c:layout>
              <c:spPr>
                <a:noFill/>
                <a:ln>
                  <a:noFill/>
                </a:ln>
                <a:effectLst/>
              </c:spPr>
              <c:txPr>
                <a:bodyPr rot="0" spcFirstLastPara="1" vertOverflow="clip" horzOverflow="clip"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ext>
                <c:ext xmlns:c16="http://schemas.microsoft.com/office/drawing/2014/chart" uri="{C3380CC4-5D6E-409C-BE32-E72D297353CC}">
                  <c16:uniqueId val="{0000001D-8100-4F6E-8CB3-9775A25DA140}"/>
                </c:ext>
              </c:extLst>
            </c:dLbl>
            <c:spPr>
              <a:solidFill>
                <a:srgbClr val="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00857D"/>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'QV1-NR'!$F$22:$P$22</c:f>
              <c:numCache>
                <c:formatCode>0</c:formatCode>
                <c:ptCount val="11"/>
                <c:pt idx="0">
                  <c:v>0</c:v>
                </c:pt>
                <c:pt idx="1">
                  <c:v>111.59406880800002</c:v>
                </c:pt>
                <c:pt idx="2">
                  <c:v>111.59406880800002</c:v>
                </c:pt>
                <c:pt idx="3">
                  <c:v>111.59406880800002</c:v>
                </c:pt>
                <c:pt idx="4">
                  <c:v>111.59406880800002</c:v>
                </c:pt>
                <c:pt idx="5">
                  <c:v>111.59406880800002</c:v>
                </c:pt>
                <c:pt idx="6">
                  <c:v>23.271648808000009</c:v>
                </c:pt>
                <c:pt idx="7">
                  <c:v>23.271648808000009</c:v>
                </c:pt>
                <c:pt idx="8">
                  <c:v>23.271648808000009</c:v>
                </c:pt>
                <c:pt idx="9">
                  <c:v>23.271648808000009</c:v>
                </c:pt>
                <c:pt idx="10">
                  <c:v>23.271648808000009</c:v>
                </c:pt>
              </c:numCache>
            </c:numRef>
          </c:val>
          <c:extLst>
            <c:ext xmlns:c16="http://schemas.microsoft.com/office/drawing/2014/chart" uri="{C3380CC4-5D6E-409C-BE32-E72D297353CC}">
              <c16:uniqueId val="{0000001E-8100-4F6E-8CB3-9775A25DA140}"/>
            </c:ext>
          </c:extLst>
        </c:ser>
        <c:ser>
          <c:idx val="3"/>
          <c:order val="7"/>
          <c:tx>
            <c:strRef>
              <c:f>'QV1-NR'!$B$24</c:f>
              <c:strCache>
                <c:ptCount val="1"/>
                <c:pt idx="0">
                  <c:v>Scope 3 Offsets</c:v>
                </c:pt>
              </c:strCache>
            </c:strRef>
          </c:tx>
          <c:spPr>
            <a:pattFill prst="pct10">
              <a:fgClr>
                <a:srgbClr val="B8C6D0"/>
              </a:fgClr>
              <a:bgClr>
                <a:srgbClr val="FFFFFF"/>
              </a:bgClr>
            </a:pattFill>
            <a:ln>
              <a:solidFill>
                <a:sysClr val="windowText" lastClr="000000">
                  <a:lumMod val="65000"/>
                  <a:lumOff val="35000"/>
                </a:sysClr>
              </a:solidFill>
              <a:prstDash val="dashDot"/>
            </a:ln>
            <a:effectLst/>
          </c:spPr>
          <c:invertIfNegative val="0"/>
          <c:dLbls>
            <c:dLbl>
              <c:idx val="2"/>
              <c:layout>
                <c:manualLayout>
                  <c:x val="7.4595242313053894E-2"/>
                  <c:y val="-9.514619662167266E-2"/>
                </c:manualLayout>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F-8100-4F6E-8CB3-9775A25DA140}"/>
                </c:ext>
              </c:extLst>
            </c:dLbl>
            <c:spPr>
              <a:noFill/>
              <a:ln>
                <a:noFill/>
              </a:ln>
              <a:effectLst/>
            </c:spPr>
            <c:txPr>
              <a:bodyPr rot="0" spcFirstLastPara="1" vertOverflow="clip" horzOverflow="clip" vert="horz" wrap="square" lIns="36576" tIns="18288" rIns="36576" bIns="18288" anchor="ctr" anchorCtr="1">
                <a:spAutoFit/>
              </a:bodyPr>
              <a:lstStyle/>
              <a:p>
                <a:pPr>
                  <a:defRPr lang="en-US" sz="12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accentCallout2">
                    <a:avLst/>
                  </a:prstGeom>
                  <a:noFill/>
                  <a:ln>
                    <a:noFill/>
                  </a:ln>
                </c15:spPr>
                <c15:showLeaderLines val="1"/>
                <c15:leaderLines>
                  <c:spPr>
                    <a:ln w="15875" cap="flat" cmpd="sng" algn="ctr">
                      <a:solidFill>
                        <a:srgbClr val="EAEAEB">
                          <a:lumMod val="50000"/>
                        </a:srgbClr>
                      </a:solidFill>
                      <a:round/>
                    </a:ln>
                    <a:effectLst/>
                  </c:spPr>
                </c15:leaderLines>
              </c:ext>
            </c:extLst>
          </c:dLbls>
          <c:cat>
            <c:strRef>
              <c:f>'QV1-NR'!$F$19:$P$19</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'QV1-NR'!$F$24:$P$24</c:f>
              <c:numCache>
                <c:formatCode>0</c:formatCode>
                <c:ptCount val="11"/>
                <c:pt idx="0">
                  <c:v>0</c:v>
                </c:pt>
                <c:pt idx="1">
                  <c:v>100.00816485152001</c:v>
                </c:pt>
                <c:pt idx="2">
                  <c:v>93.489481745080013</c:v>
                </c:pt>
                <c:pt idx="3">
                  <c:v>86.970798638640005</c:v>
                </c:pt>
                <c:pt idx="4">
                  <c:v>80.452115532199997</c:v>
                </c:pt>
                <c:pt idx="5">
                  <c:v>73.933432425760003</c:v>
                </c:pt>
                <c:pt idx="6">
                  <c:v>67.414749319320009</c:v>
                </c:pt>
                <c:pt idx="7">
                  <c:v>60.896066212880001</c:v>
                </c:pt>
                <c:pt idx="8">
                  <c:v>54.37738310644</c:v>
                </c:pt>
                <c:pt idx="9">
                  <c:v>47.858699999999999</c:v>
                </c:pt>
                <c:pt idx="10">
                  <c:v>47.858699999999999</c:v>
                </c:pt>
              </c:numCache>
            </c:numRef>
          </c:val>
          <c:extLst>
            <c:ext xmlns:c16="http://schemas.microsoft.com/office/drawing/2014/chart" uri="{C3380CC4-5D6E-409C-BE32-E72D297353CC}">
              <c16:uniqueId val="{00000020-8100-4F6E-8CB3-9775A25DA140}"/>
            </c:ext>
          </c:extLst>
        </c:ser>
        <c:dLbls>
          <c:showLegendKey val="0"/>
          <c:showVal val="0"/>
          <c:showCatName val="0"/>
          <c:showSerName val="0"/>
          <c:showPercent val="0"/>
          <c:showBubbleSize val="0"/>
        </c:dLbls>
        <c:gapWidth val="150"/>
        <c:overlap val="100"/>
        <c:axId val="894156608"/>
        <c:axId val="894155360"/>
      </c:barChart>
      <c:lineChart>
        <c:grouping val="standard"/>
        <c:varyColors val="0"/>
        <c:ser>
          <c:idx val="8"/>
          <c:order val="8"/>
          <c:tx>
            <c:strRef>
              <c:f>'QV1-NR'!$E$17</c:f>
              <c:strCache>
                <c:ptCount val="1"/>
                <c:pt idx="0">
                  <c:v>Scope 1, 2, 3</c:v>
                </c:pt>
              </c:strCache>
            </c:strRef>
          </c:tx>
          <c:spPr>
            <a:ln w="28575" cap="rnd">
              <a:solidFill>
                <a:srgbClr val="2DCCD3"/>
              </a:solidFill>
              <a:round/>
            </a:ln>
            <a:effectLst/>
          </c:spPr>
          <c:marker>
            <c:symbol val="none"/>
          </c:marker>
          <c:dLbls>
            <c:dLbl>
              <c:idx val="0"/>
              <c:layout>
                <c:manualLayout>
                  <c:x val="-2.7678083245948826E-2"/>
                  <c:y val="-6.50923037724486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8100-4F6E-8CB3-9775A25DA140}"/>
                </c:ext>
              </c:extLst>
            </c:dLbl>
            <c:dLbl>
              <c:idx val="1"/>
              <c:layout>
                <c:manualLayout>
                  <c:x val="-1.8824497209377164E-2"/>
                  <c:y val="-8.94542586879961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8100-4F6E-8CB3-9775A25DA140}"/>
                </c:ext>
              </c:extLst>
            </c:dLbl>
            <c:spPr>
              <a:noFill/>
              <a:ln>
                <a:noFill/>
              </a:ln>
              <a:effectLst/>
            </c:spPr>
            <c:txPr>
              <a:bodyPr rot="0" spcFirstLastPara="1" vertOverflow="ellipsis" vert="horz" wrap="square" lIns="38100" tIns="19050" rIns="38100" bIns="19050" anchor="ctr" anchorCtr="1">
                <a:spAutoFit/>
              </a:bodyPr>
              <a:lstStyle/>
              <a:p>
                <a:pPr>
                  <a:defRPr lang="en-US" sz="12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'QV1-NR'!$F$12:$P$12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'QV1-NR'!$F$17:$P$17</c:f>
              <c:numCache>
                <c:formatCode>0.0</c:formatCode>
                <c:ptCount val="11"/>
                <c:pt idx="0">
                  <c:v>30.432471849852924</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22-8100-4F6E-8CB3-9775A25DA140}"/>
            </c:ext>
          </c:extLst>
        </c:ser>
        <c:dLbls>
          <c:showLegendKey val="0"/>
          <c:showVal val="0"/>
          <c:showCatName val="0"/>
          <c:showSerName val="0"/>
          <c:showPercent val="0"/>
          <c:showBubbleSize val="0"/>
        </c:dLbls>
        <c:marker val="1"/>
        <c:smooth val="0"/>
        <c:axId val="163827056"/>
        <c:axId val="458577487"/>
      </c:lineChart>
      <c:catAx>
        <c:axId val="894156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2100"/>
          <c:min val="0"/>
        </c:scaling>
        <c:delete val="0"/>
        <c:axPos val="l"/>
        <c:majorGridlines>
          <c:spPr>
            <a:ln w="6350" cap="flat" cmpd="sng" algn="ctr">
              <a:noFill/>
              <a:round/>
            </a:ln>
            <a:effectLst/>
          </c:spPr>
        </c:majorGridlines>
        <c:numFmt formatCode="#,##0_ ;\-#,##0\ " sourceLinked="1"/>
        <c:majorTickMark val="out"/>
        <c:minorTickMark val="none"/>
        <c:tickLblPos val="none"/>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0"/>
      </c:valAx>
      <c:valAx>
        <c:axId val="458577487"/>
        <c:scaling>
          <c:orientation val="minMax"/>
          <c:max val="35"/>
          <c:min val="0"/>
        </c:scaling>
        <c:delete val="0"/>
        <c:axPos val="r"/>
        <c:numFmt formatCode="0.0" sourceLinked="1"/>
        <c:majorTickMark val="in"/>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63827056"/>
        <c:crosses val="max"/>
        <c:crossBetween val="between"/>
      </c:valAx>
      <c:catAx>
        <c:axId val="163827056"/>
        <c:scaling>
          <c:orientation val="minMax"/>
        </c:scaling>
        <c:delete val="1"/>
        <c:axPos val="t"/>
        <c:numFmt formatCode="General" sourceLinked="1"/>
        <c:majorTickMark val="out"/>
        <c:minorTickMark val="none"/>
        <c:tickLblPos val="nextTo"/>
        <c:crossAx val="458577487"/>
        <c:crosses val="max"/>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FFFFF"/>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r>
              <a:rPr lang="en-US" sz="1400">
                <a:latin typeface="Times New Roman" panose="02020603050405020304" pitchFamily="18" charset="0"/>
                <a:cs typeface="Times New Roman" panose="02020603050405020304" pitchFamily="18" charset="0"/>
              </a:rPr>
              <a:t>Electricity Consumption and Costs</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6.8462417826162983E-2"/>
          <c:y val="0.13812894291429448"/>
          <c:w val="0.91686588631168586"/>
          <c:h val="0.76322572703492841"/>
        </c:manualLayout>
      </c:layout>
      <c:barChart>
        <c:barDir val="col"/>
        <c:grouping val="clustered"/>
        <c:varyColors val="0"/>
        <c:ser>
          <c:idx val="2"/>
          <c:order val="2"/>
          <c:tx>
            <c:v>Total Savings ($)</c:v>
          </c:tx>
          <c:spPr>
            <a:solidFill>
              <a:srgbClr val="00857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'QV1-NR'!$F$30:$P$30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'QV1-NR'!$F$51:$P$51</c:f>
              <c:numCache>
                <c:formatCode>"$"#,##0.00</c:formatCode>
                <c:ptCount val="11"/>
                <c:pt idx="0">
                  <c:v>0</c:v>
                </c:pt>
                <c:pt idx="1">
                  <c:v>0</c:v>
                </c:pt>
                <c:pt idx="2">
                  <c:v>0</c:v>
                </c:pt>
                <c:pt idx="3">
                  <c:v>0</c:v>
                </c:pt>
                <c:pt idx="4">
                  <c:v>0</c:v>
                </c:pt>
                <c:pt idx="5">
                  <c:v>0</c:v>
                </c:pt>
                <c:pt idx="6">
                  <c:v>8.6694017373664695E-2</c:v>
                </c:pt>
                <c:pt idx="7">
                  <c:v>8.6694017373664667E-2</c:v>
                </c:pt>
                <c:pt idx="8">
                  <c:v>8.6694017373664695E-2</c:v>
                </c:pt>
                <c:pt idx="9">
                  <c:v>8.6694017373664681E-2</c:v>
                </c:pt>
                <c:pt idx="10">
                  <c:v>8.6694017373664681E-2</c:v>
                </c:pt>
              </c:numCache>
            </c:numRef>
          </c:val>
          <c:extLst>
            <c:ext xmlns:c16="http://schemas.microsoft.com/office/drawing/2014/chart" uri="{C3380CC4-5D6E-409C-BE32-E72D297353CC}">
              <c16:uniqueId val="{00000000-983C-40B3-8137-51F90B198AFD}"/>
            </c:ext>
          </c:extLst>
        </c:ser>
        <c:dLbls>
          <c:showLegendKey val="0"/>
          <c:showVal val="0"/>
          <c:showCatName val="0"/>
          <c:showSerName val="0"/>
          <c:showPercent val="0"/>
          <c:showBubbleSize val="0"/>
        </c:dLbls>
        <c:gapWidth val="150"/>
        <c:axId val="831516672"/>
        <c:axId val="831515424"/>
      </c:barChart>
      <c:lineChart>
        <c:grouping val="standard"/>
        <c:varyColors val="0"/>
        <c:ser>
          <c:idx val="0"/>
          <c:order val="0"/>
          <c:tx>
            <c:v>Implement</c:v>
          </c:tx>
          <c:spPr>
            <a:ln w="28575" cap="rnd">
              <a:solidFill>
                <a:schemeClr val="accent2"/>
              </a:solidFill>
              <a:round/>
            </a:ln>
            <a:effectLst/>
          </c:spPr>
          <c:marker>
            <c:symbol val="none"/>
          </c:marker>
          <c:dLbls>
            <c:dLbl>
              <c:idx val="0"/>
              <c:dLblPos val="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0-696D-4005-A1A7-0EF141FDF9EC}"/>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'QV1-NR'!$F$6:$P$6</c:f>
              <c:numCache>
                <c:formatCode>#,##0_ ;\-#,##0\ </c:formatCode>
                <c:ptCount val="11"/>
                <c:pt idx="0">
                  <c:v>2379.8910000000001</c:v>
                </c:pt>
                <c:pt idx="1">
                  <c:v>2379.8910000000001</c:v>
                </c:pt>
                <c:pt idx="2">
                  <c:v>2379.8910000000001</c:v>
                </c:pt>
                <c:pt idx="3">
                  <c:v>2379.8910000000001</c:v>
                </c:pt>
                <c:pt idx="4">
                  <c:v>2379.8910000000001</c:v>
                </c:pt>
                <c:pt idx="5">
                  <c:v>2561.2690000000002</c:v>
                </c:pt>
                <c:pt idx="6">
                  <c:v>2561.2690000000002</c:v>
                </c:pt>
                <c:pt idx="7">
                  <c:v>2561.2690000000002</c:v>
                </c:pt>
                <c:pt idx="8">
                  <c:v>2561.2690000000002</c:v>
                </c:pt>
                <c:pt idx="9">
                  <c:v>2561.2690000000002</c:v>
                </c:pt>
                <c:pt idx="10">
                  <c:v>2561.2690000000002</c:v>
                </c:pt>
              </c:numCache>
            </c:numRef>
          </c:val>
          <c:smooth val="0"/>
          <c:extLst>
            <c:ext xmlns:c16="http://schemas.microsoft.com/office/drawing/2014/chart" uri="{C3380CC4-5D6E-409C-BE32-E72D297353CC}">
              <c16:uniqueId val="{00000002-983C-40B3-8137-51F90B198AFD}"/>
            </c:ext>
          </c:extLst>
        </c:ser>
        <c:dLbls>
          <c:showLegendKey val="0"/>
          <c:showVal val="0"/>
          <c:showCatName val="0"/>
          <c:showSerName val="0"/>
          <c:showPercent val="0"/>
          <c:showBubbleSize val="0"/>
        </c:dLbls>
        <c:marker val="1"/>
        <c:smooth val="0"/>
        <c:axId val="894156608"/>
        <c:axId val="894155360"/>
      </c:lineChart>
      <c:lineChart>
        <c:grouping val="standard"/>
        <c:varyColors val="0"/>
        <c:ser>
          <c:idx val="1"/>
          <c:order val="1"/>
          <c:tx>
            <c:v>Do nothing scenario</c:v>
          </c:tx>
          <c:spPr>
            <a:ln w="28575" cap="rnd">
              <a:solidFill>
                <a:sysClr val="windowText" lastClr="000000"/>
              </a:solidFill>
              <a:round/>
            </a:ln>
            <a:effectLst/>
          </c:spPr>
          <c:marker>
            <c:symbol val="none"/>
          </c:marker>
          <c:dLbls>
            <c:dLbl>
              <c:idx val="0"/>
              <c:layout>
                <c:manualLayout>
                  <c:x val="-7.1294307182462019E-2"/>
                  <c:y val="-0.2279964909833740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1"/>
              <c:showPercent val="0"/>
              <c:showBubbleSize val="0"/>
              <c:separator>
</c:separator>
              <c:extLst>
                <c:ext xmlns:c15="http://schemas.microsoft.com/office/drawing/2012/chart" uri="{CE6537A1-D6FC-4f65-9D91-7224C49458BB}">
                  <c15:layout>
                    <c:manualLayout>
                      <c:w val="0.14659006895492543"/>
                      <c:h val="0.20754864124017436"/>
                    </c:manualLayout>
                  </c15:layout>
                </c:ext>
                <c:ext xmlns:c16="http://schemas.microsoft.com/office/drawing/2014/chart" uri="{C3380CC4-5D6E-409C-BE32-E72D297353CC}">
                  <c16:uniqueId val="{00000001-696D-4005-A1A7-0EF141FDF9EC}"/>
                </c:ext>
              </c:extLst>
            </c:dLbl>
            <c:dLbl>
              <c:idx val="10"/>
              <c:layout>
                <c:manualLayout>
                  <c:x val="-8.2702491931617265E-4"/>
                  <c:y val="-8.539041864676078E-2"/>
                </c:manualLayout>
              </c:layout>
              <c:numFmt formatCode="&quot;$&quot;#,###&quot;/m2 p.a.&quot;" sourceLinked="0"/>
              <c:spPr>
                <a:noFill/>
                <a:ln>
                  <a:noFill/>
                </a:ln>
                <a:effectLst/>
              </c:spPr>
              <c:txPr>
                <a:bodyPr rot="0" spcFirstLastPara="1" vertOverflow="ellipsis" vert="horz" wrap="square" lIns="38100" tIns="19050" rIns="38100" bIns="19050" anchor="ctr" anchorCtr="1">
                  <a:noAutofit/>
                </a:bodyPr>
                <a:lstStyle/>
                <a:p>
                  <a:pPr>
                    <a:defRPr lang="en-US" sz="1200" b="0"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1027967717770071"/>
                      <c:h val="0.13772028216997806"/>
                    </c:manualLayout>
                  </c15:layout>
                </c:ext>
                <c:ext xmlns:c16="http://schemas.microsoft.com/office/drawing/2014/chart" uri="{C3380CC4-5D6E-409C-BE32-E72D297353CC}">
                  <c16:uniqueId val="{00000002-696D-4005-A1A7-0EF141FDF9EC}"/>
                </c:ext>
              </c:extLst>
            </c:dLbl>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'126P-NR'!$F$30:$P$30</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'QV1-NR'!$F$37:$P$37</c:f>
              <c:numCache>
                <c:formatCode>_("$"* #,##0.00_);_("$"* \(#,##0.00\);_("$"* "-"??_);_(@_)</c:formatCode>
                <c:ptCount val="11"/>
                <c:pt idx="0">
                  <c:v>0</c:v>
                </c:pt>
                <c:pt idx="1">
                  <c:v>0</c:v>
                </c:pt>
                <c:pt idx="2">
                  <c:v>0.20130242009561733</c:v>
                </c:pt>
                <c:pt idx="3">
                  <c:v>0.19490392210967988</c:v>
                </c:pt>
                <c:pt idx="4">
                  <c:v>0.18850542412374238</c:v>
                </c:pt>
                <c:pt idx="5">
                  <c:v>0.18210692613780491</c:v>
                </c:pt>
                <c:pt idx="6">
                  <c:v>0.17570842815186746</c:v>
                </c:pt>
                <c:pt idx="7">
                  <c:v>0.16930993016592996</c:v>
                </c:pt>
                <c:pt idx="8">
                  <c:v>0.16291143217999252</c:v>
                </c:pt>
                <c:pt idx="9">
                  <c:v>0.15651293419405501</c:v>
                </c:pt>
                <c:pt idx="10">
                  <c:v>0.15651293419405501</c:v>
                </c:pt>
              </c:numCache>
            </c:numRef>
          </c:val>
          <c:smooth val="0"/>
          <c:extLst>
            <c:ext xmlns:c16="http://schemas.microsoft.com/office/drawing/2014/chart" uri="{C3380CC4-5D6E-409C-BE32-E72D297353CC}">
              <c16:uniqueId val="{00000005-983C-40B3-8137-51F90B198AFD}"/>
            </c:ext>
          </c:extLst>
        </c:ser>
        <c:dLbls>
          <c:showLegendKey val="0"/>
          <c:showVal val="0"/>
          <c:showCatName val="0"/>
          <c:showSerName val="0"/>
          <c:showPercent val="0"/>
          <c:showBubbleSize val="0"/>
        </c:dLbls>
        <c:marker val="1"/>
        <c:smooth val="0"/>
        <c:axId val="831516672"/>
        <c:axId val="831515424"/>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3000"/>
          <c:min val="0"/>
        </c:scaling>
        <c:delete val="0"/>
        <c:axPos val="l"/>
        <c:majorGridlines>
          <c:spPr>
            <a:ln w="9525" cap="flat" cmpd="sng" algn="ctr">
              <a:solidFill>
                <a:schemeClr val="tx1">
                  <a:lumMod val="15000"/>
                  <a:lumOff val="85000"/>
                </a:schemeClr>
              </a:solidFill>
              <a:round/>
            </a:ln>
            <a:effectLst/>
          </c:spPr>
        </c:majorGridlines>
        <c:numFmt formatCode="#,##0_ ;\-#,##0\ " sourceLinked="0"/>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500"/>
        <c:minorUnit val="250"/>
      </c:valAx>
      <c:valAx>
        <c:axId val="831515424"/>
        <c:scaling>
          <c:orientation val="minMax"/>
          <c:max val="40"/>
          <c:min val="0"/>
        </c:scaling>
        <c:delete val="0"/>
        <c:axPos val="r"/>
        <c:numFmt formatCode="&quot;$&quot;#,##0.00"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accent5"/>
                </a:solidFill>
                <a:latin typeface="+mn-lt"/>
                <a:ea typeface="+mn-ea"/>
                <a:cs typeface="+mn-cs"/>
              </a:defRPr>
            </a:pPr>
            <a:endParaRPr lang="en-US"/>
          </a:p>
        </c:txPr>
        <c:crossAx val="831516672"/>
        <c:crosses val="max"/>
        <c:crossBetween val="between"/>
        <c:majorUnit val="250000"/>
      </c:valAx>
      <c:catAx>
        <c:axId val="831516672"/>
        <c:scaling>
          <c:orientation val="minMax"/>
        </c:scaling>
        <c:delete val="1"/>
        <c:axPos val="b"/>
        <c:numFmt formatCode="General" sourceLinked="1"/>
        <c:majorTickMark val="out"/>
        <c:minorTickMark val="none"/>
        <c:tickLblPos val="nextTo"/>
        <c:crossAx val="831515424"/>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25" b="1" i="0" u="none" strike="noStrike" baseline="0">
                <a:solidFill>
                  <a:srgbClr val="000000"/>
                </a:solidFill>
                <a:latin typeface="Times New Roman" panose="02020603050405020304" pitchFamily="18" charset="0"/>
                <a:ea typeface="Arial"/>
                <a:cs typeface="Times New Roman" panose="02020603050405020304" pitchFamily="18" charset="0"/>
              </a:defRPr>
            </a:pPr>
            <a:r>
              <a:rPr lang="en-AU">
                <a:latin typeface="Times New Roman" panose="02020603050405020304" pitchFamily="18" charset="0"/>
                <a:cs typeface="Times New Roman" panose="02020603050405020304" pitchFamily="18" charset="0"/>
              </a:rPr>
              <a:t>Predicted NABERS Energy Performance</a:t>
            </a:r>
          </a:p>
        </c:rich>
      </c:tx>
      <c:layout>
        <c:manualLayout>
          <c:xMode val="edge"/>
          <c:yMode val="edge"/>
          <c:x val="5.659989242316108E-3"/>
          <c:y val="8.4561782083432332E-3"/>
        </c:manualLayout>
      </c:layout>
      <c:overlay val="0"/>
      <c:spPr>
        <a:noFill/>
        <a:ln w="25400">
          <a:noFill/>
        </a:ln>
      </c:spPr>
    </c:title>
    <c:autoTitleDeleted val="0"/>
    <c:plotArea>
      <c:layout>
        <c:manualLayout>
          <c:layoutTarget val="inner"/>
          <c:xMode val="edge"/>
          <c:yMode val="edge"/>
          <c:x val="3.8039037397169975E-2"/>
          <c:y val="0.13205320815789642"/>
          <c:w val="0.9494647556502378"/>
          <c:h val="0.75870570505264134"/>
        </c:manualLayout>
      </c:layout>
      <c:barChart>
        <c:barDir val="col"/>
        <c:grouping val="stacked"/>
        <c:varyColors val="0"/>
        <c:ser>
          <c:idx val="0"/>
          <c:order val="0"/>
          <c:tx>
            <c:strRef>
              <c:f>'850C-NR'!$BA$156</c:f>
              <c:strCache>
                <c:ptCount val="1"/>
                <c:pt idx="0">
                  <c:v>5.0</c:v>
                </c:pt>
              </c:strCache>
            </c:strRef>
          </c:tx>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E681-4D24-9DCC-F4349673F7F5}"/>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E681-4D24-9DCC-F4349673F7F5}"/>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E681-4D24-9DCC-F4349673F7F5}"/>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E681-4D24-9DCC-F4349673F7F5}"/>
              </c:ext>
            </c:extLst>
          </c:dPt>
          <c:dLbls>
            <c:dLbl>
              <c:idx val="0"/>
              <c:tx>
                <c:rich>
                  <a:bodyPr/>
                  <a:lstStyle/>
                  <a:p>
                    <a:r>
                      <a:rPr lang="en-US"/>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681-4D24-9DCC-F4349673F7F5}"/>
                </c:ext>
              </c:extLst>
            </c:dLbl>
            <c:dLbl>
              <c:idx val="1"/>
              <c:spPr>
                <a:noFill/>
                <a:ln w="25400">
                  <a:noFill/>
                </a:ln>
              </c:spPr>
              <c:txPr>
                <a:bodyPr/>
                <a:lstStyle/>
                <a:p>
                  <a:pPr>
                    <a:defRPr sz="1200" b="0" i="0" u="none" strike="noStrike" baseline="0">
                      <a:solidFill>
                        <a:schemeClr val="bg1"/>
                      </a:solidFill>
                      <a:latin typeface="Arial"/>
                      <a:ea typeface="Arial"/>
                      <a:cs typeface="Arial"/>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'850C-NR'!$BG$166:$BG$176</c:f>
              <c:numCache>
                <c:formatCode>0</c:formatCode>
                <c:ptCount val="11"/>
                <c:pt idx="0" formatCode="General">
                  <c:v>84.29</c:v>
                </c:pt>
                <c:pt idx="1">
                  <c:v>90</c:v>
                </c:pt>
                <c:pt idx="2" formatCode="0.0">
                  <c:v>66.61132957035116</c:v>
                </c:pt>
                <c:pt idx="3" formatCode="0.0">
                  <c:v>55.92288416619364</c:v>
                </c:pt>
                <c:pt idx="4" formatCode="0.0">
                  <c:v>49.958099079018126</c:v>
                </c:pt>
                <c:pt idx="5" formatCode="0.0">
                  <c:v>47.881176981289876</c:v>
                </c:pt>
                <c:pt idx="6" formatCode="0.0">
                  <c:v>46.983048506596582</c:v>
                </c:pt>
                <c:pt idx="7" formatCode="0.0">
                  <c:v>46.983048506596582</c:v>
                </c:pt>
                <c:pt idx="8" formatCode="0.0">
                  <c:v>46.051740924545499</c:v>
                </c:pt>
                <c:pt idx="9" formatCode="0.0">
                  <c:v>46.051740924545499</c:v>
                </c:pt>
                <c:pt idx="10" formatCode="0.0">
                  <c:v>46.051740924545499</c:v>
                </c:pt>
              </c:numCache>
            </c:numRef>
          </c:val>
          <c:extLst>
            <c:ext xmlns:c16="http://schemas.microsoft.com/office/drawing/2014/chart" uri="{C3380CC4-5D6E-409C-BE32-E72D297353CC}">
              <c16:uniqueId val="{00000009-E681-4D24-9DCC-F4349673F7F5}"/>
            </c:ext>
          </c:extLst>
        </c:ser>
        <c:ser>
          <c:idx val="1"/>
          <c:order val="1"/>
          <c:tx>
            <c:strRef>
              <c:f>'850C-NR'!$BA$157</c:f>
              <c:strCache>
                <c:ptCount val="1"/>
                <c:pt idx="0">
                  <c:v>4.5</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E681-4D24-9DCC-F4349673F7F5}"/>
                </c:ext>
              </c:extLst>
            </c:dLbl>
            <c:dLbl>
              <c:idx val="2"/>
              <c:delete val="1"/>
              <c:extLst>
                <c:ext xmlns:c15="http://schemas.microsoft.com/office/drawing/2012/chart" uri="{CE6537A1-D6FC-4f65-9D91-7224C49458BB}"/>
                <c:ext xmlns:c16="http://schemas.microsoft.com/office/drawing/2014/chart" uri="{C3380CC4-5D6E-409C-BE32-E72D297353CC}">
                  <c16:uniqueId val="{0000000B-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'850C-NR'!$BH$166:$BH$168</c:f>
              <c:numCache>
                <c:formatCode>General</c:formatCode>
                <c:ptCount val="3"/>
                <c:pt idx="0">
                  <c:v>17.459999999999994</c:v>
                </c:pt>
              </c:numCache>
            </c:numRef>
          </c:val>
          <c:extLst>
            <c:ext xmlns:c16="http://schemas.microsoft.com/office/drawing/2014/chart" uri="{C3380CC4-5D6E-409C-BE32-E72D297353CC}">
              <c16:uniqueId val="{0000000C-E681-4D24-9DCC-F4349673F7F5}"/>
            </c:ext>
          </c:extLst>
        </c:ser>
        <c:ser>
          <c:idx val="2"/>
          <c:order val="2"/>
          <c:tx>
            <c:strRef>
              <c:f>'850C-NR'!$BA$158</c:f>
              <c:strCache>
                <c:ptCount val="1"/>
                <c:pt idx="0">
                  <c:v>4.0</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E681-4D24-9DCC-F4349673F7F5}"/>
                </c:ext>
              </c:extLst>
            </c:dLbl>
            <c:dLbl>
              <c:idx val="2"/>
              <c:delete val="1"/>
              <c:extLst>
                <c:ext xmlns:c15="http://schemas.microsoft.com/office/drawing/2012/chart" uri="{CE6537A1-D6FC-4f65-9D91-7224C49458BB}"/>
                <c:ext xmlns:c16="http://schemas.microsoft.com/office/drawing/2014/chart" uri="{C3380CC4-5D6E-409C-BE32-E72D297353CC}">
                  <c16:uniqueId val="{0000000E-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'850C-NR'!$BI$166:$BI$168</c:f>
              <c:numCache>
                <c:formatCode>General</c:formatCode>
                <c:ptCount val="3"/>
                <c:pt idx="0">
                  <c:v>18.560000000000002</c:v>
                </c:pt>
              </c:numCache>
            </c:numRef>
          </c:val>
          <c:extLst>
            <c:ext xmlns:c16="http://schemas.microsoft.com/office/drawing/2014/chart" uri="{C3380CC4-5D6E-409C-BE32-E72D297353CC}">
              <c16:uniqueId val="{0000000F-E681-4D24-9DCC-F4349673F7F5}"/>
            </c:ext>
          </c:extLst>
        </c:ser>
        <c:ser>
          <c:idx val="3"/>
          <c:order val="3"/>
          <c:tx>
            <c:strRef>
              <c:f>'850C-NR'!$BA$159</c:f>
              <c:strCache>
                <c:ptCount val="1"/>
                <c:pt idx="0">
                  <c:v>3.5</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E681-4D24-9DCC-F4349673F7F5}"/>
                </c:ext>
              </c:extLst>
            </c:dLbl>
            <c:dLbl>
              <c:idx val="2"/>
              <c:delete val="1"/>
              <c:extLst>
                <c:ext xmlns:c15="http://schemas.microsoft.com/office/drawing/2012/chart" uri="{CE6537A1-D6FC-4f65-9D91-7224C49458BB}"/>
                <c:ext xmlns:c16="http://schemas.microsoft.com/office/drawing/2014/chart" uri="{C3380CC4-5D6E-409C-BE32-E72D297353CC}">
                  <c16:uniqueId val="{00000011-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'850C-NR'!$BJ$166:$BJ$168</c:f>
              <c:numCache>
                <c:formatCode>General</c:formatCode>
                <c:ptCount val="3"/>
                <c:pt idx="0">
                  <c:v>18.569999999999993</c:v>
                </c:pt>
              </c:numCache>
            </c:numRef>
          </c:val>
          <c:extLst>
            <c:ext xmlns:c16="http://schemas.microsoft.com/office/drawing/2014/chart" uri="{C3380CC4-5D6E-409C-BE32-E72D297353CC}">
              <c16:uniqueId val="{00000012-E681-4D24-9DCC-F4349673F7F5}"/>
            </c:ext>
          </c:extLst>
        </c:ser>
        <c:ser>
          <c:idx val="4"/>
          <c:order val="4"/>
          <c:tx>
            <c:strRef>
              <c:f>'850C-NR'!$BA$160</c:f>
              <c:strCache>
                <c:ptCount val="1"/>
                <c:pt idx="0">
                  <c:v>3.0</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E681-4D24-9DCC-F4349673F7F5}"/>
                </c:ext>
              </c:extLst>
            </c:dLbl>
            <c:dLbl>
              <c:idx val="2"/>
              <c:delete val="1"/>
              <c:extLst>
                <c:ext xmlns:c15="http://schemas.microsoft.com/office/drawing/2012/chart" uri="{CE6537A1-D6FC-4f65-9D91-7224C49458BB}"/>
                <c:ext xmlns:c16="http://schemas.microsoft.com/office/drawing/2014/chart" uri="{C3380CC4-5D6E-409C-BE32-E72D297353CC}">
                  <c16:uniqueId val="{00000014-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'850C-NR'!$BK$166:$BK$168</c:f>
              <c:numCache>
                <c:formatCode>General</c:formatCode>
                <c:ptCount val="3"/>
                <c:pt idx="0">
                  <c:v>18.569999999999993</c:v>
                </c:pt>
              </c:numCache>
            </c:numRef>
          </c:val>
          <c:extLst>
            <c:ext xmlns:c16="http://schemas.microsoft.com/office/drawing/2014/chart" uri="{C3380CC4-5D6E-409C-BE32-E72D297353CC}">
              <c16:uniqueId val="{00000015-E681-4D24-9DCC-F4349673F7F5}"/>
            </c:ext>
          </c:extLst>
        </c:ser>
        <c:ser>
          <c:idx val="5"/>
          <c:order val="5"/>
          <c:tx>
            <c:strRef>
              <c:f>'850C-NR'!$BA$161</c:f>
              <c:strCache>
                <c:ptCount val="1"/>
                <c:pt idx="0">
                  <c:v>2.5</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E681-4D24-9DCC-F4349673F7F5}"/>
                </c:ext>
              </c:extLst>
            </c:dLbl>
            <c:dLbl>
              <c:idx val="2"/>
              <c:delete val="1"/>
              <c:extLst>
                <c:ext xmlns:c15="http://schemas.microsoft.com/office/drawing/2012/chart" uri="{CE6537A1-D6FC-4f65-9D91-7224C49458BB}"/>
                <c:ext xmlns:c16="http://schemas.microsoft.com/office/drawing/2014/chart" uri="{C3380CC4-5D6E-409C-BE32-E72D297353CC}">
                  <c16:uniqueId val="{00000017-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'850C-NR'!$BL$166:$BL$168</c:f>
              <c:numCache>
                <c:formatCode>General</c:formatCode>
                <c:ptCount val="3"/>
                <c:pt idx="0">
                  <c:v>18.560000000000002</c:v>
                </c:pt>
              </c:numCache>
            </c:numRef>
          </c:val>
          <c:extLst>
            <c:ext xmlns:c16="http://schemas.microsoft.com/office/drawing/2014/chart" uri="{C3380CC4-5D6E-409C-BE32-E72D297353CC}">
              <c16:uniqueId val="{00000018-E681-4D24-9DCC-F4349673F7F5}"/>
            </c:ext>
          </c:extLst>
        </c:ser>
        <c:ser>
          <c:idx val="6"/>
          <c:order val="6"/>
          <c:tx>
            <c:strRef>
              <c:f>'850C-NR'!$BA$162</c:f>
              <c:strCache>
                <c:ptCount val="1"/>
                <c:pt idx="0">
                  <c:v>2.0</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E681-4D24-9DCC-F4349673F7F5}"/>
                </c:ext>
              </c:extLst>
            </c:dLbl>
            <c:dLbl>
              <c:idx val="2"/>
              <c:delete val="1"/>
              <c:extLst>
                <c:ext xmlns:c15="http://schemas.microsoft.com/office/drawing/2012/chart" uri="{CE6537A1-D6FC-4f65-9D91-7224C49458BB}"/>
                <c:ext xmlns:c16="http://schemas.microsoft.com/office/drawing/2014/chart" uri="{C3380CC4-5D6E-409C-BE32-E72D297353CC}">
                  <c16:uniqueId val="{0000001A-E681-4D24-9DCC-F4349673F7F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'850C-NR'!$BM$166:$BM$168</c:f>
              <c:numCache>
                <c:formatCode>General</c:formatCode>
                <c:ptCount val="3"/>
                <c:pt idx="0">
                  <c:v>18.570000000000022</c:v>
                </c:pt>
              </c:numCache>
            </c:numRef>
          </c:val>
          <c:extLst>
            <c:ext xmlns:c16="http://schemas.microsoft.com/office/drawing/2014/chart" uri="{C3380CC4-5D6E-409C-BE32-E72D297353CC}">
              <c16:uniqueId val="{0000001B-E681-4D24-9DCC-F4349673F7F5}"/>
            </c:ext>
          </c:extLst>
        </c:ser>
        <c:ser>
          <c:idx val="7"/>
          <c:order val="7"/>
          <c:tx>
            <c:strRef>
              <c:f>'850C-NR'!$BA$163</c:f>
              <c:strCache>
                <c:ptCount val="1"/>
                <c:pt idx="0">
                  <c:v>1.5</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'850C-NR'!$BN$166</c:f>
              <c:numCache>
                <c:formatCode>General</c:formatCode>
                <c:ptCount val="1"/>
                <c:pt idx="0">
                  <c:v>18.569999999999993</c:v>
                </c:pt>
              </c:numCache>
            </c:numRef>
          </c:val>
          <c:extLst>
            <c:ext xmlns:c16="http://schemas.microsoft.com/office/drawing/2014/chart" uri="{C3380CC4-5D6E-409C-BE32-E72D297353CC}">
              <c16:uniqueId val="{0000001C-E681-4D24-9DCC-F4349673F7F5}"/>
            </c:ext>
          </c:extLst>
        </c:ser>
        <c:ser>
          <c:idx val="8"/>
          <c:order val="8"/>
          <c:tx>
            <c:strRef>
              <c:f>'850C-NR'!$BA$164</c:f>
              <c:strCache>
                <c:ptCount val="1"/>
                <c:pt idx="0">
                  <c:v>1.0</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'850C-NR'!$BO$166</c:f>
              <c:numCache>
                <c:formatCode>General</c:formatCode>
                <c:ptCount val="1"/>
                <c:pt idx="0">
                  <c:v>18.560000000000002</c:v>
                </c:pt>
              </c:numCache>
            </c:numRef>
          </c:val>
          <c:extLst>
            <c:ext xmlns:c16="http://schemas.microsoft.com/office/drawing/2014/chart" uri="{C3380CC4-5D6E-409C-BE32-E72D297353CC}">
              <c16:uniqueId val="{0000001D-E681-4D24-9DCC-F4349673F7F5}"/>
            </c:ext>
          </c:extLst>
        </c:ser>
        <c:dLbls>
          <c:showLegendKey val="0"/>
          <c:showVal val="0"/>
          <c:showCatName val="0"/>
          <c:showSerName val="0"/>
          <c:showPercent val="0"/>
          <c:showBubbleSize val="0"/>
        </c:dLbls>
        <c:gapWidth val="150"/>
        <c:overlap val="100"/>
        <c:axId val="161837824"/>
        <c:axId val="161839360"/>
      </c:barChart>
      <c:lineChart>
        <c:grouping val="standard"/>
        <c:varyColors val="0"/>
        <c:ser>
          <c:idx val="9"/>
          <c:order val="9"/>
          <c:spPr>
            <a:ln w="22225">
              <a:solidFill>
                <a:schemeClr val="tx1"/>
              </a:solidFill>
              <a:prstDash val="dash"/>
            </a:ln>
          </c:spPr>
          <c:marker>
            <c:symbol val="none"/>
          </c:marker>
          <c:val>
            <c:numRef>
              <c:f>'850C-NR'!$BE$166:$BE$176</c:f>
              <c:numCache>
                <c:formatCode>General</c:formatCode>
                <c:ptCount val="11"/>
                <c:pt idx="0">
                  <c:v>101.75</c:v>
                </c:pt>
                <c:pt idx="1">
                  <c:v>101.75</c:v>
                </c:pt>
                <c:pt idx="2">
                  <c:v>101.75</c:v>
                </c:pt>
                <c:pt idx="3">
                  <c:v>101.75</c:v>
                </c:pt>
                <c:pt idx="4">
                  <c:v>101.75</c:v>
                </c:pt>
                <c:pt idx="5">
                  <c:v>101.75</c:v>
                </c:pt>
                <c:pt idx="6">
                  <c:v>101.75</c:v>
                </c:pt>
                <c:pt idx="7">
                  <c:v>101.75</c:v>
                </c:pt>
                <c:pt idx="8">
                  <c:v>101.75</c:v>
                </c:pt>
                <c:pt idx="9">
                  <c:v>101.75</c:v>
                </c:pt>
                <c:pt idx="10">
                  <c:v>101.75</c:v>
                </c:pt>
              </c:numCache>
            </c:numRef>
          </c:val>
          <c:smooth val="0"/>
          <c:extLst>
            <c:ext xmlns:c16="http://schemas.microsoft.com/office/drawing/2014/chart" uri="{C3380CC4-5D6E-409C-BE32-E72D297353CC}">
              <c16:uniqueId val="{0000001E-E681-4D24-9DCC-F4349673F7F5}"/>
            </c:ext>
          </c:extLst>
        </c:ser>
        <c:dLbls>
          <c:showLegendKey val="0"/>
          <c:showVal val="0"/>
          <c:showCatName val="0"/>
          <c:showSerName val="0"/>
          <c:showPercent val="0"/>
          <c:showBubbleSize val="0"/>
        </c:dLbls>
        <c:marker val="1"/>
        <c:smooth val="0"/>
        <c:axId val="161837824"/>
        <c:axId val="161839360"/>
      </c:lineChart>
      <c:catAx>
        <c:axId val="1618378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9360"/>
        <c:crosses val="autoZero"/>
        <c:auto val="1"/>
        <c:lblAlgn val="ctr"/>
        <c:lblOffset val="100"/>
        <c:tickLblSkip val="1"/>
        <c:tickMarkSkip val="1"/>
        <c:noMultiLvlLbl val="0"/>
      </c:catAx>
      <c:valAx>
        <c:axId val="161839360"/>
        <c:scaling>
          <c:orientation val="minMax"/>
          <c:max val="1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782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chemeClr val="bg1"/>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5F28-4702-B0E2-1F06F1CFFB71}"/>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5F28-4702-B0E2-1F06F1CFFB71}"/>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5F28-4702-B0E2-1F06F1CFFB71}"/>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5F28-4702-B0E2-1F06F1CFFB71}"/>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5F28-4702-B0E2-1F06F1CFFB71}"/>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28-4702-B0E2-1F06F1CFFB71}"/>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28-4702-B0E2-1F06F1CFFB71}"/>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28-4702-B0E2-1F06F1CFFB71}"/>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09-5F28-4702-B0E2-1F06F1CFFB71}"/>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5F28-4702-B0E2-1F06F1CFFB71}"/>
                </c:ext>
              </c:extLst>
            </c:dLbl>
            <c:dLbl>
              <c:idx val="2"/>
              <c:delete val="1"/>
              <c:extLst>
                <c:ext xmlns:c15="http://schemas.microsoft.com/office/drawing/2012/chart" uri="{CE6537A1-D6FC-4f65-9D91-7224C49458BB}"/>
                <c:ext xmlns:c16="http://schemas.microsoft.com/office/drawing/2014/chart" uri="{C3380CC4-5D6E-409C-BE32-E72D297353CC}">
                  <c16:uniqueId val="{0000000B-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0C-5F28-4702-B0E2-1F06F1CFFB71}"/>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5F28-4702-B0E2-1F06F1CFFB71}"/>
                </c:ext>
              </c:extLst>
            </c:dLbl>
            <c:dLbl>
              <c:idx val="2"/>
              <c:delete val="1"/>
              <c:extLst>
                <c:ext xmlns:c15="http://schemas.microsoft.com/office/drawing/2012/chart" uri="{CE6537A1-D6FC-4f65-9D91-7224C49458BB}"/>
                <c:ext xmlns:c16="http://schemas.microsoft.com/office/drawing/2014/chart" uri="{C3380CC4-5D6E-409C-BE32-E72D297353CC}">
                  <c16:uniqueId val="{0000000E-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0F-5F28-4702-B0E2-1F06F1CFFB71}"/>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5F28-4702-B0E2-1F06F1CFFB71}"/>
                </c:ext>
              </c:extLst>
            </c:dLbl>
            <c:dLbl>
              <c:idx val="2"/>
              <c:delete val="1"/>
              <c:extLst>
                <c:ext xmlns:c15="http://schemas.microsoft.com/office/drawing/2012/chart" uri="{CE6537A1-D6FC-4f65-9D91-7224C49458BB}"/>
                <c:ext xmlns:c16="http://schemas.microsoft.com/office/drawing/2014/chart" uri="{C3380CC4-5D6E-409C-BE32-E72D297353CC}">
                  <c16:uniqueId val="{00000011-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12-5F28-4702-B0E2-1F06F1CFFB71}"/>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5F28-4702-B0E2-1F06F1CFFB71}"/>
                </c:ext>
              </c:extLst>
            </c:dLbl>
            <c:dLbl>
              <c:idx val="2"/>
              <c:delete val="1"/>
              <c:extLst>
                <c:ext xmlns:c15="http://schemas.microsoft.com/office/drawing/2012/chart" uri="{CE6537A1-D6FC-4f65-9D91-7224C49458BB}"/>
                <c:ext xmlns:c16="http://schemas.microsoft.com/office/drawing/2014/chart" uri="{C3380CC4-5D6E-409C-BE32-E72D297353CC}">
                  <c16:uniqueId val="{00000014-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15-5F28-4702-B0E2-1F06F1CFFB71}"/>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5F28-4702-B0E2-1F06F1CFFB71}"/>
                </c:ext>
              </c:extLst>
            </c:dLbl>
            <c:dLbl>
              <c:idx val="2"/>
              <c:delete val="1"/>
              <c:extLst>
                <c:ext xmlns:c15="http://schemas.microsoft.com/office/drawing/2012/chart" uri="{CE6537A1-D6FC-4f65-9D91-7224C49458BB}"/>
                <c:ext xmlns:c16="http://schemas.microsoft.com/office/drawing/2014/chart" uri="{C3380CC4-5D6E-409C-BE32-E72D297353CC}">
                  <c16:uniqueId val="{00000017-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18-5F28-4702-B0E2-1F06F1CFFB71}"/>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5F28-4702-B0E2-1F06F1CFFB71}"/>
                </c:ext>
              </c:extLst>
            </c:dLbl>
            <c:dLbl>
              <c:idx val="2"/>
              <c:delete val="1"/>
              <c:extLst>
                <c:ext xmlns:c15="http://schemas.microsoft.com/office/drawing/2012/chart" uri="{CE6537A1-D6FC-4f65-9D91-7224C49458BB}"/>
                <c:ext xmlns:c16="http://schemas.microsoft.com/office/drawing/2014/chart" uri="{C3380CC4-5D6E-409C-BE32-E72D297353CC}">
                  <c16:uniqueId val="{0000001A-5F28-4702-B0E2-1F06F1CFFB71}"/>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1B-5F28-4702-B0E2-1F06F1CFFB71}"/>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1C-5F28-4702-B0E2-1F06F1CFFB71}"/>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'850C-OS'!#REF!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'850C-OS'!#REF!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'850C-OS'!#REF!</c15:sqref>
                        </c15:formulaRef>
                      </c:ext>
                    </c:extLst>
                    <c:strCache>
                      <c:ptCount val="1"/>
                      <c:pt idx="0">
                        <c:v>#REF!</c:v>
                      </c:pt>
                    </c:strCache>
                  </c:strRef>
                </c15:cat>
              </c15:filteredCategoryTitle>
            </c:ext>
            <c:ext xmlns:c16="http://schemas.microsoft.com/office/drawing/2014/chart" uri="{C3380CC4-5D6E-409C-BE32-E72D297353CC}">
              <c16:uniqueId val="{0000001D-5F28-4702-B0E2-1F06F1CFFB71}"/>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'850C-OS'!#REF!</c:f>
              <c:numCache>
                <c:formatCode>General</c:formatCode>
                <c:ptCount val="1"/>
                <c:pt idx="0">
                  <c:v>1</c:v>
                </c:pt>
              </c:numCache>
            </c:numRef>
          </c:val>
          <c:smooth val="0"/>
          <c:extLst>
            <c:ext xmlns:c16="http://schemas.microsoft.com/office/drawing/2014/chart" uri="{C3380CC4-5D6E-409C-BE32-E72D297353CC}">
              <c16:uniqueId val="{0000001E-5F28-4702-B0E2-1F06F1CFFB71}"/>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25" b="1" i="0" u="none" strike="noStrike" baseline="0">
                <a:solidFill>
                  <a:srgbClr val="000000"/>
                </a:solidFill>
                <a:latin typeface="Times New Roman" panose="02020603050405020304" pitchFamily="18" charset="0"/>
                <a:ea typeface="Arial"/>
                <a:cs typeface="Times New Roman" panose="02020603050405020304" pitchFamily="18" charset="0"/>
              </a:defRPr>
            </a:pPr>
            <a:r>
              <a:rPr lang="en-AU">
                <a:latin typeface="Times New Roman" panose="02020603050405020304" pitchFamily="18" charset="0"/>
                <a:cs typeface="Times New Roman" panose="02020603050405020304" pitchFamily="18" charset="0"/>
              </a:rPr>
              <a:t>Predicted NABERS Energy Performance</a:t>
            </a:r>
          </a:p>
        </c:rich>
      </c:tx>
      <c:layout>
        <c:manualLayout>
          <c:xMode val="edge"/>
          <c:yMode val="edge"/>
          <c:x val="5.659989242316108E-3"/>
          <c:y val="8.4561782083432332E-3"/>
        </c:manualLayout>
      </c:layout>
      <c:overlay val="0"/>
      <c:spPr>
        <a:noFill/>
        <a:ln w="25400">
          <a:noFill/>
        </a:ln>
      </c:spPr>
    </c:title>
    <c:autoTitleDeleted val="0"/>
    <c:plotArea>
      <c:layout>
        <c:manualLayout>
          <c:layoutTarget val="inner"/>
          <c:xMode val="edge"/>
          <c:yMode val="edge"/>
          <c:x val="3.8039037397169975E-2"/>
          <c:y val="0.13205320815789642"/>
          <c:w val="0.9494647556502378"/>
          <c:h val="0.75870570505264134"/>
        </c:manualLayout>
      </c:layout>
      <c:barChart>
        <c:barDir val="col"/>
        <c:grouping val="stacked"/>
        <c:varyColors val="0"/>
        <c:ser>
          <c:idx val="0"/>
          <c:order val="0"/>
          <c:tx>
            <c:strRef>
              <c:f>'850C-NR_PC'!$BA$156</c:f>
              <c:strCache>
                <c:ptCount val="1"/>
                <c:pt idx="0">
                  <c:v>5.0</c:v>
                </c:pt>
              </c:strCache>
            </c:strRef>
          </c:tx>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9977-4FC7-B1F9-D76B864054D0}"/>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9977-4FC7-B1F9-D76B864054D0}"/>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9977-4FC7-B1F9-D76B864054D0}"/>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9977-4FC7-B1F9-D76B864054D0}"/>
              </c:ext>
            </c:extLst>
          </c:dPt>
          <c:dLbls>
            <c:dLbl>
              <c:idx val="0"/>
              <c:tx>
                <c:rich>
                  <a:bodyPr/>
                  <a:lstStyle/>
                  <a:p>
                    <a:r>
                      <a:rPr lang="en-US"/>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9977-4FC7-B1F9-D76B864054D0}"/>
                </c:ext>
              </c:extLst>
            </c:dLbl>
            <c:dLbl>
              <c:idx val="1"/>
              <c:spPr>
                <a:noFill/>
                <a:ln w="25400">
                  <a:noFill/>
                </a:ln>
              </c:spPr>
              <c:txPr>
                <a:bodyPr/>
                <a:lstStyle/>
                <a:p>
                  <a:pPr>
                    <a:defRPr sz="1200" b="0" i="0" u="none" strike="noStrike" baseline="0">
                      <a:solidFill>
                        <a:schemeClr val="bg1"/>
                      </a:solidFill>
                      <a:latin typeface="Arial"/>
                      <a:ea typeface="Arial"/>
                      <a:cs typeface="Arial"/>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'850C-NR_PC'!$BG$166:$BG$176</c:f>
              <c:numCache>
                <c:formatCode>0</c:formatCode>
                <c:ptCount val="11"/>
                <c:pt idx="0" formatCode="General">
                  <c:v>84.29</c:v>
                </c:pt>
                <c:pt idx="1">
                  <c:v>91.9</c:v>
                </c:pt>
                <c:pt idx="2" formatCode="0.0">
                  <c:v>49.376203448895943</c:v>
                </c:pt>
                <c:pt idx="3" formatCode="0.0">
                  <c:v>49.376203448895943</c:v>
                </c:pt>
                <c:pt idx="4" formatCode="0.0">
                  <c:v>49.376203448895943</c:v>
                </c:pt>
                <c:pt idx="5" formatCode="0.0">
                  <c:v>49.376203448895943</c:v>
                </c:pt>
                <c:pt idx="6" formatCode="0.0">
                  <c:v>49.376203448895943</c:v>
                </c:pt>
                <c:pt idx="7" formatCode="0.0">
                  <c:v>49.376203448895943</c:v>
                </c:pt>
                <c:pt idx="8" formatCode="0.0">
                  <c:v>49.376203448895943</c:v>
                </c:pt>
                <c:pt idx="9" formatCode="0.0">
                  <c:v>49.376203448895943</c:v>
                </c:pt>
                <c:pt idx="10" formatCode="0.0">
                  <c:v>49.376203448895943</c:v>
                </c:pt>
              </c:numCache>
            </c:numRef>
          </c:val>
          <c:extLst>
            <c:ext xmlns:c16="http://schemas.microsoft.com/office/drawing/2014/chart" uri="{C3380CC4-5D6E-409C-BE32-E72D297353CC}">
              <c16:uniqueId val="{00000009-9977-4FC7-B1F9-D76B864054D0}"/>
            </c:ext>
          </c:extLst>
        </c:ser>
        <c:ser>
          <c:idx val="1"/>
          <c:order val="1"/>
          <c:tx>
            <c:strRef>
              <c:f>'850C-NR_PC'!$BA$157</c:f>
              <c:strCache>
                <c:ptCount val="1"/>
                <c:pt idx="0">
                  <c:v>4.5</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9977-4FC7-B1F9-D76B864054D0}"/>
                </c:ext>
              </c:extLst>
            </c:dLbl>
            <c:dLbl>
              <c:idx val="2"/>
              <c:delete val="1"/>
              <c:extLst>
                <c:ext xmlns:c15="http://schemas.microsoft.com/office/drawing/2012/chart" uri="{CE6537A1-D6FC-4f65-9D91-7224C49458BB}"/>
                <c:ext xmlns:c16="http://schemas.microsoft.com/office/drawing/2014/chart" uri="{C3380CC4-5D6E-409C-BE32-E72D297353CC}">
                  <c16:uniqueId val="{0000000B-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'850C-NR_PC'!$BH$166:$BH$168</c:f>
              <c:numCache>
                <c:formatCode>General</c:formatCode>
                <c:ptCount val="3"/>
                <c:pt idx="0">
                  <c:v>17.459999999999994</c:v>
                </c:pt>
              </c:numCache>
            </c:numRef>
          </c:val>
          <c:extLst>
            <c:ext xmlns:c16="http://schemas.microsoft.com/office/drawing/2014/chart" uri="{C3380CC4-5D6E-409C-BE32-E72D297353CC}">
              <c16:uniqueId val="{0000000C-9977-4FC7-B1F9-D76B864054D0}"/>
            </c:ext>
          </c:extLst>
        </c:ser>
        <c:ser>
          <c:idx val="2"/>
          <c:order val="2"/>
          <c:tx>
            <c:strRef>
              <c:f>'850C-NR_PC'!$BA$158</c:f>
              <c:strCache>
                <c:ptCount val="1"/>
                <c:pt idx="0">
                  <c:v>4.0</c:v>
                </c:pt>
              </c:strCache>
            </c:strRef>
          </c:tx>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9977-4FC7-B1F9-D76B864054D0}"/>
                </c:ext>
              </c:extLst>
            </c:dLbl>
            <c:dLbl>
              <c:idx val="2"/>
              <c:delete val="1"/>
              <c:extLst>
                <c:ext xmlns:c15="http://schemas.microsoft.com/office/drawing/2012/chart" uri="{CE6537A1-D6FC-4f65-9D91-7224C49458BB}"/>
                <c:ext xmlns:c16="http://schemas.microsoft.com/office/drawing/2014/chart" uri="{C3380CC4-5D6E-409C-BE32-E72D297353CC}">
                  <c16:uniqueId val="{0000000E-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'850C-NR_PC'!$BI$166:$BI$168</c:f>
              <c:numCache>
                <c:formatCode>General</c:formatCode>
                <c:ptCount val="3"/>
                <c:pt idx="0">
                  <c:v>18.560000000000002</c:v>
                </c:pt>
              </c:numCache>
            </c:numRef>
          </c:val>
          <c:extLst>
            <c:ext xmlns:c16="http://schemas.microsoft.com/office/drawing/2014/chart" uri="{C3380CC4-5D6E-409C-BE32-E72D297353CC}">
              <c16:uniqueId val="{0000000F-9977-4FC7-B1F9-D76B864054D0}"/>
            </c:ext>
          </c:extLst>
        </c:ser>
        <c:ser>
          <c:idx val="3"/>
          <c:order val="3"/>
          <c:tx>
            <c:strRef>
              <c:f>'850C-NR_PC'!$BA$159</c:f>
              <c:strCache>
                <c:ptCount val="1"/>
                <c:pt idx="0">
                  <c:v>3.5</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9977-4FC7-B1F9-D76B864054D0}"/>
                </c:ext>
              </c:extLst>
            </c:dLbl>
            <c:dLbl>
              <c:idx val="2"/>
              <c:delete val="1"/>
              <c:extLst>
                <c:ext xmlns:c15="http://schemas.microsoft.com/office/drawing/2012/chart" uri="{CE6537A1-D6FC-4f65-9D91-7224C49458BB}"/>
                <c:ext xmlns:c16="http://schemas.microsoft.com/office/drawing/2014/chart" uri="{C3380CC4-5D6E-409C-BE32-E72D297353CC}">
                  <c16:uniqueId val="{00000011-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'850C-NR_PC'!$BJ$166:$BJ$168</c:f>
              <c:numCache>
                <c:formatCode>General</c:formatCode>
                <c:ptCount val="3"/>
                <c:pt idx="0">
                  <c:v>18.569999999999993</c:v>
                </c:pt>
              </c:numCache>
            </c:numRef>
          </c:val>
          <c:extLst>
            <c:ext xmlns:c16="http://schemas.microsoft.com/office/drawing/2014/chart" uri="{C3380CC4-5D6E-409C-BE32-E72D297353CC}">
              <c16:uniqueId val="{00000012-9977-4FC7-B1F9-D76B864054D0}"/>
            </c:ext>
          </c:extLst>
        </c:ser>
        <c:ser>
          <c:idx val="4"/>
          <c:order val="4"/>
          <c:tx>
            <c:strRef>
              <c:f>'850C-NR_PC'!$BA$160</c:f>
              <c:strCache>
                <c:ptCount val="1"/>
                <c:pt idx="0">
                  <c:v>3.0</c:v>
                </c:pt>
              </c:strCache>
            </c:strRef>
          </c:tx>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9977-4FC7-B1F9-D76B864054D0}"/>
                </c:ext>
              </c:extLst>
            </c:dLbl>
            <c:dLbl>
              <c:idx val="2"/>
              <c:delete val="1"/>
              <c:extLst>
                <c:ext xmlns:c15="http://schemas.microsoft.com/office/drawing/2012/chart" uri="{CE6537A1-D6FC-4f65-9D91-7224C49458BB}"/>
                <c:ext xmlns:c16="http://schemas.microsoft.com/office/drawing/2014/chart" uri="{C3380CC4-5D6E-409C-BE32-E72D297353CC}">
                  <c16:uniqueId val="{00000014-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'850C-NR_PC'!$BK$166:$BK$168</c:f>
              <c:numCache>
                <c:formatCode>General</c:formatCode>
                <c:ptCount val="3"/>
                <c:pt idx="0">
                  <c:v>18.569999999999993</c:v>
                </c:pt>
              </c:numCache>
            </c:numRef>
          </c:val>
          <c:extLst>
            <c:ext xmlns:c16="http://schemas.microsoft.com/office/drawing/2014/chart" uri="{C3380CC4-5D6E-409C-BE32-E72D297353CC}">
              <c16:uniqueId val="{00000015-9977-4FC7-B1F9-D76B864054D0}"/>
            </c:ext>
          </c:extLst>
        </c:ser>
        <c:ser>
          <c:idx val="5"/>
          <c:order val="5"/>
          <c:tx>
            <c:strRef>
              <c:f>'850C-NR_PC'!$BA$161</c:f>
              <c:strCache>
                <c:ptCount val="1"/>
                <c:pt idx="0">
                  <c:v>2.5</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9977-4FC7-B1F9-D76B864054D0}"/>
                </c:ext>
              </c:extLst>
            </c:dLbl>
            <c:dLbl>
              <c:idx val="2"/>
              <c:delete val="1"/>
              <c:extLst>
                <c:ext xmlns:c15="http://schemas.microsoft.com/office/drawing/2012/chart" uri="{CE6537A1-D6FC-4f65-9D91-7224C49458BB}"/>
                <c:ext xmlns:c16="http://schemas.microsoft.com/office/drawing/2014/chart" uri="{C3380CC4-5D6E-409C-BE32-E72D297353CC}">
                  <c16:uniqueId val="{00000017-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'850C-NR_PC'!$BL$166:$BL$168</c:f>
              <c:numCache>
                <c:formatCode>General</c:formatCode>
                <c:ptCount val="3"/>
                <c:pt idx="0">
                  <c:v>18.560000000000002</c:v>
                </c:pt>
              </c:numCache>
            </c:numRef>
          </c:val>
          <c:extLst>
            <c:ext xmlns:c16="http://schemas.microsoft.com/office/drawing/2014/chart" uri="{C3380CC4-5D6E-409C-BE32-E72D297353CC}">
              <c16:uniqueId val="{00000018-9977-4FC7-B1F9-D76B864054D0}"/>
            </c:ext>
          </c:extLst>
        </c:ser>
        <c:ser>
          <c:idx val="6"/>
          <c:order val="6"/>
          <c:tx>
            <c:strRef>
              <c:f>'850C-NR_PC'!$BA$162</c:f>
              <c:strCache>
                <c:ptCount val="1"/>
                <c:pt idx="0">
                  <c:v>2.0</c:v>
                </c:pt>
              </c:strCache>
            </c:strRef>
          </c:tx>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9977-4FC7-B1F9-D76B864054D0}"/>
                </c:ext>
              </c:extLst>
            </c:dLbl>
            <c:dLbl>
              <c:idx val="2"/>
              <c:delete val="1"/>
              <c:extLst>
                <c:ext xmlns:c15="http://schemas.microsoft.com/office/drawing/2012/chart" uri="{CE6537A1-D6FC-4f65-9D91-7224C49458BB}"/>
                <c:ext xmlns:c16="http://schemas.microsoft.com/office/drawing/2014/chart" uri="{C3380CC4-5D6E-409C-BE32-E72D297353CC}">
                  <c16:uniqueId val="{0000001A-9977-4FC7-B1F9-D76B864054D0}"/>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'850C-NR_PC'!$BM$166:$BM$168</c:f>
              <c:numCache>
                <c:formatCode>General</c:formatCode>
                <c:ptCount val="3"/>
                <c:pt idx="0">
                  <c:v>18.570000000000022</c:v>
                </c:pt>
              </c:numCache>
            </c:numRef>
          </c:val>
          <c:extLst>
            <c:ext xmlns:c16="http://schemas.microsoft.com/office/drawing/2014/chart" uri="{C3380CC4-5D6E-409C-BE32-E72D297353CC}">
              <c16:uniqueId val="{0000001B-9977-4FC7-B1F9-D76B864054D0}"/>
            </c:ext>
          </c:extLst>
        </c:ser>
        <c:ser>
          <c:idx val="7"/>
          <c:order val="7"/>
          <c:tx>
            <c:strRef>
              <c:f>'850C-NR_PC'!$BA$163</c:f>
              <c:strCache>
                <c:ptCount val="1"/>
                <c:pt idx="0">
                  <c:v>1.5</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'850C-NR_PC'!$BN$166</c:f>
              <c:numCache>
                <c:formatCode>General</c:formatCode>
                <c:ptCount val="1"/>
                <c:pt idx="0">
                  <c:v>18.569999999999993</c:v>
                </c:pt>
              </c:numCache>
            </c:numRef>
          </c:val>
          <c:extLst>
            <c:ext xmlns:c16="http://schemas.microsoft.com/office/drawing/2014/chart" uri="{C3380CC4-5D6E-409C-BE32-E72D297353CC}">
              <c16:uniqueId val="{0000001C-9977-4FC7-B1F9-D76B864054D0}"/>
            </c:ext>
          </c:extLst>
        </c:ser>
        <c:ser>
          <c:idx val="8"/>
          <c:order val="8"/>
          <c:tx>
            <c:strRef>
              <c:f>'850C-NR_PC'!$BA$164</c:f>
              <c:strCache>
                <c:ptCount val="1"/>
                <c:pt idx="0">
                  <c:v>1.0</c:v>
                </c:pt>
              </c:strCache>
            </c:strRef>
          </c:tx>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strRef>
              <c:f>'850C-NR_PC'!$BF$166:$BF$176</c:f>
              <c:strCache>
                <c:ptCount val="11"/>
                <c:pt idx="0">
                  <c:v>Stars</c:v>
                </c:pt>
                <c:pt idx="1">
                  <c:v>Current</c:v>
                </c:pt>
                <c:pt idx="2">
                  <c:v>Mar-2025</c:v>
                </c:pt>
                <c:pt idx="3">
                  <c:v>Mar-2026</c:v>
                </c:pt>
                <c:pt idx="4">
                  <c:v>Mar-2027</c:v>
                </c:pt>
                <c:pt idx="5">
                  <c:v>Mar-2028</c:v>
                </c:pt>
                <c:pt idx="6">
                  <c:v>Mar-2029</c:v>
                </c:pt>
                <c:pt idx="7">
                  <c:v>Mar-2030</c:v>
                </c:pt>
                <c:pt idx="8">
                  <c:v>Mar-2031</c:v>
                </c:pt>
                <c:pt idx="9">
                  <c:v>Mar-2032</c:v>
                </c:pt>
                <c:pt idx="10">
                  <c:v>Mar-2033</c:v>
                </c:pt>
              </c:strCache>
            </c:strRef>
          </c:cat>
          <c:val>
            <c:numRef>
              <c:f>'850C-NR_PC'!$BO$166</c:f>
              <c:numCache>
                <c:formatCode>General</c:formatCode>
                <c:ptCount val="1"/>
                <c:pt idx="0">
                  <c:v>18.560000000000002</c:v>
                </c:pt>
              </c:numCache>
            </c:numRef>
          </c:val>
          <c:extLst>
            <c:ext xmlns:c16="http://schemas.microsoft.com/office/drawing/2014/chart" uri="{C3380CC4-5D6E-409C-BE32-E72D297353CC}">
              <c16:uniqueId val="{0000001D-9977-4FC7-B1F9-D76B864054D0}"/>
            </c:ext>
          </c:extLst>
        </c:ser>
        <c:dLbls>
          <c:showLegendKey val="0"/>
          <c:showVal val="0"/>
          <c:showCatName val="0"/>
          <c:showSerName val="0"/>
          <c:showPercent val="0"/>
          <c:showBubbleSize val="0"/>
        </c:dLbls>
        <c:gapWidth val="150"/>
        <c:overlap val="100"/>
        <c:axId val="161837824"/>
        <c:axId val="161839360"/>
      </c:barChart>
      <c:lineChart>
        <c:grouping val="standard"/>
        <c:varyColors val="0"/>
        <c:ser>
          <c:idx val="9"/>
          <c:order val="9"/>
          <c:spPr>
            <a:ln w="22225">
              <a:solidFill>
                <a:schemeClr val="tx1"/>
              </a:solidFill>
              <a:prstDash val="dash"/>
            </a:ln>
          </c:spPr>
          <c:marker>
            <c:symbol val="none"/>
          </c:marker>
          <c:val>
            <c:numRef>
              <c:f>'850C-NR_PC'!$BE$166:$BE$176</c:f>
              <c:numCache>
                <c:formatCode>General</c:formatCode>
                <c:ptCount val="11"/>
                <c:pt idx="0">
                  <c:v>101.75</c:v>
                </c:pt>
                <c:pt idx="1">
                  <c:v>101.75</c:v>
                </c:pt>
                <c:pt idx="2">
                  <c:v>101.75</c:v>
                </c:pt>
                <c:pt idx="3">
                  <c:v>101.75</c:v>
                </c:pt>
                <c:pt idx="4">
                  <c:v>101.75</c:v>
                </c:pt>
                <c:pt idx="5">
                  <c:v>101.75</c:v>
                </c:pt>
                <c:pt idx="6">
                  <c:v>101.75</c:v>
                </c:pt>
                <c:pt idx="7">
                  <c:v>101.75</c:v>
                </c:pt>
                <c:pt idx="8">
                  <c:v>101.75</c:v>
                </c:pt>
                <c:pt idx="9">
                  <c:v>101.75</c:v>
                </c:pt>
                <c:pt idx="10">
                  <c:v>101.75</c:v>
                </c:pt>
              </c:numCache>
            </c:numRef>
          </c:val>
          <c:smooth val="0"/>
          <c:extLst>
            <c:ext xmlns:c16="http://schemas.microsoft.com/office/drawing/2014/chart" uri="{C3380CC4-5D6E-409C-BE32-E72D297353CC}">
              <c16:uniqueId val="{0000001E-9977-4FC7-B1F9-D76B864054D0}"/>
            </c:ext>
          </c:extLst>
        </c:ser>
        <c:dLbls>
          <c:showLegendKey val="0"/>
          <c:showVal val="0"/>
          <c:showCatName val="0"/>
          <c:showSerName val="0"/>
          <c:showPercent val="0"/>
          <c:showBubbleSize val="0"/>
        </c:dLbls>
        <c:marker val="1"/>
        <c:smooth val="0"/>
        <c:axId val="161837824"/>
        <c:axId val="161839360"/>
      </c:lineChart>
      <c:catAx>
        <c:axId val="1618378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9360"/>
        <c:crosses val="autoZero"/>
        <c:auto val="1"/>
        <c:lblAlgn val="ctr"/>
        <c:lblOffset val="100"/>
        <c:tickLblSkip val="1"/>
        <c:tickMarkSkip val="1"/>
        <c:noMultiLvlLbl val="0"/>
      </c:catAx>
      <c:valAx>
        <c:axId val="161839360"/>
        <c:scaling>
          <c:orientation val="minMax"/>
          <c:max val="100"/>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61837824"/>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chemeClr val="bg1"/>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NABERS Energy</a:t>
            </a:r>
          </a:p>
        </c:rich>
      </c:tx>
      <c:layout>
        <c:manualLayout>
          <c:xMode val="edge"/>
          <c:yMode val="edge"/>
          <c:x val="1.1367011707806228E-2"/>
          <c:y val="1.2642508193987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'20B-NR'!$E$57</c:f>
              <c:strCache>
                <c:ptCount val="1"/>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'20B-NR'!$F$55:$P$55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'20B-NR'!$F$57:$P$57</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EB7A-4AEF-8D0E-65ED1A440440}"/>
            </c:ext>
          </c:extLst>
        </c:ser>
        <c:ser>
          <c:idx val="2"/>
          <c:order val="1"/>
          <c:tx>
            <c:strRef>
              <c:f>'20B-NR'!$E$56</c:f>
              <c:strCache>
                <c:ptCount val="1"/>
                <c:pt idx="0">
                  <c:v>20 Bridge Street</c:v>
                </c:pt>
              </c:strCache>
            </c:strRef>
          </c:tx>
          <c:spPr>
            <a:ln w="28575" cap="rnd">
              <a:solidFill>
                <a:srgbClr val="2DCCD3"/>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EB7A-4AEF-8D0E-65ED1A44044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'20B-NR'!$F$55:$P$55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'20B-NR'!$F$56:$P$56</c:f>
              <c:numCache>
                <c:formatCode>0.00</c:formatCode>
                <c:ptCount val="11"/>
                <c:pt idx="0">
                  <c:v>4.7257012393998696</c:v>
                </c:pt>
                <c:pt idx="1">
                  <c:v>4.7257012393998696</c:v>
                </c:pt>
                <c:pt idx="2">
                  <c:v>4.7003145304979235</c:v>
                </c:pt>
                <c:pt idx="3">
                  <c:v>4.7003145304979235</c:v>
                </c:pt>
                <c:pt idx="4">
                  <c:v>4.7308108394982238</c:v>
                </c:pt>
                <c:pt idx="5">
                  <c:v>4.7769146172882726</c:v>
                </c:pt>
                <c:pt idx="6">
                  <c:v>4.7769146172882726</c:v>
                </c:pt>
                <c:pt idx="7">
                  <c:v>4.7769146172882726</c:v>
                </c:pt>
                <c:pt idx="8">
                  <c:v>5.2621652446826381</c:v>
                </c:pt>
                <c:pt idx="9">
                  <c:v>5.2621652446826381</c:v>
                </c:pt>
                <c:pt idx="10">
                  <c:v>5.2621652446826381</c:v>
                </c:pt>
              </c:numCache>
            </c:numRef>
          </c:val>
          <c:smooth val="0"/>
          <c:extLst>
            <c:ext xmlns:c16="http://schemas.microsoft.com/office/drawing/2014/chart" uri="{C3380CC4-5D6E-409C-BE32-E72D297353CC}">
              <c16:uniqueId val="{00000001-EB7A-4AEF-8D0E-65ED1A440440}"/>
            </c:ext>
          </c:extLst>
        </c:ser>
        <c:ser>
          <c:idx val="0"/>
          <c:order val="2"/>
          <c:tx>
            <c:strRef>
              <c:f>'20B-NR'!$E$58</c:f>
              <c:strCache>
                <c:ptCount val="1"/>
                <c:pt idx="0">
                  <c:v>IOM</c:v>
                </c:pt>
              </c:strCache>
            </c:strRef>
          </c:tx>
          <c:spPr>
            <a:ln w="28575" cap="rnd">
              <a:solidFill>
                <a:schemeClr val="accent1"/>
              </a:solidFill>
              <a:round/>
            </a:ln>
            <a:effectLst/>
          </c:spPr>
          <c:marker>
            <c:symbol val="none"/>
          </c:marker>
          <c:dLbls>
            <c:dLbl>
              <c:idx val="0"/>
              <c:dLblPos val="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EB7A-4AEF-8D0E-65ED1A440440}"/>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'20B-NR'!$F$55:$P$55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'20B-NR'!$F$58:$P$58</c:f>
              <c:numCache>
                <c:formatCode>0.00</c:formatCode>
                <c:ptCount val="11"/>
                <c:pt idx="0">
                  <c:v>5.2362114353485207</c:v>
                </c:pt>
                <c:pt idx="1">
                  <c:v>5.2411379167279479</c:v>
                </c:pt>
                <c:pt idx="2">
                  <c:v>5.2496818726451897</c:v>
                </c:pt>
                <c:pt idx="3">
                  <c:v>5.320108554869873</c:v>
                </c:pt>
                <c:pt idx="4">
                  <c:v>5.3391845328632543</c:v>
                </c:pt>
                <c:pt idx="5">
                  <c:v>5.3755072640861155</c:v>
                </c:pt>
                <c:pt idx="6">
                  <c:v>5.390749690844074</c:v>
                </c:pt>
                <c:pt idx="7">
                  <c:v>5.3929057608146413</c:v>
                </c:pt>
                <c:pt idx="8">
                  <c:v>5.4401140698252073</c:v>
                </c:pt>
                <c:pt idx="9">
                  <c:v>5.4606208482479177</c:v>
                </c:pt>
                <c:pt idx="10">
                  <c:v>5.4929511999918361</c:v>
                </c:pt>
              </c:numCache>
            </c:numRef>
          </c:val>
          <c:smooth val="0"/>
          <c:extLst>
            <c:ext xmlns:c16="http://schemas.microsoft.com/office/drawing/2014/chart" uri="{C3380CC4-5D6E-409C-BE32-E72D297353CC}">
              <c16:uniqueId val="{00000002-EB7A-4AEF-8D0E-65ED1A440440}"/>
            </c:ext>
          </c:extLst>
        </c:ser>
        <c:ser>
          <c:idx val="3"/>
          <c:order val="3"/>
          <c:tx>
            <c:strRef>
              <c:f>'20B-NR'!$E$59</c:f>
              <c:strCache>
                <c:ptCount val="1"/>
              </c:strCache>
            </c:strRef>
          </c:tx>
          <c:spPr>
            <a:ln w="28575" cap="rnd">
              <a:solidFill>
                <a:schemeClr val="accent4"/>
              </a:solidFill>
              <a:round/>
            </a:ln>
            <a:effectLst/>
          </c:spPr>
          <c:marker>
            <c:symbol val="none"/>
          </c:marker>
          <c:cat>
            <c:strRef>
              <c:f>'20B-NR'!$F$55:$P$55</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'20B-NR'!$F$59:$P$59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6-EB7A-4AEF-8D0E-65ED1A440440}"/>
            </c:ext>
          </c:extLst>
        </c:ser>
        <c:dLbls>
          <c:showLegendKey val="0"/>
          <c:showVal val="0"/>
          <c:showCatName val="0"/>
          <c:showSerName val="0"/>
          <c:showPercent val="0"/>
          <c:showBubbleSize val="0"/>
        </c:dLbls>
        <c:smooth val="0"/>
        <c:axId val="1173658688"/>
        <c:axId val="1173670336"/>
        <c:extLst/>
      </c:lineChart>
      <c:catAx>
        <c:axId val="117365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70336"/>
        <c:crosses val="autoZero"/>
        <c:auto val="1"/>
        <c:lblAlgn val="ctr"/>
        <c:lblOffset val="100"/>
        <c:noMultiLvlLbl val="0"/>
      </c:catAx>
      <c:valAx>
        <c:axId val="1173670336"/>
        <c:scaling>
          <c:orientation val="minMax"/>
          <c:max val="5.5"/>
          <c:min val="4.5"/>
        </c:scaling>
        <c:delete val="0"/>
        <c:axPos val="l"/>
        <c:majorGridlines>
          <c:spPr>
            <a:ln w="9525" cap="flat" cmpd="sng" algn="ctr">
              <a:solidFill>
                <a:schemeClr val="tx1">
                  <a:lumMod val="15000"/>
                  <a:lumOff val="85000"/>
                </a:schemeClr>
              </a:solidFill>
              <a:round/>
            </a:ln>
            <a:effectLst/>
          </c:spPr>
        </c:majorGridlines>
        <c:numFmt formatCode="#.##\ &quot;Stars&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173658688"/>
        <c:crosses val="autoZero"/>
        <c:crossBetween val="between"/>
        <c:majorUnit val="0.2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Emissions Intensity</a:t>
            </a:r>
            <a:r>
              <a:rPr lang="en-US" baseline="0"/>
              <a:t> (</a:t>
            </a:r>
            <a:r>
              <a:rPr lang="en-US"/>
              <a:t>kg.CO2-e/m2))</a:t>
            </a:r>
          </a:p>
        </c:rich>
      </c:tx>
      <c:layout>
        <c:manualLayout>
          <c:xMode val="edge"/>
          <c:yMode val="edge"/>
          <c:x val="3.7121541358829478E-3"/>
          <c:y val="2.9259897390685293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lineChart>
        <c:grouping val="stacked"/>
        <c:varyColors val="0"/>
        <c:ser>
          <c:idx val="0"/>
          <c:order val="0"/>
          <c:tx>
            <c:strRef>
              <c:f>'20B-NR'!$E$17</c:f>
              <c:strCache>
                <c:ptCount val="1"/>
                <c:pt idx="0">
                  <c:v>kg.CO2-e/m2</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'20B-NR'!$F$12:$P$12</c:f>
              <c:strCache>
                <c:ptCount val="11"/>
                <c:pt idx="0">
                  <c:v>BASE</c:v>
                </c:pt>
                <c:pt idx="1">
                  <c:v>CURRENT</c:v>
                </c:pt>
                <c:pt idx="2">
                  <c:v>FY25</c:v>
                </c:pt>
                <c:pt idx="3">
                  <c:v>FY26</c:v>
                </c:pt>
                <c:pt idx="4">
                  <c:v>FY27</c:v>
                </c:pt>
                <c:pt idx="5">
                  <c:v>FY28</c:v>
                </c:pt>
                <c:pt idx="6">
                  <c:v>FY29</c:v>
                </c:pt>
                <c:pt idx="7">
                  <c:v>FY30</c:v>
                </c:pt>
                <c:pt idx="8">
                  <c:v>FY31</c:v>
                </c:pt>
                <c:pt idx="9">
                  <c:v>FY32</c:v>
                </c:pt>
                <c:pt idx="10">
                  <c:v>FY33</c:v>
                </c:pt>
              </c:strCache>
            </c:strRef>
          </c:cat>
          <c:val>
            <c:numRef>
              <c:f>'20B-NR'!$F$17:$P$17</c:f>
              <c:numCache>
                <c:formatCode>0.0</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4EFB-4FD9-937C-EEEBD91FE155}"/>
            </c:ext>
          </c:extLst>
        </c:ser>
        <c:dLbls>
          <c:showLegendKey val="0"/>
          <c:showVal val="0"/>
          <c:showCatName val="0"/>
          <c:showSerName val="0"/>
          <c:showPercent val="0"/>
          <c:showBubbleSize val="0"/>
        </c:dLbls>
        <c:smooth val="0"/>
        <c:axId val="894156608"/>
        <c:axId val="894155360"/>
      </c:lineChart>
      <c:catAx>
        <c:axId val="89415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894155360"/>
        <c:crosses val="autoZero"/>
        <c:auto val="1"/>
        <c:lblAlgn val="ctr"/>
        <c:lblOffset val="100"/>
        <c:noMultiLvlLbl val="0"/>
      </c:catAx>
      <c:valAx>
        <c:axId val="894155360"/>
        <c:scaling>
          <c:orientation val="minMax"/>
          <c:max val="10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crossAx val="894156608"/>
        <c:crosses val="autoZero"/>
        <c:crossBetween val="between"/>
        <c:majorUnit val="25"/>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E7B8-4DD0-A796-E783D9BF63AA}"/>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E7B8-4DD0-A796-E783D9BF63AA}"/>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E7B8-4DD0-A796-E783D9BF63AA}"/>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E7B8-4DD0-A796-E783D9BF63AA}"/>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E7B8-4DD0-A796-E783D9BF63AA}"/>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B8-4DD0-A796-E783D9BF63AA}"/>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B8-4DD0-A796-E783D9BF63AA}"/>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B8-4DD0-A796-E783D9BF63AA}"/>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09-E7B8-4DD0-A796-E783D9BF63AA}"/>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E7B8-4DD0-A796-E783D9BF63AA}"/>
                </c:ext>
              </c:extLst>
            </c:dLbl>
            <c:dLbl>
              <c:idx val="2"/>
              <c:delete val="1"/>
              <c:extLst>
                <c:ext xmlns:c15="http://schemas.microsoft.com/office/drawing/2012/chart" uri="{CE6537A1-D6FC-4f65-9D91-7224C49458BB}"/>
                <c:ext xmlns:c16="http://schemas.microsoft.com/office/drawing/2014/chart" uri="{C3380CC4-5D6E-409C-BE32-E72D297353CC}">
                  <c16:uniqueId val="{0000000B-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0C-E7B8-4DD0-A796-E783D9BF63AA}"/>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E7B8-4DD0-A796-E783D9BF63AA}"/>
                </c:ext>
              </c:extLst>
            </c:dLbl>
            <c:dLbl>
              <c:idx val="2"/>
              <c:delete val="1"/>
              <c:extLst>
                <c:ext xmlns:c15="http://schemas.microsoft.com/office/drawing/2012/chart" uri="{CE6537A1-D6FC-4f65-9D91-7224C49458BB}"/>
                <c:ext xmlns:c16="http://schemas.microsoft.com/office/drawing/2014/chart" uri="{C3380CC4-5D6E-409C-BE32-E72D297353CC}">
                  <c16:uniqueId val="{0000000E-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0F-E7B8-4DD0-A796-E783D9BF63AA}"/>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E7B8-4DD0-A796-E783D9BF63AA}"/>
                </c:ext>
              </c:extLst>
            </c:dLbl>
            <c:dLbl>
              <c:idx val="2"/>
              <c:delete val="1"/>
              <c:extLst>
                <c:ext xmlns:c15="http://schemas.microsoft.com/office/drawing/2012/chart" uri="{CE6537A1-D6FC-4f65-9D91-7224C49458BB}"/>
                <c:ext xmlns:c16="http://schemas.microsoft.com/office/drawing/2014/chart" uri="{C3380CC4-5D6E-409C-BE32-E72D297353CC}">
                  <c16:uniqueId val="{00000011-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12-E7B8-4DD0-A796-E783D9BF63AA}"/>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E7B8-4DD0-A796-E783D9BF63AA}"/>
                </c:ext>
              </c:extLst>
            </c:dLbl>
            <c:dLbl>
              <c:idx val="2"/>
              <c:delete val="1"/>
              <c:extLst>
                <c:ext xmlns:c15="http://schemas.microsoft.com/office/drawing/2012/chart" uri="{CE6537A1-D6FC-4f65-9D91-7224C49458BB}"/>
                <c:ext xmlns:c16="http://schemas.microsoft.com/office/drawing/2014/chart" uri="{C3380CC4-5D6E-409C-BE32-E72D297353CC}">
                  <c16:uniqueId val="{00000014-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15-E7B8-4DD0-A796-E783D9BF63AA}"/>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E7B8-4DD0-A796-E783D9BF63AA}"/>
                </c:ext>
              </c:extLst>
            </c:dLbl>
            <c:dLbl>
              <c:idx val="2"/>
              <c:delete val="1"/>
              <c:extLst>
                <c:ext xmlns:c15="http://schemas.microsoft.com/office/drawing/2012/chart" uri="{CE6537A1-D6FC-4f65-9D91-7224C49458BB}"/>
                <c:ext xmlns:c16="http://schemas.microsoft.com/office/drawing/2014/chart" uri="{C3380CC4-5D6E-409C-BE32-E72D297353CC}">
                  <c16:uniqueId val="{00000017-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18-E7B8-4DD0-A796-E783D9BF63AA}"/>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E7B8-4DD0-A796-E783D9BF63AA}"/>
                </c:ext>
              </c:extLst>
            </c:dLbl>
            <c:dLbl>
              <c:idx val="2"/>
              <c:delete val="1"/>
              <c:extLst>
                <c:ext xmlns:c15="http://schemas.microsoft.com/office/drawing/2012/chart" uri="{CE6537A1-D6FC-4f65-9D91-7224C49458BB}"/>
                <c:ext xmlns:c16="http://schemas.microsoft.com/office/drawing/2014/chart" uri="{C3380CC4-5D6E-409C-BE32-E72D297353CC}">
                  <c16:uniqueId val="{0000001A-E7B8-4DD0-A796-E783D9BF63AA}"/>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1B-E7B8-4DD0-A796-E783D9BF63AA}"/>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1C-E7B8-4DD0-A796-E783D9BF63AA}"/>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'105M-OS'!#REF!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'105M-OS'!#REF!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'105M-OS'!#REF!</c15:sqref>
                        </c15:formulaRef>
                      </c:ext>
                    </c:extLst>
                    <c:strCache>
                      <c:ptCount val="1"/>
                      <c:pt idx="0">
                        <c:v>#REF!</c:v>
                      </c:pt>
                    </c:strCache>
                  </c:strRef>
                </c15:cat>
              </c15:filteredCategoryTitle>
            </c:ext>
            <c:ext xmlns:c16="http://schemas.microsoft.com/office/drawing/2014/chart" uri="{C3380CC4-5D6E-409C-BE32-E72D297353CC}">
              <c16:uniqueId val="{0000001D-E7B8-4DD0-A796-E783D9BF63AA}"/>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'105M-OS'!#REF!</c:f>
              <c:numCache>
                <c:formatCode>General</c:formatCode>
                <c:ptCount val="1"/>
                <c:pt idx="0">
                  <c:v>1</c:v>
                </c:pt>
              </c:numCache>
            </c:numRef>
          </c:val>
          <c:smooth val="0"/>
          <c:extLst>
            <c:ext xmlns:c16="http://schemas.microsoft.com/office/drawing/2014/chart" uri="{C3380CC4-5D6E-409C-BE32-E72D297353CC}">
              <c16:uniqueId val="{0000001E-E7B8-4DD0-A796-E783D9BF63AA}"/>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DEA3-4DCC-B175-2E8AF3D0C605}"/>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DEA3-4DCC-B175-2E8AF3D0C605}"/>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DEA3-4DCC-B175-2E8AF3D0C605}"/>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DEA3-4DCC-B175-2E8AF3D0C605}"/>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DEA3-4DCC-B175-2E8AF3D0C605}"/>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A3-4DCC-B175-2E8AF3D0C605}"/>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A3-4DCC-B175-2E8AF3D0C605}"/>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A3-4DCC-B175-2E8AF3D0C605}"/>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09-DEA3-4DCC-B175-2E8AF3D0C605}"/>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DEA3-4DCC-B175-2E8AF3D0C605}"/>
                </c:ext>
              </c:extLst>
            </c:dLbl>
            <c:dLbl>
              <c:idx val="2"/>
              <c:delete val="1"/>
              <c:extLst>
                <c:ext xmlns:c15="http://schemas.microsoft.com/office/drawing/2012/chart" uri="{CE6537A1-D6FC-4f65-9D91-7224C49458BB}"/>
                <c:ext xmlns:c16="http://schemas.microsoft.com/office/drawing/2014/chart" uri="{C3380CC4-5D6E-409C-BE32-E72D297353CC}">
                  <c16:uniqueId val="{0000000B-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0C-DEA3-4DCC-B175-2E8AF3D0C605}"/>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DEA3-4DCC-B175-2E8AF3D0C605}"/>
                </c:ext>
              </c:extLst>
            </c:dLbl>
            <c:dLbl>
              <c:idx val="2"/>
              <c:delete val="1"/>
              <c:extLst>
                <c:ext xmlns:c15="http://schemas.microsoft.com/office/drawing/2012/chart" uri="{CE6537A1-D6FC-4f65-9D91-7224C49458BB}"/>
                <c:ext xmlns:c16="http://schemas.microsoft.com/office/drawing/2014/chart" uri="{C3380CC4-5D6E-409C-BE32-E72D297353CC}">
                  <c16:uniqueId val="{0000000E-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0F-DEA3-4DCC-B175-2E8AF3D0C605}"/>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DEA3-4DCC-B175-2E8AF3D0C605}"/>
                </c:ext>
              </c:extLst>
            </c:dLbl>
            <c:dLbl>
              <c:idx val="2"/>
              <c:delete val="1"/>
              <c:extLst>
                <c:ext xmlns:c15="http://schemas.microsoft.com/office/drawing/2012/chart" uri="{CE6537A1-D6FC-4f65-9D91-7224C49458BB}"/>
                <c:ext xmlns:c16="http://schemas.microsoft.com/office/drawing/2014/chart" uri="{C3380CC4-5D6E-409C-BE32-E72D297353CC}">
                  <c16:uniqueId val="{00000011-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12-DEA3-4DCC-B175-2E8AF3D0C605}"/>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DEA3-4DCC-B175-2E8AF3D0C605}"/>
                </c:ext>
              </c:extLst>
            </c:dLbl>
            <c:dLbl>
              <c:idx val="2"/>
              <c:delete val="1"/>
              <c:extLst>
                <c:ext xmlns:c15="http://schemas.microsoft.com/office/drawing/2012/chart" uri="{CE6537A1-D6FC-4f65-9D91-7224C49458BB}"/>
                <c:ext xmlns:c16="http://schemas.microsoft.com/office/drawing/2014/chart" uri="{C3380CC4-5D6E-409C-BE32-E72D297353CC}">
                  <c16:uniqueId val="{00000014-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15-DEA3-4DCC-B175-2E8AF3D0C605}"/>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DEA3-4DCC-B175-2E8AF3D0C605}"/>
                </c:ext>
              </c:extLst>
            </c:dLbl>
            <c:dLbl>
              <c:idx val="2"/>
              <c:delete val="1"/>
              <c:extLst>
                <c:ext xmlns:c15="http://schemas.microsoft.com/office/drawing/2012/chart" uri="{CE6537A1-D6FC-4f65-9D91-7224C49458BB}"/>
                <c:ext xmlns:c16="http://schemas.microsoft.com/office/drawing/2014/chart" uri="{C3380CC4-5D6E-409C-BE32-E72D297353CC}">
                  <c16:uniqueId val="{00000017-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18-DEA3-4DCC-B175-2E8AF3D0C605}"/>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DEA3-4DCC-B175-2E8AF3D0C605}"/>
                </c:ext>
              </c:extLst>
            </c:dLbl>
            <c:dLbl>
              <c:idx val="2"/>
              <c:delete val="1"/>
              <c:extLst>
                <c:ext xmlns:c15="http://schemas.microsoft.com/office/drawing/2012/chart" uri="{CE6537A1-D6FC-4f65-9D91-7224C49458BB}"/>
                <c:ext xmlns:c16="http://schemas.microsoft.com/office/drawing/2014/chart" uri="{C3380CC4-5D6E-409C-BE32-E72D297353CC}">
                  <c16:uniqueId val="{0000001A-DEA3-4DCC-B175-2E8AF3D0C605}"/>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1B-DEA3-4DCC-B175-2E8AF3D0C605}"/>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1C-DEA3-4DCC-B175-2E8AF3D0C605}"/>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'QV1-OS'!#REF!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'QV1-OS'!#REF!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'QV1-OS'!#REF!</c15:sqref>
                        </c15:formulaRef>
                      </c:ext>
                    </c:extLst>
                    <c:strCache>
                      <c:ptCount val="1"/>
                      <c:pt idx="0">
                        <c:v>#REF!</c:v>
                      </c:pt>
                    </c:strCache>
                  </c:strRef>
                </c15:cat>
              </c15:filteredCategoryTitle>
            </c:ext>
            <c:ext xmlns:c16="http://schemas.microsoft.com/office/drawing/2014/chart" uri="{C3380CC4-5D6E-409C-BE32-E72D297353CC}">
              <c16:uniqueId val="{0000001D-DEA3-4DCC-B175-2E8AF3D0C605}"/>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'QV1-OS'!#REF!</c:f>
              <c:numCache>
                <c:formatCode>General</c:formatCode>
                <c:ptCount val="1"/>
                <c:pt idx="0">
                  <c:v>1</c:v>
                </c:pt>
              </c:numCache>
            </c:numRef>
          </c:val>
          <c:smooth val="0"/>
          <c:extLst>
            <c:ext xmlns:c16="http://schemas.microsoft.com/office/drawing/2014/chart" uri="{C3380CC4-5D6E-409C-BE32-E72D297353CC}">
              <c16:uniqueId val="{0000001E-DEA3-4DCC-B175-2E8AF3D0C605}"/>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2331732923628447E-2"/>
          <c:y val="5.5222347864796038E-2"/>
          <c:w val="0.91517214006785741"/>
          <c:h val="0.83553633554667028"/>
        </c:manualLayout>
      </c:layout>
      <c:barChart>
        <c:barDir val="col"/>
        <c:grouping val="stacked"/>
        <c:varyColors val="0"/>
        <c:ser>
          <c:idx val="0"/>
          <c:order val="0"/>
          <c:spPr>
            <a:solidFill>
              <a:srgbClr val="C0C0C0"/>
            </a:solidFill>
            <a:ln w="12700">
              <a:solidFill>
                <a:srgbClr val="000000"/>
              </a:solidFill>
              <a:prstDash val="solid"/>
            </a:ln>
          </c:spPr>
          <c:invertIfNegative val="0"/>
          <c:dPt>
            <c:idx val="1"/>
            <c:invertIfNegative val="0"/>
            <c:bubble3D val="0"/>
            <c:spPr>
              <a:solidFill>
                <a:schemeClr val="accent1"/>
              </a:solidFill>
              <a:ln w="12700">
                <a:solidFill>
                  <a:srgbClr val="000000"/>
                </a:solidFill>
                <a:prstDash val="solid"/>
              </a:ln>
            </c:spPr>
            <c:extLst>
              <c:ext xmlns:c16="http://schemas.microsoft.com/office/drawing/2014/chart" uri="{C3380CC4-5D6E-409C-BE32-E72D297353CC}">
                <c16:uniqueId val="{00000001-0BAC-451E-81E0-CD02C39D7697}"/>
              </c:ext>
            </c:extLst>
          </c:dPt>
          <c:dPt>
            <c:idx val="2"/>
            <c:invertIfNegative val="0"/>
            <c:bubble3D val="0"/>
            <c:spPr>
              <a:solidFill>
                <a:schemeClr val="accent3"/>
              </a:solidFill>
              <a:ln w="12700">
                <a:solidFill>
                  <a:srgbClr val="000000"/>
                </a:solidFill>
                <a:prstDash val="solid"/>
              </a:ln>
            </c:spPr>
            <c:extLst>
              <c:ext xmlns:c16="http://schemas.microsoft.com/office/drawing/2014/chart" uri="{C3380CC4-5D6E-409C-BE32-E72D297353CC}">
                <c16:uniqueId val="{00000003-0BAC-451E-81E0-CD02C39D7697}"/>
              </c:ext>
            </c:extLst>
          </c:dPt>
          <c:dPt>
            <c:idx val="3"/>
            <c:invertIfNegative val="0"/>
            <c:bubble3D val="0"/>
            <c:spPr>
              <a:solidFill>
                <a:schemeClr val="accent2"/>
              </a:solidFill>
              <a:ln w="12700">
                <a:solidFill>
                  <a:srgbClr val="000000"/>
                </a:solidFill>
                <a:prstDash val="solid"/>
              </a:ln>
            </c:spPr>
            <c:extLst>
              <c:ext xmlns:c16="http://schemas.microsoft.com/office/drawing/2014/chart" uri="{C3380CC4-5D6E-409C-BE32-E72D297353CC}">
                <c16:uniqueId val="{00000005-0BAC-451E-81E0-CD02C39D7697}"/>
              </c:ext>
            </c:extLst>
          </c:dPt>
          <c:dPt>
            <c:idx val="4"/>
            <c:invertIfNegative val="0"/>
            <c:bubble3D val="0"/>
            <c:spPr>
              <a:solidFill>
                <a:schemeClr val="accent4"/>
              </a:solidFill>
              <a:ln w="12700">
                <a:solidFill>
                  <a:srgbClr val="000000"/>
                </a:solidFill>
                <a:prstDash val="solid"/>
              </a:ln>
            </c:spPr>
            <c:extLst>
              <c:ext xmlns:c16="http://schemas.microsoft.com/office/drawing/2014/chart" uri="{C3380CC4-5D6E-409C-BE32-E72D297353CC}">
                <c16:uniqueId val="{00000007-0BAC-451E-81E0-CD02C39D7697}"/>
              </c:ext>
            </c:extLst>
          </c:dPt>
          <c:dLbls>
            <c:dLbl>
              <c:idx val="0"/>
              <c:tx>
                <c:rich>
                  <a:bodyPr/>
                  <a:lstStyle/>
                  <a:p>
                    <a:r>
                      <a:t>5.0 </a:t>
                    </a:r>
                  </a:p>
                </c:rich>
              </c:tx>
              <c:dLblPos val="ct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0BAC-451E-81E0-CD02C39D7697}"/>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AC-451E-81E0-CD02C39D7697}"/>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AC-451E-81E0-CD02C39D7697}"/>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AC-451E-81E0-CD02C39D7697}"/>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dLblPos val="ctr"/>
            <c:showLegendKey val="0"/>
            <c:showVal val="1"/>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09-0BAC-451E-81E0-CD02C39D7697}"/>
            </c:ext>
          </c:extLst>
        </c:ser>
        <c:ser>
          <c:idx val="1"/>
          <c:order val="1"/>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A-0BAC-451E-81E0-CD02C39D7697}"/>
                </c:ext>
              </c:extLst>
            </c:dLbl>
            <c:dLbl>
              <c:idx val="2"/>
              <c:delete val="1"/>
              <c:extLst>
                <c:ext xmlns:c15="http://schemas.microsoft.com/office/drawing/2012/chart" uri="{CE6537A1-D6FC-4f65-9D91-7224C49458BB}"/>
                <c:ext xmlns:c16="http://schemas.microsoft.com/office/drawing/2014/chart" uri="{C3380CC4-5D6E-409C-BE32-E72D297353CC}">
                  <c16:uniqueId val="{0000000B-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0C-0BAC-451E-81E0-CD02C39D7697}"/>
            </c:ext>
          </c:extLst>
        </c:ser>
        <c:ser>
          <c:idx val="2"/>
          <c:order val="2"/>
          <c:spPr>
            <a:solidFill>
              <a:srgbClr val="C0C0C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D-0BAC-451E-81E0-CD02C39D7697}"/>
                </c:ext>
              </c:extLst>
            </c:dLbl>
            <c:dLbl>
              <c:idx val="2"/>
              <c:delete val="1"/>
              <c:extLst>
                <c:ext xmlns:c15="http://schemas.microsoft.com/office/drawing/2012/chart" uri="{CE6537A1-D6FC-4f65-9D91-7224C49458BB}"/>
                <c:ext xmlns:c16="http://schemas.microsoft.com/office/drawing/2014/chart" uri="{C3380CC4-5D6E-409C-BE32-E72D297353CC}">
                  <c16:uniqueId val="{0000000E-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0F-0BAC-451E-81E0-CD02C39D7697}"/>
            </c:ext>
          </c:extLst>
        </c:ser>
        <c:ser>
          <c:idx val="3"/>
          <c:order val="3"/>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0-0BAC-451E-81E0-CD02C39D7697}"/>
                </c:ext>
              </c:extLst>
            </c:dLbl>
            <c:dLbl>
              <c:idx val="2"/>
              <c:delete val="1"/>
              <c:extLst>
                <c:ext xmlns:c15="http://schemas.microsoft.com/office/drawing/2012/chart" uri="{CE6537A1-D6FC-4f65-9D91-7224C49458BB}"/>
                <c:ext xmlns:c16="http://schemas.microsoft.com/office/drawing/2014/chart" uri="{C3380CC4-5D6E-409C-BE32-E72D297353CC}">
                  <c16:uniqueId val="{00000011-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12-0BAC-451E-81E0-CD02C39D7697}"/>
            </c:ext>
          </c:extLst>
        </c:ser>
        <c:ser>
          <c:idx val="4"/>
          <c:order val="4"/>
          <c:spPr>
            <a:solidFill>
              <a:srgbClr val="969696"/>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3-0BAC-451E-81E0-CD02C39D7697}"/>
                </c:ext>
              </c:extLst>
            </c:dLbl>
            <c:dLbl>
              <c:idx val="2"/>
              <c:delete val="1"/>
              <c:extLst>
                <c:ext xmlns:c15="http://schemas.microsoft.com/office/drawing/2012/chart" uri="{CE6537A1-D6FC-4f65-9D91-7224C49458BB}"/>
                <c:ext xmlns:c16="http://schemas.microsoft.com/office/drawing/2014/chart" uri="{C3380CC4-5D6E-409C-BE32-E72D297353CC}">
                  <c16:uniqueId val="{00000014-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15-0BAC-451E-81E0-CD02C39D7697}"/>
            </c:ext>
          </c:extLst>
        </c:ser>
        <c:ser>
          <c:idx val="5"/>
          <c:order val="5"/>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6-0BAC-451E-81E0-CD02C39D7697}"/>
                </c:ext>
              </c:extLst>
            </c:dLbl>
            <c:dLbl>
              <c:idx val="2"/>
              <c:delete val="1"/>
              <c:extLst>
                <c:ext xmlns:c15="http://schemas.microsoft.com/office/drawing/2012/chart" uri="{CE6537A1-D6FC-4f65-9D91-7224C49458BB}"/>
                <c:ext xmlns:c16="http://schemas.microsoft.com/office/drawing/2014/chart" uri="{C3380CC4-5D6E-409C-BE32-E72D297353CC}">
                  <c16:uniqueId val="{00000017-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18-0BAC-451E-81E0-CD02C39D7697}"/>
            </c:ext>
          </c:extLst>
        </c:ser>
        <c:ser>
          <c:idx val="6"/>
          <c:order val="6"/>
          <c:spPr>
            <a:solidFill>
              <a:srgbClr val="808080"/>
            </a:solidFill>
            <a:ln w="12700">
              <a:solidFill>
                <a:srgbClr val="000000"/>
              </a:solidFill>
              <a:prstDash val="solid"/>
            </a:ln>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19-0BAC-451E-81E0-CD02C39D7697}"/>
                </c:ext>
              </c:extLst>
            </c:dLbl>
            <c:dLbl>
              <c:idx val="2"/>
              <c:delete val="1"/>
              <c:extLst>
                <c:ext xmlns:c15="http://schemas.microsoft.com/office/drawing/2012/chart" uri="{CE6537A1-D6FC-4f65-9D91-7224C49458BB}"/>
                <c:ext xmlns:c16="http://schemas.microsoft.com/office/drawing/2014/chart" uri="{C3380CC4-5D6E-409C-BE32-E72D297353CC}">
                  <c16:uniqueId val="{0000001A-0BAC-451E-81E0-CD02C39D7697}"/>
                </c:ext>
              </c:extLst>
            </c:dLbl>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1B-0BAC-451E-81E0-CD02C39D7697}"/>
            </c:ext>
          </c:extLst>
        </c:ser>
        <c:ser>
          <c:idx val="7"/>
          <c:order val="7"/>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1C-0BAC-451E-81E0-CD02C39D7697}"/>
            </c:ext>
          </c:extLst>
        </c:ser>
        <c:ser>
          <c:idx val="8"/>
          <c:order val="8"/>
          <c:spPr>
            <a:solidFill>
              <a:srgbClr val="808080"/>
            </a:solidFill>
            <a:ln w="12700">
              <a:solidFill>
                <a:srgbClr val="000000"/>
              </a:solidFill>
              <a:prstDash val="solid"/>
            </a:ln>
          </c:spPr>
          <c:invertIfNegative val="0"/>
          <c:dLbls>
            <c:spPr>
              <a:noFill/>
              <a:ln w="25400">
                <a:noFill/>
              </a:ln>
            </c:spPr>
            <c:txPr>
              <a:bodyPr/>
              <a:lstStyle/>
              <a:p>
                <a:pPr>
                  <a:defRPr sz="1200" b="0" i="0" u="none" strike="noStrike" baseline="0">
                    <a:solidFill>
                      <a:srgbClr val="000000"/>
                    </a:solidFill>
                    <a:latin typeface="Arial"/>
                    <a:ea typeface="Arial"/>
                    <a:cs typeface="Arial"/>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val>
            <c:numRef>
              <c:f>'388G-OS'!#REF!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'388G-OS'!#REF!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'388G-OS'!#REF!</c15:sqref>
                        </c15:formulaRef>
                      </c:ext>
                    </c:extLst>
                    <c:strCache>
                      <c:ptCount val="1"/>
                      <c:pt idx="0">
                        <c:v>#REF!</c:v>
                      </c:pt>
                    </c:strCache>
                  </c:strRef>
                </c15:cat>
              </c15:filteredCategoryTitle>
            </c:ext>
            <c:ext xmlns:c16="http://schemas.microsoft.com/office/drawing/2014/chart" uri="{C3380CC4-5D6E-409C-BE32-E72D297353CC}">
              <c16:uniqueId val="{0000001D-0BAC-451E-81E0-CD02C39D7697}"/>
            </c:ext>
          </c:extLst>
        </c:ser>
        <c:dLbls>
          <c:showLegendKey val="0"/>
          <c:showVal val="0"/>
          <c:showCatName val="0"/>
          <c:showSerName val="0"/>
          <c:showPercent val="0"/>
          <c:showBubbleSize val="0"/>
        </c:dLbls>
        <c:gapWidth val="150"/>
        <c:overlap val="100"/>
        <c:axId val="172285952"/>
        <c:axId val="172287488"/>
      </c:barChart>
      <c:lineChart>
        <c:grouping val="standard"/>
        <c:varyColors val="0"/>
        <c:ser>
          <c:idx val="9"/>
          <c:order val="9"/>
          <c:spPr>
            <a:ln w="22225">
              <a:solidFill>
                <a:schemeClr val="tx1"/>
              </a:solidFill>
              <a:prstDash val="dash"/>
            </a:ln>
          </c:spPr>
          <c:marker>
            <c:symbol val="none"/>
          </c:marker>
          <c:val>
            <c:numRef>
              <c:f>'388G-OS'!#REF!</c:f>
              <c:numCache>
                <c:formatCode>General</c:formatCode>
                <c:ptCount val="1"/>
                <c:pt idx="0">
                  <c:v>1</c:v>
                </c:pt>
              </c:numCache>
            </c:numRef>
          </c:val>
          <c:smooth val="0"/>
          <c:extLst>
            <c:ext xmlns:c16="http://schemas.microsoft.com/office/drawing/2014/chart" uri="{C3380CC4-5D6E-409C-BE32-E72D297353CC}">
              <c16:uniqueId val="{0000001E-0BAC-451E-81E0-CD02C39D7697}"/>
            </c:ext>
          </c:extLst>
        </c:ser>
        <c:dLbls>
          <c:showLegendKey val="0"/>
          <c:showVal val="0"/>
          <c:showCatName val="0"/>
          <c:showSerName val="0"/>
          <c:showPercent val="0"/>
          <c:showBubbleSize val="0"/>
        </c:dLbls>
        <c:marker val="1"/>
        <c:smooth val="0"/>
        <c:axId val="172285952"/>
        <c:axId val="172287488"/>
      </c:lineChart>
      <c:catAx>
        <c:axId val="172285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7488"/>
        <c:crosses val="autoZero"/>
        <c:auto val="1"/>
        <c:lblAlgn val="ctr"/>
        <c:lblOffset val="100"/>
        <c:tickLblSkip val="1"/>
        <c:tickMarkSkip val="1"/>
        <c:noMultiLvlLbl val="0"/>
      </c:catAx>
      <c:valAx>
        <c:axId val="17228748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72285952"/>
        <c:crosses val="autoZero"/>
        <c:crossBetween val="between"/>
      </c:valAx>
      <c:spPr>
        <a:solidFill>
          <a:srgbClr val="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444" r="0.75000000000000444" t="1" header="0.5" footer="0.5"/>
    <c:pageSetup paperSize="9" orientation="landscape"/>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5" Type="http://schemas.openxmlformats.org/officeDocument/2006/relationships/chart" Target="../charts/chart19.xml"/><Relationship Id="rId4"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svg"/><Relationship Id="rId3" Type="http://schemas.openxmlformats.org/officeDocument/2006/relationships/image" Target="cid:image001.png@01D92F36.D23C0AB0" TargetMode="External"/><Relationship Id="rId7" Type="http://schemas.openxmlformats.org/officeDocument/2006/relationships/image" Target="../media/image6.sv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image" Target="../media/image14.svg"/><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image" Target="../media/image13.png"/></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image" Target="../media/image7.png"/><Relationship Id="rId7"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image" Target="../media/image16.svg"/><Relationship Id="rId5" Type="http://schemas.openxmlformats.org/officeDocument/2006/relationships/image" Target="../media/image15.png"/><Relationship Id="rId4" Type="http://schemas.openxmlformats.org/officeDocument/2006/relationships/image" Target="../media/image8.svg"/><Relationship Id="rId9"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 Id="rId4" Type="http://schemas.openxmlformats.org/officeDocument/2006/relationships/chart" Target="../charts/chart28.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1.xml"/><Relationship Id="rId2" Type="http://schemas.openxmlformats.org/officeDocument/2006/relationships/chart" Target="../charts/chart30.xml"/><Relationship Id="rId1" Type="http://schemas.openxmlformats.org/officeDocument/2006/relationships/chart" Target="../charts/chart29.xml"/><Relationship Id="rId4" Type="http://schemas.openxmlformats.org/officeDocument/2006/relationships/chart" Target="../charts/chart3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2" Type="http://schemas.openxmlformats.org/officeDocument/2006/relationships/chart" Target="../charts/chart38.xml"/><Relationship Id="rId1" Type="http://schemas.openxmlformats.org/officeDocument/2006/relationships/chart" Target="../charts/chart37.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47.xml"/><Relationship Id="rId2" Type="http://schemas.openxmlformats.org/officeDocument/2006/relationships/chart" Target="../charts/chart46.xml"/><Relationship Id="rId1" Type="http://schemas.openxmlformats.org/officeDocument/2006/relationships/chart" Target="../charts/chart45.xml"/><Relationship Id="rId4" Type="http://schemas.openxmlformats.org/officeDocument/2006/relationships/chart" Target="../charts/chart48.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58.xml"/><Relationship Id="rId2" Type="http://schemas.openxmlformats.org/officeDocument/2006/relationships/chart" Target="../charts/chart57.xml"/><Relationship Id="rId1" Type="http://schemas.openxmlformats.org/officeDocument/2006/relationships/chart" Target="../charts/chart56.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61.xml"/><Relationship Id="rId2" Type="http://schemas.openxmlformats.org/officeDocument/2006/relationships/chart" Target="../charts/chart60.xml"/><Relationship Id="rId1" Type="http://schemas.openxmlformats.org/officeDocument/2006/relationships/chart" Target="../charts/chart5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64.xml"/><Relationship Id="rId2" Type="http://schemas.openxmlformats.org/officeDocument/2006/relationships/chart" Target="../charts/chart63.xml"/><Relationship Id="rId1" Type="http://schemas.openxmlformats.org/officeDocument/2006/relationships/chart" Target="../charts/chart62.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67.xml"/><Relationship Id="rId2" Type="http://schemas.openxmlformats.org/officeDocument/2006/relationships/chart" Target="../charts/chart66.xml"/><Relationship Id="rId1" Type="http://schemas.openxmlformats.org/officeDocument/2006/relationships/chart" Target="../charts/chart6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71.xml"/><Relationship Id="rId2" Type="http://schemas.openxmlformats.org/officeDocument/2006/relationships/chart" Target="../charts/chart70.xml"/><Relationship Id="rId1" Type="http://schemas.openxmlformats.org/officeDocument/2006/relationships/chart" Target="../charts/chart69.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s>
</file>

<file path=xl/drawings/_rels/drawing26.xml.rels><?xml version="1.0" encoding="UTF-8" standalone="yes"?>
<Relationships xmlns="http://schemas.openxmlformats.org/package/2006/relationships"><Relationship Id="rId3" Type="http://schemas.openxmlformats.org/officeDocument/2006/relationships/chart" Target="../charts/chart77.xml"/><Relationship Id="rId2" Type="http://schemas.openxmlformats.org/officeDocument/2006/relationships/chart" Target="../charts/chart76.xml"/><Relationship Id="rId1" Type="http://schemas.openxmlformats.org/officeDocument/2006/relationships/chart" Target="../charts/chart75.xml"/><Relationship Id="rId4" Type="http://schemas.openxmlformats.org/officeDocument/2006/relationships/chart" Target="../charts/chart78.xml"/></Relationships>
</file>

<file path=xl/drawings/_rels/drawing27.xml.rels><?xml version="1.0" encoding="UTF-8" standalone="yes"?>
<Relationships xmlns="http://schemas.openxmlformats.org/package/2006/relationships"><Relationship Id="rId3" Type="http://schemas.openxmlformats.org/officeDocument/2006/relationships/chart" Target="../charts/chart81.xml"/><Relationship Id="rId2" Type="http://schemas.openxmlformats.org/officeDocument/2006/relationships/chart" Target="../charts/chart80.xml"/><Relationship Id="rId1" Type="http://schemas.openxmlformats.org/officeDocument/2006/relationships/chart" Target="../charts/chart79.xml"/></Relationships>
</file>

<file path=xl/drawings/_rels/drawing28.xml.rels><?xml version="1.0" encoding="UTF-8" standalone="yes"?>
<Relationships xmlns="http://schemas.openxmlformats.org/package/2006/relationships"><Relationship Id="rId3" Type="http://schemas.openxmlformats.org/officeDocument/2006/relationships/chart" Target="../charts/chart84.xml"/><Relationship Id="rId2" Type="http://schemas.openxmlformats.org/officeDocument/2006/relationships/chart" Target="../charts/chart83.xml"/><Relationship Id="rId1" Type="http://schemas.openxmlformats.org/officeDocument/2006/relationships/chart" Target="../charts/chart8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46.xml.rels><?xml version="1.0" encoding="UTF-8" standalone="yes"?>
<Relationships xmlns="http://schemas.openxmlformats.org/package/2006/relationships"><Relationship Id="rId3" Type="http://schemas.openxmlformats.org/officeDocument/2006/relationships/chart" Target="../charts/chart104.xml"/><Relationship Id="rId2" Type="http://schemas.openxmlformats.org/officeDocument/2006/relationships/chart" Target="../charts/chart103.xml"/><Relationship Id="rId1" Type="http://schemas.openxmlformats.org/officeDocument/2006/relationships/chart" Target="../charts/chart10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9.xml"/><Relationship Id="rId1" Type="http://schemas.openxmlformats.org/officeDocument/2006/relationships/chart" Target="../charts/chart108.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110.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111.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112.xml"/></Relationships>
</file>

<file path=xl/drawings/drawing1.xml><?xml version="1.0" encoding="utf-8"?>
<xdr:wsDr xmlns:xdr="http://schemas.openxmlformats.org/drawingml/2006/spreadsheetDrawing" xmlns:a="http://schemas.openxmlformats.org/drawingml/2006/main">
  <xdr:twoCellAnchor>
    <xdr:from>
      <xdr:col>36</xdr:col>
      <xdr:colOff>277467</xdr:colOff>
      <xdr:row>1</xdr:row>
      <xdr:rowOff>508552</xdr:rowOff>
    </xdr:from>
    <xdr:to>
      <xdr:col>42</xdr:col>
      <xdr:colOff>8283</xdr:colOff>
      <xdr:row>13</xdr:row>
      <xdr:rowOff>4969</xdr:rowOff>
    </xdr:to>
    <xdr:graphicFrame macro="">
      <xdr:nvGraphicFramePr>
        <xdr:cNvPr id="4" name="Chart 1">
          <a:extLst>
            <a:ext uri="{FF2B5EF4-FFF2-40B4-BE49-F238E27FC236}">
              <a16:creationId xmlns:a16="http://schemas.microsoft.com/office/drawing/2014/main" id="{EDAFDE2B-B450-49AD-846D-F37899B14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277467</xdr:colOff>
      <xdr:row>1</xdr:row>
      <xdr:rowOff>508552</xdr:rowOff>
    </xdr:from>
    <xdr:to>
      <xdr:col>41</xdr:col>
      <xdr:colOff>8283</xdr:colOff>
      <xdr:row>6</xdr:row>
      <xdr:rowOff>0</xdr:rowOff>
    </xdr:to>
    <xdr:graphicFrame macro="">
      <xdr:nvGraphicFramePr>
        <xdr:cNvPr id="4" name="Chart 1">
          <a:extLst>
            <a:ext uri="{FF2B5EF4-FFF2-40B4-BE49-F238E27FC236}">
              <a16:creationId xmlns:a16="http://schemas.microsoft.com/office/drawing/2014/main" id="{E472E71E-461E-45C1-B5F0-71FACC1A3B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37</xdr:col>
      <xdr:colOff>929032</xdr:colOff>
      <xdr:row>32</xdr:row>
      <xdr:rowOff>133074</xdr:rowOff>
    </xdr:from>
    <xdr:to>
      <xdr:col>42</xdr:col>
      <xdr:colOff>1228587</xdr:colOff>
      <xdr:row>48</xdr:row>
      <xdr:rowOff>82273</xdr:rowOff>
    </xdr:to>
    <xdr:graphicFrame macro="">
      <xdr:nvGraphicFramePr>
        <xdr:cNvPr id="5" name="Chart 4">
          <a:extLst>
            <a:ext uri="{FF2B5EF4-FFF2-40B4-BE49-F238E27FC236}">
              <a16:creationId xmlns:a16="http://schemas.microsoft.com/office/drawing/2014/main" id="{BB7DCC3C-B95A-4B8C-36EE-3313A26EB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152400</xdr:colOff>
      <xdr:row>2</xdr:row>
      <xdr:rowOff>76199</xdr:rowOff>
    </xdr:from>
    <xdr:to>
      <xdr:col>33</xdr:col>
      <xdr:colOff>171450</xdr:colOff>
      <xdr:row>27</xdr:row>
      <xdr:rowOff>47625</xdr:rowOff>
    </xdr:to>
    <xdr:graphicFrame macro="">
      <xdr:nvGraphicFramePr>
        <xdr:cNvPr id="2" name="Chart 1">
          <a:extLst>
            <a:ext uri="{FF2B5EF4-FFF2-40B4-BE49-F238E27FC236}">
              <a16:creationId xmlns:a16="http://schemas.microsoft.com/office/drawing/2014/main" id="{BA575887-D079-4DEC-96A3-8D7AA0A2CB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161925</xdr:colOff>
      <xdr:row>30</xdr:row>
      <xdr:rowOff>276225</xdr:rowOff>
    </xdr:from>
    <xdr:to>
      <xdr:col>33</xdr:col>
      <xdr:colOff>152401</xdr:colOff>
      <xdr:row>55</xdr:row>
      <xdr:rowOff>133350</xdr:rowOff>
    </xdr:to>
    <xdr:graphicFrame macro="">
      <xdr:nvGraphicFramePr>
        <xdr:cNvPr id="3" name="Chart 2">
          <a:extLst>
            <a:ext uri="{FF2B5EF4-FFF2-40B4-BE49-F238E27FC236}">
              <a16:creationId xmlns:a16="http://schemas.microsoft.com/office/drawing/2014/main" id="{5F96A93E-9F7A-43AC-9BAC-9534A7A778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152400</xdr:colOff>
      <xdr:row>57</xdr:row>
      <xdr:rowOff>100853</xdr:rowOff>
    </xdr:from>
    <xdr:to>
      <xdr:col>33</xdr:col>
      <xdr:colOff>139701</xdr:colOff>
      <xdr:row>86</xdr:row>
      <xdr:rowOff>28762</xdr:rowOff>
    </xdr:to>
    <xdr:graphicFrame macro="">
      <xdr:nvGraphicFramePr>
        <xdr:cNvPr id="4" name="Chart 3">
          <a:extLst>
            <a:ext uri="{FF2B5EF4-FFF2-40B4-BE49-F238E27FC236}">
              <a16:creationId xmlns:a16="http://schemas.microsoft.com/office/drawing/2014/main" id="{E22B777B-2060-4E1F-932E-F170EE32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171450</xdr:colOff>
      <xdr:row>88</xdr:row>
      <xdr:rowOff>219075</xdr:rowOff>
    </xdr:from>
    <xdr:to>
      <xdr:col>33</xdr:col>
      <xdr:colOff>161926</xdr:colOff>
      <xdr:row>113</xdr:row>
      <xdr:rowOff>161925</xdr:rowOff>
    </xdr:to>
    <xdr:graphicFrame macro="">
      <xdr:nvGraphicFramePr>
        <xdr:cNvPr id="5" name="Chart 4">
          <a:extLst>
            <a:ext uri="{FF2B5EF4-FFF2-40B4-BE49-F238E27FC236}">
              <a16:creationId xmlns:a16="http://schemas.microsoft.com/office/drawing/2014/main" id="{007A4885-39C0-4A03-9399-FEE6CE558C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180974</xdr:colOff>
      <xdr:row>114</xdr:row>
      <xdr:rowOff>171449</xdr:rowOff>
    </xdr:from>
    <xdr:to>
      <xdr:col>33</xdr:col>
      <xdr:colOff>152399</xdr:colOff>
      <xdr:row>140</xdr:row>
      <xdr:rowOff>28574</xdr:rowOff>
    </xdr:to>
    <xdr:graphicFrame macro="">
      <xdr:nvGraphicFramePr>
        <xdr:cNvPr id="6" name="Chart 5">
          <a:extLst>
            <a:ext uri="{FF2B5EF4-FFF2-40B4-BE49-F238E27FC236}">
              <a16:creationId xmlns:a16="http://schemas.microsoft.com/office/drawing/2014/main" id="{CC32EC6B-7409-45CB-8697-EB5B86FDB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133350</xdr:colOff>
      <xdr:row>2</xdr:row>
      <xdr:rowOff>9524</xdr:rowOff>
    </xdr:from>
    <xdr:to>
      <xdr:col>33</xdr:col>
      <xdr:colOff>152400</xdr:colOff>
      <xdr:row>26</xdr:row>
      <xdr:rowOff>152400</xdr:rowOff>
    </xdr:to>
    <xdr:graphicFrame macro="">
      <xdr:nvGraphicFramePr>
        <xdr:cNvPr id="2" name="Chart 1">
          <a:extLst>
            <a:ext uri="{FF2B5EF4-FFF2-40B4-BE49-F238E27FC236}">
              <a16:creationId xmlns:a16="http://schemas.microsoft.com/office/drawing/2014/main" id="{E9575633-D971-1359-8EC3-4EAD8626F4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158750</xdr:colOff>
      <xdr:row>28</xdr:row>
      <xdr:rowOff>114300</xdr:rowOff>
    </xdr:from>
    <xdr:to>
      <xdr:col>33</xdr:col>
      <xdr:colOff>152401</xdr:colOff>
      <xdr:row>55</xdr:row>
      <xdr:rowOff>133350</xdr:rowOff>
    </xdr:to>
    <xdr:graphicFrame macro="">
      <xdr:nvGraphicFramePr>
        <xdr:cNvPr id="3" name="Chart 2">
          <a:extLst>
            <a:ext uri="{FF2B5EF4-FFF2-40B4-BE49-F238E27FC236}">
              <a16:creationId xmlns:a16="http://schemas.microsoft.com/office/drawing/2014/main" id="{CB2C0185-0834-4D2A-A7A7-8F5D713D1F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152400</xdr:colOff>
      <xdr:row>59</xdr:row>
      <xdr:rowOff>209550</xdr:rowOff>
    </xdr:from>
    <xdr:to>
      <xdr:col>33</xdr:col>
      <xdr:colOff>142876</xdr:colOff>
      <xdr:row>84</xdr:row>
      <xdr:rowOff>123825</xdr:rowOff>
    </xdr:to>
    <xdr:graphicFrame macro="">
      <xdr:nvGraphicFramePr>
        <xdr:cNvPr id="4" name="Chart 3">
          <a:extLst>
            <a:ext uri="{FF2B5EF4-FFF2-40B4-BE49-F238E27FC236}">
              <a16:creationId xmlns:a16="http://schemas.microsoft.com/office/drawing/2014/main" id="{B20FC600-E892-40F3-A098-21B2EABB6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160402</xdr:colOff>
      <xdr:row>202</xdr:row>
      <xdr:rowOff>137832</xdr:rowOff>
    </xdr:from>
    <xdr:to>
      <xdr:col>34</xdr:col>
      <xdr:colOff>340313</xdr:colOff>
      <xdr:row>228</xdr:row>
      <xdr:rowOff>42955</xdr:rowOff>
    </xdr:to>
    <xdr:graphicFrame macro="">
      <xdr:nvGraphicFramePr>
        <xdr:cNvPr id="5" name="Chart 4">
          <a:extLst>
            <a:ext uri="{FF2B5EF4-FFF2-40B4-BE49-F238E27FC236}">
              <a16:creationId xmlns:a16="http://schemas.microsoft.com/office/drawing/2014/main" id="{7917EE97-92B2-F6E8-7535-9F82FA07F9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166779</xdr:colOff>
      <xdr:row>151</xdr:row>
      <xdr:rowOff>64062</xdr:rowOff>
    </xdr:from>
    <xdr:to>
      <xdr:col>32</xdr:col>
      <xdr:colOff>479717</xdr:colOff>
      <xdr:row>176</xdr:row>
      <xdr:rowOff>46010</xdr:rowOff>
    </xdr:to>
    <xdr:graphicFrame macro="">
      <xdr:nvGraphicFramePr>
        <xdr:cNvPr id="7" name="Chart 6">
          <a:extLst>
            <a:ext uri="{FF2B5EF4-FFF2-40B4-BE49-F238E27FC236}">
              <a16:creationId xmlns:a16="http://schemas.microsoft.com/office/drawing/2014/main" id="{65E48D08-FEA6-4CA9-ACB3-DFB6098ED1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291380</xdr:colOff>
      <xdr:row>176</xdr:row>
      <xdr:rowOff>167325</xdr:rowOff>
    </xdr:from>
    <xdr:to>
      <xdr:col>33</xdr:col>
      <xdr:colOff>9051</xdr:colOff>
      <xdr:row>199</xdr:row>
      <xdr:rowOff>157197</xdr:rowOff>
    </xdr:to>
    <xdr:graphicFrame macro="">
      <xdr:nvGraphicFramePr>
        <xdr:cNvPr id="6" name="Chart 5">
          <a:extLst>
            <a:ext uri="{FF2B5EF4-FFF2-40B4-BE49-F238E27FC236}">
              <a16:creationId xmlns:a16="http://schemas.microsoft.com/office/drawing/2014/main" id="{ABE37198-187D-9FD4-D063-0A72631B35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133350</xdr:colOff>
      <xdr:row>2</xdr:row>
      <xdr:rowOff>9524</xdr:rowOff>
    </xdr:from>
    <xdr:to>
      <xdr:col>33</xdr:col>
      <xdr:colOff>152400</xdr:colOff>
      <xdr:row>26</xdr:row>
      <xdr:rowOff>152400</xdr:rowOff>
    </xdr:to>
    <xdr:graphicFrame macro="">
      <xdr:nvGraphicFramePr>
        <xdr:cNvPr id="2" name="Chart 1">
          <a:extLst>
            <a:ext uri="{FF2B5EF4-FFF2-40B4-BE49-F238E27FC236}">
              <a16:creationId xmlns:a16="http://schemas.microsoft.com/office/drawing/2014/main" id="{F9030B23-187D-4C36-83B8-AAA67E0EE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161925</xdr:colOff>
      <xdr:row>30</xdr:row>
      <xdr:rowOff>276225</xdr:rowOff>
    </xdr:from>
    <xdr:to>
      <xdr:col>33</xdr:col>
      <xdr:colOff>152401</xdr:colOff>
      <xdr:row>55</xdr:row>
      <xdr:rowOff>133350</xdr:rowOff>
    </xdr:to>
    <xdr:graphicFrame macro="">
      <xdr:nvGraphicFramePr>
        <xdr:cNvPr id="3" name="Chart 2">
          <a:extLst>
            <a:ext uri="{FF2B5EF4-FFF2-40B4-BE49-F238E27FC236}">
              <a16:creationId xmlns:a16="http://schemas.microsoft.com/office/drawing/2014/main" id="{5CE5A603-299F-408F-982E-591FCF6FA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511069</xdr:colOff>
      <xdr:row>88</xdr:row>
      <xdr:rowOff>180218</xdr:rowOff>
    </xdr:from>
    <xdr:to>
      <xdr:col>33</xdr:col>
      <xdr:colOff>479320</xdr:colOff>
      <xdr:row>114</xdr:row>
      <xdr:rowOff>85342</xdr:rowOff>
    </xdr:to>
    <xdr:graphicFrame macro="">
      <xdr:nvGraphicFramePr>
        <xdr:cNvPr id="6" name="Chart 5">
          <a:extLst>
            <a:ext uri="{FF2B5EF4-FFF2-40B4-BE49-F238E27FC236}">
              <a16:creationId xmlns:a16="http://schemas.microsoft.com/office/drawing/2014/main" id="{57E7C1E1-7EC2-4290-9A1A-0C59C426E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335445</xdr:colOff>
      <xdr:row>59</xdr:row>
      <xdr:rowOff>119269</xdr:rowOff>
    </xdr:from>
    <xdr:to>
      <xdr:col>33</xdr:col>
      <xdr:colOff>331304</xdr:colOff>
      <xdr:row>84</xdr:row>
      <xdr:rowOff>41412</xdr:rowOff>
    </xdr:to>
    <xdr:graphicFrame macro="">
      <xdr:nvGraphicFramePr>
        <xdr:cNvPr id="9" name="Chart 8">
          <a:extLst>
            <a:ext uri="{FF2B5EF4-FFF2-40B4-BE49-F238E27FC236}">
              <a16:creationId xmlns:a16="http://schemas.microsoft.com/office/drawing/2014/main" id="{07DEC303-23D3-B58B-A790-2069188976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34</xdr:col>
      <xdr:colOff>201957</xdr:colOff>
      <xdr:row>89</xdr:row>
      <xdr:rowOff>11459</xdr:rowOff>
    </xdr:from>
    <xdr:to>
      <xdr:col>48</xdr:col>
      <xdr:colOff>165651</xdr:colOff>
      <xdr:row>115</xdr:row>
      <xdr:rowOff>86002</xdr:rowOff>
    </xdr:to>
    <xdr:graphicFrame macro="">
      <xdr:nvGraphicFramePr>
        <xdr:cNvPr id="8" name="Chart 7">
          <a:extLst>
            <a:ext uri="{FF2B5EF4-FFF2-40B4-BE49-F238E27FC236}">
              <a16:creationId xmlns:a16="http://schemas.microsoft.com/office/drawing/2014/main" id="{02F64541-5BFF-4694-602F-A6ED85E44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390525</xdr:colOff>
      <xdr:row>141</xdr:row>
      <xdr:rowOff>123825</xdr:rowOff>
    </xdr:from>
    <xdr:to>
      <xdr:col>18</xdr:col>
      <xdr:colOff>377213</xdr:colOff>
      <xdr:row>163</xdr:row>
      <xdr:rowOff>115750</xdr:rowOff>
    </xdr:to>
    <xdr:pic>
      <xdr:nvPicPr>
        <xdr:cNvPr id="5" name="Picture 4">
          <a:extLst>
            <a:ext uri="{FF2B5EF4-FFF2-40B4-BE49-F238E27FC236}">
              <a16:creationId xmlns:a16="http://schemas.microsoft.com/office/drawing/2014/main" id="{AA7577E0-647C-8488-2C34-EAB92BEB7AFB}"/>
            </a:ext>
          </a:extLst>
        </xdr:cNvPr>
        <xdr:cNvPicPr>
          <a:picLocks noChangeAspect="1"/>
        </xdr:cNvPicPr>
      </xdr:nvPicPr>
      <xdr:blipFill>
        <a:blip xmlns:r="http://schemas.openxmlformats.org/officeDocument/2006/relationships" r:embed="rId1"/>
        <a:stretch>
          <a:fillRect/>
        </a:stretch>
      </xdr:blipFill>
      <xdr:spPr>
        <a:xfrm>
          <a:off x="9467850" y="24907875"/>
          <a:ext cx="4657748" cy="3554276"/>
        </a:xfrm>
        <a:prstGeom prst="rect">
          <a:avLst/>
        </a:prstGeom>
      </xdr:spPr>
    </xdr:pic>
    <xdr:clientData/>
  </xdr:twoCellAnchor>
  <xdr:twoCellAnchor>
    <xdr:from>
      <xdr:col>11</xdr:col>
      <xdr:colOff>276225</xdr:colOff>
      <xdr:row>161</xdr:row>
      <xdr:rowOff>9525</xdr:rowOff>
    </xdr:from>
    <xdr:to>
      <xdr:col>27</xdr:col>
      <xdr:colOff>171450</xdr:colOff>
      <xdr:row>189</xdr:row>
      <xdr:rowOff>123491</xdr:rowOff>
    </xdr:to>
    <xdr:pic>
      <xdr:nvPicPr>
        <xdr:cNvPr id="6" name="Picture 13">
          <a:extLst>
            <a:ext uri="{FF2B5EF4-FFF2-40B4-BE49-F238E27FC236}">
              <a16:creationId xmlns:a16="http://schemas.microsoft.com/office/drawing/2014/main" id="{1DE8D807-B6D5-6D3D-E44F-C013B642B1A2}"/>
            </a:ext>
          </a:extLst>
        </xdr:cNvPr>
        <xdr:cNvPicPr>
          <a:picLocks noChangeAspect="1" noChangeArrowheads="1"/>
        </xdr:cNvPicPr>
      </xdr:nvPicPr>
      <xdr:blipFill>
        <a:blip xmlns:r="http://schemas.openxmlformats.org/officeDocument/2006/relationships" r:embed="rId2" r:link="rId3">
          <a:extLst>
            <a:ext uri="{28A0092B-C50C-407E-A947-70E740481C1C}">
              <a14:useLocalDpi xmlns:a14="http://schemas.microsoft.com/office/drawing/2010/main" val="0"/>
            </a:ext>
          </a:extLst>
        </a:blip>
        <a:srcRect/>
        <a:stretch>
          <a:fillRect/>
        </a:stretch>
      </xdr:blipFill>
      <xdr:spPr bwMode="auto">
        <a:xfrm>
          <a:off x="9353550" y="27746325"/>
          <a:ext cx="10067925" cy="46478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80596</xdr:colOff>
      <xdr:row>17</xdr:row>
      <xdr:rowOff>43961</xdr:rowOff>
    </xdr:from>
    <xdr:to>
      <xdr:col>17</xdr:col>
      <xdr:colOff>194896</xdr:colOff>
      <xdr:row>21</xdr:row>
      <xdr:rowOff>89974</xdr:rowOff>
    </xdr:to>
    <xdr:pic>
      <xdr:nvPicPr>
        <xdr:cNvPr id="3" name="Graphic 2">
          <a:extLst>
            <a:ext uri="{FF2B5EF4-FFF2-40B4-BE49-F238E27FC236}">
              <a16:creationId xmlns:a16="http://schemas.microsoft.com/office/drawing/2014/main" id="{CAFBDB9C-BA97-0382-DAE6-BBF6F4FA13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682904" y="3077307"/>
          <a:ext cx="722434" cy="698109"/>
        </a:xfrm>
        <a:prstGeom prst="rect">
          <a:avLst/>
        </a:prstGeom>
      </xdr:spPr>
    </xdr:pic>
    <xdr:clientData/>
  </xdr:twoCellAnchor>
  <xdr:twoCellAnchor editAs="oneCell">
    <xdr:from>
      <xdr:col>17</xdr:col>
      <xdr:colOff>579705</xdr:colOff>
      <xdr:row>17</xdr:row>
      <xdr:rowOff>33997</xdr:rowOff>
    </xdr:from>
    <xdr:to>
      <xdr:col>19</xdr:col>
      <xdr:colOff>85870</xdr:colOff>
      <xdr:row>21</xdr:row>
      <xdr:rowOff>80010</xdr:rowOff>
    </xdr:to>
    <xdr:pic>
      <xdr:nvPicPr>
        <xdr:cNvPr id="7" name="Graphic 6">
          <a:extLst>
            <a:ext uri="{FF2B5EF4-FFF2-40B4-BE49-F238E27FC236}">
              <a16:creationId xmlns:a16="http://schemas.microsoft.com/office/drawing/2014/main" id="{FAF2FDA0-6C90-5B56-796A-5B3F094C1F8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166751" y="3152335"/>
          <a:ext cx="725365" cy="731813"/>
        </a:xfrm>
        <a:prstGeom prst="rect">
          <a:avLst/>
        </a:prstGeom>
      </xdr:spPr>
    </xdr:pic>
    <xdr:clientData/>
  </xdr:twoCellAnchor>
  <xdr:twoCellAnchor editAs="oneCell">
    <xdr:from>
      <xdr:col>20</xdr:col>
      <xdr:colOff>164124</xdr:colOff>
      <xdr:row>18</xdr:row>
      <xdr:rowOff>145367</xdr:rowOff>
    </xdr:from>
    <xdr:to>
      <xdr:col>21</xdr:col>
      <xdr:colOff>278423</xdr:colOff>
      <xdr:row>23</xdr:row>
      <xdr:rowOff>31066</xdr:rowOff>
    </xdr:to>
    <xdr:pic>
      <xdr:nvPicPr>
        <xdr:cNvPr id="9" name="Graphic 8">
          <a:extLst>
            <a:ext uri="{FF2B5EF4-FFF2-40B4-BE49-F238E27FC236}">
              <a16:creationId xmlns:a16="http://schemas.microsoft.com/office/drawing/2014/main" id="{62101797-4AB4-955C-D5AE-9A2CF9DFA2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198970" y="3347232"/>
          <a:ext cx="722434" cy="691661"/>
        </a:xfrm>
        <a:prstGeom prst="rect">
          <a:avLst/>
        </a:prstGeom>
      </xdr:spPr>
    </xdr:pic>
    <xdr:clientData/>
  </xdr:twoCellAnchor>
  <xdr:twoCellAnchor editAs="oneCell">
    <xdr:from>
      <xdr:col>17</xdr:col>
      <xdr:colOff>23447</xdr:colOff>
      <xdr:row>14</xdr:row>
      <xdr:rowOff>112314</xdr:rowOff>
    </xdr:from>
    <xdr:to>
      <xdr:col>17</xdr:col>
      <xdr:colOff>431555</xdr:colOff>
      <xdr:row>16</xdr:row>
      <xdr:rowOff>101275</xdr:rowOff>
    </xdr:to>
    <xdr:pic>
      <xdr:nvPicPr>
        <xdr:cNvPr id="11" name="Graphic 10">
          <a:extLst>
            <a:ext uri="{FF2B5EF4-FFF2-40B4-BE49-F238E27FC236}">
              <a16:creationId xmlns:a16="http://schemas.microsoft.com/office/drawing/2014/main" id="{4D961A2B-89C0-3639-2AA8-7C2A42F12C1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3233889" y="2544852"/>
          <a:ext cx="408108" cy="391942"/>
        </a:xfrm>
        <a:prstGeom prst="rect">
          <a:avLst/>
        </a:prstGeom>
      </xdr:spPr>
    </xdr:pic>
    <xdr:clientData/>
  </xdr:twoCellAnchor>
  <xdr:twoCellAnchor editAs="oneCell">
    <xdr:from>
      <xdr:col>17</xdr:col>
      <xdr:colOff>571501</xdr:colOff>
      <xdr:row>14</xdr:row>
      <xdr:rowOff>80596</xdr:rowOff>
    </xdr:from>
    <xdr:to>
      <xdr:col>18</xdr:col>
      <xdr:colOff>354035</xdr:colOff>
      <xdr:row>16</xdr:row>
      <xdr:rowOff>58616</xdr:rowOff>
    </xdr:to>
    <xdr:pic>
      <xdr:nvPicPr>
        <xdr:cNvPr id="13" name="Graphic 12">
          <a:extLst>
            <a:ext uri="{FF2B5EF4-FFF2-40B4-BE49-F238E27FC236}">
              <a16:creationId xmlns:a16="http://schemas.microsoft.com/office/drawing/2014/main" id="{857C9660-A5D1-5F8F-D31B-3061D937DEC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781943" y="2513134"/>
          <a:ext cx="390669" cy="381001"/>
        </a:xfrm>
        <a:prstGeom prst="rect">
          <a:avLst/>
        </a:prstGeom>
      </xdr:spPr>
    </xdr:pic>
    <xdr:clientData/>
  </xdr:twoCellAnchor>
  <xdr:twoCellAnchor editAs="oneCell">
    <xdr:from>
      <xdr:col>20</xdr:col>
      <xdr:colOff>0</xdr:colOff>
      <xdr:row>14</xdr:row>
      <xdr:rowOff>0</xdr:rowOff>
    </xdr:from>
    <xdr:to>
      <xdr:col>21</xdr:col>
      <xdr:colOff>114300</xdr:colOff>
      <xdr:row>17</xdr:row>
      <xdr:rowOff>137160</xdr:rowOff>
    </xdr:to>
    <xdr:pic>
      <xdr:nvPicPr>
        <xdr:cNvPr id="15" name="Graphic 14">
          <a:extLst>
            <a:ext uri="{FF2B5EF4-FFF2-40B4-BE49-F238E27FC236}">
              <a16:creationId xmlns:a16="http://schemas.microsoft.com/office/drawing/2014/main" id="{19DEA9D4-46E5-92D0-C52F-F19042FA359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392400" y="2499360"/>
          <a:ext cx="723900" cy="7239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17</xdr:col>
      <xdr:colOff>985030</xdr:colOff>
      <xdr:row>30</xdr:row>
      <xdr:rowOff>118445</xdr:rowOff>
    </xdr:from>
    <xdr:to>
      <xdr:col>23</xdr:col>
      <xdr:colOff>138545</xdr:colOff>
      <xdr:row>49</xdr:row>
      <xdr:rowOff>133687</xdr:rowOff>
    </xdr:to>
    <xdr:graphicFrame macro="">
      <xdr:nvGraphicFramePr>
        <xdr:cNvPr id="2" name="Chart 1">
          <a:extLst>
            <a:ext uri="{FF2B5EF4-FFF2-40B4-BE49-F238E27FC236}">
              <a16:creationId xmlns:a16="http://schemas.microsoft.com/office/drawing/2014/main" id="{7A791342-3635-4368-A46F-72588C4250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34313</xdr:colOff>
      <xdr:row>12</xdr:row>
      <xdr:rowOff>213573</xdr:rowOff>
    </xdr:from>
    <xdr:to>
      <xdr:col>53</xdr:col>
      <xdr:colOff>412947</xdr:colOff>
      <xdr:row>28</xdr:row>
      <xdr:rowOff>194603</xdr:rowOff>
    </xdr:to>
    <xdr:graphicFrame macro="">
      <xdr:nvGraphicFramePr>
        <xdr:cNvPr id="8" name="Chart 7">
          <a:extLst>
            <a:ext uri="{FF2B5EF4-FFF2-40B4-BE49-F238E27FC236}">
              <a16:creationId xmlns:a16="http://schemas.microsoft.com/office/drawing/2014/main" id="{2C403932-7B51-456D-9DFE-9D9D601A9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27</xdr:col>
      <xdr:colOff>0</xdr:colOff>
      <xdr:row>11</xdr:row>
      <xdr:rowOff>0</xdr:rowOff>
    </xdr:from>
    <xdr:to>
      <xdr:col>27</xdr:col>
      <xdr:colOff>510988</xdr:colOff>
      <xdr:row>12</xdr:row>
      <xdr:rowOff>44824</xdr:rowOff>
    </xdr:to>
    <xdr:pic>
      <xdr:nvPicPr>
        <xdr:cNvPr id="21" name="Graphic 20">
          <a:extLst>
            <a:ext uri="{FF2B5EF4-FFF2-40B4-BE49-F238E27FC236}">
              <a16:creationId xmlns:a16="http://schemas.microsoft.com/office/drawing/2014/main" id="{E6790EB1-7CCD-0E7B-8B91-6A728A7CC8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7320071" y="4061012"/>
          <a:ext cx="510988" cy="510988"/>
        </a:xfrm>
        <a:prstGeom prst="rect">
          <a:avLst/>
        </a:prstGeom>
      </xdr:spPr>
    </xdr:pic>
    <xdr:clientData/>
  </xdr:twoCellAnchor>
  <xdr:twoCellAnchor editAs="oneCell">
    <xdr:from>
      <xdr:col>19</xdr:col>
      <xdr:colOff>1004047</xdr:colOff>
      <xdr:row>29</xdr:row>
      <xdr:rowOff>188255</xdr:rowOff>
    </xdr:from>
    <xdr:to>
      <xdr:col>19</xdr:col>
      <xdr:colOff>1488144</xdr:colOff>
      <xdr:row>31</xdr:row>
      <xdr:rowOff>35858</xdr:rowOff>
    </xdr:to>
    <xdr:pic>
      <xdr:nvPicPr>
        <xdr:cNvPr id="23" name="Graphic 22">
          <a:extLst>
            <a:ext uri="{FF2B5EF4-FFF2-40B4-BE49-F238E27FC236}">
              <a16:creationId xmlns:a16="http://schemas.microsoft.com/office/drawing/2014/main" id="{66E6927F-B53C-B7ED-45B7-B603CDC39C2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7091341" y="9359149"/>
          <a:ext cx="484097" cy="484097"/>
        </a:xfrm>
        <a:prstGeom prst="rect">
          <a:avLst/>
        </a:prstGeom>
      </xdr:spPr>
    </xdr:pic>
    <xdr:clientData/>
  </xdr:twoCellAnchor>
  <xdr:twoCellAnchor>
    <xdr:from>
      <xdr:col>23</xdr:col>
      <xdr:colOff>900545</xdr:colOff>
      <xdr:row>16</xdr:row>
      <xdr:rowOff>232967</xdr:rowOff>
    </xdr:from>
    <xdr:to>
      <xdr:col>28</xdr:col>
      <xdr:colOff>555418</xdr:colOff>
      <xdr:row>28</xdr:row>
      <xdr:rowOff>271067</xdr:rowOff>
    </xdr:to>
    <xdr:graphicFrame macro="">
      <xdr:nvGraphicFramePr>
        <xdr:cNvPr id="10" name="Chart 9">
          <a:extLst>
            <a:ext uri="{FF2B5EF4-FFF2-40B4-BE49-F238E27FC236}">
              <a16:creationId xmlns:a16="http://schemas.microsoft.com/office/drawing/2014/main" id="{E70370EE-DD38-810D-3D2C-E795BD4DE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477983</xdr:colOff>
      <xdr:row>13</xdr:row>
      <xdr:rowOff>142063</xdr:rowOff>
    </xdr:from>
    <xdr:to>
      <xdr:col>23</xdr:col>
      <xdr:colOff>259774</xdr:colOff>
      <xdr:row>28</xdr:row>
      <xdr:rowOff>334745</xdr:rowOff>
    </xdr:to>
    <xdr:graphicFrame macro="">
      <xdr:nvGraphicFramePr>
        <xdr:cNvPr id="3" name="Chart 2">
          <a:extLst>
            <a:ext uri="{FF2B5EF4-FFF2-40B4-BE49-F238E27FC236}">
              <a16:creationId xmlns:a16="http://schemas.microsoft.com/office/drawing/2014/main" id="{4048785D-E1B6-44F2-B645-E8D14CA355D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xdr:from>
      <xdr:col>17</xdr:col>
      <xdr:colOff>744682</xdr:colOff>
      <xdr:row>2</xdr:row>
      <xdr:rowOff>155864</xdr:rowOff>
    </xdr:from>
    <xdr:to>
      <xdr:col>23</xdr:col>
      <xdr:colOff>346365</xdr:colOff>
      <xdr:row>11</xdr:row>
      <xdr:rowOff>382443</xdr:rowOff>
    </xdr:to>
    <xdr:graphicFrame macro="">
      <xdr:nvGraphicFramePr>
        <xdr:cNvPr id="4" name="Chart 3">
          <a:extLst>
            <a:ext uri="{FF2B5EF4-FFF2-40B4-BE49-F238E27FC236}">
              <a16:creationId xmlns:a16="http://schemas.microsoft.com/office/drawing/2014/main" id="{838210E7-DB83-4FFF-A91B-3848A9E74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29</xdr:row>
      <xdr:rowOff>144914</xdr:rowOff>
    </xdr:from>
    <xdr:to>
      <xdr:col>3</xdr:col>
      <xdr:colOff>564490</xdr:colOff>
      <xdr:row>38</xdr:row>
      <xdr:rowOff>684175</xdr:rowOff>
    </xdr:to>
    <xdr:graphicFrame macro="">
      <xdr:nvGraphicFramePr>
        <xdr:cNvPr id="2" name="Chart 1">
          <a:extLst>
            <a:ext uri="{FF2B5EF4-FFF2-40B4-BE49-F238E27FC236}">
              <a16:creationId xmlns:a16="http://schemas.microsoft.com/office/drawing/2014/main" id="{85052FE6-E596-4096-9C52-0FBB0E2B0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519545</xdr:colOff>
      <xdr:row>40</xdr:row>
      <xdr:rowOff>186753</xdr:rowOff>
    </xdr:from>
    <xdr:to>
      <xdr:col>6</xdr:col>
      <xdr:colOff>1354116</xdr:colOff>
      <xdr:row>58</xdr:row>
      <xdr:rowOff>9897</xdr:rowOff>
    </xdr:to>
    <xdr:graphicFrame macro="">
      <xdr:nvGraphicFramePr>
        <xdr:cNvPr id="3" name="Chart 2">
          <a:extLst>
            <a:ext uri="{FF2B5EF4-FFF2-40B4-BE49-F238E27FC236}">
              <a16:creationId xmlns:a16="http://schemas.microsoft.com/office/drawing/2014/main" id="{25D57E6D-8732-4056-BCA9-7E6296B2C5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6942</xdr:rowOff>
    </xdr:from>
    <xdr:to>
      <xdr:col>3</xdr:col>
      <xdr:colOff>360032</xdr:colOff>
      <xdr:row>58</xdr:row>
      <xdr:rowOff>46181</xdr:rowOff>
    </xdr:to>
    <xdr:graphicFrame macro="">
      <xdr:nvGraphicFramePr>
        <xdr:cNvPr id="4" name="Chart 3">
          <a:extLst>
            <a:ext uri="{FF2B5EF4-FFF2-40B4-BE49-F238E27FC236}">
              <a16:creationId xmlns:a16="http://schemas.microsoft.com/office/drawing/2014/main" id="{1827EC72-9474-47E6-AB36-00361FE9C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4</xdr:col>
      <xdr:colOff>115454</xdr:colOff>
      <xdr:row>30</xdr:row>
      <xdr:rowOff>84211</xdr:rowOff>
    </xdr:from>
    <xdr:to>
      <xdr:col>8</xdr:col>
      <xdr:colOff>1068292</xdr:colOff>
      <xdr:row>38</xdr:row>
      <xdr:rowOff>624019</xdr:rowOff>
    </xdr:to>
    <xdr:graphicFrame macro="">
      <xdr:nvGraphicFramePr>
        <xdr:cNvPr id="5" name="Chart 4">
          <a:extLst>
            <a:ext uri="{FF2B5EF4-FFF2-40B4-BE49-F238E27FC236}">
              <a16:creationId xmlns:a16="http://schemas.microsoft.com/office/drawing/2014/main" id="{396352C7-D36E-4C4B-9929-F3AD63072D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681182</xdr:colOff>
      <xdr:row>29</xdr:row>
      <xdr:rowOff>43707</xdr:rowOff>
    </xdr:from>
    <xdr:to>
      <xdr:col>23</xdr:col>
      <xdr:colOff>760351</xdr:colOff>
      <xdr:row>50</xdr:row>
      <xdr:rowOff>68448</xdr:rowOff>
    </xdr:to>
    <xdr:graphicFrame macro="">
      <xdr:nvGraphicFramePr>
        <xdr:cNvPr id="7" name="Chart 6">
          <a:extLst>
            <a:ext uri="{FF2B5EF4-FFF2-40B4-BE49-F238E27FC236}">
              <a16:creationId xmlns:a16="http://schemas.microsoft.com/office/drawing/2014/main" id="{234A9354-474F-4E47-8FDF-EC4AC934F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1337279</xdr:colOff>
      <xdr:row>12</xdr:row>
      <xdr:rowOff>136071</xdr:rowOff>
    </xdr:from>
    <xdr:to>
      <xdr:col>27</xdr:col>
      <xdr:colOff>2421247</xdr:colOff>
      <xdr:row>28</xdr:row>
      <xdr:rowOff>127000</xdr:rowOff>
    </xdr:to>
    <xdr:graphicFrame macro="">
      <xdr:nvGraphicFramePr>
        <xdr:cNvPr id="12" name="Chart 11">
          <a:extLst>
            <a:ext uri="{FF2B5EF4-FFF2-40B4-BE49-F238E27FC236}">
              <a16:creationId xmlns:a16="http://schemas.microsoft.com/office/drawing/2014/main" id="{07118C50-2376-4739-A38F-755C04A9A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715817</xdr:colOff>
      <xdr:row>12</xdr:row>
      <xdr:rowOff>41835</xdr:rowOff>
    </xdr:from>
    <xdr:to>
      <xdr:col>23</xdr:col>
      <xdr:colOff>809625</xdr:colOff>
      <xdr:row>28</xdr:row>
      <xdr:rowOff>219982</xdr:rowOff>
    </xdr:to>
    <xdr:graphicFrame macro="">
      <xdr:nvGraphicFramePr>
        <xdr:cNvPr id="21" name="Chart 20">
          <a:extLst>
            <a:ext uri="{FF2B5EF4-FFF2-40B4-BE49-F238E27FC236}">
              <a16:creationId xmlns:a16="http://schemas.microsoft.com/office/drawing/2014/main" id="{95C49F5E-FEB5-4805-89C2-598C121DBD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17</xdr:col>
      <xdr:colOff>410882</xdr:colOff>
      <xdr:row>0</xdr:row>
      <xdr:rowOff>475656</xdr:rowOff>
    </xdr:from>
    <xdr:to>
      <xdr:col>23</xdr:col>
      <xdr:colOff>739587</xdr:colOff>
      <xdr:row>11</xdr:row>
      <xdr:rowOff>271122</xdr:rowOff>
    </xdr:to>
    <xdr:graphicFrame macro="">
      <xdr:nvGraphicFramePr>
        <xdr:cNvPr id="22" name="Chart 21">
          <a:extLst>
            <a:ext uri="{FF2B5EF4-FFF2-40B4-BE49-F238E27FC236}">
              <a16:creationId xmlns:a16="http://schemas.microsoft.com/office/drawing/2014/main" id="{74FD3734-024C-4100-B39F-6E5835687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163286</xdr:colOff>
      <xdr:row>116</xdr:row>
      <xdr:rowOff>42342</xdr:rowOff>
    </xdr:from>
    <xdr:to>
      <xdr:col>15</xdr:col>
      <xdr:colOff>346341</xdr:colOff>
      <xdr:row>140</xdr:row>
      <xdr:rowOff>18809</xdr:rowOff>
    </xdr:to>
    <xdr:graphicFrame macro="">
      <xdr:nvGraphicFramePr>
        <xdr:cNvPr id="2" name="Chart 2">
          <a:extLst>
            <a:ext uri="{FF2B5EF4-FFF2-40B4-BE49-F238E27FC236}">
              <a16:creationId xmlns:a16="http://schemas.microsoft.com/office/drawing/2014/main" id="{E3D18A39-9A90-47BB-9C63-B2574026C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1232647</xdr:colOff>
      <xdr:row>29</xdr:row>
      <xdr:rowOff>257735</xdr:rowOff>
    </xdr:from>
    <xdr:to>
      <xdr:col>23</xdr:col>
      <xdr:colOff>657144</xdr:colOff>
      <xdr:row>51</xdr:row>
      <xdr:rowOff>20012</xdr:rowOff>
    </xdr:to>
    <xdr:graphicFrame macro="">
      <xdr:nvGraphicFramePr>
        <xdr:cNvPr id="3" name="Chart 2">
          <a:extLst>
            <a:ext uri="{FF2B5EF4-FFF2-40B4-BE49-F238E27FC236}">
              <a16:creationId xmlns:a16="http://schemas.microsoft.com/office/drawing/2014/main" id="{449BB102-88E5-4096-8F1E-1C6071750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802821</xdr:colOff>
      <xdr:row>15</xdr:row>
      <xdr:rowOff>54429</xdr:rowOff>
    </xdr:from>
    <xdr:to>
      <xdr:col>23</xdr:col>
      <xdr:colOff>851727</xdr:colOff>
      <xdr:row>29</xdr:row>
      <xdr:rowOff>17530</xdr:rowOff>
    </xdr:to>
    <xdr:graphicFrame macro="">
      <xdr:nvGraphicFramePr>
        <xdr:cNvPr id="4" name="Chart 3">
          <a:extLst>
            <a:ext uri="{FF2B5EF4-FFF2-40B4-BE49-F238E27FC236}">
              <a16:creationId xmlns:a16="http://schemas.microsoft.com/office/drawing/2014/main" id="{5BE51C65-4701-4768-BC77-FB5F031E3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806823</xdr:colOff>
      <xdr:row>3</xdr:row>
      <xdr:rowOff>156882</xdr:rowOff>
    </xdr:from>
    <xdr:to>
      <xdr:col>23</xdr:col>
      <xdr:colOff>423499</xdr:colOff>
      <xdr:row>14</xdr:row>
      <xdr:rowOff>134613</xdr:rowOff>
    </xdr:to>
    <xdr:graphicFrame macro="">
      <xdr:nvGraphicFramePr>
        <xdr:cNvPr id="7" name="Chart 6">
          <a:extLst>
            <a:ext uri="{FF2B5EF4-FFF2-40B4-BE49-F238E27FC236}">
              <a16:creationId xmlns:a16="http://schemas.microsoft.com/office/drawing/2014/main" id="{AFA2A26C-D6B1-4F8D-8C9E-71F9A8D4F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17</xdr:col>
      <xdr:colOff>870857</xdr:colOff>
      <xdr:row>29</xdr:row>
      <xdr:rowOff>13607</xdr:rowOff>
    </xdr:from>
    <xdr:to>
      <xdr:col>23</xdr:col>
      <xdr:colOff>285750</xdr:colOff>
      <xdr:row>50</xdr:row>
      <xdr:rowOff>95251</xdr:rowOff>
    </xdr:to>
    <xdr:graphicFrame macro="">
      <xdr:nvGraphicFramePr>
        <xdr:cNvPr id="4" name="Chart 3">
          <a:extLst>
            <a:ext uri="{FF2B5EF4-FFF2-40B4-BE49-F238E27FC236}">
              <a16:creationId xmlns:a16="http://schemas.microsoft.com/office/drawing/2014/main" id="{C968A632-62E3-46F6-A140-E5C39BD84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728381</xdr:colOff>
      <xdr:row>3</xdr:row>
      <xdr:rowOff>112058</xdr:rowOff>
    </xdr:from>
    <xdr:to>
      <xdr:col>22</xdr:col>
      <xdr:colOff>1647265</xdr:colOff>
      <xdr:row>12</xdr:row>
      <xdr:rowOff>179293</xdr:rowOff>
    </xdr:to>
    <xdr:graphicFrame macro="">
      <xdr:nvGraphicFramePr>
        <xdr:cNvPr id="7" name="Chart 6">
          <a:extLst>
            <a:ext uri="{FF2B5EF4-FFF2-40B4-BE49-F238E27FC236}">
              <a16:creationId xmlns:a16="http://schemas.microsoft.com/office/drawing/2014/main" id="{50A5EC9D-C8C4-48B9-B0DB-F6348310F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750793</xdr:colOff>
      <xdr:row>13</xdr:row>
      <xdr:rowOff>156882</xdr:rowOff>
    </xdr:from>
    <xdr:to>
      <xdr:col>23</xdr:col>
      <xdr:colOff>266902</xdr:colOff>
      <xdr:row>28</xdr:row>
      <xdr:rowOff>380199</xdr:rowOff>
    </xdr:to>
    <xdr:graphicFrame macro="">
      <xdr:nvGraphicFramePr>
        <xdr:cNvPr id="3" name="Chart 2">
          <a:extLst>
            <a:ext uri="{FF2B5EF4-FFF2-40B4-BE49-F238E27FC236}">
              <a16:creationId xmlns:a16="http://schemas.microsoft.com/office/drawing/2014/main" id="{F83B6127-D9E5-4519-B3B7-A91704B8B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wsDr>
</file>

<file path=xl/drawings/drawing14.xml><?xml version="1.0" encoding="utf-8"?>
<xdr:wsDr xmlns:xdr="http://schemas.openxmlformats.org/drawingml/2006/spreadsheetDrawing" xmlns:a="http://schemas.openxmlformats.org/drawingml/2006/main">
  <xdr:twoCellAnchor>
    <xdr:from>
      <xdr:col>17</xdr:col>
      <xdr:colOff>625929</xdr:colOff>
      <xdr:row>29</xdr:row>
      <xdr:rowOff>40821</xdr:rowOff>
    </xdr:from>
    <xdr:to>
      <xdr:col>23</xdr:col>
      <xdr:colOff>35779</xdr:colOff>
      <xdr:row>50</xdr:row>
      <xdr:rowOff>154481</xdr:rowOff>
    </xdr:to>
    <xdr:graphicFrame macro="">
      <xdr:nvGraphicFramePr>
        <xdr:cNvPr id="4" name="Chart 3">
          <a:extLst>
            <a:ext uri="{FF2B5EF4-FFF2-40B4-BE49-F238E27FC236}">
              <a16:creationId xmlns:a16="http://schemas.microsoft.com/office/drawing/2014/main" id="{14804FE8-3762-42B1-AD93-7B3535080E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381000</xdr:colOff>
      <xdr:row>10</xdr:row>
      <xdr:rowOff>408213</xdr:rowOff>
    </xdr:from>
    <xdr:to>
      <xdr:col>22</xdr:col>
      <xdr:colOff>1368137</xdr:colOff>
      <xdr:row>20</xdr:row>
      <xdr:rowOff>135852</xdr:rowOff>
    </xdr:to>
    <xdr:graphicFrame macro="">
      <xdr:nvGraphicFramePr>
        <xdr:cNvPr id="5" name="Chart 4">
          <a:extLst>
            <a:ext uri="{FF2B5EF4-FFF2-40B4-BE49-F238E27FC236}">
              <a16:creationId xmlns:a16="http://schemas.microsoft.com/office/drawing/2014/main" id="{761864F1-78D0-4DD6-8733-1D8387E92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17</xdr:col>
      <xdr:colOff>408214</xdr:colOff>
      <xdr:row>30</xdr:row>
      <xdr:rowOff>0</xdr:rowOff>
    </xdr:from>
    <xdr:to>
      <xdr:col>23</xdr:col>
      <xdr:colOff>258535</xdr:colOff>
      <xdr:row>49</xdr:row>
      <xdr:rowOff>25855</xdr:rowOff>
    </xdr:to>
    <xdr:graphicFrame macro="">
      <xdr:nvGraphicFramePr>
        <xdr:cNvPr id="4" name="Chart 3">
          <a:extLst>
            <a:ext uri="{FF2B5EF4-FFF2-40B4-BE49-F238E27FC236}">
              <a16:creationId xmlns:a16="http://schemas.microsoft.com/office/drawing/2014/main" id="{B893DF52-FC49-47F9-B75A-6F36416E9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338099</xdr:colOff>
      <xdr:row>2</xdr:row>
      <xdr:rowOff>341300</xdr:rowOff>
    </xdr:from>
    <xdr:to>
      <xdr:col>23</xdr:col>
      <xdr:colOff>149678</xdr:colOff>
      <xdr:row>12</xdr:row>
      <xdr:rowOff>78442</xdr:rowOff>
    </xdr:to>
    <xdr:graphicFrame macro="">
      <xdr:nvGraphicFramePr>
        <xdr:cNvPr id="9" name="Chart 8">
          <a:extLst>
            <a:ext uri="{FF2B5EF4-FFF2-40B4-BE49-F238E27FC236}">
              <a16:creationId xmlns:a16="http://schemas.microsoft.com/office/drawing/2014/main" id="{3F95D6B6-CACC-4127-B1AE-FD6803CD3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394607</xdr:colOff>
      <xdr:row>14</xdr:row>
      <xdr:rowOff>149679</xdr:rowOff>
    </xdr:from>
    <xdr:to>
      <xdr:col>23</xdr:col>
      <xdr:colOff>312964</xdr:colOff>
      <xdr:row>29</xdr:row>
      <xdr:rowOff>167288</xdr:rowOff>
    </xdr:to>
    <xdr:graphicFrame macro="">
      <xdr:nvGraphicFramePr>
        <xdr:cNvPr id="2" name="Chart 1">
          <a:extLst>
            <a:ext uri="{FF2B5EF4-FFF2-40B4-BE49-F238E27FC236}">
              <a16:creationId xmlns:a16="http://schemas.microsoft.com/office/drawing/2014/main" id="{ED14A095-2F71-4B67-B06D-3A1D089D0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wsDr>
</file>

<file path=xl/drawings/drawing16.xml><?xml version="1.0" encoding="utf-8"?>
<xdr:wsDr xmlns:xdr="http://schemas.openxmlformats.org/drawingml/2006/spreadsheetDrawing" xmlns:a="http://schemas.openxmlformats.org/drawingml/2006/main">
  <xdr:twoCellAnchor>
    <xdr:from>
      <xdr:col>1</xdr:col>
      <xdr:colOff>163286</xdr:colOff>
      <xdr:row>116</xdr:row>
      <xdr:rowOff>42342</xdr:rowOff>
    </xdr:from>
    <xdr:to>
      <xdr:col>15</xdr:col>
      <xdr:colOff>346341</xdr:colOff>
      <xdr:row>140</xdr:row>
      <xdr:rowOff>18809</xdr:rowOff>
    </xdr:to>
    <xdr:graphicFrame macro="">
      <xdr:nvGraphicFramePr>
        <xdr:cNvPr id="2" name="Chart 2">
          <a:extLst>
            <a:ext uri="{FF2B5EF4-FFF2-40B4-BE49-F238E27FC236}">
              <a16:creationId xmlns:a16="http://schemas.microsoft.com/office/drawing/2014/main" id="{1773AD4C-CC4C-49CD-96A1-67DA7A51A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481853</xdr:colOff>
      <xdr:row>35</xdr:row>
      <xdr:rowOff>190500</xdr:rowOff>
    </xdr:from>
    <xdr:to>
      <xdr:col>22</xdr:col>
      <xdr:colOff>1624853</xdr:colOff>
      <xdr:row>51</xdr:row>
      <xdr:rowOff>26175</xdr:rowOff>
    </xdr:to>
    <xdr:graphicFrame macro="">
      <xdr:nvGraphicFramePr>
        <xdr:cNvPr id="3" name="Chart 2">
          <a:extLst>
            <a:ext uri="{FF2B5EF4-FFF2-40B4-BE49-F238E27FC236}">
              <a16:creationId xmlns:a16="http://schemas.microsoft.com/office/drawing/2014/main" id="{14B4F523-4BCE-440B-81C8-D80BA8200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307856</xdr:colOff>
      <xdr:row>18</xdr:row>
      <xdr:rowOff>68838</xdr:rowOff>
    </xdr:from>
    <xdr:to>
      <xdr:col>22</xdr:col>
      <xdr:colOff>1619664</xdr:colOff>
      <xdr:row>32</xdr:row>
      <xdr:rowOff>203306</xdr:rowOff>
    </xdr:to>
    <xdr:graphicFrame macro="">
      <xdr:nvGraphicFramePr>
        <xdr:cNvPr id="4" name="Chart 3">
          <a:extLst>
            <a:ext uri="{FF2B5EF4-FFF2-40B4-BE49-F238E27FC236}">
              <a16:creationId xmlns:a16="http://schemas.microsoft.com/office/drawing/2014/main" id="{0FEADA84-D156-45B4-BAF6-C485D2B92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17</xdr:col>
      <xdr:colOff>450672</xdr:colOff>
      <xdr:row>4</xdr:row>
      <xdr:rowOff>350306</xdr:rowOff>
    </xdr:from>
    <xdr:to>
      <xdr:col>22</xdr:col>
      <xdr:colOff>1625834</xdr:colOff>
      <xdr:row>17</xdr:row>
      <xdr:rowOff>38376</xdr:rowOff>
    </xdr:to>
    <xdr:graphicFrame macro="">
      <xdr:nvGraphicFramePr>
        <xdr:cNvPr id="8" name="Chart 7">
          <a:extLst>
            <a:ext uri="{FF2B5EF4-FFF2-40B4-BE49-F238E27FC236}">
              <a16:creationId xmlns:a16="http://schemas.microsoft.com/office/drawing/2014/main" id="{7B2062B9-9497-4FE0-9D08-5E52912DBC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17</xdr:col>
      <xdr:colOff>476250</xdr:colOff>
      <xdr:row>33</xdr:row>
      <xdr:rowOff>7326</xdr:rowOff>
    </xdr:from>
    <xdr:to>
      <xdr:col>22</xdr:col>
      <xdr:colOff>1546171</xdr:colOff>
      <xdr:row>50</xdr:row>
      <xdr:rowOff>113659</xdr:rowOff>
    </xdr:to>
    <xdr:graphicFrame macro="">
      <xdr:nvGraphicFramePr>
        <xdr:cNvPr id="3" name="Chart 2">
          <a:extLst>
            <a:ext uri="{FF2B5EF4-FFF2-40B4-BE49-F238E27FC236}">
              <a16:creationId xmlns:a16="http://schemas.microsoft.com/office/drawing/2014/main" id="{DB39A404-3096-4F30-9271-78E1DF4C1F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197921</xdr:colOff>
      <xdr:row>18</xdr:row>
      <xdr:rowOff>156800</xdr:rowOff>
    </xdr:from>
    <xdr:to>
      <xdr:col>28</xdr:col>
      <xdr:colOff>31542</xdr:colOff>
      <xdr:row>29</xdr:row>
      <xdr:rowOff>356578</xdr:rowOff>
    </xdr:to>
    <xdr:graphicFrame macro="">
      <xdr:nvGraphicFramePr>
        <xdr:cNvPr id="4" name="Chart 3">
          <a:extLst>
            <a:ext uri="{FF2B5EF4-FFF2-40B4-BE49-F238E27FC236}">
              <a16:creationId xmlns:a16="http://schemas.microsoft.com/office/drawing/2014/main" id="{B054F4DF-65FB-43D1-B60B-EAC21A5F5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303440</xdr:colOff>
      <xdr:row>5</xdr:row>
      <xdr:rowOff>102054</xdr:rowOff>
    </xdr:from>
    <xdr:to>
      <xdr:col>22</xdr:col>
      <xdr:colOff>1576229</xdr:colOff>
      <xdr:row>17</xdr:row>
      <xdr:rowOff>141189</xdr:rowOff>
    </xdr:to>
    <xdr:graphicFrame macro="">
      <xdr:nvGraphicFramePr>
        <xdr:cNvPr id="6" name="Chart 5">
          <a:extLst>
            <a:ext uri="{FF2B5EF4-FFF2-40B4-BE49-F238E27FC236}">
              <a16:creationId xmlns:a16="http://schemas.microsoft.com/office/drawing/2014/main" id="{C1019324-F723-4749-9EE0-F993617CA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549088</xdr:colOff>
      <xdr:row>18</xdr:row>
      <xdr:rowOff>68035</xdr:rowOff>
    </xdr:from>
    <xdr:to>
      <xdr:col>23</xdr:col>
      <xdr:colOff>202853</xdr:colOff>
      <xdr:row>30</xdr:row>
      <xdr:rowOff>98238</xdr:rowOff>
    </xdr:to>
    <xdr:graphicFrame macro="">
      <xdr:nvGraphicFramePr>
        <xdr:cNvPr id="7" name="Chart 6">
          <a:extLst>
            <a:ext uri="{FF2B5EF4-FFF2-40B4-BE49-F238E27FC236}">
              <a16:creationId xmlns:a16="http://schemas.microsoft.com/office/drawing/2014/main" id="{C790B5AE-12C0-4797-944A-3F428F8543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wsDr>
</file>

<file path=xl/drawings/drawing18.xml><?xml version="1.0" encoding="utf-8"?>
<xdr:wsDr xmlns:xdr="http://schemas.openxmlformats.org/drawingml/2006/spreadsheetDrawing" xmlns:a="http://schemas.openxmlformats.org/drawingml/2006/main">
  <xdr:twoCellAnchor>
    <xdr:from>
      <xdr:col>17</xdr:col>
      <xdr:colOff>544286</xdr:colOff>
      <xdr:row>28</xdr:row>
      <xdr:rowOff>381000</xdr:rowOff>
    </xdr:from>
    <xdr:to>
      <xdr:col>23</xdr:col>
      <xdr:colOff>86591</xdr:colOff>
      <xdr:row>48</xdr:row>
      <xdr:rowOff>17318</xdr:rowOff>
    </xdr:to>
    <xdr:graphicFrame macro="">
      <xdr:nvGraphicFramePr>
        <xdr:cNvPr id="3" name="Chart 2">
          <a:extLst>
            <a:ext uri="{FF2B5EF4-FFF2-40B4-BE49-F238E27FC236}">
              <a16:creationId xmlns:a16="http://schemas.microsoft.com/office/drawing/2014/main" id="{841493BB-77C9-41A2-9F82-93D01AED7B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313764</xdr:colOff>
      <xdr:row>12</xdr:row>
      <xdr:rowOff>89646</xdr:rowOff>
    </xdr:from>
    <xdr:to>
      <xdr:col>22</xdr:col>
      <xdr:colOff>1645227</xdr:colOff>
      <xdr:row>28</xdr:row>
      <xdr:rowOff>111257</xdr:rowOff>
    </xdr:to>
    <xdr:graphicFrame macro="">
      <xdr:nvGraphicFramePr>
        <xdr:cNvPr id="7" name="Chart 6">
          <a:extLst>
            <a:ext uri="{FF2B5EF4-FFF2-40B4-BE49-F238E27FC236}">
              <a16:creationId xmlns:a16="http://schemas.microsoft.com/office/drawing/2014/main" id="{5DBB0AAF-159F-4630-940B-D852870F9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581025</xdr:colOff>
      <xdr:row>2</xdr:row>
      <xdr:rowOff>209550</xdr:rowOff>
    </xdr:from>
    <xdr:to>
      <xdr:col>23</xdr:col>
      <xdr:colOff>197701</xdr:colOff>
      <xdr:row>11</xdr:row>
      <xdr:rowOff>344163</xdr:rowOff>
    </xdr:to>
    <xdr:graphicFrame macro="">
      <xdr:nvGraphicFramePr>
        <xdr:cNvPr id="8" name="Chart 7">
          <a:extLst>
            <a:ext uri="{FF2B5EF4-FFF2-40B4-BE49-F238E27FC236}">
              <a16:creationId xmlns:a16="http://schemas.microsoft.com/office/drawing/2014/main" id="{FFC58C9E-DBB7-46A3-9BD8-5F636466DA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22</xdr:col>
      <xdr:colOff>1418556</xdr:colOff>
      <xdr:row>18</xdr:row>
      <xdr:rowOff>218852</xdr:rowOff>
    </xdr:from>
    <xdr:to>
      <xdr:col>27</xdr:col>
      <xdr:colOff>570077</xdr:colOff>
      <xdr:row>29</xdr:row>
      <xdr:rowOff>428329</xdr:rowOff>
    </xdr:to>
    <xdr:graphicFrame macro="">
      <xdr:nvGraphicFramePr>
        <xdr:cNvPr id="3" name="Chart 2">
          <a:extLst>
            <a:ext uri="{FF2B5EF4-FFF2-40B4-BE49-F238E27FC236}">
              <a16:creationId xmlns:a16="http://schemas.microsoft.com/office/drawing/2014/main" id="{6E950C1C-A358-42ED-97ED-BC1C1DFF16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293569</xdr:colOff>
      <xdr:row>15</xdr:row>
      <xdr:rowOff>193029</xdr:rowOff>
    </xdr:from>
    <xdr:to>
      <xdr:col>23</xdr:col>
      <xdr:colOff>25002</xdr:colOff>
      <xdr:row>29</xdr:row>
      <xdr:rowOff>383368</xdr:rowOff>
    </xdr:to>
    <xdr:graphicFrame macro="">
      <xdr:nvGraphicFramePr>
        <xdr:cNvPr id="4" name="Chart 3">
          <a:extLst>
            <a:ext uri="{FF2B5EF4-FFF2-40B4-BE49-F238E27FC236}">
              <a16:creationId xmlns:a16="http://schemas.microsoft.com/office/drawing/2014/main" id="{C6F6F645-BA82-470C-968A-41A87CF7688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449036</xdr:colOff>
      <xdr:row>30</xdr:row>
      <xdr:rowOff>95250</xdr:rowOff>
    </xdr:from>
    <xdr:to>
      <xdr:col>22</xdr:col>
      <xdr:colOff>1520775</xdr:colOff>
      <xdr:row>50</xdr:row>
      <xdr:rowOff>153146</xdr:rowOff>
    </xdr:to>
    <xdr:graphicFrame macro="">
      <xdr:nvGraphicFramePr>
        <xdr:cNvPr id="8" name="Chart 7">
          <a:extLst>
            <a:ext uri="{FF2B5EF4-FFF2-40B4-BE49-F238E27FC236}">
              <a16:creationId xmlns:a16="http://schemas.microsoft.com/office/drawing/2014/main" id="{487D6E43-4B69-42E6-912F-5EF03DA9F9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17</xdr:col>
      <xdr:colOff>653143</xdr:colOff>
      <xdr:row>34</xdr:row>
      <xdr:rowOff>67235</xdr:rowOff>
    </xdr:from>
    <xdr:to>
      <xdr:col>23</xdr:col>
      <xdr:colOff>77640</xdr:colOff>
      <xdr:row>49</xdr:row>
      <xdr:rowOff>211314</xdr:rowOff>
    </xdr:to>
    <xdr:graphicFrame macro="">
      <xdr:nvGraphicFramePr>
        <xdr:cNvPr id="6" name="Chart 2">
          <a:extLst>
            <a:ext uri="{FF2B5EF4-FFF2-40B4-BE49-F238E27FC236}">
              <a16:creationId xmlns:a16="http://schemas.microsoft.com/office/drawing/2014/main" id="{B08B4E10-5E75-4485-B1C1-DEF0F7C011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376127</xdr:colOff>
      <xdr:row>17</xdr:row>
      <xdr:rowOff>151452</xdr:rowOff>
    </xdr:from>
    <xdr:to>
      <xdr:col>23</xdr:col>
      <xdr:colOff>29892</xdr:colOff>
      <xdr:row>31</xdr:row>
      <xdr:rowOff>104014</xdr:rowOff>
    </xdr:to>
    <xdr:graphicFrame macro="">
      <xdr:nvGraphicFramePr>
        <xdr:cNvPr id="2" name="Chart 1">
          <a:extLst>
            <a:ext uri="{FF2B5EF4-FFF2-40B4-BE49-F238E27FC236}">
              <a16:creationId xmlns:a16="http://schemas.microsoft.com/office/drawing/2014/main" id="{2A22A5B2-EAA0-4E3E-A402-A1AF3D7D5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307049</xdr:colOff>
      <xdr:row>4</xdr:row>
      <xdr:rowOff>98799</xdr:rowOff>
    </xdr:from>
    <xdr:to>
      <xdr:col>22</xdr:col>
      <xdr:colOff>1214151</xdr:colOff>
      <xdr:row>15</xdr:row>
      <xdr:rowOff>59241</xdr:rowOff>
    </xdr:to>
    <xdr:graphicFrame macro="">
      <xdr:nvGraphicFramePr>
        <xdr:cNvPr id="3" name="Chart 2">
          <a:extLst>
            <a:ext uri="{FF2B5EF4-FFF2-40B4-BE49-F238E27FC236}">
              <a16:creationId xmlns:a16="http://schemas.microsoft.com/office/drawing/2014/main" id="{F7A98811-3844-4E3D-B38D-95A8A196F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17</xdr:col>
      <xdr:colOff>312964</xdr:colOff>
      <xdr:row>31</xdr:row>
      <xdr:rowOff>212912</xdr:rowOff>
    </xdr:from>
    <xdr:to>
      <xdr:col>22</xdr:col>
      <xdr:colOff>1546412</xdr:colOff>
      <xdr:row>50</xdr:row>
      <xdr:rowOff>128554</xdr:rowOff>
    </xdr:to>
    <xdr:graphicFrame macro="">
      <xdr:nvGraphicFramePr>
        <xdr:cNvPr id="4" name="Chart 3">
          <a:extLst>
            <a:ext uri="{FF2B5EF4-FFF2-40B4-BE49-F238E27FC236}">
              <a16:creationId xmlns:a16="http://schemas.microsoft.com/office/drawing/2014/main" id="{CF91A266-10AA-434E-8E98-26B4A97A9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258538</xdr:colOff>
      <xdr:row>12</xdr:row>
      <xdr:rowOff>122465</xdr:rowOff>
    </xdr:from>
    <xdr:to>
      <xdr:col>22</xdr:col>
      <xdr:colOff>1568825</xdr:colOff>
      <xdr:row>28</xdr:row>
      <xdr:rowOff>161682</xdr:rowOff>
    </xdr:to>
    <xdr:graphicFrame macro="">
      <xdr:nvGraphicFramePr>
        <xdr:cNvPr id="3" name="Chart 2">
          <a:extLst>
            <a:ext uri="{FF2B5EF4-FFF2-40B4-BE49-F238E27FC236}">
              <a16:creationId xmlns:a16="http://schemas.microsoft.com/office/drawing/2014/main" id="{6E6A9798-BB39-4B98-B084-004A68CD8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244928</xdr:colOff>
      <xdr:row>2</xdr:row>
      <xdr:rowOff>108857</xdr:rowOff>
    </xdr:from>
    <xdr:to>
      <xdr:col>22</xdr:col>
      <xdr:colOff>1420090</xdr:colOff>
      <xdr:row>11</xdr:row>
      <xdr:rowOff>150713</xdr:rowOff>
    </xdr:to>
    <xdr:graphicFrame macro="">
      <xdr:nvGraphicFramePr>
        <xdr:cNvPr id="6" name="Chart 5">
          <a:extLst>
            <a:ext uri="{FF2B5EF4-FFF2-40B4-BE49-F238E27FC236}">
              <a16:creationId xmlns:a16="http://schemas.microsoft.com/office/drawing/2014/main" id="{3E3A4808-F478-4CEF-B716-5CB7CA85F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17</xdr:col>
      <xdr:colOff>312964</xdr:colOff>
      <xdr:row>31</xdr:row>
      <xdr:rowOff>212912</xdr:rowOff>
    </xdr:from>
    <xdr:to>
      <xdr:col>22</xdr:col>
      <xdr:colOff>1546412</xdr:colOff>
      <xdr:row>50</xdr:row>
      <xdr:rowOff>128554</xdr:rowOff>
    </xdr:to>
    <xdr:graphicFrame macro="">
      <xdr:nvGraphicFramePr>
        <xdr:cNvPr id="2" name="Chart 1">
          <a:extLst>
            <a:ext uri="{FF2B5EF4-FFF2-40B4-BE49-F238E27FC236}">
              <a16:creationId xmlns:a16="http://schemas.microsoft.com/office/drawing/2014/main" id="{88F26D38-0F21-4991-8ECB-4636D205AF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195785</xdr:colOff>
      <xdr:row>16</xdr:row>
      <xdr:rowOff>149359</xdr:rowOff>
    </xdr:from>
    <xdr:to>
      <xdr:col>22</xdr:col>
      <xdr:colOff>1506072</xdr:colOff>
      <xdr:row>30</xdr:row>
      <xdr:rowOff>116858</xdr:rowOff>
    </xdr:to>
    <xdr:graphicFrame macro="">
      <xdr:nvGraphicFramePr>
        <xdr:cNvPr id="3" name="Chart 2">
          <a:extLst>
            <a:ext uri="{FF2B5EF4-FFF2-40B4-BE49-F238E27FC236}">
              <a16:creationId xmlns:a16="http://schemas.microsoft.com/office/drawing/2014/main" id="{597F4738-E1FD-477B-9321-AE0416D82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244928</xdr:colOff>
      <xdr:row>2</xdr:row>
      <xdr:rowOff>108857</xdr:rowOff>
    </xdr:from>
    <xdr:to>
      <xdr:col>22</xdr:col>
      <xdr:colOff>1420090</xdr:colOff>
      <xdr:row>11</xdr:row>
      <xdr:rowOff>150713</xdr:rowOff>
    </xdr:to>
    <xdr:graphicFrame macro="">
      <xdr:nvGraphicFramePr>
        <xdr:cNvPr id="4" name="Chart 3">
          <a:extLst>
            <a:ext uri="{FF2B5EF4-FFF2-40B4-BE49-F238E27FC236}">
              <a16:creationId xmlns:a16="http://schemas.microsoft.com/office/drawing/2014/main" id="{266EE174-02ED-4085-AAB7-16FE3D7EF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17</xdr:col>
      <xdr:colOff>571499</xdr:colOff>
      <xdr:row>28</xdr:row>
      <xdr:rowOff>353785</xdr:rowOff>
    </xdr:from>
    <xdr:to>
      <xdr:col>23</xdr:col>
      <xdr:colOff>27214</xdr:colOff>
      <xdr:row>50</xdr:row>
      <xdr:rowOff>13607</xdr:rowOff>
    </xdr:to>
    <xdr:graphicFrame macro="">
      <xdr:nvGraphicFramePr>
        <xdr:cNvPr id="3" name="Chart 2">
          <a:extLst>
            <a:ext uri="{FF2B5EF4-FFF2-40B4-BE49-F238E27FC236}">
              <a16:creationId xmlns:a16="http://schemas.microsoft.com/office/drawing/2014/main" id="{2075F054-9BDD-99E6-A603-5489E879B1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526473</xdr:colOff>
      <xdr:row>0</xdr:row>
      <xdr:rowOff>387927</xdr:rowOff>
    </xdr:from>
    <xdr:to>
      <xdr:col>23</xdr:col>
      <xdr:colOff>41564</xdr:colOff>
      <xdr:row>9</xdr:row>
      <xdr:rowOff>221673</xdr:rowOff>
    </xdr:to>
    <xdr:graphicFrame macro="">
      <xdr:nvGraphicFramePr>
        <xdr:cNvPr id="2" name="Chart 1">
          <a:extLst>
            <a:ext uri="{FF2B5EF4-FFF2-40B4-BE49-F238E27FC236}">
              <a16:creationId xmlns:a16="http://schemas.microsoft.com/office/drawing/2014/main" id="{A95277F0-201B-442F-85E6-F95E77BAD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353785</xdr:colOff>
      <xdr:row>10</xdr:row>
      <xdr:rowOff>435428</xdr:rowOff>
    </xdr:from>
    <xdr:to>
      <xdr:col>23</xdr:col>
      <xdr:colOff>54428</xdr:colOff>
      <xdr:row>26</xdr:row>
      <xdr:rowOff>44823</xdr:rowOff>
    </xdr:to>
    <xdr:graphicFrame macro="">
      <xdr:nvGraphicFramePr>
        <xdr:cNvPr id="5" name="Chart 4">
          <a:extLst>
            <a:ext uri="{FF2B5EF4-FFF2-40B4-BE49-F238E27FC236}">
              <a16:creationId xmlns:a16="http://schemas.microsoft.com/office/drawing/2014/main" id="{DB8AFF5C-C751-46B9-A07F-26334CC0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wsDr>
</file>

<file path=xl/drawings/drawing25.xml><?xml version="1.0" encoding="utf-8"?>
<xdr:wsDr xmlns:xdr="http://schemas.openxmlformats.org/drawingml/2006/spreadsheetDrawing" xmlns:a="http://schemas.openxmlformats.org/drawingml/2006/main">
  <xdr:twoCellAnchor>
    <xdr:from>
      <xdr:col>17</xdr:col>
      <xdr:colOff>504266</xdr:colOff>
      <xdr:row>31</xdr:row>
      <xdr:rowOff>22413</xdr:rowOff>
    </xdr:from>
    <xdr:to>
      <xdr:col>22</xdr:col>
      <xdr:colOff>1469571</xdr:colOff>
      <xdr:row>50</xdr:row>
      <xdr:rowOff>22414</xdr:rowOff>
    </xdr:to>
    <xdr:graphicFrame macro="">
      <xdr:nvGraphicFramePr>
        <xdr:cNvPr id="5" name="Chart 4">
          <a:extLst>
            <a:ext uri="{FF2B5EF4-FFF2-40B4-BE49-F238E27FC236}">
              <a16:creationId xmlns:a16="http://schemas.microsoft.com/office/drawing/2014/main" id="{392C7162-D9C3-49E2-9563-3DEDE7F7D6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244928</xdr:colOff>
      <xdr:row>14</xdr:row>
      <xdr:rowOff>190501</xdr:rowOff>
    </xdr:from>
    <xdr:to>
      <xdr:col>22</xdr:col>
      <xdr:colOff>1605642</xdr:colOff>
      <xdr:row>29</xdr:row>
      <xdr:rowOff>208110</xdr:rowOff>
    </xdr:to>
    <xdr:graphicFrame macro="">
      <xdr:nvGraphicFramePr>
        <xdr:cNvPr id="2" name="Chart 1">
          <a:extLst>
            <a:ext uri="{FF2B5EF4-FFF2-40B4-BE49-F238E27FC236}">
              <a16:creationId xmlns:a16="http://schemas.microsoft.com/office/drawing/2014/main" id="{D16C5069-9988-49D1-BAED-DFCEF32AD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299357</xdr:colOff>
      <xdr:row>3</xdr:row>
      <xdr:rowOff>133350</xdr:rowOff>
    </xdr:from>
    <xdr:to>
      <xdr:col>22</xdr:col>
      <xdr:colOff>1474519</xdr:colOff>
      <xdr:row>13</xdr:row>
      <xdr:rowOff>51460</xdr:rowOff>
    </xdr:to>
    <xdr:graphicFrame macro="">
      <xdr:nvGraphicFramePr>
        <xdr:cNvPr id="3" name="Chart 2">
          <a:extLst>
            <a:ext uri="{FF2B5EF4-FFF2-40B4-BE49-F238E27FC236}">
              <a16:creationId xmlns:a16="http://schemas.microsoft.com/office/drawing/2014/main" id="{8451E2F7-B3B3-4B46-A094-5733710C32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17</xdr:col>
      <xdr:colOff>502454</xdr:colOff>
      <xdr:row>29</xdr:row>
      <xdr:rowOff>410307</xdr:rowOff>
    </xdr:from>
    <xdr:to>
      <xdr:col>22</xdr:col>
      <xdr:colOff>1565869</xdr:colOff>
      <xdr:row>49</xdr:row>
      <xdr:rowOff>120820</xdr:rowOff>
    </xdr:to>
    <xdr:graphicFrame macro="">
      <xdr:nvGraphicFramePr>
        <xdr:cNvPr id="3" name="Chart 2">
          <a:extLst>
            <a:ext uri="{FF2B5EF4-FFF2-40B4-BE49-F238E27FC236}">
              <a16:creationId xmlns:a16="http://schemas.microsoft.com/office/drawing/2014/main" id="{70AFBBEF-1652-485D-827D-BDE0DF3CC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1544649</xdr:colOff>
      <xdr:row>15</xdr:row>
      <xdr:rowOff>150091</xdr:rowOff>
    </xdr:from>
    <xdr:to>
      <xdr:col>29</xdr:col>
      <xdr:colOff>646545</xdr:colOff>
      <xdr:row>29</xdr:row>
      <xdr:rowOff>208534</xdr:rowOff>
    </xdr:to>
    <xdr:graphicFrame macro="">
      <xdr:nvGraphicFramePr>
        <xdr:cNvPr id="9" name="Chart 8">
          <a:extLst>
            <a:ext uri="{FF2B5EF4-FFF2-40B4-BE49-F238E27FC236}">
              <a16:creationId xmlns:a16="http://schemas.microsoft.com/office/drawing/2014/main" id="{F5A70C1B-2474-4A63-BE93-50BA368FBF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189941</xdr:colOff>
      <xdr:row>14</xdr:row>
      <xdr:rowOff>179422</xdr:rowOff>
    </xdr:from>
    <xdr:to>
      <xdr:col>22</xdr:col>
      <xdr:colOff>1574242</xdr:colOff>
      <xdr:row>29</xdr:row>
      <xdr:rowOff>141161</xdr:rowOff>
    </xdr:to>
    <xdr:graphicFrame macro="">
      <xdr:nvGraphicFramePr>
        <xdr:cNvPr id="10" name="Chart 9">
          <a:extLst>
            <a:ext uri="{FF2B5EF4-FFF2-40B4-BE49-F238E27FC236}">
              <a16:creationId xmlns:a16="http://schemas.microsoft.com/office/drawing/2014/main" id="{073FC86D-8E22-4E47-BCCB-5FB3E147D9D3}"/>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17</xdr:col>
      <xdr:colOff>131696</xdr:colOff>
      <xdr:row>3</xdr:row>
      <xdr:rowOff>306321</xdr:rowOff>
    </xdr:from>
    <xdr:to>
      <xdr:col>22</xdr:col>
      <xdr:colOff>1392115</xdr:colOff>
      <xdr:row>14</xdr:row>
      <xdr:rowOff>27172</xdr:rowOff>
    </xdr:to>
    <xdr:graphicFrame macro="">
      <xdr:nvGraphicFramePr>
        <xdr:cNvPr id="15" name="Chart 14">
          <a:extLst>
            <a:ext uri="{FF2B5EF4-FFF2-40B4-BE49-F238E27FC236}">
              <a16:creationId xmlns:a16="http://schemas.microsoft.com/office/drawing/2014/main" id="{26FD3E56-75D9-4C24-A0C9-6378C612D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17</xdr:col>
      <xdr:colOff>557893</xdr:colOff>
      <xdr:row>35</xdr:row>
      <xdr:rowOff>133350</xdr:rowOff>
    </xdr:from>
    <xdr:to>
      <xdr:col>22</xdr:col>
      <xdr:colOff>1627814</xdr:colOff>
      <xdr:row>50</xdr:row>
      <xdr:rowOff>140874</xdr:rowOff>
    </xdr:to>
    <xdr:graphicFrame macro="">
      <xdr:nvGraphicFramePr>
        <xdr:cNvPr id="4" name="Chart 3">
          <a:extLst>
            <a:ext uri="{FF2B5EF4-FFF2-40B4-BE49-F238E27FC236}">
              <a16:creationId xmlns:a16="http://schemas.microsoft.com/office/drawing/2014/main" id="{42147C70-C36C-4FC4-92D8-578B3E1E5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304799</xdr:colOff>
      <xdr:row>18</xdr:row>
      <xdr:rowOff>85725</xdr:rowOff>
    </xdr:from>
    <xdr:to>
      <xdr:col>22</xdr:col>
      <xdr:colOff>1523999</xdr:colOff>
      <xdr:row>33</xdr:row>
      <xdr:rowOff>1118</xdr:rowOff>
    </xdr:to>
    <xdr:graphicFrame macro="">
      <xdr:nvGraphicFramePr>
        <xdr:cNvPr id="7" name="Chart 6">
          <a:extLst>
            <a:ext uri="{FF2B5EF4-FFF2-40B4-BE49-F238E27FC236}">
              <a16:creationId xmlns:a16="http://schemas.microsoft.com/office/drawing/2014/main" id="{A3633AD6-93B8-4716-948F-7803E372E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571500</xdr:colOff>
      <xdr:row>5</xdr:row>
      <xdr:rowOff>145676</xdr:rowOff>
    </xdr:from>
    <xdr:to>
      <xdr:col>22</xdr:col>
      <xdr:colOff>1486606</xdr:colOff>
      <xdr:row>17</xdr:row>
      <xdr:rowOff>51689</xdr:rowOff>
    </xdr:to>
    <xdr:graphicFrame macro="">
      <xdr:nvGraphicFramePr>
        <xdr:cNvPr id="2" name="Chart 1">
          <a:extLst>
            <a:ext uri="{FF2B5EF4-FFF2-40B4-BE49-F238E27FC236}">
              <a16:creationId xmlns:a16="http://schemas.microsoft.com/office/drawing/2014/main" id="{5E7D8DDA-EEE9-497B-825F-AEBD09A09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17</xdr:col>
      <xdr:colOff>367392</xdr:colOff>
      <xdr:row>32</xdr:row>
      <xdr:rowOff>112057</xdr:rowOff>
    </xdr:from>
    <xdr:to>
      <xdr:col>22</xdr:col>
      <xdr:colOff>1451960</xdr:colOff>
      <xdr:row>49</xdr:row>
      <xdr:rowOff>184098</xdr:rowOff>
    </xdr:to>
    <xdr:graphicFrame macro="">
      <xdr:nvGraphicFramePr>
        <xdr:cNvPr id="4" name="Chart 3">
          <a:extLst>
            <a:ext uri="{FF2B5EF4-FFF2-40B4-BE49-F238E27FC236}">
              <a16:creationId xmlns:a16="http://schemas.microsoft.com/office/drawing/2014/main" id="{D61F7955-1748-423A-9254-477C1FC36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235323</xdr:colOff>
      <xdr:row>5</xdr:row>
      <xdr:rowOff>179294</xdr:rowOff>
    </xdr:from>
    <xdr:to>
      <xdr:col>22</xdr:col>
      <xdr:colOff>1404882</xdr:colOff>
      <xdr:row>17</xdr:row>
      <xdr:rowOff>714</xdr:rowOff>
    </xdr:to>
    <xdr:graphicFrame macro="">
      <xdr:nvGraphicFramePr>
        <xdr:cNvPr id="3" name="Chart 2">
          <a:extLst>
            <a:ext uri="{FF2B5EF4-FFF2-40B4-BE49-F238E27FC236}">
              <a16:creationId xmlns:a16="http://schemas.microsoft.com/office/drawing/2014/main" id="{08E4259A-2E12-4F26-9301-543917E34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156883</xdr:colOff>
      <xdr:row>16</xdr:row>
      <xdr:rowOff>212911</xdr:rowOff>
    </xdr:from>
    <xdr:to>
      <xdr:col>22</xdr:col>
      <xdr:colOff>1581150</xdr:colOff>
      <xdr:row>30</xdr:row>
      <xdr:rowOff>201143</xdr:rowOff>
    </xdr:to>
    <xdr:graphicFrame macro="">
      <xdr:nvGraphicFramePr>
        <xdr:cNvPr id="5" name="Chart 4">
          <a:extLst>
            <a:ext uri="{FF2B5EF4-FFF2-40B4-BE49-F238E27FC236}">
              <a16:creationId xmlns:a16="http://schemas.microsoft.com/office/drawing/2014/main" id="{EED22F31-DEE9-437B-9E9A-342EB6512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wsDr>
</file>

<file path=xl/drawings/drawing29.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7C44CAE9-2DCD-4643-B897-FDAF2F265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B1227774-BAFF-4211-B3E3-77DE6E0B6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15A24144-AC5C-448C-99E2-D295102DC1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82AE136D-1B68-44C8-81A3-82B1D8BA7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70F42DBE-3AA5-45C6-B041-FE5B9E702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5182331C-CE08-4986-81F9-ABCBE1B4A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51C503A1-1467-41DA-BA9C-ECC0F9C54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4B84DC28-5901-48C2-BB75-7231421E69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EC84D961-3F24-421B-874D-E267FB8FD0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21AAC6D8-114E-4F05-8287-318D585ED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AC13CA4D-7CFE-46F8-8A14-DD72F78A6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E2E8F12E-88B7-4795-8AB5-82DB8CE42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AE1F14CB-BBF6-426F-BFD8-83EF639C01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B04703DB-72C2-4996-8664-89FB27D66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8F84469B-26B0-4C6F-BF7C-F329B9C86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E89E82D5-B2CB-4A8C-9B4C-1D5D3C1D6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FF54EC78-9369-4C77-93E7-1937E41E78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17</xdr:col>
      <xdr:colOff>611495</xdr:colOff>
      <xdr:row>29</xdr:row>
      <xdr:rowOff>343138</xdr:rowOff>
    </xdr:from>
    <xdr:to>
      <xdr:col>22</xdr:col>
      <xdr:colOff>1085022</xdr:colOff>
      <xdr:row>44</xdr:row>
      <xdr:rowOff>207066</xdr:rowOff>
    </xdr:to>
    <xdr:graphicFrame macro="">
      <xdr:nvGraphicFramePr>
        <xdr:cNvPr id="6" name="Chart 5">
          <a:extLst>
            <a:ext uri="{FF2B5EF4-FFF2-40B4-BE49-F238E27FC236}">
              <a16:creationId xmlns:a16="http://schemas.microsoft.com/office/drawing/2014/main" id="{392A397B-2017-4ACB-A8C8-7F3D52A25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377273</xdr:colOff>
      <xdr:row>14</xdr:row>
      <xdr:rowOff>192936</xdr:rowOff>
    </xdr:from>
    <xdr:to>
      <xdr:col>22</xdr:col>
      <xdr:colOff>1474304</xdr:colOff>
      <xdr:row>28</xdr:row>
      <xdr:rowOff>123219</xdr:rowOff>
    </xdr:to>
    <xdr:graphicFrame macro="">
      <xdr:nvGraphicFramePr>
        <xdr:cNvPr id="2" name="Chart 1">
          <a:extLst>
            <a:ext uri="{FF2B5EF4-FFF2-40B4-BE49-F238E27FC236}">
              <a16:creationId xmlns:a16="http://schemas.microsoft.com/office/drawing/2014/main" id="{2DD72966-EF17-41E5-B097-801EAE95E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17</xdr:col>
      <xdr:colOff>301438</xdr:colOff>
      <xdr:row>4</xdr:row>
      <xdr:rowOff>33131</xdr:rowOff>
    </xdr:from>
    <xdr:to>
      <xdr:col>22</xdr:col>
      <xdr:colOff>1540565</xdr:colOff>
      <xdr:row>12</xdr:row>
      <xdr:rowOff>212973</xdr:rowOff>
    </xdr:to>
    <xdr:graphicFrame macro="">
      <xdr:nvGraphicFramePr>
        <xdr:cNvPr id="4" name="Chart 3">
          <a:extLst>
            <a:ext uri="{FF2B5EF4-FFF2-40B4-BE49-F238E27FC236}">
              <a16:creationId xmlns:a16="http://schemas.microsoft.com/office/drawing/2014/main" id="{39BB0D69-3486-4764-BBCE-7B7ED9C6B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27215</xdr:colOff>
      <xdr:row>118</xdr:row>
      <xdr:rowOff>28734</xdr:rowOff>
    </xdr:from>
    <xdr:to>
      <xdr:col>15</xdr:col>
      <xdr:colOff>210270</xdr:colOff>
      <xdr:row>141</xdr:row>
      <xdr:rowOff>154880</xdr:rowOff>
    </xdr:to>
    <xdr:graphicFrame macro="">
      <xdr:nvGraphicFramePr>
        <xdr:cNvPr id="2" name="Chart 2">
          <a:extLst>
            <a:ext uri="{FF2B5EF4-FFF2-40B4-BE49-F238E27FC236}">
              <a16:creationId xmlns:a16="http://schemas.microsoft.com/office/drawing/2014/main" id="{11CBD5D4-0E16-4C21-8F99-3C2DD6325C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7A1E7AF9-3480-4A2F-9537-0138F9F97C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27215</xdr:colOff>
      <xdr:row>118</xdr:row>
      <xdr:rowOff>28734</xdr:rowOff>
    </xdr:from>
    <xdr:to>
      <xdr:col>15</xdr:col>
      <xdr:colOff>210270</xdr:colOff>
      <xdr:row>141</xdr:row>
      <xdr:rowOff>154880</xdr:rowOff>
    </xdr:to>
    <xdr:graphicFrame macro="">
      <xdr:nvGraphicFramePr>
        <xdr:cNvPr id="2" name="Chart 2">
          <a:extLst>
            <a:ext uri="{FF2B5EF4-FFF2-40B4-BE49-F238E27FC236}">
              <a16:creationId xmlns:a16="http://schemas.microsoft.com/office/drawing/2014/main" id="{56476965-0285-43BE-805E-5EDCFFB76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802821</xdr:colOff>
      <xdr:row>28</xdr:row>
      <xdr:rowOff>367393</xdr:rowOff>
    </xdr:from>
    <xdr:to>
      <xdr:col>23</xdr:col>
      <xdr:colOff>212671</xdr:colOff>
      <xdr:row>50</xdr:row>
      <xdr:rowOff>18410</xdr:rowOff>
    </xdr:to>
    <xdr:graphicFrame macro="">
      <xdr:nvGraphicFramePr>
        <xdr:cNvPr id="4" name="Chart 3">
          <a:extLst>
            <a:ext uri="{FF2B5EF4-FFF2-40B4-BE49-F238E27FC236}">
              <a16:creationId xmlns:a16="http://schemas.microsoft.com/office/drawing/2014/main" id="{7C3D7A0E-9B8E-4B36-8D80-C34DB27F61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789215</xdr:colOff>
      <xdr:row>11</xdr:row>
      <xdr:rowOff>54429</xdr:rowOff>
    </xdr:from>
    <xdr:to>
      <xdr:col>23</xdr:col>
      <xdr:colOff>116281</xdr:colOff>
      <xdr:row>20</xdr:row>
      <xdr:rowOff>244710</xdr:rowOff>
    </xdr:to>
    <xdr:graphicFrame macro="">
      <xdr:nvGraphicFramePr>
        <xdr:cNvPr id="5" name="Chart 4">
          <a:extLst>
            <a:ext uri="{FF2B5EF4-FFF2-40B4-BE49-F238E27FC236}">
              <a16:creationId xmlns:a16="http://schemas.microsoft.com/office/drawing/2014/main" id="{A0C53988-60E1-4109-B126-840C8BF05D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6DE66D17-A2E4-415A-BF7F-D1049B82D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8E79B037-BD31-4009-93C0-F7304DEF5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4</xdr:col>
      <xdr:colOff>0</xdr:colOff>
      <xdr:row>66</xdr:row>
      <xdr:rowOff>0</xdr:rowOff>
    </xdr:from>
    <xdr:to>
      <xdr:col>16</xdr:col>
      <xdr:colOff>104775</xdr:colOff>
      <xdr:row>91</xdr:row>
      <xdr:rowOff>47625</xdr:rowOff>
    </xdr:to>
    <xdr:graphicFrame macro="">
      <xdr:nvGraphicFramePr>
        <xdr:cNvPr id="2" name="Chart 2">
          <a:extLst>
            <a:ext uri="{FF2B5EF4-FFF2-40B4-BE49-F238E27FC236}">
              <a16:creationId xmlns:a16="http://schemas.microsoft.com/office/drawing/2014/main" id="{B0EC1230-F028-417F-B977-52CDAE54C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pgs010\Investment%20Services\Asset%20Management\NOI%20Monthly%20Reforecasting\CY08\242%20Exhibition%20Street%20-%20CY0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pgs010\Investment%20Services\PROPERTY%20ACCOUNTING\10.%20Budget%2009-10\Automated%20Budget%20Pack%20Worksheets\5%20Year%20NOI_Budget%20Assumptions_OPEX\300%20Elizabeth%20S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Asset%20Management\NOI%20Monthly%20Reforecasting\CY08\242%20Exhibition%20Street%20-%20CY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REX\Accounting\Monthly\Ipt\2001-2002\September%202001\File\WPTP&amp;L200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N_fp01\profiles\DATA\OPEX%202002\Calculations\2002%20Office%20OPEX%20Data%20DRAF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IPG%20MONTHLY%20REPORT%20-%20June%20final%20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ipgs010\Investment%20Services\Portfolio%20Management\Analyst\Plan2010\Exit%20Values\Disposal%20Timing%20Model%20v2.0.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ipgs010\Investment%20Services\Portfolio%20Management\Analyst\Plan2010\SAP\Draft%20SAP's\126%20Phillip%20Street.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Asset%20Management%20New\Budgets\Plan%202015\Annual%20Budget%20Plans%202015\Copy%20of%20Annual%20Budget%20Plan%20FY15%20-%20Template%20ExampleV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Investment%20Services\Portfolio%20Management\Analyst\Plan2010\SAP\Draft%20SAP's\126%20Phillip%20Stre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Stab\TestBudg255.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Investment%20Services\Asset%20Management%20New\Research%20and%20Benchmarking\House%20Views\House%20Views%20-%202010\CY11%20Budget\Market%20Snapshot%20Aug10%20for%20house%20view%20preso.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My%20Documents\Bryan\246bud2001.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ipgs010\Investment%20Services\Asset%20Management%20New\Research%20and%20Benchmarking\Opex%20Benchmarks%20FY2009%20-%20IPT%20vs%20PCA.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pgs010\Investment%20Services\Asset%20Management\Property%20Files\NSW\60%20Martin%20Place,%20Sydney\Asset%20Managers\Outgoings_Reconciliations\Outgoings%20O7%20-%2008\071126%20-%20Outgoings%20for%202007-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ipgs010\Investment%20Services\Portfolio%20Management\Analyst\Plan2011\Working\Sample%20Budget%20Pack%20FY1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TEMP\WPT\2000-2001\March%202001\File\WPTP&amp;L200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TEMP\WPT\2000-2001\March%202001\File\modelrec.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Personal\Lin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List"/>
      <sheetName val="Valuation Matrix History"/>
      <sheetName val="Budget Summary Sheet"/>
      <sheetName val="3 Year Summary Assumption Sheet"/>
      <sheetName val="Stacking Plan &amp; LEP"/>
      <sheetName val="Full Year Reforecast Analysis"/>
      <sheetName val="YTD &amp; Quartely Actual V Budget"/>
      <sheetName val="Monthly Commentary - Feb"/>
      <sheetName val="Monthly Commentary - Mar"/>
      <sheetName val="Monthly Commentary - Apr"/>
      <sheetName val="Monthly Commentary - May"/>
      <sheetName val="Monthly Commentary - Jun"/>
      <sheetName val="Monthly Commentary - Jul"/>
      <sheetName val="Monthly Commentary - Aug"/>
      <sheetName val="Monthly Commentary - Sep"/>
      <sheetName val="Monthly Commentary - Oct"/>
      <sheetName val="Monthly Commentary - Nov"/>
      <sheetName val="Monthly Commentary - Dec"/>
      <sheetName val="Monthly Commentary - Jan"/>
      <sheetName val="Reforecast Instructions"/>
      <sheetName val="Cougar Settings"/>
      <sheetName val="1 Market"/>
      <sheetName val="Stacking Plan"/>
      <sheetName val="Corporate"/>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 5 Year Budget NOI Summary"/>
      <sheetName val="3. Budget Assumption Sheet"/>
      <sheetName val="10. OPEX Summary"/>
      <sheetName val="Stacking Plan &amp; LEP"/>
    </sheetNames>
    <sheetDataSet>
      <sheetData sheetId="0"/>
      <sheetData sheetId="1"/>
      <sheetData sheetId="2" refreshError="1"/>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 do List"/>
      <sheetName val="Valuation Matrix History"/>
      <sheetName val="Budget Summary Sheet"/>
      <sheetName val="3 Year Summary Assumption Sheet"/>
      <sheetName val="Stacking Plan &amp; LEP"/>
      <sheetName val="Full Year Reforecast Analysis"/>
      <sheetName val="YTD &amp; Quartely Actual V Budget"/>
      <sheetName val="Monthly Commentary - Feb"/>
      <sheetName val="Monthly Commentary - Mar"/>
      <sheetName val="Monthly Commentary - Apr"/>
      <sheetName val="Monthly Commentary - May"/>
      <sheetName val="Monthly Commentary - Jun"/>
      <sheetName val="Monthly Commentary - Jul"/>
      <sheetName val="Monthly Commentary - Aug"/>
      <sheetName val="Monthly Commentary - Sep"/>
      <sheetName val="Monthly Commentary - Oct"/>
      <sheetName val="Monthly Commentary - Nov"/>
      <sheetName val="Monthly Commentary - Dec"/>
      <sheetName val="Monthly Commentary - Jan"/>
      <sheetName val="Reforecast Instructions"/>
      <sheetName val="Cougar Settings"/>
      <sheetName val="1 Market"/>
      <sheetName val="Stacking Plan"/>
      <sheetName val="Corporate"/>
      <sheetName val="Mai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Capex"/>
      <sheetName val="wrpgt distri"/>
      <sheetName val="summary"/>
      <sheetName val="DISTRIBUTION"/>
      <sheetName val="IPT"/>
      <sheetName val="62Northbourne-10003"/>
      <sheetName val="Cathedral-10007"/>
      <sheetName val="469 Latrobe-10009"/>
      <sheetName val="420 St.Kilda-10010"/>
      <sheetName val="73Northbourne-10011"/>
      <sheetName val="64Northbourne-10017"/>
      <sheetName val="73 Miller -10018"/>
      <sheetName val="55 Market St-10020"/>
      <sheetName val="485 La Trobe consolidated"/>
      <sheetName val="241 Adelaide-New"/>
      <sheetName val="32 Phillip St"/>
      <sheetName val="260 Queen St"/>
      <sheetName val="109 St.Georges Tc"/>
      <sheetName val="50-60 Talavera Rd"/>
      <sheetName val="2000-2001Leasing"/>
      <sheetName val="2001-2002Leasing "/>
      <sheetName val="Module2"/>
      <sheetName val="Stacking Plan &amp; LEP"/>
      <sheetName val="W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Sydney CBD"/>
      <sheetName val="Sydney Metro"/>
      <sheetName val="Canberra"/>
      <sheetName val="Melbourne  "/>
      <sheetName val="Brisbane"/>
      <sheetName val="Perth "/>
      <sheetName val="Stacking Plan &amp; LEP"/>
      <sheetName val="1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S"/>
      <sheetName val=" Contents"/>
      <sheetName val="FUM"/>
      <sheetName val="KPIS BU"/>
      <sheetName val="KPIS"/>
      <sheetName val="11 b Debtors"/>
      <sheetName val="11a Debtors"/>
      <sheetName val="2. Milestones"/>
      <sheetName val="8. IPL"/>
      <sheetName val="3. Dist Stment"/>
      <sheetName val="Sheet4"/>
      <sheetName val="Final board"/>
      <sheetName val="Sheet7"/>
      <sheetName val="Final qtly report"/>
      <sheetName val="Adj"/>
      <sheetName val="4. Group Reforecast"/>
      <sheetName val="Presentation"/>
      <sheetName val="Trust P&amp;L"/>
      <sheetName val="Distribution"/>
      <sheetName val="5. Cash flow"/>
      <sheetName val="Tax"/>
      <sheetName val="Sheet2"/>
      <sheetName val="9. IPL Detail"/>
      <sheetName val="Sheet5"/>
      <sheetName val="7a. IPT Prop"/>
      <sheetName val="Prop var"/>
      <sheetName val="Sheet1"/>
      <sheetName val="P&amp;L rec"/>
      <sheetName val="Interest"/>
      <sheetName val="6. IPT full"/>
      <sheetName val="Property workings"/>
      <sheetName val="7b. Detailed IPT"/>
      <sheetName val="Investment income"/>
      <sheetName val="ICPFN"/>
      <sheetName val="Sheet3"/>
      <sheetName val="Comparatives"/>
      <sheetName val="Reforecast"/>
      <sheetName val="Nominee refo"/>
      <sheetName val="10. Dev P&amp;L"/>
      <sheetName val="Lots"/>
      <sheetName val="11. BS"/>
      <sheetName val="Dev CFS"/>
      <sheetName val="12. G&amp;A"/>
      <sheetName val="Dev"/>
      <sheetName val="P&amp;L by Entity"/>
      <sheetName val="Instructions"/>
      <sheetName val="COA"/>
      <sheetName val="FUNDS"/>
      <sheetName val="Centres"/>
      <sheetName val="902 Reforecast"/>
      <sheetName val="IPT detail YTD"/>
      <sheetName val="Segment"/>
      <sheetName val="Segment P&amp;L"/>
      <sheetName val="IPT income FY03"/>
      <sheetName val="1. KPIS"/>
      <sheetName val="2. Group Reforecast"/>
      <sheetName val="3."/>
      <sheetName val="4. IPT full"/>
      <sheetName val="4a. IPT Prop"/>
      <sheetName val="4a. Prop var"/>
      <sheetName val="5. IPL"/>
      <sheetName val="6. IPL Detail"/>
      <sheetName val="7. Dev P&amp;L"/>
      <sheetName val="7a. Lots"/>
      <sheetName val="8. BS"/>
      <sheetName val="9. G&amp;A"/>
      <sheetName val="10. Dev CFS"/>
      <sheetName val="12. C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ximise Cash"/>
      <sheetName val="Disposal Calculator"/>
      <sheetName val="Cap Rate Trend"/>
      <sheetName val="Filtered"/>
      <sheetName val="Summary"/>
      <sheetName val="Rep Vs Budget Files"/>
      <sheetName val="Sale disposals"/>
      <sheetName val="Passing Yield"/>
      <sheetName val="NOI"/>
      <sheetName val="CAPEX"/>
      <sheetName val="Allocated Loan"/>
      <sheetName val="Interest Costs"/>
      <sheetName val="Holding Costs Forecast"/>
      <sheetName val="Holding Costs Sep07_Dec09"/>
      <sheetName val="Cumulative Holding Costs"/>
      <sheetName val="IRR"/>
      <sheetName val="Stacking Plan &amp; L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Things to consider"/>
      <sheetName val="Summary"/>
      <sheetName val="Budget Assumptions"/>
      <sheetName val="AM Strategy"/>
      <sheetName val="Analysis"/>
      <sheetName val="SWOT"/>
      <sheetName val="Rental Analysis"/>
      <sheetName val="Competition"/>
      <sheetName val="Market Commentary"/>
      <sheetName val="Comparative Analysis"/>
      <sheetName val="Tenancy"/>
      <sheetName val="10 Year Capex"/>
      <sheetName val="Stacking Plan"/>
      <sheetName val="6 month Val "/>
      <sheetName val="dcf"/>
      <sheetName val="cap"/>
      <sheetName val="Bull Case Quarterly"/>
      <sheetName val="Current Case quarterly"/>
      <sheetName val="sheet6"/>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1.Overview"/>
      <sheetName val="A2.SWOT"/>
      <sheetName val="A3.Key Metrics"/>
      <sheetName val="A4.Market &amp; House Views"/>
      <sheetName val="A5.Sustainability Mud Map"/>
      <sheetName val="B1. Budget Assumptions"/>
      <sheetName val="B2.Budget Summary"/>
      <sheetName val="B3.Cougar Cashflow"/>
      <sheetName val="B4.Stack Expiry"/>
      <sheetName val="B5.Stack Capex"/>
      <sheetName val="B6.Capex Forecast Cashflow"/>
      <sheetName val="B7.Opex Summary"/>
      <sheetName val="B8.Cougar Tenancy Schedule"/>
      <sheetName val="B09.Cougar Unit Schedule"/>
      <sheetName val="B10.Cougar Lost Income"/>
      <sheetName val="B11.Cougar Rental Cashflow"/>
      <sheetName val="B12.Cougar Leasing Fees"/>
      <sheetName val="B13.Cougar Fitout Costs"/>
      <sheetName val="B14.Cougar Rent Reviews"/>
      <sheetName val="B15.Cougar DCF"/>
      <sheetName val="B16.Cougar Cap Val"/>
      <sheetName val="C1.Control Sheet"/>
      <sheetName val="C2.PCA Database"/>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Things to consider"/>
      <sheetName val="Summary"/>
      <sheetName val="Budget Assumptions"/>
      <sheetName val="AM Strategy"/>
      <sheetName val="Analysis"/>
      <sheetName val="SWOT"/>
      <sheetName val="Rental Analysis"/>
      <sheetName val="Competition"/>
      <sheetName val="Market Commentary"/>
      <sheetName val="Comparative Analysis"/>
      <sheetName val="Tenancy"/>
      <sheetName val="10 Year Capex"/>
      <sheetName val="Stacking Plan"/>
      <sheetName val="6 month Val "/>
      <sheetName val="dcf"/>
      <sheetName val="cap"/>
      <sheetName val="Bull Case Quarterly"/>
      <sheetName val="Current Case quarterly"/>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udget"/>
      <sheetName val="1 Market"/>
      <sheetName val="Stack Capex"/>
    </sheetNames>
    <sheetDataSet>
      <sheetData sheetId="0" refreshError="1"/>
      <sheetData sheetId="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
      <sheetName val="Syd_Supply"/>
      <sheetName val="Mel_Supply"/>
      <sheetName val="NorthSyd_Supply"/>
      <sheetName val="Bris_Supply"/>
      <sheetName val="Perth_Supply"/>
      <sheetName val="MacPark_Supply"/>
      <sheetName val="Parra_Supply"/>
      <sheetName val="Syd_Graphs"/>
      <sheetName val="Mel_Graphs"/>
      <sheetName val="NorthSyd_Graphs"/>
      <sheetName val="Bris_Graphs"/>
      <sheetName val="Per_Graphs"/>
      <sheetName val="MacPark_Graphs"/>
      <sheetName val="Parra_Graphs"/>
      <sheetName val="BrisFring_Graphs"/>
      <sheetName val="StKilda_Graphs"/>
      <sheetName val="Adel_Graphs"/>
      <sheetName val="Can_Graphs"/>
      <sheetName val="Replacement_Models"/>
      <sheetName val="Yield Correlations"/>
      <sheetName val="CBD Yield Model"/>
      <sheetName val="JLL Database"/>
      <sheetName val="PCA Database"/>
      <sheetName val="Names Ranges"/>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udget"/>
      <sheetName val="Asset Plan Summary (WPFML only)"/>
      <sheetName val="Forecast Report"/>
      <sheetName val="Cougar Load"/>
      <sheetName val="Capex2001"/>
      <sheetName val="LEASING"/>
      <sheetName val="OGSREC01"/>
      <sheetName val="CLNREC01"/>
      <sheetName val="STATEMENT"/>
      <sheetName val="ELEC00-01"/>
      <sheetName val="ELEC99-00"/>
      <sheetName val="CLNEST01"/>
      <sheetName val="CLNXTRA"/>
      <sheetName val="Stacking Plan &amp; LEP"/>
      <sheetName val="Stack Expiry"/>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come"/>
      <sheetName val="About Benchmarks"/>
      <sheetName val="Office Buildings"/>
      <sheetName val="IPT FY09 Actuals $"/>
      <sheetName val="IPT FY09 Actuals pm2"/>
      <sheetName val="Calculator"/>
      <sheetName val="Database"/>
    </sheetNames>
    <sheetDataSet>
      <sheetData sheetId="0"/>
      <sheetData sheetId="1"/>
      <sheetData sheetId="2"/>
      <sheetData sheetId="3"/>
      <sheetData sheetId="4"/>
      <sheetData sheetId="5"/>
      <sheetData sheetId="6"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dget 2002-2003"/>
      <sheetName val="Master Forecast Plan"/>
      <sheetName val="Variance "/>
      <sheetName val="Forecast Report"/>
      <sheetName val="Tenants' Recoveries (Gross)"/>
      <sheetName val="Outgoings Schedul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Table of contents"/>
      <sheetName val="2. 5 Year Budget NOI Summary"/>
      <sheetName val="3. Budget Assumption Sheet"/>
      <sheetName val="4. Budget Assumption Sheet"/>
      <sheetName val="5-8. Stacking Plan"/>
      <sheetName val="9. Tenancy Schedule"/>
      <sheetName val="10. Unit Schedule"/>
      <sheetName val="11. Rental Cashflow"/>
      <sheetName val="12. Cougar Fitout"/>
      <sheetName val="13. Cougar Makegood"/>
      <sheetName val="14. OPEX Summary"/>
      <sheetName val="15. CAPEX Forecast"/>
      <sheetName val="16. Review Minutes &amp; Check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 val="Capex"/>
      <sheetName val="wrpgt distri"/>
      <sheetName val="WPT"/>
      <sheetName val="62Northbourne-10003"/>
      <sheetName val="Cathedral-10007"/>
      <sheetName val="469 Latrobe-10009"/>
      <sheetName val="420 St.Kilda-10010"/>
      <sheetName val="73Northbourne-10011"/>
      <sheetName val="64Northbourne-10017"/>
      <sheetName val="73 Miller -10018"/>
      <sheetName val="55 Market St-10020"/>
      <sheetName val="485 La Trobe consolidated"/>
      <sheetName val="241 Adelaide-New"/>
      <sheetName val="32 Phillip St"/>
      <sheetName val="260 Queen St"/>
      <sheetName val="109 St.Georges Tc"/>
      <sheetName val="50-60 Talavera Rd"/>
      <sheetName val="2000-2001Leasing"/>
      <sheetName val="Module2"/>
      <sheetName val="Budg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nk"/>
      <sheetName val="Master Forcaste Plan"/>
      <sheetName val="Budget"/>
      <sheetName val="Stacking"/>
      <sheetName val="Asset Plan Summary (WPFML only)"/>
      <sheetName val="Tenant Recoveries"/>
      <sheetName val="Sheet1"/>
      <sheetName val="Sheet2"/>
      <sheetName val="Sheet3"/>
      <sheetName val="C3.House Views Summary"/>
      <sheetName val="C4.Market Commentary"/>
      <sheetName val="Approved Renov Payment Schedule"/>
      <sheetName val="XREF"/>
      <sheetName val="Balance Sheet"/>
      <sheetName val="Income Statement"/>
      <sheetName val="Master_Forcaste_Plan"/>
      <sheetName val="Asset_Plan_Summary_(WPFML_only)"/>
      <sheetName val="Tenant_Recoveries"/>
      <sheetName val="C3_House_Views_Summary"/>
      <sheetName val="C4_Market_Commentary"/>
      <sheetName val="Approved_Renov_Payment_Schedule"/>
      <sheetName val="Balance_Sheet"/>
      <sheetName val="Income_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Set>
  </externalBook>
</externalLink>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person displayName="Shaun Condon" id="{55D3257C-179F-4A64-AF97-086CB7B0BD07}" userId="SCondon@investa.com.au" providerId="PeoplePicker"/>
  <person displayName="Rebecca Fitzgerald" id="{5027A351-7BDC-4E55-AC07-DC8035DFEE77}" userId="RFitzgerald@investa.com.au" providerId="PeoplePicker"/>
  <person displayName="Shaun Condon" id="{5203691C-28F4-424F-B057-C5670FE5C481}" userId="S::SCondon@investa.com.au::4d04f2ee-b663-416f-af91-0dc1ac05903c" providerId="AD"/>
  <person displayName="Shaun Condon" id="{F18253E8-2AC3-496D-B6E3-B8F626057E79}" userId="S::scondon@investa.com.au::4d04f2ee-b663-416f-af91-0dc1ac05903c" providerId="AD"/>
  <person displayName="Rebecca Fitzgerald" id="{D41E06FF-B672-4C31-A8AA-3311D5ED2255}" userId="S::RFitzgerald@investa.com.au::59908ec9-1ffb-4b6c-a538-66e5fedd241a" providerId="AD"/>
</personList>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Investa Corporate 2017">
  <a:themeElements>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7.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8.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9.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0.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2.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3.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4.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5.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6.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7.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8.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9.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0.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2.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3.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4.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5.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6.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7.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8.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9.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0.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2.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3.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4.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5.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6.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7.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8.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9.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0.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1.xml><?xml version="1.0" encoding="utf-8"?>
<a:themeOverride xmlns:a="http://schemas.openxmlformats.org/drawingml/2006/main">
  <a:clrScheme name="Investa Corporate 2017 rebrand">
    <a:dk1>
      <a:sysClr val="windowText" lastClr="000000"/>
    </a:dk1>
    <a:lt1>
      <a:srgbClr val="FFFFFF"/>
    </a:lt1>
    <a:dk2>
      <a:srgbClr val="B8C6D0"/>
    </a:dk2>
    <a:lt2>
      <a:srgbClr val="EAEAEB"/>
    </a:lt2>
    <a:accent1>
      <a:srgbClr val="253746"/>
    </a:accent1>
    <a:accent2>
      <a:srgbClr val="2DCCD3"/>
    </a:accent2>
    <a:accent3>
      <a:srgbClr val="4F758B"/>
    </a:accent3>
    <a:accent4>
      <a:srgbClr val="989A9C"/>
    </a:accent4>
    <a:accent5>
      <a:srgbClr val="00857D"/>
    </a:accent5>
    <a:accent6>
      <a:srgbClr val="ABEAEC"/>
    </a:accent6>
    <a:hlink>
      <a:srgbClr val="253746"/>
    </a:hlink>
    <a:folHlink>
      <a:srgbClr val="253746"/>
    </a:folHlink>
  </a:clrScheme>
  <a:fontScheme name="Investa Corporate">
    <a:majorFont>
      <a:latin typeface="tahoma"/>
      <a:ea typeface=""/>
      <a:cs typeface=""/>
    </a:majorFont>
    <a:minorFont>
      <a:latin typeface="tahoma"/>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F87" dT="2023-01-31T23:35:44.71" personId="{D41E06FF-B672-4C31-A8AA-3311D5ED2255}" id="{282405AF-E90A-4322-94CF-43FF5FF63235}">
    <text>Scope 1 and Scope 2*</text>
  </threadedComment>
  <threadedComment ref="F87" dT="2023-02-03T01:26:39.40" personId="{5203691C-28F4-424F-B057-C5670FE5C481}" id="{89379874-3774-40EC-A794-C4C32AD8ACEC}" parentId="{282405AF-E90A-4322-94CF-43FF5FF63235}">
    <text>@Rebecca Fitzgerald yes only Scope 1 and 2</text>
    <mentions>
      <mention mentionpersonId="{5027A351-7BDC-4E55-AC07-DC8035DFEE77}" mentionId="{051412A4-BBA9-420B-A397-D94E50F3202B}" startIndex="0" length="19"/>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A210" dT="2023-01-24T10:57:34.34" personId="{D41E06FF-B672-4C31-A8AA-3311D5ED2255}" id="{06A68A9B-A079-4276-8EDE-7F011B26B89E}">
    <text>@Shaun Condon all done!</text>
    <mentions>
      <mention mentionpersonId="{55D3257C-179F-4A64-AF97-086CB7B0BD07}" mentionId="{FF4F9B80-FA7C-4B9B-869B-B40ADDEB673B}" startIndex="0" length="13"/>
    </mentions>
  </threadedComment>
  <threadedComment ref="A210" dT="2023-01-28T12:29:17.84" personId="{F18253E8-2AC3-496D-B6E3-B8F626057E79}" id="{DE43A7D1-AD8E-4F4A-81F5-207909442DD0}" parentId="{06A68A9B-A079-4276-8EDE-7F011B26B89E}">
    <text>@Rebecca Fitzgerald  For 1 Market Street, the Scope 3 emissions are higher than Scope 1 emissions, does that seem right to you?</text>
    <mentions>
      <mention mentionpersonId="{5027A351-7BDC-4E55-AC07-DC8035DFEE77}" mentionId="{D5684D98-B36C-4F5F-84F0-95D8E5BD7D0A}" startIndex="0" length="19"/>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A2" dT="2023-01-31T23:30:30.42" personId="{D41E06FF-B672-4C31-A8AA-3311D5ED2255}" id="{37D241FD-020A-47A5-B433-3BB3FF1D44E4}">
    <text>Suggest to add our Energetics reference here, so we don't forget where these projections came from.</text>
  </threadedComment>
  <threadedComment ref="D3" dT="2023-10-12T09:17:58.01" personId="{F18253E8-2AC3-496D-B6E3-B8F626057E79}" id="{701D9873-C7C7-4522-80D6-4EB1A85CB2B6}">
    <text>NGA Factors 2023 (to July 2024)</text>
  </threadedComment>
</ThreadedComments>
</file>

<file path=xl/threadedComments/threadedComment4.xml><?xml version="1.0" encoding="utf-8"?>
<ThreadedComments xmlns="http://schemas.microsoft.com/office/spreadsheetml/2018/threadedcomments" xmlns:x="http://schemas.openxmlformats.org/spreadsheetml/2006/main">
  <threadedComment ref="B81" dT="2023-02-01T01:06:33.77" personId="{5203691C-28F4-424F-B057-C5670FE5C481}" id="{E5F33C61-7B76-4BB3-A25B-3582C96450D4}">
    <text xml:space="preserve">Allowance includes All consulting costs, plus 20% of trade costs. Note: Flat Pack Units need to accommodate heat pump temperature water (lower)
</text>
  </threadedComment>
  <threadedComment ref="B82" dT="2023-02-01T01:06:33.77" personId="{5203691C-28F4-424F-B057-C5670FE5C481}" id="{C31FA2F7-3668-4EA7-B777-103D356669EF}">
    <text xml:space="preserve">Allowance includes All consulting costs, plus 20% of trade costs. Note: Flat Pack Units need to accommodate heat pump temperature water (lower)
</text>
  </threadedComment>
  <threadedComment ref="B83" dT="2023-02-01T01:06:33.77" personId="{5203691C-28F4-424F-B057-C5670FE5C481}" id="{2D7A0E9B-5A22-4933-9BC6-8A356CF70C9D}">
    <text xml:space="preserve">Allowance includes All consulting costs, plus 20% of trade costs. Note: Flat Pack Units need to accommodate heat pump temperature water (lower)
</text>
  </threadedComment>
  <threadedComment ref="B84" dT="2023-02-01T01:06:33.77" personId="{5203691C-28F4-424F-B057-C5670FE5C481}" id="{2C4D7F03-5B74-414D-BC47-F451DD6F6EC0}">
    <text xml:space="preserve">Allowance includes All consulting costs, plus 20% of trade costs. Note: Flat Pack Units need to accommodate heat pump temperature water (lower)
</text>
  </threadedComment>
  <threadedComment ref="B85" dT="2023-02-01T01:06:33.77" personId="{5203691C-28F4-424F-B057-C5670FE5C481}" id="{EBC31E10-0FC6-4826-9BAE-AEC0FE01518F}">
    <text xml:space="preserve">Allowance includes All consulting costs, plus 20% of trade costs. Note: Flat Pack Units need to accommodate heat pump temperature water (lower)
</text>
  </threadedComment>
  <threadedComment ref="B86" dT="2023-01-26T22:34:42.05" personId="{5203691C-28F4-424F-B057-C5670FE5C481}" id="{7CAAFF55-2E6C-428F-BF6F-7C84D44740E5}">
    <text>Once this is complete will there be any gas consumption on site?</text>
  </threadedComment>
  <threadedComment ref="B86" dT="2023-01-31T23:25:50.51" personId="{D41E06FF-B672-4C31-A8AA-3311D5ED2255}" id="{A8B565D0-04BE-4AF1-8E0B-7CB082D70EC7}" parentId="{7CAAFF55-2E6C-428F-BF6F-7C84D44740E5}">
    <text>@Shaun Condon, can we add to this project that 'HHW boilers to be decommissioned'? TOG reports didn't specifically say this, but my understanding is that this is the intent. After this, there will only be gas for retail cooking that we need to remove (if not already done by this point).</text>
    <mentions>
      <mention mentionpersonId="{55D3257C-179F-4A64-AF97-086CB7B0BD07}" mentionId="{850DA43E-37A5-4B95-91ED-54BC2D541053}" startIndex="0" length="13"/>
    </mentions>
  </threadedComment>
  <threadedComment ref="B86" dT="2023-02-01T00:13:18.65" personId="{5203691C-28F4-424F-B057-C5670FE5C481}" id="{8270EAA2-87B4-4336-A5AB-A51CFA06FEF9}" parentId="{7CAAFF55-2E6C-428F-BF6F-7C84D44740E5}">
    <text>@Rebecca Fitzgerald  Yes I think so. I was just trying to keep text succinct</text>
    <mentions>
      <mention mentionpersonId="{5027A351-7BDC-4E55-AC07-DC8035DFEE77}" mentionId="{3C81075C-5751-4223-B120-FBEBF23BAFC9}" startIndex="0" length="19"/>
    </mentions>
  </threadedComment>
  <threadedComment ref="C86" dT="2023-01-31T23:27:09.91" personId="{D41E06FF-B672-4C31-A8AA-3311D5ED2255}" id="{558E9B97-A34F-4EBA-B686-12386190103E}">
    <text>@Shaun Condon, let's check with Peter that this change in electricity consumption has taken into account that the chillers / heat pumps will be used in winter for space heating.</text>
    <mentions>
      <mention mentionpersonId="{55D3257C-179F-4A64-AF97-086CB7B0BD07}" mentionId="{E58DD07E-6F04-4703-9AE5-3C3CDC418E68}" startIndex="0" length="13"/>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C15" dT="2023-02-01T01:06:33.77" personId="{5203691C-28F4-424F-B057-C5670FE5C481}" id="{C188AFE4-E3F8-46F3-AF5C-728AA0F33091}">
    <text xml:space="preserve">Allowance includes All consulting costs, plus 20% of trade costs. Note: Flat Pack Units need to accommodate heat pump temperature water (lower)
</text>
  </threadedComment>
  <threadedComment ref="C16" dT="2023-02-01T01:06:33.77" personId="{5203691C-28F4-424F-B057-C5670FE5C481}" id="{C7396F87-0892-4663-B7D9-EFABAD876473}">
    <text xml:space="preserve">Allowance includes All consulting costs, plus 20% of trade costs. Note: Flat Pack Units need to accommodate heat pump temperature water (lower)
</text>
  </threadedComment>
  <threadedComment ref="C17" dT="2023-02-01T01:06:33.77" personId="{5203691C-28F4-424F-B057-C5670FE5C481}" id="{A175CD60-DDC5-4108-ACCB-88600CB726A2}">
    <text xml:space="preserve">Allowance includes All consulting costs, plus 20% of trade costs. Note: Flat Pack Units need to accommodate heat pump temperature water (lower)
</text>
  </threadedComment>
  <threadedComment ref="C18" dT="2023-02-01T01:06:33.77" personId="{5203691C-28F4-424F-B057-C5670FE5C481}" id="{C15EFC22-81DA-4348-BA10-0696440578AC}">
    <text xml:space="preserve">Allowance includes All consulting costs, plus 20% of trade costs. Note: Flat Pack Units need to accommodate heat pump temperature water (lower)
</text>
  </threadedComment>
  <threadedComment ref="C19" dT="2023-02-01T01:06:33.77" personId="{5203691C-28F4-424F-B057-C5670FE5C481}" id="{3FB0635C-03D8-4334-9417-326699701733}">
    <text xml:space="preserve">Allowance includes All consulting costs, plus 20% of trade costs. Note: Flat Pack Units need to accommodate heat pump temperature water (lower)
</text>
  </threadedComment>
  <threadedComment ref="C20" dT="2023-01-26T22:34:42.05" personId="{5203691C-28F4-424F-B057-C5670FE5C481}" id="{1F64030C-5D12-46DA-B611-9F877825F2F2}">
    <text>Once this is complete will there be any gas consumption on site?</text>
  </threadedComment>
  <threadedComment ref="C20" dT="2023-01-31T23:25:50.51" personId="{D41E06FF-B672-4C31-A8AA-3311D5ED2255}" id="{24A2721C-F94C-441A-A1A9-89CE6B680387}" parentId="{1F64030C-5D12-46DA-B611-9F877825F2F2}">
    <text>@Shaun Condon, can we add to this project that 'HHW boilers to be decommissioned'? TOG reports didn't specifically say this, but my understanding is that this is the intent. After this, there will only be gas for retail cooking that we need to remove (if not already done by this point).</text>
    <mentions>
      <mention mentionpersonId="{55D3257C-179F-4A64-AF97-086CB7B0BD07}" mentionId="{DF524D31-25D8-4908-BE7B-2E5C4903076E}" startIndex="0" length="13"/>
    </mentions>
  </threadedComment>
  <threadedComment ref="C20" dT="2023-02-01T00:13:18.65" personId="{5203691C-28F4-424F-B057-C5670FE5C481}" id="{9213C9FD-4616-46CB-AD83-F92406C678C1}" parentId="{1F64030C-5D12-46DA-B611-9F877825F2F2}">
    <text>@Rebecca Fitzgerald  Yes I think so. I was just trying to keep text succinct</text>
    <mentions>
      <mention mentionpersonId="{5027A351-7BDC-4E55-AC07-DC8035DFEE77}" mentionId="{61EDB342-B698-42CC-884A-8C6C9F2D2B8F}" startIndex="0" length="19"/>
    </mentions>
  </threadedComment>
  <threadedComment ref="D20" dT="2023-01-31T23:27:09.91" personId="{D41E06FF-B672-4C31-A8AA-3311D5ED2255}" id="{DE537AE0-CEEC-434F-B424-6DB9538D7E52}">
    <text>@Shaun Condon, let's check with Peter that this change in electricity consumption has taken into account that the chillers / heat pumps will be used in winter for space heating.</text>
    <mentions>
      <mention mentionpersonId="{55D3257C-179F-4A64-AF97-086CB7B0BD07}" mentionId="{520F489C-3F44-4DFB-AE55-96FF9EC11211}" startIndex="0" length="13"/>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81" dT="2023-02-01T01:06:33.77" personId="{5203691C-28F4-424F-B057-C5670FE5C481}" id="{FDE14633-6505-4310-87C3-F8F8B48C778C}">
    <text xml:space="preserve">Allowance includes All consulting costs, plus 20% of trade costs. Note: Flat Pack Units need to accommodate heat pump temperature water (lower)
</text>
  </threadedComment>
  <threadedComment ref="B82" dT="2023-02-01T01:06:33.77" personId="{5203691C-28F4-424F-B057-C5670FE5C481}" id="{1A7797BF-9E4C-4ABD-891C-DF97FCD1E500}">
    <text xml:space="preserve">Allowance includes All consulting costs, plus 20% of trade costs. Note: Flat Pack Units need to accommodate heat pump temperature water (lower)
</text>
  </threadedComment>
  <threadedComment ref="B83" dT="2023-02-01T01:06:33.77" personId="{5203691C-28F4-424F-B057-C5670FE5C481}" id="{7952619E-80E7-4F1E-A308-46EB413A94C6}">
    <text xml:space="preserve">Allowance includes All consulting costs, plus 20% of trade costs. Note: Flat Pack Units need to accommodate heat pump temperature water (lower)
</text>
  </threadedComment>
  <threadedComment ref="B84" dT="2023-02-01T01:06:33.77" personId="{5203691C-28F4-424F-B057-C5670FE5C481}" id="{56B2B258-FBED-4133-B212-0E51B15E5511}">
    <text xml:space="preserve">Allowance includes All consulting costs, plus 20% of trade costs. Note: Flat Pack Units need to accommodate heat pump temperature water (lower)
</text>
  </threadedComment>
  <threadedComment ref="B85" dT="2023-02-01T01:06:33.77" personId="{5203691C-28F4-424F-B057-C5670FE5C481}" id="{BEA2EC5C-B5B1-4937-945D-B254A73D492F}">
    <text xml:space="preserve">Allowance includes All consulting costs, plus 20% of trade costs. Note: Flat Pack Units need to accommodate heat pump temperature water (lower)
</text>
  </threadedComment>
  <threadedComment ref="B86" dT="2023-01-26T22:34:42.05" personId="{5203691C-28F4-424F-B057-C5670FE5C481}" id="{09ACEDD6-1AA8-4E18-A802-2C29BF336D4A}">
    <text>Once this is complete will there be any gas consumption on site?</text>
  </threadedComment>
  <threadedComment ref="B86" dT="2023-01-31T23:25:50.51" personId="{D41E06FF-B672-4C31-A8AA-3311D5ED2255}" id="{CBFB706E-B8A3-49F8-B084-CC5E30F18AEE}" parentId="{09ACEDD6-1AA8-4E18-A802-2C29BF336D4A}">
    <text>@Shaun Condon, can we add to this project that 'HHW boilers to be decommissioned'? TOG reports didn't specifically say this, but my understanding is that this is the intent. After this, there will only be gas for retail cooking that we need to remove (if not already done by this point).</text>
    <mentions>
      <mention mentionpersonId="{55D3257C-179F-4A64-AF97-086CB7B0BD07}" mentionId="{45428C46-5AD2-4785-91C3-658A3E6AF078}" startIndex="0" length="13"/>
    </mentions>
  </threadedComment>
  <threadedComment ref="B86" dT="2023-02-01T00:13:18.65" personId="{5203691C-28F4-424F-B057-C5670FE5C481}" id="{C9F2C16B-7A5C-4296-91B8-0660D2BA0E0F}" parentId="{09ACEDD6-1AA8-4E18-A802-2C29BF336D4A}">
    <text>@Rebecca Fitzgerald  Yes I think so. I was just trying to keep text succinct</text>
    <mentions>
      <mention mentionpersonId="{5027A351-7BDC-4E55-AC07-DC8035DFEE77}" mentionId="{26F1F8FB-C66B-483F-8342-6C853BDAA0BA}" startIndex="0" length="19"/>
    </mentions>
  </threadedComment>
  <threadedComment ref="C86" dT="2023-01-31T23:27:09.91" personId="{D41E06FF-B672-4C31-A8AA-3311D5ED2255}" id="{496489DB-A661-46FC-B98B-2EB53CAFA2E9}">
    <text>@Shaun Condon, let's check with Peter that this change in electricity consumption has taken into account that the chillers / heat pumps will be used in winter for space heating.</text>
    <mentions>
      <mention mentionpersonId="{55D3257C-179F-4A64-AF97-086CB7B0BD07}" mentionId="{BC2840C9-4563-4A23-A688-6A845E334D94}" startIndex="0" length="13"/>
    </mentions>
  </threadedComment>
</ThreadedComments>
</file>

<file path=xl/threadedComments/threadedComment7.xml><?xml version="1.0" encoding="utf-8"?>
<ThreadedComments xmlns="http://schemas.microsoft.com/office/spreadsheetml/2018/threadedcomments" xmlns:x="http://schemas.openxmlformats.org/spreadsheetml/2006/main">
  <threadedComment ref="G13" dT="2023-10-13T04:55:53.19" personId="{F18253E8-2AC3-496D-B6E3-B8F626057E79}" id="{A2C5C65A-A9B5-4881-99B5-9F42A1A1AB8D}">
    <text>Because the renewable electricity contract starts 1 Jan 2024</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1-24T12:59:40.75" personId="{5203691C-28F4-424F-B057-C5670FE5C481}" id="{B35320FD-2E39-4324-991E-B4F95D22E18D}">
    <text>Need to determine whether required without chilled beams</text>
  </threadedComment>
  <threadedComment ref="B75" dT="2023-01-24T13:00:08.89" personId="{5203691C-28F4-424F-B057-C5670FE5C481}" id="{5B5A4E7C-B410-41CC-8532-8EA39D0702A2}">
    <text>Need to assess whether included in on floor work allowances</text>
  </threadedComment>
  <threadedComment ref="B76" dT="2023-01-24T13:00:55.66" personId="{5203691C-28F4-424F-B057-C5670FE5C481}" id="{CFEB7160-DDBB-443C-8636-4F157305E661}">
    <text>Need to consider whether needed</text>
  </threadedComment>
  <threadedComment ref="E79" dT="2023-10-05T01:37:30.96" personId="{5203691C-28F4-424F-B057-C5670FE5C481}" id="{D336AFA0-49B4-4C72-AD05-1AA2D7FC66AC}">
    <text xml:space="preserve">Moved back 12 months
</text>
  </threadedComment>
  <threadedComment ref="C80" dT="2023-01-24T09:14:57.08" personId="{5203691C-28F4-424F-B057-C5670FE5C481}" id="{84E70BB9-838D-4588-B793-D43439AC745C}">
    <text>-430MWh</text>
  </threadedComment>
  <threadedComment ref="F80" dT="2023-01-24T09:14:45.41" personId="{5203691C-28F4-424F-B057-C5670FE5C481}" id="{32082BDA-1316-449A-B851-E7807301D9EB}">
    <text>$14,490,000</text>
  </threadedComment>
  <threadedComment ref="B81" dT="2023-01-24T12:59:40.75" personId="{5203691C-28F4-424F-B057-C5670FE5C481}" id="{2CFE89EA-C995-4B74-8D2E-BAFF1EBC31C9}">
    <text>Need to determine whether required without chilled beams</text>
  </threadedComment>
  <threadedComment ref="F81" dT="2023-01-30T00:32:29.54" personId="{5203691C-28F4-424F-B057-C5670FE5C481}" id="{83A50632-F0F7-4581-9E58-80F2DB0979FD}">
    <text xml:space="preserve">$736k assumed to be for Chilled Beams
</text>
  </threadedComment>
</ThreadedComments>
</file>

<file path=xl/threadedComments/threadedComment9.xml><?xml version="1.0" encoding="utf-8"?>
<ThreadedComments xmlns="http://schemas.microsoft.com/office/spreadsheetml/2018/threadedcomments" xmlns:x="http://schemas.openxmlformats.org/spreadsheetml/2006/main">
  <threadedComment ref="A69" dT="2023-10-14T12:49:46.01" personId="{F18253E8-2AC3-496D-B6E3-B8F626057E79}" id="{7A749BD3-2ECC-4A66-B2C1-8ACD7A42FFE3}">
    <text xml:space="preserve">BASE BUILDING COOLING TOWERS 1 TO 4 + MECH BOARD  </text>
  </threadedComment>
</ThreadedComments>
</file>

<file path=xl/threadedComments/threadedComment10.xml><?xml version="1.0" encoding="utf-8"?>
<ThreadedComments xmlns="http://schemas.microsoft.com/office/spreadsheetml/2018/threadedcomments" xmlns:x="http://schemas.openxmlformats.org/spreadsheetml/2006/main">
  <threadedComment ref="B70" dT="2023-08-16T23:48:33.81" personId="{D41E06FF-B672-4C31-A8AA-3311D5ED2255}" id="{F5C37D8C-F0B8-4640-BA38-AE759A436A34}">
    <text>Boilers have had significant maintenance issues. Therefore are not expected to reach typical end of life of 20 years. This has been reflected in the 'estimated date of completion' for electrification projects.</text>
  </threadedComment>
  <threadedComment ref="B72" dT="2023-01-22T23:57:49.37" personId="{5203691C-28F4-424F-B057-C5670FE5C481}" id="{E953FE42-09EC-4F38-8542-489B8C6DE80F}">
    <text>Assumption based upon 347 Kent St</text>
  </threadedComment>
</ThreadedComments>
</file>

<file path=xl/threadedComments/threadedComment11.xml><?xml version="1.0" encoding="utf-8"?>
<ThreadedComments xmlns="http://schemas.microsoft.com/office/spreadsheetml/2018/threadedcomments" xmlns:x="http://schemas.openxmlformats.org/spreadsheetml/2006/main">
  <threadedComment ref="A85" dT="2023-01-25T01:15:21.05" personId="{F18253E8-2AC3-496D-B6E3-B8F626057E79}" id="{F21D24BB-27E5-4836-AA9A-82C041326BC1}">
    <text>These works would occur in conjunction with IO-14039</text>
  </threadedComment>
  <threadedComment ref="B87" dT="2023-01-25T01:35:03.43" personId="{F18253E8-2AC3-496D-B6E3-B8F626057E79}" id="{05208218-9D8E-4EE2-B78A-B98477767761}">
    <text>This is to provide Tenancy Supply to level 8</text>
  </threadedComment>
  <threadedComment ref="A91" dT="2023-01-25T01:15:21.05" personId="{F18253E8-2AC3-496D-B6E3-B8F626057E79}" id="{5C54D6D0-19C2-4E8C-B9FF-B00C97E2A480}">
    <text>Already in NEW CAPEX items</text>
  </threadedComment>
</ThreadedComments>
</file>

<file path=xl/threadedComments/threadedComment12.xml><?xml version="1.0" encoding="utf-8"?>
<ThreadedComments xmlns="http://schemas.microsoft.com/office/spreadsheetml/2018/threadedcomments" xmlns:x="http://schemas.openxmlformats.org/spreadsheetml/2006/main">
  <threadedComment ref="D73" dT="2022-12-20T12:10:20.94" personId="{5203691C-28F4-424F-B057-C5670FE5C481}" id="{B5AA0BC5-6FAD-45FA-AC33-5EB3E5C3F6BF}">
    <text xml:space="preserve">All gas savings scaled up to match with total gas consumption
</text>
  </threadedComment>
  <threadedComment ref="C83" dT="2023-01-31T06:05:44.45" personId="{5203691C-28F4-424F-B057-C5670FE5C481}" id="{A455569D-8555-42B8-8D85-829DD1172F43}">
    <text>-150MWh</text>
  </threadedComment>
  <threadedComment ref="F83" dT="2023-01-31T06:05:35.08" personId="{5203691C-28F4-424F-B057-C5670FE5C481}" id="{840759DF-026D-495A-AED1-3CE4DEAAC138}">
    <text>$6.9M but prob $11M</text>
  </threadedComment>
</ThreadedComments>
</file>

<file path=xl/threadedComments/threadedComment13.xml><?xml version="1.0" encoding="utf-8"?>
<ThreadedComments xmlns="http://schemas.microsoft.com/office/spreadsheetml/2018/threadedcomments" xmlns:x="http://schemas.openxmlformats.org/spreadsheetml/2006/main">
  <threadedComment ref="B74" dT="2023-01-25T03:00:22.28" personId="{5203691C-28F4-424F-B057-C5670FE5C481}" id="{9E96A383-17EF-4F8F-B1D3-F6872E0353FC}">
    <text>AC to input</text>
  </threadedComment>
  <threadedComment ref="D74" dT="2022-12-20T09:39:51.27" personId="{F18253E8-2AC3-496D-B6E3-B8F626057E79}" id="{C57A3F11-7F42-4078-B296-84304E2FC595}">
    <text xml:space="preserve">Allowances scaled up from Oak Group Reports as together the projects should wipe all gas usage. </text>
  </threadedComment>
  <threadedComment ref="C76" dT="2023-01-25T03:09:26.88" personId="{5203691C-28F4-424F-B057-C5670FE5C481}" id="{2633F15F-04DA-4220-9932-386F04FDF769}">
    <text>-130</text>
  </threadedComment>
  <threadedComment ref="F76" dT="2023-01-25T03:09:46.56" personId="{5203691C-28F4-424F-B057-C5670FE5C481}" id="{4548B145-02F5-4729-B735-75F3C88F1720}">
    <text>$287,500</text>
  </threadedComment>
  <threadedComment ref="C77" dT="2023-01-25T03:09:34.73" personId="{5203691C-28F4-424F-B057-C5670FE5C481}" id="{D455AAE3-0DA5-4CE4-B314-9F8C38AB9177}">
    <text>-180</text>
  </threadedComment>
  <threadedComment ref="F77" dT="2023-01-25T03:09:58.19" personId="{5203691C-28F4-424F-B057-C5670FE5C481}" id="{49B87975-174C-4BC5-AA22-A765BBA60B0A}">
    <text>$575,000</text>
  </threadedComment>
</ThreadedComments>
</file>

<file path=xl/threadedComments/threadedComment14.xml><?xml version="1.0" encoding="utf-8"?>
<ThreadedComments xmlns="http://schemas.microsoft.com/office/spreadsheetml/2018/threadedcomments" xmlns:x="http://schemas.openxmlformats.org/spreadsheetml/2006/main">
  <threadedComment ref="G21" dT="2023-10-15T12:26:36.31" personId="{F18253E8-2AC3-496D-B6E3-B8F626057E79}" id="{2177CB0A-577E-468F-8AF2-B22478F1F03A}">
    <text>New electricity contract commencing 1/01/2024 is 100% renewable.</text>
  </threadedComment>
  <threadedComment ref="C83" dT="2023-01-30T02:03:07.07" personId="{5203691C-28F4-424F-B057-C5670FE5C481}" id="{E6F856D5-6971-4660-B5FF-690D5B129EF2}">
    <text>+437</text>
  </threadedComment>
  <threadedComment ref="D83" dT="2023-01-30T02:02:53.87" personId="{5203691C-28F4-424F-B057-C5670FE5C481}" id="{8714EF79-2779-4261-B804-691EBC35368D}">
    <text>-3,947</text>
  </threadedComment>
  <threadedComment ref="F83" dT="2023-01-30T02:02:42.11" personId="{5203691C-28F4-424F-B057-C5670FE5C481}" id="{466C58A5-4F96-46D9-A8F0-A07425EDAB78}">
    <text>$4.5M</text>
  </threadedComment>
</ThreadedComments>
</file>

<file path=xl/threadedComments/threadedComment15.xml><?xml version="1.0" encoding="utf-8"?>
<ThreadedComments xmlns="http://schemas.microsoft.com/office/spreadsheetml/2018/threadedcomments" xmlns:x="http://schemas.openxmlformats.org/spreadsheetml/2006/main">
  <threadedComment ref="E80" dT="2023-07-13T02:11:05.11" personId="{D41E06FF-B672-4C31-A8AA-3311D5ED2255}" id="{3070E92F-5993-47ED-A866-298B93906B54}">
    <text>To be undertaken at the same time as next AHU major parts replacement.</text>
  </threadedComment>
  <threadedComment ref="B81" dT="2023-10-14T11:41:50.85" personId="{F18253E8-2AC3-496D-B6E3-B8F626057E79}" id="{880D67A1-1379-4CA2-B39B-F827307BA5F5}">
    <text>12500</text>
  </threadedComment>
  <threadedComment ref="B82" dT="2023-10-14T11:42:10.72" personId="{F18253E8-2AC3-496D-B6E3-B8F626057E79}" id="{F2201B4A-45A0-487D-8F9B-A5986DDE9936}">
    <text xml:space="preserve">No allowance included
</text>
  </threadedComment>
  <threadedComment ref="B83" dT="2023-10-14T11:42:25.33" personId="{F18253E8-2AC3-496D-B6E3-B8F626057E79}" id="{6DD5F869-77F0-4165-BB09-0A2B38C213E9}">
    <text>9375</text>
  </threadedComment>
  <threadedComment ref="B84" dT="2023-10-14T11:42:47.73" personId="{F18253E8-2AC3-496D-B6E3-B8F626057E79}" id="{6C5F75AF-CBC1-440C-B330-FDAE19819BA6}">
    <text xml:space="preserve">$40000
</text>
  </threadedComment>
</ThreadedComments>
</file>

<file path=xl/threadedComments/threadedComment16.xml><?xml version="1.0" encoding="utf-8"?>
<ThreadedComments xmlns="http://schemas.microsoft.com/office/spreadsheetml/2018/threadedcomments" xmlns:x="http://schemas.openxmlformats.org/spreadsheetml/2006/main">
  <threadedComment ref="B82" dT="2023-01-27T12:18:14.44" personId="{F18253E8-2AC3-496D-B6E3-B8F626057E79}" id="{23A997AD-3755-4F70-AA65-A648CF658DEE}">
    <text>If we did this we should just move to cooling towers.</text>
  </threadedComment>
</ThreadedComments>
</file>

<file path=xl/threadedComments/threadedComment17.xml><?xml version="1.0" encoding="utf-8"?>
<ThreadedComments xmlns="http://schemas.microsoft.com/office/spreadsheetml/2018/threadedcomments" xmlns:x="http://schemas.openxmlformats.org/spreadsheetml/2006/main">
  <threadedComment ref="D70" dT="2023-01-11T03:39:21.11" personId="{F18253E8-2AC3-496D-B6E3-B8F626057E79}" id="{63132491-A5AD-425C-B08A-D6719ED13586}">
    <text>Scaled down to meet NABERS gas consumption</text>
  </threadedComment>
  <threadedComment ref="C79" dT="2023-01-28T01:49:11.20" personId="{5203691C-28F4-424F-B057-C5670FE5C481}" id="{095F2C51-24CC-421E-8CBB-7602557EA3F4}">
    <text>Remove. Should be 0</text>
  </threadedComment>
</ThreadedComments>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38" row="11">
    <wetp:webextensionref xmlns:r="http://schemas.openxmlformats.org/officeDocument/2006/relationships" r:id="rId1"/>
  </wetp:taskpane>
  <wetp:taskpane dockstate="right" visibility="0" width="525" row="4">
    <wetp:webextensionref xmlns:r="http://schemas.openxmlformats.org/officeDocument/2006/relationships" r:id="rId2"/>
  </wetp:taskpane>
  <wetp:taskpane dockstate="right" visibility="0" width="525" row="7">
    <wetp:webextensionref xmlns:r="http://schemas.openxmlformats.org/officeDocument/2006/relationships" r:id="rId3"/>
  </wetp:taskpane>
  <wetp:taskpane dockstate="right" visibility="0" width="525" row="8">
    <wetp:webextensionref xmlns:r="http://schemas.openxmlformats.org/officeDocument/2006/relationships" r:id="rId4"/>
  </wetp:taskpane>
</wetp:taskpanes>
</file>

<file path=xl/webextensions/webextension1.xml><?xml version="1.0" encoding="utf-8"?>
<we:webextension xmlns:we="http://schemas.microsoft.com/office/webextensions/webextension/2010/11" id="{12CCA92A-1CC1-4531-ACB2-37A0D98533AB}">
  <we:reference id="wa200003696" version="1.3.0.0" store="en-US" storeType="OMEX"/>
  <we:alternateReferences>
    <we:reference id="wa200003696" version="1.3.0.0"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_xldudf_LABS_GENERATIVEAI</we:customFunctionIds>
      </we:customFunctionIdList>
    </a:ext>
  </we:extLst>
</we:webextension>
</file>

<file path=xl/webextensions/webextension2.xml><?xml version="1.0" encoding="utf-8"?>
<we:webextension xmlns:we="http://schemas.microsoft.com/office/webextensions/webextension/2010/11" id="{17840468-1FDE-44CD-B608-20FA750323F1}">
  <we:reference id="wa200005502" version="1.0.0.11" store="en-US" storeType="OMEX"/>
  <we:alternateReferences>
    <we:reference id="WA200005502" version="1.0.0.11" store="" storeType="OMEX"/>
  </we:alternateReferences>
  <we:properties>
    <we:property name="docId" value="&quot;b0MUDf8rLBFQGljw6_MED&quot;"/>
  </we:properties>
  <we:bindings/>
  <we:snapshot xmlns:r="http://schemas.openxmlformats.org/officeDocument/2006/relationships"/>
</we:webextension>
</file>

<file path=xl/webextensions/webextension3.xml><?xml version="1.0" encoding="utf-8"?>
<we:webextension xmlns:we="http://schemas.microsoft.com/office/webextensions/webextension/2010/11" id="{32840C50-93A1-4AC2-869F-1C9B37B54B29}">
  <we:reference id="wa200005565" version="1.0.1.0" store="en-US" storeType="OMEX"/>
  <we:alternateReferences>
    <we:reference id="wa200005565" version="1.0.1.0" store="WA200005565" storeType="OMEX"/>
  </we:alternateReferences>
  <we:properties/>
  <we:bindings/>
  <we:snapshot xmlns:r="http://schemas.openxmlformats.org/officeDocument/2006/relationships"/>
</we:webextension>
</file>

<file path=xl/webextensions/webextension4.xml><?xml version="1.0" encoding="utf-8"?>
<we:webextension xmlns:we="http://schemas.microsoft.com/office/webextensions/webextension/2010/11" id="{54744C41-B19F-4E3A-A51C-9FB3683FAE42}">
  <we:reference id="wa200006068" version="1.0.3.0" store="en-US" storeType="OMEX"/>
  <we:alternateReferences>
    <we:reference id="wa200006068" version="1.0.3.0" store="WA200006068" storeType="OMEX"/>
  </we:alternateReferences>
  <we:properties/>
  <we:bindings/>
  <we:snapshot xmlns:r="http://schemas.openxmlformats.org/officeDocument/2006/relationships"/>
</we:webextension>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5"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microsoft.com/office/2017/10/relationships/threadedComment" Target="../threadedComments/threadedComment7.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6" Type="http://schemas.microsoft.com/office/2017/10/relationships/threadedComment" Target="../threadedComments/threadedComment8.xm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microsoft.com/office/2017/10/relationships/threadedComment" Target="../threadedComments/threadedComment9.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6" Type="http://schemas.microsoft.com/office/2017/10/relationships/threadedComment" Target="../threadedComments/threadedComment10.xm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microsoft.com/office/2017/10/relationships/threadedComment" Target="../threadedComments/threadedComment11.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44.bin"/><Relationship Id="rId1" Type="http://schemas.openxmlformats.org/officeDocument/2006/relationships/printerSettings" Target="../printerSettings/printerSettings43.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6" Type="http://schemas.microsoft.com/office/2017/10/relationships/threadedComment" Target="../threadedComments/threadedComment12.xm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48.bin"/><Relationship Id="rId1" Type="http://schemas.openxmlformats.org/officeDocument/2006/relationships/printerSettings" Target="../printerSettings/printerSettings4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printerSettings" Target="../printerSettings/printerSettings50.bin"/><Relationship Id="rId1" Type="http://schemas.openxmlformats.org/officeDocument/2006/relationships/printerSettings" Target="../printerSettings/printerSettings49.bin"/><Relationship Id="rId4" Type="http://schemas.openxmlformats.org/officeDocument/2006/relationships/comments" Target="../comments12.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microsoft.com/office/2017/10/relationships/threadedComment" Target="../threadedComments/threadedComment13.xm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6" Type="http://schemas.microsoft.com/office/2017/10/relationships/threadedComment" Target="../threadedComments/threadedComment14.xml"/><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60.bin"/><Relationship Id="rId1" Type="http://schemas.openxmlformats.org/officeDocument/2006/relationships/printerSettings" Target="../printerSettings/printerSettings59.bin"/><Relationship Id="rId6" Type="http://schemas.microsoft.com/office/2017/10/relationships/threadedComment" Target="../threadedComments/threadedComment15.xm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4" Type="http://schemas.openxmlformats.org/officeDocument/2006/relationships/comments" Target="../comments17.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comments" Target="../comments18.xml"/><Relationship Id="rId4" Type="http://schemas.openxmlformats.org/officeDocument/2006/relationships/vmlDrawing" Target="../drawings/vmlDrawing18.v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printerSettings" Target="../printerSettings/printerSettings68.bin"/><Relationship Id="rId1" Type="http://schemas.openxmlformats.org/officeDocument/2006/relationships/printerSettings" Target="../printerSettings/printerSettings67.bin"/><Relationship Id="rId4" Type="http://schemas.openxmlformats.org/officeDocument/2006/relationships/comments" Target="../comments19.x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comments" Target="../comments20.xml"/><Relationship Id="rId4" Type="http://schemas.openxmlformats.org/officeDocument/2006/relationships/vmlDrawing" Target="../drawings/vmlDrawing20.v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4" Type="http://schemas.openxmlformats.org/officeDocument/2006/relationships/comments" Target="../comments21.xm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comments" Target="../comments22.xml"/><Relationship Id="rId4" Type="http://schemas.openxmlformats.org/officeDocument/2006/relationships/vmlDrawing" Target="../drawings/vmlDrawing22.v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4" Type="http://schemas.openxmlformats.org/officeDocument/2006/relationships/comments" Target="../comments23.x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comments" Target="../comments24.xml"/><Relationship Id="rId4" Type="http://schemas.openxmlformats.org/officeDocument/2006/relationships/vmlDrawing" Target="../drawings/vmlDrawing24.v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printerSettings" Target="../printerSettings/printerSettings80.bin"/><Relationship Id="rId1" Type="http://schemas.openxmlformats.org/officeDocument/2006/relationships/printerSettings" Target="../printerSettings/printerSettings79.bin"/><Relationship Id="rId4" Type="http://schemas.openxmlformats.org/officeDocument/2006/relationships/comments" Target="../comments25.x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5" Type="http://schemas.openxmlformats.org/officeDocument/2006/relationships/comments" Target="../comments26.xml"/><Relationship Id="rId4" Type="http://schemas.openxmlformats.org/officeDocument/2006/relationships/vmlDrawing" Target="../drawings/vmlDrawing26.v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printerSettings" Target="../printerSettings/printerSettings84.bin"/><Relationship Id="rId1" Type="http://schemas.openxmlformats.org/officeDocument/2006/relationships/printerSettings" Target="../printerSettings/printerSettings83.bin"/><Relationship Id="rId4" Type="http://schemas.openxmlformats.org/officeDocument/2006/relationships/comments" Target="../comments27.x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34.xml"/><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5" Type="http://schemas.openxmlformats.org/officeDocument/2006/relationships/comments" Target="../comments28.xml"/><Relationship Id="rId4" Type="http://schemas.openxmlformats.org/officeDocument/2006/relationships/vmlDrawing" Target="../drawings/vmlDrawing28.v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4" Type="http://schemas.openxmlformats.org/officeDocument/2006/relationships/comments" Target="../comments29.x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5" Type="http://schemas.openxmlformats.org/officeDocument/2006/relationships/comments" Target="../comments30.xml"/><Relationship Id="rId4" Type="http://schemas.openxmlformats.org/officeDocument/2006/relationships/vmlDrawing" Target="../drawings/vmlDrawing30.vml"/></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printerSettings" Target="../printerSettings/printerSettings92.bin"/><Relationship Id="rId1" Type="http://schemas.openxmlformats.org/officeDocument/2006/relationships/printerSettings" Target="../printerSettings/printerSettings91.bin"/><Relationship Id="rId4" Type="http://schemas.openxmlformats.org/officeDocument/2006/relationships/comments" Target="../comments31.xm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5" Type="http://schemas.openxmlformats.org/officeDocument/2006/relationships/comments" Target="../comments32.xml"/><Relationship Id="rId4" Type="http://schemas.openxmlformats.org/officeDocument/2006/relationships/vmlDrawing" Target="../drawings/vmlDrawing32.v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printerSettings" Target="../printerSettings/printerSettings96.bin"/><Relationship Id="rId1" Type="http://schemas.openxmlformats.org/officeDocument/2006/relationships/printerSettings" Target="../printerSettings/printerSettings95.bin"/><Relationship Id="rId4" Type="http://schemas.openxmlformats.org/officeDocument/2006/relationships/comments" Target="../comments33.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5" Type="http://schemas.openxmlformats.org/officeDocument/2006/relationships/comments" Target="../comments34.xml"/><Relationship Id="rId4" Type="http://schemas.openxmlformats.org/officeDocument/2006/relationships/vmlDrawing" Target="../drawings/vmlDrawing34.vml"/></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printerSettings" Target="../printerSettings/printerSettings100.bin"/><Relationship Id="rId1" Type="http://schemas.openxmlformats.org/officeDocument/2006/relationships/printerSettings" Target="../printerSettings/printerSettings99.bin"/><Relationship Id="rId4" Type="http://schemas.openxmlformats.org/officeDocument/2006/relationships/comments" Target="../comments35.x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5" Type="http://schemas.openxmlformats.org/officeDocument/2006/relationships/comments" Target="../comments36.xml"/><Relationship Id="rId4" Type="http://schemas.openxmlformats.org/officeDocument/2006/relationships/vmlDrawing" Target="../drawings/vmlDrawing36.v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printerSettings" Target="../printerSettings/printerSettings104.bin"/><Relationship Id="rId1" Type="http://schemas.openxmlformats.org/officeDocument/2006/relationships/printerSettings" Target="../printerSettings/printerSettings103.bin"/><Relationship Id="rId4" Type="http://schemas.openxmlformats.org/officeDocument/2006/relationships/comments" Target="../comments37.xm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comments" Target="../comments38.xml"/><Relationship Id="rId4" Type="http://schemas.openxmlformats.org/officeDocument/2006/relationships/vmlDrawing" Target="../drawings/vmlDrawing38.vml"/></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4" Type="http://schemas.openxmlformats.org/officeDocument/2006/relationships/comments" Target="../comments39.xml"/></Relationships>
</file>

<file path=xl/worksheets/_rels/sheet58.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comments" Target="../comments40.xml"/><Relationship Id="rId4" Type="http://schemas.openxmlformats.org/officeDocument/2006/relationships/vmlDrawing" Target="../drawings/vmlDrawing40.vml"/></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printerSettings" Target="../printerSettings/printerSettings112.bin"/><Relationship Id="rId1" Type="http://schemas.openxmlformats.org/officeDocument/2006/relationships/printerSettings" Target="../printerSettings/printerSettings111.bin"/><Relationship Id="rId4" Type="http://schemas.openxmlformats.org/officeDocument/2006/relationships/comments" Target="../comments41.xml"/></Relationships>
</file>

<file path=xl/worksheets/_rels/sheet60.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comments" Target="../comments42.xml"/><Relationship Id="rId4" Type="http://schemas.openxmlformats.org/officeDocument/2006/relationships/vmlDrawing" Target="../drawings/vmlDrawing42.vml"/></Relationships>
</file>

<file path=xl/worksheets/_rels/sheet61.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printerSettings" Target="../printerSettings/printerSettings116.bin"/><Relationship Id="rId1" Type="http://schemas.openxmlformats.org/officeDocument/2006/relationships/printerSettings" Target="../printerSettings/printerSettings115.bin"/><Relationship Id="rId4" Type="http://schemas.openxmlformats.org/officeDocument/2006/relationships/comments" Target="../comments43.xml"/></Relationships>
</file>

<file path=xl/worksheets/_rels/sheet6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 Id="rId5" Type="http://schemas.openxmlformats.org/officeDocument/2006/relationships/comments" Target="../comments44.xml"/><Relationship Id="rId4" Type="http://schemas.openxmlformats.org/officeDocument/2006/relationships/vmlDrawing" Target="../drawings/vmlDrawing44.vml"/></Relationships>
</file>

<file path=xl/worksheets/_rels/sheet63.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4" Type="http://schemas.openxmlformats.org/officeDocument/2006/relationships/comments" Target="../comments45.xml"/></Relationships>
</file>

<file path=xl/worksheets/_rels/sheet64.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122.bin"/><Relationship Id="rId1" Type="http://schemas.openxmlformats.org/officeDocument/2006/relationships/printerSettings" Target="../printerSettings/printerSettings121.bin"/><Relationship Id="rId5" Type="http://schemas.openxmlformats.org/officeDocument/2006/relationships/comments" Target="../comments46.xml"/><Relationship Id="rId4" Type="http://schemas.openxmlformats.org/officeDocument/2006/relationships/vmlDrawing" Target="../drawings/vmlDrawing46.vml"/></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4" Type="http://schemas.openxmlformats.org/officeDocument/2006/relationships/comments" Target="../comments47.xml"/></Relationships>
</file>

<file path=xl/worksheets/_rels/sheet66.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126.bin"/><Relationship Id="rId1" Type="http://schemas.openxmlformats.org/officeDocument/2006/relationships/printerSettings" Target="../printerSettings/printerSettings125.bin"/><Relationship Id="rId5" Type="http://schemas.openxmlformats.org/officeDocument/2006/relationships/comments" Target="../comments48.xml"/><Relationship Id="rId4" Type="http://schemas.openxmlformats.org/officeDocument/2006/relationships/vmlDrawing" Target="../drawings/vmlDrawing48.vml"/></Relationships>
</file>

<file path=xl/worksheets/_rels/sheet67.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4" Type="http://schemas.openxmlformats.org/officeDocument/2006/relationships/comments" Target="../comments49.xml"/></Relationships>
</file>

<file path=xl/worksheets/_rels/sheet68.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130.bin"/><Relationship Id="rId1" Type="http://schemas.openxmlformats.org/officeDocument/2006/relationships/printerSettings" Target="../printerSettings/printerSettings129.bin"/><Relationship Id="rId5" Type="http://schemas.openxmlformats.org/officeDocument/2006/relationships/comments" Target="../comments50.xml"/><Relationship Id="rId4" Type="http://schemas.openxmlformats.org/officeDocument/2006/relationships/vmlDrawing" Target="../drawings/vmlDrawing50.v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s>
</file>

<file path=xl/worksheets/_rels/sheet70.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printerSettings" Target="../printerSettings/printerSettings134.bin"/><Relationship Id="rId1" Type="http://schemas.openxmlformats.org/officeDocument/2006/relationships/printerSettings" Target="../printerSettings/printerSettings133.bin"/><Relationship Id="rId6" Type="http://schemas.microsoft.com/office/2017/10/relationships/threadedComment" Target="../threadedComments/threadedComment16.xml"/><Relationship Id="rId5" Type="http://schemas.openxmlformats.org/officeDocument/2006/relationships/comments" Target="../comments51.xml"/><Relationship Id="rId4" Type="http://schemas.openxmlformats.org/officeDocument/2006/relationships/vmlDrawing" Target="../drawings/vmlDrawing51.vml"/></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4" Type="http://schemas.openxmlformats.org/officeDocument/2006/relationships/comments" Target="../comments52.xml"/></Relationships>
</file>

<file path=xl/worksheets/_rels/sheet72.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138.bin"/><Relationship Id="rId1" Type="http://schemas.openxmlformats.org/officeDocument/2006/relationships/printerSettings" Target="../printerSettings/printerSettings137.bin"/><Relationship Id="rId5" Type="http://schemas.openxmlformats.org/officeDocument/2006/relationships/comments" Target="../comments53.xml"/><Relationship Id="rId4" Type="http://schemas.openxmlformats.org/officeDocument/2006/relationships/vmlDrawing" Target="../drawings/vmlDrawing53.vml"/></Relationships>
</file>

<file path=xl/worksheets/_rels/sheet73.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140.bin"/><Relationship Id="rId1" Type="http://schemas.openxmlformats.org/officeDocument/2006/relationships/printerSettings" Target="../printerSettings/printerSettings139.bin"/></Relationships>
</file>

<file path=xl/worksheets/_rels/sheet74.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microsoft.com/office/2017/10/relationships/threadedComment" Target="../threadedComments/threadedComment17.xml"/><Relationship Id="rId5" Type="http://schemas.openxmlformats.org/officeDocument/2006/relationships/comments" Target="../comments54.xml"/><Relationship Id="rId4" Type="http://schemas.openxmlformats.org/officeDocument/2006/relationships/vmlDrawing" Target="../drawings/vmlDrawing54.vml"/></Relationships>
</file>

<file path=xl/worksheets/_rels/sheet75.xml.rels><?xml version="1.0" encoding="UTF-8" standalone="yes"?>
<Relationships xmlns="http://schemas.openxmlformats.org/package/2006/relationships"><Relationship Id="rId2" Type="http://schemas.openxmlformats.org/officeDocument/2006/relationships/printerSettings" Target="../printerSettings/printerSettings144.bin"/><Relationship Id="rId1" Type="http://schemas.openxmlformats.org/officeDocument/2006/relationships/printerSettings" Target="../printerSettings/printerSettings143.bin"/></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4" Type="http://schemas.openxmlformats.org/officeDocument/2006/relationships/comments" Target="../comments55.xml"/></Relationships>
</file>

<file path=xl/worksheets/_rels/sheet77.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printerSettings" Target="../printerSettings/printerSettings148.bin"/><Relationship Id="rId1" Type="http://schemas.openxmlformats.org/officeDocument/2006/relationships/printerSettings" Target="../printerSettings/printerSettings147.bin"/><Relationship Id="rId5" Type="http://schemas.openxmlformats.org/officeDocument/2006/relationships/comments" Target="../comments56.xml"/><Relationship Id="rId4" Type="http://schemas.openxmlformats.org/officeDocument/2006/relationships/vmlDrawing" Target="../drawings/vmlDrawing56.vml"/></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4" Type="http://schemas.openxmlformats.org/officeDocument/2006/relationships/comments" Target="../comments57.xml"/></Relationships>
</file>

<file path=xl/worksheets/_rels/sheet79.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printerSettings" Target="../printerSettings/printerSettings152.bin"/><Relationship Id="rId1" Type="http://schemas.openxmlformats.org/officeDocument/2006/relationships/printerSettings" Target="../printerSettings/printerSettings151.bin"/><Relationship Id="rId5" Type="http://schemas.openxmlformats.org/officeDocument/2006/relationships/comments" Target="../comments58.xml"/><Relationship Id="rId4" Type="http://schemas.openxmlformats.org/officeDocument/2006/relationships/vmlDrawing" Target="../drawings/vmlDrawing58.vml"/></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59.vm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4" Type="http://schemas.openxmlformats.org/officeDocument/2006/relationships/comments" Target="../comments59.xml"/></Relationships>
</file>

<file path=xl/worksheets/_rels/sheet81.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156.bin"/><Relationship Id="rId1" Type="http://schemas.openxmlformats.org/officeDocument/2006/relationships/printerSettings" Target="../printerSettings/printerSettings155.bin"/><Relationship Id="rId5" Type="http://schemas.openxmlformats.org/officeDocument/2006/relationships/comments" Target="../comments60.xml"/><Relationship Id="rId4" Type="http://schemas.openxmlformats.org/officeDocument/2006/relationships/vmlDrawing" Target="../drawings/vmlDrawing6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17D75-B09E-4FE8-BE3C-BEC6EF4BE0AB}">
  <dimension ref="B3:J83"/>
  <sheetViews>
    <sheetView workbookViewId="0">
      <selection activeCell="J30" sqref="J30"/>
    </sheetView>
  </sheetViews>
  <sheetFormatPr defaultRowHeight="12.5"/>
  <cols>
    <col min="3" max="3" width="23.26953125" customWidth="1"/>
  </cols>
  <sheetData>
    <row r="3" spans="2:3">
      <c r="B3">
        <v>1</v>
      </c>
      <c r="C3" t="str">
        <f>INDEX(SheetList,B3)</f>
        <v>Sheet2</v>
      </c>
    </row>
    <row r="4" spans="2:3">
      <c r="B4">
        <v>2</v>
      </c>
      <c r="C4" t="str">
        <f t="shared" ref="C4:C67" si="0">INDEX(SheetList,B4)</f>
        <v>ICPF</v>
      </c>
    </row>
    <row r="5" spans="2:3">
      <c r="B5">
        <v>3</v>
      </c>
      <c r="C5" t="str">
        <f t="shared" si="0"/>
        <v>IGO</v>
      </c>
    </row>
    <row r="6" spans="2:3">
      <c r="B6">
        <v>4</v>
      </c>
      <c r="C6" t="str">
        <f t="shared" si="0"/>
        <v>Investa_Property_Dec2022</v>
      </c>
    </row>
    <row r="7" spans="2:3">
      <c r="B7">
        <v>5</v>
      </c>
      <c r="C7" t="str">
        <f t="shared" si="0"/>
        <v>Asset Attributes</v>
      </c>
    </row>
    <row r="8" spans="2:3">
      <c r="B8">
        <v>6</v>
      </c>
      <c r="C8" t="str">
        <f t="shared" si="0"/>
        <v>Intensity Summary</v>
      </c>
    </row>
    <row r="9" spans="2:3">
      <c r="B9">
        <v>7</v>
      </c>
      <c r="C9" t="str">
        <f t="shared" si="0"/>
        <v>Footprint Summary</v>
      </c>
    </row>
    <row r="10" spans="2:3">
      <c r="B10">
        <v>8</v>
      </c>
      <c r="C10" t="str">
        <f t="shared" si="0"/>
        <v>Costs Summary</v>
      </c>
    </row>
    <row r="11" spans="2:3">
      <c r="B11">
        <v>9</v>
      </c>
      <c r="C11" t="str">
        <f t="shared" si="0"/>
        <v>Historic Utility Costs</v>
      </c>
    </row>
    <row r="12" spans="2:3">
      <c r="B12">
        <v>10</v>
      </c>
      <c r="C12" t="str">
        <f t="shared" si="0"/>
        <v>Historic Consumption</v>
      </c>
    </row>
    <row r="13" spans="2:3">
      <c r="B13">
        <v>11</v>
      </c>
      <c r="C13" t="str">
        <f t="shared" si="0"/>
        <v>Assumptions</v>
      </c>
    </row>
    <row r="14" spans="2:3">
      <c r="B14">
        <v>12</v>
      </c>
      <c r="C14" t="str">
        <f t="shared" si="0"/>
        <v>1M-DUMMY</v>
      </c>
    </row>
    <row r="15" spans="2:3">
      <c r="B15">
        <v>13</v>
      </c>
      <c r="C15" t="str">
        <f t="shared" si="0"/>
        <v>All_Projects</v>
      </c>
    </row>
    <row r="16" spans="2:3">
      <c r="B16">
        <v>14</v>
      </c>
      <c r="C16" t="str">
        <f t="shared" si="0"/>
        <v>Asset Roadmap</v>
      </c>
    </row>
    <row r="17" spans="2:10" ht="14">
      <c r="B17">
        <v>15</v>
      </c>
      <c r="C17" t="str">
        <f t="shared" si="0"/>
        <v>1M-NR</v>
      </c>
      <c r="D17" s="703" t="s">
        <v>31</v>
      </c>
    </row>
    <row r="18" spans="2:10" ht="14">
      <c r="B18">
        <v>16</v>
      </c>
      <c r="C18" t="str">
        <f t="shared" si="0"/>
        <v>117C-NR</v>
      </c>
      <c r="D18" s="214" t="s">
        <v>43</v>
      </c>
    </row>
    <row r="19" spans="2:10" ht="14">
      <c r="B19">
        <v>17</v>
      </c>
      <c r="C19" t="str">
        <f t="shared" si="0"/>
        <v>120C-NR</v>
      </c>
      <c r="D19" s="214" t="s">
        <v>38</v>
      </c>
    </row>
    <row r="20" spans="2:10" ht="14">
      <c r="B20">
        <v>18</v>
      </c>
      <c r="C20" t="str">
        <f t="shared" si="0"/>
        <v>126P-NR</v>
      </c>
      <c r="D20" s="214" t="s">
        <v>42</v>
      </c>
    </row>
    <row r="21" spans="2:10">
      <c r="B21">
        <v>19</v>
      </c>
      <c r="C21" t="str">
        <f t="shared" si="0"/>
        <v>130P-NR</v>
      </c>
      <c r="D21" s="198" t="s">
        <v>133</v>
      </c>
    </row>
    <row r="22" spans="2:10" ht="14">
      <c r="B22">
        <v>20</v>
      </c>
      <c r="C22" t="str">
        <f t="shared" si="0"/>
        <v>135K-NR</v>
      </c>
      <c r="D22" s="214" t="s">
        <v>46</v>
      </c>
    </row>
    <row r="23" spans="2:10" ht="14">
      <c r="B23">
        <v>21</v>
      </c>
      <c r="C23" t="str">
        <f t="shared" si="0"/>
        <v>151C-NR</v>
      </c>
      <c r="D23" s="279" t="s">
        <v>93</v>
      </c>
    </row>
    <row r="24" spans="2:10" ht="14">
      <c r="B24">
        <v>22</v>
      </c>
      <c r="C24" t="str">
        <f t="shared" si="0"/>
        <v>179T-NR</v>
      </c>
      <c r="D24" s="214" t="s">
        <v>168</v>
      </c>
    </row>
    <row r="25" spans="2:10" ht="14">
      <c r="B25">
        <v>23</v>
      </c>
      <c r="C25" t="str">
        <f t="shared" si="0"/>
        <v>201K-NR</v>
      </c>
      <c r="D25" s="214" t="s">
        <v>47</v>
      </c>
    </row>
    <row r="26" spans="2:10">
      <c r="B26">
        <v>24</v>
      </c>
      <c r="C26" t="str">
        <f t="shared" si="0"/>
        <v>220L-NR</v>
      </c>
      <c r="D26" s="198" t="s">
        <v>140</v>
      </c>
    </row>
    <row r="27" spans="2:10" ht="14">
      <c r="B27">
        <v>25</v>
      </c>
      <c r="C27" t="str">
        <f t="shared" si="0"/>
        <v>259Q-NR</v>
      </c>
      <c r="D27" s="214" t="s">
        <v>49</v>
      </c>
    </row>
    <row r="28" spans="2:10" ht="14">
      <c r="B28">
        <v>26</v>
      </c>
      <c r="C28" t="str">
        <f t="shared" si="0"/>
        <v>347K-NR</v>
      </c>
      <c r="D28" s="214" t="s">
        <v>92</v>
      </c>
    </row>
    <row r="29" spans="2:10" ht="14">
      <c r="B29">
        <v>27</v>
      </c>
      <c r="C29" t="str">
        <f t="shared" si="0"/>
        <v>388G-NR</v>
      </c>
      <c r="D29" s="214" t="s">
        <v>95</v>
      </c>
    </row>
    <row r="30" spans="2:10" ht="14">
      <c r="B30">
        <v>28</v>
      </c>
      <c r="C30" s="571" t="str">
        <f t="shared" si="0"/>
        <v>1M-IS</v>
      </c>
      <c r="J30" s="214" t="s">
        <v>60</v>
      </c>
    </row>
    <row r="31" spans="2:10">
      <c r="B31">
        <v>29</v>
      </c>
      <c r="C31" s="571" t="str">
        <f t="shared" si="0"/>
        <v>1M-OS</v>
      </c>
    </row>
    <row r="32" spans="2:10" ht="14">
      <c r="B32">
        <v>30</v>
      </c>
      <c r="C32" t="str">
        <f t="shared" si="0"/>
        <v>40M-NR</v>
      </c>
      <c r="D32" s="214" t="s">
        <v>52</v>
      </c>
    </row>
    <row r="33" spans="2:4" ht="14">
      <c r="B33">
        <v>31</v>
      </c>
      <c r="C33" t="str">
        <f t="shared" si="0"/>
        <v>420G-NR</v>
      </c>
      <c r="D33" s="214" t="s">
        <v>54</v>
      </c>
    </row>
    <row r="34" spans="2:4" ht="14">
      <c r="B34">
        <v>32</v>
      </c>
      <c r="C34" t="str">
        <f t="shared" si="0"/>
        <v>567C-NR</v>
      </c>
      <c r="D34" s="214" t="s">
        <v>55</v>
      </c>
    </row>
    <row r="35" spans="2:4" ht="14">
      <c r="B35">
        <v>33</v>
      </c>
      <c r="C35" t="str">
        <f t="shared" si="0"/>
        <v>6OC-NR</v>
      </c>
      <c r="D35" s="214" t="s">
        <v>67</v>
      </c>
    </row>
    <row r="36" spans="2:4" ht="14">
      <c r="B36">
        <v>34</v>
      </c>
      <c r="C36" t="str">
        <f t="shared" si="0"/>
        <v>60MP-NR</v>
      </c>
      <c r="D36" s="214" t="s">
        <v>56</v>
      </c>
    </row>
    <row r="37" spans="2:4">
      <c r="B37">
        <v>35</v>
      </c>
      <c r="C37" s="571" t="str">
        <f t="shared" si="0"/>
        <v>135K-IS</v>
      </c>
    </row>
    <row r="38" spans="2:4">
      <c r="B38">
        <v>36</v>
      </c>
      <c r="C38" s="571" t="str">
        <f t="shared" si="0"/>
        <v>135K-OS</v>
      </c>
    </row>
    <row r="39" spans="2:4">
      <c r="B39">
        <v>37</v>
      </c>
      <c r="C39" s="571" t="str">
        <f t="shared" si="0"/>
        <v>126P-IS</v>
      </c>
    </row>
    <row r="40" spans="2:4">
      <c r="B40">
        <v>38</v>
      </c>
      <c r="C40" s="571" t="str">
        <f t="shared" si="0"/>
        <v>126P-OS</v>
      </c>
    </row>
    <row r="41" spans="2:4">
      <c r="B41">
        <v>39</v>
      </c>
      <c r="C41" s="571" t="str">
        <f t="shared" si="0"/>
        <v>40M-IS</v>
      </c>
    </row>
    <row r="42" spans="2:4">
      <c r="B42">
        <v>40</v>
      </c>
      <c r="C42" s="571" t="str">
        <f t="shared" si="0"/>
        <v>40M-OS</v>
      </c>
    </row>
    <row r="43" spans="2:4">
      <c r="B43">
        <v>41</v>
      </c>
      <c r="C43" s="571" t="str">
        <f t="shared" si="0"/>
        <v>420G-IS</v>
      </c>
    </row>
    <row r="44" spans="2:4">
      <c r="B44">
        <v>42</v>
      </c>
      <c r="C44" s="571" t="str">
        <f t="shared" si="0"/>
        <v>420G-OS</v>
      </c>
    </row>
    <row r="45" spans="2:4">
      <c r="B45">
        <v>43</v>
      </c>
      <c r="C45" s="571" t="str">
        <f t="shared" si="0"/>
        <v>201K-IS</v>
      </c>
    </row>
    <row r="46" spans="2:4">
      <c r="B46">
        <v>44</v>
      </c>
      <c r="C46" s="571" t="str">
        <f t="shared" si="0"/>
        <v>201K-OS</v>
      </c>
    </row>
    <row r="47" spans="2:4">
      <c r="B47">
        <v>45</v>
      </c>
      <c r="C47" s="571" t="str">
        <f t="shared" si="0"/>
        <v>20B-IS</v>
      </c>
    </row>
    <row r="48" spans="2:4">
      <c r="B48">
        <v>46</v>
      </c>
      <c r="C48" s="571" t="str">
        <f t="shared" si="0"/>
        <v>20B-OS</v>
      </c>
    </row>
    <row r="49" spans="2:3">
      <c r="B49">
        <v>47</v>
      </c>
      <c r="C49" s="571" t="str">
        <f t="shared" si="0"/>
        <v>347K-IS</v>
      </c>
    </row>
    <row r="50" spans="2:3">
      <c r="B50">
        <v>48</v>
      </c>
      <c r="C50" s="571" t="str">
        <f t="shared" si="0"/>
        <v>347K-OS</v>
      </c>
    </row>
    <row r="51" spans="2:3">
      <c r="B51">
        <v>49</v>
      </c>
      <c r="C51" s="571" t="str">
        <f t="shared" si="0"/>
        <v>117C-IS</v>
      </c>
    </row>
    <row r="52" spans="2:3">
      <c r="B52">
        <v>50</v>
      </c>
      <c r="C52" s="571" t="str">
        <f t="shared" si="0"/>
        <v>117C-OS</v>
      </c>
    </row>
    <row r="53" spans="2:3">
      <c r="B53">
        <v>51</v>
      </c>
      <c r="C53" s="571" t="str">
        <f t="shared" si="0"/>
        <v>60MP-IS</v>
      </c>
    </row>
    <row r="54" spans="2:3">
      <c r="B54">
        <v>52</v>
      </c>
      <c r="C54" s="571" t="str">
        <f t="shared" si="0"/>
        <v>60MP-OS</v>
      </c>
    </row>
    <row r="55" spans="2:3">
      <c r="B55">
        <v>53</v>
      </c>
      <c r="C55" s="571" t="str">
        <f t="shared" si="0"/>
        <v>130P-IS</v>
      </c>
    </row>
    <row r="56" spans="2:3">
      <c r="B56">
        <v>54</v>
      </c>
      <c r="C56" s="571" t="str">
        <f t="shared" si="0"/>
        <v>130P-OS</v>
      </c>
    </row>
    <row r="57" spans="2:3">
      <c r="B57">
        <v>55</v>
      </c>
      <c r="C57" s="571" t="str">
        <f t="shared" si="0"/>
        <v>151C-IS</v>
      </c>
    </row>
    <row r="58" spans="2:3">
      <c r="B58">
        <v>56</v>
      </c>
      <c r="C58" s="571" t="str">
        <f t="shared" si="0"/>
        <v>151C-OS</v>
      </c>
    </row>
    <row r="59" spans="2:3">
      <c r="B59">
        <v>57</v>
      </c>
      <c r="C59" s="571" t="str">
        <f t="shared" si="0"/>
        <v>6O'C-IS</v>
      </c>
    </row>
    <row r="60" spans="2:3">
      <c r="B60">
        <v>58</v>
      </c>
      <c r="C60" s="571" t="str">
        <f t="shared" si="0"/>
        <v>6O'C-OS</v>
      </c>
    </row>
    <row r="61" spans="2:3">
      <c r="B61">
        <v>59</v>
      </c>
      <c r="C61" s="571" t="str">
        <f t="shared" si="0"/>
        <v>179T-IS</v>
      </c>
    </row>
    <row r="62" spans="2:3">
      <c r="B62">
        <v>60</v>
      </c>
      <c r="C62" s="571" t="str">
        <f t="shared" si="0"/>
        <v>179T-OS</v>
      </c>
    </row>
    <row r="63" spans="2:3">
      <c r="B63">
        <v>61</v>
      </c>
      <c r="C63" s="571" t="str">
        <f t="shared" si="0"/>
        <v>259Q-IS</v>
      </c>
    </row>
    <row r="64" spans="2:3">
      <c r="B64">
        <v>62</v>
      </c>
      <c r="C64" s="571" t="str">
        <f t="shared" si="0"/>
        <v>259Q-OS</v>
      </c>
    </row>
    <row r="65" spans="2:4">
      <c r="B65">
        <v>63</v>
      </c>
      <c r="C65" s="571" t="str">
        <f t="shared" si="0"/>
        <v>120C-IS</v>
      </c>
    </row>
    <row r="66" spans="2:4">
      <c r="B66">
        <v>64</v>
      </c>
      <c r="C66" s="571" t="str">
        <f t="shared" si="0"/>
        <v>120C-OS</v>
      </c>
    </row>
    <row r="67" spans="2:4">
      <c r="B67">
        <v>65</v>
      </c>
      <c r="C67" s="571" t="str">
        <f t="shared" si="0"/>
        <v>567C-IS</v>
      </c>
    </row>
    <row r="68" spans="2:4">
      <c r="B68">
        <v>66</v>
      </c>
      <c r="C68" s="571" t="str">
        <f t="shared" ref="C68:C83" si="1">INDEX(SheetList,B68)</f>
        <v>567C-OS</v>
      </c>
    </row>
    <row r="69" spans="2:4">
      <c r="B69">
        <v>67</v>
      </c>
      <c r="C69" s="571" t="str">
        <f t="shared" si="1"/>
        <v>575B-IS</v>
      </c>
    </row>
    <row r="70" spans="2:4">
      <c r="B70">
        <v>68</v>
      </c>
      <c r="C70" s="571" t="str">
        <f t="shared" si="1"/>
        <v>575B-OS</v>
      </c>
    </row>
    <row r="71" spans="2:4" ht="14">
      <c r="B71">
        <v>69</v>
      </c>
      <c r="C71" t="str">
        <f t="shared" si="1"/>
        <v>QV1-NR</v>
      </c>
      <c r="D71" s="214" t="s">
        <v>64</v>
      </c>
    </row>
    <row r="72" spans="2:4" ht="14">
      <c r="B72">
        <v>70</v>
      </c>
      <c r="C72" t="str">
        <f t="shared" si="1"/>
        <v>850C-NR</v>
      </c>
      <c r="D72" s="214" t="s">
        <v>166</v>
      </c>
    </row>
    <row r="73" spans="2:4">
      <c r="B73">
        <v>71</v>
      </c>
      <c r="C73" t="str">
        <f t="shared" si="1"/>
        <v>850C-IS</v>
      </c>
    </row>
    <row r="74" spans="2:4">
      <c r="B74">
        <v>72</v>
      </c>
      <c r="C74" t="str">
        <f t="shared" si="1"/>
        <v>850C-OS</v>
      </c>
    </row>
    <row r="75" spans="2:4">
      <c r="B75">
        <v>73</v>
      </c>
      <c r="C75" t="str">
        <f t="shared" si="1"/>
        <v>850C-NR_PC</v>
      </c>
    </row>
    <row r="76" spans="2:4" ht="14">
      <c r="B76">
        <v>74</v>
      </c>
      <c r="C76" t="str">
        <f t="shared" si="1"/>
        <v>20B-NR</v>
      </c>
      <c r="D76" s="214" t="s">
        <v>170</v>
      </c>
    </row>
    <row r="77" spans="2:4" ht="14">
      <c r="B77">
        <v>75</v>
      </c>
      <c r="C77" t="str">
        <f t="shared" si="1"/>
        <v>105M-NR</v>
      </c>
      <c r="D77" s="214" t="s">
        <v>123</v>
      </c>
    </row>
    <row r="78" spans="2:4">
      <c r="B78">
        <v>76</v>
      </c>
      <c r="C78" t="str">
        <f t="shared" si="1"/>
        <v>105M-IS</v>
      </c>
    </row>
    <row r="79" spans="2:4">
      <c r="B79">
        <v>77</v>
      </c>
      <c r="C79" t="str">
        <f t="shared" si="1"/>
        <v>105M-OS</v>
      </c>
    </row>
    <row r="80" spans="2:4">
      <c r="B80">
        <v>78</v>
      </c>
      <c r="C80" t="str">
        <f t="shared" si="1"/>
        <v>QV1-IS</v>
      </c>
    </row>
    <row r="81" spans="2:3">
      <c r="B81">
        <v>79</v>
      </c>
      <c r="C81" t="str">
        <f t="shared" si="1"/>
        <v>QV1-OS</v>
      </c>
    </row>
    <row r="82" spans="2:3">
      <c r="B82">
        <v>80</v>
      </c>
      <c r="C82" t="str">
        <f t="shared" si="1"/>
        <v>388G-IS</v>
      </c>
    </row>
    <row r="83" spans="2:3">
      <c r="B83">
        <v>81</v>
      </c>
      <c r="C83" t="str">
        <f t="shared" si="1"/>
        <v>388G-OS</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D6EBD-9DE5-4AC0-BAA4-147C142AC960}">
  <sheetPr codeName="Sheet69"/>
  <dimension ref="A1:AJ34"/>
  <sheetViews>
    <sheetView zoomScaleNormal="100" workbookViewId="0">
      <pane xSplit="2" topLeftCell="D1" activePane="topRight" state="frozen"/>
      <selection pane="topRight" activeCell="L34" sqref="L34"/>
    </sheetView>
  </sheetViews>
  <sheetFormatPr defaultColWidth="9.1796875" defaultRowHeight="14"/>
  <cols>
    <col min="1" max="1" width="9.1796875" style="583"/>
    <col min="2" max="2" width="30.453125" style="583" customWidth="1"/>
    <col min="3" max="3" width="12" style="583" customWidth="1"/>
    <col min="4" max="4" width="14.7265625" style="583" customWidth="1"/>
    <col min="5" max="5" width="13" style="583" customWidth="1"/>
    <col min="6" max="6" width="10.81640625" style="583" customWidth="1"/>
    <col min="7" max="12" width="13.1796875" style="583" customWidth="1"/>
    <col min="13" max="13" width="13.1796875" style="583" hidden="1" customWidth="1"/>
    <col min="14" max="15" width="16" style="583" customWidth="1"/>
    <col min="16" max="16" width="43.54296875" style="583" customWidth="1"/>
    <col min="17" max="18" width="13.7265625" style="583" customWidth="1"/>
    <col min="19" max="19" width="15.81640625" style="583" customWidth="1"/>
    <col min="20" max="20" width="17.453125" style="583" customWidth="1"/>
    <col min="21" max="22" width="16.453125" style="583" customWidth="1"/>
    <col min="23" max="23" width="17.453125" style="583" customWidth="1"/>
    <col min="24" max="24" width="31.54296875" style="583" customWidth="1"/>
    <col min="25" max="27" width="17.1796875" style="583" customWidth="1"/>
    <col min="28" max="28" width="16.26953125" style="583" customWidth="1"/>
    <col min="29" max="29" width="19.453125" style="583" customWidth="1"/>
    <col min="30" max="30" width="25.81640625" style="583" customWidth="1"/>
    <col min="31" max="32" width="16.81640625" style="583" customWidth="1"/>
    <col min="33" max="33" width="17.1796875" style="583" customWidth="1"/>
    <col min="34" max="34" width="8.54296875" style="583" customWidth="1"/>
    <col min="35" max="35" width="15.81640625" style="583" customWidth="1"/>
    <col min="36" max="36" width="12.81640625" style="583" customWidth="1"/>
    <col min="37" max="37" width="14.26953125" style="583" customWidth="1"/>
    <col min="38" max="38" width="8.7265625" style="583" customWidth="1"/>
    <col min="39" max="16384" width="9.1796875" style="583"/>
  </cols>
  <sheetData>
    <row r="1" spans="1:36" ht="38.25" customHeight="1" thickBot="1">
      <c r="A1" s="703"/>
      <c r="B1" s="703"/>
      <c r="C1" s="703"/>
      <c r="D1" s="703"/>
      <c r="E1" s="703" t="s">
        <v>0</v>
      </c>
      <c r="F1" s="703"/>
      <c r="G1" s="703"/>
      <c r="H1" s="703" t="s">
        <v>1</v>
      </c>
      <c r="I1" s="703"/>
      <c r="J1" s="703"/>
      <c r="K1" s="703"/>
      <c r="L1" s="703"/>
      <c r="M1" s="703"/>
      <c r="N1" s="966" t="s">
        <v>2</v>
      </c>
      <c r="O1" s="967"/>
      <c r="P1" s="967"/>
      <c r="Q1" s="967"/>
      <c r="R1" s="967"/>
      <c r="S1" s="968"/>
      <c r="T1" s="704" t="s">
        <v>3</v>
      </c>
      <c r="U1" s="705"/>
      <c r="V1" s="705"/>
      <c r="W1" s="706"/>
      <c r="X1" s="703" t="s">
        <v>4</v>
      </c>
      <c r="Y1" s="703"/>
      <c r="Z1" s="703"/>
      <c r="AA1" s="703"/>
      <c r="AB1" s="703"/>
      <c r="AC1" s="703"/>
      <c r="AD1" s="966" t="s">
        <v>5</v>
      </c>
      <c r="AE1" s="967"/>
      <c r="AF1" s="967"/>
      <c r="AG1" s="967"/>
      <c r="AH1" s="967"/>
      <c r="AI1" s="968"/>
      <c r="AJ1"/>
    </row>
    <row r="2" spans="1:36" ht="43.5" customHeight="1" thickTop="1" thickBot="1">
      <c r="A2" s="215" t="s">
        <v>6</v>
      </c>
      <c r="B2" s="215" t="s">
        <v>7</v>
      </c>
      <c r="C2" s="215" t="s">
        <v>8</v>
      </c>
      <c r="D2" s="215" t="s">
        <v>9</v>
      </c>
      <c r="E2" s="242" t="s">
        <v>10</v>
      </c>
      <c r="F2" s="242" t="s">
        <v>11</v>
      </c>
      <c r="G2" s="242" t="s">
        <v>12</v>
      </c>
      <c r="H2" s="242" t="s">
        <v>10</v>
      </c>
      <c r="I2" s="242" t="s">
        <v>11</v>
      </c>
      <c r="J2" s="242" t="s">
        <v>12</v>
      </c>
      <c r="K2" s="242" t="s">
        <v>13</v>
      </c>
      <c r="L2" s="242" t="s">
        <v>14</v>
      </c>
      <c r="M2" s="242"/>
      <c r="N2" s="244" t="s">
        <v>15</v>
      </c>
      <c r="O2" s="215" t="s">
        <v>16</v>
      </c>
      <c r="P2" s="215" t="s">
        <v>17</v>
      </c>
      <c r="Q2" s="215" t="s">
        <v>18</v>
      </c>
      <c r="R2" s="215" t="s">
        <v>19</v>
      </c>
      <c r="S2" s="248" t="s">
        <v>20</v>
      </c>
      <c r="T2" s="255" t="s">
        <v>3</v>
      </c>
      <c r="U2" s="215"/>
      <c r="V2" s="215" t="s">
        <v>21</v>
      </c>
      <c r="W2" s="248" t="s">
        <v>22</v>
      </c>
      <c r="X2" s="215" t="s">
        <v>23</v>
      </c>
      <c r="Y2" s="215" t="s">
        <v>10</v>
      </c>
      <c r="Z2" s="215" t="s">
        <v>11</v>
      </c>
      <c r="AA2" s="215" t="s">
        <v>12</v>
      </c>
      <c r="AB2" s="215" t="s">
        <v>24</v>
      </c>
      <c r="AC2" s="215" t="s">
        <v>25</v>
      </c>
      <c r="AD2" s="244" t="s">
        <v>26</v>
      </c>
      <c r="AE2" s="242" t="s">
        <v>27</v>
      </c>
      <c r="AF2" s="242"/>
      <c r="AG2" s="242" t="s">
        <v>28</v>
      </c>
      <c r="AH2" s="242"/>
      <c r="AI2" s="245" t="s">
        <v>29</v>
      </c>
      <c r="AJ2"/>
    </row>
    <row r="3" spans="1:36" ht="16.5" customHeight="1" thickTop="1">
      <c r="A3" s="227" t="s">
        <v>30</v>
      </c>
      <c r="B3" s="703" t="s">
        <v>31</v>
      </c>
      <c r="C3" s="227" t="s">
        <v>30</v>
      </c>
      <c r="D3" s="584">
        <v>29199</v>
      </c>
      <c r="E3" s="230">
        <v>1</v>
      </c>
      <c r="F3" s="230">
        <v>0</v>
      </c>
      <c r="G3" s="230">
        <v>1</v>
      </c>
      <c r="H3" s="585">
        <f t="shared" ref="H3:H16" si="0">IF(E3&gt;0,D3,"")</f>
        <v>29199</v>
      </c>
      <c r="I3" s="585" t="str">
        <f t="shared" ref="I3:I16" si="1">IF(F3&gt;0,D3,"")</f>
        <v/>
      </c>
      <c r="J3" s="585">
        <f t="shared" ref="J3:J16" si="2">IF(G3&gt;0,D3,"")</f>
        <v>29199</v>
      </c>
      <c r="K3" s="707">
        <f>'Intensity Summary'!G62</f>
        <v>52.280397731262426</v>
      </c>
      <c r="L3" s="707">
        <f>'Intensity Summary'!G4</f>
        <v>62.566344373585686</v>
      </c>
      <c r="M3" s="586"/>
      <c r="N3" s="701" t="s">
        <v>32</v>
      </c>
      <c r="O3" s="708">
        <v>1</v>
      </c>
      <c r="P3" s="703"/>
      <c r="Q3" s="709">
        <f t="shared" ref="Q3:Q16" si="3">IF(N3="Yes",D3,0)</f>
        <v>29199</v>
      </c>
      <c r="R3" s="709">
        <f t="shared" ref="R3:R16" si="4">IF(N3="New",D3,IF(N3="Strategic",D3,0))</f>
        <v>0</v>
      </c>
      <c r="S3" s="710">
        <f t="shared" ref="S3:S16" si="5">IF(N3="Underway",D3,0)</f>
        <v>0</v>
      </c>
      <c r="T3" s="711" t="s">
        <v>32</v>
      </c>
      <c r="U3" s="709">
        <f t="shared" ref="U3:U16" si="6">IF(T3="Yes",D3,IF(T3="N/A",D3,IF(T3="Underway",D3,IF(T3="Strategic",D3,0))))</f>
        <v>29199</v>
      </c>
      <c r="V3" s="709" t="s">
        <v>33</v>
      </c>
      <c r="W3" s="712">
        <f>'1M-NR'!U59</f>
        <v>47573</v>
      </c>
      <c r="X3" s="708" t="s">
        <v>34</v>
      </c>
      <c r="Y3" s="713">
        <f t="shared" ref="Y3:Y16" si="7">IF(AND(E3&gt;0,X3="100% renewable"),D3,"")</f>
        <v>29199</v>
      </c>
      <c r="Z3" s="713" t="str">
        <f t="shared" ref="Z3:Z16" si="8">IF(AND(F3&gt;0,X3="100% renewable"),D3,"")</f>
        <v/>
      </c>
      <c r="AA3" s="713">
        <f t="shared" ref="AA3:AA16" si="9">IF(AND(G3&gt;0,X3="100% renewable"),D3,"")</f>
        <v>29199</v>
      </c>
      <c r="AB3" s="703">
        <f t="shared" ref="AB3:AB16" si="10">IF(X3="100% renewable",AC3,0)</f>
        <v>1824.81</v>
      </c>
      <c r="AC3" s="714">
        <f>'Footprint Summary'!G4</f>
        <v>1824.81</v>
      </c>
      <c r="AD3" s="701" t="s">
        <v>35</v>
      </c>
      <c r="AE3" s="715">
        <v>1</v>
      </c>
      <c r="AF3" s="713">
        <f t="shared" ref="AF3:AF16" si="11">AE3*D3</f>
        <v>29199</v>
      </c>
      <c r="AG3" s="715">
        <v>0.1</v>
      </c>
      <c r="AH3" s="713">
        <f t="shared" ref="AH3:AH16" si="12">AG3*D3</f>
        <v>2919.9</v>
      </c>
      <c r="AI3" s="708">
        <v>1</v>
      </c>
      <c r="AJ3" s="701" t="s">
        <v>36</v>
      </c>
    </row>
    <row r="4" spans="1:36" ht="16.5" customHeight="1">
      <c r="A4" s="227" t="s">
        <v>37</v>
      </c>
      <c r="B4" s="703" t="s">
        <v>38</v>
      </c>
      <c r="C4" s="227" t="s">
        <v>37</v>
      </c>
      <c r="D4" s="584">
        <v>62987</v>
      </c>
      <c r="E4" s="230">
        <v>0.5</v>
      </c>
      <c r="F4" s="230">
        <v>0</v>
      </c>
      <c r="G4" s="230">
        <v>1</v>
      </c>
      <c r="H4" s="585">
        <f t="shared" si="0"/>
        <v>62987</v>
      </c>
      <c r="I4" s="585" t="str">
        <f t="shared" si="1"/>
        <v/>
      </c>
      <c r="J4" s="585">
        <f t="shared" si="2"/>
        <v>62987</v>
      </c>
      <c r="K4" s="707">
        <f>'Intensity Summary'!G63</f>
        <v>58.699616895391109</v>
      </c>
      <c r="L4" s="707">
        <f>'Intensity Summary'!G5</f>
        <v>56.26921428231222</v>
      </c>
      <c r="M4" s="586"/>
      <c r="N4" s="701" t="s">
        <v>20</v>
      </c>
      <c r="O4" s="708">
        <v>1</v>
      </c>
      <c r="P4" s="703" t="s">
        <v>39</v>
      </c>
      <c r="Q4" s="709">
        <f t="shared" si="3"/>
        <v>0</v>
      </c>
      <c r="R4" s="709">
        <f t="shared" si="4"/>
        <v>0</v>
      </c>
      <c r="S4" s="710">
        <f t="shared" si="5"/>
        <v>62987</v>
      </c>
      <c r="T4" s="716" t="s">
        <v>20</v>
      </c>
      <c r="U4" s="709">
        <f t="shared" si="6"/>
        <v>62987</v>
      </c>
      <c r="V4" s="709"/>
      <c r="W4" s="717" t="s">
        <v>40</v>
      </c>
      <c r="X4" s="708" t="s">
        <v>41</v>
      </c>
      <c r="Y4" s="713" t="str">
        <f t="shared" si="7"/>
        <v/>
      </c>
      <c r="Z4" s="713" t="str">
        <f t="shared" si="8"/>
        <v/>
      </c>
      <c r="AA4" s="713" t="str">
        <f t="shared" si="9"/>
        <v/>
      </c>
      <c r="AB4" s="703">
        <f t="shared" si="10"/>
        <v>0</v>
      </c>
      <c r="AC4" s="714">
        <f>'Footprint Summary'!G5</f>
        <v>3544.2289999999998</v>
      </c>
      <c r="AD4" s="701" t="s">
        <v>35</v>
      </c>
      <c r="AE4" s="715">
        <v>1</v>
      </c>
      <c r="AF4" s="713">
        <f t="shared" si="11"/>
        <v>62987</v>
      </c>
      <c r="AG4" s="715"/>
      <c r="AH4" s="713">
        <f t="shared" si="12"/>
        <v>0</v>
      </c>
      <c r="AI4" s="708">
        <f>(AH4+AF4)/D4</f>
        <v>1</v>
      </c>
      <c r="AJ4"/>
    </row>
    <row r="5" spans="1:36" ht="16.5" customHeight="1">
      <c r="A5" s="227" t="s">
        <v>30</v>
      </c>
      <c r="B5" s="703" t="s">
        <v>42</v>
      </c>
      <c r="C5" s="227" t="s">
        <v>30</v>
      </c>
      <c r="D5" s="584">
        <v>42132</v>
      </c>
      <c r="E5" s="230">
        <v>0.5</v>
      </c>
      <c r="F5" s="230">
        <v>0.25</v>
      </c>
      <c r="G5" s="230">
        <v>1</v>
      </c>
      <c r="H5" s="585">
        <f t="shared" si="0"/>
        <v>42132</v>
      </c>
      <c r="I5" s="585">
        <f t="shared" si="1"/>
        <v>42132</v>
      </c>
      <c r="J5" s="585">
        <f t="shared" si="2"/>
        <v>42132</v>
      </c>
      <c r="K5" s="707">
        <f>'Intensity Summary'!G64</f>
        <v>58.522089141744992</v>
      </c>
      <c r="L5" s="707">
        <f>'Intensity Summary'!G6</f>
        <v>66.860794645400162</v>
      </c>
      <c r="M5" s="586"/>
      <c r="N5" s="701" t="s">
        <v>32</v>
      </c>
      <c r="O5" s="708">
        <v>1</v>
      </c>
      <c r="P5" s="703"/>
      <c r="Q5" s="709">
        <f t="shared" si="3"/>
        <v>42132</v>
      </c>
      <c r="R5" s="709">
        <f t="shared" si="4"/>
        <v>0</v>
      </c>
      <c r="S5" s="710">
        <f t="shared" si="5"/>
        <v>0</v>
      </c>
      <c r="T5" s="716" t="s">
        <v>32</v>
      </c>
      <c r="U5" s="709">
        <f t="shared" si="6"/>
        <v>42132</v>
      </c>
      <c r="V5" s="709"/>
      <c r="W5" s="712" t="e">
        <f ca="1">'126P-NR'!U59</f>
        <v>#NAME?</v>
      </c>
      <c r="X5" s="708" t="s">
        <v>34</v>
      </c>
      <c r="Y5" s="713">
        <f t="shared" si="7"/>
        <v>42132</v>
      </c>
      <c r="Z5" s="713">
        <f t="shared" si="8"/>
        <v>42132</v>
      </c>
      <c r="AA5" s="713">
        <f t="shared" si="9"/>
        <v>42132</v>
      </c>
      <c r="AB5" s="703">
        <f t="shared" si="10"/>
        <v>2816.9789999999998</v>
      </c>
      <c r="AC5" s="714">
        <f>'Footprint Summary'!G6</f>
        <v>2816.9789999999998</v>
      </c>
      <c r="AD5" s="701" t="s">
        <v>35</v>
      </c>
      <c r="AE5" s="715">
        <v>1</v>
      </c>
      <c r="AF5" s="713">
        <f t="shared" si="11"/>
        <v>42132</v>
      </c>
      <c r="AG5" s="715"/>
      <c r="AH5" s="713">
        <f t="shared" si="12"/>
        <v>0</v>
      </c>
      <c r="AI5" s="708">
        <f>(AH5+AF5)/D5</f>
        <v>1</v>
      </c>
      <c r="AJ5"/>
    </row>
    <row r="6" spans="1:36" ht="16.5" customHeight="1">
      <c r="A6" s="227" t="s">
        <v>30</v>
      </c>
      <c r="B6" s="703" t="s">
        <v>43</v>
      </c>
      <c r="C6" s="227" t="s">
        <v>30</v>
      </c>
      <c r="D6" s="584">
        <v>10619.1</v>
      </c>
      <c r="E6" s="230">
        <v>1</v>
      </c>
      <c r="F6" s="230">
        <v>0</v>
      </c>
      <c r="G6" s="230">
        <v>1</v>
      </c>
      <c r="H6" s="585">
        <f t="shared" si="0"/>
        <v>10619.1</v>
      </c>
      <c r="I6" s="585" t="str">
        <f t="shared" si="1"/>
        <v/>
      </c>
      <c r="J6" s="585">
        <f t="shared" si="2"/>
        <v>10619.1</v>
      </c>
      <c r="K6" s="707">
        <f>'Intensity Summary'!G65</f>
        <v>42.251500694699807</v>
      </c>
      <c r="L6" s="707">
        <f>'Intensity Summary'!G7</f>
        <v>48.545207450635537</v>
      </c>
      <c r="M6" s="586"/>
      <c r="N6" s="701" t="s">
        <v>44</v>
      </c>
      <c r="O6" s="708">
        <v>0</v>
      </c>
      <c r="P6" s="703" t="s">
        <v>45</v>
      </c>
      <c r="Q6" s="709">
        <f t="shared" si="3"/>
        <v>0</v>
      </c>
      <c r="R6" s="709">
        <f t="shared" si="4"/>
        <v>10619.1</v>
      </c>
      <c r="S6" s="710">
        <f t="shared" si="5"/>
        <v>0</v>
      </c>
      <c r="T6" s="716" t="s">
        <v>44</v>
      </c>
      <c r="U6" s="709">
        <f t="shared" si="6"/>
        <v>10619.1</v>
      </c>
      <c r="V6" s="709"/>
      <c r="W6" s="717"/>
      <c r="X6" s="708" t="s">
        <v>34</v>
      </c>
      <c r="Y6" s="713">
        <f t="shared" si="7"/>
        <v>10619.1</v>
      </c>
      <c r="Z6" s="713" t="str">
        <f t="shared" si="8"/>
        <v/>
      </c>
      <c r="AA6" s="713">
        <f t="shared" si="9"/>
        <v>10619.1</v>
      </c>
      <c r="AB6" s="703">
        <f t="shared" si="10"/>
        <v>607.25199999999995</v>
      </c>
      <c r="AC6" s="714">
        <f>'Footprint Summary'!G7</f>
        <v>607.25199999999995</v>
      </c>
      <c r="AD6" s="701" t="s">
        <v>36</v>
      </c>
      <c r="AE6" s="715">
        <v>0</v>
      </c>
      <c r="AF6" s="713">
        <f t="shared" si="11"/>
        <v>0</v>
      </c>
      <c r="AG6" s="715">
        <v>0</v>
      </c>
      <c r="AH6" s="713">
        <f t="shared" si="12"/>
        <v>0</v>
      </c>
      <c r="AI6" s="708">
        <f>(AH6+AF6)/D6</f>
        <v>0</v>
      </c>
      <c r="AJ6"/>
    </row>
    <row r="7" spans="1:36" ht="16.5" customHeight="1">
      <c r="A7" s="227" t="s">
        <v>30</v>
      </c>
      <c r="B7" s="703" t="s">
        <v>46</v>
      </c>
      <c r="C7" s="227" t="s">
        <v>30</v>
      </c>
      <c r="D7" s="584">
        <v>25991</v>
      </c>
      <c r="E7" s="230">
        <v>1</v>
      </c>
      <c r="F7" s="230">
        <v>0</v>
      </c>
      <c r="G7" s="230">
        <v>1</v>
      </c>
      <c r="H7" s="585">
        <f t="shared" si="0"/>
        <v>25991</v>
      </c>
      <c r="I7" s="585" t="str">
        <f t="shared" si="1"/>
        <v/>
      </c>
      <c r="J7" s="585">
        <f t="shared" si="2"/>
        <v>25991</v>
      </c>
      <c r="K7" s="707">
        <f>'Intensity Summary'!G66</f>
        <v>42.778285731944401</v>
      </c>
      <c r="L7" s="707">
        <f>'Intensity Summary'!G8</f>
        <v>51.923596082602792</v>
      </c>
      <c r="M7" s="586"/>
      <c r="N7" s="701" t="s">
        <v>32</v>
      </c>
      <c r="O7" s="708">
        <v>1</v>
      </c>
      <c r="P7" s="703"/>
      <c r="Q7" s="709">
        <f t="shared" si="3"/>
        <v>25991</v>
      </c>
      <c r="R7" s="709">
        <f t="shared" si="4"/>
        <v>0</v>
      </c>
      <c r="S7" s="710">
        <f t="shared" si="5"/>
        <v>0</v>
      </c>
      <c r="T7" s="716" t="s">
        <v>32</v>
      </c>
      <c r="U7" s="709">
        <f t="shared" si="6"/>
        <v>25991</v>
      </c>
      <c r="V7" s="709"/>
      <c r="W7" s="712" t="e">
        <f ca="1">'135K-NR'!U59</f>
        <v>#NAME?</v>
      </c>
      <c r="X7" s="708" t="s">
        <v>34</v>
      </c>
      <c r="Y7" s="713">
        <f t="shared" si="7"/>
        <v>25991</v>
      </c>
      <c r="Z7" s="713" t="str">
        <f t="shared" si="8"/>
        <v/>
      </c>
      <c r="AA7" s="713">
        <f t="shared" si="9"/>
        <v>25991</v>
      </c>
      <c r="AB7" s="703">
        <f t="shared" si="10"/>
        <v>1415.5930000000001</v>
      </c>
      <c r="AC7" s="714">
        <f>'Footprint Summary'!G8</f>
        <v>1415.5930000000001</v>
      </c>
      <c r="AD7" s="701" t="s">
        <v>35</v>
      </c>
      <c r="AE7" s="715">
        <v>1</v>
      </c>
      <c r="AF7" s="713">
        <f t="shared" si="11"/>
        <v>25991</v>
      </c>
      <c r="AG7" s="715">
        <v>0.25</v>
      </c>
      <c r="AH7" s="713">
        <f t="shared" si="12"/>
        <v>6497.75</v>
      </c>
      <c r="AI7" s="708">
        <v>1</v>
      </c>
      <c r="AJ7" s="701" t="s">
        <v>36</v>
      </c>
    </row>
    <row r="8" spans="1:36" ht="16.5" customHeight="1">
      <c r="A8" s="227" t="s">
        <v>30</v>
      </c>
      <c r="B8" s="703" t="s">
        <v>47</v>
      </c>
      <c r="C8" s="227" t="s">
        <v>30</v>
      </c>
      <c r="D8" s="584">
        <v>38980</v>
      </c>
      <c r="E8" s="230">
        <v>1</v>
      </c>
      <c r="F8" s="230">
        <v>0</v>
      </c>
      <c r="G8" s="230">
        <v>1</v>
      </c>
      <c r="H8" s="585">
        <f t="shared" si="0"/>
        <v>38980</v>
      </c>
      <c r="I8" s="585" t="str">
        <f t="shared" si="1"/>
        <v/>
      </c>
      <c r="J8" s="585">
        <f t="shared" si="2"/>
        <v>38980</v>
      </c>
      <c r="K8" s="707">
        <f>'Intensity Summary'!G67</f>
        <v>32.756571968917221</v>
      </c>
      <c r="L8" s="707">
        <f>'Intensity Summary'!G9</f>
        <v>38.961312952863764</v>
      </c>
      <c r="M8" s="586"/>
      <c r="N8" s="701" t="s">
        <v>32</v>
      </c>
      <c r="O8" s="708">
        <v>1</v>
      </c>
      <c r="P8" s="703"/>
      <c r="Q8" s="709">
        <f t="shared" si="3"/>
        <v>38980</v>
      </c>
      <c r="R8" s="709">
        <f t="shared" si="4"/>
        <v>0</v>
      </c>
      <c r="S8" s="710">
        <f t="shared" si="5"/>
        <v>0</v>
      </c>
      <c r="T8" s="716" t="s">
        <v>32</v>
      </c>
      <c r="U8" s="709">
        <f t="shared" si="6"/>
        <v>38980</v>
      </c>
      <c r="V8" s="709"/>
      <c r="W8" s="712" t="e">
        <f ca="1">'201K-NR'!U59</f>
        <v>#NAME?</v>
      </c>
      <c r="X8" s="708" t="s">
        <v>34</v>
      </c>
      <c r="Y8" s="713">
        <f t="shared" si="7"/>
        <v>38980</v>
      </c>
      <c r="Z8" s="713" t="str">
        <f t="shared" si="8"/>
        <v/>
      </c>
      <c r="AA8" s="713">
        <f t="shared" si="9"/>
        <v>38980</v>
      </c>
      <c r="AB8" s="703">
        <f t="shared" si="10"/>
        <v>1521.712</v>
      </c>
      <c r="AC8" s="714">
        <f>'Footprint Summary'!G9</f>
        <v>1521.712</v>
      </c>
      <c r="AD8" s="701" t="s">
        <v>35</v>
      </c>
      <c r="AE8" s="715">
        <v>1</v>
      </c>
      <c r="AF8" s="713">
        <f t="shared" si="11"/>
        <v>38980</v>
      </c>
      <c r="AG8" s="715">
        <v>0</v>
      </c>
      <c r="AH8" s="713">
        <f t="shared" si="12"/>
        <v>0</v>
      </c>
      <c r="AI8" s="708">
        <v>1</v>
      </c>
      <c r="AJ8" s="701" t="s">
        <v>36</v>
      </c>
    </row>
    <row r="9" spans="1:36" ht="16.5" customHeight="1">
      <c r="A9" s="227" t="s">
        <v>48</v>
      </c>
      <c r="B9" s="703" t="s">
        <v>49</v>
      </c>
      <c r="C9" s="227" t="s">
        <v>48</v>
      </c>
      <c r="D9" s="584">
        <v>24754</v>
      </c>
      <c r="E9" s="230">
        <v>1</v>
      </c>
      <c r="F9" s="230">
        <v>0</v>
      </c>
      <c r="G9" s="230">
        <v>1</v>
      </c>
      <c r="H9" s="585">
        <f t="shared" si="0"/>
        <v>24754</v>
      </c>
      <c r="I9" s="585" t="str">
        <f t="shared" si="1"/>
        <v/>
      </c>
      <c r="J9" s="585">
        <f t="shared" si="2"/>
        <v>24754</v>
      </c>
      <c r="K9" s="707">
        <f>'Intensity Summary'!G68</f>
        <v>66.801932616950793</v>
      </c>
      <c r="L9" s="707">
        <f>'Intensity Summary'!G10</f>
        <v>75.911287064716802</v>
      </c>
      <c r="M9" s="586"/>
      <c r="N9" s="701" t="s">
        <v>32</v>
      </c>
      <c r="O9" s="708">
        <v>1</v>
      </c>
      <c r="P9" s="703" t="s">
        <v>50</v>
      </c>
      <c r="Q9" s="709">
        <f t="shared" si="3"/>
        <v>24754</v>
      </c>
      <c r="R9" s="709">
        <f t="shared" si="4"/>
        <v>0</v>
      </c>
      <c r="S9" s="710">
        <f t="shared" si="5"/>
        <v>0</v>
      </c>
      <c r="T9" s="716" t="s">
        <v>51</v>
      </c>
      <c r="U9" s="709">
        <f t="shared" si="6"/>
        <v>24754</v>
      </c>
      <c r="V9" s="709"/>
      <c r="W9" s="718" t="str">
        <f>'259Q-NR'!U56</f>
        <v>Complete</v>
      </c>
      <c r="X9" s="708" t="s">
        <v>41</v>
      </c>
      <c r="Y9" s="713" t="str">
        <f t="shared" si="7"/>
        <v/>
      </c>
      <c r="Z9" s="713" t="str">
        <f t="shared" si="8"/>
        <v/>
      </c>
      <c r="AA9" s="713" t="str">
        <f t="shared" si="9"/>
        <v/>
      </c>
      <c r="AB9" s="703">
        <f t="shared" si="10"/>
        <v>0</v>
      </c>
      <c r="AC9" s="714">
        <f>'Footprint Summary'!G10</f>
        <v>1879.1079999999999</v>
      </c>
      <c r="AD9" s="701" t="s">
        <v>36</v>
      </c>
      <c r="AE9" s="715">
        <v>0</v>
      </c>
      <c r="AF9" s="713">
        <f t="shared" si="11"/>
        <v>0</v>
      </c>
      <c r="AG9" s="715">
        <v>0.15</v>
      </c>
      <c r="AH9" s="713">
        <f t="shared" si="12"/>
        <v>3713.1</v>
      </c>
      <c r="AI9" s="708">
        <f t="shared" ref="AI9:AI16" si="13">(AH9+AF9)/D9</f>
        <v>0.15</v>
      </c>
      <c r="AJ9"/>
    </row>
    <row r="10" spans="1:36" ht="16.5" customHeight="1">
      <c r="A10" s="227" t="s">
        <v>30</v>
      </c>
      <c r="B10" s="703" t="s">
        <v>52</v>
      </c>
      <c r="C10" s="227" t="s">
        <v>30</v>
      </c>
      <c r="D10" s="584">
        <v>28415.5</v>
      </c>
      <c r="E10" s="230">
        <v>0.75</v>
      </c>
      <c r="F10" s="230">
        <v>0</v>
      </c>
      <c r="G10" s="230">
        <v>1</v>
      </c>
      <c r="H10" s="585">
        <f t="shared" si="0"/>
        <v>28415.5</v>
      </c>
      <c r="I10" s="585" t="str">
        <f t="shared" si="1"/>
        <v/>
      </c>
      <c r="J10" s="585">
        <f t="shared" si="2"/>
        <v>28415.5</v>
      </c>
      <c r="K10" s="707">
        <f>'Intensity Summary'!G70</f>
        <v>37.690594449922528</v>
      </c>
      <c r="L10" s="707">
        <f>'Intensity Summary'!G12</f>
        <v>42.646851669249187</v>
      </c>
      <c r="M10" s="586"/>
      <c r="N10" s="701" t="s">
        <v>32</v>
      </c>
      <c r="O10" s="708">
        <v>1</v>
      </c>
      <c r="P10" s="703"/>
      <c r="Q10" s="709">
        <f t="shared" si="3"/>
        <v>28415.5</v>
      </c>
      <c r="R10" s="709">
        <f t="shared" si="4"/>
        <v>0</v>
      </c>
      <c r="S10" s="710">
        <f t="shared" si="5"/>
        <v>0</v>
      </c>
      <c r="T10" s="716" t="s">
        <v>32</v>
      </c>
      <c r="U10" s="709">
        <f t="shared" si="6"/>
        <v>28415.5</v>
      </c>
      <c r="V10" s="709"/>
      <c r="W10" s="712" t="e">
        <f ca="1">'40M-NR'!U59</f>
        <v>#NAME?</v>
      </c>
      <c r="X10" s="708" t="s">
        <v>34</v>
      </c>
      <c r="Y10" s="713">
        <f t="shared" si="7"/>
        <v>28415.5</v>
      </c>
      <c r="Z10" s="713" t="str">
        <f t="shared" si="8"/>
        <v/>
      </c>
      <c r="AA10" s="713">
        <f t="shared" si="9"/>
        <v>28415.5</v>
      </c>
      <c r="AB10" s="703">
        <f t="shared" si="10"/>
        <v>1211</v>
      </c>
      <c r="AC10" s="714">
        <f>'Footprint Summary'!G12</f>
        <v>1211</v>
      </c>
      <c r="AD10" s="701" t="s">
        <v>53</v>
      </c>
      <c r="AE10" s="715">
        <v>1</v>
      </c>
      <c r="AF10" s="713">
        <f t="shared" si="11"/>
        <v>28415.5</v>
      </c>
      <c r="AG10" s="715"/>
      <c r="AH10" s="713">
        <f t="shared" si="12"/>
        <v>0</v>
      </c>
      <c r="AI10" s="708">
        <f t="shared" si="13"/>
        <v>1</v>
      </c>
      <c r="AJ10"/>
    </row>
    <row r="11" spans="1:36" ht="16.5" customHeight="1">
      <c r="A11" s="227" t="s">
        <v>30</v>
      </c>
      <c r="B11" s="703" t="s">
        <v>54</v>
      </c>
      <c r="C11" s="227" t="s">
        <v>30</v>
      </c>
      <c r="D11" s="584">
        <v>37558</v>
      </c>
      <c r="E11" s="230">
        <v>0.75</v>
      </c>
      <c r="F11" s="230">
        <v>0</v>
      </c>
      <c r="G11" s="230">
        <v>1</v>
      </c>
      <c r="H11" s="585">
        <f t="shared" si="0"/>
        <v>37558</v>
      </c>
      <c r="I11" s="585" t="str">
        <f t="shared" si="1"/>
        <v/>
      </c>
      <c r="J11" s="585">
        <f t="shared" si="2"/>
        <v>37558</v>
      </c>
      <c r="K11" s="707">
        <f>'Intensity Summary'!G71</f>
        <v>37.252146384525268</v>
      </c>
      <c r="L11" s="707">
        <f>'Intensity Summary'!G13</f>
        <v>45.538686831034667</v>
      </c>
      <c r="M11" s="586"/>
      <c r="N11" s="701" t="s">
        <v>32</v>
      </c>
      <c r="O11" s="708">
        <v>1</v>
      </c>
      <c r="P11" s="703"/>
      <c r="Q11" s="709">
        <f t="shared" si="3"/>
        <v>37558</v>
      </c>
      <c r="R11" s="709">
        <f t="shared" si="4"/>
        <v>0</v>
      </c>
      <c r="S11" s="710">
        <f t="shared" si="5"/>
        <v>0</v>
      </c>
      <c r="T11" s="716" t="s">
        <v>32</v>
      </c>
      <c r="U11" s="709">
        <f t="shared" si="6"/>
        <v>37558</v>
      </c>
      <c r="V11" s="709"/>
      <c r="W11" s="712">
        <f>'420G-NR'!U59</f>
        <v>49369</v>
      </c>
      <c r="X11" s="708" t="s">
        <v>34</v>
      </c>
      <c r="Y11" s="713">
        <f t="shared" si="7"/>
        <v>37558</v>
      </c>
      <c r="Z11" s="713" t="str">
        <f t="shared" si="8"/>
        <v/>
      </c>
      <c r="AA11" s="713">
        <f t="shared" si="9"/>
        <v>37558</v>
      </c>
      <c r="AB11" s="703">
        <f t="shared" si="10"/>
        <v>1710.3420000000001</v>
      </c>
      <c r="AC11" s="714">
        <f>'Footprint Summary'!G13</f>
        <v>1710.3420000000001</v>
      </c>
      <c r="AD11" s="701" t="s">
        <v>53</v>
      </c>
      <c r="AE11" s="715">
        <v>1</v>
      </c>
      <c r="AF11" s="713">
        <f t="shared" si="11"/>
        <v>37558</v>
      </c>
      <c r="AG11" s="715"/>
      <c r="AH11" s="713">
        <f t="shared" si="12"/>
        <v>0</v>
      </c>
      <c r="AI11" s="708">
        <f t="shared" si="13"/>
        <v>1</v>
      </c>
      <c r="AJ11"/>
    </row>
    <row r="12" spans="1:36" ht="16.5" customHeight="1">
      <c r="A12" s="227" t="s">
        <v>37</v>
      </c>
      <c r="B12" s="703" t="s">
        <v>55</v>
      </c>
      <c r="C12" s="227" t="s">
        <v>37</v>
      </c>
      <c r="D12" s="584">
        <v>55051</v>
      </c>
      <c r="E12" s="230">
        <v>0.5</v>
      </c>
      <c r="F12" s="230">
        <v>0.5</v>
      </c>
      <c r="G12" s="230">
        <v>1</v>
      </c>
      <c r="H12" s="585">
        <f t="shared" si="0"/>
        <v>55051</v>
      </c>
      <c r="I12" s="585">
        <f t="shared" si="1"/>
        <v>55051</v>
      </c>
      <c r="J12" s="585">
        <f t="shared" si="2"/>
        <v>55051</v>
      </c>
      <c r="K12" s="707">
        <f>'Intensity Summary'!G72</f>
        <v>26.485311025231148</v>
      </c>
      <c r="L12" s="707">
        <f>'Intensity Summary'!G14</f>
        <v>23.219623621732577</v>
      </c>
      <c r="M12" s="586"/>
      <c r="N12" s="701" t="s">
        <v>32</v>
      </c>
      <c r="O12" s="708">
        <v>1</v>
      </c>
      <c r="P12" s="703"/>
      <c r="Q12" s="709">
        <f t="shared" si="3"/>
        <v>55051</v>
      </c>
      <c r="R12" s="709">
        <f t="shared" si="4"/>
        <v>0</v>
      </c>
      <c r="S12" s="710">
        <f t="shared" si="5"/>
        <v>0</v>
      </c>
      <c r="T12" s="716" t="s">
        <v>32</v>
      </c>
      <c r="U12" s="709">
        <f t="shared" si="6"/>
        <v>55051</v>
      </c>
      <c r="V12" s="709"/>
      <c r="W12" s="712" t="e">
        <f ca="1">'567C-NR'!U59</f>
        <v>#NAME?</v>
      </c>
      <c r="X12" s="708" t="s">
        <v>41</v>
      </c>
      <c r="Y12" s="713" t="str">
        <f t="shared" si="7"/>
        <v/>
      </c>
      <c r="Z12" s="713" t="str">
        <f t="shared" si="8"/>
        <v/>
      </c>
      <c r="AA12" s="713" t="str">
        <f t="shared" si="9"/>
        <v/>
      </c>
      <c r="AB12" s="703">
        <f t="shared" si="10"/>
        <v>0</v>
      </c>
      <c r="AC12" s="714">
        <f>'Footprint Summary'!G14</f>
        <v>1278.2635</v>
      </c>
      <c r="AD12" s="701" t="s">
        <v>53</v>
      </c>
      <c r="AE12" s="715">
        <v>1</v>
      </c>
      <c r="AF12" s="713">
        <f t="shared" si="11"/>
        <v>55051</v>
      </c>
      <c r="AG12" s="715"/>
      <c r="AH12" s="713">
        <f t="shared" si="12"/>
        <v>0</v>
      </c>
      <c r="AI12" s="708">
        <f t="shared" si="13"/>
        <v>1</v>
      </c>
      <c r="AJ12"/>
    </row>
    <row r="13" spans="1:36" ht="16.5" customHeight="1">
      <c r="A13" s="227" t="s">
        <v>30</v>
      </c>
      <c r="B13" s="703" t="s">
        <v>56</v>
      </c>
      <c r="C13" s="227" t="s">
        <v>30</v>
      </c>
      <c r="D13" s="584">
        <v>39938</v>
      </c>
      <c r="E13" s="230">
        <v>0.5</v>
      </c>
      <c r="F13" s="230">
        <v>0</v>
      </c>
      <c r="G13" s="230">
        <v>1</v>
      </c>
      <c r="H13" s="585">
        <f t="shared" si="0"/>
        <v>39938</v>
      </c>
      <c r="I13" s="585" t="str">
        <f t="shared" si="1"/>
        <v/>
      </c>
      <c r="J13" s="585">
        <f t="shared" si="2"/>
        <v>39938</v>
      </c>
      <c r="K13" s="707">
        <f>'Intensity Summary'!G73</f>
        <v>57.527694203265064</v>
      </c>
      <c r="L13" s="707">
        <f>'Intensity Summary'!G15</f>
        <v>64.97538684961691</v>
      </c>
      <c r="M13" s="586"/>
      <c r="N13" s="701" t="s">
        <v>57</v>
      </c>
      <c r="O13" s="708">
        <v>0</v>
      </c>
      <c r="P13" s="703" t="s">
        <v>58</v>
      </c>
      <c r="Q13" s="709">
        <f t="shared" si="3"/>
        <v>0</v>
      </c>
      <c r="R13" s="709">
        <f t="shared" si="4"/>
        <v>39938</v>
      </c>
      <c r="S13" s="710">
        <f t="shared" si="5"/>
        <v>0</v>
      </c>
      <c r="T13" s="716" t="s">
        <v>59</v>
      </c>
      <c r="U13" s="709">
        <f t="shared" si="6"/>
        <v>0</v>
      </c>
      <c r="V13" s="709"/>
      <c r="W13" s="717" t="s">
        <v>40</v>
      </c>
      <c r="X13" s="708" t="s">
        <v>34</v>
      </c>
      <c r="Y13" s="713">
        <f t="shared" si="7"/>
        <v>39938</v>
      </c>
      <c r="Z13" s="713" t="str">
        <f t="shared" si="8"/>
        <v/>
      </c>
      <c r="AA13" s="713">
        <f t="shared" si="9"/>
        <v>39938</v>
      </c>
      <c r="AB13" s="703">
        <f t="shared" si="10"/>
        <v>2594.9870000000001</v>
      </c>
      <c r="AC13" s="714">
        <f>'Footprint Summary'!G15</f>
        <v>2594.9870000000001</v>
      </c>
      <c r="AD13" s="701" t="s">
        <v>53</v>
      </c>
      <c r="AE13" s="715">
        <v>1</v>
      </c>
      <c r="AF13" s="713">
        <f t="shared" si="11"/>
        <v>39938</v>
      </c>
      <c r="AG13" s="715"/>
      <c r="AH13" s="713">
        <f t="shared" si="12"/>
        <v>0</v>
      </c>
      <c r="AI13" s="708">
        <f t="shared" si="13"/>
        <v>1</v>
      </c>
      <c r="AJ13"/>
    </row>
    <row r="14" spans="1:36" ht="16.5" customHeight="1">
      <c r="A14" s="227" t="s">
        <v>37</v>
      </c>
      <c r="B14" s="703" t="s">
        <v>60</v>
      </c>
      <c r="C14" s="227" t="s">
        <v>37</v>
      </c>
      <c r="D14" s="584">
        <v>1422</v>
      </c>
      <c r="E14" s="230">
        <v>1</v>
      </c>
      <c r="F14" s="230">
        <v>0</v>
      </c>
      <c r="G14" s="230">
        <v>1</v>
      </c>
      <c r="H14" s="585">
        <f t="shared" si="0"/>
        <v>1422</v>
      </c>
      <c r="I14" s="585" t="str">
        <f t="shared" si="1"/>
        <v/>
      </c>
      <c r="J14" s="585">
        <f t="shared" si="2"/>
        <v>1422</v>
      </c>
      <c r="K14" s="707">
        <f>'Intensity Summary'!G75</f>
        <v>0</v>
      </c>
      <c r="L14" s="707">
        <f>'Intensity Summary'!G17</f>
        <v>0</v>
      </c>
      <c r="M14" s="586"/>
      <c r="N14" s="701" t="s">
        <v>44</v>
      </c>
      <c r="O14" s="708">
        <v>0</v>
      </c>
      <c r="P14" s="703" t="s">
        <v>61</v>
      </c>
      <c r="Q14" s="709">
        <f t="shared" si="3"/>
        <v>0</v>
      </c>
      <c r="R14" s="709">
        <f t="shared" si="4"/>
        <v>1422</v>
      </c>
      <c r="S14" s="710">
        <f t="shared" si="5"/>
        <v>0</v>
      </c>
      <c r="T14" s="716" t="s">
        <v>51</v>
      </c>
      <c r="U14" s="709">
        <f t="shared" si="6"/>
        <v>1422</v>
      </c>
      <c r="V14" s="709"/>
      <c r="W14" s="717" t="s">
        <v>62</v>
      </c>
      <c r="X14" s="708" t="s">
        <v>41</v>
      </c>
      <c r="Y14" s="713" t="str">
        <f t="shared" si="7"/>
        <v/>
      </c>
      <c r="Z14" s="713" t="str">
        <f t="shared" si="8"/>
        <v/>
      </c>
      <c r="AA14" s="713" t="str">
        <f t="shared" si="9"/>
        <v/>
      </c>
      <c r="AB14" s="703">
        <f t="shared" si="10"/>
        <v>0</v>
      </c>
      <c r="AC14" s="714">
        <f>'Footprint Summary'!G17</f>
        <v>0</v>
      </c>
      <c r="AD14" s="701" t="s">
        <v>36</v>
      </c>
      <c r="AE14" s="715">
        <v>0</v>
      </c>
      <c r="AF14" s="713">
        <f t="shared" si="11"/>
        <v>0</v>
      </c>
      <c r="AG14" s="715">
        <v>0</v>
      </c>
      <c r="AH14" s="713">
        <f t="shared" si="12"/>
        <v>0</v>
      </c>
      <c r="AI14" s="708">
        <f t="shared" si="13"/>
        <v>0</v>
      </c>
      <c r="AJ14"/>
    </row>
    <row r="15" spans="1:36" ht="16.5" customHeight="1">
      <c r="A15" s="227" t="s">
        <v>63</v>
      </c>
      <c r="B15" s="703" t="s">
        <v>64</v>
      </c>
      <c r="C15" s="227" t="s">
        <v>63</v>
      </c>
      <c r="D15" s="584">
        <v>61127</v>
      </c>
      <c r="E15" s="230">
        <v>0.5</v>
      </c>
      <c r="F15" s="230">
        <v>0</v>
      </c>
      <c r="G15" s="230">
        <v>0</v>
      </c>
      <c r="H15" s="585">
        <f t="shared" si="0"/>
        <v>61127</v>
      </c>
      <c r="I15" s="585" t="str">
        <f t="shared" si="1"/>
        <v/>
      </c>
      <c r="J15" s="585" t="str">
        <f t="shared" si="2"/>
        <v/>
      </c>
      <c r="K15" s="707">
        <f>'Intensity Summary'!G79</f>
        <v>28.689758352413826</v>
      </c>
      <c r="L15" s="707">
        <f>'Intensity Summary'!G21</f>
        <v>38.933548186562405</v>
      </c>
      <c r="M15" s="586"/>
      <c r="N15" s="701" t="s">
        <v>20</v>
      </c>
      <c r="O15" s="708">
        <v>0</v>
      </c>
      <c r="P15" s="703" t="s">
        <v>65</v>
      </c>
      <c r="Q15" s="709">
        <f t="shared" si="3"/>
        <v>0</v>
      </c>
      <c r="R15" s="709">
        <f t="shared" si="4"/>
        <v>0</v>
      </c>
      <c r="S15" s="710">
        <f t="shared" si="5"/>
        <v>61127</v>
      </c>
      <c r="T15" s="716" t="s">
        <v>20</v>
      </c>
      <c r="U15" s="709">
        <f t="shared" si="6"/>
        <v>61127</v>
      </c>
      <c r="V15" s="709"/>
      <c r="W15" s="717" t="s">
        <v>40</v>
      </c>
      <c r="X15" s="708" t="s">
        <v>41</v>
      </c>
      <c r="Y15" s="713" t="str">
        <f t="shared" si="7"/>
        <v/>
      </c>
      <c r="Z15" s="713" t="str">
        <f t="shared" si="8"/>
        <v/>
      </c>
      <c r="AA15" s="713" t="str">
        <f t="shared" si="9"/>
        <v/>
      </c>
      <c r="AB15" s="703">
        <f t="shared" si="10"/>
        <v>0</v>
      </c>
      <c r="AC15" s="714">
        <f>'Footprint Summary'!G21</f>
        <v>2379.8910000000001</v>
      </c>
      <c r="AD15" s="701" t="s">
        <v>53</v>
      </c>
      <c r="AE15" s="715">
        <v>1</v>
      </c>
      <c r="AF15" s="713">
        <f t="shared" si="11"/>
        <v>61127</v>
      </c>
      <c r="AG15" s="715"/>
      <c r="AH15" s="713">
        <f t="shared" si="12"/>
        <v>0</v>
      </c>
      <c r="AI15" s="708">
        <f t="shared" si="13"/>
        <v>1</v>
      </c>
      <c r="AJ15" s="703"/>
    </row>
    <row r="16" spans="1:36" ht="16.5" customHeight="1">
      <c r="A16" s="227" t="s">
        <v>66</v>
      </c>
      <c r="B16" s="703" t="s">
        <v>67</v>
      </c>
      <c r="C16" s="227" t="s">
        <v>66</v>
      </c>
      <c r="D16" s="584">
        <v>12837.7</v>
      </c>
      <c r="E16" s="230">
        <v>0</v>
      </c>
      <c r="F16" s="230">
        <v>0</v>
      </c>
      <c r="G16" s="230">
        <v>1</v>
      </c>
      <c r="H16" s="585" t="str">
        <f t="shared" si="0"/>
        <v/>
      </c>
      <c r="I16" s="585" t="str">
        <f t="shared" si="1"/>
        <v/>
      </c>
      <c r="J16" s="585">
        <f t="shared" si="2"/>
        <v>12837.7</v>
      </c>
      <c r="K16" s="707">
        <f>'Intensity Summary'!G84</f>
        <v>71.988772166353783</v>
      </c>
      <c r="L16" s="707">
        <f>'Intensity Summary'!G26</f>
        <v>76.426073206259687</v>
      </c>
      <c r="M16" s="586"/>
      <c r="N16" s="701" t="s">
        <v>32</v>
      </c>
      <c r="O16" s="708">
        <v>1</v>
      </c>
      <c r="P16" s="703" t="s">
        <v>39</v>
      </c>
      <c r="Q16" s="709">
        <f t="shared" si="3"/>
        <v>12837.7</v>
      </c>
      <c r="R16" s="709">
        <f t="shared" si="4"/>
        <v>0</v>
      </c>
      <c r="S16" s="710">
        <f t="shared" si="5"/>
        <v>0</v>
      </c>
      <c r="T16" s="719" t="s">
        <v>32</v>
      </c>
      <c r="U16" s="709">
        <f t="shared" si="6"/>
        <v>12837.7</v>
      </c>
      <c r="V16" s="709"/>
      <c r="W16" s="717" t="s">
        <v>68</v>
      </c>
      <c r="X16" s="708" t="s">
        <v>41</v>
      </c>
      <c r="Y16" s="713" t="str">
        <f t="shared" si="7"/>
        <v/>
      </c>
      <c r="Z16" s="713" t="str">
        <f t="shared" si="8"/>
        <v/>
      </c>
      <c r="AA16" s="713" t="str">
        <f t="shared" si="9"/>
        <v/>
      </c>
      <c r="AB16" s="703">
        <f t="shared" si="10"/>
        <v>0</v>
      </c>
      <c r="AC16" s="714">
        <f>'Footprint Summary'!G26</f>
        <v>981.13499999999999</v>
      </c>
      <c r="AD16" s="701" t="s">
        <v>36</v>
      </c>
      <c r="AE16" s="715">
        <v>0</v>
      </c>
      <c r="AF16" s="713">
        <f t="shared" si="11"/>
        <v>0</v>
      </c>
      <c r="AG16" s="715">
        <v>0</v>
      </c>
      <c r="AH16" s="713">
        <f t="shared" si="12"/>
        <v>0</v>
      </c>
      <c r="AI16" s="708">
        <f t="shared" si="13"/>
        <v>0</v>
      </c>
      <c r="AJ16" s="703"/>
    </row>
    <row r="17" spans="2:35" ht="16.5" customHeight="1" thickBot="1">
      <c r="B17" s="703"/>
      <c r="C17" s="703"/>
      <c r="D17" s="234">
        <f>SUBTOTAL(109,D3:D16)</f>
        <v>471011.3</v>
      </c>
      <c r="E17" s="235"/>
      <c r="F17" s="235"/>
      <c r="G17" s="720"/>
      <c r="H17" s="721">
        <f>SUM(H3:H16)</f>
        <v>458173.6</v>
      </c>
      <c r="I17" s="721">
        <f>SUM(I3:I16)</f>
        <v>97183</v>
      </c>
      <c r="J17" s="721">
        <f>SUM(J3:J16)</f>
        <v>409884.3</v>
      </c>
      <c r="K17" s="720"/>
      <c r="L17" s="720"/>
      <c r="M17" s="720"/>
      <c r="N17" s="720" t="s">
        <v>18</v>
      </c>
      <c r="O17" s="722">
        <f>SUBTOTAL(109,Q3:Q16)</f>
        <v>294918.2</v>
      </c>
      <c r="P17" s="235"/>
      <c r="Q17" s="723">
        <f>SUBTOTAL(109,Q3:Q16)/D17</f>
        <v>0.62613826886955792</v>
      </c>
      <c r="R17" s="723">
        <f>SUBTOTAL(109,R3:R16)/D17</f>
        <v>0.11035637573875616</v>
      </c>
      <c r="S17" s="724">
        <f>SUBTOTAL(109,S3:S16)/D17</f>
        <v>0.26350535539168596</v>
      </c>
      <c r="T17" s="587">
        <f>U17/D17</f>
        <v>0.91520797908670126</v>
      </c>
      <c r="U17" s="725">
        <f>SUM(U3:U16)</f>
        <v>431073.3</v>
      </c>
      <c r="V17" s="726"/>
      <c r="W17" s="264">
        <f>T17/D17</f>
        <v>1.9430701112408582E-6</v>
      </c>
      <c r="X17" s="727">
        <f>SUBTOTAL(109,AC3:AC16)</f>
        <v>23765.301500000001</v>
      </c>
      <c r="Y17" s="721">
        <f>SUM(Y3:Y16)</f>
        <v>252832.6</v>
      </c>
      <c r="Z17" s="721">
        <f>SUM(Z3:Z16)</f>
        <v>42132</v>
      </c>
      <c r="AA17" s="721">
        <f>SUM(AA3:AA16)</f>
        <v>252832.6</v>
      </c>
      <c r="AB17" s="588">
        <f>SUBTOTAL(109,AB3:AB16)</f>
        <v>13702.674999999999</v>
      </c>
      <c r="AC17" s="703"/>
      <c r="AD17" s="589">
        <f>SUBTOTAL(109,AF3:AF16)</f>
        <v>421378.5</v>
      </c>
      <c r="AE17" s="720"/>
      <c r="AF17" s="720"/>
      <c r="AG17" s="263">
        <f>SUBTOTAL(109,AH3:AH16)</f>
        <v>13130.75</v>
      </c>
      <c r="AH17" s="720"/>
      <c r="AI17" s="264">
        <f>SUM(AD17+AG17)/D17</f>
        <v>0.92250281468831008</v>
      </c>
    </row>
    <row r="18" spans="2:35" ht="16.5" customHeight="1" thickTop="1">
      <c r="B18" s="728"/>
      <c r="C18" s="728" t="s">
        <v>69</v>
      </c>
      <c r="D18" s="729">
        <f>D6+D14+D15+D13</f>
        <v>113106.1</v>
      </c>
      <c r="E18" s="703"/>
      <c r="F18" s="703"/>
      <c r="G18" s="703"/>
      <c r="H18" s="703"/>
      <c r="I18" s="703"/>
      <c r="J18" s="703"/>
      <c r="K18" s="703"/>
      <c r="L18" s="564" t="s">
        <v>70</v>
      </c>
      <c r="M18" s="703"/>
      <c r="N18" s="703" t="s">
        <v>71</v>
      </c>
      <c r="O18" s="709">
        <f>SUBTOTAL(109,R3:R16)</f>
        <v>51979.1</v>
      </c>
      <c r="P18" s="703"/>
      <c r="Q18" s="730">
        <f>SUM(Q3:Q16)</f>
        <v>294918.2</v>
      </c>
      <c r="R18" s="731">
        <f>R17+Q17</f>
        <v>0.73649464460831404</v>
      </c>
      <c r="S18" s="731">
        <f>SUM(Q17:S17)</f>
        <v>1</v>
      </c>
      <c r="T18" s="703" t="s">
        <v>72</v>
      </c>
      <c r="U18" s="729" t="e">
        <f>SUM(U3,U5,U7:U8,U10:U12,#REF!,#REF!,#REF!,#REF!)</f>
        <v>#REF!</v>
      </c>
      <c r="V18" s="729"/>
      <c r="W18" s="565" t="e">
        <f>U18/(U18+U19+U21)</f>
        <v>#REF!</v>
      </c>
      <c r="X18" s="732">
        <f>AB17/X17</f>
        <v>0.57658325942130373</v>
      </c>
      <c r="Y18" s="733"/>
      <c r="Z18" s="733"/>
      <c r="AA18" s="733"/>
      <c r="AB18" s="703"/>
      <c r="AC18" s="703"/>
      <c r="AD18" s="703" t="s">
        <v>73</v>
      </c>
      <c r="AE18" s="703"/>
      <c r="AF18" s="703"/>
      <c r="AG18" s="703"/>
      <c r="AH18" s="703"/>
      <c r="AI18" s="731">
        <v>0.7</v>
      </c>
    </row>
    <row r="19" spans="2:35" ht="16.5" customHeight="1">
      <c r="B19" s="728"/>
      <c r="C19" s="728" t="s">
        <v>74</v>
      </c>
      <c r="D19" s="569">
        <f>D17-D18</f>
        <v>357905.19999999995</v>
      </c>
      <c r="E19" s="703"/>
      <c r="F19" s="703"/>
      <c r="G19" s="703"/>
      <c r="H19" s="703"/>
      <c r="I19" s="703"/>
      <c r="J19" s="703"/>
      <c r="K19" s="703"/>
      <c r="L19" s="703"/>
      <c r="M19" s="703"/>
      <c r="N19" s="703" t="s">
        <v>20</v>
      </c>
      <c r="O19" s="709">
        <f>SUBTOTAL(109,S3:S16)</f>
        <v>124114</v>
      </c>
      <c r="P19" s="703"/>
      <c r="Q19" s="703" t="s">
        <v>75</v>
      </c>
      <c r="R19" s="703"/>
      <c r="S19" s="734"/>
      <c r="T19" s="703" t="s">
        <v>20</v>
      </c>
      <c r="U19" s="735">
        <f>U4+U16</f>
        <v>75824.7</v>
      </c>
      <c r="V19" s="735"/>
      <c r="W19" s="565" t="e">
        <f>U19/(U18+U19+U21)</f>
        <v>#REF!</v>
      </c>
      <c r="X19" s="733"/>
      <c r="Y19" s="733"/>
      <c r="Z19" s="733"/>
      <c r="AA19" s="733"/>
      <c r="AB19" s="703"/>
      <c r="AC19" s="703"/>
      <c r="AD19" s="703"/>
      <c r="AE19" s="703"/>
      <c r="AF19" s="703"/>
      <c r="AG19" s="703"/>
      <c r="AH19" s="703"/>
      <c r="AI19" s="703"/>
    </row>
    <row r="20" spans="2:35" ht="16.5" customHeight="1">
      <c r="B20" s="564" t="s">
        <v>76</v>
      </c>
      <c r="C20" s="728" t="s">
        <v>77</v>
      </c>
      <c r="D20" s="729">
        <f>O17</f>
        <v>294918.2</v>
      </c>
      <c r="E20" s="731">
        <f>D20/D19</f>
        <v>0.82401205682398593</v>
      </c>
      <c r="F20" s="703"/>
      <c r="G20" s="703"/>
      <c r="H20" s="703"/>
      <c r="I20" s="703"/>
      <c r="J20" s="703"/>
      <c r="K20" s="703"/>
      <c r="L20" s="703"/>
      <c r="M20" s="703"/>
      <c r="N20" s="703" t="s">
        <v>78</v>
      </c>
      <c r="O20" s="735">
        <f>D17-SUM(O17:O19)</f>
        <v>0</v>
      </c>
      <c r="P20" s="703"/>
      <c r="Q20" s="703"/>
      <c r="R20" s="703"/>
      <c r="S20" s="703"/>
      <c r="T20" s="703" t="s">
        <v>79</v>
      </c>
      <c r="U20" s="735" t="e">
        <f>U6+U14+#REF!+U15+#REF!+#REF!+#REF!+U9</f>
        <v>#REF!</v>
      </c>
      <c r="V20" s="735"/>
      <c r="W20" s="564"/>
      <c r="X20" s="733"/>
      <c r="Y20" s="733"/>
      <c r="Z20" s="733"/>
      <c r="AA20" s="733"/>
      <c r="AB20" s="703"/>
      <c r="AC20" s="703"/>
      <c r="AD20" s="703"/>
      <c r="AE20" s="703"/>
      <c r="AF20" s="703"/>
      <c r="AG20" s="703"/>
      <c r="AH20" s="703"/>
      <c r="AI20" s="703"/>
    </row>
    <row r="21" spans="2:35" ht="16.5" customHeight="1">
      <c r="B21" s="217"/>
      <c r="C21" s="217" t="s">
        <v>80</v>
      </c>
      <c r="D21" s="568">
        <f>O27-S15</f>
        <v>62987</v>
      </c>
      <c r="E21" s="731">
        <f>D21/D19</f>
        <v>0.17598794317601424</v>
      </c>
      <c r="F21" s="703"/>
      <c r="G21" s="703"/>
      <c r="H21" s="703"/>
      <c r="I21" s="703"/>
      <c r="J21" s="703"/>
      <c r="K21" s="703"/>
      <c r="L21" s="703"/>
      <c r="M21" s="703"/>
      <c r="N21" s="703" t="s">
        <v>81</v>
      </c>
      <c r="O21" s="731">
        <f>O20/D17</f>
        <v>0</v>
      </c>
      <c r="P21" s="703"/>
      <c r="Q21" s="703"/>
      <c r="R21" s="703"/>
      <c r="S21" s="703"/>
      <c r="T21" s="703" t="s">
        <v>82</v>
      </c>
      <c r="U21" s="735">
        <f>D13</f>
        <v>39938</v>
      </c>
      <c r="V21" s="735"/>
      <c r="W21" s="565" t="e">
        <f>U21/(U18+U19+U21)</f>
        <v>#REF!</v>
      </c>
      <c r="X21" s="733"/>
      <c r="Y21" s="733"/>
      <c r="Z21" s="733"/>
      <c r="AA21" s="733"/>
      <c r="AB21" s="703"/>
      <c r="AC21" s="736" t="s">
        <v>83</v>
      </c>
      <c r="AD21" s="260"/>
      <c r="AE21" s="715"/>
      <c r="AF21" s="715"/>
      <c r="AG21" s="703"/>
      <c r="AH21" s="703"/>
      <c r="AI21" s="703"/>
    </row>
    <row r="22" spans="2:35" ht="14.5" thickBot="1">
      <c r="B22" s="703"/>
      <c r="C22" s="703" t="s">
        <v>82</v>
      </c>
      <c r="D22" s="735">
        <f>O28</f>
        <v>0</v>
      </c>
      <c r="E22" s="289">
        <f>D22/D19</f>
        <v>0</v>
      </c>
      <c r="F22" s="219"/>
      <c r="G22" s="703"/>
      <c r="H22" s="703"/>
      <c r="I22" s="703"/>
      <c r="J22" s="703"/>
      <c r="K22" s="703"/>
      <c r="L22" s="703"/>
      <c r="M22" s="703"/>
      <c r="N22" s="703" t="s">
        <v>84</v>
      </c>
      <c r="O22" s="243">
        <f>SUM(O17:O19)</f>
        <v>471011.3</v>
      </c>
      <c r="P22" s="703"/>
      <c r="Q22" s="703"/>
      <c r="R22" s="703"/>
      <c r="S22" s="703"/>
      <c r="T22" s="703"/>
      <c r="U22" s="735" t="e">
        <f>SUM(U18:U20)</f>
        <v>#REF!</v>
      </c>
      <c r="V22" s="735"/>
      <c r="W22" s="703"/>
      <c r="X22" s="703"/>
      <c r="Y22" s="703"/>
      <c r="Z22" s="703"/>
      <c r="AA22" s="703"/>
      <c r="AB22" s="703"/>
      <c r="AC22" s="737" t="s">
        <v>41</v>
      </c>
      <c r="AD22" s="703"/>
      <c r="AE22" s="715"/>
      <c r="AF22" s="715"/>
      <c r="AG22" s="703"/>
      <c r="AH22" s="703"/>
      <c r="AI22" s="703"/>
    </row>
    <row r="23" spans="2:35" ht="14.5" thickTop="1">
      <c r="B23" s="703"/>
      <c r="C23" s="703"/>
      <c r="D23" s="735"/>
      <c r="E23" s="731">
        <f>SUM(E20:E22)</f>
        <v>1.0000000000000002</v>
      </c>
      <c r="F23" s="735"/>
      <c r="G23" s="703"/>
      <c r="H23" s="703"/>
      <c r="I23" s="703"/>
      <c r="J23" s="703"/>
      <c r="K23" s="703"/>
      <c r="L23" s="703"/>
      <c r="M23" s="703"/>
      <c r="N23" s="703"/>
      <c r="O23" s="703"/>
      <c r="P23" s="703"/>
      <c r="Q23" s="703"/>
      <c r="R23" s="703"/>
      <c r="S23" s="703"/>
      <c r="T23" s="703"/>
      <c r="U23" s="703"/>
      <c r="V23" s="703"/>
      <c r="W23" s="703"/>
      <c r="X23" s="580" t="s">
        <v>85</v>
      </c>
      <c r="Y23" s="581"/>
      <c r="Z23" s="581"/>
      <c r="AA23" s="581"/>
      <c r="AB23" s="703"/>
      <c r="AC23" s="703"/>
      <c r="AD23" s="703"/>
      <c r="AE23" s="703"/>
      <c r="AF23" s="703"/>
      <c r="AG23" s="703"/>
      <c r="AH23" s="703"/>
      <c r="AI23" s="703"/>
    </row>
    <row r="24" spans="2:35">
      <c r="B24" s="703"/>
      <c r="C24" s="703"/>
      <c r="D24" s="703"/>
      <c r="E24" s="220"/>
      <c r="F24" s="220"/>
      <c r="G24" s="703"/>
      <c r="H24" s="703"/>
      <c r="I24" s="703"/>
      <c r="J24" s="703"/>
      <c r="K24" s="703"/>
      <c r="L24" s="703"/>
      <c r="M24" s="703"/>
      <c r="N24" s="221"/>
      <c r="O24" s="221"/>
      <c r="P24" s="564" t="s">
        <v>86</v>
      </c>
      <c r="Q24" s="564" t="s">
        <v>87</v>
      </c>
      <c r="R24" s="703"/>
      <c r="S24" s="703"/>
      <c r="T24" s="703"/>
      <c r="U24" s="703"/>
      <c r="V24" s="703"/>
      <c r="W24" s="703"/>
      <c r="X24" s="581"/>
      <c r="Y24" s="581" t="s">
        <v>10</v>
      </c>
      <c r="Z24" s="581" t="s">
        <v>11</v>
      </c>
      <c r="AA24" s="581" t="s">
        <v>12</v>
      </c>
      <c r="AB24" s="703"/>
      <c r="AC24" s="703"/>
      <c r="AD24" s="703" t="s">
        <v>12</v>
      </c>
      <c r="AE24" s="703"/>
      <c r="AF24" s="703"/>
      <c r="AG24" s="703"/>
      <c r="AH24" s="703"/>
      <c r="AI24" s="703"/>
    </row>
    <row r="25" spans="2:35">
      <c r="B25" s="703"/>
      <c r="C25" s="703"/>
      <c r="D25" s="703"/>
      <c r="E25" s="703"/>
      <c r="F25" s="703"/>
      <c r="G25" s="703"/>
      <c r="H25" s="703"/>
      <c r="I25" s="703"/>
      <c r="J25" s="703"/>
      <c r="K25" s="703"/>
      <c r="L25" s="703"/>
      <c r="M25" s="703"/>
      <c r="N25" s="703" t="s">
        <v>88</v>
      </c>
      <c r="O25" s="735">
        <f>O17</f>
        <v>294918.2</v>
      </c>
      <c r="P25" s="738">
        <f>O25/$D$17</f>
        <v>0.62613826886955792</v>
      </c>
      <c r="Q25" s="565">
        <f>P25/(P25+P27+P28)</f>
        <v>0.70380796511580734</v>
      </c>
      <c r="R25" s="703"/>
      <c r="S25" s="703"/>
      <c r="T25" s="703"/>
      <c r="U25" s="703"/>
      <c r="V25" s="703"/>
      <c r="W25" s="703"/>
      <c r="X25" s="581" t="s">
        <v>34</v>
      </c>
      <c r="Y25" s="582">
        <f>Y17/H17</f>
        <v>0.55182708039048955</v>
      </c>
      <c r="Z25" s="582">
        <f>Z17/I17</f>
        <v>0.43353261372873858</v>
      </c>
      <c r="AA25" s="582">
        <f>AA17/J17</f>
        <v>0.61683894699065078</v>
      </c>
      <c r="AB25" s="703"/>
      <c r="AC25" s="703"/>
      <c r="AD25" s="703">
        <f>COUNTIF(X3:X16,"100% renewable")</f>
        <v>8</v>
      </c>
      <c r="AE25" s="703"/>
      <c r="AF25" s="703"/>
      <c r="AG25" s="703"/>
      <c r="AH25" s="703"/>
      <c r="AI25" s="703"/>
    </row>
    <row r="26" spans="2:35">
      <c r="B26" s="703"/>
      <c r="C26" s="703"/>
      <c r="D26" s="703"/>
      <c r="E26" s="703"/>
      <c r="F26" s="703"/>
      <c r="G26" s="703"/>
      <c r="H26" s="703"/>
      <c r="I26" s="703"/>
      <c r="J26" s="703"/>
      <c r="K26" s="703"/>
      <c r="L26" s="703"/>
      <c r="M26" s="703"/>
      <c r="N26" s="703" t="s">
        <v>71</v>
      </c>
      <c r="O26" s="735">
        <f>O18</f>
        <v>51979.1</v>
      </c>
      <c r="P26" s="738">
        <f>O26/$D$17</f>
        <v>0.11035637573875616</v>
      </c>
      <c r="Q26" s="564"/>
      <c r="R26" s="703"/>
      <c r="S26" s="703"/>
      <c r="T26" s="703"/>
      <c r="U26" s="703"/>
      <c r="V26" s="703"/>
      <c r="W26" s="703"/>
      <c r="X26" s="581" t="s">
        <v>41</v>
      </c>
      <c r="Y26" s="581"/>
      <c r="Z26" s="581"/>
      <c r="AA26" s="581"/>
      <c r="AB26" s="703"/>
      <c r="AC26" s="703"/>
      <c r="AD26" s="703">
        <f>COUNTIF(X3:X16,"Black")</f>
        <v>6</v>
      </c>
      <c r="AE26" s="703"/>
      <c r="AF26" s="703"/>
      <c r="AG26" s="703"/>
      <c r="AH26" s="703"/>
      <c r="AI26" s="703"/>
    </row>
    <row r="27" spans="2:35">
      <c r="B27" s="703"/>
      <c r="C27" s="703"/>
      <c r="D27" s="703"/>
      <c r="E27" s="703"/>
      <c r="F27" s="703"/>
      <c r="G27" s="703"/>
      <c r="H27" s="703"/>
      <c r="I27" s="703"/>
      <c r="J27" s="703"/>
      <c r="K27" s="703"/>
      <c r="L27" s="703"/>
      <c r="M27" s="703"/>
      <c r="N27" s="703" t="s">
        <v>20</v>
      </c>
      <c r="O27" s="735">
        <f>O19</f>
        <v>124114</v>
      </c>
      <c r="P27" s="738">
        <f>O27/$D$17</f>
        <v>0.26350535539168596</v>
      </c>
      <c r="Q27" s="565">
        <f>P27/(P25+P27+P28)</f>
        <v>0.29619203488419271</v>
      </c>
      <c r="R27" s="703"/>
      <c r="S27" s="703"/>
      <c r="T27" s="703"/>
      <c r="U27" s="703"/>
      <c r="V27" s="703"/>
      <c r="W27" s="703"/>
      <c r="X27" s="581"/>
      <c r="Y27" s="581"/>
      <c r="Z27" s="581"/>
      <c r="AA27" s="581"/>
      <c r="AB27" s="703"/>
      <c r="AC27" s="703"/>
      <c r="AD27" s="731">
        <f>AD25/(AD25+AD26)</f>
        <v>0.5714285714285714</v>
      </c>
      <c r="AE27" s="703"/>
      <c r="AF27" s="703"/>
      <c r="AG27" s="703"/>
      <c r="AH27" s="703"/>
      <c r="AI27" s="703"/>
    </row>
    <row r="28" spans="2:35">
      <c r="B28" s="703"/>
      <c r="C28" s="703"/>
      <c r="D28" s="703"/>
      <c r="E28" s="703"/>
      <c r="F28" s="703"/>
      <c r="G28" s="703"/>
      <c r="H28" s="703"/>
      <c r="I28" s="703"/>
      <c r="J28" s="703"/>
      <c r="K28" s="703"/>
      <c r="L28" s="703"/>
      <c r="M28" s="703"/>
      <c r="N28" s="703" t="s">
        <v>78</v>
      </c>
      <c r="O28" s="735">
        <f>O20</f>
        <v>0</v>
      </c>
      <c r="P28" s="738">
        <f>O28/$D$17</f>
        <v>0</v>
      </c>
      <c r="Q28" s="565">
        <f>P28/(P25+P27+P28)</f>
        <v>0</v>
      </c>
      <c r="R28" s="703"/>
      <c r="S28" s="703"/>
      <c r="T28" s="703"/>
      <c r="U28" s="703"/>
      <c r="V28" s="703"/>
      <c r="W28" s="703"/>
      <c r="X28" s="581"/>
      <c r="Y28" s="581" t="s">
        <v>89</v>
      </c>
      <c r="Z28" s="581"/>
      <c r="AA28" s="581"/>
      <c r="AB28" s="703"/>
      <c r="AC28" s="703"/>
      <c r="AD28" s="703"/>
      <c r="AE28" s="703"/>
      <c r="AF28" s="703"/>
      <c r="AG28" s="703"/>
      <c r="AH28" s="703"/>
      <c r="AI28" s="703"/>
    </row>
    <row r="29" spans="2:35">
      <c r="B29" s="703"/>
      <c r="C29" s="703"/>
      <c r="D29" s="703"/>
      <c r="E29" s="703"/>
      <c r="F29" s="703"/>
      <c r="G29" s="703"/>
      <c r="H29" s="703"/>
      <c r="I29" s="703"/>
      <c r="J29" s="703"/>
      <c r="K29" s="703"/>
      <c r="L29" s="703"/>
      <c r="M29" s="703"/>
      <c r="N29" s="703"/>
      <c r="O29" s="703"/>
      <c r="P29" s="703"/>
      <c r="Q29" s="566">
        <f>SUM(Q25:Q28)</f>
        <v>1</v>
      </c>
      <c r="R29" s="703"/>
      <c r="S29" s="703"/>
      <c r="T29" s="703"/>
      <c r="U29" s="703"/>
      <c r="V29" s="703"/>
      <c r="W29" s="703"/>
      <c r="X29" s="581"/>
      <c r="Y29" s="582">
        <f>Y17/(H17-H15)</f>
        <v>0.63678318867357142</v>
      </c>
      <c r="Z29" s="581"/>
      <c r="AA29" s="581"/>
      <c r="AB29" s="703"/>
      <c r="AC29" s="703"/>
      <c r="AD29" s="703"/>
      <c r="AE29" s="703"/>
      <c r="AF29" s="703"/>
      <c r="AG29" s="703"/>
      <c r="AH29" s="703"/>
      <c r="AI29" s="703"/>
    </row>
    <row r="30" spans="2:35">
      <c r="B30" s="703"/>
      <c r="C30" s="703"/>
      <c r="D30" s="703"/>
      <c r="E30" s="703"/>
      <c r="F30" s="222"/>
      <c r="G30" s="703"/>
      <c r="H30" s="703"/>
      <c r="I30" s="703"/>
      <c r="J30" s="703"/>
      <c r="K30" s="703"/>
      <c r="L30" s="564" t="s">
        <v>90</v>
      </c>
      <c r="M30" s="564"/>
      <c r="N30" s="564" t="s">
        <v>88</v>
      </c>
      <c r="O30" s="564">
        <f>COUNTIF(Q3:Q16,"&gt;0")</f>
        <v>9</v>
      </c>
      <c r="P30" s="565">
        <f>O30/$O$34</f>
        <v>0.6428571428571429</v>
      </c>
      <c r="Q30" s="703"/>
      <c r="R30" s="703"/>
      <c r="S30" s="703"/>
      <c r="T30" s="703"/>
      <c r="U30" s="703"/>
      <c r="V30" s="703"/>
      <c r="W30" s="703"/>
      <c r="X30" s="581"/>
      <c r="Y30" s="581"/>
      <c r="Z30" s="581"/>
      <c r="AA30" s="581"/>
      <c r="AB30" s="703"/>
      <c r="AC30" s="703"/>
      <c r="AD30" s="703"/>
      <c r="AE30" s="703"/>
      <c r="AF30" s="703"/>
      <c r="AG30" s="703"/>
      <c r="AH30" s="703"/>
      <c r="AI30" s="703"/>
    </row>
    <row r="31" spans="2:35">
      <c r="B31" s="703"/>
      <c r="C31" s="703"/>
      <c r="D31" s="703"/>
      <c r="E31" s="703"/>
      <c r="F31" s="222"/>
      <c r="G31" s="703"/>
      <c r="H31" s="703"/>
      <c r="I31" s="703"/>
      <c r="J31" s="703"/>
      <c r="K31" s="703"/>
      <c r="L31" s="564"/>
      <c r="M31" s="564"/>
      <c r="N31" s="564" t="s">
        <v>71</v>
      </c>
      <c r="O31" s="564">
        <f>COUNTIF(R3:R16,"&gt;0")</f>
        <v>3</v>
      </c>
      <c r="P31" s="565">
        <f>O31/$O$34</f>
        <v>0.21428571428571427</v>
      </c>
      <c r="Q31" s="703"/>
      <c r="R31" s="703"/>
      <c r="S31" s="703"/>
      <c r="T31" s="703"/>
      <c r="U31" s="703"/>
      <c r="V31" s="703"/>
      <c r="W31" s="703"/>
      <c r="X31" s="703"/>
      <c r="Y31" s="703"/>
      <c r="Z31" s="703"/>
      <c r="AA31" s="703"/>
      <c r="AB31" s="703"/>
      <c r="AC31" s="703"/>
      <c r="AD31" s="703"/>
      <c r="AE31" s="703"/>
      <c r="AF31" s="703"/>
      <c r="AG31" s="703"/>
      <c r="AH31" s="703"/>
      <c r="AI31" s="703"/>
    </row>
    <row r="32" spans="2:35">
      <c r="B32" s="703"/>
      <c r="C32" s="703"/>
      <c r="D32" s="703"/>
      <c r="E32" s="703"/>
      <c r="F32" s="703"/>
      <c r="G32" s="703"/>
      <c r="H32" s="703"/>
      <c r="I32" s="703"/>
      <c r="J32" s="703"/>
      <c r="K32" s="703"/>
      <c r="L32" s="564"/>
      <c r="M32" s="564"/>
      <c r="N32" s="564" t="s">
        <v>20</v>
      </c>
      <c r="O32" s="564">
        <f>COUNTIF(S3:S16,"&gt;0")</f>
        <v>2</v>
      </c>
      <c r="P32" s="565">
        <f>O32/$O$34</f>
        <v>0.14285714285714285</v>
      </c>
      <c r="Q32" s="703"/>
      <c r="R32" s="703"/>
      <c r="S32" s="703"/>
      <c r="T32" s="703"/>
      <c r="U32" s="703"/>
      <c r="V32" s="703"/>
      <c r="W32" s="703"/>
      <c r="X32" s="703"/>
      <c r="Y32" s="703"/>
      <c r="Z32" s="703"/>
      <c r="AA32" s="703"/>
      <c r="AB32" s="703"/>
      <c r="AC32" s="703"/>
      <c r="AD32" s="703"/>
      <c r="AE32" s="703"/>
      <c r="AF32" s="703"/>
      <c r="AG32" s="703"/>
      <c r="AH32" s="703"/>
      <c r="AI32" s="703"/>
    </row>
    <row r="33" spans="14:16">
      <c r="N33" s="564" t="s">
        <v>78</v>
      </c>
      <c r="O33" s="564">
        <f>O34-SUM(O30:O32)</f>
        <v>0</v>
      </c>
      <c r="P33" s="565">
        <f>O33/$O$34</f>
        <v>0</v>
      </c>
    </row>
    <row r="34" spans="14:16">
      <c r="N34" s="564"/>
      <c r="O34" s="564">
        <f>COUNTA(B3:B16)</f>
        <v>14</v>
      </c>
      <c r="P34" s="566">
        <f>SUM(P30:P33)</f>
        <v>1</v>
      </c>
    </row>
  </sheetData>
  <autoFilter ref="E2:G23" xr:uid="{20B7BDAC-08E2-469E-9A7B-0412E0F2BEED}"/>
  <customSheetViews>
    <customSheetView guid="{0FAFE012-8D9E-4ED0-86A4-A997E430971B}" showAutoFilter="1" hiddenColumns="1">
      <pane xSplit="2" topLeftCell="D1" activePane="topRight" state="frozen"/>
      <selection pane="topRight" activeCell="L34" sqref="L34"/>
      <pageMargins left="0.7" right="0.7" top="0.75" bottom="0.75" header="0.3" footer="0.3"/>
      <pageSetup paperSize="9" orientation="portrait" horizontalDpi="300" verticalDpi="300" r:id="rId1"/>
      <autoFilter ref="E2:G23" xr:uid="{D4344C04-F2AA-4445-AD88-BC91CD26C410}"/>
    </customSheetView>
  </customSheetViews>
  <mergeCells count="2">
    <mergeCell ref="N1:S1"/>
    <mergeCell ref="AD1:AI1"/>
  </mergeCells>
  <conditionalFormatting sqref="K3:K16">
    <cfRule type="colorScale" priority="118">
      <colorScale>
        <cfvo type="min"/>
        <cfvo type="percentile" val="50"/>
        <cfvo type="max"/>
        <color rgb="FF63BE7B"/>
        <color theme="0"/>
        <color rgb="FFF8696B"/>
      </colorScale>
    </cfRule>
  </conditionalFormatting>
  <conditionalFormatting sqref="L3:L16">
    <cfRule type="colorScale" priority="120">
      <colorScale>
        <cfvo type="min"/>
        <cfvo type="percentile" val="50"/>
        <cfvo type="max"/>
        <color rgb="FF63BE7B"/>
        <color theme="0"/>
        <color rgb="FFF8696B"/>
      </colorScale>
    </cfRule>
  </conditionalFormatting>
  <conditionalFormatting sqref="O3:O16">
    <cfRule type="colorScale" priority="122">
      <colorScale>
        <cfvo type="min"/>
        <cfvo type="percentile" val="50"/>
        <cfvo type="max"/>
        <color rgb="FFF8696B"/>
        <color theme="0"/>
        <color rgb="FF63BE7B"/>
      </colorScale>
    </cfRule>
  </conditionalFormatting>
  <conditionalFormatting sqref="T3:T16">
    <cfRule type="cellIs" dxfId="98" priority="5" operator="equal">
      <formula>"No"</formula>
    </cfRule>
    <cfRule type="cellIs" dxfId="97" priority="6" operator="equal">
      <formula>"Underway"</formula>
    </cfRule>
    <cfRule type="cellIs" dxfId="96" priority="7" operator="equal">
      <formula>"N/A"</formula>
    </cfRule>
    <cfRule type="cellIs" dxfId="95" priority="8" operator="equal">
      <formula>"Yes"</formula>
    </cfRule>
  </conditionalFormatting>
  <conditionalFormatting sqref="X3:AA16">
    <cfRule type="cellIs" dxfId="94" priority="1" operator="equal">
      <formula>"Black"</formula>
    </cfRule>
    <cfRule type="cellIs" dxfId="93" priority="2" operator="equal">
      <formula>"100% renewable"</formula>
    </cfRule>
  </conditionalFormatting>
  <conditionalFormatting sqref="AE3:AH16">
    <cfRule type="colorScale" priority="124">
      <colorScale>
        <cfvo type="min"/>
        <cfvo type="percentile" val="50"/>
        <cfvo type="max"/>
        <color rgb="FFF8696B"/>
        <color theme="0"/>
        <color rgb="FF63BE7B"/>
      </colorScale>
    </cfRule>
    <cfRule type="colorScale" priority="125">
      <colorScale>
        <cfvo type="min"/>
        <cfvo type="percentile" val="50"/>
        <cfvo type="max"/>
        <color rgb="FFFF0000"/>
        <color rgb="FFFFC000"/>
        <color rgb="FF00B050"/>
      </colorScale>
    </cfRule>
    <cfRule type="colorScale" priority="126">
      <colorScale>
        <cfvo type="min"/>
        <cfvo type="percentile" val="50"/>
        <cfvo type="max"/>
        <color rgb="FFF8696B"/>
        <color rgb="FFFCFCFF"/>
        <color rgb="FF63BE7B"/>
      </colorScale>
    </cfRule>
  </conditionalFormatting>
  <conditionalFormatting sqref="AI3:AI16">
    <cfRule type="colorScale" priority="130">
      <colorScale>
        <cfvo type="min"/>
        <cfvo type="percentile" val="50"/>
        <cfvo type="max"/>
        <color rgb="FFF8696B"/>
        <color theme="0"/>
        <color rgb="FF63BE7B"/>
      </colorScale>
    </cfRule>
    <cfRule type="colorScale" priority="131">
      <colorScale>
        <cfvo type="min"/>
        <cfvo type="percentile" val="50"/>
        <cfvo type="max"/>
        <color rgb="FFFF0000"/>
        <color rgb="FFFFC000"/>
        <color rgb="FF00B050"/>
      </colorScale>
    </cfRule>
    <cfRule type="colorScale" priority="132">
      <colorScale>
        <cfvo type="min"/>
        <cfvo type="percentile" val="50"/>
        <cfvo type="max"/>
        <color rgb="FFF8696B"/>
        <color rgb="FFFCFCFF"/>
        <color rgb="FF63BE7B"/>
      </colorScale>
    </cfRule>
  </conditionalFormatting>
  <pageMargins left="0.7" right="0.7" top="0.75" bottom="0.75" header="0.3" footer="0.3"/>
  <pageSetup paperSize="9" orientation="portrait" horizontalDpi="300" verticalDpi="3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A8208-9179-434F-9D89-BEBF9A1927CD}">
  <sheetPr codeName="Sheet70"/>
  <dimension ref="A1:AH25"/>
  <sheetViews>
    <sheetView zoomScaleNormal="100" workbookViewId="0">
      <pane xSplit="2" topLeftCell="W1" activePane="topRight" state="frozen"/>
      <selection pane="topRight" activeCell="AI1" sqref="AI1:AI6"/>
    </sheetView>
  </sheetViews>
  <sheetFormatPr defaultColWidth="9.1796875" defaultRowHeight="14"/>
  <cols>
    <col min="1" max="1" width="9.1796875" style="583"/>
    <col min="2" max="2" width="30.453125" style="583" customWidth="1"/>
    <col min="3" max="3" width="12" style="583" customWidth="1"/>
    <col min="4" max="4" width="14.7265625" style="583" customWidth="1"/>
    <col min="5" max="5" width="13" style="583" customWidth="1"/>
    <col min="6" max="6" width="10.81640625" style="583" customWidth="1"/>
    <col min="7" max="12" width="13.1796875" style="583" customWidth="1"/>
    <col min="13" max="13" width="13.1796875" style="583" hidden="1" customWidth="1"/>
    <col min="14" max="15" width="16" style="583" customWidth="1"/>
    <col min="16" max="16" width="43.54296875" style="583" customWidth="1"/>
    <col min="17" max="18" width="13.7265625" style="583" customWidth="1"/>
    <col min="19" max="19" width="15.81640625" style="583" customWidth="1"/>
    <col min="20" max="20" width="17.453125" style="583" customWidth="1"/>
    <col min="21" max="21" width="16.453125" style="583" customWidth="1"/>
    <col min="22" max="22" width="14.81640625" style="583" customWidth="1"/>
    <col min="23" max="23" width="31.54296875" style="583" customWidth="1"/>
    <col min="24" max="26" width="17.1796875" style="583" customWidth="1"/>
    <col min="27" max="27" width="16.26953125" style="583" customWidth="1"/>
    <col min="28" max="28" width="19.453125" style="583" customWidth="1"/>
    <col min="29" max="29" width="25.81640625" style="583" customWidth="1"/>
    <col min="30" max="31" width="16.81640625" style="583" customWidth="1"/>
    <col min="32" max="32" width="17.1796875" style="583" customWidth="1"/>
    <col min="33" max="33" width="8.54296875" style="583" customWidth="1"/>
    <col min="34" max="34" width="15.81640625" style="583" customWidth="1"/>
    <col min="35" max="35" width="12.81640625" style="583" customWidth="1"/>
    <col min="36" max="36" width="14.26953125" style="583" customWidth="1"/>
    <col min="37" max="37" width="8.7265625" style="583" customWidth="1"/>
    <col min="38" max="16384" width="9.1796875" style="583"/>
  </cols>
  <sheetData>
    <row r="1" spans="1:34" ht="38.25" customHeight="1" thickBot="1">
      <c r="A1" s="703"/>
      <c r="B1" s="703"/>
      <c r="C1" s="703"/>
      <c r="D1" s="703"/>
      <c r="E1" s="703" t="s">
        <v>0</v>
      </c>
      <c r="F1" s="703"/>
      <c r="G1" s="703"/>
      <c r="H1" s="703" t="s">
        <v>1</v>
      </c>
      <c r="I1" s="703"/>
      <c r="J1" s="703"/>
      <c r="K1" s="703"/>
      <c r="L1" s="703"/>
      <c r="M1" s="703"/>
      <c r="N1" s="966" t="s">
        <v>2</v>
      </c>
      <c r="O1" s="967"/>
      <c r="P1" s="967"/>
      <c r="Q1" s="967"/>
      <c r="R1" s="967"/>
      <c r="S1" s="968"/>
      <c r="T1" s="704" t="s">
        <v>3</v>
      </c>
      <c r="U1" s="705"/>
      <c r="V1" s="706"/>
      <c r="W1" s="703" t="s">
        <v>4</v>
      </c>
      <c r="X1" s="703"/>
      <c r="Y1" s="703"/>
      <c r="Z1" s="703"/>
      <c r="AA1" s="703"/>
      <c r="AB1" s="703"/>
      <c r="AC1" s="966" t="s">
        <v>5</v>
      </c>
      <c r="AD1" s="967"/>
      <c r="AE1" s="967"/>
      <c r="AF1" s="967"/>
      <c r="AG1" s="967"/>
      <c r="AH1" s="968"/>
    </row>
    <row r="2" spans="1:34" ht="43.5" customHeight="1" thickTop="1" thickBot="1">
      <c r="A2" s="215" t="s">
        <v>6</v>
      </c>
      <c r="B2" s="215" t="s">
        <v>7</v>
      </c>
      <c r="C2" s="215" t="s">
        <v>8</v>
      </c>
      <c r="D2" s="215" t="s">
        <v>9</v>
      </c>
      <c r="E2" s="242" t="s">
        <v>10</v>
      </c>
      <c r="F2" s="242" t="s">
        <v>11</v>
      </c>
      <c r="G2" s="242" t="s">
        <v>12</v>
      </c>
      <c r="H2" s="242" t="s">
        <v>10</v>
      </c>
      <c r="I2" s="242" t="s">
        <v>11</v>
      </c>
      <c r="J2" s="242" t="s">
        <v>12</v>
      </c>
      <c r="K2" s="242" t="s">
        <v>13</v>
      </c>
      <c r="L2" s="242" t="s">
        <v>14</v>
      </c>
      <c r="M2" s="242"/>
      <c r="N2" s="244" t="s">
        <v>15</v>
      </c>
      <c r="O2" s="215" t="s">
        <v>16</v>
      </c>
      <c r="P2" s="215" t="s">
        <v>17</v>
      </c>
      <c r="Q2" s="215" t="s">
        <v>18</v>
      </c>
      <c r="R2" s="215" t="s">
        <v>19</v>
      </c>
      <c r="S2" s="248" t="s">
        <v>20</v>
      </c>
      <c r="T2" s="255" t="s">
        <v>3</v>
      </c>
      <c r="U2" s="215"/>
      <c r="V2" s="248" t="s">
        <v>22</v>
      </c>
      <c r="W2" s="215" t="s">
        <v>23</v>
      </c>
      <c r="X2" s="215" t="s">
        <v>10</v>
      </c>
      <c r="Y2" s="215" t="s">
        <v>11</v>
      </c>
      <c r="Z2" s="215" t="s">
        <v>12</v>
      </c>
      <c r="AA2" s="215" t="s">
        <v>24</v>
      </c>
      <c r="AB2" s="215" t="s">
        <v>25</v>
      </c>
      <c r="AC2" s="244" t="s">
        <v>26</v>
      </c>
      <c r="AD2" s="242" t="s">
        <v>27</v>
      </c>
      <c r="AE2" s="242"/>
      <c r="AF2" s="242" t="s">
        <v>28</v>
      </c>
      <c r="AG2" s="242"/>
      <c r="AH2" s="245" t="s">
        <v>29</v>
      </c>
    </row>
    <row r="3" spans="1:34" ht="16.5" customHeight="1" thickTop="1">
      <c r="A3" s="227" t="s">
        <v>30</v>
      </c>
      <c r="B3" s="703" t="s">
        <v>42</v>
      </c>
      <c r="C3" s="227" t="s">
        <v>30</v>
      </c>
      <c r="D3" s="584">
        <v>42132</v>
      </c>
      <c r="E3" s="230">
        <v>0.5</v>
      </c>
      <c r="F3" s="230">
        <v>0.25</v>
      </c>
      <c r="G3" s="230">
        <v>1</v>
      </c>
      <c r="H3" s="585">
        <f t="shared" ref="H3:H7" si="0">IF(E3&gt;0,D3,"")</f>
        <v>42132</v>
      </c>
      <c r="I3" s="585">
        <f t="shared" ref="I3:I7" si="1">IF(F3&gt;0,D3,"")</f>
        <v>42132</v>
      </c>
      <c r="J3" s="585">
        <f t="shared" ref="J3:J7" si="2">IF(G3&gt;0,D3,"")</f>
        <v>42132</v>
      </c>
      <c r="K3" s="707">
        <f>'Intensity Summary'!G64</f>
        <v>58.522089141744992</v>
      </c>
      <c r="L3" s="707">
        <f>'Intensity Summary'!G6</f>
        <v>66.860794645400162</v>
      </c>
      <c r="M3" s="586"/>
      <c r="N3" s="701" t="s">
        <v>32</v>
      </c>
      <c r="O3" s="708">
        <v>1</v>
      </c>
      <c r="P3" s="703"/>
      <c r="Q3" s="709">
        <f t="shared" ref="Q3:Q7" si="3">IF(N3="Yes",D3,0)</f>
        <v>42132</v>
      </c>
      <c r="R3" s="709">
        <f t="shared" ref="R3:R7" si="4">IF(N3="New",D3,IF(N3="Strategic",D3,0))</f>
        <v>0</v>
      </c>
      <c r="S3" s="710">
        <f t="shared" ref="S3:S7" si="5">IF(N3="Underway",D3,0)</f>
        <v>0</v>
      </c>
      <c r="T3" s="716" t="s">
        <v>32</v>
      </c>
      <c r="U3" s="709">
        <f t="shared" ref="U3:U7" si="6">IF(T3="Yes",D3,IF(T3="N/A",D3,IF(T3="Underway",D3,IF(T3="Strategic",D3,0))))</f>
        <v>42132</v>
      </c>
      <c r="V3" s="717" t="s">
        <v>91</v>
      </c>
      <c r="W3" s="708" t="s">
        <v>34</v>
      </c>
      <c r="X3" s="713">
        <f t="shared" ref="X3:X7" si="7">IF(AND(E3&gt;0,W3="100% renewable"),D3,"")</f>
        <v>42132</v>
      </c>
      <c r="Y3" s="713">
        <f t="shared" ref="Y3:Y7" si="8">IF(AND(F3&gt;0,W3="100% renewable"),D3,"")</f>
        <v>42132</v>
      </c>
      <c r="Z3" s="713">
        <f t="shared" ref="Z3:Z7" si="9">IF(AND(G3&gt;0,W3="100% renewable"),D3,"")</f>
        <v>42132</v>
      </c>
      <c r="AA3" s="703">
        <f t="shared" ref="AA3:AA7" si="10">IF(W3="100% renewable",AB3,0)</f>
        <v>2816.9789999999998</v>
      </c>
      <c r="AB3" s="714">
        <f>'Footprint Summary'!G6</f>
        <v>2816.9789999999998</v>
      </c>
      <c r="AC3" s="701" t="s">
        <v>35</v>
      </c>
      <c r="AD3" s="715">
        <v>1</v>
      </c>
      <c r="AE3" s="713">
        <f t="shared" ref="AE3:AE7" si="11">AD3*D3</f>
        <v>42132</v>
      </c>
      <c r="AF3" s="715"/>
      <c r="AG3" s="713">
        <f t="shared" ref="AG3:AG7" si="12">AF3*D3</f>
        <v>0</v>
      </c>
      <c r="AH3" s="708">
        <f t="shared" ref="AH3:AH7" si="13">(AG3+AE3)/D3</f>
        <v>1</v>
      </c>
    </row>
    <row r="4" spans="1:34" ht="16.5" customHeight="1">
      <c r="A4" s="227" t="s">
        <v>30</v>
      </c>
      <c r="B4" s="703" t="s">
        <v>92</v>
      </c>
      <c r="C4" s="227" t="s">
        <v>30</v>
      </c>
      <c r="D4" s="584">
        <v>26819</v>
      </c>
      <c r="E4" s="230">
        <v>0</v>
      </c>
      <c r="F4" s="230">
        <v>1</v>
      </c>
      <c r="G4" s="230">
        <v>1</v>
      </c>
      <c r="H4" s="585" t="str">
        <f t="shared" si="0"/>
        <v/>
      </c>
      <c r="I4" s="585">
        <f t="shared" si="1"/>
        <v>26819</v>
      </c>
      <c r="J4" s="585">
        <f t="shared" si="2"/>
        <v>26819</v>
      </c>
      <c r="K4" s="707">
        <f>'Intensity Summary'!G69</f>
        <v>45.971223533315943</v>
      </c>
      <c r="L4" s="707">
        <f>'Intensity Summary'!G11</f>
        <v>55.326596815690372</v>
      </c>
      <c r="M4" s="586"/>
      <c r="N4" s="701" t="s">
        <v>32</v>
      </c>
      <c r="O4" s="708">
        <v>1</v>
      </c>
      <c r="P4" s="703"/>
      <c r="Q4" s="709">
        <f t="shared" si="3"/>
        <v>26819</v>
      </c>
      <c r="R4" s="709">
        <f t="shared" si="4"/>
        <v>0</v>
      </c>
      <c r="S4" s="710">
        <f t="shared" si="5"/>
        <v>0</v>
      </c>
      <c r="T4" s="716" t="s">
        <v>32</v>
      </c>
      <c r="U4" s="709">
        <f t="shared" si="6"/>
        <v>26819</v>
      </c>
      <c r="V4" s="717"/>
      <c r="W4" s="708" t="s">
        <v>34</v>
      </c>
      <c r="X4" s="713" t="str">
        <f t="shared" si="7"/>
        <v/>
      </c>
      <c r="Y4" s="713">
        <f t="shared" si="8"/>
        <v>26819</v>
      </c>
      <c r="Z4" s="713">
        <f t="shared" si="9"/>
        <v>26819</v>
      </c>
      <c r="AA4" s="703">
        <f t="shared" si="10"/>
        <v>1483.8040000000001</v>
      </c>
      <c r="AB4" s="714">
        <f>'Footprint Summary'!G11</f>
        <v>1483.8040000000001</v>
      </c>
      <c r="AC4" s="701" t="s">
        <v>53</v>
      </c>
      <c r="AD4" s="715">
        <v>1</v>
      </c>
      <c r="AE4" s="713">
        <f t="shared" si="11"/>
        <v>26819</v>
      </c>
      <c r="AF4" s="715"/>
      <c r="AG4" s="713">
        <f t="shared" si="12"/>
        <v>0</v>
      </c>
      <c r="AH4" s="708">
        <f t="shared" si="13"/>
        <v>1</v>
      </c>
    </row>
    <row r="5" spans="1:34" ht="16.5" customHeight="1">
      <c r="A5" s="227" t="s">
        <v>37</v>
      </c>
      <c r="B5" s="703" t="s">
        <v>55</v>
      </c>
      <c r="C5" s="227" t="s">
        <v>37</v>
      </c>
      <c r="D5" s="584">
        <v>55051</v>
      </c>
      <c r="E5" s="230">
        <v>0.5</v>
      </c>
      <c r="F5" s="230">
        <v>0.5</v>
      </c>
      <c r="G5" s="230">
        <v>1</v>
      </c>
      <c r="H5" s="585">
        <f t="shared" si="0"/>
        <v>55051</v>
      </c>
      <c r="I5" s="585">
        <f t="shared" si="1"/>
        <v>55051</v>
      </c>
      <c r="J5" s="585">
        <f t="shared" si="2"/>
        <v>55051</v>
      </c>
      <c r="K5" s="707">
        <f>'Intensity Summary'!G72</f>
        <v>26.485311025231148</v>
      </c>
      <c r="L5" s="707">
        <f>'Intensity Summary'!G14</f>
        <v>23.219623621732577</v>
      </c>
      <c r="M5" s="586"/>
      <c r="N5" s="701" t="s">
        <v>32</v>
      </c>
      <c r="O5" s="708">
        <v>1</v>
      </c>
      <c r="P5" s="703"/>
      <c r="Q5" s="709">
        <f t="shared" si="3"/>
        <v>55051</v>
      </c>
      <c r="R5" s="709">
        <f t="shared" si="4"/>
        <v>0</v>
      </c>
      <c r="S5" s="710">
        <f t="shared" si="5"/>
        <v>0</v>
      </c>
      <c r="T5" s="716" t="s">
        <v>32</v>
      </c>
      <c r="U5" s="709">
        <f t="shared" si="6"/>
        <v>55051</v>
      </c>
      <c r="V5" s="717"/>
      <c r="W5" s="708" t="s">
        <v>41</v>
      </c>
      <c r="X5" s="713" t="str">
        <f t="shared" si="7"/>
        <v/>
      </c>
      <c r="Y5" s="713" t="str">
        <f t="shared" si="8"/>
        <v/>
      </c>
      <c r="Z5" s="713" t="str">
        <f t="shared" si="9"/>
        <v/>
      </c>
      <c r="AA5" s="703">
        <f t="shared" si="10"/>
        <v>0</v>
      </c>
      <c r="AB5" s="714">
        <f>'Footprint Summary'!G14</f>
        <v>1278.2635</v>
      </c>
      <c r="AC5" s="701" t="s">
        <v>53</v>
      </c>
      <c r="AD5" s="715">
        <v>1</v>
      </c>
      <c r="AE5" s="713">
        <f t="shared" si="11"/>
        <v>55051</v>
      </c>
      <c r="AF5" s="715"/>
      <c r="AG5" s="713">
        <f t="shared" si="12"/>
        <v>0</v>
      </c>
      <c r="AH5" s="708">
        <f t="shared" si="13"/>
        <v>1</v>
      </c>
    </row>
    <row r="6" spans="1:34" ht="16.5" customHeight="1">
      <c r="A6" s="227" t="s">
        <v>30</v>
      </c>
      <c r="B6" s="739" t="s">
        <v>93</v>
      </c>
      <c r="C6" s="227" t="s">
        <v>30</v>
      </c>
      <c r="D6" s="584">
        <v>20404</v>
      </c>
      <c r="E6" s="230">
        <v>0</v>
      </c>
      <c r="F6" s="230">
        <v>1</v>
      </c>
      <c r="G6" s="230">
        <v>1</v>
      </c>
      <c r="H6" s="585" t="str">
        <f t="shared" si="0"/>
        <v/>
      </c>
      <c r="I6" s="585">
        <f t="shared" si="1"/>
        <v>20404</v>
      </c>
      <c r="J6" s="585">
        <f t="shared" si="2"/>
        <v>20404</v>
      </c>
      <c r="K6" s="707">
        <f>'Intensity Summary'!G74</f>
        <v>43.202465609684381</v>
      </c>
      <c r="L6" s="707">
        <f>'Intensity Summary'!G16</f>
        <v>51.914673593413056</v>
      </c>
      <c r="M6" s="586"/>
      <c r="N6" s="701" t="s">
        <v>57</v>
      </c>
      <c r="O6" s="708">
        <v>0</v>
      </c>
      <c r="P6" s="703" t="s">
        <v>58</v>
      </c>
      <c r="Q6" s="709">
        <f t="shared" si="3"/>
        <v>0</v>
      </c>
      <c r="R6" s="709">
        <f t="shared" si="4"/>
        <v>20404</v>
      </c>
      <c r="S6" s="710">
        <f t="shared" si="5"/>
        <v>0</v>
      </c>
      <c r="T6" s="716" t="s">
        <v>32</v>
      </c>
      <c r="U6" s="709">
        <f t="shared" si="6"/>
        <v>20404</v>
      </c>
      <c r="V6" s="717" t="s">
        <v>94</v>
      </c>
      <c r="W6" s="708" t="s">
        <v>34</v>
      </c>
      <c r="X6" s="713" t="str">
        <f t="shared" si="7"/>
        <v/>
      </c>
      <c r="Y6" s="713">
        <f t="shared" si="8"/>
        <v>20404</v>
      </c>
      <c r="Z6" s="713">
        <f t="shared" si="9"/>
        <v>20404</v>
      </c>
      <c r="AA6" s="703">
        <f t="shared" si="10"/>
        <v>1059.2670000000001</v>
      </c>
      <c r="AB6" s="714">
        <f>'Footprint Summary'!G16</f>
        <v>1059.2670000000001</v>
      </c>
      <c r="AC6" s="701" t="s">
        <v>53</v>
      </c>
      <c r="AD6" s="715">
        <v>1</v>
      </c>
      <c r="AE6" s="713">
        <f t="shared" si="11"/>
        <v>20404</v>
      </c>
      <c r="AF6" s="715"/>
      <c r="AG6" s="713">
        <f t="shared" si="12"/>
        <v>0</v>
      </c>
      <c r="AH6" s="708">
        <f t="shared" si="13"/>
        <v>1</v>
      </c>
    </row>
    <row r="7" spans="1:34" ht="16.5" customHeight="1">
      <c r="A7" s="227" t="s">
        <v>66</v>
      </c>
      <c r="B7" s="703" t="s">
        <v>95</v>
      </c>
      <c r="C7" s="227" t="s">
        <v>66</v>
      </c>
      <c r="D7" s="584">
        <v>41253</v>
      </c>
      <c r="E7" s="230">
        <v>0</v>
      </c>
      <c r="F7" s="230">
        <v>0.5</v>
      </c>
      <c r="G7" s="230">
        <v>0</v>
      </c>
      <c r="H7" s="585" t="str">
        <f t="shared" si="0"/>
        <v/>
      </c>
      <c r="I7" s="585">
        <f t="shared" si="1"/>
        <v>41253</v>
      </c>
      <c r="J7" s="585" t="str">
        <f t="shared" si="2"/>
        <v/>
      </c>
      <c r="K7" s="707">
        <f>'Intensity Summary'!G80</f>
        <v>50.209010738612953</v>
      </c>
      <c r="L7" s="707">
        <f>'Intensity Summary'!G22</f>
        <v>57.520398516471531</v>
      </c>
      <c r="M7" s="586"/>
      <c r="N7" s="701" t="s">
        <v>57</v>
      </c>
      <c r="O7" s="708">
        <v>0</v>
      </c>
      <c r="P7" s="703" t="s">
        <v>96</v>
      </c>
      <c r="Q7" s="709">
        <f t="shared" si="3"/>
        <v>0</v>
      </c>
      <c r="R7" s="709">
        <f t="shared" si="4"/>
        <v>41253</v>
      </c>
      <c r="S7" s="710">
        <f t="shared" si="5"/>
        <v>0</v>
      </c>
      <c r="T7" s="716" t="s">
        <v>59</v>
      </c>
      <c r="U7" s="709">
        <f t="shared" si="6"/>
        <v>0</v>
      </c>
      <c r="V7" s="717"/>
      <c r="W7" s="708" t="s">
        <v>41</v>
      </c>
      <c r="X7" s="713" t="str">
        <f t="shared" si="7"/>
        <v/>
      </c>
      <c r="Y7" s="713" t="str">
        <f t="shared" si="8"/>
        <v/>
      </c>
      <c r="Z7" s="713" t="str">
        <f t="shared" si="9"/>
        <v/>
      </c>
      <c r="AA7" s="703">
        <f t="shared" si="10"/>
        <v>0</v>
      </c>
      <c r="AB7" s="714">
        <f>'Footprint Summary'!G22</f>
        <v>2372.8890000000001</v>
      </c>
      <c r="AC7" s="701" t="s">
        <v>53</v>
      </c>
      <c r="AD7" s="715">
        <v>1</v>
      </c>
      <c r="AE7" s="713">
        <f t="shared" si="11"/>
        <v>41253</v>
      </c>
      <c r="AF7" s="715"/>
      <c r="AG7" s="713">
        <f t="shared" si="12"/>
        <v>0</v>
      </c>
      <c r="AH7" s="708">
        <f t="shared" si="13"/>
        <v>1</v>
      </c>
    </row>
    <row r="8" spans="1:34" ht="16.5" customHeight="1" thickBot="1">
      <c r="A8" s="703"/>
      <c r="B8" s="703"/>
      <c r="C8" s="703"/>
      <c r="D8" s="234">
        <f>SUBTOTAL(109,D3:D7)</f>
        <v>185659</v>
      </c>
      <c r="E8" s="235"/>
      <c r="F8" s="235"/>
      <c r="G8" s="720"/>
      <c r="H8" s="721">
        <f>SUM(H3:H7)</f>
        <v>97183</v>
      </c>
      <c r="I8" s="721">
        <f>SUM(I3:I7)</f>
        <v>185659</v>
      </c>
      <c r="J8" s="721">
        <f>SUM(J3:J7)</f>
        <v>144406</v>
      </c>
      <c r="K8" s="720"/>
      <c r="L8" s="720"/>
      <c r="M8" s="720"/>
      <c r="N8" s="720" t="s">
        <v>18</v>
      </c>
      <c r="O8" s="722">
        <f>SUBTOTAL(109,Q3:Q7)</f>
        <v>124002</v>
      </c>
      <c r="P8" s="235"/>
      <c r="Q8" s="723" t="s">
        <v>97</v>
      </c>
      <c r="R8" s="723">
        <f>SUBTOTAL(109,R3:R7)/D8</f>
        <v>0.33209809381715943</v>
      </c>
      <c r="S8" s="724">
        <f>SUBTOTAL(109,S3:S7)/D8</f>
        <v>0</v>
      </c>
      <c r="T8" s="587">
        <f>U8/D8</f>
        <v>0.77780231499684904</v>
      </c>
      <c r="U8" s="725">
        <f>SUM(U3:U7)</f>
        <v>144406</v>
      </c>
      <c r="V8" s="264">
        <f>T8/D8</f>
        <v>4.1894134676845668E-6</v>
      </c>
      <c r="W8" s="727">
        <f>SUBTOTAL(109,AB3:AB7)</f>
        <v>9011.2024999999994</v>
      </c>
      <c r="X8" s="721">
        <f>SUM(X3:X7)</f>
        <v>42132</v>
      </c>
      <c r="Y8" s="721">
        <f>SUM(Y3:Y7)</f>
        <v>89355</v>
      </c>
      <c r="Z8" s="721">
        <f>SUM(Z3:Z7)</f>
        <v>89355</v>
      </c>
      <c r="AA8" s="588">
        <f>SUBTOTAL(109,AA3:AA7)</f>
        <v>5360.0499999999993</v>
      </c>
      <c r="AB8" s="703"/>
      <c r="AC8" s="589">
        <f>SUBTOTAL(109,AE3:AE7)</f>
        <v>185659</v>
      </c>
      <c r="AD8" s="720"/>
      <c r="AE8" s="720"/>
      <c r="AF8" s="263">
        <f>SUBTOTAL(109,AG3:AG7)</f>
        <v>0</v>
      </c>
      <c r="AG8" s="720"/>
      <c r="AH8" s="264">
        <f>SUM(AC8+AF8)/D8</f>
        <v>1</v>
      </c>
    </row>
    <row r="9" spans="1:34" ht="16.5" customHeight="1" thickTop="1">
      <c r="A9" s="703"/>
      <c r="B9" s="728"/>
      <c r="C9" s="728" t="s">
        <v>69</v>
      </c>
      <c r="D9" s="729" t="e">
        <f>#REF!+#REF!+#REF!+#REF!+D7+#REF!+D6</f>
        <v>#REF!</v>
      </c>
      <c r="E9" s="703"/>
      <c r="F9" s="703"/>
      <c r="G9" s="703"/>
      <c r="H9" s="703"/>
      <c r="I9" s="703"/>
      <c r="J9" s="703"/>
      <c r="K9" s="703"/>
      <c r="L9" s="564" t="s">
        <v>70</v>
      </c>
      <c r="M9" s="703"/>
      <c r="N9" s="703" t="s">
        <v>71</v>
      </c>
      <c r="O9" s="709">
        <f>SUBTOTAL(109,R3:R7)</f>
        <v>61657</v>
      </c>
      <c r="P9" s="703"/>
      <c r="Q9" s="730">
        <f>SUM(Q3:Q7)</f>
        <v>124002</v>
      </c>
      <c r="R9" s="731" t="e">
        <f>R8+Q8</f>
        <v>#VALUE!</v>
      </c>
      <c r="S9" s="731">
        <f>SUM(Q8:S8)</f>
        <v>0.33209809381715943</v>
      </c>
      <c r="T9" s="703" t="s">
        <v>72</v>
      </c>
      <c r="U9" s="729" t="e">
        <f>SUM(#REF!,U3,#REF!,U4:U5,U6,#REF!,#REF!,#REF!)</f>
        <v>#REF!</v>
      </c>
      <c r="V9" s="565" t="e">
        <f>U9/(U9+U10+U12)</f>
        <v>#REF!</v>
      </c>
      <c r="W9" s="732">
        <f>AA8/W8</f>
        <v>0.59482072453704149</v>
      </c>
      <c r="X9" s="733"/>
      <c r="Y9" s="733"/>
      <c r="Z9" s="733"/>
      <c r="AA9" s="703"/>
      <c r="AB9" s="703"/>
      <c r="AC9" s="703" t="s">
        <v>73</v>
      </c>
      <c r="AD9" s="703"/>
      <c r="AE9" s="703"/>
      <c r="AF9" s="703"/>
      <c r="AG9" s="703"/>
      <c r="AH9" s="731">
        <v>0.7</v>
      </c>
    </row>
    <row r="10" spans="1:34" ht="16.5" customHeight="1">
      <c r="A10" s="703"/>
      <c r="B10" s="728"/>
      <c r="C10" s="728" t="s">
        <v>74</v>
      </c>
      <c r="D10" s="569" t="e">
        <f>D8-D9</f>
        <v>#REF!</v>
      </c>
      <c r="E10" s="703"/>
      <c r="F10" s="703"/>
      <c r="G10" s="703"/>
      <c r="H10" s="703"/>
      <c r="I10" s="703"/>
      <c r="J10" s="703"/>
      <c r="K10" s="703"/>
      <c r="L10" s="703"/>
      <c r="M10" s="703"/>
      <c r="N10" s="703" t="s">
        <v>20</v>
      </c>
      <c r="O10" s="709">
        <f>SUBTOTAL(109,S3:S7)</f>
        <v>0</v>
      </c>
      <c r="P10" s="703"/>
      <c r="Q10" s="703" t="s">
        <v>75</v>
      </c>
      <c r="R10" s="703"/>
      <c r="S10" s="734"/>
      <c r="T10" s="703" t="s">
        <v>20</v>
      </c>
      <c r="U10" s="735" t="e">
        <f>#REF!+#REF!</f>
        <v>#REF!</v>
      </c>
      <c r="V10" s="565" t="e">
        <f>U10/(U9+U10+U12)</f>
        <v>#REF!</v>
      </c>
      <c r="W10" s="733"/>
      <c r="X10" s="733"/>
      <c r="Y10" s="733"/>
      <c r="Z10" s="733"/>
      <c r="AA10" s="703"/>
      <c r="AB10" s="703"/>
      <c r="AC10" s="703"/>
      <c r="AD10" s="703"/>
      <c r="AE10" s="703"/>
      <c r="AF10" s="703"/>
      <c r="AG10" s="703"/>
      <c r="AH10" s="703"/>
    </row>
    <row r="11" spans="1:34" ht="16.5" customHeight="1">
      <c r="A11" s="703"/>
      <c r="B11" s="564" t="s">
        <v>76</v>
      </c>
      <c r="C11" s="728" t="s">
        <v>77</v>
      </c>
      <c r="D11" s="729">
        <f>O8</f>
        <v>124002</v>
      </c>
      <c r="E11" s="731" t="e">
        <f>D11/D10</f>
        <v>#REF!</v>
      </c>
      <c r="F11" s="703"/>
      <c r="G11" s="703"/>
      <c r="H11" s="703"/>
      <c r="I11" s="703"/>
      <c r="J11" s="703"/>
      <c r="K11" s="703"/>
      <c r="L11" s="703"/>
      <c r="M11" s="703"/>
      <c r="N11" s="703" t="s">
        <v>78</v>
      </c>
      <c r="O11" s="735">
        <f>D8-SUM(O8:O10)</f>
        <v>0</v>
      </c>
      <c r="P11" s="703"/>
      <c r="Q11" s="703"/>
      <c r="R11" s="703"/>
      <c r="S11" s="703"/>
      <c r="T11" s="703" t="s">
        <v>79</v>
      </c>
      <c r="U11" s="735" t="e">
        <f>#REF!+#REF!+#REF!+#REF!+U7+#REF!+#REF!+#REF!</f>
        <v>#REF!</v>
      </c>
      <c r="V11" s="564"/>
      <c r="W11" s="733"/>
      <c r="X11" s="733"/>
      <c r="Y11" s="733"/>
      <c r="Z11" s="733"/>
      <c r="AA11" s="703"/>
      <c r="AB11" s="703"/>
      <c r="AC11" s="703"/>
      <c r="AD11" s="703"/>
      <c r="AE11" s="703"/>
      <c r="AF11" s="703"/>
      <c r="AG11" s="703"/>
      <c r="AH11" s="703"/>
    </row>
    <row r="12" spans="1:34" ht="16.5" customHeight="1">
      <c r="A12" s="703"/>
      <c r="B12" s="217"/>
      <c r="C12" s="217" t="s">
        <v>80</v>
      </c>
      <c r="D12" s="568" t="e">
        <f>O18-#REF!</f>
        <v>#REF!</v>
      </c>
      <c r="E12" s="731" t="e">
        <f>D12/D10</f>
        <v>#REF!</v>
      </c>
      <c r="F12" s="703"/>
      <c r="G12" s="703"/>
      <c r="H12" s="703"/>
      <c r="I12" s="703"/>
      <c r="J12" s="703"/>
      <c r="K12" s="703"/>
      <c r="L12" s="703"/>
      <c r="M12" s="703"/>
      <c r="N12" s="703" t="s">
        <v>81</v>
      </c>
      <c r="O12" s="731">
        <f>O11/D8</f>
        <v>0</v>
      </c>
      <c r="P12" s="703"/>
      <c r="Q12" s="703"/>
      <c r="R12" s="703"/>
      <c r="S12" s="703"/>
      <c r="T12" s="703" t="s">
        <v>82</v>
      </c>
      <c r="U12" s="735" t="e">
        <f>#REF!</f>
        <v>#REF!</v>
      </c>
      <c r="V12" s="565" t="e">
        <f>U12/(U9+U10+U12)</f>
        <v>#REF!</v>
      </c>
      <c r="W12" s="733"/>
      <c r="X12" s="733"/>
      <c r="Y12" s="733"/>
      <c r="Z12" s="733"/>
      <c r="AA12" s="703"/>
      <c r="AB12" s="736" t="s">
        <v>83</v>
      </c>
      <c r="AC12" s="260"/>
      <c r="AD12" s="715"/>
      <c r="AE12" s="715"/>
      <c r="AF12" s="703"/>
      <c r="AG12" s="703"/>
      <c r="AH12" s="703"/>
    </row>
    <row r="13" spans="1:34" ht="14.5" thickBot="1">
      <c r="A13" s="703"/>
      <c r="B13" s="703"/>
      <c r="C13" s="703" t="s">
        <v>82</v>
      </c>
      <c r="D13" s="735">
        <f>O19</f>
        <v>0</v>
      </c>
      <c r="E13" s="289" t="e">
        <f>D13/D10</f>
        <v>#REF!</v>
      </c>
      <c r="F13" s="219"/>
      <c r="G13" s="703"/>
      <c r="H13" s="703"/>
      <c r="I13" s="703"/>
      <c r="J13" s="703"/>
      <c r="K13" s="703"/>
      <c r="L13" s="703"/>
      <c r="M13" s="703"/>
      <c r="N13" s="703" t="s">
        <v>84</v>
      </c>
      <c r="O13" s="243">
        <f>SUM(O8:O10)</f>
        <v>185659</v>
      </c>
      <c r="P13" s="703"/>
      <c r="Q13" s="703"/>
      <c r="R13" s="703"/>
      <c r="S13" s="703"/>
      <c r="T13" s="703"/>
      <c r="U13" s="735" t="e">
        <f>SUM(U9:U11)</f>
        <v>#REF!</v>
      </c>
      <c r="V13" s="703"/>
      <c r="W13" s="703"/>
      <c r="X13" s="703"/>
      <c r="Y13" s="703"/>
      <c r="Z13" s="703"/>
      <c r="AA13" s="703"/>
      <c r="AB13" s="737" t="s">
        <v>41</v>
      </c>
      <c r="AC13" s="703"/>
      <c r="AD13" s="715"/>
      <c r="AE13" s="715"/>
      <c r="AF13" s="703"/>
      <c r="AG13" s="703"/>
      <c r="AH13" s="703"/>
    </row>
    <row r="14" spans="1:34" ht="14.5" thickTop="1">
      <c r="A14" s="703"/>
      <c r="B14" s="703"/>
      <c r="C14" s="703"/>
      <c r="D14" s="735"/>
      <c r="E14" s="731" t="e">
        <f>SUM(E11:E13)</f>
        <v>#REF!</v>
      </c>
      <c r="F14" s="735"/>
      <c r="G14" s="703"/>
      <c r="H14" s="703"/>
      <c r="I14" s="703"/>
      <c r="J14" s="703"/>
      <c r="K14" s="703"/>
      <c r="L14" s="703"/>
      <c r="M14" s="703"/>
      <c r="N14" s="703"/>
      <c r="O14" s="703"/>
      <c r="P14" s="703"/>
      <c r="Q14" s="703"/>
      <c r="R14" s="703"/>
      <c r="S14" s="703"/>
      <c r="T14" s="703"/>
      <c r="U14" s="703"/>
      <c r="V14" s="703"/>
      <c r="W14" s="580" t="s">
        <v>85</v>
      </c>
      <c r="X14" s="581"/>
      <c r="Y14" s="581"/>
      <c r="Z14" s="581"/>
      <c r="AA14" s="703"/>
      <c r="AB14" s="703"/>
      <c r="AC14" s="703"/>
      <c r="AD14" s="703"/>
      <c r="AE14" s="703"/>
      <c r="AF14" s="703"/>
      <c r="AG14" s="703"/>
      <c r="AH14" s="703"/>
    </row>
    <row r="15" spans="1:34">
      <c r="A15" s="703"/>
      <c r="B15" s="703"/>
      <c r="C15" s="703"/>
      <c r="D15" s="703"/>
      <c r="E15" s="220"/>
      <c r="F15" s="220"/>
      <c r="G15" s="703"/>
      <c r="H15" s="703"/>
      <c r="I15" s="703"/>
      <c r="J15" s="703"/>
      <c r="K15" s="703"/>
      <c r="L15" s="703"/>
      <c r="M15" s="703"/>
      <c r="N15" s="221"/>
      <c r="O15" s="221"/>
      <c r="P15" s="564" t="s">
        <v>86</v>
      </c>
      <c r="Q15" s="564" t="s">
        <v>87</v>
      </c>
      <c r="R15" s="703"/>
      <c r="S15" s="703"/>
      <c r="T15" s="703"/>
      <c r="U15" s="703"/>
      <c r="V15" s="703"/>
      <c r="W15" s="581"/>
      <c r="X15" s="581" t="s">
        <v>10</v>
      </c>
      <c r="Y15" s="581" t="s">
        <v>11</v>
      </c>
      <c r="Z15" s="581" t="s">
        <v>12</v>
      </c>
      <c r="AA15" s="703"/>
      <c r="AB15" s="703"/>
      <c r="AC15" s="703" t="s">
        <v>12</v>
      </c>
      <c r="AD15" s="703"/>
      <c r="AE15" s="703"/>
      <c r="AF15" s="703"/>
      <c r="AG15" s="703"/>
      <c r="AH15" s="703"/>
    </row>
    <row r="16" spans="1:34">
      <c r="A16" s="703"/>
      <c r="B16" s="703"/>
      <c r="C16" s="703"/>
      <c r="D16" s="703"/>
      <c r="E16" s="703"/>
      <c r="F16" s="703"/>
      <c r="G16" s="703"/>
      <c r="H16" s="703"/>
      <c r="I16" s="703"/>
      <c r="J16" s="703"/>
      <c r="K16" s="703"/>
      <c r="L16" s="703"/>
      <c r="M16" s="703"/>
      <c r="N16" s="703" t="s">
        <v>88</v>
      </c>
      <c r="O16" s="735">
        <f>O8</f>
        <v>124002</v>
      </c>
      <c r="P16" s="738">
        <f>O16/$D$8</f>
        <v>0.66790190618284062</v>
      </c>
      <c r="Q16" s="565">
        <f>P16/(P16+P18+P19)</f>
        <v>1</v>
      </c>
      <c r="R16" s="703"/>
      <c r="S16" s="703"/>
      <c r="T16" s="703"/>
      <c r="U16" s="703"/>
      <c r="V16" s="703"/>
      <c r="W16" s="581" t="s">
        <v>34</v>
      </c>
      <c r="X16" s="582">
        <f>X8/H8</f>
        <v>0.43353261372873858</v>
      </c>
      <c r="Y16" s="582">
        <f>Y8/I8</f>
        <v>0.48128558270808308</v>
      </c>
      <c r="Z16" s="582">
        <f>Z8/J8</f>
        <v>0.61877622813456501</v>
      </c>
      <c r="AA16" s="703"/>
      <c r="AB16" s="703"/>
      <c r="AC16" s="703">
        <f>COUNTIF(W3:W7,"100% renewable")</f>
        <v>3</v>
      </c>
      <c r="AD16" s="703"/>
      <c r="AE16" s="703"/>
      <c r="AF16" s="703"/>
      <c r="AG16" s="703"/>
      <c r="AH16" s="703"/>
    </row>
    <row r="17" spans="12:29">
      <c r="L17" s="703"/>
      <c r="M17" s="703"/>
      <c r="N17" s="703" t="s">
        <v>71</v>
      </c>
      <c r="O17" s="735">
        <f>O9</f>
        <v>61657</v>
      </c>
      <c r="P17" s="738">
        <f>O17/$D$8</f>
        <v>0.33209809381715943</v>
      </c>
      <c r="Q17" s="564"/>
      <c r="R17" s="703"/>
      <c r="S17" s="703"/>
      <c r="T17" s="703"/>
      <c r="U17" s="703"/>
      <c r="V17" s="703"/>
      <c r="W17" s="581" t="s">
        <v>41</v>
      </c>
      <c r="X17" s="581"/>
      <c r="Y17" s="581"/>
      <c r="Z17" s="581"/>
      <c r="AA17" s="703"/>
      <c r="AB17" s="703"/>
      <c r="AC17" s="703">
        <f>COUNTIF(W3:W7,"Black")</f>
        <v>2</v>
      </c>
    </row>
    <row r="18" spans="12:29">
      <c r="L18" s="703"/>
      <c r="M18" s="703"/>
      <c r="N18" s="703" t="s">
        <v>20</v>
      </c>
      <c r="O18" s="735">
        <f>O10</f>
        <v>0</v>
      </c>
      <c r="P18" s="738">
        <f>O18/$D$8</f>
        <v>0</v>
      </c>
      <c r="Q18" s="565">
        <f>P18/(P16+P18+P19)</f>
        <v>0</v>
      </c>
      <c r="R18" s="703"/>
      <c r="S18" s="703"/>
      <c r="T18" s="703"/>
      <c r="U18" s="703"/>
      <c r="V18" s="703"/>
      <c r="W18" s="581"/>
      <c r="X18" s="581"/>
      <c r="Y18" s="581"/>
      <c r="Z18" s="581"/>
      <c r="AA18" s="703"/>
      <c r="AB18" s="703"/>
      <c r="AC18" s="731">
        <f>AC16/(AC16+AC17)</f>
        <v>0.6</v>
      </c>
    </row>
    <row r="19" spans="12:29">
      <c r="L19" s="703"/>
      <c r="M19" s="703"/>
      <c r="N19" s="703" t="s">
        <v>78</v>
      </c>
      <c r="O19" s="735">
        <f>O11</f>
        <v>0</v>
      </c>
      <c r="P19" s="738">
        <f>O19/$D$8</f>
        <v>0</v>
      </c>
      <c r="Q19" s="565">
        <f>P19/(P16+P18+P19)</f>
        <v>0</v>
      </c>
      <c r="R19" s="703"/>
      <c r="S19" s="703"/>
      <c r="T19" s="703"/>
      <c r="U19" s="703"/>
      <c r="V19" s="703"/>
      <c r="W19" s="581"/>
      <c r="X19" s="581" t="s">
        <v>89</v>
      </c>
      <c r="Y19" s="581"/>
      <c r="Z19" s="581"/>
      <c r="AA19" s="703"/>
      <c r="AB19" s="703"/>
      <c r="AC19" s="703"/>
    </row>
    <row r="20" spans="12:29">
      <c r="L20" s="703"/>
      <c r="M20" s="703"/>
      <c r="N20" s="703"/>
      <c r="O20" s="703"/>
      <c r="P20" s="703"/>
      <c r="Q20" s="566">
        <f>SUM(Q16:Q19)</f>
        <v>1</v>
      </c>
      <c r="R20" s="703"/>
      <c r="S20" s="703"/>
      <c r="T20" s="703"/>
      <c r="U20" s="703"/>
      <c r="V20" s="703"/>
      <c r="W20" s="581"/>
      <c r="X20" s="582" t="e">
        <f>X8/(H8-#REF!)</f>
        <v>#REF!</v>
      </c>
      <c r="Y20" s="581"/>
      <c r="Z20" s="581"/>
      <c r="AA20" s="703"/>
      <c r="AB20" s="703"/>
      <c r="AC20" s="703"/>
    </row>
    <row r="21" spans="12:29">
      <c r="L21" s="564" t="s">
        <v>90</v>
      </c>
      <c r="M21" s="564"/>
      <c r="N21" s="564" t="s">
        <v>88</v>
      </c>
      <c r="O21" s="564">
        <f>COUNTIF(Q3:Q7,"&gt;0")</f>
        <v>3</v>
      </c>
      <c r="P21" s="565">
        <f>O21/$O$25</f>
        <v>0.6</v>
      </c>
      <c r="Q21" s="703"/>
      <c r="R21" s="703"/>
      <c r="S21" s="703"/>
      <c r="T21" s="703"/>
      <c r="U21" s="703"/>
      <c r="V21" s="703"/>
      <c r="W21" s="581"/>
      <c r="X21" s="581"/>
      <c r="Y21" s="581"/>
      <c r="Z21" s="581"/>
      <c r="AA21" s="703"/>
      <c r="AB21" s="703"/>
      <c r="AC21" s="703"/>
    </row>
    <row r="22" spans="12:29">
      <c r="L22" s="564"/>
      <c r="M22" s="564"/>
      <c r="N22" s="564" t="s">
        <v>71</v>
      </c>
      <c r="O22" s="564">
        <f>COUNTIF(R3:R7,"&gt;0")</f>
        <v>2</v>
      </c>
      <c r="P22" s="565">
        <f>O22/$O$25</f>
        <v>0.4</v>
      </c>
      <c r="Q22" s="703"/>
      <c r="R22" s="703"/>
      <c r="S22" s="703"/>
      <c r="T22" s="703"/>
      <c r="U22" s="703"/>
      <c r="V22" s="703"/>
      <c r="W22" s="703"/>
      <c r="X22" s="703"/>
      <c r="Y22" s="703"/>
      <c r="Z22" s="703"/>
      <c r="AA22" s="703"/>
      <c r="AB22" s="703"/>
      <c r="AC22" s="703"/>
    </row>
    <row r="23" spans="12:29">
      <c r="L23" s="564"/>
      <c r="M23" s="564"/>
      <c r="N23" s="564" t="s">
        <v>20</v>
      </c>
      <c r="O23" s="564">
        <f>COUNTIF(S3:S7,"&gt;0")</f>
        <v>0</v>
      </c>
      <c r="P23" s="565">
        <f>O23/$O$25</f>
        <v>0</v>
      </c>
      <c r="Q23" s="703"/>
      <c r="R23" s="703"/>
      <c r="S23" s="703"/>
      <c r="T23" s="703"/>
      <c r="U23" s="703"/>
      <c r="V23" s="703"/>
      <c r="W23" s="703"/>
      <c r="X23" s="703"/>
      <c r="Y23" s="703"/>
      <c r="Z23" s="703"/>
      <c r="AA23" s="703"/>
      <c r="AB23" s="703"/>
      <c r="AC23" s="703"/>
    </row>
    <row r="24" spans="12:29">
      <c r="L24" s="564"/>
      <c r="M24" s="564"/>
      <c r="N24" s="564" t="s">
        <v>78</v>
      </c>
      <c r="O24" s="564">
        <f>O25-SUM(O21:O23)</f>
        <v>0</v>
      </c>
      <c r="P24" s="565">
        <f>O24/$O$25</f>
        <v>0</v>
      </c>
      <c r="Q24" s="703"/>
      <c r="R24" s="703"/>
      <c r="S24" s="703"/>
      <c r="T24" s="703"/>
      <c r="U24" s="703"/>
      <c r="V24" s="703"/>
      <c r="W24" s="703"/>
      <c r="X24" s="703"/>
      <c r="Y24" s="703"/>
      <c r="Z24" s="703"/>
      <c r="AA24" s="703"/>
      <c r="AB24" s="703"/>
      <c r="AC24" s="703"/>
    </row>
    <row r="25" spans="12:29">
      <c r="L25" s="564"/>
      <c r="M25" s="564"/>
      <c r="N25" s="564"/>
      <c r="O25" s="564">
        <f>COUNTA(B3:B7)</f>
        <v>5</v>
      </c>
      <c r="P25" s="566">
        <f>SUM(P21:P24)</f>
        <v>1</v>
      </c>
      <c r="Q25" s="703"/>
      <c r="R25" s="703"/>
      <c r="S25" s="703"/>
      <c r="T25" s="703"/>
      <c r="U25" s="703"/>
      <c r="V25" s="703"/>
      <c r="W25" s="703"/>
      <c r="X25" s="703"/>
      <c r="Y25" s="703"/>
      <c r="Z25" s="703"/>
      <c r="AA25" s="703"/>
      <c r="AB25" s="703"/>
      <c r="AC25" s="703"/>
    </row>
  </sheetData>
  <autoFilter ref="E2:G14" xr:uid="{20B7BDAC-08E2-469E-9A7B-0412E0F2BEED}"/>
  <customSheetViews>
    <customSheetView guid="{0FAFE012-8D9E-4ED0-86A4-A997E430971B}" showAutoFilter="1" hiddenColumns="1">
      <pane xSplit="2" topLeftCell="W1" activePane="topRight" state="frozen"/>
      <selection pane="topRight" activeCell="AI1" sqref="AI1:AI6"/>
      <pageMargins left="0.7" right="0.7" top="0.75" bottom="0.75" header="0.3" footer="0.3"/>
      <pageSetup paperSize="9" orientation="portrait" horizontalDpi="300" verticalDpi="300" r:id="rId1"/>
      <autoFilter ref="E2:G10" xr:uid="{22979266-1AD9-448C-A5C3-0F794108E083}"/>
    </customSheetView>
  </customSheetViews>
  <mergeCells count="2">
    <mergeCell ref="N1:S1"/>
    <mergeCell ref="AC1:AH1"/>
  </mergeCells>
  <conditionalFormatting sqref="K3:K7">
    <cfRule type="colorScale" priority="304">
      <colorScale>
        <cfvo type="min"/>
        <cfvo type="percentile" val="50"/>
        <cfvo type="max"/>
        <color rgb="FF63BE7B"/>
        <color theme="0"/>
        <color rgb="FFF8696B"/>
      </colorScale>
    </cfRule>
  </conditionalFormatting>
  <conditionalFormatting sqref="L3:L7">
    <cfRule type="colorScale" priority="306">
      <colorScale>
        <cfvo type="min"/>
        <cfvo type="percentile" val="50"/>
        <cfvo type="max"/>
        <color rgb="FF63BE7B"/>
        <color theme="0"/>
        <color rgb="FFF8696B"/>
      </colorScale>
    </cfRule>
  </conditionalFormatting>
  <conditionalFormatting sqref="O3:O7">
    <cfRule type="colorScale" priority="308">
      <colorScale>
        <cfvo type="min"/>
        <cfvo type="percentile" val="50"/>
        <cfvo type="max"/>
        <color rgb="FFF8696B"/>
        <color theme="0"/>
        <color rgb="FF63BE7B"/>
      </colorScale>
    </cfRule>
  </conditionalFormatting>
  <conditionalFormatting sqref="T3:T7">
    <cfRule type="cellIs" dxfId="92" priority="5" operator="equal">
      <formula>"No"</formula>
    </cfRule>
    <cfRule type="cellIs" dxfId="91" priority="6" operator="equal">
      <formula>"Underway"</formula>
    </cfRule>
    <cfRule type="cellIs" dxfId="90" priority="7" operator="equal">
      <formula>"N/A"</formula>
    </cfRule>
    <cfRule type="cellIs" dxfId="89" priority="8" operator="equal">
      <formula>"Yes"</formula>
    </cfRule>
  </conditionalFormatting>
  <conditionalFormatting sqref="W3:Z7">
    <cfRule type="cellIs" dxfId="88" priority="1" operator="equal">
      <formula>"Black"</formula>
    </cfRule>
    <cfRule type="cellIs" dxfId="87" priority="2" operator="equal">
      <formula>"100% renewable"</formula>
    </cfRule>
  </conditionalFormatting>
  <conditionalFormatting sqref="AD3:AG7">
    <cfRule type="colorScale" priority="310">
      <colorScale>
        <cfvo type="min"/>
        <cfvo type="percentile" val="50"/>
        <cfvo type="max"/>
        <color rgb="FFF8696B"/>
        <color theme="0"/>
        <color rgb="FF63BE7B"/>
      </colorScale>
    </cfRule>
    <cfRule type="colorScale" priority="311">
      <colorScale>
        <cfvo type="min"/>
        <cfvo type="percentile" val="50"/>
        <cfvo type="max"/>
        <color rgb="FFFF0000"/>
        <color rgb="FFFFC000"/>
        <color rgb="FF00B050"/>
      </colorScale>
    </cfRule>
    <cfRule type="colorScale" priority="312">
      <colorScale>
        <cfvo type="min"/>
        <cfvo type="percentile" val="50"/>
        <cfvo type="max"/>
        <color rgb="FFF8696B"/>
        <color rgb="FFFCFCFF"/>
        <color rgb="FF63BE7B"/>
      </colorScale>
    </cfRule>
  </conditionalFormatting>
  <conditionalFormatting sqref="AH3:AH7">
    <cfRule type="colorScale" priority="316">
      <colorScale>
        <cfvo type="min"/>
        <cfvo type="percentile" val="50"/>
        <cfvo type="max"/>
        <color rgb="FFF8696B"/>
        <color theme="0"/>
        <color rgb="FF63BE7B"/>
      </colorScale>
    </cfRule>
    <cfRule type="colorScale" priority="317">
      <colorScale>
        <cfvo type="min"/>
        <cfvo type="percentile" val="50"/>
        <cfvo type="max"/>
        <color rgb="FFFF0000"/>
        <color rgb="FFFFC000"/>
        <color rgb="FF00B050"/>
      </colorScale>
    </cfRule>
    <cfRule type="colorScale" priority="318">
      <colorScale>
        <cfvo type="min"/>
        <cfvo type="percentile" val="50"/>
        <cfvo type="max"/>
        <color rgb="FFF8696B"/>
        <color rgb="FFFCFCFF"/>
        <color rgb="FF63BE7B"/>
      </colorScale>
    </cfRule>
  </conditionalFormatting>
  <pageMargins left="0.7" right="0.7" top="0.75" bottom="0.75" header="0.3" footer="0.3"/>
  <pageSetup paperSize="9"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D9ECC-0BA4-4FDA-A6DE-8EBC584E86F7}">
  <sheetPr codeName="Sheet71"/>
  <dimension ref="A1:R53"/>
  <sheetViews>
    <sheetView zoomScale="130" zoomScaleNormal="130" workbookViewId="0">
      <selection activeCell="H35" sqref="H35"/>
    </sheetView>
  </sheetViews>
  <sheetFormatPr defaultColWidth="9.1796875" defaultRowHeight="14"/>
  <cols>
    <col min="1" max="1" width="9.1796875" style="279"/>
    <col min="2" max="2" width="48" style="279" bestFit="1" customWidth="1"/>
    <col min="3" max="3" width="24.26953125" style="279" bestFit="1" customWidth="1"/>
    <col min="4" max="6" width="9.1796875" style="279"/>
    <col min="7" max="7" width="19.453125" style="279" bestFit="1" customWidth="1"/>
    <col min="8" max="8" width="15.453125" style="279" bestFit="1" customWidth="1"/>
    <col min="9" max="9" width="17.54296875" style="279" bestFit="1" customWidth="1"/>
    <col min="10" max="10" width="13.26953125" style="279" bestFit="1" customWidth="1"/>
    <col min="11" max="11" width="25" style="279" bestFit="1" customWidth="1"/>
    <col min="12" max="16384" width="9.1796875" style="279"/>
  </cols>
  <sheetData>
    <row r="1" spans="1:18">
      <c r="A1" s="279" t="s">
        <v>98</v>
      </c>
      <c r="B1" s="279" t="s">
        <v>99</v>
      </c>
      <c r="C1" s="279" t="s">
        <v>100</v>
      </c>
      <c r="D1" s="279" t="s">
        <v>101</v>
      </c>
      <c r="E1" s="279" t="s">
        <v>102</v>
      </c>
      <c r="F1" s="279" t="s">
        <v>103</v>
      </c>
      <c r="G1" s="279" t="s">
        <v>104</v>
      </c>
      <c r="H1" s="279" t="s">
        <v>105</v>
      </c>
      <c r="I1" s="279" t="s">
        <v>106</v>
      </c>
      <c r="J1" s="279" t="s">
        <v>107</v>
      </c>
      <c r="K1" s="279" t="s">
        <v>108</v>
      </c>
      <c r="L1" s="279" t="s">
        <v>109</v>
      </c>
      <c r="M1" s="279" t="s">
        <v>110</v>
      </c>
      <c r="N1" s="279" t="s">
        <v>111</v>
      </c>
      <c r="O1" s="279" t="s">
        <v>112</v>
      </c>
      <c r="P1" s="279" t="s">
        <v>113</v>
      </c>
      <c r="R1" s="279" t="s">
        <v>114</v>
      </c>
    </row>
    <row r="2" spans="1:18">
      <c r="A2" s="680" t="s">
        <v>115</v>
      </c>
      <c r="B2" s="214" t="s">
        <v>116</v>
      </c>
      <c r="C2" s="214" t="s">
        <v>116</v>
      </c>
      <c r="D2" s="279" t="s">
        <v>117</v>
      </c>
      <c r="E2" s="279" t="s">
        <v>118</v>
      </c>
      <c r="F2" s="279">
        <v>2000</v>
      </c>
      <c r="G2" s="279" t="s">
        <v>119</v>
      </c>
      <c r="H2" s="279" t="s">
        <v>120</v>
      </c>
      <c r="I2" s="279">
        <v>29487.8</v>
      </c>
      <c r="J2" s="279">
        <v>25059.1</v>
      </c>
      <c r="K2" s="279">
        <v>29199.4</v>
      </c>
      <c r="L2" s="731">
        <f>J2/I2</f>
        <v>0.84981246481595774</v>
      </c>
      <c r="M2" s="279">
        <v>40</v>
      </c>
      <c r="N2" s="279">
        <v>58</v>
      </c>
      <c r="O2" s="279">
        <v>670</v>
      </c>
      <c r="P2" s="279" t="s">
        <v>121</v>
      </c>
    </row>
    <row r="3" spans="1:18">
      <c r="A3" s="279" t="s">
        <v>122</v>
      </c>
      <c r="B3" s="214" t="s">
        <v>123</v>
      </c>
      <c r="C3" s="279" t="s">
        <v>124</v>
      </c>
      <c r="D3" s="279" t="s">
        <v>125</v>
      </c>
      <c r="E3" s="279" t="s">
        <v>118</v>
      </c>
      <c r="F3" s="279">
        <v>2060</v>
      </c>
      <c r="G3" s="279" t="s">
        <v>119</v>
      </c>
      <c r="H3" s="279" t="s">
        <v>125</v>
      </c>
      <c r="I3" s="279">
        <v>28603.599999999999</v>
      </c>
      <c r="J3" s="279">
        <v>849.3</v>
      </c>
      <c r="K3" s="279">
        <v>26716</v>
      </c>
      <c r="L3" s="731">
        <f t="shared" ref="L3:L25" si="0">J3/I3</f>
        <v>2.9692066732858801E-2</v>
      </c>
      <c r="M3" s="279">
        <v>7</v>
      </c>
      <c r="N3" s="279">
        <v>44</v>
      </c>
      <c r="P3" s="279" t="s">
        <v>121</v>
      </c>
    </row>
    <row r="4" spans="1:18">
      <c r="A4" s="680" t="s">
        <v>126</v>
      </c>
      <c r="B4" s="214" t="s">
        <v>43</v>
      </c>
      <c r="C4" s="279" t="s">
        <v>43</v>
      </c>
      <c r="D4" s="279" t="s">
        <v>117</v>
      </c>
      <c r="E4" s="279" t="s">
        <v>118</v>
      </c>
      <c r="F4" s="279">
        <v>2000</v>
      </c>
      <c r="G4" s="279" t="s">
        <v>119</v>
      </c>
      <c r="H4" s="279" t="s">
        <v>120</v>
      </c>
      <c r="I4" s="279">
        <v>12516.5</v>
      </c>
      <c r="J4" s="279">
        <v>11240.8</v>
      </c>
      <c r="K4" s="279">
        <v>11522.7</v>
      </c>
      <c r="L4" s="731">
        <f t="shared" si="0"/>
        <v>0.8980785363320416</v>
      </c>
      <c r="M4" s="279">
        <v>13</v>
      </c>
      <c r="N4" s="279">
        <v>23</v>
      </c>
      <c r="O4" s="279">
        <v>29</v>
      </c>
      <c r="P4" s="279" t="s">
        <v>121</v>
      </c>
    </row>
    <row r="5" spans="1:18">
      <c r="A5" s="680" t="s">
        <v>127</v>
      </c>
      <c r="B5" s="214" t="s">
        <v>38</v>
      </c>
      <c r="C5" s="279" t="s">
        <v>38</v>
      </c>
      <c r="D5" s="279" t="s">
        <v>128</v>
      </c>
      <c r="E5" s="279" t="s">
        <v>129</v>
      </c>
      <c r="F5" s="279">
        <v>3000</v>
      </c>
      <c r="G5" s="279" t="s">
        <v>119</v>
      </c>
      <c r="H5" s="279" t="s">
        <v>130</v>
      </c>
      <c r="I5" s="279">
        <v>63963.9</v>
      </c>
      <c r="J5" s="279">
        <v>52642.2</v>
      </c>
      <c r="K5" s="279">
        <v>62987.1</v>
      </c>
      <c r="L5" s="731">
        <f t="shared" si="0"/>
        <v>0.82299859764648486</v>
      </c>
      <c r="M5" s="279">
        <v>58</v>
      </c>
      <c r="N5" s="279">
        <v>85</v>
      </c>
      <c r="O5" s="279">
        <v>282</v>
      </c>
      <c r="P5" s="279" t="s">
        <v>121</v>
      </c>
    </row>
    <row r="6" spans="1:18">
      <c r="A6" s="681" t="s">
        <v>131</v>
      </c>
      <c r="B6" s="214" t="s">
        <v>42</v>
      </c>
      <c r="C6" s="279" t="s">
        <v>42</v>
      </c>
      <c r="D6" s="279" t="s">
        <v>117</v>
      </c>
      <c r="E6" s="279" t="s">
        <v>118</v>
      </c>
      <c r="F6" s="279">
        <v>2000</v>
      </c>
      <c r="G6" s="279" t="s">
        <v>119</v>
      </c>
      <c r="H6" s="279" t="s">
        <v>120</v>
      </c>
      <c r="I6" s="279">
        <v>42133.5</v>
      </c>
      <c r="J6" s="279">
        <v>40599.800000000003</v>
      </c>
      <c r="K6" s="279">
        <v>41666.800000000003</v>
      </c>
      <c r="L6" s="731">
        <f t="shared" si="0"/>
        <v>0.9635990363962168</v>
      </c>
      <c r="M6" s="279">
        <v>43</v>
      </c>
      <c r="N6" s="279">
        <v>52</v>
      </c>
      <c r="O6" s="279">
        <v>77</v>
      </c>
      <c r="P6" s="279" t="s">
        <v>121</v>
      </c>
    </row>
    <row r="7" spans="1:18">
      <c r="A7" s="279" t="s">
        <v>132</v>
      </c>
      <c r="B7" s="279" t="s">
        <v>133</v>
      </c>
      <c r="C7" s="279" t="s">
        <v>133</v>
      </c>
      <c r="D7" s="279" t="s">
        <v>117</v>
      </c>
      <c r="E7" s="279" t="s">
        <v>118</v>
      </c>
      <c r="F7" s="279">
        <v>2000</v>
      </c>
      <c r="G7" s="279" t="s">
        <v>119</v>
      </c>
      <c r="H7" s="279" t="s">
        <v>120</v>
      </c>
      <c r="I7" s="279">
        <v>10907.5</v>
      </c>
      <c r="J7" s="279">
        <v>6212.3</v>
      </c>
      <c r="K7" s="279">
        <v>9829.4</v>
      </c>
      <c r="L7" s="731">
        <f t="shared" si="0"/>
        <v>0.56954389181755671</v>
      </c>
      <c r="M7" s="279">
        <v>20</v>
      </c>
      <c r="N7" s="279">
        <v>28</v>
      </c>
      <c r="O7" s="279">
        <v>0</v>
      </c>
      <c r="P7" s="279" t="s">
        <v>121</v>
      </c>
    </row>
    <row r="8" spans="1:18">
      <c r="A8" s="681" t="s">
        <v>134</v>
      </c>
      <c r="B8" s="279" t="s">
        <v>46</v>
      </c>
      <c r="C8" s="279" t="s">
        <v>46</v>
      </c>
      <c r="D8" s="279" t="s">
        <v>117</v>
      </c>
      <c r="E8" s="279" t="s">
        <v>118</v>
      </c>
      <c r="F8" s="279">
        <v>2000</v>
      </c>
      <c r="G8" s="279" t="s">
        <v>119</v>
      </c>
      <c r="H8" s="279" t="s">
        <v>120</v>
      </c>
      <c r="I8" s="279">
        <v>32621.9</v>
      </c>
      <c r="J8" s="279">
        <v>29930.9</v>
      </c>
      <c r="K8" s="279">
        <v>27263.200000000001</v>
      </c>
      <c r="L8" s="731">
        <f t="shared" si="0"/>
        <v>0.91750940319233398</v>
      </c>
      <c r="M8" s="279">
        <v>30</v>
      </c>
      <c r="N8" s="279">
        <v>48</v>
      </c>
      <c r="O8" s="279">
        <v>72</v>
      </c>
      <c r="P8" s="279" t="s">
        <v>121</v>
      </c>
    </row>
    <row r="9" spans="1:18">
      <c r="A9" s="680" t="s">
        <v>135</v>
      </c>
      <c r="B9" s="279" t="s">
        <v>93</v>
      </c>
      <c r="C9" s="279" t="s">
        <v>93</v>
      </c>
      <c r="D9" s="279" t="s">
        <v>117</v>
      </c>
      <c r="E9" s="279" t="s">
        <v>118</v>
      </c>
      <c r="F9" s="279">
        <v>2000</v>
      </c>
      <c r="G9" s="279" t="s">
        <v>119</v>
      </c>
      <c r="H9" s="279" t="s">
        <v>120</v>
      </c>
      <c r="I9" s="279">
        <v>21891</v>
      </c>
      <c r="J9" s="279">
        <v>21709</v>
      </c>
      <c r="K9" s="279">
        <v>20404.8</v>
      </c>
      <c r="L9" s="731">
        <f t="shared" si="0"/>
        <v>0.99168608103786948</v>
      </c>
      <c r="M9" s="279">
        <v>17</v>
      </c>
      <c r="N9" s="279">
        <v>34</v>
      </c>
      <c r="O9" s="279">
        <v>42</v>
      </c>
      <c r="P9" s="279" t="s">
        <v>121</v>
      </c>
    </row>
    <row r="10" spans="1:18">
      <c r="A10" s="279" t="s">
        <v>136</v>
      </c>
      <c r="B10" s="279" t="s">
        <v>137</v>
      </c>
      <c r="C10" s="279" t="s">
        <v>137</v>
      </c>
      <c r="D10" s="279" t="s">
        <v>117</v>
      </c>
      <c r="E10" s="279" t="s">
        <v>118</v>
      </c>
      <c r="F10" s="279">
        <v>2000</v>
      </c>
      <c r="G10" s="279" t="s">
        <v>119</v>
      </c>
      <c r="H10" s="279" t="s">
        <v>120</v>
      </c>
      <c r="I10" s="279">
        <v>20353.18</v>
      </c>
      <c r="J10" s="279">
        <v>19769.78</v>
      </c>
      <c r="K10" s="279">
        <v>18450.18</v>
      </c>
      <c r="L10" s="731">
        <f t="shared" si="0"/>
        <v>0.97133617449459975</v>
      </c>
      <c r="M10" s="279">
        <v>19</v>
      </c>
      <c r="N10" s="279">
        <v>28</v>
      </c>
      <c r="O10" s="279">
        <v>34</v>
      </c>
      <c r="P10" s="279" t="s">
        <v>121</v>
      </c>
    </row>
    <row r="11" spans="1:18">
      <c r="A11" s="680" t="s">
        <v>138</v>
      </c>
      <c r="B11" s="279" t="s">
        <v>47</v>
      </c>
      <c r="C11" s="279" t="s">
        <v>47</v>
      </c>
      <c r="D11" s="279" t="s">
        <v>117</v>
      </c>
      <c r="E11" s="279" t="s">
        <v>118</v>
      </c>
      <c r="F11" s="279">
        <v>2000</v>
      </c>
      <c r="G11" s="279" t="s">
        <v>119</v>
      </c>
      <c r="H11" s="279" t="s">
        <v>120</v>
      </c>
      <c r="I11" s="279">
        <v>39812.400000000001</v>
      </c>
      <c r="J11" s="279">
        <v>31257.5</v>
      </c>
      <c r="K11" s="279">
        <v>38966.199999999997</v>
      </c>
      <c r="L11" s="731">
        <f t="shared" si="0"/>
        <v>0.78511971144668491</v>
      </c>
      <c r="M11" s="279">
        <v>43</v>
      </c>
      <c r="N11" s="279">
        <v>63</v>
      </c>
      <c r="O11" s="279">
        <v>264</v>
      </c>
      <c r="P11" s="279" t="s">
        <v>121</v>
      </c>
    </row>
    <row r="12" spans="1:18">
      <c r="A12" s="681" t="s">
        <v>139</v>
      </c>
      <c r="B12" s="279" t="s">
        <v>140</v>
      </c>
      <c r="C12" s="279" t="s">
        <v>140</v>
      </c>
      <c r="D12" s="279" t="s">
        <v>141</v>
      </c>
      <c r="E12" s="279" t="s">
        <v>142</v>
      </c>
      <c r="F12" s="279">
        <v>2600</v>
      </c>
      <c r="G12" s="279" t="s">
        <v>143</v>
      </c>
      <c r="H12" s="279" t="s">
        <v>141</v>
      </c>
      <c r="I12" s="279">
        <v>23773</v>
      </c>
      <c r="J12" s="279">
        <v>23637</v>
      </c>
      <c r="K12" s="279">
        <v>22868</v>
      </c>
      <c r="L12" s="731">
        <f t="shared" si="0"/>
        <v>0.99427922433012239</v>
      </c>
      <c r="M12" s="279">
        <v>9</v>
      </c>
      <c r="N12" s="279">
        <v>34</v>
      </c>
      <c r="P12" s="279" t="s">
        <v>121</v>
      </c>
    </row>
    <row r="13" spans="1:18">
      <c r="A13" s="681" t="s">
        <v>144</v>
      </c>
      <c r="B13" s="214" t="s">
        <v>64</v>
      </c>
      <c r="C13" s="279" t="s">
        <v>145</v>
      </c>
      <c r="D13" s="279" t="s">
        <v>146</v>
      </c>
      <c r="E13" s="279" t="s">
        <v>147</v>
      </c>
      <c r="F13" s="279">
        <v>6000</v>
      </c>
      <c r="G13" s="279" t="s">
        <v>143</v>
      </c>
      <c r="H13" s="279" t="s">
        <v>146</v>
      </c>
      <c r="I13" s="279">
        <v>64967.4</v>
      </c>
      <c r="J13" s="279">
        <v>53161.4</v>
      </c>
      <c r="K13" s="279">
        <v>61137.9</v>
      </c>
      <c r="L13" s="731">
        <f t="shared" si="0"/>
        <v>0.81827809024218301</v>
      </c>
      <c r="M13" s="279">
        <v>46</v>
      </c>
      <c r="N13" s="279">
        <v>61</v>
      </c>
      <c r="O13" s="279">
        <v>1071</v>
      </c>
      <c r="P13" s="279" t="s">
        <v>121</v>
      </c>
    </row>
    <row r="14" spans="1:18">
      <c r="A14" s="680" t="s">
        <v>148</v>
      </c>
      <c r="B14" s="279" t="s">
        <v>49</v>
      </c>
      <c r="C14" s="279" t="s">
        <v>49</v>
      </c>
      <c r="D14" s="279" t="s">
        <v>149</v>
      </c>
      <c r="E14" s="279" t="s">
        <v>150</v>
      </c>
      <c r="F14" s="279">
        <v>4000</v>
      </c>
      <c r="G14" s="279" t="s">
        <v>119</v>
      </c>
      <c r="H14" s="279" t="s">
        <v>151</v>
      </c>
      <c r="I14" s="279">
        <v>24754</v>
      </c>
      <c r="J14" s="279">
        <v>24068</v>
      </c>
      <c r="K14" s="279">
        <v>24754</v>
      </c>
      <c r="L14" s="731">
        <f t="shared" si="0"/>
        <v>0.97228730710188249</v>
      </c>
      <c r="M14" s="279">
        <v>12</v>
      </c>
      <c r="N14" s="279">
        <v>20</v>
      </c>
      <c r="O14" s="279">
        <v>113</v>
      </c>
      <c r="P14" s="279" t="s">
        <v>121</v>
      </c>
    </row>
    <row r="15" spans="1:18">
      <c r="A15" s="680" t="s">
        <v>152</v>
      </c>
      <c r="B15" s="279" t="s">
        <v>92</v>
      </c>
      <c r="C15" s="279" t="s">
        <v>92</v>
      </c>
      <c r="D15" s="279" t="s">
        <v>117</v>
      </c>
      <c r="E15" s="279" t="s">
        <v>118</v>
      </c>
      <c r="F15" s="279">
        <v>2000</v>
      </c>
      <c r="G15" s="279" t="s">
        <v>119</v>
      </c>
      <c r="H15" s="279" t="s">
        <v>120</v>
      </c>
      <c r="I15" s="279">
        <v>26818.6</v>
      </c>
      <c r="J15" s="279">
        <v>16122.8</v>
      </c>
      <c r="K15" s="279">
        <v>25663.200000000001</v>
      </c>
      <c r="L15" s="731">
        <f t="shared" si="0"/>
        <v>0.60117977821362789</v>
      </c>
      <c r="M15" s="279">
        <v>10</v>
      </c>
      <c r="N15" s="279">
        <v>27</v>
      </c>
      <c r="O15" s="279">
        <v>75</v>
      </c>
      <c r="P15" s="279" t="s">
        <v>121</v>
      </c>
    </row>
    <row r="16" spans="1:18">
      <c r="A16" s="681" t="s">
        <v>153</v>
      </c>
      <c r="B16" s="279" t="s">
        <v>95</v>
      </c>
      <c r="C16" s="279" t="s">
        <v>95</v>
      </c>
      <c r="D16" s="279" t="s">
        <v>117</v>
      </c>
      <c r="E16" s="279" t="s">
        <v>118</v>
      </c>
      <c r="F16" s="279">
        <v>2000</v>
      </c>
      <c r="G16" s="279" t="s">
        <v>143</v>
      </c>
      <c r="H16" s="279" t="s">
        <v>120</v>
      </c>
      <c r="I16" s="279">
        <v>41084</v>
      </c>
      <c r="J16" s="279">
        <v>31401</v>
      </c>
      <c r="K16" s="279">
        <v>37430</v>
      </c>
      <c r="L16" s="731">
        <f t="shared" si="0"/>
        <v>0.76431214097945677</v>
      </c>
      <c r="M16" s="279">
        <v>14</v>
      </c>
      <c r="N16" s="279">
        <v>45</v>
      </c>
      <c r="O16" s="279">
        <v>71</v>
      </c>
      <c r="P16" s="279" t="s">
        <v>121</v>
      </c>
    </row>
    <row r="17" spans="1:16">
      <c r="A17" s="680" t="s">
        <v>154</v>
      </c>
      <c r="B17" s="279" t="s">
        <v>52</v>
      </c>
      <c r="C17" s="279" t="s">
        <v>52</v>
      </c>
      <c r="D17" s="279" t="s">
        <v>125</v>
      </c>
      <c r="E17" s="279" t="s">
        <v>118</v>
      </c>
      <c r="F17" s="279">
        <v>2060</v>
      </c>
      <c r="G17" s="279" t="s">
        <v>119</v>
      </c>
      <c r="H17" s="279" t="s">
        <v>125</v>
      </c>
      <c r="I17" s="279">
        <v>28402.16</v>
      </c>
      <c r="J17" s="279">
        <v>24309.73</v>
      </c>
      <c r="K17" s="279">
        <v>26855.85</v>
      </c>
      <c r="L17" s="731">
        <f t="shared" si="0"/>
        <v>0.85591131097071493</v>
      </c>
      <c r="M17" s="279">
        <v>14</v>
      </c>
      <c r="N17" s="279">
        <v>25</v>
      </c>
      <c r="O17" s="279">
        <v>106</v>
      </c>
      <c r="P17" s="279" t="s">
        <v>121</v>
      </c>
    </row>
    <row r="18" spans="1:16">
      <c r="A18" s="680" t="s">
        <v>155</v>
      </c>
      <c r="B18" s="279" t="s">
        <v>54</v>
      </c>
      <c r="C18" s="279" t="s">
        <v>54</v>
      </c>
      <c r="D18" s="279" t="s">
        <v>117</v>
      </c>
      <c r="E18" s="279" t="s">
        <v>118</v>
      </c>
      <c r="F18" s="279">
        <v>2000</v>
      </c>
      <c r="G18" s="279" t="s">
        <v>119</v>
      </c>
      <c r="H18" s="279" t="s">
        <v>120</v>
      </c>
      <c r="I18" s="279">
        <v>37578.9</v>
      </c>
      <c r="J18" s="279">
        <v>32521.7</v>
      </c>
      <c r="K18" s="279">
        <v>37558.9</v>
      </c>
      <c r="L18" s="731">
        <f t="shared" si="0"/>
        <v>0.86542448022693585</v>
      </c>
      <c r="M18" s="279">
        <v>27</v>
      </c>
      <c r="N18" s="279">
        <v>44</v>
      </c>
      <c r="O18" s="279">
        <v>64</v>
      </c>
      <c r="P18" s="279" t="s">
        <v>121</v>
      </c>
    </row>
    <row r="19" spans="1:16">
      <c r="A19" s="279" t="s">
        <v>156</v>
      </c>
      <c r="B19" s="279" t="s">
        <v>157</v>
      </c>
      <c r="C19" s="279" t="s">
        <v>157</v>
      </c>
      <c r="D19" s="279" t="s">
        <v>128</v>
      </c>
      <c r="E19" s="279" t="s">
        <v>129</v>
      </c>
      <c r="F19" s="279">
        <v>3000</v>
      </c>
      <c r="G19" s="279" t="s">
        <v>119</v>
      </c>
      <c r="H19" s="279" t="s">
        <v>130</v>
      </c>
      <c r="I19" s="279">
        <v>1422</v>
      </c>
      <c r="J19" s="279">
        <v>1422</v>
      </c>
      <c r="K19" s="279">
        <v>1422</v>
      </c>
      <c r="L19" s="731">
        <f t="shared" si="0"/>
        <v>1</v>
      </c>
      <c r="M19" s="279">
        <v>4</v>
      </c>
      <c r="N19" s="279">
        <v>1</v>
      </c>
      <c r="O19" s="279">
        <v>1014</v>
      </c>
      <c r="P19" s="279" t="s">
        <v>121</v>
      </c>
    </row>
    <row r="20" spans="1:16">
      <c r="A20" s="680" t="s">
        <v>158</v>
      </c>
      <c r="B20" s="279" t="s">
        <v>159</v>
      </c>
      <c r="C20" s="279" t="s">
        <v>159</v>
      </c>
      <c r="D20" s="279" t="s">
        <v>128</v>
      </c>
      <c r="E20" s="279" t="s">
        <v>129</v>
      </c>
      <c r="F20" s="279">
        <v>3000</v>
      </c>
      <c r="G20" s="279" t="s">
        <v>119</v>
      </c>
      <c r="H20" s="279" t="s">
        <v>130</v>
      </c>
      <c r="I20" s="279">
        <v>55051.199999999997</v>
      </c>
      <c r="J20" s="279">
        <v>51990.7</v>
      </c>
      <c r="K20" s="279">
        <v>54067.7</v>
      </c>
      <c r="L20" s="731">
        <f t="shared" si="0"/>
        <v>0.94440629813700705</v>
      </c>
      <c r="M20" s="279">
        <v>30</v>
      </c>
      <c r="N20" s="279">
        <v>46</v>
      </c>
      <c r="O20" s="279">
        <v>156</v>
      </c>
      <c r="P20" s="279" t="s">
        <v>121</v>
      </c>
    </row>
    <row r="21" spans="1:16">
      <c r="A21" s="279" t="s">
        <v>160</v>
      </c>
      <c r="B21" s="279" t="s">
        <v>161</v>
      </c>
      <c r="C21" s="279" t="s">
        <v>161</v>
      </c>
      <c r="D21" s="279" t="s">
        <v>128</v>
      </c>
      <c r="E21" s="279" t="s">
        <v>129</v>
      </c>
      <c r="F21" s="279">
        <v>3000</v>
      </c>
      <c r="G21" s="279" t="s">
        <v>119</v>
      </c>
      <c r="H21" s="279" t="s">
        <v>130</v>
      </c>
      <c r="I21" s="279">
        <v>16420</v>
      </c>
      <c r="J21" s="279">
        <v>11089</v>
      </c>
      <c r="K21" s="279">
        <v>15617.5</v>
      </c>
      <c r="L21" s="731">
        <f t="shared" si="0"/>
        <v>0.67533495736906213</v>
      </c>
      <c r="M21" s="279">
        <v>22</v>
      </c>
      <c r="N21" s="279">
        <v>32</v>
      </c>
      <c r="O21" s="279">
        <v>62</v>
      </c>
      <c r="P21" s="279" t="s">
        <v>121</v>
      </c>
    </row>
    <row r="22" spans="1:16">
      <c r="A22" s="681" t="s">
        <v>162</v>
      </c>
      <c r="B22" s="279" t="s">
        <v>67</v>
      </c>
      <c r="C22" s="279" t="s">
        <v>67</v>
      </c>
      <c r="D22" s="279" t="s">
        <v>117</v>
      </c>
      <c r="E22" s="279" t="s">
        <v>118</v>
      </c>
      <c r="F22" s="279">
        <v>2000</v>
      </c>
      <c r="G22" s="279" t="s">
        <v>119</v>
      </c>
      <c r="H22" s="279" t="s">
        <v>120</v>
      </c>
      <c r="I22" s="279">
        <v>16038.3</v>
      </c>
      <c r="J22" s="279">
        <v>14572.9</v>
      </c>
      <c r="K22" s="279">
        <v>14598.7</v>
      </c>
      <c r="L22" s="731">
        <f t="shared" si="0"/>
        <v>0.90863121403141234</v>
      </c>
      <c r="M22" s="279">
        <v>51</v>
      </c>
      <c r="N22" s="279">
        <v>55</v>
      </c>
      <c r="O22" s="279">
        <v>108</v>
      </c>
      <c r="P22" s="279" t="s">
        <v>121</v>
      </c>
    </row>
    <row r="23" spans="1:16">
      <c r="A23" s="680" t="s">
        <v>163</v>
      </c>
      <c r="B23" s="279" t="s">
        <v>164</v>
      </c>
      <c r="C23" s="279" t="s">
        <v>164</v>
      </c>
      <c r="D23" s="279" t="s">
        <v>117</v>
      </c>
      <c r="E23" s="279" t="s">
        <v>118</v>
      </c>
      <c r="F23" s="279">
        <v>2001</v>
      </c>
      <c r="G23" s="279" t="s">
        <v>119</v>
      </c>
      <c r="H23" s="279" t="s">
        <v>120</v>
      </c>
      <c r="I23" s="279">
        <v>39938.199999999997</v>
      </c>
      <c r="J23" s="279">
        <v>39762.300000000003</v>
      </c>
      <c r="K23" s="279">
        <v>39273.9</v>
      </c>
      <c r="L23" s="731">
        <f t="shared" si="0"/>
        <v>0.9955956953493148</v>
      </c>
      <c r="M23" s="279">
        <v>29</v>
      </c>
      <c r="N23" s="279">
        <v>42</v>
      </c>
      <c r="O23" s="279">
        <v>66</v>
      </c>
      <c r="P23" s="279" t="s">
        <v>121</v>
      </c>
    </row>
    <row r="24" spans="1:16">
      <c r="A24" s="279" t="s">
        <v>165</v>
      </c>
      <c r="B24" s="279" t="s">
        <v>166</v>
      </c>
      <c r="C24" s="279" t="s">
        <v>166</v>
      </c>
      <c r="D24" s="279" t="s">
        <v>128</v>
      </c>
      <c r="E24" s="279" t="s">
        <v>129</v>
      </c>
      <c r="F24" s="279">
        <v>3000</v>
      </c>
      <c r="G24" s="279" t="s">
        <v>119</v>
      </c>
      <c r="H24" s="279" t="s">
        <v>130</v>
      </c>
      <c r="I24" s="279">
        <v>17308.599999999999</v>
      </c>
      <c r="J24" s="279">
        <v>11788.9</v>
      </c>
      <c r="K24" s="279">
        <v>15863</v>
      </c>
      <c r="L24" s="731">
        <f t="shared" si="0"/>
        <v>0.68110072449533765</v>
      </c>
      <c r="M24" s="279">
        <v>14</v>
      </c>
      <c r="N24" s="279">
        <v>23</v>
      </c>
      <c r="O24" s="279">
        <v>142</v>
      </c>
      <c r="P24" s="279" t="s">
        <v>121</v>
      </c>
    </row>
    <row r="25" spans="1:16">
      <c r="A25" s="680" t="s">
        <v>167</v>
      </c>
      <c r="B25" s="279" t="s">
        <v>168</v>
      </c>
      <c r="C25" s="279" t="s">
        <v>168</v>
      </c>
      <c r="D25" s="279" t="s">
        <v>149</v>
      </c>
      <c r="E25" s="279" t="s">
        <v>150</v>
      </c>
      <c r="F25" s="279">
        <v>4000</v>
      </c>
      <c r="G25" s="279" t="s">
        <v>119</v>
      </c>
      <c r="H25" s="279" t="s">
        <v>151</v>
      </c>
      <c r="I25" s="279">
        <v>24837</v>
      </c>
      <c r="J25" s="279">
        <v>8877</v>
      </c>
      <c r="K25" s="279">
        <v>24784</v>
      </c>
      <c r="L25" s="731">
        <f t="shared" si="0"/>
        <v>0.35741031525546563</v>
      </c>
      <c r="M25" s="279">
        <v>12</v>
      </c>
      <c r="N25" s="279">
        <v>33</v>
      </c>
      <c r="O25" s="279">
        <v>187</v>
      </c>
      <c r="P25" s="279" t="s">
        <v>121</v>
      </c>
    </row>
    <row r="31" spans="1:16">
      <c r="B31" s="214" t="s">
        <v>116</v>
      </c>
    </row>
    <row r="32" spans="1:16">
      <c r="B32" s="214" t="s">
        <v>38</v>
      </c>
    </row>
    <row r="33" spans="2:2">
      <c r="B33" s="214" t="s">
        <v>42</v>
      </c>
    </row>
    <row r="34" spans="2:2">
      <c r="B34" s="214" t="s">
        <v>43</v>
      </c>
    </row>
    <row r="35" spans="2:2">
      <c r="B35" s="214" t="s">
        <v>46</v>
      </c>
    </row>
    <row r="36" spans="2:2">
      <c r="B36" s="214" t="s">
        <v>47</v>
      </c>
    </row>
    <row r="37" spans="2:2">
      <c r="B37" s="214" t="s">
        <v>49</v>
      </c>
    </row>
    <row r="38" spans="2:2">
      <c r="B38" s="214" t="s">
        <v>92</v>
      </c>
    </row>
    <row r="39" spans="2:2">
      <c r="B39" s="214" t="s">
        <v>52</v>
      </c>
    </row>
    <row r="40" spans="2:2">
      <c r="B40" s="214" t="s">
        <v>54</v>
      </c>
    </row>
    <row r="41" spans="2:2">
      <c r="B41" s="214" t="s">
        <v>55</v>
      </c>
    </row>
    <row r="42" spans="2:2">
      <c r="B42" s="214" t="s">
        <v>56</v>
      </c>
    </row>
    <row r="43" spans="2:2">
      <c r="B43" s="214" t="s">
        <v>169</v>
      </c>
    </row>
    <row r="44" spans="2:2">
      <c r="B44" s="214" t="s">
        <v>60</v>
      </c>
    </row>
    <row r="45" spans="2:2">
      <c r="B45" s="214" t="s">
        <v>170</v>
      </c>
    </row>
    <row r="46" spans="2:2">
      <c r="B46" s="214" t="s">
        <v>168</v>
      </c>
    </row>
    <row r="47" spans="2:2">
      <c r="B47" s="214" t="s">
        <v>123</v>
      </c>
    </row>
    <row r="48" spans="2:2">
      <c r="B48" s="214" t="s">
        <v>64</v>
      </c>
    </row>
    <row r="49" spans="2:2">
      <c r="B49" s="214" t="s">
        <v>95</v>
      </c>
    </row>
    <row r="50" spans="2:2">
      <c r="B50" s="214" t="s">
        <v>133</v>
      </c>
    </row>
    <row r="51" spans="2:2">
      <c r="B51" s="214" t="s">
        <v>161</v>
      </c>
    </row>
    <row r="52" spans="2:2">
      <c r="B52" s="214" t="s">
        <v>166</v>
      </c>
    </row>
    <row r="53" spans="2:2">
      <c r="B53" s="214" t="s">
        <v>67</v>
      </c>
    </row>
  </sheetData>
  <customSheetViews>
    <customSheetView guid="{0FAFE012-8D9E-4ED0-86A4-A997E430971B}" scale="130" topLeftCell="A22">
      <selection activeCell="A16" sqref="A16"/>
      <pageMargins left="0.7" right="0.7" top="0.75" bottom="0.75" header="0.3" footer="0.3"/>
      <pageSetup paperSize="9" orientation="portrait" horizontalDpi="300" verticalDpi="300" r:id="rId1"/>
    </customSheetView>
  </customSheetViews>
  <conditionalFormatting sqref="L2:L2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BDAC-08E2-469E-9A7B-0412E0F2BEED}">
  <sheetPr codeName="Sheet72"/>
  <dimension ref="A1:AR45"/>
  <sheetViews>
    <sheetView zoomScale="115" zoomScaleNormal="115" workbookViewId="0">
      <pane xSplit="2" topLeftCell="AK1" activePane="topRight" state="frozen"/>
      <selection pane="topRight" activeCell="AQ3" sqref="AQ3:AQ25"/>
    </sheetView>
  </sheetViews>
  <sheetFormatPr defaultColWidth="9.1796875" defaultRowHeight="14"/>
  <cols>
    <col min="1" max="1" width="9.1796875" style="214"/>
    <col min="2" max="2" width="30.453125" style="214" customWidth="1"/>
    <col min="3" max="3" width="12" style="214" customWidth="1"/>
    <col min="4" max="4" width="14.7265625" style="214" customWidth="1"/>
    <col min="5" max="5" width="13" style="214" customWidth="1"/>
    <col min="6" max="6" width="10.81640625" style="214" customWidth="1"/>
    <col min="7" max="12" width="13.1796875" style="214" customWidth="1"/>
    <col min="13" max="13" width="13.1796875" style="214" hidden="1" customWidth="1"/>
    <col min="14" max="15" width="16" style="214" customWidth="1"/>
    <col min="16" max="16" width="43.54296875" style="214" customWidth="1"/>
    <col min="17" max="18" width="13.7265625" style="214" customWidth="1"/>
    <col min="19" max="19" width="15.81640625" style="214" customWidth="1"/>
    <col min="20" max="20" width="28.26953125" style="214" customWidth="1"/>
    <col min="21" max="21" width="17.453125" style="214" customWidth="1"/>
    <col min="22" max="25" width="16.453125" style="214" customWidth="1"/>
    <col min="26" max="26" width="22.7265625" style="214" customWidth="1"/>
    <col min="27" max="27" width="31.54296875" style="214" customWidth="1"/>
    <col min="28" max="30" width="17.1796875" style="214" customWidth="1"/>
    <col min="31" max="31" width="16.26953125" style="214" customWidth="1"/>
    <col min="32" max="32" width="19.453125" style="214" customWidth="1"/>
    <col min="33" max="33" width="25.81640625" style="214" customWidth="1"/>
    <col min="34" max="35" width="16.81640625" style="214" customWidth="1"/>
    <col min="36" max="36" width="17.1796875" style="214" customWidth="1"/>
    <col min="37" max="37" width="8.54296875" style="214" customWidth="1"/>
    <col min="38" max="38" width="15.81640625" style="214" customWidth="1"/>
    <col min="39" max="39" width="12.81640625" customWidth="1"/>
    <col min="40" max="40" width="14.26953125" customWidth="1"/>
    <col min="41" max="41" width="8.7265625" customWidth="1"/>
    <col min="42" max="42" width="9.1796875" style="214"/>
    <col min="43" max="43" width="18.453125" style="214" bestFit="1" customWidth="1"/>
    <col min="44" max="16384" width="9.1796875" style="214"/>
  </cols>
  <sheetData>
    <row r="1" spans="1:44" ht="38.25" customHeight="1" thickBot="1">
      <c r="E1" s="703" t="s">
        <v>0</v>
      </c>
      <c r="H1" s="703" t="s">
        <v>1</v>
      </c>
      <c r="N1" s="969" t="s">
        <v>2</v>
      </c>
      <c r="O1" s="967"/>
      <c r="P1" s="967"/>
      <c r="Q1" s="967"/>
      <c r="R1" s="967"/>
      <c r="S1" s="968"/>
      <c r="T1" s="254" t="s">
        <v>3</v>
      </c>
      <c r="U1" s="252"/>
      <c r="V1" s="252"/>
      <c r="W1" s="252"/>
      <c r="X1" s="252"/>
      <c r="Y1" s="252"/>
      <c r="Z1" s="251"/>
      <c r="AA1" s="214" t="s">
        <v>4</v>
      </c>
      <c r="AG1" s="969" t="s">
        <v>5</v>
      </c>
      <c r="AH1" s="967"/>
      <c r="AI1" s="967"/>
      <c r="AJ1" s="967"/>
      <c r="AK1" s="967"/>
      <c r="AL1" s="968"/>
    </row>
    <row r="2" spans="1:44" ht="43.5" customHeight="1" thickTop="1" thickBot="1">
      <c r="A2" s="215" t="s">
        <v>6</v>
      </c>
      <c r="B2" s="215" t="s">
        <v>7</v>
      </c>
      <c r="C2" s="215" t="s">
        <v>8</v>
      </c>
      <c r="D2" s="215" t="s">
        <v>9</v>
      </c>
      <c r="E2" s="242" t="s">
        <v>10</v>
      </c>
      <c r="F2" s="242" t="s">
        <v>11</v>
      </c>
      <c r="G2" s="242" t="s">
        <v>12</v>
      </c>
      <c r="H2" s="242" t="s">
        <v>10</v>
      </c>
      <c r="I2" s="242" t="s">
        <v>11</v>
      </c>
      <c r="J2" s="242" t="s">
        <v>12</v>
      </c>
      <c r="K2" s="242" t="s">
        <v>13</v>
      </c>
      <c r="L2" s="242" t="s">
        <v>14</v>
      </c>
      <c r="M2" s="242"/>
      <c r="N2" s="244" t="s">
        <v>15</v>
      </c>
      <c r="O2" s="215" t="s">
        <v>16</v>
      </c>
      <c r="P2" s="215" t="s">
        <v>17</v>
      </c>
      <c r="Q2" s="215" t="s">
        <v>18</v>
      </c>
      <c r="R2" s="215" t="s">
        <v>19</v>
      </c>
      <c r="S2" s="248" t="s">
        <v>20</v>
      </c>
      <c r="T2" s="255" t="s">
        <v>3</v>
      </c>
      <c r="U2" s="215" t="s">
        <v>171</v>
      </c>
      <c r="V2" s="215" t="s">
        <v>172</v>
      </c>
      <c r="W2" s="215" t="s">
        <v>20</v>
      </c>
      <c r="X2" s="215" t="s">
        <v>173</v>
      </c>
      <c r="Y2" s="215" t="s">
        <v>174</v>
      </c>
      <c r="Z2" s="248" t="s">
        <v>175</v>
      </c>
      <c r="AA2" s="215" t="s">
        <v>23</v>
      </c>
      <c r="AB2" s="215" t="s">
        <v>10</v>
      </c>
      <c r="AC2" s="215" t="s">
        <v>11</v>
      </c>
      <c r="AD2" s="215" t="s">
        <v>12</v>
      </c>
      <c r="AE2" s="215" t="s">
        <v>24</v>
      </c>
      <c r="AF2" s="215" t="s">
        <v>25</v>
      </c>
      <c r="AG2" s="244" t="s">
        <v>26</v>
      </c>
      <c r="AH2" s="242" t="s">
        <v>27</v>
      </c>
      <c r="AI2" s="242"/>
      <c r="AJ2" s="242" t="s">
        <v>28</v>
      </c>
      <c r="AK2" s="242"/>
      <c r="AL2" s="245" t="s">
        <v>29</v>
      </c>
      <c r="AQ2" s="703" t="s">
        <v>293</v>
      </c>
      <c r="AR2" s="185" t="s">
        <v>954</v>
      </c>
    </row>
    <row r="3" spans="1:44" ht="16.5" customHeight="1" thickTop="1">
      <c r="A3" s="227" t="s">
        <v>30</v>
      </c>
      <c r="B3" s="703" t="s">
        <v>31</v>
      </c>
      <c r="C3" s="227" t="s">
        <v>30</v>
      </c>
      <c r="D3" s="228">
        <v>29166</v>
      </c>
      <c r="E3" s="229">
        <v>1</v>
      </c>
      <c r="F3" s="230">
        <v>0</v>
      </c>
      <c r="G3" s="229">
        <v>1</v>
      </c>
      <c r="H3" s="579">
        <f t="shared" ref="H3:H21" si="0">IF(E3&gt;0,D3,"")</f>
        <v>29166</v>
      </c>
      <c r="I3" s="579" t="str">
        <f t="shared" ref="I3:I21" si="1">IF(F3&gt;0,D3,"")</f>
        <v/>
      </c>
      <c r="J3" s="579">
        <f t="shared" ref="J3:J21" si="2">IF(G3&gt;0,D3,"")</f>
        <v>29166</v>
      </c>
      <c r="K3" s="707">
        <f>'Intensity Summary'!G62</f>
        <v>52.280397731262426</v>
      </c>
      <c r="L3" s="707">
        <f>'Intensity Summary'!G4</f>
        <v>62.566344373585686</v>
      </c>
      <c r="M3" s="259"/>
      <c r="N3" s="246" t="s">
        <v>32</v>
      </c>
      <c r="O3" s="708">
        <v>1</v>
      </c>
      <c r="Q3" s="740">
        <f t="shared" ref="Q3:Q21" si="3">IF(N3="Yes",D3,0)</f>
        <v>29166</v>
      </c>
      <c r="R3" s="740">
        <f t="shared" ref="R3:R21" si="4">IF(N3="New",D3,IF(N3="Strategic",D3,0))</f>
        <v>0</v>
      </c>
      <c r="S3" s="710">
        <f t="shared" ref="S3:S21" si="5">IF(N3="Underway",D3,0)</f>
        <v>0</v>
      </c>
      <c r="T3" s="258" t="s">
        <v>32</v>
      </c>
      <c r="U3" s="741">
        <f t="shared" ref="U3:U8" si="6">IF(T3="N/A",D3,0)</f>
        <v>0</v>
      </c>
      <c r="V3" s="741">
        <f t="shared" ref="V3:V21" si="7">IF(T3="Yes",D3,IF(T3="Strategic",D3,0))</f>
        <v>29166</v>
      </c>
      <c r="W3" s="741">
        <f t="shared" ref="W3:W21" si="8">IF(T3="Underway",D3,0)</f>
        <v>0</v>
      </c>
      <c r="X3" s="741">
        <f t="shared" ref="X3:X21" si="9">IF(T3="No",D3,0)</f>
        <v>0</v>
      </c>
      <c r="Y3" s="741">
        <f>'Footprint Summary'!G33</f>
        <v>1614.7909999999999</v>
      </c>
      <c r="Z3" s="590">
        <f>'1M-NR'!U59</f>
        <v>47573</v>
      </c>
      <c r="AA3" s="708" t="s">
        <v>34</v>
      </c>
      <c r="AB3" s="742">
        <f t="shared" ref="AB3:AB21" si="10">IF(AND(E3&gt;0,AA3="100% renewable"),D3,"")</f>
        <v>29166</v>
      </c>
      <c r="AC3" s="742" t="str">
        <f t="shared" ref="AC3:AC21" si="11">IF(AND(F3&gt;0,AA3="100% renewable"),D3,"")</f>
        <v/>
      </c>
      <c r="AD3" s="742">
        <f t="shared" ref="AD3:AD21" si="12">IF(AND(G3&gt;0,AA3="100% renewable"),D3,"")</f>
        <v>29166</v>
      </c>
      <c r="AE3" s="214">
        <f t="shared" ref="AE3:AE25" si="13">IF(AA3="100% renewable",AF3,0)</f>
        <v>1824.81</v>
      </c>
      <c r="AF3" s="714">
        <f>'Footprint Summary'!G4</f>
        <v>1824.81</v>
      </c>
      <c r="AG3" s="246" t="s">
        <v>35</v>
      </c>
      <c r="AH3" s="247">
        <v>1</v>
      </c>
      <c r="AI3" s="742">
        <f t="shared" ref="AI3:AI21" si="14">AH3*D3</f>
        <v>29166</v>
      </c>
      <c r="AJ3" s="247">
        <v>0.1</v>
      </c>
      <c r="AK3" s="742">
        <f t="shared" ref="AK3:AK21" si="15">AJ3*D3</f>
        <v>2916.6000000000004</v>
      </c>
      <c r="AL3" s="708">
        <v>1</v>
      </c>
      <c r="AM3" s="701" t="s">
        <v>36</v>
      </c>
      <c r="AQ3" s="703" t="s">
        <v>31</v>
      </c>
      <c r="AR3" s="703" t="s">
        <v>955</v>
      </c>
    </row>
    <row r="4" spans="1:44" ht="16.5" customHeight="1">
      <c r="A4" s="227" t="s">
        <v>37</v>
      </c>
      <c r="B4" s="214" t="s">
        <v>38</v>
      </c>
      <c r="C4" s="227" t="s">
        <v>37</v>
      </c>
      <c r="D4" s="228">
        <v>62987</v>
      </c>
      <c r="E4" s="229">
        <v>0.5</v>
      </c>
      <c r="F4" s="230">
        <v>0</v>
      </c>
      <c r="G4" s="229">
        <v>1</v>
      </c>
      <c r="H4" s="579">
        <f t="shared" si="0"/>
        <v>62987</v>
      </c>
      <c r="I4" s="579" t="str">
        <f t="shared" si="1"/>
        <v/>
      </c>
      <c r="J4" s="579">
        <f t="shared" si="2"/>
        <v>62987</v>
      </c>
      <c r="K4" s="707">
        <f>'Intensity Summary'!G63</f>
        <v>58.699616895391109</v>
      </c>
      <c r="L4" s="707">
        <f>'Intensity Summary'!G5</f>
        <v>56.26921428231222</v>
      </c>
      <c r="M4" s="259"/>
      <c r="N4" s="246" t="s">
        <v>20</v>
      </c>
      <c r="O4" s="708">
        <v>1</v>
      </c>
      <c r="P4" s="214" t="s">
        <v>39</v>
      </c>
      <c r="Q4" s="740">
        <f t="shared" si="3"/>
        <v>0</v>
      </c>
      <c r="R4" s="740">
        <f t="shared" si="4"/>
        <v>0</v>
      </c>
      <c r="S4" s="710">
        <f t="shared" si="5"/>
        <v>62987</v>
      </c>
      <c r="T4" s="256" t="s">
        <v>20</v>
      </c>
      <c r="U4" s="741">
        <f t="shared" si="6"/>
        <v>0</v>
      </c>
      <c r="V4" s="741">
        <f t="shared" si="7"/>
        <v>0</v>
      </c>
      <c r="W4" s="741">
        <f t="shared" si="8"/>
        <v>62987</v>
      </c>
      <c r="X4" s="741">
        <f t="shared" si="9"/>
        <v>0</v>
      </c>
      <c r="Y4" s="741">
        <f>'Footprint Summary'!G34</f>
        <v>8473.1630000000005</v>
      </c>
      <c r="Z4" s="712" t="s">
        <v>40</v>
      </c>
      <c r="AA4" s="708" t="s">
        <v>41</v>
      </c>
      <c r="AB4" s="742" t="str">
        <f t="shared" si="10"/>
        <v/>
      </c>
      <c r="AC4" s="742" t="str">
        <f t="shared" si="11"/>
        <v/>
      </c>
      <c r="AD4" s="742" t="str">
        <f t="shared" si="12"/>
        <v/>
      </c>
      <c r="AE4" s="214">
        <f t="shared" si="13"/>
        <v>0</v>
      </c>
      <c r="AF4" s="714">
        <f>'Footprint Summary'!G5</f>
        <v>3544.2289999999998</v>
      </c>
      <c r="AG4" s="246" t="s">
        <v>35</v>
      </c>
      <c r="AH4" s="247">
        <v>1</v>
      </c>
      <c r="AI4" s="742">
        <f t="shared" si="14"/>
        <v>62987</v>
      </c>
      <c r="AJ4" s="247"/>
      <c r="AK4" s="742">
        <f t="shared" si="15"/>
        <v>0</v>
      </c>
      <c r="AL4" s="708">
        <f>(AK4+AI4)/D4</f>
        <v>1</v>
      </c>
      <c r="AQ4" s="214" t="s">
        <v>38</v>
      </c>
    </row>
    <row r="5" spans="1:44" ht="16.5" customHeight="1">
      <c r="A5" s="227" t="s">
        <v>30</v>
      </c>
      <c r="B5" s="214" t="s">
        <v>42</v>
      </c>
      <c r="C5" s="227" t="s">
        <v>30</v>
      </c>
      <c r="D5" s="231">
        <v>42132</v>
      </c>
      <c r="E5" s="229">
        <v>0.5</v>
      </c>
      <c r="F5" s="230">
        <v>0.25</v>
      </c>
      <c r="G5" s="229">
        <v>1</v>
      </c>
      <c r="H5" s="579">
        <f t="shared" si="0"/>
        <v>42132</v>
      </c>
      <c r="I5" s="579">
        <f t="shared" si="1"/>
        <v>42132</v>
      </c>
      <c r="J5" s="579">
        <f t="shared" si="2"/>
        <v>42132</v>
      </c>
      <c r="K5" s="707">
        <f>'Intensity Summary'!G64</f>
        <v>58.522089141744992</v>
      </c>
      <c r="L5" s="707">
        <f>'Intensity Summary'!G6</f>
        <v>66.860794645400162</v>
      </c>
      <c r="M5" s="259"/>
      <c r="N5" s="246" t="s">
        <v>32</v>
      </c>
      <c r="O5" s="708">
        <v>1</v>
      </c>
      <c r="Q5" s="740">
        <f t="shared" si="3"/>
        <v>42132</v>
      </c>
      <c r="R5" s="740">
        <f t="shared" si="4"/>
        <v>0</v>
      </c>
      <c r="S5" s="710">
        <f t="shared" si="5"/>
        <v>0</v>
      </c>
      <c r="T5" s="256" t="s">
        <v>32</v>
      </c>
      <c r="U5" s="741">
        <f t="shared" si="6"/>
        <v>0</v>
      </c>
      <c r="V5" s="741">
        <f t="shared" si="7"/>
        <v>42132</v>
      </c>
      <c r="W5" s="741">
        <f t="shared" si="8"/>
        <v>0</v>
      </c>
      <c r="X5" s="741">
        <f t="shared" si="9"/>
        <v>0</v>
      </c>
      <c r="Y5" s="741">
        <f>'Footprint Summary'!G35</f>
        <v>4662.1239999999998</v>
      </c>
      <c r="Z5" s="590" t="e">
        <f ca="1">'126P-NR'!U59</f>
        <v>#NAME?</v>
      </c>
      <c r="AA5" s="708" t="s">
        <v>34</v>
      </c>
      <c r="AB5" s="742">
        <f t="shared" si="10"/>
        <v>42132</v>
      </c>
      <c r="AC5" s="742">
        <f t="shared" si="11"/>
        <v>42132</v>
      </c>
      <c r="AD5" s="742">
        <f t="shared" si="12"/>
        <v>42132</v>
      </c>
      <c r="AE5" s="214">
        <f t="shared" si="13"/>
        <v>2816.9789999999998</v>
      </c>
      <c r="AF5" s="714">
        <f>'Footprint Summary'!G6</f>
        <v>2816.9789999999998</v>
      </c>
      <c r="AG5" s="246" t="s">
        <v>35</v>
      </c>
      <c r="AH5" s="247">
        <v>1</v>
      </c>
      <c r="AI5" s="742">
        <f t="shared" si="14"/>
        <v>42132</v>
      </c>
      <c r="AJ5" s="247"/>
      <c r="AK5" s="742">
        <f t="shared" si="15"/>
        <v>0</v>
      </c>
      <c r="AL5" s="708">
        <f>(AK5+AI5)/D5</f>
        <v>1</v>
      </c>
      <c r="AQ5" s="214" t="s">
        <v>42</v>
      </c>
    </row>
    <row r="6" spans="1:44" ht="16.5" customHeight="1">
      <c r="A6" s="227" t="s">
        <v>30</v>
      </c>
      <c r="B6" s="214" t="s">
        <v>43</v>
      </c>
      <c r="C6" s="227" t="s">
        <v>30</v>
      </c>
      <c r="D6" s="231">
        <v>12509</v>
      </c>
      <c r="E6" s="229">
        <v>1</v>
      </c>
      <c r="F6" s="230">
        <v>0</v>
      </c>
      <c r="G6" s="229">
        <v>1</v>
      </c>
      <c r="H6" s="579">
        <f t="shared" si="0"/>
        <v>12509</v>
      </c>
      <c r="I6" s="579" t="str">
        <f t="shared" si="1"/>
        <v/>
      </c>
      <c r="J6" s="579">
        <f t="shared" si="2"/>
        <v>12509</v>
      </c>
      <c r="K6" s="707">
        <f>'Intensity Summary'!G65</f>
        <v>42.251500694699807</v>
      </c>
      <c r="L6" s="707">
        <f>'Intensity Summary'!G7</f>
        <v>48.545207450635537</v>
      </c>
      <c r="M6" s="259"/>
      <c r="N6" s="246" t="s">
        <v>44</v>
      </c>
      <c r="O6" s="708">
        <v>0</v>
      </c>
      <c r="P6" s="214" t="s">
        <v>45</v>
      </c>
      <c r="Q6" s="740">
        <f t="shared" si="3"/>
        <v>0</v>
      </c>
      <c r="R6" s="740">
        <f t="shared" si="4"/>
        <v>12509</v>
      </c>
      <c r="S6" s="710">
        <f t="shared" si="5"/>
        <v>0</v>
      </c>
      <c r="T6" s="256" t="s">
        <v>44</v>
      </c>
      <c r="U6" s="741">
        <f t="shared" si="6"/>
        <v>0</v>
      </c>
      <c r="V6" s="741">
        <f t="shared" si="7"/>
        <v>12509</v>
      </c>
      <c r="W6" s="741">
        <f t="shared" si="8"/>
        <v>0</v>
      </c>
      <c r="X6" s="741">
        <f t="shared" si="9"/>
        <v>0</v>
      </c>
      <c r="Y6" s="741">
        <f>'Footprint Summary'!G36</f>
        <v>946.923</v>
      </c>
      <c r="Z6" s="712" t="s">
        <v>176</v>
      </c>
      <c r="AA6" s="708" t="s">
        <v>34</v>
      </c>
      <c r="AB6" s="742">
        <f t="shared" si="10"/>
        <v>12509</v>
      </c>
      <c r="AC6" s="742" t="str">
        <f t="shared" si="11"/>
        <v/>
      </c>
      <c r="AD6" s="742">
        <f t="shared" si="12"/>
        <v>12509</v>
      </c>
      <c r="AE6" s="214">
        <f t="shared" si="13"/>
        <v>607.25199999999995</v>
      </c>
      <c r="AF6" s="714">
        <f>'Footprint Summary'!G7</f>
        <v>607.25199999999995</v>
      </c>
      <c r="AG6" s="246" t="s">
        <v>36</v>
      </c>
      <c r="AH6" s="247">
        <v>0</v>
      </c>
      <c r="AI6" s="742">
        <f t="shared" si="14"/>
        <v>0</v>
      </c>
      <c r="AJ6" s="247">
        <v>0</v>
      </c>
      <c r="AK6" s="742">
        <f t="shared" si="15"/>
        <v>0</v>
      </c>
      <c r="AL6" s="708">
        <f>(AK6+AI6)/D6</f>
        <v>0</v>
      </c>
      <c r="AQ6" s="214" t="s">
        <v>43</v>
      </c>
    </row>
    <row r="7" spans="1:44" ht="16.5" customHeight="1">
      <c r="A7" s="227" t="s">
        <v>30</v>
      </c>
      <c r="B7" s="214" t="s">
        <v>46</v>
      </c>
      <c r="C7" s="227" t="s">
        <v>30</v>
      </c>
      <c r="D7" s="231">
        <v>27263</v>
      </c>
      <c r="E7" s="229">
        <v>1</v>
      </c>
      <c r="F7" s="230">
        <v>0</v>
      </c>
      <c r="G7" s="229">
        <v>1</v>
      </c>
      <c r="H7" s="579">
        <f t="shared" si="0"/>
        <v>27263</v>
      </c>
      <c r="I7" s="579" t="str">
        <f t="shared" si="1"/>
        <v/>
      </c>
      <c r="J7" s="579">
        <f t="shared" si="2"/>
        <v>27263</v>
      </c>
      <c r="K7" s="707">
        <f>'Intensity Summary'!G66</f>
        <v>42.778285731944401</v>
      </c>
      <c r="L7" s="707">
        <f>'Intensity Summary'!G8</f>
        <v>51.923596082602792</v>
      </c>
      <c r="M7" s="259"/>
      <c r="N7" s="246" t="s">
        <v>32</v>
      </c>
      <c r="O7" s="708">
        <v>1</v>
      </c>
      <c r="Q7" s="740">
        <f t="shared" si="3"/>
        <v>27263</v>
      </c>
      <c r="R7" s="740">
        <f t="shared" si="4"/>
        <v>0</v>
      </c>
      <c r="S7" s="710">
        <f t="shared" si="5"/>
        <v>0</v>
      </c>
      <c r="T7" s="256" t="s">
        <v>32</v>
      </c>
      <c r="U7" s="741">
        <f t="shared" si="6"/>
        <v>0</v>
      </c>
      <c r="V7" s="741">
        <f t="shared" si="7"/>
        <v>27263</v>
      </c>
      <c r="W7" s="741">
        <f t="shared" si="8"/>
        <v>0</v>
      </c>
      <c r="X7" s="741">
        <f t="shared" si="9"/>
        <v>0</v>
      </c>
      <c r="Y7" s="741">
        <f>'Footprint Summary'!G37</f>
        <v>930.447</v>
      </c>
      <c r="Z7" s="590" t="e">
        <f ca="1">'135K-NR'!U59</f>
        <v>#NAME?</v>
      </c>
      <c r="AA7" s="708" t="s">
        <v>34</v>
      </c>
      <c r="AB7" s="742">
        <f t="shared" si="10"/>
        <v>27263</v>
      </c>
      <c r="AC7" s="742" t="str">
        <f t="shared" si="11"/>
        <v/>
      </c>
      <c r="AD7" s="742">
        <f t="shared" si="12"/>
        <v>27263</v>
      </c>
      <c r="AE7" s="214">
        <f t="shared" si="13"/>
        <v>1415.5930000000001</v>
      </c>
      <c r="AF7" s="714">
        <f>'Footprint Summary'!G8</f>
        <v>1415.5930000000001</v>
      </c>
      <c r="AG7" s="246" t="s">
        <v>35</v>
      </c>
      <c r="AH7" s="247">
        <v>1</v>
      </c>
      <c r="AI7" s="742">
        <f t="shared" si="14"/>
        <v>27263</v>
      </c>
      <c r="AJ7" s="247">
        <v>0.25</v>
      </c>
      <c r="AK7" s="742">
        <f t="shared" si="15"/>
        <v>6815.75</v>
      </c>
      <c r="AL7" s="708">
        <v>1</v>
      </c>
      <c r="AM7" s="701" t="s">
        <v>36</v>
      </c>
      <c r="AQ7" s="214" t="s">
        <v>46</v>
      </c>
    </row>
    <row r="8" spans="1:44" ht="16.5" customHeight="1">
      <c r="A8" s="227" t="s">
        <v>30</v>
      </c>
      <c r="B8" s="214" t="s">
        <v>47</v>
      </c>
      <c r="C8" s="227" t="s">
        <v>30</v>
      </c>
      <c r="D8" s="231">
        <v>39057</v>
      </c>
      <c r="E8" s="229">
        <v>1</v>
      </c>
      <c r="F8" s="230">
        <v>0</v>
      </c>
      <c r="G8" s="229">
        <v>1</v>
      </c>
      <c r="H8" s="579">
        <f t="shared" si="0"/>
        <v>39057</v>
      </c>
      <c r="I8" s="579" t="str">
        <f t="shared" si="1"/>
        <v/>
      </c>
      <c r="J8" s="579">
        <f t="shared" si="2"/>
        <v>39057</v>
      </c>
      <c r="K8" s="707">
        <f>'Intensity Summary'!G67</f>
        <v>32.756571968917221</v>
      </c>
      <c r="L8" s="707">
        <f>'Intensity Summary'!G9</f>
        <v>38.961312952863764</v>
      </c>
      <c r="M8" s="259"/>
      <c r="N8" s="246" t="s">
        <v>32</v>
      </c>
      <c r="O8" s="708">
        <v>1</v>
      </c>
      <c r="Q8" s="740">
        <f t="shared" si="3"/>
        <v>39057</v>
      </c>
      <c r="R8" s="740">
        <f t="shared" si="4"/>
        <v>0</v>
      </c>
      <c r="S8" s="710">
        <f t="shared" si="5"/>
        <v>0</v>
      </c>
      <c r="T8" s="256" t="s">
        <v>32</v>
      </c>
      <c r="U8" s="741">
        <f t="shared" si="6"/>
        <v>0</v>
      </c>
      <c r="V8" s="741">
        <f t="shared" si="7"/>
        <v>39057</v>
      </c>
      <c r="W8" s="741">
        <f t="shared" si="8"/>
        <v>0</v>
      </c>
      <c r="X8" s="741">
        <f t="shared" si="9"/>
        <v>0</v>
      </c>
      <c r="Y8" s="741">
        <f>'Footprint Summary'!G38</f>
        <v>1498.5630000000001</v>
      </c>
      <c r="Z8" s="590" t="e">
        <f ca="1">'201K-NR'!U59</f>
        <v>#NAME?</v>
      </c>
      <c r="AA8" s="708" t="s">
        <v>34</v>
      </c>
      <c r="AB8" s="742">
        <f t="shared" si="10"/>
        <v>39057</v>
      </c>
      <c r="AC8" s="742" t="str">
        <f t="shared" si="11"/>
        <v/>
      </c>
      <c r="AD8" s="742">
        <f t="shared" si="12"/>
        <v>39057</v>
      </c>
      <c r="AE8" s="214">
        <f t="shared" si="13"/>
        <v>1521.712</v>
      </c>
      <c r="AF8" s="714">
        <f>'Footprint Summary'!G9</f>
        <v>1521.712</v>
      </c>
      <c r="AG8" s="246" t="s">
        <v>35</v>
      </c>
      <c r="AH8" s="247">
        <v>1</v>
      </c>
      <c r="AI8" s="742">
        <f t="shared" si="14"/>
        <v>39057</v>
      </c>
      <c r="AJ8" s="247">
        <v>0</v>
      </c>
      <c r="AK8" s="742">
        <f t="shared" si="15"/>
        <v>0</v>
      </c>
      <c r="AL8" s="708">
        <v>1</v>
      </c>
      <c r="AM8" s="701" t="s">
        <v>36</v>
      </c>
      <c r="AQ8" s="214" t="s">
        <v>47</v>
      </c>
    </row>
    <row r="9" spans="1:44" ht="16.5" customHeight="1">
      <c r="A9" s="227" t="s">
        <v>48</v>
      </c>
      <c r="B9" s="214" t="s">
        <v>49</v>
      </c>
      <c r="C9" s="227" t="s">
        <v>48</v>
      </c>
      <c r="D9" s="231">
        <v>24754</v>
      </c>
      <c r="E9" s="229">
        <v>1</v>
      </c>
      <c r="F9" s="230">
        <v>0</v>
      </c>
      <c r="G9" s="229">
        <v>1</v>
      </c>
      <c r="H9" s="579">
        <f t="shared" si="0"/>
        <v>24754</v>
      </c>
      <c r="I9" s="579" t="str">
        <f t="shared" si="1"/>
        <v/>
      </c>
      <c r="J9" s="579">
        <f t="shared" si="2"/>
        <v>24754</v>
      </c>
      <c r="K9" s="707">
        <f>'Intensity Summary'!G68</f>
        <v>66.801932616950793</v>
      </c>
      <c r="L9" s="707">
        <f>'Intensity Summary'!G10</f>
        <v>75.911287064716802</v>
      </c>
      <c r="M9" s="259"/>
      <c r="N9" s="701" t="s">
        <v>32</v>
      </c>
      <c r="O9" s="708">
        <v>1</v>
      </c>
      <c r="P9" s="214" t="s">
        <v>50</v>
      </c>
      <c r="Q9" s="740">
        <f t="shared" si="3"/>
        <v>24754</v>
      </c>
      <c r="R9" s="740">
        <f t="shared" si="4"/>
        <v>0</v>
      </c>
      <c r="S9" s="710">
        <f t="shared" si="5"/>
        <v>0</v>
      </c>
      <c r="T9" s="256" t="s">
        <v>51</v>
      </c>
      <c r="U9" s="741">
        <f t="shared" ref="U9:U21" si="16">IF(T9="N/A",D9,0)</f>
        <v>24754</v>
      </c>
      <c r="V9" s="741">
        <f t="shared" si="7"/>
        <v>0</v>
      </c>
      <c r="W9" s="741">
        <f t="shared" si="8"/>
        <v>0</v>
      </c>
      <c r="X9" s="741">
        <f t="shared" si="9"/>
        <v>0</v>
      </c>
      <c r="Y9" s="741">
        <f>'Footprint Summary'!G39</f>
        <v>0</v>
      </c>
      <c r="Z9" s="712" t="s">
        <v>176</v>
      </c>
      <c r="AA9" s="708" t="s">
        <v>41</v>
      </c>
      <c r="AB9" s="742" t="str">
        <f t="shared" si="10"/>
        <v/>
      </c>
      <c r="AC9" s="742" t="str">
        <f t="shared" si="11"/>
        <v/>
      </c>
      <c r="AD9" s="742" t="str">
        <f t="shared" si="12"/>
        <v/>
      </c>
      <c r="AE9" s="214">
        <f t="shared" si="13"/>
        <v>0</v>
      </c>
      <c r="AF9" s="714">
        <f>'Footprint Summary'!G10</f>
        <v>1879.1079999999999</v>
      </c>
      <c r="AG9" s="246" t="s">
        <v>36</v>
      </c>
      <c r="AH9" s="247">
        <v>0</v>
      </c>
      <c r="AI9" s="742">
        <f t="shared" si="14"/>
        <v>0</v>
      </c>
      <c r="AJ9" s="247">
        <v>0.15</v>
      </c>
      <c r="AK9" s="742">
        <f t="shared" si="15"/>
        <v>3713.1</v>
      </c>
      <c r="AL9" s="708">
        <f t="shared" ref="AL9:AL21" si="17">(AK9+AI9)/D9</f>
        <v>0.15</v>
      </c>
      <c r="AQ9" s="214" t="s">
        <v>49</v>
      </c>
    </row>
    <row r="10" spans="1:44" ht="16.5" customHeight="1">
      <c r="A10" s="227" t="s">
        <v>30</v>
      </c>
      <c r="B10" s="214" t="s">
        <v>92</v>
      </c>
      <c r="C10" s="227" t="s">
        <v>30</v>
      </c>
      <c r="D10" s="231">
        <v>26819</v>
      </c>
      <c r="E10" s="232">
        <v>0</v>
      </c>
      <c r="F10" s="230">
        <v>1</v>
      </c>
      <c r="G10" s="229">
        <v>1</v>
      </c>
      <c r="H10" s="579" t="str">
        <f t="shared" si="0"/>
        <v/>
      </c>
      <c r="I10" s="579">
        <f t="shared" si="1"/>
        <v>26819</v>
      </c>
      <c r="J10" s="579">
        <f t="shared" si="2"/>
        <v>26819</v>
      </c>
      <c r="K10" s="707">
        <f>'Intensity Summary'!G69</f>
        <v>45.971223533315943</v>
      </c>
      <c r="L10" s="707">
        <f>'Intensity Summary'!G11</f>
        <v>55.326596815690372</v>
      </c>
      <c r="M10" s="259"/>
      <c r="N10" s="246" t="s">
        <v>32</v>
      </c>
      <c r="O10" s="708">
        <v>1</v>
      </c>
      <c r="Q10" s="740">
        <f t="shared" si="3"/>
        <v>26819</v>
      </c>
      <c r="R10" s="740">
        <f t="shared" si="4"/>
        <v>0</v>
      </c>
      <c r="S10" s="710">
        <f t="shared" si="5"/>
        <v>0</v>
      </c>
      <c r="T10" s="256" t="s">
        <v>32</v>
      </c>
      <c r="U10" s="741">
        <f t="shared" si="16"/>
        <v>0</v>
      </c>
      <c r="V10" s="741">
        <f t="shared" si="7"/>
        <v>26819</v>
      </c>
      <c r="W10" s="741">
        <f t="shared" si="8"/>
        <v>0</v>
      </c>
      <c r="X10" s="741">
        <f t="shared" si="9"/>
        <v>0</v>
      </c>
      <c r="Y10" s="741">
        <f>'Footprint Summary'!G40</f>
        <v>1177.8979999999999</v>
      </c>
      <c r="Z10" s="590" t="e">
        <f ca="1">'347K-NR'!U59</f>
        <v>#NAME?</v>
      </c>
      <c r="AA10" s="708" t="s">
        <v>34</v>
      </c>
      <c r="AB10" s="742" t="str">
        <f t="shared" si="10"/>
        <v/>
      </c>
      <c r="AC10" s="742">
        <f t="shared" si="11"/>
        <v>26819</v>
      </c>
      <c r="AD10" s="742">
        <f t="shared" si="12"/>
        <v>26819</v>
      </c>
      <c r="AE10" s="214">
        <f t="shared" si="13"/>
        <v>1483.8040000000001</v>
      </c>
      <c r="AF10" s="714">
        <f>'Footprint Summary'!G11</f>
        <v>1483.8040000000001</v>
      </c>
      <c r="AG10" s="246" t="s">
        <v>53</v>
      </c>
      <c r="AH10" s="247">
        <v>1</v>
      </c>
      <c r="AI10" s="742">
        <f t="shared" si="14"/>
        <v>26819</v>
      </c>
      <c r="AJ10" s="247"/>
      <c r="AK10" s="742">
        <f t="shared" si="15"/>
        <v>0</v>
      </c>
      <c r="AL10" s="708">
        <f t="shared" si="17"/>
        <v>1</v>
      </c>
      <c r="AQ10" s="214" t="s">
        <v>92</v>
      </c>
    </row>
    <row r="11" spans="1:44" ht="16.5" customHeight="1">
      <c r="A11" s="227" t="s">
        <v>30</v>
      </c>
      <c r="B11" s="214" t="s">
        <v>52</v>
      </c>
      <c r="C11" s="227" t="s">
        <v>30</v>
      </c>
      <c r="D11" s="231">
        <v>28396</v>
      </c>
      <c r="E11" s="229">
        <v>0.75</v>
      </c>
      <c r="F11" s="230">
        <v>0</v>
      </c>
      <c r="G11" s="229">
        <v>1</v>
      </c>
      <c r="H11" s="579">
        <f t="shared" si="0"/>
        <v>28396</v>
      </c>
      <c r="I11" s="579" t="str">
        <f t="shared" si="1"/>
        <v/>
      </c>
      <c r="J11" s="579">
        <f t="shared" si="2"/>
        <v>28396</v>
      </c>
      <c r="K11" s="707">
        <f>'Intensity Summary'!G70</f>
        <v>37.690594449922528</v>
      </c>
      <c r="L11" s="707">
        <f>'Intensity Summary'!G12</f>
        <v>42.646851669249187</v>
      </c>
      <c r="M11" s="259"/>
      <c r="N11" s="246" t="s">
        <v>32</v>
      </c>
      <c r="O11" s="708">
        <v>1</v>
      </c>
      <c r="Q11" s="740">
        <f t="shared" si="3"/>
        <v>28396</v>
      </c>
      <c r="R11" s="740">
        <f t="shared" si="4"/>
        <v>0</v>
      </c>
      <c r="S11" s="710">
        <f t="shared" si="5"/>
        <v>0</v>
      </c>
      <c r="T11" s="256" t="s">
        <v>32</v>
      </c>
      <c r="U11" s="741">
        <f t="shared" si="16"/>
        <v>0</v>
      </c>
      <c r="V11" s="741">
        <f t="shared" si="7"/>
        <v>28396</v>
      </c>
      <c r="W11" s="741">
        <f t="shared" si="8"/>
        <v>0</v>
      </c>
      <c r="X11" s="741">
        <f t="shared" si="9"/>
        <v>0</v>
      </c>
      <c r="Y11" s="741">
        <f>'Footprint Summary'!G41</f>
        <v>2204</v>
      </c>
      <c r="Z11" s="590" t="e">
        <f ca="1">'40M-NR'!U59</f>
        <v>#NAME?</v>
      </c>
      <c r="AA11" s="708" t="s">
        <v>34</v>
      </c>
      <c r="AB11" s="742">
        <f t="shared" si="10"/>
        <v>28396</v>
      </c>
      <c r="AC11" s="742" t="str">
        <f t="shared" si="11"/>
        <v/>
      </c>
      <c r="AD11" s="742">
        <f t="shared" si="12"/>
        <v>28396</v>
      </c>
      <c r="AE11" s="214">
        <f t="shared" si="13"/>
        <v>1211</v>
      </c>
      <c r="AF11" s="714">
        <f>'Footprint Summary'!G12</f>
        <v>1211</v>
      </c>
      <c r="AG11" s="246" t="s">
        <v>53</v>
      </c>
      <c r="AH11" s="247">
        <v>1</v>
      </c>
      <c r="AI11" s="742">
        <f t="shared" si="14"/>
        <v>28396</v>
      </c>
      <c r="AJ11" s="247"/>
      <c r="AK11" s="742">
        <f t="shared" si="15"/>
        <v>0</v>
      </c>
      <c r="AL11" s="708">
        <f t="shared" si="17"/>
        <v>1</v>
      </c>
      <c r="AQ11" s="214" t="s">
        <v>52</v>
      </c>
    </row>
    <row r="12" spans="1:44" ht="16.5" customHeight="1">
      <c r="A12" s="227" t="s">
        <v>30</v>
      </c>
      <c r="B12" s="214" t="s">
        <v>54</v>
      </c>
      <c r="C12" s="227" t="s">
        <v>30</v>
      </c>
      <c r="D12" s="231">
        <v>37558</v>
      </c>
      <c r="E12" s="229">
        <v>0.75</v>
      </c>
      <c r="F12" s="230">
        <v>0</v>
      </c>
      <c r="G12" s="229">
        <v>1</v>
      </c>
      <c r="H12" s="579">
        <f t="shared" si="0"/>
        <v>37558</v>
      </c>
      <c r="I12" s="579" t="str">
        <f t="shared" si="1"/>
        <v/>
      </c>
      <c r="J12" s="579">
        <f t="shared" si="2"/>
        <v>37558</v>
      </c>
      <c r="K12" s="707">
        <f>'Intensity Summary'!G71</f>
        <v>37.252146384525268</v>
      </c>
      <c r="L12" s="707">
        <f>'Intensity Summary'!G13</f>
        <v>45.538686831034667</v>
      </c>
      <c r="M12" s="259"/>
      <c r="N12" s="246" t="s">
        <v>32</v>
      </c>
      <c r="O12" s="708">
        <v>1</v>
      </c>
      <c r="Q12" s="740">
        <f t="shared" si="3"/>
        <v>37558</v>
      </c>
      <c r="R12" s="740">
        <f t="shared" si="4"/>
        <v>0</v>
      </c>
      <c r="S12" s="710">
        <f t="shared" si="5"/>
        <v>0</v>
      </c>
      <c r="T12" s="256" t="s">
        <v>32</v>
      </c>
      <c r="U12" s="741">
        <f t="shared" si="16"/>
        <v>0</v>
      </c>
      <c r="V12" s="741">
        <f t="shared" si="7"/>
        <v>37558</v>
      </c>
      <c r="W12" s="741">
        <f t="shared" si="8"/>
        <v>0</v>
      </c>
      <c r="X12" s="741">
        <f t="shared" si="9"/>
        <v>0</v>
      </c>
      <c r="Y12" s="741">
        <f>'Footprint Summary'!G42</f>
        <v>930.447</v>
      </c>
      <c r="Z12" s="590">
        <f>'420G-NR'!U59</f>
        <v>49369</v>
      </c>
      <c r="AA12" s="708" t="s">
        <v>34</v>
      </c>
      <c r="AB12" s="742">
        <f t="shared" si="10"/>
        <v>37558</v>
      </c>
      <c r="AC12" s="742" t="str">
        <f t="shared" si="11"/>
        <v/>
      </c>
      <c r="AD12" s="742">
        <f t="shared" si="12"/>
        <v>37558</v>
      </c>
      <c r="AE12" s="214">
        <f t="shared" si="13"/>
        <v>1710.3420000000001</v>
      </c>
      <c r="AF12" s="714">
        <f>'Footprint Summary'!G13</f>
        <v>1710.3420000000001</v>
      </c>
      <c r="AG12" s="246" t="s">
        <v>53</v>
      </c>
      <c r="AH12" s="247">
        <v>1</v>
      </c>
      <c r="AI12" s="742">
        <f t="shared" si="14"/>
        <v>37558</v>
      </c>
      <c r="AJ12" s="247"/>
      <c r="AK12" s="742">
        <f t="shared" si="15"/>
        <v>0</v>
      </c>
      <c r="AL12" s="708">
        <f t="shared" si="17"/>
        <v>1</v>
      </c>
      <c r="AQ12" s="214" t="s">
        <v>54</v>
      </c>
    </row>
    <row r="13" spans="1:44" ht="16.5" customHeight="1">
      <c r="A13" s="227" t="s">
        <v>37</v>
      </c>
      <c r="B13" s="214" t="s">
        <v>55</v>
      </c>
      <c r="C13" s="227" t="s">
        <v>37</v>
      </c>
      <c r="D13" s="231">
        <v>55051</v>
      </c>
      <c r="E13" s="229">
        <v>0.5</v>
      </c>
      <c r="F13" s="230">
        <v>0.5</v>
      </c>
      <c r="G13" s="229">
        <v>1</v>
      </c>
      <c r="H13" s="579">
        <f t="shared" si="0"/>
        <v>55051</v>
      </c>
      <c r="I13" s="579">
        <f t="shared" si="1"/>
        <v>55051</v>
      </c>
      <c r="J13" s="579">
        <f t="shared" si="2"/>
        <v>55051</v>
      </c>
      <c r="K13" s="707">
        <f>'Intensity Summary'!G72</f>
        <v>26.485311025231148</v>
      </c>
      <c r="L13" s="707">
        <f>'Intensity Summary'!G14</f>
        <v>23.219623621732577</v>
      </c>
      <c r="M13" s="259"/>
      <c r="N13" s="246" t="s">
        <v>32</v>
      </c>
      <c r="O13" s="708">
        <v>1</v>
      </c>
      <c r="Q13" s="740">
        <f t="shared" si="3"/>
        <v>55051</v>
      </c>
      <c r="R13" s="740">
        <f t="shared" si="4"/>
        <v>0</v>
      </c>
      <c r="S13" s="710">
        <f t="shared" si="5"/>
        <v>0</v>
      </c>
      <c r="T13" s="256" t="s">
        <v>32</v>
      </c>
      <c r="U13" s="741">
        <f t="shared" si="16"/>
        <v>0</v>
      </c>
      <c r="V13" s="741">
        <f t="shared" si="7"/>
        <v>55051</v>
      </c>
      <c r="W13" s="741">
        <f t="shared" si="8"/>
        <v>0</v>
      </c>
      <c r="X13" s="741">
        <f t="shared" si="9"/>
        <v>0</v>
      </c>
      <c r="Y13" s="741">
        <f>'Footprint Summary'!G43</f>
        <v>5473.3249999999998</v>
      </c>
      <c r="Z13" s="590" t="e">
        <f ca="1">'567C-NR'!U59</f>
        <v>#NAME?</v>
      </c>
      <c r="AA13" s="708" t="s">
        <v>41</v>
      </c>
      <c r="AB13" s="742" t="str">
        <f t="shared" si="10"/>
        <v/>
      </c>
      <c r="AC13" s="742" t="str">
        <f t="shared" si="11"/>
        <v/>
      </c>
      <c r="AD13" s="742" t="str">
        <f t="shared" si="12"/>
        <v/>
      </c>
      <c r="AE13" s="214">
        <f t="shared" si="13"/>
        <v>0</v>
      </c>
      <c r="AF13" s="714">
        <f>'Footprint Summary'!G14</f>
        <v>1278.2635</v>
      </c>
      <c r="AG13" s="246" t="s">
        <v>53</v>
      </c>
      <c r="AH13" s="247">
        <v>1</v>
      </c>
      <c r="AI13" s="742">
        <f t="shared" si="14"/>
        <v>55051</v>
      </c>
      <c r="AJ13" s="247"/>
      <c r="AK13" s="742">
        <f t="shared" si="15"/>
        <v>0</v>
      </c>
      <c r="AL13" s="708">
        <f t="shared" si="17"/>
        <v>1</v>
      </c>
      <c r="AQ13" s="214" t="s">
        <v>55</v>
      </c>
    </row>
    <row r="14" spans="1:44" ht="16.5" customHeight="1">
      <c r="A14" s="227" t="s">
        <v>30</v>
      </c>
      <c r="B14" s="214" t="s">
        <v>56</v>
      </c>
      <c r="C14" s="227" t="s">
        <v>30</v>
      </c>
      <c r="D14" s="231">
        <v>39938</v>
      </c>
      <c r="E14" s="229">
        <v>0.5</v>
      </c>
      <c r="F14" s="230">
        <v>0</v>
      </c>
      <c r="G14" s="229">
        <v>1</v>
      </c>
      <c r="H14" s="579">
        <f t="shared" si="0"/>
        <v>39938</v>
      </c>
      <c r="I14" s="579" t="str">
        <f t="shared" si="1"/>
        <v/>
      </c>
      <c r="J14" s="579">
        <f t="shared" si="2"/>
        <v>39938</v>
      </c>
      <c r="K14" s="707">
        <f>'Intensity Summary'!G73</f>
        <v>57.527694203265064</v>
      </c>
      <c r="L14" s="707">
        <f>'Intensity Summary'!G15</f>
        <v>64.97538684961691</v>
      </c>
      <c r="M14" s="259"/>
      <c r="N14" s="246" t="s">
        <v>57</v>
      </c>
      <c r="O14" s="708">
        <v>0</v>
      </c>
      <c r="P14" s="214" t="s">
        <v>58</v>
      </c>
      <c r="Q14" s="740">
        <f t="shared" si="3"/>
        <v>0</v>
      </c>
      <c r="R14" s="740">
        <f t="shared" si="4"/>
        <v>39938</v>
      </c>
      <c r="S14" s="710">
        <f t="shared" si="5"/>
        <v>0</v>
      </c>
      <c r="T14" s="256" t="s">
        <v>59</v>
      </c>
      <c r="U14" s="741">
        <f t="shared" si="16"/>
        <v>0</v>
      </c>
      <c r="V14" s="741">
        <f t="shared" si="7"/>
        <v>0</v>
      </c>
      <c r="W14" s="741">
        <f t="shared" si="8"/>
        <v>0</v>
      </c>
      <c r="X14" s="741">
        <f t="shared" si="9"/>
        <v>39938</v>
      </c>
      <c r="Y14" s="741">
        <f>'Footprint Summary'!G44</f>
        <v>4803.0529999999999</v>
      </c>
      <c r="Z14" s="717" t="s">
        <v>40</v>
      </c>
      <c r="AA14" s="708" t="s">
        <v>34</v>
      </c>
      <c r="AB14" s="742">
        <f t="shared" si="10"/>
        <v>39938</v>
      </c>
      <c r="AC14" s="742" t="str">
        <f t="shared" si="11"/>
        <v/>
      </c>
      <c r="AD14" s="742">
        <f t="shared" si="12"/>
        <v>39938</v>
      </c>
      <c r="AE14" s="214">
        <f t="shared" si="13"/>
        <v>2594.9870000000001</v>
      </c>
      <c r="AF14" s="714">
        <f>'Footprint Summary'!G15</f>
        <v>2594.9870000000001</v>
      </c>
      <c r="AG14" s="246" t="s">
        <v>53</v>
      </c>
      <c r="AH14" s="247">
        <v>1</v>
      </c>
      <c r="AI14" s="742">
        <f t="shared" si="14"/>
        <v>39938</v>
      </c>
      <c r="AJ14" s="247"/>
      <c r="AK14" s="742">
        <f t="shared" si="15"/>
        <v>0</v>
      </c>
      <c r="AL14" s="708">
        <f t="shared" si="17"/>
        <v>1</v>
      </c>
      <c r="AQ14" s="214" t="s">
        <v>56</v>
      </c>
    </row>
    <row r="15" spans="1:44" ht="16.5" customHeight="1">
      <c r="A15" s="227" t="s">
        <v>30</v>
      </c>
      <c r="B15" s="279" t="s">
        <v>93</v>
      </c>
      <c r="C15" s="227" t="s">
        <v>30</v>
      </c>
      <c r="D15" s="231">
        <v>20404</v>
      </c>
      <c r="E15" s="232">
        <v>0</v>
      </c>
      <c r="F15" s="230">
        <v>1</v>
      </c>
      <c r="G15" s="229">
        <v>1</v>
      </c>
      <c r="H15" s="579" t="str">
        <f t="shared" si="0"/>
        <v/>
      </c>
      <c r="I15" s="579">
        <f t="shared" si="1"/>
        <v>20404</v>
      </c>
      <c r="J15" s="579">
        <f t="shared" si="2"/>
        <v>20404</v>
      </c>
      <c r="K15" s="707">
        <f>'Intensity Summary'!G74</f>
        <v>43.202465609684381</v>
      </c>
      <c r="L15" s="707">
        <f>'Intensity Summary'!G16</f>
        <v>51.914673593413056</v>
      </c>
      <c r="M15" s="259"/>
      <c r="N15" s="701" t="s">
        <v>57</v>
      </c>
      <c r="O15" s="708">
        <v>0</v>
      </c>
      <c r="P15" s="214" t="s">
        <v>58</v>
      </c>
      <c r="Q15" s="740">
        <f t="shared" si="3"/>
        <v>0</v>
      </c>
      <c r="R15" s="740">
        <f t="shared" si="4"/>
        <v>20404</v>
      </c>
      <c r="S15" s="710">
        <f t="shared" si="5"/>
        <v>0</v>
      </c>
      <c r="T15" s="256" t="s">
        <v>32</v>
      </c>
      <c r="U15" s="741">
        <f t="shared" si="16"/>
        <v>0</v>
      </c>
      <c r="V15" s="741">
        <f t="shared" si="7"/>
        <v>20404</v>
      </c>
      <c r="W15" s="741">
        <f t="shared" si="8"/>
        <v>0</v>
      </c>
      <c r="X15" s="741">
        <f t="shared" si="9"/>
        <v>0</v>
      </c>
      <c r="Y15" s="741">
        <f>'Footprint Summary'!G45</f>
        <v>867.11</v>
      </c>
      <c r="Z15" s="590" t="e">
        <f ca="1">'151C-NR'!U59</f>
        <v>#NAME?</v>
      </c>
      <c r="AA15" s="708" t="s">
        <v>34</v>
      </c>
      <c r="AB15" s="742" t="str">
        <f t="shared" si="10"/>
        <v/>
      </c>
      <c r="AC15" s="742">
        <f t="shared" si="11"/>
        <v>20404</v>
      </c>
      <c r="AD15" s="742">
        <f t="shared" si="12"/>
        <v>20404</v>
      </c>
      <c r="AE15" s="214">
        <f t="shared" si="13"/>
        <v>1059.2670000000001</v>
      </c>
      <c r="AF15" s="714">
        <f>'Footprint Summary'!G16</f>
        <v>1059.2670000000001</v>
      </c>
      <c r="AG15" s="246" t="s">
        <v>53</v>
      </c>
      <c r="AH15" s="247">
        <v>1</v>
      </c>
      <c r="AI15" s="742">
        <f t="shared" si="14"/>
        <v>20404</v>
      </c>
      <c r="AJ15" s="247"/>
      <c r="AK15" s="742">
        <f t="shared" si="15"/>
        <v>0</v>
      </c>
      <c r="AL15" s="708">
        <f t="shared" si="17"/>
        <v>1</v>
      </c>
      <c r="AQ15" s="279" t="s">
        <v>93</v>
      </c>
    </row>
    <row r="16" spans="1:44" ht="16.5" customHeight="1">
      <c r="A16" s="227" t="s">
        <v>37</v>
      </c>
      <c r="B16" s="214" t="s">
        <v>60</v>
      </c>
      <c r="C16" s="227" t="s">
        <v>37</v>
      </c>
      <c r="D16" s="231">
        <v>1422</v>
      </c>
      <c r="E16" s="229">
        <v>1</v>
      </c>
      <c r="F16" s="230">
        <v>0</v>
      </c>
      <c r="G16" s="229">
        <v>1</v>
      </c>
      <c r="H16" s="579">
        <f t="shared" si="0"/>
        <v>1422</v>
      </c>
      <c r="I16" s="579" t="str">
        <f t="shared" si="1"/>
        <v/>
      </c>
      <c r="J16" s="579">
        <f t="shared" si="2"/>
        <v>1422</v>
      </c>
      <c r="K16" s="707">
        <f>'Intensity Summary'!G75</f>
        <v>0</v>
      </c>
      <c r="L16" s="707">
        <f>'Intensity Summary'!G17</f>
        <v>0</v>
      </c>
      <c r="M16" s="259"/>
      <c r="N16" s="246" t="s">
        <v>44</v>
      </c>
      <c r="O16" s="708">
        <v>0</v>
      </c>
      <c r="P16" s="214" t="s">
        <v>61</v>
      </c>
      <c r="Q16" s="740">
        <f t="shared" si="3"/>
        <v>0</v>
      </c>
      <c r="R16" s="740">
        <f t="shared" si="4"/>
        <v>1422</v>
      </c>
      <c r="S16" s="710">
        <f t="shared" si="5"/>
        <v>0</v>
      </c>
      <c r="T16" s="256" t="s">
        <v>51</v>
      </c>
      <c r="U16" s="741">
        <f t="shared" si="16"/>
        <v>1422</v>
      </c>
      <c r="V16" s="741">
        <f t="shared" si="7"/>
        <v>0</v>
      </c>
      <c r="W16" s="741">
        <f t="shared" si="8"/>
        <v>0</v>
      </c>
      <c r="X16" s="741">
        <f t="shared" si="9"/>
        <v>0</v>
      </c>
      <c r="Y16" s="741">
        <f>'Footprint Summary'!G46</f>
        <v>0</v>
      </c>
      <c r="Z16" s="712" t="s">
        <v>176</v>
      </c>
      <c r="AA16" s="708" t="s">
        <v>41</v>
      </c>
      <c r="AB16" s="742" t="str">
        <f t="shared" si="10"/>
        <v/>
      </c>
      <c r="AC16" s="742" t="str">
        <f t="shared" si="11"/>
        <v/>
      </c>
      <c r="AD16" s="742" t="str">
        <f t="shared" si="12"/>
        <v/>
      </c>
      <c r="AE16" s="214">
        <f t="shared" si="13"/>
        <v>0</v>
      </c>
      <c r="AF16" s="714">
        <f>'Footprint Summary'!G17</f>
        <v>0</v>
      </c>
      <c r="AG16" s="246" t="s">
        <v>36</v>
      </c>
      <c r="AH16" s="247">
        <v>0</v>
      </c>
      <c r="AI16" s="742">
        <f t="shared" si="14"/>
        <v>0</v>
      </c>
      <c r="AJ16" s="247">
        <v>0</v>
      </c>
      <c r="AK16" s="742">
        <f t="shared" si="15"/>
        <v>0</v>
      </c>
      <c r="AL16" s="708">
        <f t="shared" si="17"/>
        <v>0</v>
      </c>
      <c r="AQ16" s="214" t="s">
        <v>60</v>
      </c>
    </row>
    <row r="17" spans="1:43" ht="16.5" customHeight="1">
      <c r="A17" s="227" t="s">
        <v>66</v>
      </c>
      <c r="B17" s="214" t="s">
        <v>170</v>
      </c>
      <c r="C17" s="227" t="s">
        <v>66</v>
      </c>
      <c r="D17" s="231">
        <v>0</v>
      </c>
      <c r="E17" s="232">
        <v>0</v>
      </c>
      <c r="F17" s="230">
        <v>0</v>
      </c>
      <c r="G17" s="229">
        <v>1</v>
      </c>
      <c r="H17" s="579" t="str">
        <f t="shared" si="0"/>
        <v/>
      </c>
      <c r="I17" s="579" t="str">
        <f t="shared" si="1"/>
        <v/>
      </c>
      <c r="J17" s="579">
        <f t="shared" si="2"/>
        <v>0</v>
      </c>
      <c r="K17" s="707">
        <f>'Intensity Summary'!G76</f>
        <v>71.197871138230127</v>
      </c>
      <c r="L17" s="707">
        <f>'Intensity Summary'!G18</f>
        <v>88.606698994459734</v>
      </c>
      <c r="M17" s="259"/>
      <c r="N17" s="246" t="s">
        <v>32</v>
      </c>
      <c r="O17" s="708">
        <v>1</v>
      </c>
      <c r="Q17" s="214">
        <f t="shared" si="3"/>
        <v>0</v>
      </c>
      <c r="R17" s="740">
        <f t="shared" si="4"/>
        <v>0</v>
      </c>
      <c r="S17" s="249">
        <f t="shared" si="5"/>
        <v>0</v>
      </c>
      <c r="T17" s="256" t="s">
        <v>32</v>
      </c>
      <c r="U17" s="741">
        <f t="shared" si="16"/>
        <v>0</v>
      </c>
      <c r="V17" s="741">
        <f t="shared" si="7"/>
        <v>0</v>
      </c>
      <c r="W17" s="741">
        <f t="shared" si="8"/>
        <v>0</v>
      </c>
      <c r="X17" s="741">
        <f t="shared" si="9"/>
        <v>0</v>
      </c>
      <c r="Y17" s="741">
        <f>'Footprint Summary'!G47</f>
        <v>403.87900000000002</v>
      </c>
      <c r="Z17" s="712" t="s">
        <v>176</v>
      </c>
      <c r="AA17" s="708" t="s">
        <v>41</v>
      </c>
      <c r="AB17" s="742" t="str">
        <f t="shared" si="10"/>
        <v/>
      </c>
      <c r="AC17" s="742" t="str">
        <f t="shared" si="11"/>
        <v/>
      </c>
      <c r="AD17" s="742" t="str">
        <f t="shared" si="12"/>
        <v/>
      </c>
      <c r="AE17" s="214">
        <f t="shared" si="13"/>
        <v>0</v>
      </c>
      <c r="AF17" s="714">
        <f>'Footprint Summary'!G18</f>
        <v>1538.549</v>
      </c>
      <c r="AG17" s="246" t="s">
        <v>36</v>
      </c>
      <c r="AH17" s="247">
        <v>0</v>
      </c>
      <c r="AI17" s="742">
        <f t="shared" si="14"/>
        <v>0</v>
      </c>
      <c r="AJ17" s="247">
        <v>0</v>
      </c>
      <c r="AK17" s="742">
        <f t="shared" si="15"/>
        <v>0</v>
      </c>
      <c r="AL17" s="708" t="e">
        <f t="shared" si="17"/>
        <v>#DIV/0!</v>
      </c>
      <c r="AQ17" s="214" t="s">
        <v>170</v>
      </c>
    </row>
    <row r="18" spans="1:43" ht="16.5" customHeight="1">
      <c r="A18" s="227" t="s">
        <v>48</v>
      </c>
      <c r="B18" s="214" t="s">
        <v>168</v>
      </c>
      <c r="C18" s="227" t="s">
        <v>48</v>
      </c>
      <c r="D18" s="231">
        <v>24784</v>
      </c>
      <c r="E18" s="232">
        <v>0</v>
      </c>
      <c r="F18" s="230">
        <v>0</v>
      </c>
      <c r="G18" s="229">
        <v>1</v>
      </c>
      <c r="H18" s="579" t="str">
        <f t="shared" si="0"/>
        <v/>
      </c>
      <c r="I18" s="579" t="str">
        <f t="shared" si="1"/>
        <v/>
      </c>
      <c r="J18" s="579">
        <f t="shared" si="2"/>
        <v>24784</v>
      </c>
      <c r="K18" s="707">
        <f>'Intensity Summary'!G77</f>
        <v>31.771714009038089</v>
      </c>
      <c r="L18" s="707">
        <f>'Intensity Summary'!G19</f>
        <v>36.104220464816009</v>
      </c>
      <c r="M18" s="259"/>
      <c r="N18" s="701" t="s">
        <v>32</v>
      </c>
      <c r="O18" s="708">
        <v>1</v>
      </c>
      <c r="P18" s="214" t="s">
        <v>39</v>
      </c>
      <c r="Q18" s="214">
        <f t="shared" si="3"/>
        <v>24784</v>
      </c>
      <c r="R18" s="740">
        <f t="shared" si="4"/>
        <v>0</v>
      </c>
      <c r="S18" s="249">
        <f t="shared" si="5"/>
        <v>0</v>
      </c>
      <c r="T18" s="256" t="s">
        <v>51</v>
      </c>
      <c r="U18" s="741">
        <f t="shared" si="16"/>
        <v>24784</v>
      </c>
      <c r="V18" s="741">
        <f t="shared" si="7"/>
        <v>0</v>
      </c>
      <c r="W18" s="741">
        <f t="shared" si="8"/>
        <v>0</v>
      </c>
      <c r="X18" s="741">
        <f t="shared" si="9"/>
        <v>0</v>
      </c>
      <c r="Y18" s="741">
        <f>'Footprint Summary'!G48</f>
        <v>0</v>
      </c>
      <c r="Z18" s="712" t="s">
        <v>176</v>
      </c>
      <c r="AA18" s="708" t="s">
        <v>41</v>
      </c>
      <c r="AB18" s="742" t="str">
        <f t="shared" si="10"/>
        <v/>
      </c>
      <c r="AC18" s="742" t="str">
        <f t="shared" si="11"/>
        <v/>
      </c>
      <c r="AD18" s="742" t="str">
        <f t="shared" si="12"/>
        <v/>
      </c>
      <c r="AE18" s="214">
        <f t="shared" si="13"/>
        <v>0</v>
      </c>
      <c r="AF18" s="714">
        <f>'Footprint Summary'!G19</f>
        <v>894.80700000000002</v>
      </c>
      <c r="AG18" s="246" t="s">
        <v>53</v>
      </c>
      <c r="AH18" s="247">
        <v>1</v>
      </c>
      <c r="AI18" s="742">
        <f t="shared" si="14"/>
        <v>24784</v>
      </c>
      <c r="AJ18" s="247"/>
      <c r="AK18" s="742">
        <f t="shared" si="15"/>
        <v>0</v>
      </c>
      <c r="AL18" s="708">
        <f t="shared" si="17"/>
        <v>1</v>
      </c>
      <c r="AQ18" s="214" t="s">
        <v>168</v>
      </c>
    </row>
    <row r="19" spans="1:43" ht="16.5" customHeight="1">
      <c r="A19" s="227" t="s">
        <v>30</v>
      </c>
      <c r="B19" s="214" t="s">
        <v>123</v>
      </c>
      <c r="C19" s="227" t="s">
        <v>30</v>
      </c>
      <c r="D19" s="231">
        <v>23555.5</v>
      </c>
      <c r="E19" s="229">
        <v>0</v>
      </c>
      <c r="F19" s="230">
        <v>0</v>
      </c>
      <c r="G19" s="229">
        <v>1</v>
      </c>
      <c r="H19" s="579" t="str">
        <f t="shared" si="0"/>
        <v/>
      </c>
      <c r="I19" s="579" t="str">
        <f t="shared" si="1"/>
        <v/>
      </c>
      <c r="J19" s="579">
        <f t="shared" si="2"/>
        <v>23555.5</v>
      </c>
      <c r="K19" s="707">
        <f>'Intensity Summary'!G78</f>
        <v>36.250604713548853</v>
      </c>
      <c r="L19" s="707">
        <f>'Intensity Summary'!G20</f>
        <v>39.256861454861919</v>
      </c>
      <c r="M19" s="259"/>
      <c r="N19" s="246" t="s">
        <v>44</v>
      </c>
      <c r="O19" s="708">
        <v>0</v>
      </c>
      <c r="Q19" s="214">
        <f t="shared" si="3"/>
        <v>0</v>
      </c>
      <c r="R19" s="740">
        <f t="shared" si="4"/>
        <v>23555.5</v>
      </c>
      <c r="S19" s="249">
        <f t="shared" si="5"/>
        <v>0</v>
      </c>
      <c r="T19" s="256" t="s">
        <v>44</v>
      </c>
      <c r="U19" s="741">
        <f t="shared" si="16"/>
        <v>0</v>
      </c>
      <c r="V19" s="741">
        <f t="shared" si="7"/>
        <v>23555.5</v>
      </c>
      <c r="W19" s="741">
        <f t="shared" si="8"/>
        <v>0</v>
      </c>
      <c r="X19" s="741">
        <f t="shared" si="9"/>
        <v>0</v>
      </c>
      <c r="Y19" s="741">
        <f>'Footprint Summary'!G49</f>
        <v>2394.261</v>
      </c>
      <c r="Z19" s="712" t="s">
        <v>176</v>
      </c>
      <c r="AA19" s="708" t="s">
        <v>34</v>
      </c>
      <c r="AB19" s="742" t="str">
        <f t="shared" si="10"/>
        <v/>
      </c>
      <c r="AC19" s="742" t="str">
        <f t="shared" si="11"/>
        <v/>
      </c>
      <c r="AD19" s="742">
        <f t="shared" si="12"/>
        <v>23555.5</v>
      </c>
      <c r="AE19" s="214">
        <f t="shared" si="13"/>
        <v>924.71500000000003</v>
      </c>
      <c r="AF19" s="714">
        <f>'Footprint Summary'!G20</f>
        <v>924.71500000000003</v>
      </c>
      <c r="AG19" s="246" t="s">
        <v>36</v>
      </c>
      <c r="AH19" s="247">
        <v>0</v>
      </c>
      <c r="AI19" s="742">
        <f t="shared" si="14"/>
        <v>0</v>
      </c>
      <c r="AJ19" s="247">
        <v>0</v>
      </c>
      <c r="AK19" s="742">
        <f t="shared" si="15"/>
        <v>0</v>
      </c>
      <c r="AL19" s="708">
        <f t="shared" si="17"/>
        <v>0</v>
      </c>
      <c r="AQ19" s="214" t="s">
        <v>123</v>
      </c>
    </row>
    <row r="20" spans="1:43" ht="16.5" customHeight="1">
      <c r="A20" s="227" t="s">
        <v>63</v>
      </c>
      <c r="B20" s="214" t="s">
        <v>64</v>
      </c>
      <c r="C20" s="227" t="s">
        <v>63</v>
      </c>
      <c r="D20" s="231">
        <v>61127</v>
      </c>
      <c r="E20" s="229">
        <v>0.5</v>
      </c>
      <c r="F20" s="230">
        <v>0</v>
      </c>
      <c r="G20" s="230">
        <v>0</v>
      </c>
      <c r="H20" s="579">
        <f t="shared" si="0"/>
        <v>61127</v>
      </c>
      <c r="I20" s="579" t="str">
        <f t="shared" si="1"/>
        <v/>
      </c>
      <c r="J20" s="579" t="str">
        <f t="shared" si="2"/>
        <v/>
      </c>
      <c r="K20" s="707">
        <f>'Intensity Summary'!G79</f>
        <v>28.689758352413826</v>
      </c>
      <c r="L20" s="707">
        <f>'Intensity Summary'!G21</f>
        <v>38.933548186562405</v>
      </c>
      <c r="M20" s="259"/>
      <c r="N20" s="701" t="s">
        <v>18</v>
      </c>
      <c r="O20" s="708">
        <v>1</v>
      </c>
      <c r="P20" s="214" t="s">
        <v>65</v>
      </c>
      <c r="Q20" s="740">
        <f t="shared" si="3"/>
        <v>0</v>
      </c>
      <c r="R20" s="740">
        <f t="shared" si="4"/>
        <v>0</v>
      </c>
      <c r="S20" s="710">
        <f t="shared" si="5"/>
        <v>0</v>
      </c>
      <c r="T20" s="256" t="s">
        <v>20</v>
      </c>
      <c r="U20" s="741">
        <f t="shared" si="16"/>
        <v>0</v>
      </c>
      <c r="V20" s="741">
        <f t="shared" si="7"/>
        <v>0</v>
      </c>
      <c r="W20" s="741">
        <f t="shared" si="8"/>
        <v>61127</v>
      </c>
      <c r="X20" s="741">
        <f t="shared" si="9"/>
        <v>0</v>
      </c>
      <c r="Y20" s="741">
        <f>'Footprint Summary'!G50</f>
        <v>2165.6136000000001</v>
      </c>
      <c r="Z20" s="717" t="s">
        <v>40</v>
      </c>
      <c r="AA20" s="708" t="s">
        <v>41</v>
      </c>
      <c r="AB20" s="742" t="str">
        <f t="shared" si="10"/>
        <v/>
      </c>
      <c r="AC20" s="742" t="str">
        <f t="shared" si="11"/>
        <v/>
      </c>
      <c r="AD20" s="742" t="str">
        <f t="shared" si="12"/>
        <v/>
      </c>
      <c r="AE20" s="214">
        <f t="shared" si="13"/>
        <v>0</v>
      </c>
      <c r="AF20" s="714">
        <f>'Footprint Summary'!G21</f>
        <v>2379.8910000000001</v>
      </c>
      <c r="AG20" s="246" t="s">
        <v>53</v>
      </c>
      <c r="AH20" s="247">
        <v>1</v>
      </c>
      <c r="AI20" s="742">
        <f t="shared" si="14"/>
        <v>61127</v>
      </c>
      <c r="AJ20" s="247"/>
      <c r="AK20" s="742">
        <f t="shared" si="15"/>
        <v>0</v>
      </c>
      <c r="AL20" s="708">
        <f t="shared" si="17"/>
        <v>1</v>
      </c>
      <c r="AQ20" s="214" t="s">
        <v>64</v>
      </c>
    </row>
    <row r="21" spans="1:43" ht="16.5" customHeight="1">
      <c r="A21" s="227" t="s">
        <v>66</v>
      </c>
      <c r="B21" s="214" t="s">
        <v>95</v>
      </c>
      <c r="C21" s="227" t="s">
        <v>66</v>
      </c>
      <c r="D21" s="231">
        <v>41253</v>
      </c>
      <c r="E21" s="232">
        <v>0</v>
      </c>
      <c r="F21" s="230">
        <v>0.5</v>
      </c>
      <c r="G21" s="230">
        <v>0</v>
      </c>
      <c r="H21" s="579" t="str">
        <f t="shared" si="0"/>
        <v/>
      </c>
      <c r="I21" s="579">
        <f t="shared" si="1"/>
        <v>41253</v>
      </c>
      <c r="J21" s="579" t="str">
        <f t="shared" si="2"/>
        <v/>
      </c>
      <c r="K21" s="707">
        <f>'Intensity Summary'!G80</f>
        <v>50.209010738612953</v>
      </c>
      <c r="L21" s="707">
        <f>'Intensity Summary'!G22</f>
        <v>57.520398516471531</v>
      </c>
      <c r="M21" s="259"/>
      <c r="N21" s="246" t="s">
        <v>57</v>
      </c>
      <c r="O21" s="708">
        <v>0</v>
      </c>
      <c r="P21" s="214" t="s">
        <v>96</v>
      </c>
      <c r="Q21" s="740">
        <f t="shared" si="3"/>
        <v>0</v>
      </c>
      <c r="R21" s="740">
        <f t="shared" si="4"/>
        <v>41253</v>
      </c>
      <c r="S21" s="710">
        <f t="shared" si="5"/>
        <v>0</v>
      </c>
      <c r="T21" s="256" t="s">
        <v>59</v>
      </c>
      <c r="U21" s="741">
        <f t="shared" si="16"/>
        <v>0</v>
      </c>
      <c r="V21" s="741">
        <f t="shared" si="7"/>
        <v>0</v>
      </c>
      <c r="W21" s="741">
        <f t="shared" si="8"/>
        <v>0</v>
      </c>
      <c r="X21" s="741">
        <f t="shared" si="9"/>
        <v>41253</v>
      </c>
      <c r="Y21" s="741">
        <f>'Footprint Summary'!G51</f>
        <v>3817</v>
      </c>
      <c r="Z21" s="717" t="s">
        <v>40</v>
      </c>
      <c r="AA21" s="708" t="s">
        <v>41</v>
      </c>
      <c r="AB21" s="742" t="str">
        <f t="shared" si="10"/>
        <v/>
      </c>
      <c r="AC21" s="742" t="str">
        <f t="shared" si="11"/>
        <v/>
      </c>
      <c r="AD21" s="742" t="str">
        <f t="shared" si="12"/>
        <v/>
      </c>
      <c r="AE21" s="214">
        <f t="shared" si="13"/>
        <v>0</v>
      </c>
      <c r="AF21" s="714">
        <f>'Footprint Summary'!G22</f>
        <v>2372.8890000000001</v>
      </c>
      <c r="AG21" s="246" t="s">
        <v>53</v>
      </c>
      <c r="AH21" s="247">
        <v>1</v>
      </c>
      <c r="AI21" s="742">
        <f t="shared" si="14"/>
        <v>41253</v>
      </c>
      <c r="AJ21" s="247"/>
      <c r="AK21" s="742">
        <f t="shared" si="15"/>
        <v>0</v>
      </c>
      <c r="AL21" s="708">
        <f t="shared" si="17"/>
        <v>1</v>
      </c>
      <c r="AQ21" s="214" t="s">
        <v>95</v>
      </c>
    </row>
    <row r="22" spans="1:43" ht="16.5" customHeight="1">
      <c r="A22" s="227" t="s">
        <v>66</v>
      </c>
      <c r="B22" s="198" t="s">
        <v>133</v>
      </c>
      <c r="C22" s="227" t="s">
        <v>66</v>
      </c>
      <c r="D22" s="214">
        <v>0</v>
      </c>
      <c r="E22" s="232">
        <v>0</v>
      </c>
      <c r="F22" s="230">
        <v>0</v>
      </c>
      <c r="G22" s="229">
        <v>1</v>
      </c>
      <c r="H22" s="579" t="str">
        <f>IF(E22&gt;0,'Intensity Summary'!C110,"")</f>
        <v/>
      </c>
      <c r="I22" s="579" t="str">
        <f>IF(F22&gt;0,'Intensity Summary'!C110,"")</f>
        <v/>
      </c>
      <c r="J22" s="579">
        <f>IF(G22&gt;0,'Intensity Summary'!C110,"")</f>
        <v>8227.2000000000007</v>
      </c>
      <c r="K22" s="707">
        <f>'Intensity Summary'!G81</f>
        <v>52.618482351225197</v>
      </c>
      <c r="L22" s="707">
        <f>'Intensity Summary'!G23</f>
        <v>66.605673862310383</v>
      </c>
      <c r="M22" s="259"/>
      <c r="N22" s="250" t="s">
        <v>32</v>
      </c>
      <c r="O22" s="708">
        <v>1</v>
      </c>
      <c r="P22" s="214" t="s">
        <v>177</v>
      </c>
      <c r="Q22" s="214">
        <f>IF(N22="Yes",'Intensity Summary'!C110,0)</f>
        <v>8227.2000000000007</v>
      </c>
      <c r="R22" s="740">
        <f>IF(N22="New",'Intensity Summary'!C110,IF(N22="Strategic",'Intensity Summary'!C110,0))</f>
        <v>0</v>
      </c>
      <c r="S22" s="249">
        <f>IF(N22="Underway",'Intensity Summary'!C110,0)</f>
        <v>0</v>
      </c>
      <c r="T22" s="256" t="s">
        <v>51</v>
      </c>
      <c r="U22" s="741">
        <f>IF(T22="N/A",'Intensity Summary'!C110,0)</f>
        <v>8227.2000000000007</v>
      </c>
      <c r="V22" s="741">
        <f>IF(T22="Yes",'Intensity Summary'!C110,IF(T22="Strategic",'Intensity Summary'!C110,0))</f>
        <v>0</v>
      </c>
      <c r="W22" s="741">
        <f>IF(T22="Underway",'Intensity Summary'!C110,0)</f>
        <v>0</v>
      </c>
      <c r="X22" s="741">
        <f>IF(T22="No",'Intensity Summary'!C110,0)</f>
        <v>0</v>
      </c>
      <c r="Y22" s="741">
        <f>'Footprint Summary'!G52</f>
        <v>0</v>
      </c>
      <c r="Z22" s="712" t="s">
        <v>176</v>
      </c>
      <c r="AA22" s="708" t="s">
        <v>41</v>
      </c>
      <c r="AB22" s="742" t="str">
        <f>IF(AND(E22&gt;0,AA22="100% renewable"),'Intensity Summary'!C110,"")</f>
        <v/>
      </c>
      <c r="AC22" s="742" t="str">
        <f>IF(AND(F22&gt;0,AA22="100% renewable"),'Intensity Summary'!C110,"")</f>
        <v/>
      </c>
      <c r="AD22" s="742" t="str">
        <f>IF(AND(G22&gt;0,AA22="100% renewable"),'Intensity Summary'!C110,"")</f>
        <v/>
      </c>
      <c r="AE22" s="214">
        <f t="shared" si="13"/>
        <v>0</v>
      </c>
      <c r="AF22" s="714">
        <f>'Footprint Summary'!G23</f>
        <v>547.97820000000002</v>
      </c>
      <c r="AG22" s="246" t="s">
        <v>36</v>
      </c>
      <c r="AH22" s="247">
        <v>0</v>
      </c>
      <c r="AI22" s="742">
        <f>AH22*'Intensity Summary'!C110</f>
        <v>0</v>
      </c>
      <c r="AJ22" s="247">
        <v>0.25</v>
      </c>
      <c r="AK22" s="742">
        <f>AJ22*'Intensity Summary'!C110</f>
        <v>2056.8000000000002</v>
      </c>
      <c r="AL22" s="708">
        <f>(AK22+AI22)/'Intensity Summary'!C110</f>
        <v>0.25</v>
      </c>
      <c r="AQ22" s="198" t="s">
        <v>133</v>
      </c>
    </row>
    <row r="23" spans="1:43" ht="16.5" customHeight="1">
      <c r="A23" s="227" t="s">
        <v>178</v>
      </c>
      <c r="B23" s="198" t="s">
        <v>140</v>
      </c>
      <c r="C23" s="227" t="s">
        <v>178</v>
      </c>
      <c r="D23" s="231">
        <v>20861</v>
      </c>
      <c r="E23" s="232">
        <v>1</v>
      </c>
      <c r="F23" s="230">
        <v>0</v>
      </c>
      <c r="G23" s="229">
        <v>0</v>
      </c>
      <c r="H23" s="579">
        <f>IF(E23&gt;0,D23,"")</f>
        <v>20861</v>
      </c>
      <c r="I23" s="579" t="str">
        <f>IF(F23&gt;0,D23,"")</f>
        <v/>
      </c>
      <c r="J23" s="579" t="str">
        <f>IF(G23&gt;0,D23,"")</f>
        <v/>
      </c>
      <c r="K23" s="707">
        <f>'Intensity Summary'!G82</f>
        <v>54.299140430947709</v>
      </c>
      <c r="L23" s="707">
        <f>'Intensity Summary'!G24</f>
        <v>53.302717990508611</v>
      </c>
      <c r="M23" s="259"/>
      <c r="N23" s="701" t="s">
        <v>20</v>
      </c>
      <c r="O23" s="708">
        <v>1</v>
      </c>
      <c r="P23" s="214" t="s">
        <v>179</v>
      </c>
      <c r="Q23" s="214">
        <f>IF(N23="Yes",D23,0)</f>
        <v>0</v>
      </c>
      <c r="R23" s="740">
        <f>IF(N23="New",D23,IF(N23="Strategic",D23,0))</f>
        <v>0</v>
      </c>
      <c r="S23" s="249">
        <f>IF(N23="Underway",D23,0)</f>
        <v>20861</v>
      </c>
      <c r="T23" s="256" t="s">
        <v>32</v>
      </c>
      <c r="U23" s="741">
        <f>IF(T23="N/A",D23,0)</f>
        <v>0</v>
      </c>
      <c r="V23" s="741">
        <f>IF(T23="Yes",D23,IF(T23="Strategic",D23,0))</f>
        <v>20861</v>
      </c>
      <c r="W23" s="741">
        <f>IF(T23="Underway",D23,0)</f>
        <v>0</v>
      </c>
      <c r="X23" s="741">
        <f>IF(T23="No",D23,0)</f>
        <v>0</v>
      </c>
      <c r="Y23" s="741">
        <f>'Footprint Summary'!G53</f>
        <v>4934.9009999999998</v>
      </c>
      <c r="Z23" s="712" t="s">
        <v>176</v>
      </c>
      <c r="AA23" s="708" t="s">
        <v>41</v>
      </c>
      <c r="AB23" s="742" t="str">
        <f>IF(AND(E23&gt;0,AA23="100% renewable"),D23,"")</f>
        <v/>
      </c>
      <c r="AC23" s="742" t="str">
        <f>IF(AND(F23&gt;0,AA23="100% renewable"),D23,"")</f>
        <v/>
      </c>
      <c r="AD23" s="742" t="str">
        <f>IF(AND(G23&gt;0,AA23="100% renewable"),D23,"")</f>
        <v/>
      </c>
      <c r="AE23" s="214">
        <f t="shared" si="13"/>
        <v>0</v>
      </c>
      <c r="AF23" s="714">
        <f>'Footprint Summary'!G24</f>
        <v>1111.9480000000001</v>
      </c>
      <c r="AG23" s="246" t="s">
        <v>36</v>
      </c>
      <c r="AH23" s="247">
        <v>0</v>
      </c>
      <c r="AI23" s="742">
        <f>AH23*D23</f>
        <v>0</v>
      </c>
      <c r="AJ23" s="247">
        <v>0</v>
      </c>
      <c r="AK23" s="742">
        <f>AJ23*D23</f>
        <v>0</v>
      </c>
      <c r="AL23" s="708">
        <f>(AK23+AI23)/D23</f>
        <v>0</v>
      </c>
      <c r="AQ23" s="198" t="s">
        <v>140</v>
      </c>
    </row>
    <row r="24" spans="1:43" ht="16.5" customHeight="1">
      <c r="A24" s="227" t="s">
        <v>37</v>
      </c>
      <c r="B24" s="214" t="s">
        <v>166</v>
      </c>
      <c r="C24" s="227" t="s">
        <v>37</v>
      </c>
      <c r="D24" s="231">
        <v>0</v>
      </c>
      <c r="E24" s="232">
        <v>0</v>
      </c>
      <c r="F24" s="230">
        <v>0</v>
      </c>
      <c r="G24" s="229">
        <v>0</v>
      </c>
      <c r="H24" s="579" t="str">
        <f>IF(E24&gt;0,D24,"")</f>
        <v/>
      </c>
      <c r="I24" s="579" t="str">
        <f>IF(F24&gt;0,D24,"")</f>
        <v/>
      </c>
      <c r="J24" s="579" t="str">
        <f>IF(G24&gt;0,D24,"")</f>
        <v/>
      </c>
      <c r="K24" s="707">
        <f>'Intensity Summary'!G83</f>
        <v>51.027327322856181</v>
      </c>
      <c r="L24" s="707">
        <f>'Intensity Summary'!G25</f>
        <v>49.31379944158595</v>
      </c>
      <c r="M24" s="259"/>
      <c r="N24" s="701" t="s">
        <v>44</v>
      </c>
      <c r="O24" s="708">
        <v>1</v>
      </c>
      <c r="P24" s="214" t="s">
        <v>180</v>
      </c>
      <c r="Q24" s="214">
        <f>IF(N24="Yes",D24,0)</f>
        <v>0</v>
      </c>
      <c r="R24" s="740">
        <f>IF(N24="New",D24,IF(N24="Strategic",D24,0))</f>
        <v>0</v>
      </c>
      <c r="S24" s="249">
        <f>IF(N24="Underway",D24,0)</f>
        <v>0</v>
      </c>
      <c r="T24" s="256" t="s">
        <v>32</v>
      </c>
      <c r="U24" s="741">
        <f>IF(T24="N/A",D24,0)</f>
        <v>0</v>
      </c>
      <c r="V24" s="741">
        <f>IF(T24="Yes",D24,IF(T24="Strategic",D24,0))</f>
        <v>0</v>
      </c>
      <c r="W24" s="741">
        <f>IF(T24="Underway",D24,0)</f>
        <v>0</v>
      </c>
      <c r="X24" s="741">
        <f>IF(T24="No",D24,0)</f>
        <v>0</v>
      </c>
      <c r="Y24" s="741">
        <f>'Footprint Summary'!G54</f>
        <v>1726.5909999999999</v>
      </c>
      <c r="Z24" s="712" t="s">
        <v>176</v>
      </c>
      <c r="AA24" s="708" t="s">
        <v>41</v>
      </c>
      <c r="AB24" s="742" t="str">
        <f>IF(AND(E24&gt;0,AA24="100% renewable"),D24,"")</f>
        <v/>
      </c>
      <c r="AC24" s="742" t="str">
        <f>IF(AND(F24&gt;0,AA24="100% renewable"),D24,"")</f>
        <v/>
      </c>
      <c r="AD24" s="742" t="str">
        <f>IF(AND(G24&gt;0,AA24="100% renewable"),D24,"")</f>
        <v/>
      </c>
      <c r="AE24" s="214">
        <f t="shared" si="13"/>
        <v>0</v>
      </c>
      <c r="AF24" s="714">
        <f>'Footprint Summary'!G25</f>
        <v>775.36580000000004</v>
      </c>
      <c r="AG24" s="246" t="s">
        <v>53</v>
      </c>
      <c r="AH24" s="247">
        <v>1</v>
      </c>
      <c r="AI24" s="742">
        <f>AH24*D24</f>
        <v>0</v>
      </c>
      <c r="AJ24" s="247"/>
      <c r="AK24" s="742">
        <f>AJ24*D24</f>
        <v>0</v>
      </c>
      <c r="AL24" s="708" t="e">
        <f>(AK24+AI24)/D24</f>
        <v>#DIV/0!</v>
      </c>
      <c r="AQ24" s="214" t="s">
        <v>166</v>
      </c>
    </row>
    <row r="25" spans="1:43" ht="16.5" customHeight="1">
      <c r="A25" s="227" t="s">
        <v>66</v>
      </c>
      <c r="B25" s="214" t="s">
        <v>67</v>
      </c>
      <c r="C25" s="227" t="s">
        <v>66</v>
      </c>
      <c r="D25" s="231">
        <v>12837.7</v>
      </c>
      <c r="E25" s="229">
        <v>0</v>
      </c>
      <c r="F25" s="230">
        <v>0</v>
      </c>
      <c r="G25" s="229">
        <v>0.06</v>
      </c>
      <c r="H25" s="579" t="str">
        <f>IF(E25&gt;0,D25,"")</f>
        <v/>
      </c>
      <c r="I25" s="579" t="str">
        <f>IF(F25&gt;0,D25,"")</f>
        <v/>
      </c>
      <c r="J25" s="579">
        <f>IF(G25&gt;0,D25,"")</f>
        <v>12837.7</v>
      </c>
      <c r="K25" s="707">
        <f>'Intensity Summary'!G84</f>
        <v>71.988772166353783</v>
      </c>
      <c r="L25" s="707">
        <f>'Intensity Summary'!G26</f>
        <v>76.426073206259687</v>
      </c>
      <c r="M25" s="259"/>
      <c r="N25" s="701" t="s">
        <v>32</v>
      </c>
      <c r="O25" s="708">
        <v>1</v>
      </c>
      <c r="P25" s="214" t="s">
        <v>39</v>
      </c>
      <c r="Q25" s="740">
        <f>IF(N25="Yes",D25,0)</f>
        <v>12837.7</v>
      </c>
      <c r="R25" s="740">
        <f>IF(N25="New",D25,IF(N25="Strategic",D25,0))</f>
        <v>0</v>
      </c>
      <c r="S25" s="710">
        <f>IF(N25="Underway",D25,0)</f>
        <v>0</v>
      </c>
      <c r="T25" s="257" t="s">
        <v>32</v>
      </c>
      <c r="U25" s="741">
        <f>IF(T25="N/A",D25,0)</f>
        <v>0</v>
      </c>
      <c r="V25" s="741">
        <f>IF(T25="Yes",D25,IF(T25="Strategic",D25,0))</f>
        <v>12837.7</v>
      </c>
      <c r="W25" s="741">
        <f>IF(T25="Underway",D25,0)</f>
        <v>0</v>
      </c>
      <c r="X25" s="741">
        <f>IF(T25="No",D25,0)</f>
        <v>0</v>
      </c>
      <c r="Y25" s="741">
        <f>'Footprint Summary'!G55</f>
        <v>2892.9479999999999</v>
      </c>
      <c r="Z25" s="717" t="s">
        <v>176</v>
      </c>
      <c r="AA25" s="708" t="s">
        <v>41</v>
      </c>
      <c r="AB25" s="742" t="str">
        <f>IF(AND(E25&gt;0,AA25="100% renewable"),D25,"")</f>
        <v/>
      </c>
      <c r="AC25" s="742" t="str">
        <f>IF(AND(F25&gt;0,AA25="100% renewable"),D25,"")</f>
        <v/>
      </c>
      <c r="AD25" s="742" t="str">
        <f>IF(AND(G25&gt;0,AA25="100% renewable"),D25,"")</f>
        <v/>
      </c>
      <c r="AE25" s="214">
        <f t="shared" si="13"/>
        <v>0</v>
      </c>
      <c r="AF25" s="714">
        <f>'Footprint Summary'!G26</f>
        <v>981.13499999999999</v>
      </c>
      <c r="AG25" s="246" t="s">
        <v>36</v>
      </c>
      <c r="AH25" s="247">
        <v>0</v>
      </c>
      <c r="AI25" s="742">
        <f>AH25*D25</f>
        <v>0</v>
      </c>
      <c r="AJ25" s="247">
        <v>0</v>
      </c>
      <c r="AK25" s="742">
        <f>AJ25*D25</f>
        <v>0</v>
      </c>
      <c r="AL25" s="708">
        <f>(AK25+AI25)/D25</f>
        <v>0</v>
      </c>
      <c r="AQ25" s="214" t="s">
        <v>67</v>
      </c>
    </row>
    <row r="26" spans="1:43" ht="16.5" customHeight="1" thickBot="1">
      <c r="D26" s="234">
        <f>SUBTOTAL(109,D3:D25)</f>
        <v>631874.19999999995</v>
      </c>
      <c r="E26" s="235"/>
      <c r="F26" s="235"/>
      <c r="G26" s="236"/>
      <c r="H26" s="721">
        <f t="shared" ref="H26:J26" si="18">SUM(H3:H25)</f>
        <v>482221</v>
      </c>
      <c r="I26" s="721">
        <f t="shared" si="18"/>
        <v>185659</v>
      </c>
      <c r="J26" s="721">
        <f t="shared" si="18"/>
        <v>516860.4</v>
      </c>
      <c r="K26" s="236"/>
      <c r="L26" s="236"/>
      <c r="M26" s="236"/>
      <c r="N26" s="236" t="s">
        <v>18</v>
      </c>
      <c r="O26" s="722">
        <f>SUBTOTAL(109,Q3:Q25)</f>
        <v>356044.9</v>
      </c>
      <c r="P26" s="235"/>
      <c r="Q26" s="723">
        <f>SUBTOTAL(109,Q3:Q25)/D26</f>
        <v>0.56347434346900072</v>
      </c>
      <c r="R26" s="723">
        <f>SUBTOTAL(109,R3:R25)/D26</f>
        <v>0.22010947748776577</v>
      </c>
      <c r="S26" s="724">
        <f>SUBTOTAL(109,S3:S25)/D26</f>
        <v>0.13269729955741191</v>
      </c>
      <c r="T26" s="591">
        <f>D26</f>
        <v>631874.19999999995</v>
      </c>
      <c r="U26" s="563">
        <f>SUBTOTAL(109,(U3:U25))</f>
        <v>59187.199999999997</v>
      </c>
      <c r="V26" s="563">
        <f>SUBTOTAL(109,(V3:V25))</f>
        <v>375609.2</v>
      </c>
      <c r="W26" s="563">
        <f t="shared" ref="W26:Y26" si="19">SUBTOTAL(109,(W3:W25))</f>
        <v>124114</v>
      </c>
      <c r="X26" s="563">
        <f t="shared" si="19"/>
        <v>81191</v>
      </c>
      <c r="Y26" s="563">
        <f t="shared" si="19"/>
        <v>51917.037599999989</v>
      </c>
      <c r="Z26" s="264"/>
      <c r="AA26" s="727">
        <f>SUBTOTAL(109,AF3:AF25)</f>
        <v>34474.624500000005</v>
      </c>
      <c r="AB26" s="721">
        <f>SUM(AB3:AB25)</f>
        <v>256019</v>
      </c>
      <c r="AC26" s="721">
        <f>SUM(AC3:AC25)</f>
        <v>89355</v>
      </c>
      <c r="AD26" s="721">
        <f>SUM(AD3:AD25)</f>
        <v>326797.5</v>
      </c>
      <c r="AE26" s="253">
        <f>SUBTOTAL(109,AE3:AE25)</f>
        <v>17170.460999999999</v>
      </c>
      <c r="AG26" s="262">
        <f>SUBTOTAL(109,AI3:AI25)</f>
        <v>535935</v>
      </c>
      <c r="AH26" s="236"/>
      <c r="AI26" s="236"/>
      <c r="AJ26" s="263">
        <f>SUBTOTAL(109,AK3:AK25)</f>
        <v>15502.25</v>
      </c>
      <c r="AK26" s="236"/>
      <c r="AL26" s="264">
        <f>SUM(AG26+AJ26)/D26</f>
        <v>0.87270100599138256</v>
      </c>
    </row>
    <row r="27" spans="1:43" ht="16.5" customHeight="1" thickTop="1">
      <c r="B27" s="216"/>
      <c r="C27" s="216" t="s">
        <v>69</v>
      </c>
      <c r="D27" s="567">
        <f>D6+D16+D19+D20+D21+D14+D15</f>
        <v>200208.5</v>
      </c>
      <c r="L27" s="564" t="s">
        <v>70</v>
      </c>
      <c r="N27" s="214" t="s">
        <v>71</v>
      </c>
      <c r="O27" s="709">
        <f>SUBTOTAL(109,R3:R25)</f>
        <v>139081.5</v>
      </c>
      <c r="Q27" s="730">
        <f>SUM(Q3:Q25)</f>
        <v>356044.9</v>
      </c>
      <c r="R27" s="731"/>
      <c r="S27" s="731">
        <f>SUM(Q26:S26)</f>
        <v>0.91628112051417843</v>
      </c>
      <c r="W27" s="567"/>
      <c r="X27" s="567"/>
      <c r="Y27" s="567"/>
      <c r="Z27" s="565"/>
      <c r="AA27" s="732">
        <f>AE26/AA26</f>
        <v>0.49806085632636832</v>
      </c>
      <c r="AB27" s="743"/>
      <c r="AC27" s="743"/>
      <c r="AD27" s="743"/>
      <c r="AG27" s="214" t="s">
        <v>73</v>
      </c>
      <c r="AL27" s="731">
        <v>0.7</v>
      </c>
    </row>
    <row r="28" spans="1:43" ht="16.5" customHeight="1">
      <c r="B28" s="216"/>
      <c r="C28" s="216" t="s">
        <v>74</v>
      </c>
      <c r="D28" s="569">
        <f>D26-D27</f>
        <v>431665.69999999995</v>
      </c>
      <c r="N28" s="214" t="s">
        <v>20</v>
      </c>
      <c r="O28" s="740">
        <f>SUBTOTAL(109,S3:S25)</f>
        <v>83848</v>
      </c>
      <c r="Q28" s="214" t="s">
        <v>75</v>
      </c>
      <c r="S28" s="224"/>
      <c r="W28" s="218"/>
      <c r="X28" s="218"/>
      <c r="Y28" s="218"/>
      <c r="Z28" s="565"/>
      <c r="AA28" s="743" t="s">
        <v>181</v>
      </c>
      <c r="AB28" s="744">
        <v>22868</v>
      </c>
      <c r="AC28" s="743"/>
      <c r="AD28" s="743"/>
    </row>
    <row r="29" spans="1:43" ht="16.5" customHeight="1">
      <c r="B29" s="564" t="s">
        <v>76</v>
      </c>
      <c r="C29" s="216" t="s">
        <v>77</v>
      </c>
      <c r="D29" s="567">
        <f>O26</f>
        <v>356044.9</v>
      </c>
      <c r="N29" s="703" t="s">
        <v>78</v>
      </c>
      <c r="O29" s="218">
        <f>D26-SUM(O26:O28)</f>
        <v>52899.79999999993</v>
      </c>
      <c r="T29" s="703" t="s">
        <v>182</v>
      </c>
      <c r="U29" s="731">
        <f>U26/T26</f>
        <v>9.3669277840430901E-2</v>
      </c>
      <c r="W29" s="218"/>
      <c r="X29" s="218"/>
      <c r="Y29" s="218"/>
      <c r="Z29" s="564"/>
      <c r="AA29" s="743"/>
      <c r="AB29" s="745"/>
      <c r="AC29" s="743"/>
      <c r="AD29" s="743"/>
    </row>
    <row r="30" spans="1:43" ht="16.5" customHeight="1">
      <c r="B30" s="217"/>
      <c r="C30" s="217" t="s">
        <v>80</v>
      </c>
      <c r="D30" s="568">
        <f>O36-S20</f>
        <v>83848</v>
      </c>
      <c r="N30" s="214" t="s">
        <v>81</v>
      </c>
      <c r="O30" s="731">
        <f>O29/D26</f>
        <v>8.3718879485821601E-2</v>
      </c>
      <c r="T30" s="703" t="s">
        <v>183</v>
      </c>
      <c r="U30" s="731">
        <f>V26/T26</f>
        <v>0.59443667742724748</v>
      </c>
      <c r="W30" s="218"/>
      <c r="X30" s="218"/>
      <c r="Y30" s="218"/>
      <c r="Z30" s="565"/>
      <c r="AA30" s="746"/>
      <c r="AB30" s="746"/>
      <c r="AC30" s="746"/>
      <c r="AD30" s="746"/>
      <c r="AF30" s="225" t="s">
        <v>83</v>
      </c>
      <c r="AG30" s="260"/>
      <c r="AH30" s="247"/>
      <c r="AI30" s="247"/>
    </row>
    <row r="31" spans="1:43" ht="14.5" thickBot="1">
      <c r="C31" s="214" t="s">
        <v>82</v>
      </c>
      <c r="D31" s="218">
        <f>O37</f>
        <v>52899.79999999993</v>
      </c>
      <c r="F31" s="219"/>
      <c r="N31" s="214" t="s">
        <v>84</v>
      </c>
      <c r="O31" s="243">
        <f>SUM(O26:O28)</f>
        <v>578974.4</v>
      </c>
      <c r="T31" s="703" t="s">
        <v>184</v>
      </c>
      <c r="U31" s="731">
        <f>W26/T26</f>
        <v>0.19642200931767748</v>
      </c>
      <c r="W31" s="218"/>
      <c r="X31" s="218"/>
      <c r="Y31" s="218"/>
      <c r="AF31" s="226" t="s">
        <v>41</v>
      </c>
      <c r="AH31" s="247"/>
      <c r="AI31" s="247"/>
    </row>
    <row r="32" spans="1:43" ht="14.5" thickTop="1">
      <c r="D32" s="218"/>
      <c r="F32" s="218"/>
      <c r="T32" s="703" t="s">
        <v>185</v>
      </c>
      <c r="U32" s="731">
        <f>X26/T26</f>
        <v>0.12849234863521886</v>
      </c>
      <c r="AA32" s="580" t="s">
        <v>85</v>
      </c>
      <c r="AB32" s="581"/>
      <c r="AC32" s="581"/>
      <c r="AD32" s="581"/>
    </row>
    <row r="33" spans="4:33">
      <c r="E33" s="220"/>
      <c r="F33" s="220"/>
      <c r="N33" s="221"/>
      <c r="O33" s="221"/>
      <c r="P33" s="564" t="s">
        <v>86</v>
      </c>
      <c r="Q33" s="564" t="s">
        <v>87</v>
      </c>
      <c r="AA33" s="581"/>
      <c r="AB33" s="581" t="s">
        <v>10</v>
      </c>
      <c r="AC33" s="581" t="s">
        <v>11</v>
      </c>
      <c r="AD33" s="581" t="s">
        <v>12</v>
      </c>
      <c r="AG33" s="703" t="s">
        <v>12</v>
      </c>
    </row>
    <row r="34" spans="4:33">
      <c r="N34" s="703" t="s">
        <v>88</v>
      </c>
      <c r="O34" s="218">
        <f>O26</f>
        <v>356044.9</v>
      </c>
      <c r="P34" s="738">
        <f>O34/$D$26</f>
        <v>0.56347434346900072</v>
      </c>
      <c r="Q34" s="565">
        <f>P34/(P34+P36+P37)</f>
        <v>0.72250441209863714</v>
      </c>
      <c r="T34" s="703"/>
      <c r="U34" s="731"/>
      <c r="AA34" s="581" t="s">
        <v>34</v>
      </c>
      <c r="AB34" s="582">
        <f>(AB26+AB28)/(H26+AB28)</f>
        <v>0.55215417480879603</v>
      </c>
      <c r="AC34" s="582">
        <f>AC26/I26</f>
        <v>0.48128558270808308</v>
      </c>
      <c r="AD34" s="582">
        <f>AD26/J26</f>
        <v>0.63227420789056388</v>
      </c>
      <c r="AG34" s="214">
        <f>COUNTIF(AA3:AA25,"100% renewable")</f>
        <v>11</v>
      </c>
    </row>
    <row r="35" spans="4:33">
      <c r="D35" s="731">
        <f>D29/D28</f>
        <v>0.82481628723338463</v>
      </c>
      <c r="N35" s="214" t="s">
        <v>71</v>
      </c>
      <c r="O35" s="218">
        <f>O27</f>
        <v>139081.5</v>
      </c>
      <c r="P35" s="738">
        <f>O35/$D$26</f>
        <v>0.22010947748776577</v>
      </c>
      <c r="Q35" s="564"/>
      <c r="T35" s="703"/>
      <c r="U35" s="731"/>
      <c r="AA35" s="581" t="s">
        <v>41</v>
      </c>
      <c r="AB35" s="581"/>
      <c r="AC35" s="581"/>
      <c r="AD35" s="581"/>
      <c r="AG35" s="214">
        <f>COUNTIF(AA3:AA25,"Black")</f>
        <v>12</v>
      </c>
    </row>
    <row r="36" spans="4:33">
      <c r="D36" s="731">
        <f>D30/D28</f>
        <v>0.19424290602658495</v>
      </c>
      <c r="N36" s="214" t="s">
        <v>20</v>
      </c>
      <c r="O36" s="218">
        <f>O28</f>
        <v>83848</v>
      </c>
      <c r="P36" s="738">
        <f>O36/$D$26</f>
        <v>0.13269729955741191</v>
      </c>
      <c r="Q36" s="565">
        <f>P36/(P34+P36+P37)</f>
        <v>0.1701486243607099</v>
      </c>
      <c r="T36" s="703"/>
      <c r="U36" s="731"/>
      <c r="V36" s="567"/>
      <c r="AA36" s="581"/>
      <c r="AB36" s="581"/>
      <c r="AC36" s="581"/>
      <c r="AD36" s="581"/>
      <c r="AG36" s="731">
        <f>AG34/(AG34+AG35)</f>
        <v>0.47826086956521741</v>
      </c>
    </row>
    <row r="37" spans="4:33">
      <c r="D37" s="289">
        <f>D31/D28</f>
        <v>0.1225480736597787</v>
      </c>
      <c r="N37" s="703" t="s">
        <v>78</v>
      </c>
      <c r="O37" s="218">
        <f>O29</f>
        <v>52899.79999999993</v>
      </c>
      <c r="P37" s="738">
        <f>O37/$D$26</f>
        <v>8.3718879485821601E-2</v>
      </c>
      <c r="Q37" s="565">
        <f>P37/(P34+P36+P37)</f>
        <v>0.10734696354065297</v>
      </c>
      <c r="T37" s="703"/>
      <c r="U37" s="731"/>
      <c r="V37" s="218"/>
      <c r="AA37" s="581"/>
      <c r="AB37" s="581" t="s">
        <v>89</v>
      </c>
      <c r="AC37" s="581"/>
      <c r="AD37" s="581"/>
    </row>
    <row r="38" spans="4:33">
      <c r="D38" s="731">
        <f>SUM(D35:D37)</f>
        <v>1.1416072669197481</v>
      </c>
      <c r="Q38" s="566">
        <f>SUM(Q34:Q37)</f>
        <v>1</v>
      </c>
      <c r="T38" s="703"/>
      <c r="U38" s="703"/>
      <c r="V38" s="218"/>
      <c r="AA38" s="581"/>
      <c r="AB38" s="582">
        <f>AB26/(H26-H20)</f>
        <v>0.60798539043538968</v>
      </c>
      <c r="AC38" s="581"/>
      <c r="AD38" s="581"/>
    </row>
    <row r="39" spans="4:33">
      <c r="F39" s="222"/>
      <c r="L39" s="564" t="s">
        <v>90</v>
      </c>
      <c r="M39" s="564"/>
      <c r="N39" s="564" t="s">
        <v>88</v>
      </c>
      <c r="O39" s="564">
        <f>COUNTIF(Q3:Q25,"&gt;0")</f>
        <v>12</v>
      </c>
      <c r="P39" s="565">
        <f>O39/$O$43</f>
        <v>0.52173913043478259</v>
      </c>
      <c r="V39" s="218"/>
      <c r="AA39" s="581"/>
      <c r="AB39" s="581"/>
      <c r="AC39" s="581"/>
      <c r="AD39" s="581"/>
    </row>
    <row r="40" spans="4:33">
      <c r="F40" s="222"/>
      <c r="L40" s="564"/>
      <c r="M40" s="564"/>
      <c r="N40" s="564" t="s">
        <v>71</v>
      </c>
      <c r="O40" s="564">
        <f>COUNTIF(R3:R25,"&gt;0")</f>
        <v>6</v>
      </c>
      <c r="P40" s="565">
        <f>O40/$O$43</f>
        <v>0.2608695652173913</v>
      </c>
      <c r="V40" s="218"/>
    </row>
    <row r="41" spans="4:33">
      <c r="L41" s="564"/>
      <c r="M41" s="564"/>
      <c r="N41" s="564" t="s">
        <v>20</v>
      </c>
      <c r="O41" s="564">
        <f>COUNTIF(S3:S25,"&gt;0")</f>
        <v>2</v>
      </c>
      <c r="P41" s="565">
        <f>O41/$O$43</f>
        <v>8.6956521739130432E-2</v>
      </c>
    </row>
    <row r="42" spans="4:33">
      <c r="L42" s="564"/>
      <c r="M42" s="564"/>
      <c r="N42" s="564" t="s">
        <v>78</v>
      </c>
      <c r="O42" s="564">
        <f>O43-SUM(O39:O41)</f>
        <v>3</v>
      </c>
      <c r="P42" s="565">
        <f>O42/$O$43</f>
        <v>0.13043478260869565</v>
      </c>
    </row>
    <row r="43" spans="4:33">
      <c r="L43" s="564"/>
      <c r="M43" s="564"/>
      <c r="N43" s="564"/>
      <c r="O43" s="564">
        <f>COUNTA(B3:B25)</f>
        <v>23</v>
      </c>
      <c r="P43" s="566">
        <f>SUM(P39:P42)</f>
        <v>0.99999999999999989</v>
      </c>
    </row>
    <row r="45" spans="4:33">
      <c r="N45" s="703"/>
    </row>
  </sheetData>
  <autoFilter ref="E2:G31" xr:uid="{20B7BDAC-08E2-469E-9A7B-0412E0F2BEED}"/>
  <customSheetViews>
    <customSheetView guid="{0FAFE012-8D9E-4ED0-86A4-A997E430971B}" scale="115" showAutoFilter="1" hiddenColumns="1">
      <pane xSplit="2" topLeftCell="C1" activePane="topRight" state="frozen"/>
      <selection pane="topRight" activeCell="K3" sqref="K3"/>
      <pageMargins left="0.7" right="0.7" top="0.75" bottom="0.75" header="0.3" footer="0.3"/>
      <pageSetup paperSize="9" orientation="portrait" horizontalDpi="300" verticalDpi="300" r:id="rId1"/>
      <autoFilter ref="E2:G31" xr:uid="{7F1B1EB0-D7EA-471E-B119-76D92B66DCC1}"/>
    </customSheetView>
  </customSheetViews>
  <mergeCells count="2">
    <mergeCell ref="AG1:AL1"/>
    <mergeCell ref="N1:S1"/>
  </mergeCells>
  <conditionalFormatting sqref="K3:K25">
    <cfRule type="colorScale" priority="4">
      <colorScale>
        <cfvo type="min"/>
        <cfvo type="percentile" val="50"/>
        <cfvo type="max"/>
        <color rgb="FF63BE7B"/>
        <color theme="0"/>
        <color rgb="FFF8696B"/>
      </colorScale>
    </cfRule>
  </conditionalFormatting>
  <conditionalFormatting sqref="L3:L25">
    <cfRule type="colorScale" priority="3">
      <colorScale>
        <cfvo type="min"/>
        <cfvo type="percentile" val="50"/>
        <cfvo type="max"/>
        <color rgb="FF63BE7B"/>
        <color theme="0"/>
        <color rgb="FFF8696B"/>
      </colorScale>
    </cfRule>
  </conditionalFormatting>
  <conditionalFormatting sqref="O3:O25">
    <cfRule type="colorScale" priority="16">
      <colorScale>
        <cfvo type="min"/>
        <cfvo type="percentile" val="50"/>
        <cfvo type="max"/>
        <color rgb="FFF8696B"/>
        <color theme="0"/>
        <color rgb="FF63BE7B"/>
      </colorScale>
    </cfRule>
  </conditionalFormatting>
  <conditionalFormatting sqref="T3:T25">
    <cfRule type="cellIs" dxfId="86" priority="7" operator="equal">
      <formula>"No"</formula>
    </cfRule>
    <cfRule type="cellIs" dxfId="85" priority="8" operator="equal">
      <formula>"Underway"</formula>
    </cfRule>
    <cfRule type="cellIs" dxfId="84" priority="9" operator="equal">
      <formula>"N/A"</formula>
    </cfRule>
    <cfRule type="cellIs" dxfId="83" priority="11" operator="equal">
      <formula>"Yes"</formula>
    </cfRule>
  </conditionalFormatting>
  <conditionalFormatting sqref="AA3:AD25">
    <cfRule type="cellIs" dxfId="82" priority="1" operator="equal">
      <formula>"Black"</formula>
    </cfRule>
    <cfRule type="cellIs" dxfId="81" priority="2" operator="equal">
      <formula>"100% renewable"</formula>
    </cfRule>
  </conditionalFormatting>
  <conditionalFormatting sqref="AH3:AK25">
    <cfRule type="colorScale" priority="19">
      <colorScale>
        <cfvo type="min"/>
        <cfvo type="percentile" val="50"/>
        <cfvo type="max"/>
        <color rgb="FFF8696B"/>
        <color theme="0"/>
        <color rgb="FF63BE7B"/>
      </colorScale>
    </cfRule>
    <cfRule type="colorScale" priority="20">
      <colorScale>
        <cfvo type="min"/>
        <cfvo type="percentile" val="50"/>
        <cfvo type="max"/>
        <color rgb="FFFF0000"/>
        <color rgb="FFFFC000"/>
        <color rgb="FF00B050"/>
      </colorScale>
    </cfRule>
    <cfRule type="colorScale" priority="21">
      <colorScale>
        <cfvo type="min"/>
        <cfvo type="percentile" val="50"/>
        <cfvo type="max"/>
        <color rgb="FFF8696B"/>
        <color rgb="FFFCFCFF"/>
        <color rgb="FF63BE7B"/>
      </colorScale>
    </cfRule>
  </conditionalFormatting>
  <conditionalFormatting sqref="AL3:AL25">
    <cfRule type="colorScale" priority="22">
      <colorScale>
        <cfvo type="min"/>
        <cfvo type="percentile" val="50"/>
        <cfvo type="max"/>
        <color rgb="FFF8696B"/>
        <color theme="0"/>
        <color rgb="FF63BE7B"/>
      </colorScale>
    </cfRule>
    <cfRule type="colorScale" priority="23">
      <colorScale>
        <cfvo type="min"/>
        <cfvo type="percentile" val="50"/>
        <cfvo type="max"/>
        <color rgb="FFFF0000"/>
        <color rgb="FFFFC000"/>
        <color rgb="FF00B050"/>
      </colorScale>
    </cfRule>
    <cfRule type="colorScale" priority="24">
      <colorScale>
        <cfvo type="min"/>
        <cfvo type="percentile" val="50"/>
        <cfvo type="max"/>
        <color rgb="FFF8696B"/>
        <color rgb="FFFCFCFF"/>
        <color rgb="FF63BE7B"/>
      </colorScale>
    </cfRule>
  </conditionalFormatting>
  <pageMargins left="0.7" right="0.7" top="0.75" bottom="0.75" header="0.3" footer="0.3"/>
  <pageSetup paperSize="9" orientation="portrait" horizontalDpi="300" verticalDpi="30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03BD9-41FF-47F2-8533-4DCA5FD5D08B}">
  <sheetPr codeName="Sheet73">
    <tabColor theme="3" tint="-0.499984740745262"/>
  </sheetPr>
  <dimension ref="A1:S149"/>
  <sheetViews>
    <sheetView topLeftCell="C79" zoomScaleNormal="100" workbookViewId="0">
      <selection activeCell="Q119" sqref="Q119"/>
    </sheetView>
  </sheetViews>
  <sheetFormatPr defaultRowHeight="12.5"/>
  <cols>
    <col min="2" max="2" width="28" bestFit="1" customWidth="1"/>
    <col min="3" max="3" width="14.54296875" customWidth="1"/>
    <col min="4" max="4" width="13.26953125" customWidth="1"/>
    <col min="5" max="5" width="13.7265625" customWidth="1"/>
    <col min="6" max="6" width="14.453125" customWidth="1"/>
    <col min="7" max="18" width="11" customWidth="1"/>
    <col min="19" max="19" width="15.1796875" customWidth="1"/>
  </cols>
  <sheetData>
    <row r="1" spans="1:19" ht="45.75" customHeight="1">
      <c r="A1" s="223" t="s">
        <v>186</v>
      </c>
    </row>
    <row r="2" spans="1:19" ht="23.25" customHeight="1" thickBot="1">
      <c r="A2" s="196" t="s">
        <v>187</v>
      </c>
    </row>
    <row r="3" spans="1:19" ht="15" thickTop="1" thickBot="1">
      <c r="A3" s="184" t="s">
        <v>6</v>
      </c>
      <c r="B3" s="184" t="s">
        <v>7</v>
      </c>
      <c r="C3" s="184" t="s">
        <v>9</v>
      </c>
      <c r="D3" s="184" t="s">
        <v>10</v>
      </c>
      <c r="E3" s="184" t="s">
        <v>11</v>
      </c>
      <c r="F3" s="184" t="s">
        <v>12</v>
      </c>
      <c r="G3" s="184" t="s">
        <v>188</v>
      </c>
      <c r="H3" s="184" t="s">
        <v>189</v>
      </c>
      <c r="I3" s="184" t="s">
        <v>190</v>
      </c>
      <c r="J3" s="184" t="s">
        <v>191</v>
      </c>
      <c r="K3" s="184" t="s">
        <v>192</v>
      </c>
      <c r="L3" s="184" t="s">
        <v>193</v>
      </c>
      <c r="M3" s="184" t="s">
        <v>194</v>
      </c>
      <c r="N3" s="184" t="s">
        <v>195</v>
      </c>
      <c r="O3" s="184" t="s">
        <v>196</v>
      </c>
      <c r="P3" s="184" t="s">
        <v>197</v>
      </c>
      <c r="Q3" s="184" t="s">
        <v>198</v>
      </c>
      <c r="R3" s="184" t="s">
        <v>199</v>
      </c>
      <c r="S3" s="200" t="s">
        <v>200</v>
      </c>
    </row>
    <row r="4" spans="1:19" ht="14.5" thickTop="1">
      <c r="A4" s="185" t="s">
        <v>30</v>
      </c>
      <c r="B4" s="198" t="s">
        <v>31</v>
      </c>
      <c r="C4" s="228">
        <v>29166</v>
      </c>
      <c r="D4" s="211">
        <v>1</v>
      </c>
      <c r="E4" s="199"/>
      <c r="F4" s="211">
        <v>1</v>
      </c>
      <c r="G4" s="195">
        <f>1000*('Footprint Summary'!G4/'Intensity Summary'!$C4)</f>
        <v>62.566344373585686</v>
      </c>
      <c r="H4" s="195">
        <f>1000*('Footprint Summary'!H4/'Intensity Summary'!$C4)</f>
        <v>61.880614414043748</v>
      </c>
      <c r="I4" s="195">
        <f>1000*('Footprint Summary'!I4/'Intensity Summary'!$C4)</f>
        <v>61.880614414043748</v>
      </c>
      <c r="J4" s="195">
        <f>1000*('Footprint Summary'!J4/'Intensity Summary'!$C4)</f>
        <v>43.365905506411579</v>
      </c>
      <c r="K4" s="195">
        <f>1000*('Footprint Summary'!K4/'Intensity Summary'!$C4)</f>
        <v>41.651580607556738</v>
      </c>
      <c r="L4" s="195">
        <f>1000*('Footprint Summary'!L4/'Intensity Summary'!$C4)</f>
        <v>40.965850648014808</v>
      </c>
      <c r="M4" s="195">
        <f>1000*('Footprint Summary'!M4/'Intensity Summary'!$C4)</f>
        <v>40.965850648014808</v>
      </c>
      <c r="N4" s="195">
        <f>1000*('Footprint Summary'!N4/'Intensity Summary'!$C4)</f>
        <v>40.622985668243842</v>
      </c>
      <c r="O4" s="195">
        <f>1000*('Footprint Summary'!O4/'Intensity Summary'!$C4)</f>
        <v>35.822875951450321</v>
      </c>
      <c r="P4" s="195">
        <f>1000*('Footprint Summary'!P4/'Intensity Summary'!$C4)</f>
        <v>35.822875951450321</v>
      </c>
      <c r="Q4" s="195">
        <f>1000*('Footprint Summary'!Q4/'Intensity Summary'!$C4)</f>
        <v>35.822875951450321</v>
      </c>
      <c r="R4" s="195">
        <f>1000*('Footprint Summary'!R4/'Intensity Summary'!$C4)</f>
        <v>35.822875951450321</v>
      </c>
      <c r="S4" s="199">
        <f>(R4-G4)/G4</f>
        <v>-0.42744176106005555</v>
      </c>
    </row>
    <row r="5" spans="1:19" ht="14">
      <c r="A5" s="185" t="s">
        <v>37</v>
      </c>
      <c r="B5" s="182" t="s">
        <v>38</v>
      </c>
      <c r="C5" s="228">
        <v>62987</v>
      </c>
      <c r="D5" s="211">
        <v>0.5</v>
      </c>
      <c r="E5" s="199"/>
      <c r="F5" s="211">
        <v>1</v>
      </c>
      <c r="G5" s="195">
        <f>1000*('Footprint Summary'!G5/'Intensity Summary'!$C5)</f>
        <v>56.26921428231222</v>
      </c>
      <c r="H5" s="195">
        <f>1000*('Footprint Summary'!H5/'Intensity Summary'!$C5)</f>
        <v>56.26921428231222</v>
      </c>
      <c r="I5" s="195">
        <f>1000*('Footprint Summary'!I5/'Intensity Summary'!$C5)</f>
        <v>56.26921428231222</v>
      </c>
      <c r="J5" s="195">
        <f>1000*('Footprint Summary'!J5/'Intensity Summary'!$C5)</f>
        <v>56.26921428231222</v>
      </c>
      <c r="K5" s="195">
        <f>1000*('Footprint Summary'!K5/'Intensity Summary'!$C5)</f>
        <v>56.26921428231222</v>
      </c>
      <c r="L5" s="195">
        <f>1000*('Footprint Summary'!L5/'Intensity Summary'!$C5)</f>
        <v>56.26921428231222</v>
      </c>
      <c r="M5" s="195">
        <f>1000*('Footprint Summary'!M5/'Intensity Summary'!$C5)</f>
        <v>56.26921428231222</v>
      </c>
      <c r="N5" s="195">
        <f>1000*('Footprint Summary'!N5/'Intensity Summary'!$C5)</f>
        <v>56.26921428231222</v>
      </c>
      <c r="O5" s="195">
        <f>1000*('Footprint Summary'!O5/'Intensity Summary'!$C5)</f>
        <v>56.26921428231222</v>
      </c>
      <c r="P5" s="195">
        <f>1000*('Footprint Summary'!P5/'Intensity Summary'!$C5)</f>
        <v>56.26921428231222</v>
      </c>
      <c r="Q5" s="195">
        <f>1000*('Footprint Summary'!Q5/'Intensity Summary'!$C5)</f>
        <v>56.26921428231222</v>
      </c>
      <c r="R5" s="195">
        <f>1000*('Footprint Summary'!R5/'Intensity Summary'!$C5)</f>
        <v>56.26921428231222</v>
      </c>
      <c r="S5" s="199">
        <f t="shared" ref="S5:S27" si="0">(R5-G5)/G5</f>
        <v>0</v>
      </c>
    </row>
    <row r="6" spans="1:19" ht="14">
      <c r="A6" s="185" t="s">
        <v>30</v>
      </c>
      <c r="B6" s="182" t="s">
        <v>42</v>
      </c>
      <c r="C6" s="231">
        <v>42132</v>
      </c>
      <c r="D6" s="211">
        <v>0.5</v>
      </c>
      <c r="E6" s="199">
        <v>1</v>
      </c>
      <c r="F6" s="211">
        <v>1</v>
      </c>
      <c r="G6" s="195">
        <f>1000*('Footprint Summary'!G6/'Intensity Summary'!$C6)</f>
        <v>66.860794645400162</v>
      </c>
      <c r="H6" s="195">
        <f>1000*('Footprint Summary'!H6/'Intensity Summary'!$C6)</f>
        <v>66.386096078989837</v>
      </c>
      <c r="I6" s="195">
        <f>1000*('Footprint Summary'!I6/'Intensity Summary'!$C6)</f>
        <v>66.386096078989837</v>
      </c>
      <c r="J6" s="195">
        <f>1000*('Footprint Summary'!J6/'Intensity Summary'!$C6)</f>
        <v>62.825856830912365</v>
      </c>
      <c r="K6" s="195">
        <f>1000*('Footprint Summary'!K6/'Intensity Summary'!$C6)</f>
        <v>62.825856830912365</v>
      </c>
      <c r="L6" s="195">
        <f>1000*('Footprint Summary'!L6/'Intensity Summary'!$C6)</f>
        <v>61.401761131681383</v>
      </c>
      <c r="M6" s="195">
        <f>1000*('Footprint Summary'!M6/'Intensity Summary'!$C6)</f>
        <v>61.401761131681383</v>
      </c>
      <c r="N6" s="195">
        <f>1000*('Footprint Summary'!N6/'Intensity Summary'!$C6)</f>
        <v>61.401761131681383</v>
      </c>
      <c r="O6" s="195">
        <f>1000*('Footprint Summary'!O6/'Intensity Summary'!$C6)</f>
        <v>49.534296971423139</v>
      </c>
      <c r="P6" s="195">
        <f>1000*('Footprint Summary'!P6/'Intensity Summary'!$C6)</f>
        <v>44.787311307319847</v>
      </c>
      <c r="Q6" s="195">
        <f>1000*('Footprint Summary'!Q6/'Intensity Summary'!$C6)</f>
        <v>44.787311307319847</v>
      </c>
      <c r="R6" s="195">
        <f>1000*('Footprint Summary'!R6/'Intensity Summary'!$C6)</f>
        <v>44.787311307319847</v>
      </c>
      <c r="S6" s="199">
        <f t="shared" si="0"/>
        <v>-0.33014090626873682</v>
      </c>
    </row>
    <row r="7" spans="1:19" ht="14">
      <c r="A7" s="185" t="s">
        <v>30</v>
      </c>
      <c r="B7" s="182" t="s">
        <v>43</v>
      </c>
      <c r="C7" s="231">
        <v>12509</v>
      </c>
      <c r="D7" s="211">
        <v>1</v>
      </c>
      <c r="E7" s="199"/>
      <c r="F7" s="211">
        <v>1</v>
      </c>
      <c r="G7" s="195">
        <f>1000*('Footprint Summary'!G7/'Intensity Summary'!$C7)</f>
        <v>48.545207450635537</v>
      </c>
      <c r="H7" s="195">
        <f>1000*('Footprint Summary'!H7/'Intensity Summary'!$C7)</f>
        <v>48.545207450635537</v>
      </c>
      <c r="I7" s="195">
        <f>1000*('Footprint Summary'!I7/'Intensity Summary'!$C7)</f>
        <v>48.545207450635537</v>
      </c>
      <c r="J7" s="195">
        <f>1000*('Footprint Summary'!J7/'Intensity Summary'!$C7)</f>
        <v>48.545207450635537</v>
      </c>
      <c r="K7" s="195">
        <f>1000*('Footprint Summary'!K7/'Intensity Summary'!$C7)</f>
        <v>48.545207450635537</v>
      </c>
      <c r="L7" s="195">
        <f>1000*('Footprint Summary'!L7/'Intensity Summary'!$C7)</f>
        <v>48.545207450635537</v>
      </c>
      <c r="M7" s="195">
        <f>1000*('Footprint Summary'!M7/'Intensity Summary'!$C7)</f>
        <v>48.545207450635537</v>
      </c>
      <c r="N7" s="195">
        <f>1000*('Footprint Summary'!N7/'Intensity Summary'!$C7)</f>
        <v>48.545207450635537</v>
      </c>
      <c r="O7" s="195">
        <f>1000*('Footprint Summary'!O7/'Intensity Summary'!$C7)</f>
        <v>48.545207450635537</v>
      </c>
      <c r="P7" s="195">
        <f>1000*('Footprint Summary'!P7/'Intensity Summary'!$C7)</f>
        <v>48.545207450635537</v>
      </c>
      <c r="Q7" s="195">
        <f>1000*('Footprint Summary'!Q7/'Intensity Summary'!$C7)</f>
        <v>48.545207450635537</v>
      </c>
      <c r="R7" s="195">
        <f>1000*('Footprint Summary'!R7/'Intensity Summary'!$C7)</f>
        <v>48.545207450635537</v>
      </c>
      <c r="S7" s="199">
        <f t="shared" si="0"/>
        <v>0</v>
      </c>
    </row>
    <row r="8" spans="1:19" ht="14">
      <c r="A8" s="185" t="s">
        <v>30</v>
      </c>
      <c r="B8" s="182" t="s">
        <v>46</v>
      </c>
      <c r="C8" s="231">
        <v>27263</v>
      </c>
      <c r="D8" s="211">
        <v>1</v>
      </c>
      <c r="E8" s="199"/>
      <c r="F8" s="211">
        <v>1</v>
      </c>
      <c r="G8" s="195">
        <f>1000*('Footprint Summary'!G8/'Intensity Summary'!$C8)</f>
        <v>51.923596082602792</v>
      </c>
      <c r="H8" s="195">
        <f>1000*('Footprint Summary'!H8/'Intensity Summary'!$C8)</f>
        <v>51.923596082602792</v>
      </c>
      <c r="I8" s="195">
        <f>1000*('Footprint Summary'!I8/'Intensity Summary'!$C8)</f>
        <v>51.923596082602792</v>
      </c>
      <c r="J8" s="195">
        <f>1000*('Footprint Summary'!J8/'Intensity Summary'!$C8)</f>
        <v>51.923596082602792</v>
      </c>
      <c r="K8" s="195">
        <f>1000*('Footprint Summary'!K8/'Intensity Summary'!$C8)</f>
        <v>51.923596082602792</v>
      </c>
      <c r="L8" s="195">
        <f>1000*('Footprint Summary'!L8/'Intensity Summary'!$C8)</f>
        <v>43.487253787184102</v>
      </c>
      <c r="M8" s="195">
        <f>1000*('Footprint Summary'!M8/'Intensity Summary'!$C8)</f>
        <v>43.487253787184102</v>
      </c>
      <c r="N8" s="195">
        <f>1000*('Footprint Summary'!N8/'Intensity Summary'!$C8)</f>
        <v>43.487253787184102</v>
      </c>
      <c r="O8" s="195">
        <f>1000*('Footprint Summary'!O8/'Intensity Summary'!$C8)</f>
        <v>44.220848769394422</v>
      </c>
      <c r="P8" s="195">
        <f>1000*('Footprint Summary'!P8/'Intensity Summary'!$C8)</f>
        <v>44.220848769394422</v>
      </c>
      <c r="Q8" s="195">
        <f>1000*('Footprint Summary'!Q8/'Intensity Summary'!$C8)</f>
        <v>44.220848769394422</v>
      </c>
      <c r="R8" s="195">
        <f>1000*('Footprint Summary'!R8/'Intensity Summary'!$C8)</f>
        <v>44.220848769394422</v>
      </c>
      <c r="S8" s="199">
        <f t="shared" si="0"/>
        <v>-0.14834772423994735</v>
      </c>
    </row>
    <row r="9" spans="1:19" ht="14">
      <c r="A9" s="185" t="s">
        <v>30</v>
      </c>
      <c r="B9" s="182" t="s">
        <v>47</v>
      </c>
      <c r="C9" s="231">
        <v>39057</v>
      </c>
      <c r="D9" s="211">
        <v>1</v>
      </c>
      <c r="E9" s="199"/>
      <c r="F9" s="211">
        <v>1</v>
      </c>
      <c r="G9" s="195">
        <f>1000*('Footprint Summary'!G9/'Intensity Summary'!$C9)</f>
        <v>38.961312952863764</v>
      </c>
      <c r="H9" s="195">
        <f>1000*('Footprint Summary'!H9/'Intensity Summary'!$C9)</f>
        <v>38.193204803236299</v>
      </c>
      <c r="I9" s="195">
        <f>1000*('Footprint Summary'!I9/'Intensity Summary'!$C9)</f>
        <v>38.193204803236299</v>
      </c>
      <c r="J9" s="195">
        <f>1000*('Footprint Summary'!J9/'Intensity Summary'!$C9)</f>
        <v>26.031492434134723</v>
      </c>
      <c r="K9" s="195">
        <f>1000*('Footprint Summary'!K9/'Intensity Summary'!$C9)</f>
        <v>26.031492434134723</v>
      </c>
      <c r="L9" s="195">
        <f>1000*('Footprint Summary'!L9/'Intensity Summary'!$C9)</f>
        <v>25.391402309445173</v>
      </c>
      <c r="M9" s="195">
        <f>1000*('Footprint Summary'!M9/'Intensity Summary'!$C9)</f>
        <v>25.391402309445173</v>
      </c>
      <c r="N9" s="195">
        <f>1000*('Footprint Summary'!N9/'Intensity Summary'!$C9)</f>
        <v>25.391402309445173</v>
      </c>
      <c r="O9" s="195">
        <f>1000*('Footprint Summary'!O9/'Intensity Summary'!$C9)</f>
        <v>24.6232941598177</v>
      </c>
      <c r="P9" s="195">
        <f>1000*('Footprint Summary'!P9/'Intensity Summary'!$C9)</f>
        <v>5.1645543692551907</v>
      </c>
      <c r="Q9" s="195">
        <f>1000*('Footprint Summary'!Q9/'Intensity Summary'!$C9)</f>
        <v>5.1645543692551907</v>
      </c>
      <c r="R9" s="195">
        <f>1000*('Footprint Summary'!R9/'Intensity Summary'!$C9)</f>
        <v>5.1645543692551907</v>
      </c>
      <c r="S9" s="199">
        <f t="shared" si="0"/>
        <v>-0.86744403671654025</v>
      </c>
    </row>
    <row r="10" spans="1:19" ht="14">
      <c r="A10" s="185" t="s">
        <v>48</v>
      </c>
      <c r="B10" s="182" t="s">
        <v>49</v>
      </c>
      <c r="C10" s="231">
        <v>24754</v>
      </c>
      <c r="D10" s="211">
        <v>1</v>
      </c>
      <c r="E10" s="199"/>
      <c r="F10" s="211">
        <v>1</v>
      </c>
      <c r="G10" s="195">
        <f>1000*('Footprint Summary'!G10/'Intensity Summary'!$C10)</f>
        <v>75.911287064716802</v>
      </c>
      <c r="H10" s="195">
        <f>1000*('Footprint Summary'!H10/'Intensity Summary'!$C10)</f>
        <v>75.911287064716802</v>
      </c>
      <c r="I10" s="195">
        <f>1000*('Footprint Summary'!I10/'Intensity Summary'!$C10)</f>
        <v>75.911287064716802</v>
      </c>
      <c r="J10" s="195">
        <f>1000*('Footprint Summary'!J10/'Intensity Summary'!$C10)</f>
        <v>75.911286660741695</v>
      </c>
      <c r="K10" s="195">
        <f>1000*('Footprint Summary'!K10/'Intensity Summary'!$C10)</f>
        <v>75.911286660741695</v>
      </c>
      <c r="L10" s="195">
        <f>1000*('Footprint Summary'!L10/'Intensity Summary'!$C10)</f>
        <v>68.773935121596509</v>
      </c>
      <c r="M10" s="195">
        <f>1000*('Footprint Summary'!M10/'Intensity Summary'!$C10)</f>
        <v>68.773935121596509</v>
      </c>
      <c r="N10" s="195">
        <f>1000*('Footprint Summary'!N10/'Intensity Summary'!$C10)</f>
        <v>68.773935121596509</v>
      </c>
      <c r="O10" s="195">
        <f>1000*('Footprint Summary'!O10/'Intensity Summary'!$C10)</f>
        <v>68.773935121596509</v>
      </c>
      <c r="P10" s="195">
        <f>1000*('Footprint Summary'!P10/'Intensity Summary'!$C10)</f>
        <v>63.911084673184128</v>
      </c>
      <c r="Q10" s="195">
        <f>1000*('Footprint Summary'!Q10/'Intensity Summary'!$C10)</f>
        <v>63.911084673184128</v>
      </c>
      <c r="R10" s="195">
        <f>1000*('Footprint Summary'!R10/'Intensity Summary'!$C10)</f>
        <v>63.911084673184128</v>
      </c>
      <c r="S10" s="199">
        <f t="shared" si="0"/>
        <v>-0.15808192504103002</v>
      </c>
    </row>
    <row r="11" spans="1:19" ht="14">
      <c r="A11" s="185" t="s">
        <v>30</v>
      </c>
      <c r="B11" s="182" t="s">
        <v>92</v>
      </c>
      <c r="C11" s="231">
        <v>26819</v>
      </c>
      <c r="D11" s="212">
        <v>0</v>
      </c>
      <c r="E11" s="199">
        <v>1</v>
      </c>
      <c r="F11" s="211">
        <v>1</v>
      </c>
      <c r="G11" s="195">
        <f>1000*('Footprint Summary'!G11/'Intensity Summary'!$C11)</f>
        <v>55.326596815690372</v>
      </c>
      <c r="H11" s="195">
        <f>1000*('Footprint Summary'!H11/'Intensity Summary'!$C11)</f>
        <v>55.326596815690372</v>
      </c>
      <c r="I11" s="195">
        <f>1000*('Footprint Summary'!I11/'Intensity Summary'!$C11)</f>
        <v>55.326596815690372</v>
      </c>
      <c r="J11" s="195">
        <f>1000*('Footprint Summary'!J11/'Intensity Summary'!$C11)</f>
        <v>56.072336776166154</v>
      </c>
      <c r="K11" s="195">
        <f>1000*('Footprint Summary'!K11/'Intensity Summary'!$C11)</f>
        <v>48.242067191170442</v>
      </c>
      <c r="L11" s="195">
        <f>1000*('Footprint Summary'!L11/'Intensity Summary'!$C11)</f>
        <v>48.242067191170442</v>
      </c>
      <c r="M11" s="195">
        <f>1000*('Footprint Summary'!M11/'Intensity Summary'!$C11)</f>
        <v>48.242067191170442</v>
      </c>
      <c r="N11" s="195">
        <f>1000*('Footprint Summary'!N11/'Intensity Summary'!$C11)</f>
        <v>48.242067191170442</v>
      </c>
      <c r="O11" s="195">
        <f>1000*('Footprint Summary'!O11/'Intensity Summary'!$C11)</f>
        <v>48.987807151646223</v>
      </c>
      <c r="P11" s="195">
        <f>1000*('Footprint Summary'!P11/'Intensity Summary'!$C11)</f>
        <v>48.987807151646223</v>
      </c>
      <c r="Q11" s="195">
        <f>1000*('Footprint Summary'!Q11/'Intensity Summary'!$C11)</f>
        <v>48.987807151646223</v>
      </c>
      <c r="R11" s="195">
        <f>1000*('Footprint Summary'!R11/'Intensity Summary'!$C11)</f>
        <v>40.784667586412624</v>
      </c>
      <c r="S11" s="199">
        <f t="shared" si="0"/>
        <v>-0.26283794894743506</v>
      </c>
    </row>
    <row r="12" spans="1:19" ht="14">
      <c r="A12" s="185" t="s">
        <v>30</v>
      </c>
      <c r="B12" s="182" t="s">
        <v>52</v>
      </c>
      <c r="C12" s="231">
        <v>28396</v>
      </c>
      <c r="D12" s="211">
        <v>0.75</v>
      </c>
      <c r="E12" s="199"/>
      <c r="F12" s="211">
        <v>1</v>
      </c>
      <c r="G12" s="195">
        <f>1000*('Footprint Summary'!G12/'Intensity Summary'!$C12)</f>
        <v>42.646851669249187</v>
      </c>
      <c r="H12" s="195">
        <f>1000*('Footprint Summary'!H12/'Intensity Summary'!$C12)</f>
        <v>43.703338498380056</v>
      </c>
      <c r="I12" s="195">
        <f>1000*('Footprint Summary'!I12/'Intensity Summary'!$C12)</f>
        <v>43.703338498380056</v>
      </c>
      <c r="J12" s="195">
        <f>1000*('Footprint Summary'!J12/'Intensity Summary'!$C12)</f>
        <v>43.703338498380056</v>
      </c>
      <c r="K12" s="195">
        <f>1000*('Footprint Summary'!K12/'Intensity Summary'!$C12)</f>
        <v>43.703338498380056</v>
      </c>
      <c r="L12" s="195">
        <f>1000*('Footprint Summary'!L12/'Intensity Summary'!$C12)</f>
        <v>40.181715734610513</v>
      </c>
      <c r="M12" s="195">
        <f>1000*('Footprint Summary'!M12/'Intensity Summary'!$C12)</f>
        <v>40.181715734610513</v>
      </c>
      <c r="N12" s="195">
        <f>1000*('Footprint Summary'!N12/'Intensity Summary'!$C12)</f>
        <v>40.181715734610513</v>
      </c>
      <c r="O12" s="195">
        <f>1000*('Footprint Summary'!O12/'Intensity Summary'!$C12)</f>
        <v>40.886040287364416</v>
      </c>
      <c r="P12" s="195">
        <f>1000*('Footprint Summary'!P12/'Intensity Summary'!$C12)</f>
        <v>40.886040287364416</v>
      </c>
      <c r="Q12" s="195">
        <f>1000*('Footprint Summary'!Q12/'Intensity Summary'!$C12)</f>
        <v>40.886040287364416</v>
      </c>
      <c r="R12" s="195">
        <f>1000*('Footprint Summary'!R12/'Intensity Summary'!$C12)</f>
        <v>40.886040287364416</v>
      </c>
      <c r="S12" s="199">
        <f t="shared" si="0"/>
        <v>-4.1288191577208894E-2</v>
      </c>
    </row>
    <row r="13" spans="1:19" ht="14">
      <c r="A13" s="185" t="s">
        <v>30</v>
      </c>
      <c r="B13" s="182" t="s">
        <v>54</v>
      </c>
      <c r="C13" s="231">
        <v>37558</v>
      </c>
      <c r="D13" s="211">
        <v>0.75</v>
      </c>
      <c r="E13" s="199"/>
      <c r="F13" s="211">
        <v>1</v>
      </c>
      <c r="G13" s="195">
        <f>1000*('Footprint Summary'!G13/'Intensity Summary'!$C13)</f>
        <v>45.538686831034667</v>
      </c>
      <c r="H13" s="195">
        <f>1000*('Footprint Summary'!H13/'Intensity Summary'!$C13)</f>
        <v>43.408647957825231</v>
      </c>
      <c r="I13" s="195">
        <f>1000*('Footprint Summary'!I13/'Intensity Summary'!$C13)</f>
        <v>43.408647957825231</v>
      </c>
      <c r="J13" s="195">
        <f>1000*('Footprint Summary'!J13/'Intensity Summary'!$C13)</f>
        <v>43.408647957825231</v>
      </c>
      <c r="K13" s="195">
        <f>1000*('Footprint Summary'!K13/'Intensity Summary'!$C13)</f>
        <v>43.408647957825231</v>
      </c>
      <c r="L13" s="195">
        <f>1000*('Footprint Summary'!L13/'Intensity Summary'!$C13)</f>
        <v>37.417913626923692</v>
      </c>
      <c r="M13" s="195">
        <f>1000*('Footprint Summary'!M13/'Intensity Summary'!$C13)</f>
        <v>37.417913626923692</v>
      </c>
      <c r="N13" s="195">
        <f>1000*('Footprint Summary'!N13/'Intensity Summary'!$C13)</f>
        <v>37.417913626923692</v>
      </c>
      <c r="O13" s="195">
        <f>1000*('Footprint Summary'!O13/'Intensity Summary'!$C13)</f>
        <v>37.950423345226056</v>
      </c>
      <c r="P13" s="195">
        <f>1000*('Footprint Summary'!P13/'Intensity Summary'!$C13)</f>
        <v>36.086639331167795</v>
      </c>
      <c r="Q13" s="195">
        <f>1000*('Footprint Summary'!Q13/'Intensity Summary'!$C13)</f>
        <v>36.086639331167795</v>
      </c>
      <c r="R13" s="195">
        <f>1000*('Footprint Summary'!R13/'Intensity Summary'!$C13)</f>
        <v>36.086639331167795</v>
      </c>
      <c r="S13" s="199">
        <f t="shared" si="0"/>
        <v>-0.20756082701588335</v>
      </c>
    </row>
    <row r="14" spans="1:19" ht="14">
      <c r="A14" s="185" t="s">
        <v>37</v>
      </c>
      <c r="B14" s="182" t="s">
        <v>55</v>
      </c>
      <c r="C14" s="231">
        <v>55051</v>
      </c>
      <c r="D14" s="211">
        <v>0.5</v>
      </c>
      <c r="E14" s="199">
        <v>1</v>
      </c>
      <c r="F14" s="211">
        <v>1</v>
      </c>
      <c r="G14" s="195">
        <f>1000*('Footprint Summary'!G14/'Intensity Summary'!$C14)</f>
        <v>23.219623621732577</v>
      </c>
      <c r="H14" s="195">
        <f>1000*('Footprint Summary'!H14/'Intensity Summary'!$C14)</f>
        <v>21.655619334798644</v>
      </c>
      <c r="I14" s="195">
        <f>1000*('Footprint Summary'!I14/'Intensity Summary'!$C14)</f>
        <v>21.655619334798644</v>
      </c>
      <c r="J14" s="195">
        <f>1000*('Footprint Summary'!J14/'Intensity Summary'!$C14)</f>
        <v>20.571170369293927</v>
      </c>
      <c r="K14" s="195">
        <f>1000*('Footprint Summary'!K14/'Intensity Summary'!$C14)</f>
        <v>20.335025703438628</v>
      </c>
      <c r="L14" s="195">
        <f>1000*('Footprint Summary'!L14/'Intensity Summary'!$C14)</f>
        <v>18.133430818695391</v>
      </c>
      <c r="M14" s="195">
        <f>1000*('Footprint Summary'!M14/'Intensity Summary'!$C14)</f>
        <v>18.133430818695391</v>
      </c>
      <c r="N14" s="195">
        <f>1000*('Footprint Summary'!N14/'Intensity Summary'!$C14)</f>
        <v>21.530281012152368</v>
      </c>
      <c r="O14" s="195">
        <f>1000*('Footprint Summary'!O14/'Intensity Summary'!$C14)</f>
        <v>21.530281012152368</v>
      </c>
      <c r="P14" s="195">
        <f>1000*('Footprint Summary'!P14/'Intensity Summary'!$C14)</f>
        <v>21.530281012152368</v>
      </c>
      <c r="Q14" s="195">
        <f>1000*('Footprint Summary'!Q14/'Intensity Summary'!$C14)</f>
        <v>21.530281012152368</v>
      </c>
      <c r="R14" s="195">
        <f>1000*('Footprint Summary'!R14/'Intensity Summary'!$C14)</f>
        <v>21.530281012152368</v>
      </c>
      <c r="S14" s="199">
        <f t="shared" si="0"/>
        <v>-7.2754952323992705E-2</v>
      </c>
    </row>
    <row r="15" spans="1:19" ht="14">
      <c r="A15" s="185" t="s">
        <v>30</v>
      </c>
      <c r="B15" s="182" t="s">
        <v>56</v>
      </c>
      <c r="C15" s="231">
        <v>39938</v>
      </c>
      <c r="D15" s="211">
        <v>0.5</v>
      </c>
      <c r="E15" s="199"/>
      <c r="F15" s="211">
        <v>1</v>
      </c>
      <c r="G15" s="195">
        <f>1000*('Footprint Summary'!G15/'Intensity Summary'!$C15)</f>
        <v>64.97538684961691</v>
      </c>
      <c r="H15" s="195">
        <f>1000*('Footprint Summary'!H15/'Intensity Summary'!$C15)</f>
        <v>64.97538684961691</v>
      </c>
      <c r="I15" s="195">
        <f>1000*('Footprint Summary'!I15/'Intensity Summary'!$C15)</f>
        <v>64.97538684961691</v>
      </c>
      <c r="J15" s="195">
        <f>1000*('Footprint Summary'!J15/'Intensity Summary'!$C15)</f>
        <v>64.97538684961691</v>
      </c>
      <c r="K15" s="195">
        <f>1000*('Footprint Summary'!K15/'Intensity Summary'!$C15)</f>
        <v>64.97538684961691</v>
      </c>
      <c r="L15" s="195">
        <f>1000*('Footprint Summary'!L15/'Intensity Summary'!$C15)</f>
        <v>64.97538684961691</v>
      </c>
      <c r="M15" s="195">
        <f>1000*('Footprint Summary'!M15/'Intensity Summary'!$C15)</f>
        <v>64.97538684961691</v>
      </c>
      <c r="N15" s="195">
        <f>1000*('Footprint Summary'!N15/'Intensity Summary'!$C15)</f>
        <v>64.97538684961691</v>
      </c>
      <c r="O15" s="195">
        <f>1000*('Footprint Summary'!O15/'Intensity Summary'!$C15)</f>
        <v>64.97538684961691</v>
      </c>
      <c r="P15" s="195">
        <f>1000*('Footprint Summary'!P15/'Intensity Summary'!$C15)</f>
        <v>64.97538684961691</v>
      </c>
      <c r="Q15" s="195">
        <f>1000*('Footprint Summary'!Q15/'Intensity Summary'!$C15)</f>
        <v>64.97538684961691</v>
      </c>
      <c r="R15" s="195">
        <f>1000*('Footprint Summary'!R15/'Intensity Summary'!$C15)</f>
        <v>64.97538684961691</v>
      </c>
      <c r="S15" s="199">
        <f t="shared" si="0"/>
        <v>0</v>
      </c>
    </row>
    <row r="16" spans="1:19" ht="14">
      <c r="A16" s="185" t="s">
        <v>30</v>
      </c>
      <c r="B16" s="182" t="s">
        <v>93</v>
      </c>
      <c r="C16" s="231">
        <v>20404</v>
      </c>
      <c r="D16" s="212">
        <v>0</v>
      </c>
      <c r="E16" s="199">
        <v>1</v>
      </c>
      <c r="F16" s="211">
        <v>1</v>
      </c>
      <c r="G16" s="195">
        <f>1000*('Footprint Summary'!G16/'Intensity Summary'!$C16)</f>
        <v>51.914673593413056</v>
      </c>
      <c r="H16" s="195">
        <f>1000*('Footprint Summary'!H16/'Intensity Summary'!$C16)</f>
        <v>51.914673593413056</v>
      </c>
      <c r="I16" s="195">
        <f>1000*('Footprint Summary'!I16/'Intensity Summary'!$C16)</f>
        <v>51.914673593413056</v>
      </c>
      <c r="J16" s="195">
        <f>1000*('Footprint Summary'!J16/'Intensity Summary'!$C16)</f>
        <v>51.914673593413056</v>
      </c>
      <c r="K16" s="195">
        <f>1000*('Footprint Summary'!K16/'Intensity Summary'!$C16)</f>
        <v>51.914673593413056</v>
      </c>
      <c r="L16" s="195">
        <f>1000*('Footprint Summary'!L16/'Intensity Summary'!$C16)</f>
        <v>51.914673593413056</v>
      </c>
      <c r="M16" s="195">
        <f>1000*('Footprint Summary'!M16/'Intensity Summary'!$C16)</f>
        <v>51.914673593413056</v>
      </c>
      <c r="N16" s="195">
        <f>1000*('Footprint Summary'!N16/'Intensity Summary'!$C16)</f>
        <v>51.914673593413056</v>
      </c>
      <c r="O16" s="195">
        <f>1000*('Footprint Summary'!O16/'Intensity Summary'!$C16)</f>
        <v>51.914673593413056</v>
      </c>
      <c r="P16" s="195">
        <f>1000*('Footprint Summary'!P16/'Intensity Summary'!$C16)</f>
        <v>57.795873358165075</v>
      </c>
      <c r="Q16" s="195">
        <f>1000*('Footprint Summary'!Q16/'Intensity Summary'!$C16)</f>
        <v>57.795873358165075</v>
      </c>
      <c r="R16" s="195">
        <f>1000*('Footprint Summary'!R16/'Intensity Summary'!$C16)</f>
        <v>57.795873358165075</v>
      </c>
      <c r="S16" s="199">
        <f t="shared" si="0"/>
        <v>0.11328588542831995</v>
      </c>
    </row>
    <row r="17" spans="1:19" ht="14">
      <c r="A17" s="185" t="s">
        <v>37</v>
      </c>
      <c r="B17" s="182" t="s">
        <v>60</v>
      </c>
      <c r="C17" s="231">
        <v>1422</v>
      </c>
      <c r="D17" s="211">
        <v>1</v>
      </c>
      <c r="E17" s="199"/>
      <c r="F17" s="211">
        <v>1</v>
      </c>
      <c r="G17" s="195">
        <f>1000*('Footprint Summary'!G17/'Intensity Summary'!$C17)</f>
        <v>0</v>
      </c>
      <c r="H17" s="195">
        <f>1000*('Footprint Summary'!H17/'Intensity Summary'!$C17)</f>
        <v>0</v>
      </c>
      <c r="I17" s="195">
        <f>1000*('Footprint Summary'!I17/'Intensity Summary'!$C17)</f>
        <v>0</v>
      </c>
      <c r="J17" s="195">
        <f>1000*('Footprint Summary'!J17/'Intensity Summary'!$C17)</f>
        <v>0</v>
      </c>
      <c r="K17" s="195">
        <f>1000*('Footprint Summary'!K17/'Intensity Summary'!$C17)</f>
        <v>0</v>
      </c>
      <c r="L17" s="195">
        <f>1000*('Footprint Summary'!L17/'Intensity Summary'!$C17)</f>
        <v>0</v>
      </c>
      <c r="M17" s="195">
        <f>1000*('Footprint Summary'!M17/'Intensity Summary'!$C17)</f>
        <v>0</v>
      </c>
      <c r="N17" s="195">
        <f>1000*('Footprint Summary'!N17/'Intensity Summary'!$C17)</f>
        <v>0</v>
      </c>
      <c r="O17" s="195">
        <f>1000*('Footprint Summary'!O17/'Intensity Summary'!$C17)</f>
        <v>0</v>
      </c>
      <c r="P17" s="195">
        <f>1000*('Footprint Summary'!P17/'Intensity Summary'!$C17)</f>
        <v>0</v>
      </c>
      <c r="Q17" s="195">
        <f>1000*('Footprint Summary'!Q17/'Intensity Summary'!$C17)</f>
        <v>0</v>
      </c>
      <c r="R17" s="195">
        <f>1000*('Footprint Summary'!R17/'Intensity Summary'!$C17)</f>
        <v>0</v>
      </c>
      <c r="S17" s="199"/>
    </row>
    <row r="18" spans="1:19" ht="14">
      <c r="A18" s="185" t="s">
        <v>66</v>
      </c>
      <c r="B18" s="182" t="s">
        <v>170</v>
      </c>
      <c r="C18" s="231">
        <v>17363.8</v>
      </c>
      <c r="D18" s="212">
        <v>0</v>
      </c>
      <c r="E18" s="199"/>
      <c r="F18" s="211">
        <v>1</v>
      </c>
      <c r="G18" s="195">
        <f>1000*('Footprint Summary'!G18/'Intensity Summary'!$C18)</f>
        <v>88.606698994459734</v>
      </c>
      <c r="H18" s="195">
        <f>1000*('Footprint Summary'!H18/'Intensity Summary'!$C18)</f>
        <v>90.334431403264261</v>
      </c>
      <c r="I18" s="195">
        <f>1000*('Footprint Summary'!I18/'Intensity Summary'!$C18)</f>
        <v>90.334431403264261</v>
      </c>
      <c r="J18" s="195">
        <f>1000*('Footprint Summary'!J18/'Intensity Summary'!$C18)</f>
        <v>90.334431403264261</v>
      </c>
      <c r="K18" s="195">
        <f>1000*('Footprint Summary'!K18/'Intensity Summary'!$C18)</f>
        <v>88.894654395927162</v>
      </c>
      <c r="L18" s="195">
        <f>1000*('Footprint Summary'!L18/'Intensity Summary'!$C18)</f>
        <v>87.166921987122649</v>
      </c>
      <c r="M18" s="195">
        <f>1000*('Footprint Summary'!M18/'Intensity Summary'!$C18)</f>
        <v>87.166921987122649</v>
      </c>
      <c r="N18" s="195">
        <f>1000*('Footprint Summary'!N18/'Intensity Summary'!$C18)</f>
        <v>87.166921987122649</v>
      </c>
      <c r="O18" s="195">
        <f>1000*('Footprint Summary'!O18/'Intensity Summary'!$C18)</f>
        <v>64.706400672663818</v>
      </c>
      <c r="P18" s="195">
        <f>1000*('Footprint Summary'!P18/'Intensity Summary'!$C18)</f>
        <v>64.706400672663818</v>
      </c>
      <c r="Q18" s="195">
        <f>1000*('Footprint Summary'!Q18/'Intensity Summary'!$C18)</f>
        <v>64.706400672663818</v>
      </c>
      <c r="R18" s="195">
        <f>1000*('Footprint Summary'!R18/'Intensity Summary'!$C18)</f>
        <v>64.706400672663818</v>
      </c>
      <c r="S18" s="199">
        <f t="shared" si="0"/>
        <v>-0.26973466558426151</v>
      </c>
    </row>
    <row r="19" spans="1:19" ht="14">
      <c r="A19" s="185" t="s">
        <v>48</v>
      </c>
      <c r="B19" s="182" t="s">
        <v>168</v>
      </c>
      <c r="C19" s="231">
        <v>24784</v>
      </c>
      <c r="D19" s="212">
        <v>0</v>
      </c>
      <c r="E19" s="199"/>
      <c r="F19" s="211">
        <v>1</v>
      </c>
      <c r="G19" s="195">
        <f>1000*('Footprint Summary'!G19/'Intensity Summary'!$C19)</f>
        <v>36.104220464816009</v>
      </c>
      <c r="H19" s="195">
        <f>1000*('Footprint Summary'!H19/'Intensity Summary'!$C19)</f>
        <v>36.104220464816009</v>
      </c>
      <c r="I19" s="195">
        <f>1000*('Footprint Summary'!I19/'Intensity Summary'!$C19)</f>
        <v>36.104220464816009</v>
      </c>
      <c r="J19" s="195">
        <f>1000*('Footprint Summary'!J19/'Intensity Summary'!$C19)</f>
        <v>36.104220464816009</v>
      </c>
      <c r="K19" s="195">
        <f>1000*('Footprint Summary'!K19/'Intensity Summary'!$C19)</f>
        <v>36.104220464816009</v>
      </c>
      <c r="L19" s="195">
        <f>1000*('Footprint Summary'!L19/'Intensity Summary'!$C19)</f>
        <v>34.449927372498387</v>
      </c>
      <c r="M19" s="195">
        <f>1000*('Footprint Summary'!M19/'Intensity Summary'!$C19)</f>
        <v>34.449927372498387</v>
      </c>
      <c r="N19" s="195">
        <f>1000*('Footprint Summary'!N19/'Intensity Summary'!$C19)</f>
        <v>34.449927372498387</v>
      </c>
      <c r="O19" s="195">
        <f>1000*('Footprint Summary'!O19/'Intensity Summary'!$C19)</f>
        <v>34.449927372498387</v>
      </c>
      <c r="P19" s="195">
        <f>1000*('Footprint Summary'!P19/'Intensity Summary'!$C19)</f>
        <v>34.449927372498387</v>
      </c>
      <c r="Q19" s="195">
        <f>1000*('Footprint Summary'!Q19/'Intensity Summary'!$C19)</f>
        <v>34.449927372498387</v>
      </c>
      <c r="R19" s="195">
        <f>1000*('Footprint Summary'!R19/'Intensity Summary'!$C19)</f>
        <v>34.449927372498387</v>
      </c>
      <c r="S19" s="199">
        <f t="shared" si="0"/>
        <v>-4.5819936589677958E-2</v>
      </c>
    </row>
    <row r="20" spans="1:19" ht="14">
      <c r="A20" s="185" t="s">
        <v>30</v>
      </c>
      <c r="B20" s="182" t="s">
        <v>123</v>
      </c>
      <c r="C20" s="231">
        <v>23555.5</v>
      </c>
      <c r="D20" s="211">
        <v>0</v>
      </c>
      <c r="E20" s="199"/>
      <c r="F20" s="211">
        <v>1</v>
      </c>
      <c r="G20" s="195">
        <f>1000*('Footprint Summary'!G20/'Intensity Summary'!$C20)</f>
        <v>39.256861454861919</v>
      </c>
      <c r="H20" s="195">
        <f>1000*('Footprint Summary'!H20/'Intensity Summary'!$C20)</f>
        <v>39.256861454861919</v>
      </c>
      <c r="I20" s="195">
        <f>1000*('Footprint Summary'!I20/'Intensity Summary'!$C20)</f>
        <v>39.256861454861919</v>
      </c>
      <c r="J20" s="195">
        <f>1000*('Footprint Summary'!J20/'Intensity Summary'!$C20)</f>
        <v>39.256861454861919</v>
      </c>
      <c r="K20" s="195">
        <f>1000*('Footprint Summary'!K20/'Intensity Summary'!$C20)</f>
        <v>39.256861454861919</v>
      </c>
      <c r="L20" s="195">
        <f>1000*('Footprint Summary'!L20/'Intensity Summary'!$C20)</f>
        <v>39.256861454861919</v>
      </c>
      <c r="M20" s="195">
        <f>1000*('Footprint Summary'!M20/'Intensity Summary'!$C20)</f>
        <v>39.256861454861919</v>
      </c>
      <c r="N20" s="195">
        <f>1000*('Footprint Summary'!N20/'Intensity Summary'!$C20)</f>
        <v>39.256861454861919</v>
      </c>
      <c r="O20" s="195">
        <f>1000*('Footprint Summary'!O20/'Intensity Summary'!$C20)</f>
        <v>39.256861454861919</v>
      </c>
      <c r="P20" s="195">
        <f>1000*('Footprint Summary'!P20/'Intensity Summary'!$C20)</f>
        <v>39.256861454861919</v>
      </c>
      <c r="Q20" s="195">
        <f>1000*('Footprint Summary'!Q20/'Intensity Summary'!$C20)</f>
        <v>39.256861454861919</v>
      </c>
      <c r="R20" s="195">
        <f>1000*('Footprint Summary'!R20/'Intensity Summary'!$C20)</f>
        <v>39.256861454861919</v>
      </c>
      <c r="S20" s="199">
        <f t="shared" si="0"/>
        <v>0</v>
      </c>
    </row>
    <row r="21" spans="1:19" ht="14">
      <c r="A21" s="185" t="s">
        <v>63</v>
      </c>
      <c r="B21" s="182" t="s">
        <v>64</v>
      </c>
      <c r="C21" s="231">
        <v>61127</v>
      </c>
      <c r="D21" s="211">
        <v>0.5</v>
      </c>
      <c r="E21" s="199"/>
      <c r="F21" s="211"/>
      <c r="G21" s="195">
        <f>1000*('Footprint Summary'!G21/'Intensity Summary'!$C21)</f>
        <v>38.933548186562405</v>
      </c>
      <c r="H21" s="195">
        <f>1000*('Footprint Summary'!H21/'Intensity Summary'!$C21)</f>
        <v>38.933548186562405</v>
      </c>
      <c r="I21" s="195">
        <f>1000*('Footprint Summary'!I21/'Intensity Summary'!$C21)</f>
        <v>38.933548186562405</v>
      </c>
      <c r="J21" s="195">
        <f>1000*('Footprint Summary'!J21/'Intensity Summary'!$C21)</f>
        <v>38.933548186562405</v>
      </c>
      <c r="K21" s="195">
        <f>1000*('Footprint Summary'!K21/'Intensity Summary'!$C21)</f>
        <v>38.933548186562405</v>
      </c>
      <c r="L21" s="195">
        <f>1000*('Footprint Summary'!L21/'Intensity Summary'!$C21)</f>
        <v>41.900780342565483</v>
      </c>
      <c r="M21" s="195">
        <f>1000*('Footprint Summary'!M21/'Intensity Summary'!$C21)</f>
        <v>41.900780342565483</v>
      </c>
      <c r="N21" s="195">
        <f>1000*('Footprint Summary'!N21/'Intensity Summary'!$C21)</f>
        <v>41.900780342565483</v>
      </c>
      <c r="O21" s="195">
        <f>1000*('Footprint Summary'!O21/'Intensity Summary'!$C21)</f>
        <v>41.900780342565483</v>
      </c>
      <c r="P21" s="195">
        <f>1000*('Footprint Summary'!P21/'Intensity Summary'!$C21)</f>
        <v>41.900780342565483</v>
      </c>
      <c r="Q21" s="195">
        <f>1000*('Footprint Summary'!Q21/'Intensity Summary'!$C21)</f>
        <v>41.900780342565483</v>
      </c>
      <c r="R21" s="195">
        <f>1000*('Footprint Summary'!R21/'Intensity Summary'!$C21)</f>
        <v>41.900780342565483</v>
      </c>
      <c r="S21" s="199">
        <f t="shared" si="0"/>
        <v>7.6212734112612784E-2</v>
      </c>
    </row>
    <row r="22" spans="1:19" ht="14">
      <c r="A22" s="185" t="s">
        <v>66</v>
      </c>
      <c r="B22" s="182" t="s">
        <v>95</v>
      </c>
      <c r="C22" s="231">
        <v>41253</v>
      </c>
      <c r="D22" s="212">
        <v>0</v>
      </c>
      <c r="E22" s="199">
        <v>1</v>
      </c>
      <c r="F22" s="211"/>
      <c r="G22" s="195">
        <f>1000*('Footprint Summary'!G22/'Intensity Summary'!$C22)</f>
        <v>57.520398516471531</v>
      </c>
      <c r="H22" s="195">
        <f>1000*('Footprint Summary'!H22/'Intensity Summary'!$C22)</f>
        <v>57.520398516471531</v>
      </c>
      <c r="I22" s="195">
        <f>1000*('Footprint Summary'!I22/'Intensity Summary'!$C22)</f>
        <v>57.520398516471531</v>
      </c>
      <c r="J22" s="195">
        <f>1000*('Footprint Summary'!J22/'Intensity Summary'!$C22)</f>
        <v>57.520398516471531</v>
      </c>
      <c r="K22" s="195">
        <f>1000*('Footprint Summary'!K22/'Intensity Summary'!$C22)</f>
        <v>57.520398516471531</v>
      </c>
      <c r="L22" s="195">
        <f>1000*('Footprint Summary'!L22/'Intensity Summary'!$C22)</f>
        <v>57.520398516471531</v>
      </c>
      <c r="M22" s="195">
        <f>1000*('Footprint Summary'!M22/'Intensity Summary'!$C22)</f>
        <v>57.520398516471531</v>
      </c>
      <c r="N22" s="195">
        <f>1000*('Footprint Summary'!N22/'Intensity Summary'!$C22)</f>
        <v>57.520398516471531</v>
      </c>
      <c r="O22" s="195">
        <f>1000*('Footprint Summary'!O22/'Intensity Summary'!$C22)</f>
        <v>57.520398516471531</v>
      </c>
      <c r="P22" s="195">
        <f>1000*('Footprint Summary'!P22/'Intensity Summary'!$C22)</f>
        <v>57.520398516471531</v>
      </c>
      <c r="Q22" s="195">
        <f>1000*('Footprint Summary'!Q22/'Intensity Summary'!$C22)</f>
        <v>57.520398516471531</v>
      </c>
      <c r="R22" s="195">
        <f>1000*('Footprint Summary'!R22/'Intensity Summary'!$C22)</f>
        <v>57.520398516471531</v>
      </c>
      <c r="S22" s="199">
        <f t="shared" si="0"/>
        <v>0</v>
      </c>
    </row>
    <row r="23" spans="1:19" ht="14">
      <c r="A23" s="185" t="s">
        <v>66</v>
      </c>
      <c r="B23" s="198" t="s">
        <v>133</v>
      </c>
      <c r="C23" s="231">
        <v>8227.2000000000007</v>
      </c>
      <c r="D23" s="212">
        <v>0</v>
      </c>
      <c r="E23" s="199"/>
      <c r="F23" s="211">
        <v>1</v>
      </c>
      <c r="G23" s="195">
        <f>1000*('Footprint Summary'!G23/'Intensity Summary'!$C23)</f>
        <v>66.605673862310383</v>
      </c>
      <c r="H23" s="195">
        <f>1000*('Footprint Summary'!H23/'Intensity Summary'!$C23)</f>
        <v>66.605673862310383</v>
      </c>
      <c r="I23" s="195">
        <f>1000*('Footprint Summary'!I23/'Intensity Summary'!$C23)</f>
        <v>66.605673862310383</v>
      </c>
      <c r="J23" s="195">
        <f>1000*('Footprint Summary'!J23/'Intensity Summary'!$C23)</f>
        <v>66.605673862310383</v>
      </c>
      <c r="K23" s="195">
        <f>1000*('Footprint Summary'!K23/'Intensity Summary'!$C23)</f>
        <v>66.605673862310383</v>
      </c>
      <c r="L23" s="195">
        <f>1000*('Footprint Summary'!L23/'Intensity Summary'!$C23)</f>
        <v>66.605673862310383</v>
      </c>
      <c r="M23" s="195">
        <f>1000*('Footprint Summary'!M23/'Intensity Summary'!$C23)</f>
        <v>66.605673862310383</v>
      </c>
      <c r="N23" s="195">
        <f>1000*('Footprint Summary'!N23/'Intensity Summary'!$C23)</f>
        <v>66.605673862310383</v>
      </c>
      <c r="O23" s="195">
        <f>1000*('Footprint Summary'!O23/'Intensity Summary'!$C23)</f>
        <v>66.605673862310383</v>
      </c>
      <c r="P23" s="195">
        <f>1000*('Footprint Summary'!P23/'Intensity Summary'!$C23)</f>
        <v>66.605673862310383</v>
      </c>
      <c r="Q23" s="195">
        <f>1000*('Footprint Summary'!Q23/'Intensity Summary'!$C23)</f>
        <v>66.605673862310383</v>
      </c>
      <c r="R23" s="195">
        <f>1000*('Footprint Summary'!R23/'Intensity Summary'!$C23)</f>
        <v>66.605673862310383</v>
      </c>
      <c r="S23" s="199">
        <f t="shared" si="0"/>
        <v>0</v>
      </c>
    </row>
    <row r="24" spans="1:19" ht="14">
      <c r="A24" s="185" t="s">
        <v>178</v>
      </c>
      <c r="B24" s="198" t="s">
        <v>140</v>
      </c>
      <c r="C24" s="231">
        <v>20861</v>
      </c>
      <c r="D24" s="212">
        <v>1</v>
      </c>
      <c r="E24" s="199"/>
      <c r="F24" s="211">
        <v>1</v>
      </c>
      <c r="G24" s="195">
        <f>1000*('Footprint Summary'!G24/'Intensity Summary'!$C24)</f>
        <v>53.302717990508611</v>
      </c>
      <c r="H24" s="195">
        <f>1000*('Footprint Summary'!H24/'Intensity Summary'!$C24)</f>
        <v>53.302717990508611</v>
      </c>
      <c r="I24" s="195">
        <f>1000*('Footprint Summary'!I24/'Intensity Summary'!$C24)</f>
        <v>53.302717990508611</v>
      </c>
      <c r="J24" s="195">
        <f>1000*('Footprint Summary'!J24/'Intensity Summary'!$C24)</f>
        <v>53.302717990508611</v>
      </c>
      <c r="K24" s="195">
        <f>1000*('Footprint Summary'!K24/'Intensity Summary'!$C24)</f>
        <v>53.302717990508611</v>
      </c>
      <c r="L24" s="195">
        <f>1000*('Footprint Summary'!L24/'Intensity Summary'!$C24)</f>
        <v>53.302717990508611</v>
      </c>
      <c r="M24" s="195">
        <f>1000*('Footprint Summary'!M24/'Intensity Summary'!$C24)</f>
        <v>53.302717990508611</v>
      </c>
      <c r="N24" s="195">
        <f>1000*('Footprint Summary'!N24/'Intensity Summary'!$C24)</f>
        <v>53.302717990508611</v>
      </c>
      <c r="O24" s="195">
        <f>1000*('Footprint Summary'!O24/'Intensity Summary'!$C24)</f>
        <v>53.302717990508611</v>
      </c>
      <c r="P24" s="195">
        <f>1000*('Footprint Summary'!P24/'Intensity Summary'!$C24)</f>
        <v>53.302717990508611</v>
      </c>
      <c r="Q24" s="195">
        <f>1000*('Footprint Summary'!Q24/'Intensity Summary'!$C24)</f>
        <v>53.302717990508611</v>
      </c>
      <c r="R24" s="195">
        <f>1000*('Footprint Summary'!R24/'Intensity Summary'!$C24)</f>
        <v>53.302717990508611</v>
      </c>
      <c r="S24" s="199">
        <f t="shared" si="0"/>
        <v>0</v>
      </c>
    </row>
    <row r="25" spans="1:19" ht="14">
      <c r="A25" s="185" t="s">
        <v>37</v>
      </c>
      <c r="B25" s="182" t="s">
        <v>166</v>
      </c>
      <c r="C25" s="231">
        <v>15723.1</v>
      </c>
      <c r="D25" s="212">
        <v>0</v>
      </c>
      <c r="E25" s="199"/>
      <c r="F25" s="211">
        <v>1</v>
      </c>
      <c r="G25" s="195">
        <f>1000*('Footprint Summary'!G25/'Intensity Summary'!$C25)</f>
        <v>49.31379944158595</v>
      </c>
      <c r="H25" s="195">
        <f>1000*('Footprint Summary'!H25/'Intensity Summary'!$C25)</f>
        <v>33.909712461283078</v>
      </c>
      <c r="I25" s="195">
        <f>1000*('Footprint Summary'!I25/'Intensity Summary'!$C25)</f>
        <v>33.909712461283078</v>
      </c>
      <c r="J25" s="195">
        <f>1000*('Footprint Summary'!J25/'Intensity Summary'!$C25)</f>
        <v>27.536923380249444</v>
      </c>
      <c r="K25" s="195">
        <f>1000*('Footprint Summary'!K25/'Intensity Summary'!$C25)</f>
        <v>24.598571528515375</v>
      </c>
      <c r="L25" s="195">
        <f>1000*('Footprint Summary'!L25/'Intensity Summary'!$C25)</f>
        <v>22.576069604594519</v>
      </c>
      <c r="M25" s="195">
        <f>1000*('Footprint Summary'!M25/'Intensity Summary'!$C25)</f>
        <v>22.576069604594519</v>
      </c>
      <c r="N25" s="195">
        <f>1000*('Footprint Summary'!N25/'Intensity Summary'!$C25)</f>
        <v>22.576069604594519</v>
      </c>
      <c r="O25" s="195">
        <f>1000*('Footprint Summary'!O25/'Intensity Summary'!$C25)</f>
        <v>22.054543951256434</v>
      </c>
      <c r="P25" s="195">
        <f>1000*('Footprint Summary'!P25/'Intensity Summary'!$C25)</f>
        <v>22.054543951256434</v>
      </c>
      <c r="Q25" s="195">
        <f>1000*('Footprint Summary'!Q25/'Intensity Summary'!$C25)</f>
        <v>22.054543951256434</v>
      </c>
      <c r="R25" s="195">
        <f>1000*('Footprint Summary'!R25/'Intensity Summary'!$C25)</f>
        <v>22.054543951256434</v>
      </c>
      <c r="S25" s="199">
        <f t="shared" si="0"/>
        <v>-0.55277134998732214</v>
      </c>
    </row>
    <row r="26" spans="1:19" ht="14.5" thickBot="1">
      <c r="A26" s="185" t="s">
        <v>66</v>
      </c>
      <c r="B26" s="182" t="s">
        <v>67</v>
      </c>
      <c r="C26" s="231">
        <v>12837.7</v>
      </c>
      <c r="D26" s="211">
        <v>0</v>
      </c>
      <c r="E26" s="199"/>
      <c r="F26" s="211">
        <v>1</v>
      </c>
      <c r="G26" s="195">
        <f>1000*('Footprint Summary'!G26/'Intensity Summary'!$C26)</f>
        <v>76.426073206259687</v>
      </c>
      <c r="H26" s="195">
        <f>1000*('Footprint Summary'!H26/'Intensity Summary'!$C26)</f>
        <v>76.426073206259687</v>
      </c>
      <c r="I26" s="195">
        <f>1000*('Footprint Summary'!I26/'Intensity Summary'!$C26)</f>
        <v>76.426073206259687</v>
      </c>
      <c r="J26" s="195">
        <f>1000*('Footprint Summary'!J26/'Intensity Summary'!$C26)</f>
        <v>76.426073206259687</v>
      </c>
      <c r="K26" s="195">
        <f>1000*('Footprint Summary'!K26/'Intensity Summary'!$C26)</f>
        <v>43.843367581420345</v>
      </c>
      <c r="L26" s="195">
        <f>1000*('Footprint Summary'!L26/'Intensity Summary'!$C26)</f>
        <v>43.843367581420345</v>
      </c>
      <c r="M26" s="195">
        <f>1000*('Footprint Summary'!M26/'Intensity Summary'!$C26)</f>
        <v>43.843367581420345</v>
      </c>
      <c r="N26" s="195">
        <f>1000*('Footprint Summary'!N26/'Intensity Summary'!$C26)</f>
        <v>43.843367581420345</v>
      </c>
      <c r="O26" s="195">
        <f>1000*('Footprint Summary'!O26/'Intensity Summary'!$C26)</f>
        <v>43.843367581420345</v>
      </c>
      <c r="P26" s="195">
        <f>1000*('Footprint Summary'!P26/'Intensity Summary'!$C26)</f>
        <v>37.250442057377867</v>
      </c>
      <c r="Q26" s="195">
        <f>1000*('Footprint Summary'!Q26/'Intensity Summary'!$C26)</f>
        <v>37.250442057377867</v>
      </c>
      <c r="R26" s="195">
        <f>1000*('Footprint Summary'!R26/'Intensity Summary'!$C26)</f>
        <v>37.250442057377867</v>
      </c>
      <c r="S26" s="199">
        <f t="shared" si="0"/>
        <v>-0.51259510668766295</v>
      </c>
    </row>
    <row r="27" spans="1:19" ht="13" thickTop="1">
      <c r="C27" s="203">
        <f>SUM(C4:C26)</f>
        <v>673188.29999999993</v>
      </c>
      <c r="G27" s="201">
        <f>1000*('Footprint Summary'!G27/$C27)</f>
        <v>51.210968015932558</v>
      </c>
      <c r="H27" s="201">
        <f>1000*('Footprint Summary'!H27/$C27)</f>
        <v>50.589596551217554</v>
      </c>
      <c r="I27" s="201">
        <f>1000*('Footprint Summary'!I27/$C27)</f>
        <v>50.589596551217554</v>
      </c>
      <c r="J27" s="201">
        <f>1000*('Footprint Summary'!J27/$C27)</f>
        <v>48.651208718273935</v>
      </c>
      <c r="K27" s="201">
        <f>1000*('Footprint Summary'!K27/$C27)</f>
        <v>47.518558314219078</v>
      </c>
      <c r="L27" s="201">
        <f>1000*('Footprint Summary'!L27/$C27)</f>
        <v>46.21238588074096</v>
      </c>
      <c r="M27" s="201">
        <f>1000*('Footprint Summary'!M27/$C27)</f>
        <v>46.21238588074096</v>
      </c>
      <c r="N27" s="201">
        <f>1000*('Footprint Summary'!N27/$C27)</f>
        <v>46.475313801502509</v>
      </c>
      <c r="O27" s="201">
        <f>1000*('Footprint Summary'!O27/$C27)</f>
        <v>45.007373850674476</v>
      </c>
      <c r="P27" s="201">
        <f>1000*('Footprint Summary'!P27/$C27)</f>
        <v>43.351057185634403</v>
      </c>
      <c r="Q27" s="201">
        <f>1000*('Footprint Summary'!Q27/$C27)</f>
        <v>43.351057185634403</v>
      </c>
      <c r="R27" s="201">
        <f>1000*('Footprint Summary'!R27/$C27)</f>
        <v>43.024254120281064</v>
      </c>
      <c r="S27" s="202">
        <f t="shared" si="0"/>
        <v>-0.15986251017759467</v>
      </c>
    </row>
    <row r="31" spans="1:19" ht="23.25" customHeight="1" thickBot="1">
      <c r="A31" s="196" t="s">
        <v>201</v>
      </c>
    </row>
    <row r="32" spans="1:19" ht="15" thickTop="1" thickBot="1">
      <c r="A32" s="184" t="s">
        <v>6</v>
      </c>
      <c r="B32" s="184" t="s">
        <v>7</v>
      </c>
      <c r="C32" s="184" t="s">
        <v>9</v>
      </c>
      <c r="D32" s="184" t="s">
        <v>10</v>
      </c>
      <c r="E32" s="184" t="s">
        <v>11</v>
      </c>
      <c r="F32" s="184" t="s">
        <v>12</v>
      </c>
      <c r="G32" s="184" t="s">
        <v>188</v>
      </c>
      <c r="H32" s="184" t="s">
        <v>189</v>
      </c>
      <c r="I32" s="184" t="s">
        <v>190</v>
      </c>
      <c r="J32" s="184" t="s">
        <v>191</v>
      </c>
      <c r="K32" s="184" t="s">
        <v>192</v>
      </c>
      <c r="L32" s="184" t="s">
        <v>193</v>
      </c>
      <c r="M32" s="184" t="s">
        <v>194</v>
      </c>
      <c r="N32" s="184" t="s">
        <v>195</v>
      </c>
      <c r="O32" s="184" t="s">
        <v>196</v>
      </c>
      <c r="P32" s="184" t="s">
        <v>197</v>
      </c>
      <c r="Q32" s="184" t="s">
        <v>198</v>
      </c>
      <c r="R32" s="184" t="s">
        <v>199</v>
      </c>
      <c r="S32" s="200" t="s">
        <v>200</v>
      </c>
    </row>
    <row r="33" spans="1:19" ht="14.5" thickTop="1">
      <c r="A33" s="185" t="s">
        <v>30</v>
      </c>
      <c r="B33" s="198" t="s">
        <v>31</v>
      </c>
      <c r="C33" s="228">
        <v>29166</v>
      </c>
      <c r="D33" s="211">
        <v>1</v>
      </c>
      <c r="E33" s="199"/>
      <c r="F33" s="211">
        <v>1</v>
      </c>
      <c r="G33" s="197">
        <f>1000*'Footprint Summary'!G33/'Intensity Summary'!$C33</f>
        <v>55.365528354933829</v>
      </c>
      <c r="H33" s="197">
        <f>1000*'Footprint Summary'!H33/'Intensity Summary'!$C33</f>
        <v>55.365528354933829</v>
      </c>
      <c r="I33" s="197">
        <f>1000*'Footprint Summary'!I33/'Intensity Summary'!$C33</f>
        <v>55.365528354933829</v>
      </c>
      <c r="J33" s="197">
        <f>1000*'Footprint Summary'!J33/'Intensity Summary'!$C33</f>
        <v>55.365528354933829</v>
      </c>
      <c r="K33" s="197">
        <f>1000*'Footprint Summary'!K33/'Intensity Summary'!$C33</f>
        <v>38.633717342110678</v>
      </c>
      <c r="L33" s="197">
        <f>1000*'Footprint Summary'!L33/'Intensity Summary'!$C33</f>
        <v>37.330830418981009</v>
      </c>
      <c r="M33" s="197">
        <f>1000*'Footprint Summary'!M33/'Intensity Summary'!$C33</f>
        <v>36.027943495851332</v>
      </c>
      <c r="N33" s="197">
        <f>1000*'Footprint Summary'!N33/'Intensity Summary'!$C33</f>
        <v>34.725056572721655</v>
      </c>
      <c r="O33" s="197">
        <f>1000*'Footprint Summary'!O33/'Intensity Summary'!$C33</f>
        <v>16.278920661043678</v>
      </c>
      <c r="P33" s="197">
        <f>1000*'Footprint Summary'!P33/'Intensity Summary'!$C33</f>
        <v>16.278920661043678</v>
      </c>
      <c r="Q33" s="197">
        <f>1000*'Footprint Summary'!Q33/'Intensity Summary'!$C33</f>
        <v>16.278920661043678</v>
      </c>
      <c r="R33" s="197">
        <f>1000*'Footprint Summary'!R33/'Intensity Summary'!$C33</f>
        <v>16.278920661043678</v>
      </c>
      <c r="S33" s="199">
        <f>(R33-G33)/G33</f>
        <v>-0.70597371424537303</v>
      </c>
    </row>
    <row r="34" spans="1:19" ht="14">
      <c r="A34" s="185" t="s">
        <v>37</v>
      </c>
      <c r="B34" s="182" t="s">
        <v>38</v>
      </c>
      <c r="C34" s="228">
        <v>62987</v>
      </c>
      <c r="D34" s="211">
        <v>0.5</v>
      </c>
      <c r="E34" s="199"/>
      <c r="F34" s="211">
        <v>1</v>
      </c>
      <c r="G34" s="197">
        <f>1000*'Footprint Summary'!G34/'Intensity Summary'!$C34</f>
        <v>134.5224093860638</v>
      </c>
      <c r="H34" s="197">
        <f>1000*'Footprint Summary'!H34/'Intensity Summary'!$C34</f>
        <v>134.5224093860638</v>
      </c>
      <c r="I34" s="197">
        <f>1000*'Footprint Summary'!I34/'Intensity Summary'!$C34</f>
        <v>134.5224093860638</v>
      </c>
      <c r="J34" s="197">
        <f>1000*'Footprint Summary'!J34/'Intensity Summary'!$C34</f>
        <v>134.5224093860638</v>
      </c>
      <c r="K34" s="197">
        <f>1000*'Footprint Summary'!K34/'Intensity Summary'!$C34</f>
        <v>134.5224093860638</v>
      </c>
      <c r="L34" s="197">
        <f>1000*'Footprint Summary'!L34/'Intensity Summary'!$C34</f>
        <v>134.5224093860638</v>
      </c>
      <c r="M34" s="197">
        <f>1000*'Footprint Summary'!M34/'Intensity Summary'!$C34</f>
        <v>134.5224093860638</v>
      </c>
      <c r="N34" s="197">
        <f>1000*'Footprint Summary'!N34/'Intensity Summary'!$C34</f>
        <v>134.5224093860638</v>
      </c>
      <c r="O34" s="197">
        <f>1000*'Footprint Summary'!O34/'Intensity Summary'!$C34</f>
        <v>134.5224093860638</v>
      </c>
      <c r="P34" s="197">
        <f>1000*'Footprint Summary'!P34/'Intensity Summary'!$C34</f>
        <v>134.5224093860638</v>
      </c>
      <c r="Q34" s="197">
        <f>1000*'Footprint Summary'!Q34/'Intensity Summary'!$C34</f>
        <v>134.5224093860638</v>
      </c>
      <c r="R34" s="197">
        <f>1000*'Footprint Summary'!R34/'Intensity Summary'!$C34</f>
        <v>134.5224093860638</v>
      </c>
      <c r="S34" s="199">
        <f t="shared" ref="S34:S56" si="1">(R34-G34)/G34</f>
        <v>0</v>
      </c>
    </row>
    <row r="35" spans="1:19" ht="14">
      <c r="A35" s="185" t="s">
        <v>30</v>
      </c>
      <c r="B35" s="182" t="s">
        <v>42</v>
      </c>
      <c r="C35" s="231">
        <v>42132</v>
      </c>
      <c r="D35" s="211">
        <v>0.5</v>
      </c>
      <c r="E35" s="199">
        <v>1</v>
      </c>
      <c r="F35" s="211">
        <v>1</v>
      </c>
      <c r="G35" s="197">
        <f>1000*'Footprint Summary'!G35/'Intensity Summary'!$C35</f>
        <v>110.65517896135954</v>
      </c>
      <c r="H35" s="197">
        <f>1000*'Footprint Summary'!H35/'Intensity Summary'!$C35</f>
        <v>110.65517896135954</v>
      </c>
      <c r="I35" s="197">
        <f>1000*'Footprint Summary'!I35/'Intensity Summary'!$C35</f>
        <v>110.65517896135954</v>
      </c>
      <c r="J35" s="197">
        <f>1000*'Footprint Summary'!J35/'Intensity Summary'!$C35</f>
        <v>110.65517896135954</v>
      </c>
      <c r="K35" s="197">
        <f>1000*'Footprint Summary'!K35/'Intensity Summary'!$C35</f>
        <v>110.65517896135954</v>
      </c>
      <c r="L35" s="197">
        <f>1000*'Footprint Summary'!L35/'Intensity Summary'!$C35</f>
        <v>110.65517896135954</v>
      </c>
      <c r="M35" s="197">
        <f>1000*'Footprint Summary'!M35/'Intensity Summary'!$C35</f>
        <v>103.29735118199943</v>
      </c>
      <c r="N35" s="197">
        <f>1000*'Footprint Summary'!N35/'Intensity Summary'!$C35</f>
        <v>103.29735118199943</v>
      </c>
      <c r="O35" s="197">
        <f>1000*'Footprint Summary'!O35/'Intensity Summary'!$C35</f>
        <v>77.188930029431305</v>
      </c>
      <c r="P35" s="197">
        <f>1000*'Footprint Summary'!P35/'Intensity Summary'!$C35</f>
        <v>77.188930029431305</v>
      </c>
      <c r="Q35" s="197">
        <f>1000*'Footprint Summary'!Q35/'Intensity Summary'!$C35</f>
        <v>77.188930029431305</v>
      </c>
      <c r="R35" s="197">
        <f>1000*'Footprint Summary'!R35/'Intensity Summary'!$C35</f>
        <v>77.188930029431305</v>
      </c>
      <c r="S35" s="199">
        <f t="shared" si="1"/>
        <v>-0.30243725821106437</v>
      </c>
    </row>
    <row r="36" spans="1:19" ht="14">
      <c r="A36" s="185" t="s">
        <v>30</v>
      </c>
      <c r="B36" s="182" t="s">
        <v>43</v>
      </c>
      <c r="C36" s="231">
        <v>12509</v>
      </c>
      <c r="D36" s="211">
        <v>1</v>
      </c>
      <c r="E36" s="199"/>
      <c r="F36" s="211">
        <v>1</v>
      </c>
      <c r="G36" s="197">
        <f>1000*'Footprint Summary'!G36/'Intensity Summary'!$C36</f>
        <v>75.699336477736026</v>
      </c>
      <c r="H36" s="197">
        <f>1000*'Footprint Summary'!H36/'Intensity Summary'!$C36</f>
        <v>75.699336477736026</v>
      </c>
      <c r="I36" s="197">
        <f>1000*'Footprint Summary'!I36/'Intensity Summary'!$C36</f>
        <v>75.699336477736026</v>
      </c>
      <c r="J36" s="197">
        <f>1000*'Footprint Summary'!J36/'Intensity Summary'!$C36</f>
        <v>75.699336477736026</v>
      </c>
      <c r="K36" s="197">
        <f>1000*'Footprint Summary'!K36/'Intensity Summary'!$C36</f>
        <v>75.699336477736026</v>
      </c>
      <c r="L36" s="197">
        <f>1000*'Footprint Summary'!L36/'Intensity Summary'!$C36</f>
        <v>75.699336477736026</v>
      </c>
      <c r="M36" s="197">
        <f>1000*'Footprint Summary'!M36/'Intensity Summary'!$C36</f>
        <v>75.699336477736026</v>
      </c>
      <c r="N36" s="197">
        <f>1000*'Footprint Summary'!N36/'Intensity Summary'!$C36</f>
        <v>75.699336477736026</v>
      </c>
      <c r="O36" s="197">
        <f>1000*'Footprint Summary'!O36/'Intensity Summary'!$C36</f>
        <v>75.699336477736026</v>
      </c>
      <c r="P36" s="197">
        <f>1000*'Footprint Summary'!P36/'Intensity Summary'!$C36</f>
        <v>75.699336477736026</v>
      </c>
      <c r="Q36" s="197">
        <f>1000*'Footprint Summary'!Q36/'Intensity Summary'!$C36</f>
        <v>75.699336477736026</v>
      </c>
      <c r="R36" s="197">
        <f>1000*'Footprint Summary'!R36/'Intensity Summary'!$C36</f>
        <v>75.699336477736026</v>
      </c>
      <c r="S36" s="199">
        <f t="shared" si="1"/>
        <v>0</v>
      </c>
    </row>
    <row r="37" spans="1:19" ht="14">
      <c r="A37" s="185" t="s">
        <v>30</v>
      </c>
      <c r="B37" s="182" t="s">
        <v>46</v>
      </c>
      <c r="C37" s="231">
        <v>27263</v>
      </c>
      <c r="D37" s="211">
        <v>1</v>
      </c>
      <c r="E37" s="199"/>
      <c r="F37" s="211">
        <v>1</v>
      </c>
      <c r="G37" s="197">
        <f>1000*'Footprint Summary'!G37/'Intensity Summary'!$C37</f>
        <v>34.128562520632357</v>
      </c>
      <c r="H37" s="197">
        <f>1000*'Footprint Summary'!H37/'Intensity Summary'!$C37</f>
        <v>34.128562520632357</v>
      </c>
      <c r="I37" s="197">
        <f>1000*'Footprint Summary'!I37/'Intensity Summary'!$C37</f>
        <v>34.128562520632357</v>
      </c>
      <c r="J37" s="197">
        <f>1000*'Footprint Summary'!J37/'Intensity Summary'!$C37</f>
        <v>34.128562520632357</v>
      </c>
      <c r="K37" s="197">
        <f>1000*'Footprint Summary'!K37/'Intensity Summary'!$C37</f>
        <v>34.128562520632357</v>
      </c>
      <c r="L37" s="197">
        <f>1000*'Footprint Summary'!L37/'Intensity Summary'!$C37</f>
        <v>18.723067894215603</v>
      </c>
      <c r="M37" s="197">
        <f>1000*'Footprint Summary'!M37/'Intensity Summary'!$C37</f>
        <v>18.723067894215603</v>
      </c>
      <c r="N37" s="197">
        <f>1000*'Footprint Summary'!N37/'Intensity Summary'!$C37</f>
        <v>18.723067894215603</v>
      </c>
      <c r="O37" s="197">
        <f>1000*'Footprint Summary'!O37/'Intensity Summary'!$C37</f>
        <v>16.522282947584639</v>
      </c>
      <c r="P37" s="197">
        <f>1000*'Footprint Summary'!P37/'Intensity Summary'!$C37</f>
        <v>16.522282947584639</v>
      </c>
      <c r="Q37" s="197">
        <f>1000*'Footprint Summary'!Q37/'Intensity Summary'!$C37</f>
        <v>16.522282947584639</v>
      </c>
      <c r="R37" s="197">
        <f>1000*'Footprint Summary'!R37/'Intensity Summary'!$C37</f>
        <v>16.522282947584639</v>
      </c>
      <c r="S37" s="199">
        <f t="shared" si="1"/>
        <v>-0.51588107651483639</v>
      </c>
    </row>
    <row r="38" spans="1:19" ht="14">
      <c r="A38" s="185" t="s">
        <v>30</v>
      </c>
      <c r="B38" s="182" t="s">
        <v>47</v>
      </c>
      <c r="C38" s="231">
        <v>39057</v>
      </c>
      <c r="D38" s="211">
        <v>1</v>
      </c>
      <c r="E38" s="199"/>
      <c r="F38" s="211">
        <v>1</v>
      </c>
      <c r="G38" s="197">
        <f>1000*'Footprint Summary'!G38/'Intensity Summary'!$C38</f>
        <v>38.36861510100622</v>
      </c>
      <c r="H38" s="197">
        <f>1000*'Footprint Summary'!H38/'Intensity Summary'!$C38</f>
        <v>38.36861510100622</v>
      </c>
      <c r="I38" s="197">
        <f>1000*'Footprint Summary'!I38/'Intensity Summary'!$C38</f>
        <v>38.36861510100622</v>
      </c>
      <c r="J38" s="197">
        <f>1000*'Footprint Summary'!J38/'Intensity Summary'!$C38</f>
        <v>29.15131730547661</v>
      </c>
      <c r="K38" s="197">
        <f>1000*'Footprint Summary'!K38/'Intensity Summary'!$C38</f>
        <v>29.15131730547661</v>
      </c>
      <c r="L38" s="197">
        <f>1000*'Footprint Summary'!L38/'Intensity Summary'!$C38</f>
        <v>29.15131730547661</v>
      </c>
      <c r="M38" s="197">
        <f>1000*'Footprint Summary'!M38/'Intensity Summary'!$C38</f>
        <v>29.15131730547661</v>
      </c>
      <c r="N38" s="197">
        <f>1000*'Footprint Summary'!N38/'Intensity Summary'!$C38</f>
        <v>29.15131730547661</v>
      </c>
      <c r="O38" s="197">
        <f>1000*'Footprint Summary'!O38/'Intensity Summary'!$C38</f>
        <v>18.909875310443713</v>
      </c>
      <c r="P38" s="197">
        <f>1000*'Footprint Summary'!P38/'Intensity Summary'!$C38</f>
        <v>18.909875310443713</v>
      </c>
      <c r="Q38" s="197">
        <f>1000*'Footprint Summary'!Q38/'Intensity Summary'!$C38</f>
        <v>9.6925775149141025</v>
      </c>
      <c r="R38" s="197">
        <f>1000*'Footprint Summary'!R38/'Intensity Summary'!$C38</f>
        <v>9.6925775149141025</v>
      </c>
      <c r="S38" s="199">
        <f t="shared" si="1"/>
        <v>-0.7473826592542322</v>
      </c>
    </row>
    <row r="39" spans="1:19" ht="14">
      <c r="A39" s="185" t="s">
        <v>48</v>
      </c>
      <c r="B39" s="182" t="s">
        <v>49</v>
      </c>
      <c r="C39" s="231">
        <v>24754</v>
      </c>
      <c r="D39" s="211">
        <v>1</v>
      </c>
      <c r="E39" s="199"/>
      <c r="F39" s="211">
        <v>1</v>
      </c>
      <c r="G39" s="197">
        <f>1000*'Footprint Summary'!G39/'Intensity Summary'!$C39</f>
        <v>0</v>
      </c>
      <c r="H39" s="197">
        <f>1000*'Footprint Summary'!H39/'Intensity Summary'!$C39</f>
        <v>0</v>
      </c>
      <c r="I39" s="197">
        <f>1000*'Footprint Summary'!I39/'Intensity Summary'!$C39</f>
        <v>0</v>
      </c>
      <c r="J39" s="197">
        <f>1000*'Footprint Summary'!J39/'Intensity Summary'!$C39</f>
        <v>0</v>
      </c>
      <c r="K39" s="197">
        <f>1000*'Footprint Summary'!K39/'Intensity Summary'!$C39</f>
        <v>0</v>
      </c>
      <c r="L39" s="197">
        <f>1000*'Footprint Summary'!L39/'Intensity Summary'!$C39</f>
        <v>0</v>
      </c>
      <c r="M39" s="197">
        <f>1000*'Footprint Summary'!M39/'Intensity Summary'!$C39</f>
        <v>0</v>
      </c>
      <c r="N39" s="197">
        <f>1000*'Footprint Summary'!N39/'Intensity Summary'!$C39</f>
        <v>0</v>
      </c>
      <c r="O39" s="197">
        <f>1000*'Footprint Summary'!O39/'Intensity Summary'!$C39</f>
        <v>0</v>
      </c>
      <c r="P39" s="197">
        <f>1000*'Footprint Summary'!P39/'Intensity Summary'!$C39</f>
        <v>0</v>
      </c>
      <c r="Q39" s="197">
        <f>1000*'Footprint Summary'!Q39/'Intensity Summary'!$C39</f>
        <v>0</v>
      </c>
      <c r="R39" s="197">
        <f>1000*'Footprint Summary'!R39/'Intensity Summary'!$C39</f>
        <v>0</v>
      </c>
      <c r="S39" s="199"/>
    </row>
    <row r="40" spans="1:19" ht="14">
      <c r="A40" s="185" t="s">
        <v>30</v>
      </c>
      <c r="B40" s="182" t="s">
        <v>92</v>
      </c>
      <c r="C40" s="231">
        <v>26819</v>
      </c>
      <c r="D40" s="212">
        <v>0</v>
      </c>
      <c r="E40" s="199">
        <v>1</v>
      </c>
      <c r="F40" s="211">
        <v>1</v>
      </c>
      <c r="G40" s="197">
        <f>1000*'Footprint Summary'!G40/'Intensity Summary'!$C40</f>
        <v>43.920280398225138</v>
      </c>
      <c r="H40" s="197">
        <f>1000*'Footprint Summary'!H40/'Intensity Summary'!$C40</f>
        <v>43.920280398225138</v>
      </c>
      <c r="I40" s="197">
        <f>1000*'Footprint Summary'!I40/'Intensity Summary'!$C40</f>
        <v>43.920280398225138</v>
      </c>
      <c r="J40" s="197">
        <f>1000*'Footprint Summary'!J40/'Intensity Summary'!$C40</f>
        <v>24.292368612417508</v>
      </c>
      <c r="K40" s="197">
        <f>1000*'Footprint Summary'!K40/'Intensity Summary'!$C40</f>
        <v>24.292368612417508</v>
      </c>
      <c r="L40" s="197">
        <f>1000*'Footprint Summary'!L40/'Intensity Summary'!$C40</f>
        <v>24.292368612417508</v>
      </c>
      <c r="M40" s="197">
        <f>1000*'Footprint Summary'!M40/'Intensity Summary'!$C40</f>
        <v>24.292368612417508</v>
      </c>
      <c r="N40" s="197">
        <f>1000*'Footprint Summary'!N40/'Intensity Summary'!$C40</f>
        <v>24.292368612417508</v>
      </c>
      <c r="O40" s="197">
        <f>1000*'Footprint Summary'!O40/'Intensity Summary'!$C40</f>
        <v>21.498485673536781</v>
      </c>
      <c r="P40" s="197">
        <f>1000*'Footprint Summary'!P40/'Intensity Summary'!$C40</f>
        <v>21.498485673536781</v>
      </c>
      <c r="Q40" s="197">
        <f>1000*'Footprint Summary'!Q40/'Intensity Summary'!$C40</f>
        <v>21.498485673536781</v>
      </c>
      <c r="R40" s="197">
        <f>1000*'Footprint Summary'!R40/'Intensity Summary'!$C40</f>
        <v>-3.8032737984298121E-3</v>
      </c>
      <c r="S40" s="199">
        <f t="shared" si="1"/>
        <v>-1.0000865949343662</v>
      </c>
    </row>
    <row r="41" spans="1:19" ht="14">
      <c r="A41" s="185" t="s">
        <v>30</v>
      </c>
      <c r="B41" s="182" t="s">
        <v>52</v>
      </c>
      <c r="C41" s="231">
        <v>28396</v>
      </c>
      <c r="D41" s="211">
        <v>0.75</v>
      </c>
      <c r="E41" s="199"/>
      <c r="F41" s="211">
        <v>1</v>
      </c>
      <c r="G41" s="197">
        <f>1000*'Footprint Summary'!G41/'Intensity Summary'!$C41</f>
        <v>77.616565713480767</v>
      </c>
      <c r="H41" s="197">
        <f>1000*'Footprint Summary'!H41/'Intensity Summary'!$C41</f>
        <v>70.256374137202428</v>
      </c>
      <c r="I41" s="197">
        <f>1000*'Footprint Summary'!I41/'Intensity Summary'!$C41</f>
        <v>70.256374137202428</v>
      </c>
      <c r="J41" s="197">
        <f>1000*'Footprint Summary'!J41/'Intensity Summary'!$C41</f>
        <v>70.256374137202428</v>
      </c>
      <c r="K41" s="197">
        <f>1000*'Footprint Summary'!K41/'Intensity Summary'!$C41</f>
        <v>70.256374137202428</v>
      </c>
      <c r="L41" s="197">
        <f>1000*'Footprint Summary'!L41/'Intensity Summary'!$C41</f>
        <v>70.256374137202428</v>
      </c>
      <c r="M41" s="197">
        <f>1000*'Footprint Summary'!M41/'Intensity Summary'!$C41</f>
        <v>70.256374137202428</v>
      </c>
      <c r="N41" s="197">
        <f>1000*'Footprint Summary'!N41/'Intensity Summary'!$C41</f>
        <v>70.256374137202428</v>
      </c>
      <c r="O41" s="197">
        <f>1000*'Footprint Summary'!O41/'Intensity Summary'!$C41</f>
        <v>67.509508381462183</v>
      </c>
      <c r="P41" s="197">
        <f>1000*'Footprint Summary'!P41/'Intensity Summary'!$C41</f>
        <v>67.509508381462183</v>
      </c>
      <c r="Q41" s="197">
        <f>1000*'Footprint Summary'!Q41/'Intensity Summary'!$C41</f>
        <v>67.509508381462183</v>
      </c>
      <c r="R41" s="197">
        <f>1000*'Footprint Summary'!R41/'Intensity Summary'!$C41</f>
        <v>67.509508381462183</v>
      </c>
      <c r="S41" s="199">
        <f t="shared" si="1"/>
        <v>-0.13021778584392002</v>
      </c>
    </row>
    <row r="42" spans="1:19" ht="14">
      <c r="A42" s="185" t="s">
        <v>30</v>
      </c>
      <c r="B42" s="182" t="s">
        <v>54</v>
      </c>
      <c r="C42" s="231">
        <v>37558</v>
      </c>
      <c r="D42" s="211">
        <v>0.75</v>
      </c>
      <c r="E42" s="199"/>
      <c r="F42" s="211">
        <v>1</v>
      </c>
      <c r="G42" s="197">
        <f>1000*'Footprint Summary'!G42/'Intensity Summary'!$C42</f>
        <v>24.773603493263753</v>
      </c>
      <c r="H42" s="197">
        <f>1000*'Footprint Summary'!H42/'Intensity Summary'!$C42</f>
        <v>24.773603493263753</v>
      </c>
      <c r="I42" s="197">
        <f>1000*'Footprint Summary'!I42/'Intensity Summary'!$C42</f>
        <v>24.773603493263753</v>
      </c>
      <c r="J42" s="197">
        <f>1000*'Footprint Summary'!J42/'Intensity Summary'!$C42</f>
        <v>24.773603493263753</v>
      </c>
      <c r="K42" s="197">
        <f>1000*'Footprint Summary'!K42/'Intensity Summary'!$C42</f>
        <v>24.773603493263753</v>
      </c>
      <c r="L42" s="197">
        <f>1000*'Footprint Summary'!L42/'Intensity Summary'!$C42</f>
        <v>24.773603493263753</v>
      </c>
      <c r="M42" s="197">
        <f>1000*'Footprint Summary'!M42/'Intensity Summary'!$C42</f>
        <v>24.773603493263753</v>
      </c>
      <c r="N42" s="197">
        <f>1000*'Footprint Summary'!N42/'Intensity Summary'!$C42</f>
        <v>24.773603493263753</v>
      </c>
      <c r="O42" s="197">
        <f>1000*'Footprint Summary'!O42/'Intensity Summary'!$C42</f>
        <v>21.046035465147238</v>
      </c>
      <c r="P42" s="197">
        <f>1000*'Footprint Summary'!P42/'Intensity Summary'!$C42</f>
        <v>9.0645668033441602</v>
      </c>
      <c r="Q42" s="197">
        <f>1000*'Footprint Summary'!Q42/'Intensity Summary'!$C42</f>
        <v>9.0645668033441602</v>
      </c>
      <c r="R42" s="197">
        <f>1000*'Footprint Summary'!R42/'Intensity Summary'!$C42</f>
        <v>9.0645668033441602</v>
      </c>
      <c r="S42" s="199">
        <f t="shared" si="1"/>
        <v>-0.63410382321615311</v>
      </c>
    </row>
    <row r="43" spans="1:19" ht="14">
      <c r="A43" s="185" t="s">
        <v>37</v>
      </c>
      <c r="B43" s="182" t="s">
        <v>55</v>
      </c>
      <c r="C43" s="231">
        <v>55051</v>
      </c>
      <c r="D43" s="211">
        <v>0.5</v>
      </c>
      <c r="E43" s="199">
        <v>1</v>
      </c>
      <c r="F43" s="211">
        <v>1</v>
      </c>
      <c r="G43" s="197">
        <f>1000*'Footprint Summary'!G43/'Intensity Summary'!$C43</f>
        <v>99.422807941726759</v>
      </c>
      <c r="H43" s="197">
        <f>1000*'Footprint Summary'!H43/'Intensity Summary'!$C43</f>
        <v>95.630902056654989</v>
      </c>
      <c r="I43" s="197">
        <f>1000*'Footprint Summary'!I43/'Intensity Summary'!$C43</f>
        <v>95.630902056654989</v>
      </c>
      <c r="J43" s="197">
        <f>1000*'Footprint Summary'!J43/'Intensity Summary'!$C43</f>
        <v>95.630902056654989</v>
      </c>
      <c r="K43" s="197">
        <f>1000*'Footprint Summary'!K43/'Intensity Summary'!$C43</f>
        <v>95.630902056654989</v>
      </c>
      <c r="L43" s="197">
        <f>1000*'Footprint Summary'!L43/'Intensity Summary'!$C43</f>
        <v>86.148667046982013</v>
      </c>
      <c r="M43" s="197">
        <f>1000*'Footprint Summary'!M43/'Intensity Summary'!$C43</f>
        <v>81.724365131566032</v>
      </c>
      <c r="N43" s="197">
        <f>1000*'Footprint Summary'!N43/'Intensity Summary'!$C43</f>
        <v>10.027211583038302</v>
      </c>
      <c r="O43" s="197">
        <f>1000*'Footprint Summary'!O43/'Intensity Summary'!$C43</f>
        <v>10.027211583038302</v>
      </c>
      <c r="P43" s="197">
        <f>1000*'Footprint Summary'!P43/'Intensity Summary'!$C43</f>
        <v>10.027211583038302</v>
      </c>
      <c r="Q43" s="197">
        <f>1000*'Footprint Summary'!Q43/'Intensity Summary'!$C43</f>
        <v>10.027211583038302</v>
      </c>
      <c r="R43" s="197">
        <f>1000*'Footprint Summary'!R43/'Intensity Summary'!$C43</f>
        <v>10.027211583038302</v>
      </c>
      <c r="S43" s="199">
        <f t="shared" si="1"/>
        <v>-0.89914576151464765</v>
      </c>
    </row>
    <row r="44" spans="1:19" ht="14">
      <c r="A44" s="185" t="s">
        <v>30</v>
      </c>
      <c r="B44" s="182" t="s">
        <v>56</v>
      </c>
      <c r="C44" s="231">
        <v>39938</v>
      </c>
      <c r="D44" s="211">
        <v>0.5</v>
      </c>
      <c r="E44" s="199"/>
      <c r="F44" s="211">
        <v>1</v>
      </c>
      <c r="G44" s="197">
        <f>1000*'Footprint Summary'!G44/'Intensity Summary'!$C44</f>
        <v>120.26273223496419</v>
      </c>
      <c r="H44" s="197">
        <f>1000*'Footprint Summary'!H44/'Intensity Summary'!$C44</f>
        <v>120.26273223496419</v>
      </c>
      <c r="I44" s="197">
        <f>1000*'Footprint Summary'!I44/'Intensity Summary'!$C44</f>
        <v>120.26273223496419</v>
      </c>
      <c r="J44" s="197">
        <f>1000*'Footprint Summary'!J44/'Intensity Summary'!$C44</f>
        <v>120.26273223496419</v>
      </c>
      <c r="K44" s="197">
        <f>1000*'Footprint Summary'!K44/'Intensity Summary'!$C44</f>
        <v>120.26273223496419</v>
      </c>
      <c r="L44" s="197">
        <f>1000*'Footprint Summary'!L44/'Intensity Summary'!$C44</f>
        <v>120.26273223496419</v>
      </c>
      <c r="M44" s="197">
        <f>1000*'Footprint Summary'!M44/'Intensity Summary'!$C44</f>
        <v>120.26273223496419</v>
      </c>
      <c r="N44" s="197">
        <f>1000*'Footprint Summary'!N44/'Intensity Summary'!$C44</f>
        <v>120.26273223496419</v>
      </c>
      <c r="O44" s="197">
        <f>1000*'Footprint Summary'!O44/'Intensity Summary'!$C44</f>
        <v>120.26273223496419</v>
      </c>
      <c r="P44" s="197">
        <f>1000*'Footprint Summary'!P44/'Intensity Summary'!$C44</f>
        <v>120.26273223496419</v>
      </c>
      <c r="Q44" s="197">
        <f>1000*'Footprint Summary'!Q44/'Intensity Summary'!$C44</f>
        <v>120.26273223496419</v>
      </c>
      <c r="R44" s="197">
        <f>1000*'Footprint Summary'!R44/'Intensity Summary'!$C44</f>
        <v>120.26273223496419</v>
      </c>
      <c r="S44" s="199">
        <f t="shared" si="1"/>
        <v>0</v>
      </c>
    </row>
    <row r="45" spans="1:19" ht="14">
      <c r="A45" s="185" t="s">
        <v>30</v>
      </c>
      <c r="B45" s="182" t="s">
        <v>93</v>
      </c>
      <c r="C45" s="231">
        <v>20404</v>
      </c>
      <c r="D45" s="212">
        <v>0</v>
      </c>
      <c r="E45" s="199">
        <v>1</v>
      </c>
      <c r="F45" s="211">
        <v>1</v>
      </c>
      <c r="G45" s="197">
        <f>1000*'Footprint Summary'!G45/'Intensity Summary'!$C45</f>
        <v>42.497059400117621</v>
      </c>
      <c r="H45" s="197">
        <f>1000*'Footprint Summary'!H45/'Intensity Summary'!$C45</f>
        <v>42.497059400117621</v>
      </c>
      <c r="I45" s="197">
        <f>1000*'Footprint Summary'!I45/'Intensity Summary'!$C45</f>
        <v>42.497059400117621</v>
      </c>
      <c r="J45" s="197">
        <f>1000*'Footprint Summary'!J45/'Intensity Summary'!$C45</f>
        <v>42.497059400117621</v>
      </c>
      <c r="K45" s="197">
        <f>1000*'Footprint Summary'!K45/'Intensity Summary'!$C45</f>
        <v>42.497059400117621</v>
      </c>
      <c r="L45" s="197">
        <f>1000*'Footprint Summary'!L45/'Intensity Summary'!$C45</f>
        <v>42.497059400117621</v>
      </c>
      <c r="M45" s="197">
        <f>1000*'Footprint Summary'!M45/'Intensity Summary'!$C45</f>
        <v>42.497059400117621</v>
      </c>
      <c r="N45" s="197">
        <f>1000*'Footprint Summary'!N45/'Intensity Summary'!$C45</f>
        <v>42.497059400117621</v>
      </c>
      <c r="O45" s="197">
        <f>1000*'Footprint Summary'!O45/'Intensity Summary'!$C45</f>
        <v>42.497059400117621</v>
      </c>
      <c r="P45" s="197">
        <f>1000*'Footprint Summary'!P45/'Intensity Summary'!$C45</f>
        <v>42.497059400117621</v>
      </c>
      <c r="Q45" s="197">
        <f>1000*'Footprint Summary'!Q45/'Intensity Summary'!$C45</f>
        <v>4.9063909037443647</v>
      </c>
      <c r="R45" s="197">
        <f>1000*'Footprint Summary'!R45/'Intensity Summary'!$C45</f>
        <v>4.9063909037443647</v>
      </c>
      <c r="S45" s="199">
        <f t="shared" si="1"/>
        <v>-0.88454751992250114</v>
      </c>
    </row>
    <row r="46" spans="1:19" ht="14">
      <c r="A46" s="185" t="s">
        <v>37</v>
      </c>
      <c r="B46" s="182" t="s">
        <v>60</v>
      </c>
      <c r="C46" s="231">
        <v>1422</v>
      </c>
      <c r="D46" s="211">
        <v>1</v>
      </c>
      <c r="E46" s="199"/>
      <c r="F46" s="211">
        <v>1</v>
      </c>
      <c r="G46" s="197">
        <f>1000*'Footprint Summary'!G46/'Intensity Summary'!$C46</f>
        <v>0</v>
      </c>
      <c r="H46" s="197">
        <f>1000*'Footprint Summary'!H46/'Intensity Summary'!$C46</f>
        <v>0</v>
      </c>
      <c r="I46" s="197">
        <f>1000*'Footprint Summary'!I46/'Intensity Summary'!$C46</f>
        <v>0</v>
      </c>
      <c r="J46" s="197">
        <f>1000*'Footprint Summary'!J46/'Intensity Summary'!$C46</f>
        <v>0</v>
      </c>
      <c r="K46" s="197">
        <f>1000*'Footprint Summary'!K46/'Intensity Summary'!$C46</f>
        <v>0</v>
      </c>
      <c r="L46" s="197">
        <f>1000*'Footprint Summary'!L46/'Intensity Summary'!$C46</f>
        <v>0</v>
      </c>
      <c r="M46" s="197">
        <f>1000*'Footprint Summary'!M46/'Intensity Summary'!$C46</f>
        <v>0</v>
      </c>
      <c r="N46" s="197">
        <f>1000*'Footprint Summary'!N46/'Intensity Summary'!$C46</f>
        <v>0</v>
      </c>
      <c r="O46" s="197">
        <f>1000*'Footprint Summary'!O46/'Intensity Summary'!$C46</f>
        <v>0</v>
      </c>
      <c r="P46" s="197">
        <f>1000*'Footprint Summary'!P46/'Intensity Summary'!$C46</f>
        <v>0</v>
      </c>
      <c r="Q46" s="197">
        <f>1000*'Footprint Summary'!Q46/'Intensity Summary'!$C46</f>
        <v>0</v>
      </c>
      <c r="R46" s="197">
        <f>1000*'Footprint Summary'!R46/'Intensity Summary'!$C46</f>
        <v>0</v>
      </c>
      <c r="S46" s="199"/>
    </row>
    <row r="47" spans="1:19" ht="14">
      <c r="A47" s="185" t="s">
        <v>66</v>
      </c>
      <c r="B47" s="182" t="s">
        <v>170</v>
      </c>
      <c r="C47" s="231">
        <v>17363.8</v>
      </c>
      <c r="D47" s="212">
        <v>0</v>
      </c>
      <c r="E47" s="199"/>
      <c r="F47" s="211">
        <v>1</v>
      </c>
      <c r="G47" s="197">
        <f>1000*'Footprint Summary'!G47/'Intensity Summary'!$C47</f>
        <v>23.259827917852085</v>
      </c>
      <c r="H47" s="197">
        <f>1000*'Footprint Summary'!H47/'Intensity Summary'!$C47</f>
        <v>14.909121275296885</v>
      </c>
      <c r="I47" s="197">
        <f>1000*'Footprint Summary'!I47/'Intensity Summary'!$C47</f>
        <v>14.909121275296885</v>
      </c>
      <c r="J47" s="197">
        <f>1000*'Footprint Summary'!J47/'Intensity Summary'!$C47</f>
        <v>14.909121275296885</v>
      </c>
      <c r="K47" s="197">
        <f>1000*'Footprint Summary'!K47/'Intensity Summary'!$C47</f>
        <v>14.909121275296885</v>
      </c>
      <c r="L47" s="197">
        <f>1000*'Footprint Summary'!L47/'Intensity Summary'!$C47</f>
        <v>7.8254183991983339</v>
      </c>
      <c r="M47" s="197">
        <f>1000*'Footprint Summary'!M47/'Intensity Summary'!$C47</f>
        <v>7.8254183991983339</v>
      </c>
      <c r="N47" s="197">
        <f>1000*'Footprint Summary'!N47/'Intensity Summary'!$C47</f>
        <v>7.8254183991983339</v>
      </c>
      <c r="O47" s="197">
        <f>1000*'Footprint Summary'!O47/'Intensity Summary'!$C47</f>
        <v>0.74171552309978339</v>
      </c>
      <c r="P47" s="197">
        <f>1000*'Footprint Summary'!P47/'Intensity Summary'!$C47</f>
        <v>0.74171552309978339</v>
      </c>
      <c r="Q47" s="197">
        <f>1000*'Footprint Summary'!Q47/'Intensity Summary'!$C47</f>
        <v>0.74171552309978339</v>
      </c>
      <c r="R47" s="197">
        <f>1000*'Footprint Summary'!R47/'Intensity Summary'!$C47</f>
        <v>0.74171552309978339</v>
      </c>
      <c r="S47" s="199">
        <f t="shared" si="1"/>
        <v>-0.96811173643591264</v>
      </c>
    </row>
    <row r="48" spans="1:19" ht="14">
      <c r="A48" s="185" t="s">
        <v>48</v>
      </c>
      <c r="B48" s="182" t="s">
        <v>168</v>
      </c>
      <c r="C48" s="231">
        <v>24784</v>
      </c>
      <c r="D48" s="212">
        <v>0</v>
      </c>
      <c r="E48" s="199"/>
      <c r="F48" s="211">
        <v>1</v>
      </c>
      <c r="G48" s="197">
        <f>1000*'Footprint Summary'!G48/'Intensity Summary'!$C48</f>
        <v>0</v>
      </c>
      <c r="H48" s="197">
        <f>1000*'Footprint Summary'!H48/'Intensity Summary'!$C48</f>
        <v>0</v>
      </c>
      <c r="I48" s="197">
        <f>1000*'Footprint Summary'!I48/'Intensity Summary'!$C48</f>
        <v>0</v>
      </c>
      <c r="J48" s="197">
        <f>1000*'Footprint Summary'!J48/'Intensity Summary'!$C48</f>
        <v>0</v>
      </c>
      <c r="K48" s="197">
        <f>1000*'Footprint Summary'!K48/'Intensity Summary'!$C48</f>
        <v>0</v>
      </c>
      <c r="L48" s="197">
        <f>1000*'Footprint Summary'!L48/'Intensity Summary'!$C48</f>
        <v>0</v>
      </c>
      <c r="M48" s="197">
        <f>1000*'Footprint Summary'!M48/'Intensity Summary'!$C48</f>
        <v>0</v>
      </c>
      <c r="N48" s="197">
        <f>1000*'Footprint Summary'!N48/'Intensity Summary'!$C48</f>
        <v>0</v>
      </c>
      <c r="O48" s="197">
        <f>1000*'Footprint Summary'!O48/'Intensity Summary'!$C48</f>
        <v>0</v>
      </c>
      <c r="P48" s="197">
        <f>1000*'Footprint Summary'!P48/'Intensity Summary'!$C48</f>
        <v>0</v>
      </c>
      <c r="Q48" s="197">
        <f>1000*'Footprint Summary'!Q48/'Intensity Summary'!$C48</f>
        <v>0</v>
      </c>
      <c r="R48" s="197">
        <f>1000*'Footprint Summary'!R48/'Intensity Summary'!$C48</f>
        <v>0</v>
      </c>
      <c r="S48" s="199"/>
    </row>
    <row r="49" spans="1:19" ht="14">
      <c r="A49" s="185" t="s">
        <v>30</v>
      </c>
      <c r="B49" s="182" t="s">
        <v>123</v>
      </c>
      <c r="C49" s="231">
        <v>23555.5</v>
      </c>
      <c r="D49" s="211">
        <v>0</v>
      </c>
      <c r="E49" s="199"/>
      <c r="F49" s="211">
        <v>1</v>
      </c>
      <c r="G49" s="197">
        <f>1000*'Footprint Summary'!G49/'Intensity Summary'!$C49</f>
        <v>101.64339538536647</v>
      </c>
      <c r="H49" s="197">
        <f>1000*'Footprint Summary'!H49/'Intensity Summary'!$C49</f>
        <v>101.64339538536647</v>
      </c>
      <c r="I49" s="197">
        <f>1000*'Footprint Summary'!I49/'Intensity Summary'!$C49</f>
        <v>101.64339538536647</v>
      </c>
      <c r="J49" s="197">
        <f>1000*'Footprint Summary'!J49/'Intensity Summary'!$C49</f>
        <v>101.64339538536647</v>
      </c>
      <c r="K49" s="197">
        <f>1000*'Footprint Summary'!K49/'Intensity Summary'!$C49</f>
        <v>101.64339538536647</v>
      </c>
      <c r="L49" s="197">
        <f>1000*'Footprint Summary'!L49/'Intensity Summary'!$C49</f>
        <v>101.64339538536647</v>
      </c>
      <c r="M49" s="197">
        <f>1000*'Footprint Summary'!M49/'Intensity Summary'!$C49</f>
        <v>101.64339538536647</v>
      </c>
      <c r="N49" s="197">
        <f>1000*'Footprint Summary'!N49/'Intensity Summary'!$C49</f>
        <v>101.64339538536647</v>
      </c>
      <c r="O49" s="197">
        <f>1000*'Footprint Summary'!O49/'Intensity Summary'!$C49</f>
        <v>101.64339538536647</v>
      </c>
      <c r="P49" s="197">
        <f>1000*'Footprint Summary'!P49/'Intensity Summary'!$C49</f>
        <v>101.64339538536647</v>
      </c>
      <c r="Q49" s="197">
        <f>1000*'Footprint Summary'!Q49/'Intensity Summary'!$C49</f>
        <v>101.64339538536647</v>
      </c>
      <c r="R49" s="197">
        <f>1000*'Footprint Summary'!R49/'Intensity Summary'!$C49</f>
        <v>101.64339538536647</v>
      </c>
      <c r="S49" s="199">
        <f t="shared" si="1"/>
        <v>0</v>
      </c>
    </row>
    <row r="50" spans="1:19" ht="14">
      <c r="A50" s="185" t="s">
        <v>63</v>
      </c>
      <c r="B50" s="182" t="s">
        <v>64</v>
      </c>
      <c r="C50" s="231">
        <v>61127</v>
      </c>
      <c r="D50" s="211">
        <v>0.5</v>
      </c>
      <c r="E50" s="199"/>
      <c r="F50" s="211"/>
      <c r="G50" s="197">
        <f>1000*'Footprint Summary'!G50/'Intensity Summary'!$C50</f>
        <v>35.428102147986976</v>
      </c>
      <c r="H50" s="197">
        <f>1000*'Footprint Summary'!H50/'Intensity Summary'!$C50</f>
        <v>35.428102147986976</v>
      </c>
      <c r="I50" s="197">
        <f>1000*'Footprint Summary'!I50/'Intensity Summary'!$C50</f>
        <v>35.428102147986976</v>
      </c>
      <c r="J50" s="197">
        <f>1000*'Footprint Summary'!J50/'Intensity Summary'!$C50</f>
        <v>35.428102147986976</v>
      </c>
      <c r="K50" s="197">
        <f>1000*'Footprint Summary'!K50/'Intensity Summary'!$C50</f>
        <v>35.428102147986976</v>
      </c>
      <c r="L50" s="197">
        <f>1000*'Footprint Summary'!L50/'Intensity Summary'!$C50</f>
        <v>35.428102147986976</v>
      </c>
      <c r="M50" s="197">
        <f>1000*'Footprint Summary'!M50/'Intensity Summary'!$C50</f>
        <v>7.3881198161205388</v>
      </c>
      <c r="N50" s="197">
        <f>1000*'Footprint Summary'!N50/'Intensity Summary'!$C50</f>
        <v>7.3881198161205388</v>
      </c>
      <c r="O50" s="197">
        <f>1000*'Footprint Summary'!O50/'Intensity Summary'!$C50</f>
        <v>7.3881198161205388</v>
      </c>
      <c r="P50" s="197">
        <f>1000*'Footprint Summary'!P50/'Intensity Summary'!$C50</f>
        <v>7.3881198161205388</v>
      </c>
      <c r="Q50" s="197">
        <f>1000*'Footprint Summary'!Q50/'Intensity Summary'!$C50</f>
        <v>7.3881198161205388</v>
      </c>
      <c r="R50" s="197">
        <f>1000*'Footprint Summary'!R50/'Intensity Summary'!$C50</f>
        <v>7.3881198161205388</v>
      </c>
      <c r="S50" s="199">
        <f t="shared" si="1"/>
        <v>-0.79146159776610181</v>
      </c>
    </row>
    <row r="51" spans="1:19" ht="14">
      <c r="A51" s="185" t="s">
        <v>66</v>
      </c>
      <c r="B51" s="182" t="s">
        <v>95</v>
      </c>
      <c r="C51" s="231">
        <v>41253</v>
      </c>
      <c r="D51" s="212">
        <v>0</v>
      </c>
      <c r="E51" s="199">
        <v>1</v>
      </c>
      <c r="F51" s="211"/>
      <c r="G51" s="197">
        <f>1000*'Footprint Summary'!G51/'Intensity Summary'!$C51</f>
        <v>92.526604125760556</v>
      </c>
      <c r="H51" s="197">
        <f>1000*'Footprint Summary'!H51/'Intensity Summary'!$C51</f>
        <v>92.526604125760556</v>
      </c>
      <c r="I51" s="197">
        <f>1000*'Footprint Summary'!I51/'Intensity Summary'!$C51</f>
        <v>92.526604125760556</v>
      </c>
      <c r="J51" s="197">
        <f>1000*'Footprint Summary'!J51/'Intensity Summary'!$C51</f>
        <v>92.526604125760556</v>
      </c>
      <c r="K51" s="197">
        <f>1000*'Footprint Summary'!K51/'Intensity Summary'!$C51</f>
        <v>92.526604125760556</v>
      </c>
      <c r="L51" s="197">
        <f>1000*'Footprint Summary'!L51/'Intensity Summary'!$C51</f>
        <v>92.526604125760556</v>
      </c>
      <c r="M51" s="197">
        <f>1000*'Footprint Summary'!M51/'Intensity Summary'!$C51</f>
        <v>92.526604125760556</v>
      </c>
      <c r="N51" s="197">
        <f>1000*'Footprint Summary'!N51/'Intensity Summary'!$C51</f>
        <v>92.526604125760556</v>
      </c>
      <c r="O51" s="197">
        <f>1000*'Footprint Summary'!O51/'Intensity Summary'!$C51</f>
        <v>92.526604125760556</v>
      </c>
      <c r="P51" s="197">
        <f>1000*'Footprint Summary'!P51/'Intensity Summary'!$C51</f>
        <v>92.526604125760556</v>
      </c>
      <c r="Q51" s="197">
        <f>1000*'Footprint Summary'!Q51/'Intensity Summary'!$C51</f>
        <v>92.526604125760556</v>
      </c>
      <c r="R51" s="197">
        <f>1000*'Footprint Summary'!R51/'Intensity Summary'!$C51</f>
        <v>92.526604125760556</v>
      </c>
      <c r="S51" s="199">
        <f t="shared" si="1"/>
        <v>0</v>
      </c>
    </row>
    <row r="52" spans="1:19" ht="14">
      <c r="A52" s="185" t="s">
        <v>66</v>
      </c>
      <c r="B52" s="198" t="s">
        <v>133</v>
      </c>
      <c r="C52" s="231">
        <v>8227.2000000000007</v>
      </c>
      <c r="D52" s="212">
        <v>0</v>
      </c>
      <c r="E52" s="199"/>
      <c r="F52" s="211">
        <v>1</v>
      </c>
      <c r="G52" s="197">
        <f>1000*'Footprint Summary'!G52/'Intensity Summary'!$C52</f>
        <v>0</v>
      </c>
      <c r="H52" s="197">
        <f>1000*'Footprint Summary'!H52/'Intensity Summary'!$C52</f>
        <v>0</v>
      </c>
      <c r="I52" s="197">
        <f>1000*'Footprint Summary'!I52/'Intensity Summary'!$C52</f>
        <v>0</v>
      </c>
      <c r="J52" s="197">
        <f>1000*'Footprint Summary'!J52/'Intensity Summary'!$C52</f>
        <v>0</v>
      </c>
      <c r="K52" s="197">
        <f>1000*'Footprint Summary'!K52/'Intensity Summary'!$C52</f>
        <v>0</v>
      </c>
      <c r="L52" s="197">
        <f>1000*'Footprint Summary'!L52/'Intensity Summary'!$C52</f>
        <v>0</v>
      </c>
      <c r="M52" s="197">
        <f>1000*'Footprint Summary'!M52/'Intensity Summary'!$C52</f>
        <v>0</v>
      </c>
      <c r="N52" s="197">
        <f>1000*'Footprint Summary'!N52/'Intensity Summary'!$C52</f>
        <v>0</v>
      </c>
      <c r="O52" s="197">
        <f>1000*'Footprint Summary'!O52/'Intensity Summary'!$C52</f>
        <v>0</v>
      </c>
      <c r="P52" s="197">
        <f>1000*'Footprint Summary'!P52/'Intensity Summary'!$C52</f>
        <v>0</v>
      </c>
      <c r="Q52" s="197">
        <f>1000*'Footprint Summary'!Q52/'Intensity Summary'!$C52</f>
        <v>0</v>
      </c>
      <c r="R52" s="197">
        <f>1000*'Footprint Summary'!R52/'Intensity Summary'!$C52</f>
        <v>0</v>
      </c>
      <c r="S52" s="199"/>
    </row>
    <row r="53" spans="1:19" ht="14">
      <c r="A53" s="185" t="s">
        <v>178</v>
      </c>
      <c r="B53" s="198" t="s">
        <v>140</v>
      </c>
      <c r="C53" s="231">
        <v>20861</v>
      </c>
      <c r="D53" s="212">
        <v>1</v>
      </c>
      <c r="E53" s="199"/>
      <c r="F53" s="211">
        <v>1</v>
      </c>
      <c r="G53" s="197">
        <f>1000*'Footprint Summary'!G53/'Intensity Summary'!$C53</f>
        <v>236.56109486601792</v>
      </c>
      <c r="H53" s="197">
        <f>1000*'Footprint Summary'!H53/'Intensity Summary'!$C53</f>
        <v>236.56109486601792</v>
      </c>
      <c r="I53" s="197">
        <f>1000*'Footprint Summary'!I53/'Intensity Summary'!$C53</f>
        <v>236.56109486601792</v>
      </c>
      <c r="J53" s="197">
        <f>1000*'Footprint Summary'!J53/'Intensity Summary'!$C53</f>
        <v>236.56109486601792</v>
      </c>
      <c r="K53" s="197">
        <f>1000*'Footprint Summary'!K53/'Intensity Summary'!$C53</f>
        <v>236.56109486601792</v>
      </c>
      <c r="L53" s="197">
        <f>1000*'Footprint Summary'!L53/'Intensity Summary'!$C53</f>
        <v>236.56109486601792</v>
      </c>
      <c r="M53" s="197">
        <f>1000*'Footprint Summary'!M53/'Intensity Summary'!$C53</f>
        <v>236.56109486601792</v>
      </c>
      <c r="N53" s="197">
        <f>1000*'Footprint Summary'!N53/'Intensity Summary'!$C53</f>
        <v>236.56109486601792</v>
      </c>
      <c r="O53" s="197">
        <f>1000*'Footprint Summary'!O53/'Intensity Summary'!$C53</f>
        <v>236.56109486601792</v>
      </c>
      <c r="P53" s="197">
        <f>1000*'Footprint Summary'!P53/'Intensity Summary'!$C53</f>
        <v>236.56109486601792</v>
      </c>
      <c r="Q53" s="197">
        <f>1000*'Footprint Summary'!Q53/'Intensity Summary'!$C53</f>
        <v>236.56109486601792</v>
      </c>
      <c r="R53" s="197">
        <f>1000*'Footprint Summary'!R53/'Intensity Summary'!$C53</f>
        <v>236.56109486601792</v>
      </c>
      <c r="S53" s="199">
        <f t="shared" si="1"/>
        <v>0</v>
      </c>
    </row>
    <row r="54" spans="1:19" ht="14">
      <c r="A54" s="185" t="s">
        <v>37</v>
      </c>
      <c r="B54" s="182" t="s">
        <v>166</v>
      </c>
      <c r="C54" s="231">
        <v>15723.1</v>
      </c>
      <c r="D54" s="212">
        <v>0</v>
      </c>
      <c r="E54" s="199"/>
      <c r="F54" s="211">
        <v>1</v>
      </c>
      <c r="G54" s="197">
        <f>1000*'Footprint Summary'!G54/'Intensity Summary'!$C54</f>
        <v>109.81237796617715</v>
      </c>
      <c r="H54" s="197">
        <f>1000*'Footprint Summary'!H54/'Intensity Summary'!$C54</f>
        <v>100.34223530983074</v>
      </c>
      <c r="I54" s="197">
        <f>1000*'Footprint Summary'!I54/'Intensity Summary'!$C54</f>
        <v>100.34223530983074</v>
      </c>
      <c r="J54" s="197">
        <f>1000*'Footprint Summary'!J54/'Intensity Summary'!$C54</f>
        <v>83.284530404309578</v>
      </c>
      <c r="K54" s="197">
        <f>1000*'Footprint Summary'!K54/'Intensity Summary'!$C54</f>
        <v>61.965579306879675</v>
      </c>
      <c r="L54" s="197">
        <f>1000*'Footprint Summary'!L54/'Intensity Summary'!$C54</f>
        <v>61.965579306879675</v>
      </c>
      <c r="M54" s="197">
        <f>1000*'Footprint Summary'!M54/'Intensity Summary'!$C54</f>
        <v>61.965579306879675</v>
      </c>
      <c r="N54" s="197">
        <f>1000*'Footprint Summary'!N54/'Intensity Summary'!$C54</f>
        <v>61.965579306879675</v>
      </c>
      <c r="O54" s="197">
        <f>1000*'Footprint Summary'!O54/'Intensity Summary'!$C54</f>
        <v>59.83495621092532</v>
      </c>
      <c r="P54" s="197">
        <f>1000*'Footprint Summary'!P54/'Intensity Summary'!$C54</f>
        <v>59.83495621092532</v>
      </c>
      <c r="Q54" s="197">
        <f>1000*'Footprint Summary'!Q54/'Intensity Summary'!$C54</f>
        <v>59.83495621092532</v>
      </c>
      <c r="R54" s="197">
        <f>1000*'Footprint Summary'!R54/'Intensity Summary'!$C54</f>
        <v>59.83495621092532</v>
      </c>
      <c r="S54" s="199">
        <f t="shared" si="1"/>
        <v>-0.45511646938968181</v>
      </c>
    </row>
    <row r="55" spans="1:19" ht="14.5" thickBot="1">
      <c r="A55" s="185" t="s">
        <v>66</v>
      </c>
      <c r="B55" s="182" t="s">
        <v>67</v>
      </c>
      <c r="C55" s="231">
        <v>12837.7</v>
      </c>
      <c r="D55" s="211">
        <v>0</v>
      </c>
      <c r="E55" s="199"/>
      <c r="F55" s="211">
        <v>1</v>
      </c>
      <c r="G55" s="197">
        <f>1000*'Footprint Summary'!G55/'Intensity Summary'!$C55</f>
        <v>225.34784268210035</v>
      </c>
      <c r="H55" s="197">
        <f>1000*'Footprint Summary'!H55/'Intensity Summary'!$C55</f>
        <v>225.34784268210035</v>
      </c>
      <c r="I55" s="197">
        <f>1000*'Footprint Summary'!I55/'Intensity Summary'!$C55</f>
        <v>225.34784268210035</v>
      </c>
      <c r="J55" s="197">
        <f>1000*'Footprint Summary'!J55/'Intensity Summary'!$C55</f>
        <v>225.34784268210035</v>
      </c>
      <c r="K55" s="197">
        <f>1000*'Footprint Summary'!K55/'Intensity Summary'!$C55</f>
        <v>217.52510184846193</v>
      </c>
      <c r="L55" s="197">
        <f>1000*'Footprint Summary'!L55/'Intensity Summary'!$C55</f>
        <v>217.52510184846193</v>
      </c>
      <c r="M55" s="197">
        <f>1000*'Footprint Summary'!M55/'Intensity Summary'!$C55</f>
        <v>217.52510184846193</v>
      </c>
      <c r="N55" s="197">
        <f>1000*'Footprint Summary'!N55/'Intensity Summary'!$C55</f>
        <v>217.52510184846193</v>
      </c>
      <c r="O55" s="197">
        <f>1000*'Footprint Summary'!O55/'Intensity Summary'!$C55</f>
        <v>217.52510184846193</v>
      </c>
      <c r="P55" s="197">
        <f>1000*'Footprint Summary'!P55/'Intensity Summary'!$C55</f>
        <v>137.52331025027846</v>
      </c>
      <c r="Q55" s="197">
        <f>1000*'Footprint Summary'!Q55/'Intensity Summary'!$C55</f>
        <v>137.52331025027846</v>
      </c>
      <c r="R55" s="197">
        <f>1000*'Footprint Summary'!R55/'Intensity Summary'!$C55</f>
        <v>137.52331025027846</v>
      </c>
      <c r="S55" s="199">
        <f t="shared" si="1"/>
        <v>-0.38972874728477663</v>
      </c>
    </row>
    <row r="56" spans="1:19" ht="13" thickTop="1">
      <c r="C56" s="203">
        <f>SUM(C33:C55)</f>
        <v>673188.29999999993</v>
      </c>
      <c r="G56" s="201">
        <f>1000*'Footprint Summary'!G56/'Intensity Summary'!$C56</f>
        <v>77.121122871565049</v>
      </c>
      <c r="H56" s="201">
        <f>1000*'Footprint Summary'!H56/'Intensity Summary'!$C56</f>
        <v>76.063991886253675</v>
      </c>
      <c r="I56" s="201">
        <f>1000*'Footprint Summary'!I56/'Intensity Summary'!$C56</f>
        <v>76.063991886253675</v>
      </c>
      <c r="J56" s="201">
        <f>1000*'Footprint Summary'!J56/'Intensity Summary'!$C56</f>
        <v>74.348868545304995</v>
      </c>
      <c r="K56" s="201">
        <f>1000*'Footprint Summary'!K56/'Intensity Summary'!$C56</f>
        <v>72.976851236032076</v>
      </c>
      <c r="L56" s="201">
        <f>1000*'Footprint Summary'!L56/'Intensity Summary'!$C56</f>
        <v>71.338369819291017</v>
      </c>
      <c r="M56" s="201">
        <f>1000*'Footprint Summary'!M56/'Intensity Summary'!$C56</f>
        <v>67.913529778628444</v>
      </c>
      <c r="N56" s="201">
        <f>1000*'Footprint Summary'!N56/'Intensity Summary'!$C56</f>
        <v>61.993937890296472</v>
      </c>
      <c r="O56" s="201">
        <f>1000*'Footprint Summary'!O56/'Intensity Summary'!$C56</f>
        <v>58.209812190937406</v>
      </c>
      <c r="P56" s="201">
        <f>1000*'Footprint Summary'!P56/'Intensity Summary'!$C56</f>
        <v>56.015717314362753</v>
      </c>
      <c r="Q56" s="201">
        <f>1000*'Footprint Summary'!Q56/'Intensity Summary'!$C56</f>
        <v>54.341594338666354</v>
      </c>
      <c r="R56" s="201">
        <f>1000*'Footprint Summary'!R56/'Intensity Summary'!$C56</f>
        <v>53.484969398395428</v>
      </c>
      <c r="S56" s="202">
        <f t="shared" si="1"/>
        <v>-0.30648093016659633</v>
      </c>
    </row>
    <row r="58" spans="1:19">
      <c r="E58" s="185" t="s">
        <v>202</v>
      </c>
      <c r="J58" s="185" t="s">
        <v>33</v>
      </c>
    </row>
    <row r="60" spans="1:19" ht="18" thickBot="1">
      <c r="A60" s="196" t="s">
        <v>203</v>
      </c>
    </row>
    <row r="61" spans="1:19" ht="15" thickTop="1" thickBot="1">
      <c r="A61" s="184" t="s">
        <v>6</v>
      </c>
      <c r="B61" s="184" t="s">
        <v>7</v>
      </c>
      <c r="C61" s="184" t="s">
        <v>9</v>
      </c>
      <c r="D61" s="184" t="s">
        <v>10</v>
      </c>
      <c r="E61" s="184" t="s">
        <v>11</v>
      </c>
      <c r="F61" s="184" t="s">
        <v>12</v>
      </c>
      <c r="G61" s="184" t="s">
        <v>188</v>
      </c>
      <c r="H61" s="184" t="s">
        <v>189</v>
      </c>
      <c r="I61" s="184" t="s">
        <v>190</v>
      </c>
      <c r="J61" s="184" t="s">
        <v>191</v>
      </c>
      <c r="K61" s="184" t="s">
        <v>192</v>
      </c>
      <c r="L61" s="184" t="s">
        <v>193</v>
      </c>
      <c r="M61" s="184" t="s">
        <v>194</v>
      </c>
      <c r="N61" s="184" t="s">
        <v>195</v>
      </c>
      <c r="O61" s="184" t="s">
        <v>196</v>
      </c>
      <c r="P61" s="184" t="s">
        <v>197</v>
      </c>
      <c r="Q61" s="184" t="s">
        <v>198</v>
      </c>
      <c r="R61" s="184" t="s">
        <v>199</v>
      </c>
      <c r="S61" s="200" t="s">
        <v>200</v>
      </c>
    </row>
    <row r="62" spans="1:19" ht="14.5" thickTop="1">
      <c r="A62" s="185" t="s">
        <v>30</v>
      </c>
      <c r="B62" s="198" t="s">
        <v>31</v>
      </c>
      <c r="C62" s="228">
        <v>29166</v>
      </c>
      <c r="D62" s="211">
        <v>1</v>
      </c>
      <c r="E62" s="199"/>
      <c r="F62" s="211">
        <v>1</v>
      </c>
      <c r="G62" s="203">
        <f>1000*'Footprint Summary'!G62/'Intensity Summary'!$C62</f>
        <v>52.280397731262426</v>
      </c>
      <c r="H62" s="203">
        <f>(H4*VLOOKUP($A62,Assumptions!$A$3:$N$14,4,FALSE))+(H33*VLOOKUP($A62,Assumptions!$A$17:$N$29,4,FALSE))/1000</f>
        <v>2.8529856761297401</v>
      </c>
      <c r="I62" s="203">
        <f>(I4*VLOOKUP($A62,Assumptions!$A$3:$N$14,5,FALSE))+(I33*VLOOKUP($A62,Assumptions!$A$17:$N$29,5,FALSE))/1000</f>
        <v>2.8529856761297401</v>
      </c>
      <c r="J62" s="203">
        <f>(J4*VLOOKUP($A62,Assumptions!$A$3:$N$14,6,FALSE)+(J33*VLOOKUP($A62,Assumptions!$A$17:$N$29,6,FALSE))/1000)</f>
        <v>2.8529856761297401</v>
      </c>
      <c r="K62" s="203">
        <f>(K4*VLOOKUP($A62,Assumptions!$A$3:$N$14,7,FALSE)+(K33*VLOOKUP($A62,Assumptions!$A$17:$N$29,7,FALSE))/1000)</f>
        <v>1.9907954546389632</v>
      </c>
      <c r="L62" s="203">
        <f>(L4*VLOOKUP($A62,Assumptions!$A$3:$N$14,8,FALSE)+(L33*VLOOKUP($A62,Assumptions!$A$17:$N$29,8,FALSE))/1000)</f>
        <v>1.9236576914900914</v>
      </c>
      <c r="M62" s="203">
        <f>(M4*VLOOKUP($A62,Assumptions!$A$3:$N$14,9,FALSE)+(M33*VLOOKUP($A62,Assumptions!$A$17:$N$29,9,FALSE))/1000)</f>
        <v>1.8565199283412193</v>
      </c>
      <c r="N62" s="203">
        <f>(N4*VLOOKUP($A62,Assumptions!$A$3:$N$14,10,FALSE)+(N33*VLOOKUP($A62,Assumptions!$A$17:$N$29,10,FALSE))/1000)</f>
        <v>1.7893821651923469</v>
      </c>
      <c r="O62" s="203">
        <f>(O4*VLOOKUP($A62,Assumptions!$A$3:$N$14,11,FALSE)+(O33*VLOOKUP($A62,Assumptions!$A$17:$N$29,11,FALSE))/1000)</f>
        <v>0.83885278166358068</v>
      </c>
      <c r="P62" s="203">
        <f>(P4*VLOOKUP($A62,Assumptions!$A$3:$N$14,12,FALSE)+(P33*VLOOKUP($A62,Assumptions!$A$17:$N$29,12,FALSE))/1000)</f>
        <v>0.83885278166358068</v>
      </c>
      <c r="Q62" s="203">
        <f>(Q4*VLOOKUP($A62,Assumptions!$A$3:$N$14,13,FALSE)+(Q33*VLOOKUP($A62,Assumptions!$A$17:$N$29,13,FALSE))/1000)</f>
        <v>0.83885278166358068</v>
      </c>
      <c r="R62" s="203">
        <f>(R4*VLOOKUP($A62,Assumptions!$A$3:$N$14,14,FALSE)+(R33*VLOOKUP($A62,Assumptions!$A$17:$N$29,14,FALSE))/1000)</f>
        <v>0.83885278166358068</v>
      </c>
      <c r="S62" s="199">
        <f>(R62-G62)/G62</f>
        <v>-0.98395473603748107</v>
      </c>
    </row>
    <row r="63" spans="1:19" ht="14">
      <c r="A63" s="185" t="s">
        <v>37</v>
      </c>
      <c r="B63" s="182" t="s">
        <v>38</v>
      </c>
      <c r="C63" s="228">
        <v>62987</v>
      </c>
      <c r="D63" s="211">
        <v>0.5</v>
      </c>
      <c r="E63" s="199"/>
      <c r="F63" s="211">
        <v>1</v>
      </c>
      <c r="G63" s="203">
        <f>1000*'Footprint Summary'!G63/'Intensity Summary'!$C63</f>
        <v>58.699616895391109</v>
      </c>
      <c r="H63" s="203">
        <f>(H5*VLOOKUP($A63,Assumptions!$A$3:$N$14,4,FALSE))+(H34*VLOOKUP($A63,Assumptions!$A$17:$N$29,4,FALSE))/1000</f>
        <v>31.774797861304716</v>
      </c>
      <c r="I63" s="203">
        <f>(I5*VLOOKUP($A63,Assumptions!$A$3:$N$14,5,FALSE))+(I34*VLOOKUP($A63,Assumptions!$A$17:$N$29,5,FALSE))/1000</f>
        <v>6.9319397556638682</v>
      </c>
      <c r="J63" s="203">
        <f>(J5*VLOOKUP($A63,Assumptions!$A$3:$N$14,6,FALSE)+(J34*VLOOKUP($A63,Assumptions!$A$17:$N$29,6,FALSE))/1000)</f>
        <v>6.9319397556638682</v>
      </c>
      <c r="K63" s="203">
        <f>(K5*VLOOKUP($A63,Assumptions!$A$3:$N$14,7,FALSE)+(K34*VLOOKUP($A63,Assumptions!$A$17:$N$29,7,FALSE))/1000)</f>
        <v>6.9319397556638682</v>
      </c>
      <c r="L63" s="203">
        <f>(L5*VLOOKUP($A63,Assumptions!$A$3:$N$14,8,FALSE)+(L34*VLOOKUP($A63,Assumptions!$A$17:$N$29,8,FALSE))/1000)</f>
        <v>6.9319397556638682</v>
      </c>
      <c r="M63" s="203">
        <f>(M5*VLOOKUP($A63,Assumptions!$A$3:$N$14,9,FALSE)+(M34*VLOOKUP($A63,Assumptions!$A$17:$N$29,9,FALSE))/1000)</f>
        <v>6.9319397556638682</v>
      </c>
      <c r="N63" s="203">
        <f>(N5*VLOOKUP($A63,Assumptions!$A$3:$N$14,10,FALSE)+(N34*VLOOKUP($A63,Assumptions!$A$17:$N$29,10,FALSE))/1000)</f>
        <v>6.9319397556638682</v>
      </c>
      <c r="O63" s="203">
        <f>(O5*VLOOKUP($A63,Assumptions!$A$3:$N$14,11,FALSE)+(O34*VLOOKUP($A63,Assumptions!$A$17:$N$29,11,FALSE))/1000)</f>
        <v>6.9319397556638682</v>
      </c>
      <c r="P63" s="203">
        <f>(P5*VLOOKUP($A63,Assumptions!$A$3:$N$14,12,FALSE)+(P34*VLOOKUP($A63,Assumptions!$A$17:$N$29,12,FALSE))/1000)</f>
        <v>6.9319397556638682</v>
      </c>
      <c r="Q63" s="203">
        <f>(Q5*VLOOKUP($A63,Assumptions!$A$3:$N$14,13,FALSE)+(Q34*VLOOKUP($A63,Assumptions!$A$17:$N$29,13,FALSE))/1000)</f>
        <v>6.9319397556638682</v>
      </c>
      <c r="R63" s="203">
        <f>(R5*VLOOKUP($A63,Assumptions!$A$3:$N$14,14,FALSE)+(R34*VLOOKUP($A63,Assumptions!$A$17:$N$29,14,FALSE))/1000)</f>
        <v>6.9319397556638682</v>
      </c>
      <c r="S63" s="199">
        <f t="shared" ref="S63:S85" si="2">(R63-G63)/G63</f>
        <v>-0.88190826239944098</v>
      </c>
    </row>
    <row r="64" spans="1:19" ht="14">
      <c r="A64" s="185" t="s">
        <v>30</v>
      </c>
      <c r="B64" s="182" t="s">
        <v>42</v>
      </c>
      <c r="C64" s="231">
        <v>42132</v>
      </c>
      <c r="D64" s="211">
        <v>0.5</v>
      </c>
      <c r="E64" s="199">
        <v>1</v>
      </c>
      <c r="F64" s="211">
        <v>1</v>
      </c>
      <c r="G64" s="203">
        <f>1000*'Footprint Summary'!G64/'Intensity Summary'!$C64</f>
        <v>58.522089141744992</v>
      </c>
      <c r="H64" s="203">
        <f>(H6*VLOOKUP($A64,Assumptions!$A$3:$N$14,4,FALSE))+(H35*VLOOKUP($A64,Assumptions!$A$17:$N$29,4,FALSE))/1000</f>
        <v>5.7020613718788571</v>
      </c>
      <c r="I64" s="203">
        <f>(I6*VLOOKUP($A64,Assumptions!$A$3:$N$14,5,FALSE))+(I35*VLOOKUP($A64,Assumptions!$A$17:$N$29,5,FALSE))/1000</f>
        <v>5.7020613718788571</v>
      </c>
      <c r="J64" s="203">
        <f>(J6*VLOOKUP($A64,Assumptions!$A$3:$N$14,6,FALSE)+(J35*VLOOKUP($A64,Assumptions!$A$17:$N$29,6,FALSE))/1000)</f>
        <v>5.7020613718788571</v>
      </c>
      <c r="K64" s="203">
        <f>(K6*VLOOKUP($A64,Assumptions!$A$3:$N$14,7,FALSE)+(K35*VLOOKUP($A64,Assumptions!$A$17:$N$29,7,FALSE))/1000)</f>
        <v>5.7020613718788571</v>
      </c>
      <c r="L64" s="203">
        <f>(L6*VLOOKUP($A64,Assumptions!$A$3:$N$14,8,FALSE)+(L35*VLOOKUP($A64,Assumptions!$A$17:$N$29,8,FALSE))/1000)</f>
        <v>5.7020613718788571</v>
      </c>
      <c r="M64" s="203">
        <f>(M6*VLOOKUP($A64,Assumptions!$A$3:$N$14,9,FALSE)+(M35*VLOOKUP($A64,Assumptions!$A$17:$N$29,9,FALSE))/1000)</f>
        <v>5.3229125064084313</v>
      </c>
      <c r="N64" s="203">
        <f>(N6*VLOOKUP($A64,Assumptions!$A$3:$N$14,10,FALSE)+(N35*VLOOKUP($A64,Assumptions!$A$17:$N$29,10,FALSE))/1000)</f>
        <v>5.3229125064084313</v>
      </c>
      <c r="O64" s="203">
        <f>(O6*VLOOKUP($A64,Assumptions!$A$3:$N$14,11,FALSE)+(O35*VLOOKUP($A64,Assumptions!$A$17:$N$29,11,FALSE))/1000)</f>
        <v>3.9775455644165953</v>
      </c>
      <c r="P64" s="203">
        <f>(P6*VLOOKUP($A64,Assumptions!$A$3:$N$14,12,FALSE)+(P35*VLOOKUP($A64,Assumptions!$A$17:$N$29,12,FALSE))/1000)</f>
        <v>3.9775455644165953</v>
      </c>
      <c r="Q64" s="203">
        <f>(Q6*VLOOKUP($A64,Assumptions!$A$3:$N$14,13,FALSE)+(Q35*VLOOKUP($A64,Assumptions!$A$17:$N$29,13,FALSE))/1000)</f>
        <v>3.9775455644165953</v>
      </c>
      <c r="R64" s="203">
        <f>(R6*VLOOKUP($A64,Assumptions!$A$3:$N$14,14,FALSE)+(R35*VLOOKUP($A64,Assumptions!$A$17:$N$29,14,FALSE))/1000)</f>
        <v>3.9775455644165953</v>
      </c>
      <c r="S64" s="199">
        <f t="shared" si="2"/>
        <v>-0.9320334317733826</v>
      </c>
    </row>
    <row r="65" spans="1:19" ht="14">
      <c r="A65" s="185" t="s">
        <v>30</v>
      </c>
      <c r="B65" s="182" t="s">
        <v>43</v>
      </c>
      <c r="C65" s="231">
        <v>12509</v>
      </c>
      <c r="D65" s="211">
        <v>1</v>
      </c>
      <c r="E65" s="199"/>
      <c r="F65" s="211">
        <v>1</v>
      </c>
      <c r="G65" s="203">
        <f>1000*'Footprint Summary'!G65/'Intensity Summary'!$C65</f>
        <v>42.251500694699807</v>
      </c>
      <c r="H65" s="203">
        <f>(H7*VLOOKUP($A65,Assumptions!$A$3:$N$14,4,FALSE))+(H36*VLOOKUP($A65,Assumptions!$A$17:$N$29,4,FALSE))/1000</f>
        <v>3.9007868086977373</v>
      </c>
      <c r="I65" s="203">
        <f>(I7*VLOOKUP($A65,Assumptions!$A$3:$N$14,5,FALSE))+(I36*VLOOKUP($A65,Assumptions!$A$17:$N$29,5,FALSE))/1000</f>
        <v>3.9007868086977373</v>
      </c>
      <c r="J65" s="203">
        <f>(J7*VLOOKUP($A65,Assumptions!$A$3:$N$14,6,FALSE)+(J36*VLOOKUP($A65,Assumptions!$A$17:$N$29,6,FALSE))/1000)</f>
        <v>3.9007868086977373</v>
      </c>
      <c r="K65" s="203">
        <f>(K7*VLOOKUP($A65,Assumptions!$A$3:$N$14,7,FALSE)+(K36*VLOOKUP($A65,Assumptions!$A$17:$N$29,7,FALSE))/1000)</f>
        <v>3.9007868086977373</v>
      </c>
      <c r="L65" s="203">
        <f>(L7*VLOOKUP($A65,Assumptions!$A$3:$N$14,8,FALSE)+(L36*VLOOKUP($A65,Assumptions!$A$17:$N$29,8,FALSE))/1000)</f>
        <v>3.9007868086977373</v>
      </c>
      <c r="M65" s="203">
        <f>(M7*VLOOKUP($A65,Assumptions!$A$3:$N$14,9,FALSE)+(M36*VLOOKUP($A65,Assumptions!$A$17:$N$29,9,FALSE))/1000)</f>
        <v>3.9007868086977373</v>
      </c>
      <c r="N65" s="203">
        <f>(N7*VLOOKUP($A65,Assumptions!$A$3:$N$14,10,FALSE)+(N36*VLOOKUP($A65,Assumptions!$A$17:$N$29,10,FALSE))/1000)</f>
        <v>3.9007868086977373</v>
      </c>
      <c r="O65" s="203">
        <f>(O7*VLOOKUP($A65,Assumptions!$A$3:$N$14,11,FALSE)+(O36*VLOOKUP($A65,Assumptions!$A$17:$N$29,11,FALSE))/1000)</f>
        <v>3.9007868086977373</v>
      </c>
      <c r="P65" s="203">
        <f>(P7*VLOOKUP($A65,Assumptions!$A$3:$N$14,12,FALSE)+(P36*VLOOKUP($A65,Assumptions!$A$17:$N$29,12,FALSE))/1000)</f>
        <v>3.9007868086977373</v>
      </c>
      <c r="Q65" s="203">
        <f>(Q7*VLOOKUP($A65,Assumptions!$A$3:$N$14,13,FALSE)+(Q36*VLOOKUP($A65,Assumptions!$A$17:$N$29,13,FALSE))/1000)</f>
        <v>3.9007868086977373</v>
      </c>
      <c r="R65" s="203">
        <f>(R7*VLOOKUP($A65,Assumptions!$A$3:$N$14,14,FALSE)+(R36*VLOOKUP($A65,Assumptions!$A$17:$N$29,14,FALSE))/1000)</f>
        <v>3.9007868086977373</v>
      </c>
      <c r="S65" s="199">
        <f t="shared" si="2"/>
        <v>-0.90767696426018141</v>
      </c>
    </row>
    <row r="66" spans="1:19" ht="14">
      <c r="A66" s="185" t="s">
        <v>30</v>
      </c>
      <c r="B66" s="182" t="s">
        <v>46</v>
      </c>
      <c r="C66" s="231">
        <v>27263</v>
      </c>
      <c r="D66" s="211">
        <v>1</v>
      </c>
      <c r="E66" s="199"/>
      <c r="F66" s="211">
        <v>1</v>
      </c>
      <c r="G66" s="203">
        <f>1000*'Footprint Summary'!G66/'Intensity Summary'!$C66</f>
        <v>42.778285731944401</v>
      </c>
      <c r="H66" s="203">
        <f>(H8*VLOOKUP($A66,Assumptions!$A$3:$N$14,4,FALSE))+(H37*VLOOKUP($A66,Assumptions!$A$17:$N$29,4,FALSE))/1000</f>
        <v>1.7586448266881856</v>
      </c>
      <c r="I66" s="203">
        <f>(I8*VLOOKUP($A66,Assumptions!$A$3:$N$14,5,FALSE))+(I37*VLOOKUP($A66,Assumptions!$A$17:$N$29,5,FALSE))/1000</f>
        <v>1.7586448266881856</v>
      </c>
      <c r="J66" s="203">
        <f>(J8*VLOOKUP($A66,Assumptions!$A$3:$N$14,6,FALSE)+(J37*VLOOKUP($A66,Assumptions!$A$17:$N$29,6,FALSE))/1000)</f>
        <v>1.7586448266881856</v>
      </c>
      <c r="K66" s="203">
        <f>(K8*VLOOKUP($A66,Assumptions!$A$3:$N$14,7,FALSE)+(K37*VLOOKUP($A66,Assumptions!$A$17:$N$29,7,FALSE))/1000)</f>
        <v>1.7586448266881856</v>
      </c>
      <c r="L66" s="203">
        <f>(L8*VLOOKUP($A66,Assumptions!$A$3:$N$14,8,FALSE)+(L37*VLOOKUP($A66,Assumptions!$A$17:$N$29,8,FALSE))/1000)</f>
        <v>0.96479968858893006</v>
      </c>
      <c r="M66" s="203">
        <f>(M8*VLOOKUP($A66,Assumptions!$A$3:$N$14,9,FALSE)+(M37*VLOOKUP($A66,Assumptions!$A$17:$N$29,9,FALSE))/1000)</f>
        <v>0.96479968858893006</v>
      </c>
      <c r="N66" s="203">
        <f>(N8*VLOOKUP($A66,Assumptions!$A$3:$N$14,10,FALSE)+(N37*VLOOKUP($A66,Assumptions!$A$17:$N$29,10,FALSE))/1000)</f>
        <v>0.96479968858893006</v>
      </c>
      <c r="O66" s="203">
        <f>(O8*VLOOKUP($A66,Assumptions!$A$3:$N$14,11,FALSE)+(O37*VLOOKUP($A66,Assumptions!$A$17:$N$29,11,FALSE))/1000)</f>
        <v>0.85139324028903651</v>
      </c>
      <c r="P66" s="203">
        <f>(P8*VLOOKUP($A66,Assumptions!$A$3:$N$14,12,FALSE)+(P37*VLOOKUP($A66,Assumptions!$A$17:$N$29,12,FALSE))/1000)</f>
        <v>0.85139324028903651</v>
      </c>
      <c r="Q66" s="203">
        <f>(Q8*VLOOKUP($A66,Assumptions!$A$3:$N$14,13,FALSE)+(Q37*VLOOKUP($A66,Assumptions!$A$17:$N$29,13,FALSE))/1000)</f>
        <v>0.85139324028903651</v>
      </c>
      <c r="R66" s="203">
        <f>(R8*VLOOKUP($A66,Assumptions!$A$3:$N$14,14,FALSE)+(R37*VLOOKUP($A66,Assumptions!$A$17:$N$29,14,FALSE))/1000)</f>
        <v>0.85139324028903651</v>
      </c>
      <c r="S66" s="199">
        <f t="shared" si="2"/>
        <v>-0.98009753720324366</v>
      </c>
    </row>
    <row r="67" spans="1:19" ht="14">
      <c r="A67" s="185" t="s">
        <v>30</v>
      </c>
      <c r="B67" s="182" t="s">
        <v>47</v>
      </c>
      <c r="C67" s="231">
        <v>39057</v>
      </c>
      <c r="D67" s="211">
        <v>1</v>
      </c>
      <c r="E67" s="199"/>
      <c r="F67" s="211">
        <v>1</v>
      </c>
      <c r="G67" s="203">
        <f>1000*'Footprint Summary'!G67/'Intensity Summary'!$C67</f>
        <v>32.756571968917221</v>
      </c>
      <c r="H67" s="203">
        <f>(H9*VLOOKUP($A67,Assumptions!$A$3:$N$14,4,FALSE))+(H38*VLOOKUP($A67,Assumptions!$A$17:$N$29,4,FALSE))/1000</f>
        <v>1.9771347361548506</v>
      </c>
      <c r="I67" s="203">
        <f>(I9*VLOOKUP($A67,Assumptions!$A$3:$N$14,5,FALSE))+(I38*VLOOKUP($A67,Assumptions!$A$17:$N$29,5,FALSE))/1000</f>
        <v>1.9771347361548506</v>
      </c>
      <c r="J67" s="203">
        <f>(J9*VLOOKUP($A67,Assumptions!$A$3:$N$14,6,FALSE)+(J38*VLOOKUP($A67,Assumptions!$A$17:$N$29,6,FALSE))/1000)</f>
        <v>1.5021673807512097</v>
      </c>
      <c r="K67" s="203">
        <f>(K9*VLOOKUP($A67,Assumptions!$A$3:$N$14,7,FALSE)+(K38*VLOOKUP($A67,Assumptions!$A$17:$N$29,7,FALSE))/1000)</f>
        <v>1.5021673807512097</v>
      </c>
      <c r="L67" s="203">
        <f>(L9*VLOOKUP($A67,Assumptions!$A$3:$N$14,8,FALSE)+(L38*VLOOKUP($A67,Assumptions!$A$17:$N$29,8,FALSE))/1000)</f>
        <v>1.5021673807512097</v>
      </c>
      <c r="M67" s="203">
        <f>(M9*VLOOKUP($A67,Assumptions!$A$3:$N$14,9,FALSE)+(M38*VLOOKUP($A67,Assumptions!$A$17:$N$29,9,FALSE))/1000)</f>
        <v>1.5021673807512097</v>
      </c>
      <c r="N67" s="203">
        <f>(N9*VLOOKUP($A67,Assumptions!$A$3:$N$14,10,FALSE)+(N38*VLOOKUP($A67,Assumptions!$A$17:$N$29,10,FALSE))/1000)</f>
        <v>1.5021673807512097</v>
      </c>
      <c r="O67" s="203">
        <f>(O9*VLOOKUP($A67,Assumptions!$A$3:$N$14,11,FALSE)+(O38*VLOOKUP($A67,Assumptions!$A$17:$N$29,11,FALSE))/1000)</f>
        <v>0.97442587474716458</v>
      </c>
      <c r="P67" s="203">
        <f>(P9*VLOOKUP($A67,Assumptions!$A$3:$N$14,12,FALSE)+(P38*VLOOKUP($A67,Assumptions!$A$17:$N$29,12,FALSE))/1000)</f>
        <v>0.97442587474716458</v>
      </c>
      <c r="Q67" s="203">
        <f>(Q9*VLOOKUP($A67,Assumptions!$A$3:$N$14,13,FALSE)+(Q38*VLOOKUP($A67,Assumptions!$A$17:$N$29,13,FALSE))/1000)</f>
        <v>0.49945851934352375</v>
      </c>
      <c r="R67" s="203">
        <f>(R9*VLOOKUP($A67,Assumptions!$A$3:$N$14,14,FALSE)+(R38*VLOOKUP($A67,Assumptions!$A$17:$N$29,14,FALSE))/1000)</f>
        <v>0.49945851934352375</v>
      </c>
      <c r="S67" s="199">
        <f t="shared" si="2"/>
        <v>-0.98475241793257662</v>
      </c>
    </row>
    <row r="68" spans="1:19" ht="14">
      <c r="A68" s="185" t="s">
        <v>48</v>
      </c>
      <c r="B68" s="182" t="s">
        <v>49</v>
      </c>
      <c r="C68" s="231">
        <v>24754</v>
      </c>
      <c r="D68" s="211">
        <v>1</v>
      </c>
      <c r="E68" s="199"/>
      <c r="F68" s="211">
        <v>1</v>
      </c>
      <c r="G68" s="203">
        <f>1000*'Footprint Summary'!G68/'Intensity Summary'!$C68</f>
        <v>66.801932616950793</v>
      </c>
      <c r="H68" s="203">
        <f>(H10*VLOOKUP($A68,Assumptions!$A$3:$N$14,4,FALSE))+(H39*VLOOKUP($A68,Assumptions!$A$17:$N$29,4,FALSE))/1000</f>
        <v>33.400966308475397</v>
      </c>
      <c r="I68" s="203">
        <f>(I10*VLOOKUP($A68,Assumptions!$A$3:$N$14,5,FALSE))+(I39*VLOOKUP($A68,Assumptions!$A$17:$N$29,5,FALSE))/1000</f>
        <v>0</v>
      </c>
      <c r="J68" s="203">
        <f>(J10*VLOOKUP($A68,Assumptions!$A$3:$N$14,6,FALSE)+(J39*VLOOKUP($A68,Assumptions!$A$17:$N$29,6,FALSE))/1000)</f>
        <v>0</v>
      </c>
      <c r="K68" s="203">
        <f>(K10*VLOOKUP($A68,Assumptions!$A$3:$N$14,7,FALSE)+(K39*VLOOKUP($A68,Assumptions!$A$17:$N$29,7,FALSE))/1000)</f>
        <v>0</v>
      </c>
      <c r="L68" s="203">
        <f>(L10*VLOOKUP($A68,Assumptions!$A$3:$N$14,8,FALSE)+(L39*VLOOKUP($A68,Assumptions!$A$17:$N$29,8,FALSE))/1000)</f>
        <v>0</v>
      </c>
      <c r="M68" s="203">
        <f>(M10*VLOOKUP($A68,Assumptions!$A$3:$N$14,9,FALSE)+(M39*VLOOKUP($A68,Assumptions!$A$17:$N$29,9,FALSE))/1000)</f>
        <v>0</v>
      </c>
      <c r="N68" s="203">
        <f>(N10*VLOOKUP($A68,Assumptions!$A$3:$N$14,10,FALSE)+(N39*VLOOKUP($A68,Assumptions!$A$17:$N$29,10,FALSE))/1000)</f>
        <v>0</v>
      </c>
      <c r="O68" s="203">
        <f>(O10*VLOOKUP($A68,Assumptions!$A$3:$N$14,11,FALSE)+(O39*VLOOKUP($A68,Assumptions!$A$17:$N$29,11,FALSE))/1000)</f>
        <v>0</v>
      </c>
      <c r="P68" s="203">
        <f>(P10*VLOOKUP($A68,Assumptions!$A$3:$N$14,12,FALSE)+(P39*VLOOKUP($A68,Assumptions!$A$17:$N$29,12,FALSE))/1000)</f>
        <v>0</v>
      </c>
      <c r="Q68" s="203">
        <f>(Q10*VLOOKUP($A68,Assumptions!$A$3:$N$14,13,FALSE)+(Q39*VLOOKUP($A68,Assumptions!$A$17:$N$29,13,FALSE))/1000)</f>
        <v>0</v>
      </c>
      <c r="R68" s="203">
        <f>(R10*VLOOKUP($A68,Assumptions!$A$3:$N$14,14,FALSE)+(R39*VLOOKUP($A68,Assumptions!$A$17:$N$29,14,FALSE))/1000)</f>
        <v>0</v>
      </c>
      <c r="S68" s="199">
        <f t="shared" si="2"/>
        <v>-1</v>
      </c>
    </row>
    <row r="69" spans="1:19" ht="14">
      <c r="A69" s="185" t="s">
        <v>30</v>
      </c>
      <c r="B69" s="182" t="s">
        <v>92</v>
      </c>
      <c r="C69" s="231">
        <v>26819</v>
      </c>
      <c r="D69" s="212">
        <v>0</v>
      </c>
      <c r="E69" s="199">
        <v>1</v>
      </c>
      <c r="F69" s="211">
        <v>1</v>
      </c>
      <c r="G69" s="203">
        <f>1000*'Footprint Summary'!G69/'Intensity Summary'!$C69</f>
        <v>45.971223533315943</v>
      </c>
      <c r="H69" s="203">
        <f>(H11*VLOOKUP($A69,Assumptions!$A$3:$N$14,4,FALSE))+(H40*VLOOKUP($A69,Assumptions!$A$17:$N$29,4,FALSE))/1000</f>
        <v>2.2632120489205412</v>
      </c>
      <c r="I69" s="203">
        <f>(I11*VLOOKUP($A69,Assumptions!$A$3:$N$14,5,FALSE))+(I40*VLOOKUP($A69,Assumptions!$A$17:$N$29,5,FALSE))/1000</f>
        <v>2.2632120489205412</v>
      </c>
      <c r="J69" s="203">
        <f>(J11*VLOOKUP($A69,Assumptions!$A$3:$N$14,6,FALSE)+(J40*VLOOKUP($A69,Assumptions!$A$17:$N$29,6,FALSE))/1000)</f>
        <v>1.2517857545978743</v>
      </c>
      <c r="K69" s="203">
        <f>(K11*VLOOKUP($A69,Assumptions!$A$3:$N$14,7,FALSE)+(K40*VLOOKUP($A69,Assumptions!$A$17:$N$29,7,FALSE))/1000)</f>
        <v>1.2517857545978743</v>
      </c>
      <c r="L69" s="203">
        <f>(L11*VLOOKUP($A69,Assumptions!$A$3:$N$14,8,FALSE)+(L40*VLOOKUP($A69,Assumptions!$A$17:$N$29,8,FALSE))/1000)</f>
        <v>1.2517857545978743</v>
      </c>
      <c r="M69" s="203">
        <f>(M11*VLOOKUP($A69,Assumptions!$A$3:$N$14,9,FALSE)+(M40*VLOOKUP($A69,Assumptions!$A$17:$N$29,9,FALSE))/1000)</f>
        <v>1.2517857545978743</v>
      </c>
      <c r="N69" s="203">
        <f>(N11*VLOOKUP($A69,Assumptions!$A$3:$N$14,10,FALSE)+(N40*VLOOKUP($A69,Assumptions!$A$17:$N$29,10,FALSE))/1000)</f>
        <v>1.2517857545978743</v>
      </c>
      <c r="O69" s="203">
        <f>(O11*VLOOKUP($A69,Assumptions!$A$3:$N$14,11,FALSE)+(O40*VLOOKUP($A69,Assumptions!$A$17:$N$29,11,FALSE))/1000)</f>
        <v>1.1078169667573505</v>
      </c>
      <c r="P69" s="203">
        <f>(P11*VLOOKUP($A69,Assumptions!$A$3:$N$14,12,FALSE)+(P40*VLOOKUP($A69,Assumptions!$A$17:$N$29,12,FALSE))/1000)</f>
        <v>1.1078169667573505</v>
      </c>
      <c r="Q69" s="203">
        <f>(Q11*VLOOKUP($A69,Assumptions!$A$3:$N$14,13,FALSE)+(Q40*VLOOKUP($A69,Assumptions!$A$17:$N$29,13,FALSE))/1000)</f>
        <v>1.1078169667573505</v>
      </c>
      <c r="R69" s="203">
        <f>(R11*VLOOKUP($A69,Assumptions!$A$3:$N$14,14,FALSE)+(R40*VLOOKUP($A69,Assumptions!$A$17:$N$29,14,FALSE))/1000)</f>
        <v>-1.9598269883308822E-4</v>
      </c>
      <c r="S69" s="199">
        <f t="shared" si="2"/>
        <v>-1.0000042631603809</v>
      </c>
    </row>
    <row r="70" spans="1:19" ht="14">
      <c r="A70" s="185" t="s">
        <v>30</v>
      </c>
      <c r="B70" s="182" t="s">
        <v>52</v>
      </c>
      <c r="C70" s="231">
        <v>28396</v>
      </c>
      <c r="D70" s="211">
        <v>0.75</v>
      </c>
      <c r="E70" s="199"/>
      <c r="F70" s="211">
        <v>1</v>
      </c>
      <c r="G70" s="203">
        <f>1000*'Footprint Summary'!G70/'Intensity Summary'!$C70</f>
        <v>37.690594449922528</v>
      </c>
      <c r="H70" s="203">
        <f>(H12*VLOOKUP($A70,Assumptions!$A$3:$N$14,4,FALSE))+(H41*VLOOKUP($A70,Assumptions!$A$17:$N$29,4,FALSE))/1000</f>
        <v>3.6203109592900415</v>
      </c>
      <c r="I70" s="203">
        <f>(I12*VLOOKUP($A70,Assumptions!$A$3:$N$14,5,FALSE))+(I41*VLOOKUP($A70,Assumptions!$A$17:$N$29,5,FALSE))/1000</f>
        <v>3.6203109592900415</v>
      </c>
      <c r="J70" s="203">
        <f>(J12*VLOOKUP($A70,Assumptions!$A$3:$N$14,6,FALSE)+(J41*VLOOKUP($A70,Assumptions!$A$17:$N$29,6,FALSE))/1000)</f>
        <v>3.6203109592900415</v>
      </c>
      <c r="K70" s="203">
        <f>(K12*VLOOKUP($A70,Assumptions!$A$3:$N$14,7,FALSE)+(K41*VLOOKUP($A70,Assumptions!$A$17:$N$29,7,FALSE))/1000)</f>
        <v>3.6203109592900415</v>
      </c>
      <c r="L70" s="203">
        <f>(L12*VLOOKUP($A70,Assumptions!$A$3:$N$14,8,FALSE)+(L41*VLOOKUP($A70,Assumptions!$A$17:$N$29,8,FALSE))/1000)</f>
        <v>3.6203109592900415</v>
      </c>
      <c r="M70" s="203">
        <f>(M12*VLOOKUP($A70,Assumptions!$A$3:$N$14,9,FALSE)+(M41*VLOOKUP($A70,Assumptions!$A$17:$N$29,9,FALSE))/1000)</f>
        <v>3.6203109592900415</v>
      </c>
      <c r="N70" s="203">
        <f>(N12*VLOOKUP($A70,Assumptions!$A$3:$N$14,10,FALSE)+(N41*VLOOKUP($A70,Assumptions!$A$17:$N$29,10,FALSE))/1000)</f>
        <v>3.6203109592900415</v>
      </c>
      <c r="O70" s="203">
        <f>(O12*VLOOKUP($A70,Assumptions!$A$3:$N$14,11,FALSE)+(O41*VLOOKUP($A70,Assumptions!$A$17:$N$29,11,FALSE))/1000)</f>
        <v>3.4787649668967466</v>
      </c>
      <c r="P70" s="203">
        <f>(P12*VLOOKUP($A70,Assumptions!$A$3:$N$14,12,FALSE)+(P41*VLOOKUP($A70,Assumptions!$A$17:$N$29,12,FALSE))/1000)</f>
        <v>3.4787649668967466</v>
      </c>
      <c r="Q70" s="203">
        <f>(Q12*VLOOKUP($A70,Assumptions!$A$3:$N$14,13,FALSE)+(Q41*VLOOKUP($A70,Assumptions!$A$17:$N$29,13,FALSE))/1000)</f>
        <v>3.4787649668967466</v>
      </c>
      <c r="R70" s="203">
        <f>(R12*VLOOKUP($A70,Assumptions!$A$3:$N$14,14,FALSE)+(R41*VLOOKUP($A70,Assumptions!$A$17:$N$29,14,FALSE))/1000)</f>
        <v>3.4787649668967466</v>
      </c>
      <c r="S70" s="199">
        <f t="shared" si="2"/>
        <v>-0.9077020403188707</v>
      </c>
    </row>
    <row r="71" spans="1:19" ht="14">
      <c r="A71" s="185" t="s">
        <v>30</v>
      </c>
      <c r="B71" s="182" t="s">
        <v>54</v>
      </c>
      <c r="C71" s="231">
        <v>37558</v>
      </c>
      <c r="D71" s="211">
        <v>0.75</v>
      </c>
      <c r="E71" s="199"/>
      <c r="F71" s="211">
        <v>1</v>
      </c>
      <c r="G71" s="203">
        <f>1000*'Footprint Summary'!G71/'Intensity Summary'!$C71</f>
        <v>37.252146384525268</v>
      </c>
      <c r="H71" s="203">
        <f>(H13*VLOOKUP($A71,Assumptions!$A$3:$N$14,4,FALSE))+(H42*VLOOKUP($A71,Assumptions!$A$17:$N$29,4,FALSE))/1000</f>
        <v>1.2765837880078812</v>
      </c>
      <c r="I71" s="203">
        <f>(I13*VLOOKUP($A71,Assumptions!$A$3:$N$14,5,FALSE))+(I42*VLOOKUP($A71,Assumptions!$A$17:$N$29,5,FALSE))/1000</f>
        <v>1.2765837880078812</v>
      </c>
      <c r="J71" s="203">
        <f>(J13*VLOOKUP($A71,Assumptions!$A$3:$N$14,6,FALSE)+(J42*VLOOKUP($A71,Assumptions!$A$17:$N$29,6,FALSE))/1000)</f>
        <v>1.2765837880078812</v>
      </c>
      <c r="K71" s="203">
        <f>(K13*VLOOKUP($A71,Assumptions!$A$3:$N$14,7,FALSE)+(K42*VLOOKUP($A71,Assumptions!$A$17:$N$29,7,FALSE))/1000)</f>
        <v>1.2765837880078812</v>
      </c>
      <c r="L71" s="203">
        <f>(L13*VLOOKUP($A71,Assumptions!$A$3:$N$14,8,FALSE)+(L42*VLOOKUP($A71,Assumptions!$A$17:$N$29,8,FALSE))/1000)</f>
        <v>1.2765837880078812</v>
      </c>
      <c r="M71" s="203">
        <f>(M13*VLOOKUP($A71,Assumptions!$A$3:$N$14,9,FALSE)+(M42*VLOOKUP($A71,Assumptions!$A$17:$N$29,9,FALSE))/1000)</f>
        <v>1.2765837880078812</v>
      </c>
      <c r="N71" s="203">
        <f>(N13*VLOOKUP($A71,Assumptions!$A$3:$N$14,10,FALSE)+(N42*VLOOKUP($A71,Assumptions!$A$17:$N$29,10,FALSE))/1000)</f>
        <v>1.2765837880078812</v>
      </c>
      <c r="O71" s="203">
        <f>(O13*VLOOKUP($A71,Assumptions!$A$3:$N$14,11,FALSE)+(O42*VLOOKUP($A71,Assumptions!$A$17:$N$29,11,FALSE))/1000)</f>
        <v>1.0845022075190374</v>
      </c>
      <c r="P71" s="203">
        <f>(P13*VLOOKUP($A71,Assumptions!$A$3:$N$14,12,FALSE)+(P42*VLOOKUP($A71,Assumptions!$A$17:$N$29,12,FALSE))/1000)</f>
        <v>0.46709712737632458</v>
      </c>
      <c r="Q71" s="203">
        <f>(Q13*VLOOKUP($A71,Assumptions!$A$3:$N$14,13,FALSE)+(Q42*VLOOKUP($A71,Assumptions!$A$17:$N$29,13,FALSE))/1000)</f>
        <v>0.46709712737632458</v>
      </c>
      <c r="R71" s="203">
        <f>(R13*VLOOKUP($A71,Assumptions!$A$3:$N$14,14,FALSE)+(R42*VLOOKUP($A71,Assumptions!$A$17:$N$29,14,FALSE))/1000)</f>
        <v>0.46709712737632458</v>
      </c>
      <c r="S71" s="199">
        <f t="shared" si="2"/>
        <v>-0.98746120230080592</v>
      </c>
    </row>
    <row r="72" spans="1:19" ht="14">
      <c r="A72" s="185" t="s">
        <v>37</v>
      </c>
      <c r="B72" s="182" t="s">
        <v>55</v>
      </c>
      <c r="C72" s="231">
        <v>55051</v>
      </c>
      <c r="D72" s="211">
        <v>0.5</v>
      </c>
      <c r="E72" s="199">
        <v>1</v>
      </c>
      <c r="F72" s="211">
        <v>1</v>
      </c>
      <c r="G72" s="203">
        <f>1000*'Footprint Summary'!G72/'Intensity Summary'!$C72</f>
        <v>26.485311025231148</v>
      </c>
      <c r="H72" s="203">
        <f>(H14*VLOOKUP($A72,Assumptions!$A$3:$N$14,4,FALSE))+(H43*VLOOKUP($A72,Assumptions!$A$17:$N$29,4,FALSE))/1000</f>
        <v>14.488816319293033</v>
      </c>
      <c r="I72" s="203">
        <f>(I14*VLOOKUP($A72,Assumptions!$A$3:$N$14,5,FALSE))+(I43*VLOOKUP($A72,Assumptions!$A$17:$N$29,5,FALSE))/1000</f>
        <v>4.9278603829794321</v>
      </c>
      <c r="J72" s="203">
        <f>(J14*VLOOKUP($A72,Assumptions!$A$3:$N$14,6,FALSE)+(J43*VLOOKUP($A72,Assumptions!$A$17:$N$29,6,FALSE))/1000)</f>
        <v>4.9278603829794321</v>
      </c>
      <c r="K72" s="203">
        <f>(K14*VLOOKUP($A72,Assumptions!$A$3:$N$14,7,FALSE)+(K43*VLOOKUP($A72,Assumptions!$A$17:$N$29,7,FALSE))/1000)</f>
        <v>4.9278603829794321</v>
      </c>
      <c r="L72" s="203">
        <f>(L14*VLOOKUP($A72,Assumptions!$A$3:$N$14,8,FALSE)+(L43*VLOOKUP($A72,Assumptions!$A$17:$N$29,8,FALSE))/1000)</f>
        <v>4.4392408129309837</v>
      </c>
      <c r="M72" s="203">
        <f>(M14*VLOOKUP($A72,Assumptions!$A$3:$N$14,9,FALSE)+(M43*VLOOKUP($A72,Assumptions!$A$17:$N$29,9,FALSE))/1000)</f>
        <v>4.2112565352295981</v>
      </c>
      <c r="N72" s="203">
        <f>(N14*VLOOKUP($A72,Assumptions!$A$3:$N$14,10,FALSE)+(N43*VLOOKUP($A72,Assumptions!$A$17:$N$29,10,FALSE))/1000)</f>
        <v>0.51670221287396378</v>
      </c>
      <c r="O72" s="203">
        <f>(O14*VLOOKUP($A72,Assumptions!$A$3:$N$14,11,FALSE)+(O43*VLOOKUP($A72,Assumptions!$A$17:$N$29,11,FALSE))/1000)</f>
        <v>0.51670221287396378</v>
      </c>
      <c r="P72" s="203">
        <f>(P14*VLOOKUP($A72,Assumptions!$A$3:$N$14,12,FALSE)+(P43*VLOOKUP($A72,Assumptions!$A$17:$N$29,12,FALSE))/1000)</f>
        <v>0.51670221287396378</v>
      </c>
      <c r="Q72" s="203">
        <f>(Q14*VLOOKUP($A72,Assumptions!$A$3:$N$14,13,FALSE)+(Q43*VLOOKUP($A72,Assumptions!$A$17:$N$29,13,FALSE))/1000)</f>
        <v>0.51670221287396378</v>
      </c>
      <c r="R72" s="203">
        <f>(R14*VLOOKUP($A72,Assumptions!$A$3:$N$14,14,FALSE)+(R43*VLOOKUP($A72,Assumptions!$A$17:$N$29,14,FALSE))/1000)</f>
        <v>0.51670221287396378</v>
      </c>
      <c r="S72" s="199">
        <f t="shared" si="2"/>
        <v>-0.9804909894249787</v>
      </c>
    </row>
    <row r="73" spans="1:19" ht="14">
      <c r="A73" s="185" t="s">
        <v>30</v>
      </c>
      <c r="B73" s="182" t="s">
        <v>56</v>
      </c>
      <c r="C73" s="231">
        <v>39938</v>
      </c>
      <c r="D73" s="211">
        <v>0.5</v>
      </c>
      <c r="E73" s="199"/>
      <c r="F73" s="211">
        <v>1</v>
      </c>
      <c r="G73" s="203">
        <f>1000*'Footprint Summary'!G73/'Intensity Summary'!$C73</f>
        <v>57.527694203265064</v>
      </c>
      <c r="H73" s="203">
        <f>(H15*VLOOKUP($A73,Assumptions!$A$3:$N$14,4,FALSE))+(H44*VLOOKUP($A73,Assumptions!$A$17:$N$29,4,FALSE))/1000</f>
        <v>6.1971385920677049</v>
      </c>
      <c r="I73" s="203">
        <f>(I15*VLOOKUP($A73,Assumptions!$A$3:$N$14,5,FALSE))+(I44*VLOOKUP($A73,Assumptions!$A$17:$N$29,5,FALSE))/1000</f>
        <v>6.1971385920677049</v>
      </c>
      <c r="J73" s="203">
        <f>(J15*VLOOKUP($A73,Assumptions!$A$3:$N$14,6,FALSE)+(J44*VLOOKUP($A73,Assumptions!$A$17:$N$29,6,FALSE))/1000)</f>
        <v>6.1971385920677049</v>
      </c>
      <c r="K73" s="203">
        <f>(K15*VLOOKUP($A73,Assumptions!$A$3:$N$14,7,FALSE)+(K44*VLOOKUP($A73,Assumptions!$A$17:$N$29,7,FALSE))/1000)</f>
        <v>6.1971385920677049</v>
      </c>
      <c r="L73" s="203">
        <f>(L15*VLOOKUP($A73,Assumptions!$A$3:$N$14,8,FALSE)+(L44*VLOOKUP($A73,Assumptions!$A$17:$N$29,8,FALSE))/1000)</f>
        <v>6.1971385920677049</v>
      </c>
      <c r="M73" s="203">
        <f>(M15*VLOOKUP($A73,Assumptions!$A$3:$N$14,9,FALSE)+(M44*VLOOKUP($A73,Assumptions!$A$17:$N$29,9,FALSE))/1000)</f>
        <v>6.1971385920677049</v>
      </c>
      <c r="N73" s="203">
        <f>(N15*VLOOKUP($A73,Assumptions!$A$3:$N$14,10,FALSE)+(N44*VLOOKUP($A73,Assumptions!$A$17:$N$29,10,FALSE))/1000)</f>
        <v>6.1971385920677049</v>
      </c>
      <c r="O73" s="203">
        <f>(O15*VLOOKUP($A73,Assumptions!$A$3:$N$14,11,FALSE)+(O44*VLOOKUP($A73,Assumptions!$A$17:$N$29,11,FALSE))/1000)</f>
        <v>6.1971385920677049</v>
      </c>
      <c r="P73" s="203">
        <f>(P15*VLOOKUP($A73,Assumptions!$A$3:$N$14,12,FALSE)+(P44*VLOOKUP($A73,Assumptions!$A$17:$N$29,12,FALSE))/1000)</f>
        <v>6.1971385920677049</v>
      </c>
      <c r="Q73" s="203">
        <f>(Q15*VLOOKUP($A73,Assumptions!$A$3:$N$14,13,FALSE)+(Q44*VLOOKUP($A73,Assumptions!$A$17:$N$29,13,FALSE))/1000)</f>
        <v>6.1971385920677049</v>
      </c>
      <c r="R73" s="203">
        <f>(R15*VLOOKUP($A73,Assumptions!$A$3:$N$14,14,FALSE)+(R44*VLOOKUP($A73,Assumptions!$A$17:$N$29,14,FALSE))/1000)</f>
        <v>6.1971385920677049</v>
      </c>
      <c r="S73" s="199">
        <f t="shared" si="2"/>
        <v>-0.89227556087732129</v>
      </c>
    </row>
    <row r="74" spans="1:19" ht="14">
      <c r="A74" s="185" t="s">
        <v>30</v>
      </c>
      <c r="B74" s="182" t="s">
        <v>93</v>
      </c>
      <c r="C74" s="231">
        <v>20404</v>
      </c>
      <c r="D74" s="212">
        <v>0</v>
      </c>
      <c r="E74" s="199">
        <v>1</v>
      </c>
      <c r="F74" s="211">
        <v>1</v>
      </c>
      <c r="G74" s="203">
        <f>1000*'Footprint Summary'!G74/'Intensity Summary'!$C74</f>
        <v>43.202465609684381</v>
      </c>
      <c r="H74" s="203">
        <f>(H16*VLOOKUP($A74,Assumptions!$A$3:$N$14,4,FALSE))+(H45*VLOOKUP($A74,Assumptions!$A$17:$N$29,4,FALSE))/1000</f>
        <v>2.1898734708880609</v>
      </c>
      <c r="I74" s="203">
        <f>(I16*VLOOKUP($A74,Assumptions!$A$3:$N$14,5,FALSE))+(I45*VLOOKUP($A74,Assumptions!$A$17:$N$29,5,FALSE))/1000</f>
        <v>2.1898734708880609</v>
      </c>
      <c r="J74" s="203">
        <f>(J16*VLOOKUP($A74,Assumptions!$A$3:$N$14,6,FALSE)+(J45*VLOOKUP($A74,Assumptions!$A$17:$N$29,6,FALSE))/1000)</f>
        <v>2.1898734708880609</v>
      </c>
      <c r="K74" s="203">
        <f>(K16*VLOOKUP($A74,Assumptions!$A$3:$N$14,7,FALSE)+(K45*VLOOKUP($A74,Assumptions!$A$17:$N$29,7,FALSE))/1000)</f>
        <v>2.1898734708880609</v>
      </c>
      <c r="L74" s="203">
        <f>(L16*VLOOKUP($A74,Assumptions!$A$3:$N$14,8,FALSE)+(L45*VLOOKUP($A74,Assumptions!$A$17:$N$29,8,FALSE))/1000)</f>
        <v>2.1898734708880609</v>
      </c>
      <c r="M74" s="203">
        <f>(M16*VLOOKUP($A74,Assumptions!$A$3:$N$14,9,FALSE)+(M45*VLOOKUP($A74,Assumptions!$A$17:$N$29,9,FALSE))/1000)</f>
        <v>2.1898734708880609</v>
      </c>
      <c r="N74" s="203">
        <f>(N16*VLOOKUP($A74,Assumptions!$A$3:$N$14,10,FALSE)+(N45*VLOOKUP($A74,Assumptions!$A$17:$N$29,10,FALSE))/1000)</f>
        <v>2.1898734708880609</v>
      </c>
      <c r="O74" s="203">
        <f>(O16*VLOOKUP($A74,Assumptions!$A$3:$N$14,11,FALSE)+(O45*VLOOKUP($A74,Assumptions!$A$17:$N$29,11,FALSE))/1000)</f>
        <v>2.1898734708880609</v>
      </c>
      <c r="P74" s="203">
        <f>(P16*VLOOKUP($A74,Assumptions!$A$3:$N$14,12,FALSE)+(P45*VLOOKUP($A74,Assumptions!$A$17:$N$29,12,FALSE))/1000)</f>
        <v>2.1898734708880609</v>
      </c>
      <c r="Q74" s="203">
        <f>(Q16*VLOOKUP($A74,Assumptions!$A$3:$N$14,13,FALSE)+(Q45*VLOOKUP($A74,Assumptions!$A$17:$N$29,13,FALSE))/1000)</f>
        <v>0.25282632326994714</v>
      </c>
      <c r="R74" s="203">
        <f>(R16*VLOOKUP($A74,Assumptions!$A$3:$N$14,14,FALSE)+(R45*VLOOKUP($A74,Assumptions!$A$17:$N$29,14,FALSE))/1000)</f>
        <v>0.25282632326994714</v>
      </c>
      <c r="S74" s="199">
        <f t="shared" si="2"/>
        <v>-0.99414787281924766</v>
      </c>
    </row>
    <row r="75" spans="1:19" ht="14">
      <c r="A75" s="185" t="s">
        <v>37</v>
      </c>
      <c r="B75" s="182" t="s">
        <v>60</v>
      </c>
      <c r="C75" s="231">
        <v>1422</v>
      </c>
      <c r="D75" s="211">
        <v>1</v>
      </c>
      <c r="E75" s="199"/>
      <c r="F75" s="211">
        <v>1</v>
      </c>
      <c r="G75" s="203">
        <f>1000*'Footprint Summary'!G75/'Intensity Summary'!$C75</f>
        <v>0</v>
      </c>
      <c r="H75" s="203">
        <f>(H17*VLOOKUP($A75,Assumptions!$A$3:$N$14,4,FALSE))+(H46*VLOOKUP($A75,Assumptions!$A$17:$N$29,4,FALSE))/1000</f>
        <v>0</v>
      </c>
      <c r="I75" s="203">
        <f>(I17*VLOOKUP($A75,Assumptions!$A$3:$N$14,5,FALSE))+(I46*VLOOKUP($A75,Assumptions!$A$17:$N$29,5,FALSE))/1000</f>
        <v>0</v>
      </c>
      <c r="J75" s="203">
        <f>(J17*VLOOKUP($A75,Assumptions!$A$3:$N$14,6,FALSE)+(J46*VLOOKUP($A75,Assumptions!$A$17:$N$29,6,FALSE))/1000)</f>
        <v>0</v>
      </c>
      <c r="K75" s="203">
        <f>(K17*VLOOKUP($A75,Assumptions!$A$3:$N$14,7,FALSE)+(K46*VLOOKUP($A75,Assumptions!$A$17:$N$29,7,FALSE))/1000)</f>
        <v>0</v>
      </c>
      <c r="L75" s="203">
        <f>(L17*VLOOKUP($A75,Assumptions!$A$3:$N$14,8,FALSE)+(L46*VLOOKUP($A75,Assumptions!$A$17:$N$29,8,FALSE))/1000)</f>
        <v>0</v>
      </c>
      <c r="M75" s="203">
        <f>(M17*VLOOKUP($A75,Assumptions!$A$3:$N$14,9,FALSE)+(M46*VLOOKUP($A75,Assumptions!$A$17:$N$29,9,FALSE))/1000)</f>
        <v>0</v>
      </c>
      <c r="N75" s="203">
        <f>(N17*VLOOKUP($A75,Assumptions!$A$3:$N$14,10,FALSE)+(N46*VLOOKUP($A75,Assumptions!$A$17:$N$29,10,FALSE))/1000)</f>
        <v>0</v>
      </c>
      <c r="O75" s="203">
        <f>(O17*VLOOKUP($A75,Assumptions!$A$3:$N$14,11,FALSE)+(O46*VLOOKUP($A75,Assumptions!$A$17:$N$29,11,FALSE))/1000)</f>
        <v>0</v>
      </c>
      <c r="P75" s="203">
        <f>(P17*VLOOKUP($A75,Assumptions!$A$3:$N$14,12,FALSE)+(P46*VLOOKUP($A75,Assumptions!$A$17:$N$29,12,FALSE))/1000)</f>
        <v>0</v>
      </c>
      <c r="Q75" s="203">
        <f>(Q17*VLOOKUP($A75,Assumptions!$A$3:$N$14,13,FALSE)+(Q46*VLOOKUP($A75,Assumptions!$A$17:$N$29,13,FALSE))/1000)</f>
        <v>0</v>
      </c>
      <c r="R75" s="203">
        <f>(R17*VLOOKUP($A75,Assumptions!$A$3:$N$14,14,FALSE)+(R46*VLOOKUP($A75,Assumptions!$A$17:$N$29,14,FALSE))/1000)</f>
        <v>0</v>
      </c>
      <c r="S75" s="199"/>
    </row>
    <row r="76" spans="1:19" ht="14">
      <c r="A76" s="185" t="s">
        <v>66</v>
      </c>
      <c r="B76" s="182" t="s">
        <v>170</v>
      </c>
      <c r="C76" s="231">
        <v>17363.8</v>
      </c>
      <c r="D76" s="212">
        <v>0</v>
      </c>
      <c r="E76" s="199"/>
      <c r="F76" s="211">
        <v>1</v>
      </c>
      <c r="G76" s="203">
        <f>1000*'Footprint Summary'!G76/'Intensity Summary'!$C76</f>
        <v>71.197871138230127</v>
      </c>
      <c r="H76" s="203">
        <f>(H18*VLOOKUP($A76,Assumptions!$A$3:$N$14,4,FALSE))+(H47*VLOOKUP($A76,Assumptions!$A$17:$N$29,4,FALSE))/1000</f>
        <v>34.282341069927092</v>
      </c>
      <c r="I76" s="203">
        <f>(I18*VLOOKUP($A76,Assumptions!$A$3:$N$14,5,FALSE))+(I47*VLOOKUP($A76,Assumptions!$A$17:$N$29,5,FALSE))/1000</f>
        <v>0.76826701931604846</v>
      </c>
      <c r="J76" s="203">
        <f>(J18*VLOOKUP($A76,Assumptions!$A$3:$N$14,6,FALSE)+(J47*VLOOKUP($A76,Assumptions!$A$17:$N$29,6,FALSE))/1000)</f>
        <v>0.76826701931604846</v>
      </c>
      <c r="K76" s="203">
        <f>(K18*VLOOKUP($A76,Assumptions!$A$3:$N$14,7,FALSE)+(K47*VLOOKUP($A76,Assumptions!$A$17:$N$29,7,FALSE))/1000)</f>
        <v>0.76826701931604846</v>
      </c>
      <c r="L76" s="203">
        <f>(L18*VLOOKUP($A76,Assumptions!$A$3:$N$14,8,FALSE)+(L47*VLOOKUP($A76,Assumptions!$A$17:$N$29,8,FALSE))/1000)</f>
        <v>0.40324381011069016</v>
      </c>
      <c r="M76" s="203">
        <f>(M18*VLOOKUP($A76,Assumptions!$A$3:$N$14,9,FALSE)+(M47*VLOOKUP($A76,Assumptions!$A$17:$N$29,9,FALSE))/1000)</f>
        <v>0.40324381011069016</v>
      </c>
      <c r="N76" s="203">
        <f>(N18*VLOOKUP($A76,Assumptions!$A$3:$N$14,10,FALSE)+(N47*VLOOKUP($A76,Assumptions!$A$17:$N$29,10,FALSE))/1000)</f>
        <v>0.40324381011069016</v>
      </c>
      <c r="O76" s="203">
        <f>(O18*VLOOKUP($A76,Assumptions!$A$3:$N$14,11,FALSE)+(O47*VLOOKUP($A76,Assumptions!$A$17:$N$29,11,FALSE))/1000)</f>
        <v>3.8220600905331845E-2</v>
      </c>
      <c r="P76" s="203">
        <f>(P18*VLOOKUP($A76,Assumptions!$A$3:$N$14,12,FALSE)+(P47*VLOOKUP($A76,Assumptions!$A$17:$N$29,12,FALSE))/1000)</f>
        <v>3.8220600905331845E-2</v>
      </c>
      <c r="Q76" s="203">
        <f>(Q18*VLOOKUP($A76,Assumptions!$A$3:$N$14,13,FALSE)+(Q47*VLOOKUP($A76,Assumptions!$A$17:$N$29,13,FALSE))/1000)</f>
        <v>3.8220600905331845E-2</v>
      </c>
      <c r="R76" s="203">
        <f>(R18*VLOOKUP($A76,Assumptions!$A$3:$N$14,14,FALSE)+(R47*VLOOKUP($A76,Assumptions!$A$17:$N$29,14,FALSE))/1000)</f>
        <v>3.8220600905331845E-2</v>
      </c>
      <c r="S76" s="199">
        <f t="shared" si="2"/>
        <v>-0.99946317775666171</v>
      </c>
    </row>
    <row r="77" spans="1:19" ht="14">
      <c r="A77" s="185" t="s">
        <v>48</v>
      </c>
      <c r="B77" s="182" t="s">
        <v>168</v>
      </c>
      <c r="C77" s="231">
        <v>24784</v>
      </c>
      <c r="D77" s="212">
        <v>0</v>
      </c>
      <c r="E77" s="199"/>
      <c r="F77" s="211">
        <v>1</v>
      </c>
      <c r="G77" s="203">
        <f>1000*'Footprint Summary'!G77/'Intensity Summary'!$C77</f>
        <v>31.771714009038089</v>
      </c>
      <c r="H77" s="203">
        <f>(H19*VLOOKUP($A77,Assumptions!$A$3:$N$14,4,FALSE))+(H48*VLOOKUP($A77,Assumptions!$A$17:$N$29,4,FALSE))/1000</f>
        <v>15.885857004519044</v>
      </c>
      <c r="I77" s="203">
        <f>(I19*VLOOKUP($A77,Assumptions!$A$3:$N$14,5,FALSE))+(I48*VLOOKUP($A77,Assumptions!$A$17:$N$29,5,FALSE))/1000</f>
        <v>0</v>
      </c>
      <c r="J77" s="203">
        <f>(J19*VLOOKUP($A77,Assumptions!$A$3:$N$14,6,FALSE)+(J48*VLOOKUP($A77,Assumptions!$A$17:$N$29,6,FALSE))/1000)</f>
        <v>0</v>
      </c>
      <c r="K77" s="203">
        <f>(K19*VLOOKUP($A77,Assumptions!$A$3:$N$14,7,FALSE)+(K48*VLOOKUP($A77,Assumptions!$A$17:$N$29,7,FALSE))/1000)</f>
        <v>0</v>
      </c>
      <c r="L77" s="203">
        <f>(L19*VLOOKUP($A77,Assumptions!$A$3:$N$14,8,FALSE)+(L48*VLOOKUP($A77,Assumptions!$A$17:$N$29,8,FALSE))/1000)</f>
        <v>0</v>
      </c>
      <c r="M77" s="203">
        <f>(M19*VLOOKUP($A77,Assumptions!$A$3:$N$14,9,FALSE)+(M48*VLOOKUP($A77,Assumptions!$A$17:$N$29,9,FALSE))/1000)</f>
        <v>0</v>
      </c>
      <c r="N77" s="203">
        <f>(N19*VLOOKUP($A77,Assumptions!$A$3:$N$14,10,FALSE)+(N48*VLOOKUP($A77,Assumptions!$A$17:$N$29,10,FALSE))/1000)</f>
        <v>0</v>
      </c>
      <c r="O77" s="203">
        <f>(O19*VLOOKUP($A77,Assumptions!$A$3:$N$14,11,FALSE)+(O48*VLOOKUP($A77,Assumptions!$A$17:$N$29,11,FALSE))/1000)</f>
        <v>0</v>
      </c>
      <c r="P77" s="203">
        <f>(P19*VLOOKUP($A77,Assumptions!$A$3:$N$14,12,FALSE)+(P48*VLOOKUP($A77,Assumptions!$A$17:$N$29,12,FALSE))/1000)</f>
        <v>0</v>
      </c>
      <c r="Q77" s="203">
        <f>(Q19*VLOOKUP($A77,Assumptions!$A$3:$N$14,13,FALSE)+(Q48*VLOOKUP($A77,Assumptions!$A$17:$N$29,13,FALSE))/1000)</f>
        <v>0</v>
      </c>
      <c r="R77" s="203">
        <f>(R19*VLOOKUP($A77,Assumptions!$A$3:$N$14,14,FALSE)+(R48*VLOOKUP($A77,Assumptions!$A$17:$N$29,14,FALSE))/1000)</f>
        <v>0</v>
      </c>
      <c r="S77" s="199">
        <f t="shared" si="2"/>
        <v>-1</v>
      </c>
    </row>
    <row r="78" spans="1:19" ht="14">
      <c r="A78" s="185" t="s">
        <v>30</v>
      </c>
      <c r="B78" s="182" t="s">
        <v>123</v>
      </c>
      <c r="C78" s="231">
        <v>23555.5</v>
      </c>
      <c r="D78" s="211">
        <v>0</v>
      </c>
      <c r="E78" s="199"/>
      <c r="F78" s="211">
        <v>1</v>
      </c>
      <c r="G78" s="203">
        <f>1000*'Footprint Summary'!G78/'Intensity Summary'!$C78</f>
        <v>36.250604713548853</v>
      </c>
      <c r="H78" s="203">
        <f>(H20*VLOOKUP($A78,Assumptions!$A$3:$N$14,4,FALSE))+(H49*VLOOKUP($A78,Assumptions!$A$17:$N$29,4,FALSE))/1000</f>
        <v>5.2376841642079341</v>
      </c>
      <c r="I78" s="203">
        <f>(I20*VLOOKUP($A78,Assumptions!$A$3:$N$14,5,FALSE))+(I49*VLOOKUP($A78,Assumptions!$A$17:$N$29,5,FALSE))/1000</f>
        <v>5.2376841642079341</v>
      </c>
      <c r="J78" s="203">
        <f>(J20*VLOOKUP($A78,Assumptions!$A$3:$N$14,6,FALSE)+(J49*VLOOKUP($A78,Assumptions!$A$17:$N$29,6,FALSE))/1000)</f>
        <v>5.2376841642079341</v>
      </c>
      <c r="K78" s="203">
        <f>(K20*VLOOKUP($A78,Assumptions!$A$3:$N$14,7,FALSE)+(K49*VLOOKUP($A78,Assumptions!$A$17:$N$29,7,FALSE))/1000)</f>
        <v>5.2376841642079341</v>
      </c>
      <c r="L78" s="203">
        <f>(L20*VLOOKUP($A78,Assumptions!$A$3:$N$14,8,FALSE)+(L49*VLOOKUP($A78,Assumptions!$A$17:$N$29,8,FALSE))/1000)</f>
        <v>5.2376841642079341</v>
      </c>
      <c r="M78" s="203">
        <f>(M20*VLOOKUP($A78,Assumptions!$A$3:$N$14,9,FALSE)+(M49*VLOOKUP($A78,Assumptions!$A$17:$N$29,9,FALSE))/1000)</f>
        <v>5.2376841642079341</v>
      </c>
      <c r="N78" s="203">
        <f>(N20*VLOOKUP($A78,Assumptions!$A$3:$N$14,10,FALSE)+(N49*VLOOKUP($A78,Assumptions!$A$17:$N$29,10,FALSE))/1000)</f>
        <v>5.2376841642079341</v>
      </c>
      <c r="O78" s="203">
        <f>(O20*VLOOKUP($A78,Assumptions!$A$3:$N$14,11,FALSE)+(O49*VLOOKUP($A78,Assumptions!$A$17:$N$29,11,FALSE))/1000)</f>
        <v>5.2376841642079341</v>
      </c>
      <c r="P78" s="203">
        <f>(P20*VLOOKUP($A78,Assumptions!$A$3:$N$14,12,FALSE)+(P49*VLOOKUP($A78,Assumptions!$A$17:$N$29,12,FALSE))/1000)</f>
        <v>5.2376841642079341</v>
      </c>
      <c r="Q78" s="203">
        <f>(Q20*VLOOKUP($A78,Assumptions!$A$3:$N$14,13,FALSE)+(Q49*VLOOKUP($A78,Assumptions!$A$17:$N$29,13,FALSE))/1000)</f>
        <v>5.2376841642079341</v>
      </c>
      <c r="R78" s="203">
        <f>(R20*VLOOKUP($A78,Assumptions!$A$3:$N$14,14,FALSE)+(R49*VLOOKUP($A78,Assumptions!$A$17:$N$29,14,FALSE))/1000)</f>
        <v>5.2376841642079341</v>
      </c>
      <c r="S78" s="199"/>
    </row>
    <row r="79" spans="1:19" ht="14">
      <c r="A79" s="185" t="s">
        <v>63</v>
      </c>
      <c r="B79" s="182" t="s">
        <v>64</v>
      </c>
      <c r="C79" s="231">
        <v>61127</v>
      </c>
      <c r="D79" s="211">
        <v>0.5</v>
      </c>
      <c r="E79" s="199"/>
      <c r="F79" s="211"/>
      <c r="G79" s="203">
        <f>1000*'Footprint Summary'!G79/'Intensity Summary'!$C79</f>
        <v>28.689758352413826</v>
      </c>
      <c r="H79" s="203">
        <f>(H21*VLOOKUP($A79,Assumptions!$A$3:$N$14,4,FALSE))+(H50*VLOOKUP($A79,Assumptions!$A$17:$N$29,4,FALSE))/1000</f>
        <v>1.825610103685769</v>
      </c>
      <c r="I79" s="203">
        <f>(I21*VLOOKUP($A79,Assumptions!$A$3:$N$14,5,FALSE))+(I50*VLOOKUP($A79,Assumptions!$A$17:$N$29,5,FALSE))/1000</f>
        <v>1.825610103685769</v>
      </c>
      <c r="J79" s="203">
        <f>(J21*VLOOKUP($A79,Assumptions!$A$3:$N$14,6,FALSE)+(J50*VLOOKUP($A79,Assumptions!$A$17:$N$29,6,FALSE))/1000)</f>
        <v>1.825610103685769</v>
      </c>
      <c r="K79" s="203">
        <f>(K21*VLOOKUP($A79,Assumptions!$A$3:$N$14,7,FALSE)+(K50*VLOOKUP($A79,Assumptions!$A$17:$N$29,7,FALSE))/1000)</f>
        <v>1.825610103685769</v>
      </c>
      <c r="L79" s="203">
        <f>(L21*VLOOKUP($A79,Assumptions!$A$3:$N$14,8,FALSE)+(L50*VLOOKUP($A79,Assumptions!$A$17:$N$29,8,FALSE))/1000)</f>
        <v>1.825610103685769</v>
      </c>
      <c r="M79" s="203">
        <f>(M21*VLOOKUP($A79,Assumptions!$A$3:$N$14,9,FALSE)+(M50*VLOOKUP($A79,Assumptions!$A$17:$N$29,9,FALSE))/1000)</f>
        <v>0.3807098141246914</v>
      </c>
      <c r="N79" s="203">
        <f>(N21*VLOOKUP($A79,Assumptions!$A$3:$N$14,10,FALSE)+(N50*VLOOKUP($A79,Assumptions!$A$17:$N$29,10,FALSE))/1000)</f>
        <v>0.3807098141246914</v>
      </c>
      <c r="O79" s="203">
        <f>(O21*VLOOKUP($A79,Assumptions!$A$3:$N$14,11,FALSE)+(O50*VLOOKUP($A79,Assumptions!$A$17:$N$29,11,FALSE))/1000)</f>
        <v>0.3807098141246914</v>
      </c>
      <c r="P79" s="203">
        <f>(P21*VLOOKUP($A79,Assumptions!$A$3:$N$14,12,FALSE)+(P50*VLOOKUP($A79,Assumptions!$A$17:$N$29,12,FALSE))/1000)</f>
        <v>0.3807098141246914</v>
      </c>
      <c r="Q79" s="203">
        <f>(Q21*VLOOKUP($A79,Assumptions!$A$3:$N$14,13,FALSE)+(Q50*VLOOKUP($A79,Assumptions!$A$17:$N$29,13,FALSE))/1000)</f>
        <v>0.3807098141246914</v>
      </c>
      <c r="R79" s="203">
        <f>(R21*VLOOKUP($A79,Assumptions!$A$3:$N$14,14,FALSE)+(R50*VLOOKUP($A79,Assumptions!$A$17:$N$29,14,FALSE))/1000)</f>
        <v>0.3807098141246914</v>
      </c>
      <c r="S79" s="199"/>
    </row>
    <row r="80" spans="1:19" ht="14">
      <c r="A80" s="185" t="s">
        <v>66</v>
      </c>
      <c r="B80" s="182" t="s">
        <v>95</v>
      </c>
      <c r="C80" s="231">
        <v>41253</v>
      </c>
      <c r="D80" s="212">
        <v>0</v>
      </c>
      <c r="E80" s="199">
        <v>1</v>
      </c>
      <c r="F80" s="211"/>
      <c r="G80" s="203">
        <f>1000*'Footprint Summary'!G80/'Intensity Summary'!$C80</f>
        <v>50.209010738612953</v>
      </c>
      <c r="H80" s="203">
        <f>(H22*VLOOKUP($A80,Assumptions!$A$3:$N$14,4,FALSE))+(H51*VLOOKUP($A80,Assumptions!$A$17:$N$29,4,FALSE))/1000</f>
        <v>26.10796376021138</v>
      </c>
      <c r="I80" s="203">
        <f>(I22*VLOOKUP($A80,Assumptions!$A$3:$N$14,5,FALSE))+(I51*VLOOKUP($A80,Assumptions!$A$17:$N$29,5,FALSE))/1000</f>
        <v>4.7678959106004415</v>
      </c>
      <c r="J80" s="203">
        <f>(J22*VLOOKUP($A80,Assumptions!$A$3:$N$14,6,FALSE)+(J51*VLOOKUP($A80,Assumptions!$A$17:$N$29,6,FALSE))/1000)</f>
        <v>4.7678959106004415</v>
      </c>
      <c r="K80" s="203">
        <f>(K22*VLOOKUP($A80,Assumptions!$A$3:$N$14,7,FALSE)+(K51*VLOOKUP($A80,Assumptions!$A$17:$N$29,7,FALSE))/1000)</f>
        <v>4.7678959106004415</v>
      </c>
      <c r="L80" s="203">
        <f>(L22*VLOOKUP($A80,Assumptions!$A$3:$N$14,8,FALSE)+(L51*VLOOKUP($A80,Assumptions!$A$17:$N$29,8,FALSE))/1000)</f>
        <v>4.7678959106004415</v>
      </c>
      <c r="M80" s="203">
        <f>(M22*VLOOKUP($A80,Assumptions!$A$3:$N$14,9,FALSE)+(M51*VLOOKUP($A80,Assumptions!$A$17:$N$29,9,FALSE))/1000)</f>
        <v>4.7678959106004415</v>
      </c>
      <c r="N80" s="203">
        <f>(N22*VLOOKUP($A80,Assumptions!$A$3:$N$14,10,FALSE)+(N51*VLOOKUP($A80,Assumptions!$A$17:$N$29,10,FALSE))/1000)</f>
        <v>4.7678959106004415</v>
      </c>
      <c r="O80" s="203">
        <f>(O22*VLOOKUP($A80,Assumptions!$A$3:$N$14,11,FALSE)+(O51*VLOOKUP($A80,Assumptions!$A$17:$N$29,11,FALSE))/1000)</f>
        <v>4.7678959106004415</v>
      </c>
      <c r="P80" s="203">
        <f>(P22*VLOOKUP($A80,Assumptions!$A$3:$N$14,12,FALSE)+(P51*VLOOKUP($A80,Assumptions!$A$17:$N$29,12,FALSE))/1000)</f>
        <v>4.7678959106004415</v>
      </c>
      <c r="Q80" s="203">
        <f>(Q22*VLOOKUP($A80,Assumptions!$A$3:$N$14,13,FALSE)+(Q51*VLOOKUP($A80,Assumptions!$A$17:$N$29,13,FALSE))/1000)</f>
        <v>4.7678959106004415</v>
      </c>
      <c r="R80" s="203">
        <f>(R22*VLOOKUP($A80,Assumptions!$A$3:$N$14,14,FALSE)+(R51*VLOOKUP($A80,Assumptions!$A$17:$N$29,14,FALSE))/1000)</f>
        <v>4.7678959106004415</v>
      </c>
      <c r="S80" s="199"/>
    </row>
    <row r="81" spans="1:19" ht="14">
      <c r="A81" s="185" t="s">
        <v>66</v>
      </c>
      <c r="B81" s="198" t="s">
        <v>133</v>
      </c>
      <c r="C81" s="231">
        <v>8227.2000000000007</v>
      </c>
      <c r="D81" s="212">
        <v>0</v>
      </c>
      <c r="E81" s="199"/>
      <c r="F81" s="211">
        <v>1</v>
      </c>
      <c r="G81" s="203">
        <f>1000*'Footprint Summary'!G81/'Intensity Summary'!$C81</f>
        <v>52.618482351225197</v>
      </c>
      <c r="H81" s="203">
        <f>(H23*VLOOKUP($A81,Assumptions!$A$3:$N$14,4,FALSE))+(H52*VLOOKUP($A81,Assumptions!$A$17:$N$29,4,FALSE))/1000</f>
        <v>24.710705002917152</v>
      </c>
      <c r="I81" s="203">
        <f>(I23*VLOOKUP($A81,Assumptions!$A$3:$N$14,5,FALSE))+(I52*VLOOKUP($A81,Assumptions!$A$17:$N$29,5,FALSE))/1000</f>
        <v>0</v>
      </c>
      <c r="J81" s="203">
        <f>(J23*VLOOKUP($A81,Assumptions!$A$3:$N$14,6,FALSE)+(J52*VLOOKUP($A81,Assumptions!$A$17:$N$29,6,FALSE))/1000)</f>
        <v>0</v>
      </c>
      <c r="K81" s="203">
        <f>(K23*VLOOKUP($A81,Assumptions!$A$3:$N$14,7,FALSE)+(K52*VLOOKUP($A81,Assumptions!$A$17:$N$29,7,FALSE))/1000)</f>
        <v>0</v>
      </c>
      <c r="L81" s="203">
        <f>(L23*VLOOKUP($A81,Assumptions!$A$3:$N$14,8,FALSE)+(L52*VLOOKUP($A81,Assumptions!$A$17:$N$29,8,FALSE))/1000)</f>
        <v>0</v>
      </c>
      <c r="M81" s="203">
        <f>(M23*VLOOKUP($A81,Assumptions!$A$3:$N$14,9,FALSE)+(M52*VLOOKUP($A81,Assumptions!$A$17:$N$29,9,FALSE))/1000)</f>
        <v>0</v>
      </c>
      <c r="N81" s="203">
        <f>(N23*VLOOKUP($A81,Assumptions!$A$3:$N$14,10,FALSE)+(N52*VLOOKUP($A81,Assumptions!$A$17:$N$29,10,FALSE))/1000)</f>
        <v>0</v>
      </c>
      <c r="O81" s="203">
        <f>(O23*VLOOKUP($A81,Assumptions!$A$3:$N$14,11,FALSE)+(O52*VLOOKUP($A81,Assumptions!$A$17:$N$29,11,FALSE))/1000)</f>
        <v>0</v>
      </c>
      <c r="P81" s="203">
        <f>(P23*VLOOKUP($A81,Assumptions!$A$3:$N$14,12,FALSE)+(P52*VLOOKUP($A81,Assumptions!$A$17:$N$29,12,FALSE))/1000)</f>
        <v>0</v>
      </c>
      <c r="Q81" s="203">
        <f>(Q23*VLOOKUP($A81,Assumptions!$A$3:$N$14,13,FALSE)+(Q52*VLOOKUP($A81,Assumptions!$A$17:$N$29,13,FALSE))/1000)</f>
        <v>0</v>
      </c>
      <c r="R81" s="203">
        <f>(R23*VLOOKUP($A81,Assumptions!$A$3:$N$14,14,FALSE)+(R52*VLOOKUP($A81,Assumptions!$A$17:$N$29,14,FALSE))/1000)</f>
        <v>0</v>
      </c>
      <c r="S81" s="199">
        <f t="shared" si="2"/>
        <v>-1</v>
      </c>
    </row>
    <row r="82" spans="1:19" ht="14">
      <c r="A82" s="185" t="s">
        <v>178</v>
      </c>
      <c r="B82" s="198" t="s">
        <v>140</v>
      </c>
      <c r="C82" s="231">
        <v>20861</v>
      </c>
      <c r="D82" s="212">
        <v>1</v>
      </c>
      <c r="E82" s="199"/>
      <c r="F82" s="211">
        <v>1</v>
      </c>
      <c r="G82" s="203">
        <f>1000*'Footprint Summary'!G82/'Intensity Summary'!$C82</f>
        <v>54.299140430947709</v>
      </c>
      <c r="H82" s="203">
        <f>(H24*VLOOKUP($A82,Assumptions!$A$3:$N$14,4,FALSE))+(H53*VLOOKUP($A82,Assumptions!$A$17:$N$29,4,FALSE))/1000</f>
        <v>12.189993218445903</v>
      </c>
      <c r="I82" s="203">
        <f>(I24*VLOOKUP($A82,Assumptions!$A$3:$N$14,5,FALSE))+(I53*VLOOKUP($A82,Assumptions!$A$17:$N$29,5,FALSE))/1000</f>
        <v>12.189993218445903</v>
      </c>
      <c r="J82" s="203">
        <f>(J24*VLOOKUP($A82,Assumptions!$A$3:$N$14,6,FALSE)+(J53*VLOOKUP($A82,Assumptions!$A$17:$N$29,6,FALSE))/1000)</f>
        <v>12.189993218445903</v>
      </c>
      <c r="K82" s="203">
        <f>(K24*VLOOKUP($A82,Assumptions!$A$3:$N$14,7,FALSE)+(K53*VLOOKUP($A82,Assumptions!$A$17:$N$29,7,FALSE))/1000)</f>
        <v>12.189993218445903</v>
      </c>
      <c r="L82" s="203">
        <f>(L24*VLOOKUP($A82,Assumptions!$A$3:$N$14,8,FALSE)+(L53*VLOOKUP($A82,Assumptions!$A$17:$N$29,8,FALSE))/1000)</f>
        <v>12.189993218445903</v>
      </c>
      <c r="M82" s="203">
        <f>(M24*VLOOKUP($A82,Assumptions!$A$3:$N$14,9,FALSE)+(M53*VLOOKUP($A82,Assumptions!$A$17:$N$29,9,FALSE))/1000)</f>
        <v>12.189993218445903</v>
      </c>
      <c r="N82" s="203">
        <f>(N24*VLOOKUP($A82,Assumptions!$A$3:$N$14,10,FALSE)+(N53*VLOOKUP($A82,Assumptions!$A$17:$N$29,10,FALSE))/1000)</f>
        <v>12.189993218445903</v>
      </c>
      <c r="O82" s="203">
        <f>(O24*VLOOKUP($A82,Assumptions!$A$3:$N$14,11,FALSE)+(O53*VLOOKUP($A82,Assumptions!$A$17:$N$29,11,FALSE))/1000)</f>
        <v>12.189993218445903</v>
      </c>
      <c r="P82" s="203">
        <f>(P24*VLOOKUP($A82,Assumptions!$A$3:$N$14,12,FALSE)+(P53*VLOOKUP($A82,Assumptions!$A$17:$N$29,12,FALSE))/1000)</f>
        <v>12.189993218445903</v>
      </c>
      <c r="Q82" s="203">
        <f>(Q24*VLOOKUP($A82,Assumptions!$A$3:$N$14,13,FALSE)+(Q53*VLOOKUP($A82,Assumptions!$A$17:$N$29,13,FALSE))/1000)</f>
        <v>12.189993218445903</v>
      </c>
      <c r="R82" s="203">
        <f>(R24*VLOOKUP($A82,Assumptions!$A$3:$N$14,14,FALSE)+(R53*VLOOKUP($A82,Assumptions!$A$17:$N$29,14,FALSE))/1000)</f>
        <v>12.189993218445903</v>
      </c>
      <c r="S82" s="199">
        <f t="shared" si="2"/>
        <v>-0.77550301677523004</v>
      </c>
    </row>
    <row r="83" spans="1:19" ht="14">
      <c r="A83" s="185" t="s">
        <v>37</v>
      </c>
      <c r="B83" s="182" t="s">
        <v>166</v>
      </c>
      <c r="C83" s="231">
        <v>15723.1</v>
      </c>
      <c r="D83" s="212">
        <v>0</v>
      </c>
      <c r="E83" s="199"/>
      <c r="F83" s="211">
        <v>1</v>
      </c>
      <c r="G83" s="203">
        <f>1000*'Footprint Summary'!G83/'Intensity Summary'!$C83</f>
        <v>51.027327322856181</v>
      </c>
      <c r="H83" s="203">
        <f>(H25*VLOOKUP($A83,Assumptions!$A$3:$N$14,4,FALSE))+(H54*VLOOKUP($A83,Assumptions!$A$17:$N$29,4,FALSE))/1000</f>
        <v>20.141773437172059</v>
      </c>
      <c r="I83" s="203">
        <f>(I25*VLOOKUP($A83,Assumptions!$A$3:$N$14,5,FALSE))+(I54*VLOOKUP($A83,Assumptions!$A$17:$N$29,5,FALSE))/1000</f>
        <v>5.1706353855155784</v>
      </c>
      <c r="J83" s="203">
        <f>(J25*VLOOKUP($A83,Assumptions!$A$3:$N$14,6,FALSE)+(J54*VLOOKUP($A83,Assumptions!$A$17:$N$29,6,FALSE))/1000)</f>
        <v>4.2916518517340725</v>
      </c>
      <c r="K83" s="203">
        <f>(K25*VLOOKUP($A83,Assumptions!$A$3:$N$14,7,FALSE)+(K54*VLOOKUP($A83,Assumptions!$A$17:$N$29,7,FALSE))/1000)</f>
        <v>3.1930863016835098</v>
      </c>
      <c r="L83" s="203">
        <f>(L25*VLOOKUP($A83,Assumptions!$A$3:$N$14,8,FALSE)+(L54*VLOOKUP($A83,Assumptions!$A$17:$N$29,8,FALSE))/1000)</f>
        <v>3.1930863016835098</v>
      </c>
      <c r="M83" s="203">
        <f>(M25*VLOOKUP($A83,Assumptions!$A$3:$N$14,9,FALSE)+(M54*VLOOKUP($A83,Assumptions!$A$17:$N$29,9,FALSE))/1000)</f>
        <v>3.1930863016835098</v>
      </c>
      <c r="N83" s="203">
        <f>(N25*VLOOKUP($A83,Assumptions!$A$3:$N$14,10,FALSE)+(N54*VLOOKUP($A83,Assumptions!$A$17:$N$29,10,FALSE))/1000)</f>
        <v>3.1930863016835098</v>
      </c>
      <c r="O83" s="203">
        <f>(O25*VLOOKUP($A83,Assumptions!$A$3:$N$14,11,FALSE)+(O54*VLOOKUP($A83,Assumptions!$A$17:$N$29,11,FALSE))/1000)</f>
        <v>3.0832952935489817</v>
      </c>
      <c r="P83" s="203">
        <f>(P25*VLOOKUP($A83,Assumptions!$A$3:$N$14,12,FALSE)+(P54*VLOOKUP($A83,Assumptions!$A$17:$N$29,12,FALSE))/1000)</f>
        <v>3.0832952935489817</v>
      </c>
      <c r="Q83" s="203">
        <f>(Q25*VLOOKUP($A83,Assumptions!$A$3:$N$14,13,FALSE)+(Q54*VLOOKUP($A83,Assumptions!$A$17:$N$29,13,FALSE))/1000)</f>
        <v>3.0832952935489817</v>
      </c>
      <c r="R83" s="203">
        <f>(R25*VLOOKUP($A83,Assumptions!$A$3:$N$14,14,FALSE)+(R54*VLOOKUP($A83,Assumptions!$A$17:$N$29,14,FALSE))/1000)</f>
        <v>3.0832952935489817</v>
      </c>
      <c r="S83" s="199">
        <f t="shared" si="2"/>
        <v>-0.9395756067324359</v>
      </c>
    </row>
    <row r="84" spans="1:19" ht="14.5" thickBot="1">
      <c r="A84" s="185" t="s">
        <v>66</v>
      </c>
      <c r="B84" s="182" t="s">
        <v>67</v>
      </c>
      <c r="C84" s="231">
        <v>12837.7</v>
      </c>
      <c r="D84" s="211">
        <v>0</v>
      </c>
      <c r="E84" s="199"/>
      <c r="F84" s="211">
        <v>1</v>
      </c>
      <c r="G84" s="203">
        <f>1000*'Footprint Summary'!G84/'Intensity Summary'!$C84</f>
        <v>71.988772166353783</v>
      </c>
      <c r="H84" s="203">
        <f>(H26*VLOOKUP($A84,Assumptions!$A$3:$N$14,4,FALSE))+(H55*VLOOKUP($A84,Assumptions!$A$17:$N$29,4,FALSE))/1000</f>
        <v>39.966247492930975</v>
      </c>
      <c r="I84" s="203">
        <f>(I26*VLOOKUP($A84,Assumptions!$A$3:$N$14,5,FALSE))+(I55*VLOOKUP($A84,Assumptions!$A$17:$N$29,5,FALSE))/1000</f>
        <v>11.612174333408632</v>
      </c>
      <c r="J84" s="203">
        <f>(J26*VLOOKUP($A84,Assumptions!$A$3:$N$14,6,FALSE)+(J55*VLOOKUP($A84,Assumptions!$A$17:$N$29,6,FALSE))/1000)</f>
        <v>11.612174333408632</v>
      </c>
      <c r="K84" s="203">
        <f>(K26*VLOOKUP($A84,Assumptions!$A$3:$N$14,7,FALSE)+(K55*VLOOKUP($A84,Assumptions!$A$17:$N$29,7,FALSE))/1000)</f>
        <v>11.209068498251243</v>
      </c>
      <c r="L84" s="203">
        <f>(L26*VLOOKUP($A84,Assumptions!$A$3:$N$14,8,FALSE)+(L55*VLOOKUP($A84,Assumptions!$A$17:$N$29,8,FALSE))/1000)</f>
        <v>11.209068498251243</v>
      </c>
      <c r="M84" s="203">
        <f>(M26*VLOOKUP($A84,Assumptions!$A$3:$N$14,9,FALSE)+(M55*VLOOKUP($A84,Assumptions!$A$17:$N$29,9,FALSE))/1000)</f>
        <v>11.209068498251243</v>
      </c>
      <c r="N84" s="203">
        <f>(N26*VLOOKUP($A84,Assumptions!$A$3:$N$14,10,FALSE)+(N55*VLOOKUP($A84,Assumptions!$A$17:$N$29,10,FALSE))/1000)</f>
        <v>11.209068498251243</v>
      </c>
      <c r="O84" s="203">
        <f>(O26*VLOOKUP($A84,Assumptions!$A$3:$N$14,11,FALSE)+(O55*VLOOKUP($A84,Assumptions!$A$17:$N$29,11,FALSE))/1000)</f>
        <v>11.209068498251243</v>
      </c>
      <c r="P84" s="203">
        <f>(P26*VLOOKUP($A84,Assumptions!$A$3:$N$14,12,FALSE)+(P55*VLOOKUP($A84,Assumptions!$A$17:$N$29,12,FALSE))/1000)</f>
        <v>7.0865761771968492</v>
      </c>
      <c r="Q84" s="203">
        <f>(Q26*VLOOKUP($A84,Assumptions!$A$3:$N$14,13,FALSE)+(Q55*VLOOKUP($A84,Assumptions!$A$17:$N$29,13,FALSE))/1000)</f>
        <v>7.0865761771968492</v>
      </c>
      <c r="R84" s="203">
        <f>(R26*VLOOKUP($A84,Assumptions!$A$3:$N$14,14,FALSE)+(R55*VLOOKUP($A84,Assumptions!$A$17:$N$29,14,FALSE))/1000)</f>
        <v>7.0865761771968492</v>
      </c>
      <c r="S84" s="199">
        <f t="shared" si="2"/>
        <v>-0.90155997992546699</v>
      </c>
    </row>
    <row r="85" spans="1:19" ht="13" thickTop="1">
      <c r="C85" s="203">
        <f>SUBTOTAL(109,C62:C84)</f>
        <v>673188.29999999993</v>
      </c>
      <c r="D85" s="550">
        <v>1</v>
      </c>
      <c r="E85" s="550">
        <v>1</v>
      </c>
      <c r="F85" s="550">
        <v>1</v>
      </c>
      <c r="G85" s="208">
        <f>1000*'Footprint Summary'!G85/'Intensity Summary'!$C85</f>
        <v>45.529049051399141</v>
      </c>
      <c r="H85" s="208">
        <f>1000*'Footprint Summary'!H85/'Intensity Summary'!$C85</f>
        <v>12.203451545238382</v>
      </c>
      <c r="I85" s="208">
        <f>1000*'Footprint Summary'!I85/'Intensity Summary'!$C85</f>
        <v>3.9195775018986518</v>
      </c>
      <c r="J85" s="208">
        <f>1000*'Footprint Summary'!J85/'Intensity Summary'!$C85</f>
        <v>3.8311971961395654</v>
      </c>
      <c r="K85" s="208">
        <f>1000*'Footprint Summary'!K85/'Intensity Summary'!$C85</f>
        <v>3.7604971441927324</v>
      </c>
      <c r="L85" s="208">
        <f>1000*'Footprint Summary'!L85/'Intensity Summary'!$C85</f>
        <v>3.6760661967880663</v>
      </c>
      <c r="M85" s="208">
        <f>1000*'Footprint Summary'!M85/'Intensity Summary'!$C85</f>
        <v>3.4995841894927247</v>
      </c>
      <c r="N85" s="208">
        <f>1000*'Footprint Summary'!N85/'Intensity Summary'!$C85</f>
        <v>3.1945476194869769</v>
      </c>
      <c r="O85" s="208">
        <f>1000*'Footprint Summary'!O85/'Intensity Summary'!$C85</f>
        <v>2.9995516221990046</v>
      </c>
      <c r="P85" s="208">
        <f>1000*'Footprint Summary'!P85/'Intensity Summary'!$C85</f>
        <v>2.8864899132091129</v>
      </c>
      <c r="Q85" s="208">
        <f>1000*'Footprint Summary'!Q85/'Intensity Summary'!$C85</f>
        <v>2.8002223562714774</v>
      </c>
      <c r="R85" s="208">
        <f>1000*'Footprint Summary'!R85/'Intensity Summary'!$C85</f>
        <v>2.7560804730993169</v>
      </c>
      <c r="S85" s="202">
        <f t="shared" si="2"/>
        <v>-0.93946545050857766</v>
      </c>
    </row>
    <row r="89" spans="1:19" ht="18" thickBot="1">
      <c r="A89" s="196" t="s">
        <v>204</v>
      </c>
    </row>
    <row r="90" spans="1:19" ht="15" thickTop="1" thickBot="1">
      <c r="A90" s="184" t="s">
        <v>6</v>
      </c>
      <c r="B90" s="184" t="s">
        <v>7</v>
      </c>
      <c r="C90" s="184" t="s">
        <v>9</v>
      </c>
      <c r="D90" s="184" t="s">
        <v>10</v>
      </c>
      <c r="E90" s="184" t="s">
        <v>11</v>
      </c>
      <c r="F90" s="184" t="s">
        <v>12</v>
      </c>
      <c r="G90" s="184" t="s">
        <v>188</v>
      </c>
      <c r="H90" s="184" t="s">
        <v>189</v>
      </c>
      <c r="I90" s="184" t="s">
        <v>190</v>
      </c>
      <c r="J90" s="184" t="s">
        <v>191</v>
      </c>
      <c r="K90" s="184" t="s">
        <v>192</v>
      </c>
      <c r="L90" s="184" t="s">
        <v>193</v>
      </c>
      <c r="M90" s="184" t="s">
        <v>194</v>
      </c>
      <c r="N90" s="184" t="s">
        <v>195</v>
      </c>
      <c r="O90" s="184" t="s">
        <v>196</v>
      </c>
      <c r="P90" s="184" t="s">
        <v>197</v>
      </c>
      <c r="Q90" s="184" t="s">
        <v>198</v>
      </c>
      <c r="R90" s="184" t="s">
        <v>199</v>
      </c>
      <c r="S90" s="200" t="s">
        <v>200</v>
      </c>
    </row>
    <row r="91" spans="1:19" ht="14.5" thickTop="1">
      <c r="A91" s="185" t="s">
        <v>30</v>
      </c>
      <c r="B91" s="198" t="s">
        <v>31</v>
      </c>
      <c r="C91" s="228">
        <v>29166</v>
      </c>
      <c r="D91" s="211">
        <v>1</v>
      </c>
      <c r="E91" s="199"/>
      <c r="F91" s="211">
        <v>1</v>
      </c>
      <c r="G91" s="194">
        <f>'1M-NR'!G272</f>
        <v>5.1606552665612879</v>
      </c>
      <c r="H91" s="194">
        <f>'1M-NR'!H272</f>
        <v>5.1749719079986978</v>
      </c>
      <c r="I91" s="194">
        <f>'1M-NR'!I272</f>
        <v>5.5615212268087628</v>
      </c>
      <c r="J91" s="194">
        <f>'1M-NR'!J272</f>
        <v>5.6194497516387898</v>
      </c>
      <c r="K91" s="194">
        <f>'1M-NR'!K272</f>
        <v>5.6283318490111567</v>
      </c>
      <c r="L91" s="194">
        <f>'1M-NR'!L272</f>
        <v>5.6372139463835236</v>
      </c>
      <c r="M91" s="194">
        <f>'1M-NR'!M272</f>
        <v>5.6460960437558905</v>
      </c>
      <c r="N91" s="194">
        <f>'1M-NR'!N272</f>
        <v>5.7707175822301329</v>
      </c>
      <c r="O91" s="194">
        <f>'1M-NR'!O272</f>
        <v>5.7707175822301329</v>
      </c>
      <c r="P91" s="194">
        <f>'1M-NR'!P272</f>
        <v>5.7707175822301329</v>
      </c>
      <c r="Q91" s="194">
        <f>'1M-NR'!Q272</f>
        <v>5.7707175822301329</v>
      </c>
      <c r="R91" s="194">
        <f>'1M-NR'!R272</f>
        <v>0</v>
      </c>
      <c r="S91" s="204">
        <f>(R91-G91)/G91</f>
        <v>-1</v>
      </c>
    </row>
    <row r="92" spans="1:19" ht="14">
      <c r="A92" s="185" t="s">
        <v>37</v>
      </c>
      <c r="B92" s="182" t="s">
        <v>38</v>
      </c>
      <c r="C92" s="228">
        <v>62987</v>
      </c>
      <c r="D92" s="211">
        <v>0.5</v>
      </c>
      <c r="E92" s="199"/>
      <c r="F92" s="211">
        <v>1</v>
      </c>
      <c r="G92" s="194">
        <f>'120C-NR'!G272</f>
        <v>4.2064719358533793</v>
      </c>
      <c r="H92" s="194">
        <f>'120C-NR'!H272</f>
        <v>4.2064719358533793</v>
      </c>
      <c r="I92" s="194">
        <f>'120C-NR'!I272</f>
        <v>4.2064719358533793</v>
      </c>
      <c r="J92" s="194">
        <f>'120C-NR'!J272</f>
        <v>4.2064719358533793</v>
      </c>
      <c r="K92" s="194">
        <f>'120C-NR'!K272</f>
        <v>4.2064719358533793</v>
      </c>
      <c r="L92" s="194">
        <f>'120C-NR'!L272</f>
        <v>4.2064719358533793</v>
      </c>
      <c r="M92" s="194">
        <f>'120C-NR'!M272</f>
        <v>4.2064719358533793</v>
      </c>
      <c r="N92" s="194">
        <f>'120C-NR'!N272</f>
        <v>4.2064719358533793</v>
      </c>
      <c r="O92" s="194">
        <f>'120C-NR'!O272</f>
        <v>4.2064719358533793</v>
      </c>
      <c r="P92" s="194">
        <f>'120C-NR'!P272</f>
        <v>4.2064719358533793</v>
      </c>
      <c r="Q92" s="194">
        <f>'120C-NR'!Q272</f>
        <v>4.2064719358533793</v>
      </c>
      <c r="R92" s="194">
        <f>'120C-NR'!R272</f>
        <v>0</v>
      </c>
      <c r="S92" s="204">
        <f t="shared" ref="S92:S103" si="3">(R92-G92)/G92</f>
        <v>-1</v>
      </c>
    </row>
    <row r="93" spans="1:19" ht="14">
      <c r="A93" s="185" t="s">
        <v>30</v>
      </c>
      <c r="B93" s="182" t="s">
        <v>42</v>
      </c>
      <c r="C93" s="231">
        <v>42132</v>
      </c>
      <c r="D93" s="211">
        <v>0.5</v>
      </c>
      <c r="E93" s="199">
        <v>0.25</v>
      </c>
      <c r="F93" s="211">
        <v>1</v>
      </c>
      <c r="G93" s="194">
        <f>'126P-NR'!G272</f>
        <v>5.1893950280212673</v>
      </c>
      <c r="H93" s="194">
        <f>'126P-NR'!H272</f>
        <v>5.1981210607315385</v>
      </c>
      <c r="I93" s="194">
        <f>'126P-NR'!I272</f>
        <v>5.2635663060585705</v>
      </c>
      <c r="J93" s="194">
        <f>'126P-NR'!J272</f>
        <v>5.2635663060585705</v>
      </c>
      <c r="K93" s="194">
        <f>'126P-NR'!K272</f>
        <v>5.2635663060585705</v>
      </c>
      <c r="L93" s="194">
        <f>'126P-NR'!L272</f>
        <v>5.2983154690224481</v>
      </c>
      <c r="M93" s="194">
        <f>'126P-NR'!M272</f>
        <v>5.2983154690224481</v>
      </c>
      <c r="N93" s="194">
        <f>'126P-NR'!N272</f>
        <v>5.5468797426384837</v>
      </c>
      <c r="O93" s="194">
        <f>'126P-NR'!O272</f>
        <v>5.5468797426384837</v>
      </c>
      <c r="P93" s="194">
        <f>'126P-NR'!P272</f>
        <v>5.6341400697411936</v>
      </c>
      <c r="Q93" s="194">
        <f>'126P-NR'!Q272</f>
        <v>5.6341400697411936</v>
      </c>
      <c r="R93" s="194">
        <f>'126P-NR'!R272</f>
        <v>0</v>
      </c>
      <c r="S93" s="204">
        <f t="shared" si="3"/>
        <v>-1</v>
      </c>
    </row>
    <row r="94" spans="1:19" ht="14">
      <c r="A94" s="185" t="s">
        <v>30</v>
      </c>
      <c r="B94" s="182" t="s">
        <v>43</v>
      </c>
      <c r="C94" s="231">
        <v>12509</v>
      </c>
      <c r="D94" s="211">
        <v>1</v>
      </c>
      <c r="E94" s="199"/>
      <c r="F94" s="211">
        <v>1</v>
      </c>
      <c r="G94" s="194">
        <f>'117C-NR'!G272</f>
        <v>5.3187239545911771</v>
      </c>
      <c r="H94" s="194">
        <f>'117C-NR'!H272</f>
        <v>5.3187239545911771</v>
      </c>
      <c r="I94" s="194">
        <f>'117C-NR'!I272</f>
        <v>5.3187239545911771</v>
      </c>
      <c r="J94" s="194">
        <f>'117C-NR'!J272</f>
        <v>5.3187239545911771</v>
      </c>
      <c r="K94" s="194">
        <f>'117C-NR'!K272</f>
        <v>5.3187239545911771</v>
      </c>
      <c r="L94" s="194">
        <f>'117C-NR'!L272</f>
        <v>5.3187239545911771</v>
      </c>
      <c r="M94" s="194">
        <f>'117C-NR'!M272</f>
        <v>5.3187239545911771</v>
      </c>
      <c r="N94" s="194">
        <f>'117C-NR'!N272</f>
        <v>5.3187239545911771</v>
      </c>
      <c r="O94" s="194">
        <f>'117C-NR'!O272</f>
        <v>5.3187239545911771</v>
      </c>
      <c r="P94" s="194">
        <f>'117C-NR'!P272</f>
        <v>5.3187239545911771</v>
      </c>
      <c r="Q94" s="194">
        <f>'117C-NR'!Q272</f>
        <v>5.3187239545911771</v>
      </c>
      <c r="R94" s="194">
        <f>'117C-NR'!R272</f>
        <v>0</v>
      </c>
      <c r="S94" s="204">
        <f t="shared" si="3"/>
        <v>-1</v>
      </c>
    </row>
    <row r="95" spans="1:19" ht="14">
      <c r="A95" s="185" t="s">
        <v>30</v>
      </c>
      <c r="B95" s="182" t="s">
        <v>46</v>
      </c>
      <c r="C95" s="231">
        <v>27263</v>
      </c>
      <c r="D95" s="211">
        <v>1</v>
      </c>
      <c r="E95" s="199"/>
      <c r="F95" s="211">
        <v>1</v>
      </c>
      <c r="G95" s="194">
        <f>'135K-NR'!G273</f>
        <v>5.5572639747090102</v>
      </c>
      <c r="H95" s="194">
        <f>'135K-NR'!H273</f>
        <v>5.5572639747090102</v>
      </c>
      <c r="I95" s="194">
        <f>'135K-NR'!I273</f>
        <v>5.5572639747090102</v>
      </c>
      <c r="J95" s="194">
        <f>'135K-NR'!J273</f>
        <v>5.5572639747090102</v>
      </c>
      <c r="K95" s="194">
        <f>'135K-NR'!K273</f>
        <v>5.65751459975733</v>
      </c>
      <c r="L95" s="194">
        <f>'135K-NR'!L273</f>
        <v>5.7455724710361702</v>
      </c>
      <c r="M95" s="194">
        <f>'135K-NR'!M273</f>
        <v>5.7455724710361702</v>
      </c>
      <c r="N95" s="194">
        <f>'135K-NR'!N273</f>
        <v>5.7336862891148463</v>
      </c>
      <c r="O95" s="194">
        <f>'135K-NR'!O273</f>
        <v>5.7336862891148463</v>
      </c>
      <c r="P95" s="194">
        <f>'135K-NR'!P273</f>
        <v>5.7336862891148463</v>
      </c>
      <c r="Q95" s="194">
        <f>'135K-NR'!Q273</f>
        <v>5.7336862891148463</v>
      </c>
      <c r="R95" s="194">
        <f>'135K-NR'!R273</f>
        <v>0</v>
      </c>
      <c r="S95" s="204">
        <f t="shared" si="3"/>
        <v>-1</v>
      </c>
    </row>
    <row r="96" spans="1:19" ht="14">
      <c r="A96" s="185" t="s">
        <v>30</v>
      </c>
      <c r="B96" s="182" t="s">
        <v>47</v>
      </c>
      <c r="C96" s="231">
        <v>39057</v>
      </c>
      <c r="D96" s="211">
        <v>1</v>
      </c>
      <c r="E96" s="199"/>
      <c r="F96" s="211">
        <v>1</v>
      </c>
      <c r="G96" s="194">
        <f>'201K-NR'!G272</f>
        <v>5.5342721655410259</v>
      </c>
      <c r="H96" s="194">
        <f>'201K-NR'!H272</f>
        <v>5.5546713464728459</v>
      </c>
      <c r="I96" s="194">
        <f>'201K-NR'!I272</f>
        <v>5.8931708217041399</v>
      </c>
      <c r="J96" s="194">
        <f>'201K-NR'!J272</f>
        <v>5.8931708217041399</v>
      </c>
      <c r="K96" s="194">
        <f>'201K-NR'!K272</f>
        <v>5.910170139147322</v>
      </c>
      <c r="L96" s="194">
        <f>'201K-NR'!L272</f>
        <v>5.910170139147322</v>
      </c>
      <c r="M96" s="194">
        <f>'201K-NR'!M272</f>
        <v>5.910170139147322</v>
      </c>
      <c r="N96" s="194">
        <f>'201K-NR'!N272</f>
        <v>5.9478053687578303</v>
      </c>
      <c r="O96" s="194">
        <f>'201K-NR'!O272</f>
        <v>6.1177985431896591</v>
      </c>
      <c r="P96" s="194">
        <f>'201K-NR'!P272</f>
        <v>6.4800970628414092</v>
      </c>
      <c r="Q96" s="194">
        <f>'201K-NR'!Q272</f>
        <v>6.4800970628414092</v>
      </c>
      <c r="R96" s="194">
        <f>'201K-NR'!R272</f>
        <v>0</v>
      </c>
      <c r="S96" s="204">
        <f t="shared" si="3"/>
        <v>-1</v>
      </c>
    </row>
    <row r="97" spans="1:19" ht="14">
      <c r="A97" s="185" t="s">
        <v>48</v>
      </c>
      <c r="B97" s="182" t="s">
        <v>49</v>
      </c>
      <c r="C97" s="231">
        <v>24754</v>
      </c>
      <c r="D97" s="211">
        <v>1</v>
      </c>
      <c r="E97" s="199"/>
      <c r="F97" s="211">
        <v>1</v>
      </c>
      <c r="G97" s="194">
        <f>'259Q-NR'!G272</f>
        <v>5.4825066741604607</v>
      </c>
      <c r="H97" s="194">
        <f>'259Q-NR'!H272</f>
        <v>5.4825066741604607</v>
      </c>
      <c r="I97" s="194">
        <f>'259Q-NR'!I272</f>
        <v>5.4825066802171643</v>
      </c>
      <c r="J97" s="194">
        <f>'259Q-NR'!J272</f>
        <v>5.4825066802171643</v>
      </c>
      <c r="K97" s="194">
        <f>'259Q-NR'!K272</f>
        <v>5.5895153057815321</v>
      </c>
      <c r="L97" s="194">
        <f>'259Q-NR'!L272</f>
        <v>5.5895153057815321</v>
      </c>
      <c r="M97" s="194">
        <f>'259Q-NR'!M272</f>
        <v>5.5895153057815321</v>
      </c>
      <c r="N97" s="194">
        <f>'259Q-NR'!N272</f>
        <v>5.5895153057815321</v>
      </c>
      <c r="O97" s="194">
        <f>'259Q-NR'!O272</f>
        <v>5.6624228737996827</v>
      </c>
      <c r="P97" s="194">
        <f>'259Q-NR'!P272</f>
        <v>5.6624228737996827</v>
      </c>
      <c r="Q97" s="194">
        <f>'259Q-NR'!Q272</f>
        <v>5.6624228737996827</v>
      </c>
      <c r="R97" s="194">
        <f>'259Q-NR'!R272</f>
        <v>0</v>
      </c>
      <c r="S97" s="204">
        <f t="shared" si="3"/>
        <v>-1</v>
      </c>
    </row>
    <row r="98" spans="1:19" ht="14">
      <c r="A98" s="185" t="s">
        <v>30</v>
      </c>
      <c r="B98" s="182" t="s">
        <v>92</v>
      </c>
      <c r="C98" s="231">
        <v>26819</v>
      </c>
      <c r="D98" s="212">
        <v>0</v>
      </c>
      <c r="E98" s="199">
        <v>1</v>
      </c>
      <c r="F98" s="211">
        <v>1</v>
      </c>
      <c r="G98" s="194">
        <f>'347K-NR'!G272</f>
        <v>5.1319155051013077</v>
      </c>
      <c r="H98" s="194">
        <f>'347K-NR'!H272</f>
        <v>5.1319155051013077</v>
      </c>
      <c r="I98" s="194">
        <f>'347K-NR'!I272</f>
        <v>5.1439247095331417</v>
      </c>
      <c r="J98" s="194">
        <f>'347K-NR'!J272</f>
        <v>5.3327172387454072</v>
      </c>
      <c r="K98" s="194">
        <f>'347K-NR'!K272</f>
        <v>5.3327172387454072</v>
      </c>
      <c r="L98" s="194">
        <f>'347K-NR'!L272</f>
        <v>5.3327172387454072</v>
      </c>
      <c r="M98" s="194">
        <f>'347K-NR'!M272</f>
        <v>5.3327172387454072</v>
      </c>
      <c r="N98" s="194">
        <f>'347K-NR'!N272</f>
        <v>5.3190057657589067</v>
      </c>
      <c r="O98" s="194">
        <f>'347K-NR'!O272</f>
        <v>5.3190057657589067</v>
      </c>
      <c r="P98" s="194">
        <f>'347K-NR'!P272</f>
        <v>5.3190057657589067</v>
      </c>
      <c r="Q98" s="194">
        <f>'347K-NR'!Q272</f>
        <v>5.5496417176584805</v>
      </c>
      <c r="R98" s="194">
        <f>'347K-NR'!R272</f>
        <v>0</v>
      </c>
      <c r="S98" s="204">
        <f t="shared" si="3"/>
        <v>-1</v>
      </c>
    </row>
    <row r="99" spans="1:19" ht="14">
      <c r="A99" s="185" t="s">
        <v>30</v>
      </c>
      <c r="B99" s="182" t="s">
        <v>52</v>
      </c>
      <c r="C99" s="231">
        <v>28396</v>
      </c>
      <c r="D99" s="211">
        <v>0.75</v>
      </c>
      <c r="E99" s="199"/>
      <c r="F99" s="211">
        <v>1</v>
      </c>
      <c r="G99" s="194">
        <f>'40M-NR'!G272</f>
        <v>5.8216697801408248</v>
      </c>
      <c r="H99" s="194">
        <f>'40M-NR'!H272</f>
        <v>5.8107065289353068</v>
      </c>
      <c r="I99" s="194">
        <f>'40M-NR'!I272</f>
        <v>5.8107065289353068</v>
      </c>
      <c r="J99" s="194">
        <f>'40M-NR'!J272</f>
        <v>5.8107065289353068</v>
      </c>
      <c r="K99" s="194">
        <f>'40M-NR'!K272</f>
        <v>5.8499647687555969</v>
      </c>
      <c r="L99" s="194">
        <f>'40M-NR'!L272</f>
        <v>5.8761369286357903</v>
      </c>
      <c r="M99" s="194">
        <f>'40M-NR'!M272</f>
        <v>5.8761369286357903</v>
      </c>
      <c r="N99" s="194">
        <f>'40M-NR'!N272</f>
        <v>5.8662850006524447</v>
      </c>
      <c r="O99" s="194">
        <f>'40M-NR'!O272</f>
        <v>5.8662850006524447</v>
      </c>
      <c r="P99" s="194">
        <f>'40M-NR'!P272</f>
        <v>5.8662850006524447</v>
      </c>
      <c r="Q99" s="194">
        <f>'40M-NR'!Q272</f>
        <v>5.8662850006524447</v>
      </c>
      <c r="R99" s="194">
        <f>'40M-NR'!R272</f>
        <v>0</v>
      </c>
      <c r="S99" s="204">
        <f t="shared" si="3"/>
        <v>-1</v>
      </c>
    </row>
    <row r="100" spans="1:19" ht="14">
      <c r="A100" s="185" t="s">
        <v>30</v>
      </c>
      <c r="B100" s="182" t="s">
        <v>54</v>
      </c>
      <c r="C100" s="231">
        <v>37558</v>
      </c>
      <c r="D100" s="211">
        <v>0.75</v>
      </c>
      <c r="E100" s="199"/>
      <c r="F100" s="211">
        <v>1</v>
      </c>
      <c r="G100" s="194">
        <f>'420G-NR'!G272</f>
        <v>5.448052881161086</v>
      </c>
      <c r="H100" s="194">
        <f>'420G-NR'!H272</f>
        <v>5.5006819299584313</v>
      </c>
      <c r="I100" s="194">
        <f>'420G-NR'!I272</f>
        <v>5.5006819299584313</v>
      </c>
      <c r="J100" s="194">
        <f>'420G-NR'!J272</f>
        <v>5.5006819299584313</v>
      </c>
      <c r="K100" s="194">
        <f>'420G-NR'!K272</f>
        <v>5.632254551951795</v>
      </c>
      <c r="L100" s="194">
        <f>'420G-NR'!L272</f>
        <v>5.6487011297009655</v>
      </c>
      <c r="M100" s="194">
        <f>'420G-NR'!M272</f>
        <v>5.6487011297009655</v>
      </c>
      <c r="N100" s="194">
        <f>'420G-NR'!N272</f>
        <v>5.6413803315520532</v>
      </c>
      <c r="O100" s="194">
        <f>'420G-NR'!O272</f>
        <v>5.6864549189699458</v>
      </c>
      <c r="P100" s="194">
        <f>'420G-NR'!P272</f>
        <v>5.7061908122689511</v>
      </c>
      <c r="Q100" s="194">
        <f>'420G-NR'!Q272</f>
        <v>5.7061908122689511</v>
      </c>
      <c r="R100" s="194">
        <f>'420G-NR'!R272</f>
        <v>0</v>
      </c>
      <c r="S100" s="204">
        <f t="shared" si="3"/>
        <v>-1</v>
      </c>
    </row>
    <row r="101" spans="1:19" ht="14">
      <c r="A101" s="185" t="s">
        <v>37</v>
      </c>
      <c r="B101" s="182" t="s">
        <v>55</v>
      </c>
      <c r="C101" s="231">
        <v>55051</v>
      </c>
      <c r="D101" s="211">
        <v>0.5</v>
      </c>
      <c r="E101" s="199">
        <v>0.5</v>
      </c>
      <c r="F101" s="211">
        <v>1</v>
      </c>
      <c r="G101" s="194">
        <f>'567C-NR'!G272</f>
        <v>5.7617711039606681</v>
      </c>
      <c r="H101" s="194">
        <f>'567C-NR'!H272</f>
        <v>5.7937039159584529</v>
      </c>
      <c r="I101" s="194">
        <f>'567C-NR'!I272</f>
        <v>5.8427640888844419</v>
      </c>
      <c r="J101" s="194">
        <f>'567C-NR'!J272</f>
        <v>5.8534472086170686</v>
      </c>
      <c r="K101" s="194">
        <f>'567C-NR'!K272</f>
        <v>5.9377135394345757</v>
      </c>
      <c r="L101" s="194">
        <f>'567C-NR'!L272</f>
        <v>5.9859989346342308</v>
      </c>
      <c r="M101" s="194">
        <f>'567C-NR'!M272</f>
        <v>6.0022160697127509</v>
      </c>
      <c r="N101" s="194">
        <f>'567C-NR'!N272</f>
        <v>6.0022160697127509</v>
      </c>
      <c r="O101" s="194">
        <f>'567C-NR'!O272</f>
        <v>6.0022160697127509</v>
      </c>
      <c r="P101" s="194">
        <f>'567C-NR'!P272</f>
        <v>6.0022160697127509</v>
      </c>
      <c r="Q101" s="194">
        <f>'567C-NR'!Q272</f>
        <v>6.0022160697127509</v>
      </c>
      <c r="R101" s="194">
        <f>'567C-NR'!R272</f>
        <v>0</v>
      </c>
      <c r="S101" s="204">
        <f t="shared" si="3"/>
        <v>-1</v>
      </c>
    </row>
    <row r="102" spans="1:19" ht="14">
      <c r="A102" s="185" t="s">
        <v>30</v>
      </c>
      <c r="B102" s="182" t="s">
        <v>56</v>
      </c>
      <c r="C102" s="231">
        <v>39938</v>
      </c>
      <c r="D102" s="211">
        <v>0.5</v>
      </c>
      <c r="E102" s="199"/>
      <c r="F102" s="211">
        <v>1</v>
      </c>
      <c r="G102" s="194">
        <f>'60MP-NR'!G272</f>
        <v>5.2669923839632133</v>
      </c>
      <c r="H102" s="194">
        <f>'60MP-NR'!H272</f>
        <v>5.2669923839632133</v>
      </c>
      <c r="I102" s="194">
        <f>'60MP-NR'!I272</f>
        <v>5.2669923839632133</v>
      </c>
      <c r="J102" s="194">
        <f>'60MP-NR'!J272</f>
        <v>5.2669923839632133</v>
      </c>
      <c r="K102" s="194">
        <f>'60MP-NR'!K272</f>
        <v>5.2669923839632133</v>
      </c>
      <c r="L102" s="194">
        <f>'60MP-NR'!L272</f>
        <v>5.2669923839632133</v>
      </c>
      <c r="M102" s="194">
        <f>'60MP-NR'!M272</f>
        <v>5.2669923839632133</v>
      </c>
      <c r="N102" s="194">
        <f>'60MP-NR'!N272</f>
        <v>5.2669923839632133</v>
      </c>
      <c r="O102" s="194">
        <f>'60MP-NR'!O272</f>
        <v>5.2669923839632133</v>
      </c>
      <c r="P102" s="194">
        <f>'60MP-NR'!P272</f>
        <v>5.2669923839632133</v>
      </c>
      <c r="Q102" s="194">
        <f>'60MP-NR'!Q272</f>
        <v>5.2669923839632133</v>
      </c>
      <c r="R102" s="194">
        <f>'60MP-NR'!R272</f>
        <v>0</v>
      </c>
      <c r="S102" s="204">
        <f t="shared" si="3"/>
        <v>-1</v>
      </c>
    </row>
    <row r="103" spans="1:19" ht="14">
      <c r="A103" s="185" t="s">
        <v>30</v>
      </c>
      <c r="B103" s="182" t="s">
        <v>93</v>
      </c>
      <c r="C103" s="231">
        <v>20404</v>
      </c>
      <c r="D103" s="212"/>
      <c r="E103" s="199">
        <v>1</v>
      </c>
      <c r="F103" s="211">
        <v>1</v>
      </c>
      <c r="G103" s="194">
        <f>'151C-NR'!G272</f>
        <v>5.6779709728409253</v>
      </c>
      <c r="H103" s="194">
        <f>'151C-NR'!H272</f>
        <v>5.6779709728409253</v>
      </c>
      <c r="I103" s="194">
        <f>'151C-NR'!I272</f>
        <v>5.6779709728409253</v>
      </c>
      <c r="J103" s="194">
        <f>'151C-NR'!J272</f>
        <v>5.6779709728409253</v>
      </c>
      <c r="K103" s="194">
        <f>'151C-NR'!K272</f>
        <v>5.6779709728409253</v>
      </c>
      <c r="L103" s="194">
        <f>'151C-NR'!L272</f>
        <v>5.6779709728409253</v>
      </c>
      <c r="M103" s="194">
        <f>'151C-NR'!M272</f>
        <v>5.6779709728409253</v>
      </c>
      <c r="N103" s="194">
        <f>'151C-NR'!N272</f>
        <v>5.6779709728409253</v>
      </c>
      <c r="O103" s="194">
        <f>'151C-NR'!O272</f>
        <v>5.6779709728409253</v>
      </c>
      <c r="P103" s="194">
        <f>'151C-NR'!P272</f>
        <v>5.6144378534554962</v>
      </c>
      <c r="Q103" s="194">
        <f>'151C-NR'!Q272</f>
        <v>5.6144378534554962</v>
      </c>
      <c r="R103" s="194">
        <f>'151C-NR'!R272</f>
        <v>0</v>
      </c>
      <c r="S103" s="204">
        <f t="shared" si="3"/>
        <v>-1</v>
      </c>
    </row>
    <row r="104" spans="1:19" ht="14">
      <c r="A104" s="185" t="s">
        <v>37</v>
      </c>
      <c r="B104" s="182" t="s">
        <v>60</v>
      </c>
      <c r="C104" s="231">
        <v>1422</v>
      </c>
      <c r="D104" s="211">
        <v>1</v>
      </c>
      <c r="E104" s="199"/>
      <c r="F104" s="211">
        <v>1</v>
      </c>
      <c r="G104" s="194">
        <v>0</v>
      </c>
      <c r="H104" s="194"/>
      <c r="I104" s="194"/>
      <c r="J104" s="194"/>
      <c r="K104" s="194"/>
      <c r="L104" s="194"/>
      <c r="M104" s="194"/>
      <c r="N104" s="194"/>
      <c r="O104" s="194"/>
      <c r="P104" s="194"/>
      <c r="Q104" s="194"/>
      <c r="R104" s="194"/>
      <c r="S104" s="204"/>
    </row>
    <row r="105" spans="1:19" ht="14">
      <c r="A105" s="185" t="s">
        <v>66</v>
      </c>
      <c r="B105" s="182" t="s">
        <v>170</v>
      </c>
      <c r="C105" s="231">
        <v>17363.8</v>
      </c>
      <c r="D105" s="212"/>
      <c r="E105" s="199"/>
      <c r="F105" s="211">
        <v>1</v>
      </c>
      <c r="G105" s="194">
        <f>'20B-NR'!G272</f>
        <v>4.7257012393998696</v>
      </c>
      <c r="H105" s="194">
        <f>'20B-NR'!H272</f>
        <v>4.7003145304979235</v>
      </c>
      <c r="I105" s="194">
        <f>'20B-NR'!I272</f>
        <v>4.7003145304979235</v>
      </c>
      <c r="J105" s="194">
        <f>'20B-NR'!J272</f>
        <v>4.7308108394982238</v>
      </c>
      <c r="K105" s="194">
        <f>'20B-NR'!K272</f>
        <v>4.7769146172882726</v>
      </c>
      <c r="L105" s="194">
        <f>'20B-NR'!L272</f>
        <v>4.7769146172882726</v>
      </c>
      <c r="M105" s="194">
        <f>'20B-NR'!M272</f>
        <v>4.7769146172882726</v>
      </c>
      <c r="N105" s="194">
        <f>'20B-NR'!N272</f>
        <v>5.2621652446826381</v>
      </c>
      <c r="O105" s="194">
        <f>'20B-NR'!O272</f>
        <v>5.2621652446826381</v>
      </c>
      <c r="P105" s="194">
        <f>'20B-NR'!P272</f>
        <v>5.2621652446826381</v>
      </c>
      <c r="Q105" s="194">
        <f>'20B-NR'!Q272</f>
        <v>5.2621652446826381</v>
      </c>
      <c r="R105" s="194">
        <f>'20B-NR'!R272</f>
        <v>0</v>
      </c>
      <c r="S105" s="204">
        <f t="shared" ref="S105:S114" si="4">(R105-G105)/G105</f>
        <v>-1</v>
      </c>
    </row>
    <row r="106" spans="1:19" ht="14">
      <c r="A106" s="185" t="s">
        <v>48</v>
      </c>
      <c r="B106" s="182" t="s">
        <v>168</v>
      </c>
      <c r="C106" s="231">
        <v>24784</v>
      </c>
      <c r="D106" s="212"/>
      <c r="E106" s="199"/>
      <c r="F106" s="211">
        <v>1</v>
      </c>
      <c r="G106" s="194">
        <f>'179T-NR'!G272</f>
        <v>5.1171842068287203</v>
      </c>
      <c r="H106" s="194">
        <f>'179T-NR'!H272</f>
        <v>5.1171842068287203</v>
      </c>
      <c r="I106" s="194">
        <f>'179T-NR'!I272</f>
        <v>5.1171842068287203</v>
      </c>
      <c r="J106" s="194">
        <f>'179T-NR'!J272</f>
        <v>5.1171842068287203</v>
      </c>
      <c r="K106" s="194">
        <f>'179T-NR'!K272</f>
        <v>5.1818870820185845</v>
      </c>
      <c r="L106" s="194">
        <f>'179T-NR'!L272</f>
        <v>5.1818870820185845</v>
      </c>
      <c r="M106" s="194">
        <f>'179T-NR'!M272</f>
        <v>5.1818870820185845</v>
      </c>
      <c r="N106" s="194">
        <f>'179T-NR'!N272</f>
        <v>5.1818870820185845</v>
      </c>
      <c r="O106" s="194">
        <f>'179T-NR'!O272</f>
        <v>5.1818870820185845</v>
      </c>
      <c r="P106" s="194">
        <f>'179T-NR'!P272</f>
        <v>5.1818870820185845</v>
      </c>
      <c r="Q106" s="194">
        <f>'179T-NR'!Q272</f>
        <v>5.1818870820185845</v>
      </c>
      <c r="R106" s="194">
        <f>'179T-NR'!R272</f>
        <v>0</v>
      </c>
      <c r="S106" s="204">
        <f t="shared" si="4"/>
        <v>-1</v>
      </c>
    </row>
    <row r="107" spans="1:19" ht="14">
      <c r="A107" s="185" t="s">
        <v>30</v>
      </c>
      <c r="B107" s="182" t="s">
        <v>123</v>
      </c>
      <c r="C107" s="231">
        <v>23555.5</v>
      </c>
      <c r="D107" s="211"/>
      <c r="E107" s="199"/>
      <c r="F107" s="211">
        <v>1</v>
      </c>
      <c r="G107" s="194">
        <f>'105M-NR'!G272</f>
        <v>5.8446615893088083</v>
      </c>
      <c r="H107" s="194">
        <f>'105M-NR'!H272</f>
        <v>5.8446615893088083</v>
      </c>
      <c r="I107" s="194">
        <f>'105M-NR'!I272</f>
        <v>5.8446615893088083</v>
      </c>
      <c r="J107" s="194">
        <f>'105M-NR'!J272</f>
        <v>5.8446615893088083</v>
      </c>
      <c r="K107" s="194">
        <f>'105M-NR'!K272</f>
        <v>5.8446615893088083</v>
      </c>
      <c r="L107" s="194">
        <f>'105M-NR'!L272</f>
        <v>5.8446615893088083</v>
      </c>
      <c r="M107" s="194">
        <f>'105M-NR'!M272</f>
        <v>5.8446615893088083</v>
      </c>
      <c r="N107" s="194">
        <f>'105M-NR'!N272</f>
        <v>5.8446615893088083</v>
      </c>
      <c r="O107" s="194">
        <f>'105M-NR'!O272</f>
        <v>5.8446615893088083</v>
      </c>
      <c r="P107" s="194">
        <f>'105M-NR'!P272</f>
        <v>5.8446615893088083</v>
      </c>
      <c r="Q107" s="194">
        <f>'105M-NR'!Q272</f>
        <v>5.8446615893088083</v>
      </c>
      <c r="R107" s="194">
        <f>'105M-NR'!R272</f>
        <v>0</v>
      </c>
      <c r="S107" s="204">
        <f t="shared" si="4"/>
        <v>-1</v>
      </c>
    </row>
    <row r="108" spans="1:19" ht="14">
      <c r="A108" s="185" t="s">
        <v>63</v>
      </c>
      <c r="B108" s="182" t="s">
        <v>64</v>
      </c>
      <c r="C108" s="231">
        <v>61127</v>
      </c>
      <c r="D108" s="211">
        <v>0.5</v>
      </c>
      <c r="E108" s="199"/>
      <c r="F108" s="211"/>
      <c r="G108" s="194">
        <f>'105M-NR'!G272</f>
        <v>5.8446615893088083</v>
      </c>
      <c r="H108" s="194">
        <f>'105M-NR'!H272</f>
        <v>5.8446615893088083</v>
      </c>
      <c r="I108" s="194">
        <f>'105M-NR'!I272</f>
        <v>5.8446615893088083</v>
      </c>
      <c r="J108" s="194">
        <f>'105M-NR'!J272</f>
        <v>5.8446615893088083</v>
      </c>
      <c r="K108" s="194">
        <f>'105M-NR'!K272</f>
        <v>5.8446615893088083</v>
      </c>
      <c r="L108" s="194">
        <f>'105M-NR'!L272</f>
        <v>5.8446615893088083</v>
      </c>
      <c r="M108" s="194">
        <f>'105M-NR'!M272</f>
        <v>5.8446615893088083</v>
      </c>
      <c r="N108" s="194">
        <f>'105M-NR'!N272</f>
        <v>5.8446615893088083</v>
      </c>
      <c r="O108" s="194">
        <f>'105M-NR'!O272</f>
        <v>5.8446615893088083</v>
      </c>
      <c r="P108" s="194">
        <f>'105M-NR'!P272</f>
        <v>5.8446615893088083</v>
      </c>
      <c r="Q108" s="194">
        <f>'105M-NR'!Q272</f>
        <v>5.8446615893088083</v>
      </c>
      <c r="R108" s="194">
        <f>'105M-NR'!R272</f>
        <v>0</v>
      </c>
      <c r="S108" s="204">
        <f t="shared" si="4"/>
        <v>-1</v>
      </c>
    </row>
    <row r="109" spans="1:19" ht="14">
      <c r="A109" s="185" t="s">
        <v>66</v>
      </c>
      <c r="B109" s="182" t="s">
        <v>95</v>
      </c>
      <c r="C109" s="231">
        <v>41253</v>
      </c>
      <c r="D109" s="212"/>
      <c r="E109" s="199">
        <v>1</v>
      </c>
      <c r="F109" s="211"/>
      <c r="G109" s="194">
        <f>'105M-NR'!G272</f>
        <v>5.8446615893088083</v>
      </c>
      <c r="H109" s="194">
        <f>'105M-NR'!H272</f>
        <v>5.8446615893088083</v>
      </c>
      <c r="I109" s="194">
        <f>'105M-NR'!I272</f>
        <v>5.8446615893088083</v>
      </c>
      <c r="J109" s="194">
        <f>'105M-NR'!J272</f>
        <v>5.8446615893088083</v>
      </c>
      <c r="K109" s="194">
        <f>'105M-NR'!K272</f>
        <v>5.8446615893088083</v>
      </c>
      <c r="L109" s="194">
        <f>'105M-NR'!L272</f>
        <v>5.8446615893088083</v>
      </c>
      <c r="M109" s="194">
        <f>'105M-NR'!M272</f>
        <v>5.8446615893088083</v>
      </c>
      <c r="N109" s="194">
        <f>'105M-NR'!N272</f>
        <v>5.8446615893088083</v>
      </c>
      <c r="O109" s="194">
        <f>'105M-NR'!O272</f>
        <v>5.8446615893088083</v>
      </c>
      <c r="P109" s="194">
        <f>'105M-NR'!P272</f>
        <v>5.8446615893088083</v>
      </c>
      <c r="Q109" s="194">
        <f>'105M-NR'!Q272</f>
        <v>5.8446615893088083</v>
      </c>
      <c r="R109" s="194">
        <f>'105M-NR'!R272</f>
        <v>0</v>
      </c>
      <c r="S109" s="204">
        <f t="shared" si="4"/>
        <v>-1</v>
      </c>
    </row>
    <row r="110" spans="1:19" ht="14">
      <c r="A110" s="185" t="s">
        <v>66</v>
      </c>
      <c r="B110" s="198" t="s">
        <v>133</v>
      </c>
      <c r="C110" s="231">
        <v>8227.2000000000007</v>
      </c>
      <c r="D110" s="212">
        <v>0</v>
      </c>
      <c r="E110" s="199"/>
      <c r="F110" s="211">
        <v>1</v>
      </c>
      <c r="G110" s="194">
        <f>'130P-NR'!G272</f>
        <v>4.5300065231572084</v>
      </c>
      <c r="H110" s="194">
        <f>'130P-NR'!H272</f>
        <v>4.5300065231572084</v>
      </c>
      <c r="I110" s="194">
        <f>'130P-NR'!I272</f>
        <v>4.5300065231572084</v>
      </c>
      <c r="J110" s="194">
        <f>'130P-NR'!J272</f>
        <v>4.5300065231572084</v>
      </c>
      <c r="K110" s="194">
        <f>'130P-NR'!K272</f>
        <v>4.5300065231572084</v>
      </c>
      <c r="L110" s="194">
        <f>'130P-NR'!L272</f>
        <v>4.5300065231572084</v>
      </c>
      <c r="M110" s="194">
        <f>'130P-NR'!M272</f>
        <v>4.5300065231572084</v>
      </c>
      <c r="N110" s="194">
        <f>'130P-NR'!N272</f>
        <v>4.5300065231572084</v>
      </c>
      <c r="O110" s="194">
        <f>'130P-NR'!O272</f>
        <v>4.5300065231572084</v>
      </c>
      <c r="P110" s="194">
        <f>'130P-NR'!P272</f>
        <v>4.5300065231572084</v>
      </c>
      <c r="Q110" s="194">
        <f>'130P-NR'!Q272</f>
        <v>4.5300065231572084</v>
      </c>
      <c r="R110" s="194">
        <f>'130P-NR'!R272</f>
        <v>0</v>
      </c>
      <c r="S110" s="204">
        <f t="shared" si="4"/>
        <v>-1</v>
      </c>
    </row>
    <row r="111" spans="1:19" ht="14">
      <c r="A111" s="185" t="s">
        <v>178</v>
      </c>
      <c r="B111" s="198" t="s">
        <v>140</v>
      </c>
      <c r="C111" s="231">
        <v>20861</v>
      </c>
      <c r="D111" s="212">
        <v>1</v>
      </c>
      <c r="E111" s="199"/>
      <c r="F111" s="211">
        <v>1</v>
      </c>
      <c r="G111" s="194">
        <f>'220L-NR'!G272</f>
        <v>4.790932811480757</v>
      </c>
      <c r="H111" s="194">
        <f>'220L-NR'!H272</f>
        <v>4.790932811480757</v>
      </c>
      <c r="I111" s="194">
        <f>'220L-NR'!I272</f>
        <v>4.790932811480757</v>
      </c>
      <c r="J111" s="194">
        <f>'220L-NR'!J272</f>
        <v>4.790932811480757</v>
      </c>
      <c r="K111" s="194">
        <f>'220L-NR'!K272</f>
        <v>4.790932811480757</v>
      </c>
      <c r="L111" s="194">
        <f>'220L-NR'!L272</f>
        <v>4.790932811480757</v>
      </c>
      <c r="M111" s="194">
        <f>'220L-NR'!M272</f>
        <v>4.790932811480757</v>
      </c>
      <c r="N111" s="194">
        <f>'220L-NR'!N272</f>
        <v>4.790932811480757</v>
      </c>
      <c r="O111" s="194">
        <f>'220L-NR'!O272</f>
        <v>4.790932811480757</v>
      </c>
      <c r="P111" s="194">
        <f>'220L-NR'!P272</f>
        <v>4.790932811480757</v>
      </c>
      <c r="Q111" s="194">
        <f>'220L-NR'!Q272</f>
        <v>4.790932811480757</v>
      </c>
      <c r="R111" s="194">
        <f>'220L-NR'!R272</f>
        <v>0</v>
      </c>
      <c r="S111" s="204">
        <f t="shared" si="4"/>
        <v>-1</v>
      </c>
    </row>
    <row r="112" spans="1:19" ht="14">
      <c r="A112" s="185" t="s">
        <v>37</v>
      </c>
      <c r="B112" s="182" t="s">
        <v>166</v>
      </c>
      <c r="C112" s="231">
        <v>15723.1</v>
      </c>
      <c r="D112" s="212">
        <v>0</v>
      </c>
      <c r="E112" s="199"/>
      <c r="F112" s="211">
        <v>1</v>
      </c>
      <c r="G112" s="194">
        <f>'850C-NR'!G272</f>
        <v>4.8364833906071016</v>
      </c>
      <c r="H112" s="194">
        <f>'850C-NR'!H272</f>
        <v>5.5062620397952138</v>
      </c>
      <c r="I112" s="194">
        <f>'850C-NR'!I272</f>
        <v>5.6730837782371895</v>
      </c>
      <c r="J112" s="194">
        <f>'850C-NR'!J272</f>
        <v>5.8146138550476181</v>
      </c>
      <c r="K112" s="194">
        <f>'850C-NR'!K272</f>
        <v>5.8638942464992319</v>
      </c>
      <c r="L112" s="194">
        <f>'850C-NR'!L272</f>
        <v>5.8852046860458751</v>
      </c>
      <c r="M112" s="194">
        <f>'850C-NR'!M272</f>
        <v>5.8852046860458751</v>
      </c>
      <c r="N112" s="194">
        <f>'850C-NR'!N272</f>
        <v>5.907302386414865</v>
      </c>
      <c r="O112" s="194">
        <f>'850C-NR'!O272</f>
        <v>5.907302386414865</v>
      </c>
      <c r="P112" s="194">
        <f>'850C-NR'!P272</f>
        <v>5.907302386414865</v>
      </c>
      <c r="Q112" s="194">
        <f>'850C-NR'!Q272</f>
        <v>5.907302386414865</v>
      </c>
      <c r="R112" s="194">
        <f>'850C-NR'!R272</f>
        <v>0</v>
      </c>
      <c r="S112" s="204">
        <f t="shared" si="4"/>
        <v>-1</v>
      </c>
    </row>
    <row r="113" spans="1:19" ht="14.5" thickBot="1">
      <c r="A113" s="185" t="s">
        <v>66</v>
      </c>
      <c r="B113" s="182" t="s">
        <v>67</v>
      </c>
      <c r="C113" s="231">
        <v>12837.7</v>
      </c>
      <c r="D113" s="211">
        <v>0</v>
      </c>
      <c r="E113" s="199"/>
      <c r="F113" s="211">
        <v>1</v>
      </c>
      <c r="G113" s="194">
        <f>'6OC-NR'!G272</f>
        <v>4.7628832354859751</v>
      </c>
      <c r="H113" s="194">
        <f>'6OC-NR'!H272</f>
        <v>4.7628832354859751</v>
      </c>
      <c r="I113" s="194">
        <f>'6OC-NR'!I272</f>
        <v>5.3353020390224728</v>
      </c>
      <c r="J113" s="194">
        <f>'6OC-NR'!J272</f>
        <v>5.5160533147163555</v>
      </c>
      <c r="K113" s="194">
        <f>'6OC-NR'!K272</f>
        <v>5.5160533147163555</v>
      </c>
      <c r="L113" s="194">
        <f>'6OC-NR'!L272</f>
        <v>5.5160533147163555</v>
      </c>
      <c r="M113" s="194">
        <f>'6OC-NR'!M272</f>
        <v>5.5160533147163555</v>
      </c>
      <c r="N113" s="194">
        <f>'6OC-NR'!N272</f>
        <v>5.7079394155118459</v>
      </c>
      <c r="O113" s="194">
        <f>'6OC-NR'!O272</f>
        <v>5.7716680110315162</v>
      </c>
      <c r="P113" s="194">
        <f>'6OC-NR'!P272</f>
        <v>5.7716680110315162</v>
      </c>
      <c r="Q113" s="194">
        <f>'6OC-NR'!Q272</f>
        <v>5.7716680110315162</v>
      </c>
      <c r="R113" s="194">
        <f>'6OC-NR'!R272</f>
        <v>0</v>
      </c>
      <c r="S113" s="204">
        <f t="shared" si="4"/>
        <v>-1</v>
      </c>
    </row>
    <row r="114" spans="1:19" ht="13" thickTop="1">
      <c r="C114" s="203">
        <f>SUBTOTAL(109,C91:C113)</f>
        <v>673188.29999999993</v>
      </c>
      <c r="G114" s="208">
        <f>SUMPRODUCT(G91:G113,$C91:$C113)/SUM($C91:$C113)</f>
        <v>5.3095208659245055</v>
      </c>
      <c r="H114" s="208">
        <f t="shared" ref="H114:P114" si="5">SUMPRODUCT(H91:H113,$C91:$C113)/SUM($C91:$C113)</f>
        <v>5.3319445840636552</v>
      </c>
      <c r="I114" s="208">
        <f t="shared" si="5"/>
        <v>5.3917296291184078</v>
      </c>
      <c r="J114" s="208">
        <f t="shared" si="5"/>
        <v>5.4101734146586944</v>
      </c>
      <c r="K114" s="208">
        <f t="shared" si="5"/>
        <v>5.4401491622350866</v>
      </c>
      <c r="L114" s="208">
        <f t="shared" si="5"/>
        <v>5.4527428739987416</v>
      </c>
      <c r="M114" s="208">
        <f t="shared" si="5"/>
        <v>5.4544538733657397</v>
      </c>
      <c r="N114" s="208">
        <f t="shared" si="5"/>
        <v>5.4924332403083831</v>
      </c>
      <c r="O114" s="208">
        <f t="shared" si="5"/>
        <v>5.508706870283012</v>
      </c>
      <c r="P114" s="208">
        <f t="shared" si="5"/>
        <v>5.5343633712889169</v>
      </c>
      <c r="Q114" s="201">
        <f t="shared" ref="Q114" si="6">SUM(Q91:Q113)</f>
        <v>121.7899704325952</v>
      </c>
      <c r="R114" s="201">
        <f t="shared" ref="R114" si="7">SUM(R91:R113)</f>
        <v>0</v>
      </c>
      <c r="S114" s="202">
        <f t="shared" si="4"/>
        <v>-1</v>
      </c>
    </row>
    <row r="115" spans="1:19" ht="13" thickBot="1"/>
    <row r="116" spans="1:19" ht="15" thickTop="1" thickBot="1">
      <c r="F116" s="185" t="s">
        <v>205</v>
      </c>
      <c r="G116" s="200" t="s">
        <v>188</v>
      </c>
      <c r="H116" s="200" t="s">
        <v>189</v>
      </c>
      <c r="I116" s="200" t="s">
        <v>190</v>
      </c>
      <c r="J116" s="200" t="s">
        <v>191</v>
      </c>
      <c r="K116" s="200" t="s">
        <v>192</v>
      </c>
      <c r="L116" s="200" t="s">
        <v>193</v>
      </c>
      <c r="M116" s="200" t="s">
        <v>194</v>
      </c>
      <c r="N116" s="200" t="s">
        <v>195</v>
      </c>
      <c r="O116" s="200" t="s">
        <v>196</v>
      </c>
      <c r="P116" s="200" t="s">
        <v>197</v>
      </c>
      <c r="Q116" s="200" t="s">
        <v>198</v>
      </c>
      <c r="R116" s="184" t="s">
        <v>199</v>
      </c>
    </row>
    <row r="117" spans="1:19" ht="13" thickTop="1">
      <c r="F117" s="185" t="s">
        <v>10</v>
      </c>
      <c r="G117" s="213">
        <f>SUMPRODUCT(G91:G113,$C91:$C113,$D91:$D113)/SUMPRODUCT($C91:$C113,$D91:$D113)</f>
        <v>5.3176204560882487</v>
      </c>
      <c r="H117" s="213">
        <f>SUMPRODUCT(H91:H113,$C91:$C113,$D91:$D113)/SUMPRODUCT($C91:$C113,$D91:$D113)</f>
        <v>5.3281424446463896</v>
      </c>
      <c r="I117" s="213">
        <f t="shared" ref="I117:O117" si="8">SUMPRODUCT(I91:I113,$C91:$C113,$D91:$D113)/SUMPRODUCT($C91:$C113,$D91:$D113)</f>
        <v>5.4093800702805277</v>
      </c>
      <c r="J117" s="213">
        <f t="shared" si="8"/>
        <v>5.4152992370363968</v>
      </c>
      <c r="K117" s="213">
        <f t="shared" si="8"/>
        <v>5.4545895729695646</v>
      </c>
      <c r="L117" s="213">
        <f t="shared" si="8"/>
        <v>5.4717226360180655</v>
      </c>
      <c r="M117" s="213">
        <f t="shared" si="8"/>
        <v>5.4738277044380599</v>
      </c>
      <c r="N117" s="213">
        <f t="shared" si="8"/>
        <v>5.5024769757371459</v>
      </c>
      <c r="O117" s="213">
        <f t="shared" si="8"/>
        <v>5.5314636247029805</v>
      </c>
      <c r="P117" s="213">
        <f>SUMPRODUCT(P91:P113,$C91:$C113,$D91:$D113)/SUMPRODUCT($C91:$C113,$D91:$D113)</f>
        <v>5.5808330944168913</v>
      </c>
      <c r="Q117" s="213">
        <f>SUMPRODUCT(Q91:Q113,$C91:$C113,$D91:$D113)/SUMPRODUCT($C91:$C113,$D91:$D113)</f>
        <v>5.5808330944168913</v>
      </c>
      <c r="R117" s="209">
        <f t="shared" ref="R117" si="9">SUM(R94:R116)</f>
        <v>0</v>
      </c>
      <c r="S117" s="210">
        <f t="shared" ref="S117" si="10">(R117-G117)/G117</f>
        <v>-1</v>
      </c>
    </row>
    <row r="118" spans="1:19">
      <c r="F118" s="185" t="s">
        <v>11</v>
      </c>
      <c r="G118" s="213">
        <f>SUMPRODUCT(G91:G113,$C91:$C113,$E91:$E113)/SUMPRODUCT($C91:$C113,$E91:$E113)</f>
        <v>5.5941384725678125</v>
      </c>
      <c r="H118" s="213">
        <f t="shared" ref="H118:P118" si="11">SUMPRODUCT(H91:H113,$C91:$C113,$E91:$E113)/SUMPRODUCT($C91:$C113,$E91:$E113)</f>
        <v>5.6018113042396678</v>
      </c>
      <c r="I118" s="213">
        <f t="shared" si="11"/>
        <v>5.6204766912492286</v>
      </c>
      <c r="J118" s="213">
        <f t="shared" si="11"/>
        <v>5.6628152238481961</v>
      </c>
      <c r="K118" s="213">
        <f t="shared" si="11"/>
        <v>5.6811459786140297</v>
      </c>
      <c r="L118" s="213">
        <f t="shared" si="11"/>
        <v>5.6945422664174874</v>
      </c>
      <c r="M118" s="213">
        <f t="shared" si="11"/>
        <v>5.6980700375123572</v>
      </c>
      <c r="N118" s="213">
        <f t="shared" si="11"/>
        <v>5.7158549064609261</v>
      </c>
      <c r="O118" s="213">
        <f t="shared" si="11"/>
        <v>5.7158549064609261</v>
      </c>
      <c r="P118" s="213">
        <f t="shared" si="11"/>
        <v>5.712873768964295</v>
      </c>
      <c r="Q118" s="882">
        <f>SUMPRODUCT(Q91:Q113,$C91:$C113,$E91:$E113)/SUMPRODUCT($C91:$C113,$E91:$E113)</f>
        <v>5.7617570821634203</v>
      </c>
    </row>
    <row r="119" spans="1:19">
      <c r="F119" s="185" t="s">
        <v>12</v>
      </c>
      <c r="G119" s="213">
        <f>SUMPRODUCT(G91:G113,$C91:$C113,$F91:$F113)/SUMPRODUCT($C91:$C113,$F91:$F113)</f>
        <v>5.2135381914257541</v>
      </c>
      <c r="H119" s="213">
        <f t="shared" ref="H119:P119" si="12">SUMPRODUCT(H91:H113,$C91:$C113,$F91:$F113)/SUMPRODUCT($C91:$C113,$F91:$F113)</f>
        <v>5.2399838207093046</v>
      </c>
      <c r="I119" s="213">
        <f t="shared" si="12"/>
        <v>5.3104918929392149</v>
      </c>
      <c r="J119" s="213">
        <f t="shared" si="12"/>
        <v>5.3322437501449178</v>
      </c>
      <c r="K119" s="213">
        <f t="shared" si="12"/>
        <v>5.3675959385279191</v>
      </c>
      <c r="L119" s="213">
        <f t="shared" si="12"/>
        <v>5.382448454535246</v>
      </c>
      <c r="M119" s="213">
        <f t="shared" si="12"/>
        <v>5.3844663382190854</v>
      </c>
      <c r="N119" s="213">
        <f t="shared" si="12"/>
        <v>5.4292576726604285</v>
      </c>
      <c r="O119" s="213">
        <f t="shared" si="12"/>
        <v>5.448450135869968</v>
      </c>
      <c r="P119" s="213">
        <f t="shared" si="12"/>
        <v>5.478708378954579</v>
      </c>
      <c r="Q119" s="882">
        <f>SUMPRODUCT(Q91:Q113,$C91:$C113,$F91:$F113)/SUMPRODUCT($C91:$C113,$F91:$F113)</f>
        <v>5.4895446362304359</v>
      </c>
    </row>
    <row r="124" spans="1:19" ht="18" thickBot="1">
      <c r="A124" s="196" t="s">
        <v>203</v>
      </c>
    </row>
    <row r="125" spans="1:19" ht="15" thickTop="1" thickBot="1">
      <c r="A125" s="184" t="s">
        <v>6</v>
      </c>
      <c r="B125" s="184" t="s">
        <v>7</v>
      </c>
      <c r="C125" s="184" t="s">
        <v>9</v>
      </c>
      <c r="D125" s="184" t="s">
        <v>10</v>
      </c>
      <c r="E125" s="184" t="s">
        <v>11</v>
      </c>
      <c r="F125" s="184" t="s">
        <v>12</v>
      </c>
      <c r="G125" s="200" t="s">
        <v>188</v>
      </c>
      <c r="H125" s="200" t="s">
        <v>189</v>
      </c>
      <c r="I125" s="200" t="s">
        <v>190</v>
      </c>
      <c r="J125" s="200" t="s">
        <v>191</v>
      </c>
      <c r="K125" s="200" t="s">
        <v>192</v>
      </c>
      <c r="L125" s="200" t="s">
        <v>193</v>
      </c>
      <c r="M125" s="200" t="s">
        <v>194</v>
      </c>
      <c r="N125" s="200" t="s">
        <v>195</v>
      </c>
      <c r="O125" s="200" t="s">
        <v>196</v>
      </c>
      <c r="P125" s="200" t="s">
        <v>197</v>
      </c>
      <c r="Q125" s="200" t="s">
        <v>198</v>
      </c>
      <c r="R125" s="184" t="s">
        <v>198</v>
      </c>
      <c r="S125" s="200" t="s">
        <v>200</v>
      </c>
    </row>
    <row r="126" spans="1:19" ht="14.5" thickTop="1">
      <c r="A126" s="185" t="s">
        <v>30</v>
      </c>
      <c r="B126" s="198" t="s">
        <v>31</v>
      </c>
      <c r="C126" s="228">
        <v>29166</v>
      </c>
      <c r="D126" s="211">
        <v>1</v>
      </c>
      <c r="E126" s="199"/>
      <c r="F126" s="211">
        <v>1</v>
      </c>
      <c r="G126" s="203">
        <f>1000*'Footprint Summary'!G188/'Intensity Summary'!$C126</f>
        <v>0</v>
      </c>
      <c r="H126" s="193">
        <f>(H68*VLOOKUP($A126,Assumptions!$A$3:$N$14,4,FALSE))+(H97*VLOOKUP($A126,Assumptions!$A$17:$N$29,4,FALSE))/1000</f>
        <v>0.28251356891948853</v>
      </c>
      <c r="I126" s="193">
        <f>(I68*VLOOKUP($A126,Assumptions!$A$3:$N$14,5,FALSE))+(I97*VLOOKUP($A126,Assumptions!$A$17:$N$29,5,FALSE))/1000</f>
        <v>0.28251356923159043</v>
      </c>
      <c r="J126" s="193">
        <f>(J68*VLOOKUP($A126,Assumptions!$A$3:$N$14,6,FALSE)+(J97*VLOOKUP($A126,Assumptions!$A$17:$N$29,6,FALSE))/1000)</f>
        <v>0.28251356923159043</v>
      </c>
      <c r="K126" s="193">
        <f>(K68*VLOOKUP($A126,Assumptions!$A$3:$N$14,7,FALSE)+(K97*VLOOKUP($A126,Assumptions!$A$17:$N$29,7,FALSE))/1000)</f>
        <v>0.28802772370692237</v>
      </c>
      <c r="L126" s="193">
        <f>(L68*VLOOKUP($A126,Assumptions!$A$3:$N$14,8,FALSE)+(L97*VLOOKUP($A126,Assumptions!$A$17:$N$29,8,FALSE))/1000)</f>
        <v>0.28802772370692237</v>
      </c>
      <c r="M126" s="193">
        <f>(M68*VLOOKUP($A126,Assumptions!$A$3:$N$14,9,FALSE)+(M97*VLOOKUP($A126,Assumptions!$A$17:$N$29,9,FALSE))/1000)</f>
        <v>0.28802772370692237</v>
      </c>
      <c r="N126" s="193">
        <f>(N68*VLOOKUP($A126,Assumptions!$A$3:$N$14,10,FALSE)+(N97*VLOOKUP($A126,Assumptions!$A$17:$N$29,10,FALSE))/1000)</f>
        <v>0.28802772370692237</v>
      </c>
      <c r="O126" s="193">
        <f>(O68*VLOOKUP($A126,Assumptions!$A$3:$N$14,11,FALSE)+(O97*VLOOKUP($A126,Assumptions!$A$17:$N$29,11,FALSE))/1000)</f>
        <v>0.29178465068689763</v>
      </c>
      <c r="P126" s="193">
        <f>(P68*VLOOKUP($A126,Assumptions!$A$3:$N$14,12,FALSE)+(P97*VLOOKUP($A126,Assumptions!$A$17:$N$29,12,FALSE))/1000)</f>
        <v>0.29178465068689763</v>
      </c>
      <c r="Q126" s="193">
        <f>(Q68*VLOOKUP($A126,Assumptions!$A$3:$N$14,13,FALSE)+(Q97*VLOOKUP($A126,Assumptions!$A$17:$N$29,13,FALSE))/1000)</f>
        <v>0.29178465068689763</v>
      </c>
      <c r="R126" s="193">
        <f>(R68*VLOOKUP($A126,Assumptions!$A$3:$N$14,14,FALSE)+(R97*VLOOKUP($A126,Assumptions!$A$17:$N$29,14,FALSE))/1000)</f>
        <v>0</v>
      </c>
      <c r="S126" s="199" t="e">
        <f>(R126-G126)/G126</f>
        <v>#DIV/0!</v>
      </c>
    </row>
    <row r="127" spans="1:19" ht="14">
      <c r="A127" s="185" t="s">
        <v>37</v>
      </c>
      <c r="B127" s="182" t="s">
        <v>38</v>
      </c>
      <c r="C127" s="228">
        <v>62987</v>
      </c>
      <c r="D127" s="211">
        <v>0.5</v>
      </c>
      <c r="E127" s="199"/>
      <c r="F127" s="211">
        <v>1</v>
      </c>
      <c r="G127" s="203">
        <f>1000*'Footprint Summary'!G189/'Intensity Summary'!$C127</f>
        <v>0</v>
      </c>
      <c r="H127" s="193">
        <f>(H69*VLOOKUP($A127,Assumptions!$A$3:$N$14,4,FALSE))+(H98*VLOOKUP($A127,Assumptions!$A$17:$N$29,4,FALSE))/1000</f>
        <v>1.2636557255762892</v>
      </c>
      <c r="I127" s="193">
        <f>(I69*VLOOKUP($A127,Assumptions!$A$3:$N$14,5,FALSE))+(I98*VLOOKUP($A127,Assumptions!$A$17:$N$29,5,FALSE))/1000</f>
        <v>0.2650664402822428</v>
      </c>
      <c r="J127" s="193">
        <f>(J69*VLOOKUP($A127,Assumptions!$A$3:$N$14,6,FALSE)+(J98*VLOOKUP($A127,Assumptions!$A$17:$N$29,6,FALSE))/1000)</f>
        <v>0.27479491931255084</v>
      </c>
      <c r="K127" s="193">
        <f>(K69*VLOOKUP($A127,Assumptions!$A$3:$N$14,7,FALSE)+(K98*VLOOKUP($A127,Assumptions!$A$17:$N$29,7,FALSE))/1000)</f>
        <v>0.27479491931255084</v>
      </c>
      <c r="L127" s="193">
        <f>(L69*VLOOKUP($A127,Assumptions!$A$3:$N$14,8,FALSE)+(L98*VLOOKUP($A127,Assumptions!$A$17:$N$29,8,FALSE))/1000)</f>
        <v>0.27479491931255084</v>
      </c>
      <c r="M127" s="193">
        <f>(M69*VLOOKUP($A127,Assumptions!$A$3:$N$14,9,FALSE)+(M98*VLOOKUP($A127,Assumptions!$A$17:$N$29,9,FALSE))/1000)</f>
        <v>0.27479491931255084</v>
      </c>
      <c r="N127" s="193">
        <f>(N69*VLOOKUP($A127,Assumptions!$A$3:$N$14,10,FALSE)+(N98*VLOOKUP($A127,Assumptions!$A$17:$N$29,10,FALSE))/1000)</f>
        <v>0.27408836710955647</v>
      </c>
      <c r="O127" s="193">
        <f>(O69*VLOOKUP($A127,Assumptions!$A$3:$N$14,11,FALSE)+(O98*VLOOKUP($A127,Assumptions!$A$17:$N$29,11,FALSE))/1000)</f>
        <v>0.27408836710955647</v>
      </c>
      <c r="P127" s="193">
        <f>(P69*VLOOKUP($A127,Assumptions!$A$3:$N$14,12,FALSE)+(P98*VLOOKUP($A127,Assumptions!$A$17:$N$29,12,FALSE))/1000)</f>
        <v>0.27408836710955647</v>
      </c>
      <c r="Q127" s="193">
        <f>(Q69*VLOOKUP($A127,Assumptions!$A$3:$N$14,13,FALSE)+(Q98*VLOOKUP($A127,Assumptions!$A$17:$N$29,13,FALSE))/1000)</f>
        <v>0.28597303771094151</v>
      </c>
      <c r="R127" s="193">
        <f>(R69*VLOOKUP($A127,Assumptions!$A$3:$N$14,14,FALSE)+(R98*VLOOKUP($A127,Assumptions!$A$17:$N$29,14,FALSE))/1000)</f>
        <v>0</v>
      </c>
      <c r="S127" s="199" t="e">
        <f t="shared" ref="S127:S138" si="13">(R127-G127)/G127</f>
        <v>#DIV/0!</v>
      </c>
    </row>
    <row r="128" spans="1:19" ht="14">
      <c r="A128" s="185" t="s">
        <v>30</v>
      </c>
      <c r="B128" s="182" t="s">
        <v>42</v>
      </c>
      <c r="C128" s="231">
        <v>42132</v>
      </c>
      <c r="D128" s="211">
        <v>0.5</v>
      </c>
      <c r="E128" s="199">
        <v>1</v>
      </c>
      <c r="F128" s="211">
        <v>1</v>
      </c>
      <c r="G128" s="203">
        <f>1000*'Footprint Summary'!G190/'Intensity Summary'!$C128</f>
        <v>0</v>
      </c>
      <c r="H128" s="193">
        <f>(H70*VLOOKUP($A128,Assumptions!$A$3:$N$14,4,FALSE))+(H99*VLOOKUP($A128,Assumptions!$A$17:$N$29,4,FALSE))/1000</f>
        <v>0.29942570743603636</v>
      </c>
      <c r="I128" s="193">
        <f>(I70*VLOOKUP($A128,Assumptions!$A$3:$N$14,5,FALSE))+(I99*VLOOKUP($A128,Assumptions!$A$17:$N$29,5,FALSE))/1000</f>
        <v>0.29942570743603636</v>
      </c>
      <c r="J128" s="193">
        <f>(J70*VLOOKUP($A128,Assumptions!$A$3:$N$14,6,FALSE)+(J99*VLOOKUP($A128,Assumptions!$A$17:$N$29,6,FALSE))/1000)</f>
        <v>0.29942570743603636</v>
      </c>
      <c r="K128" s="193">
        <f>(K70*VLOOKUP($A128,Assumptions!$A$3:$N$14,7,FALSE)+(K99*VLOOKUP($A128,Assumptions!$A$17:$N$29,7,FALSE))/1000)</f>
        <v>0.30144868453397589</v>
      </c>
      <c r="L128" s="193">
        <f>(L70*VLOOKUP($A128,Assumptions!$A$3:$N$14,8,FALSE)+(L99*VLOOKUP($A128,Assumptions!$A$17:$N$29,8,FALSE))/1000)</f>
        <v>0.30279733593260227</v>
      </c>
      <c r="M128" s="193">
        <f>(M70*VLOOKUP($A128,Assumptions!$A$3:$N$14,9,FALSE)+(M99*VLOOKUP($A128,Assumptions!$A$17:$N$29,9,FALSE))/1000)</f>
        <v>0.30279733593260227</v>
      </c>
      <c r="N128" s="193">
        <f>(N70*VLOOKUP($A128,Assumptions!$A$3:$N$14,10,FALSE)+(N99*VLOOKUP($A128,Assumptions!$A$17:$N$29,10,FALSE))/1000)</f>
        <v>0.30228966608362051</v>
      </c>
      <c r="O128" s="193">
        <f>(O70*VLOOKUP($A128,Assumptions!$A$3:$N$14,11,FALSE)+(O99*VLOOKUP($A128,Assumptions!$A$17:$N$29,11,FALSE))/1000)</f>
        <v>0.30228966608362051</v>
      </c>
      <c r="P128" s="193">
        <f>(P70*VLOOKUP($A128,Assumptions!$A$3:$N$14,12,FALSE)+(P99*VLOOKUP($A128,Assumptions!$A$17:$N$29,12,FALSE))/1000)</f>
        <v>0.30228966608362051</v>
      </c>
      <c r="Q128" s="193">
        <f>(Q70*VLOOKUP($A128,Assumptions!$A$3:$N$14,13,FALSE)+(Q99*VLOOKUP($A128,Assumptions!$A$17:$N$29,13,FALSE))/1000)</f>
        <v>0.30228966608362051</v>
      </c>
      <c r="R128" s="193">
        <f>(R70*VLOOKUP($A128,Assumptions!$A$3:$N$14,14,FALSE)+(R99*VLOOKUP($A128,Assumptions!$A$17:$N$29,14,FALSE))/1000)</f>
        <v>0</v>
      </c>
      <c r="S128" s="199" t="e">
        <f t="shared" si="13"/>
        <v>#DIV/0!</v>
      </c>
    </row>
    <row r="129" spans="1:19" ht="14">
      <c r="A129" s="185" t="s">
        <v>30</v>
      </c>
      <c r="B129" s="182" t="s">
        <v>43</v>
      </c>
      <c r="C129" s="231">
        <v>12509</v>
      </c>
      <c r="D129" s="211">
        <v>1</v>
      </c>
      <c r="E129" s="199"/>
      <c r="F129" s="211">
        <v>1</v>
      </c>
      <c r="G129" s="203">
        <f>1000*'Footprint Summary'!G191/'Intensity Summary'!$C129</f>
        <v>0</v>
      </c>
      <c r="H129" s="193">
        <f>(H71*VLOOKUP($A129,Assumptions!$A$3:$N$14,4,FALSE))+(H100*VLOOKUP($A129,Assumptions!$A$17:$N$29,4,FALSE))/1000</f>
        <v>0.28345013985075795</v>
      </c>
      <c r="I129" s="193">
        <f>(I71*VLOOKUP($A129,Assumptions!$A$3:$N$14,5,FALSE))+(I100*VLOOKUP($A129,Assumptions!$A$17:$N$29,5,FALSE))/1000</f>
        <v>0.28345013985075795</v>
      </c>
      <c r="J129" s="193">
        <f>(J71*VLOOKUP($A129,Assumptions!$A$3:$N$14,6,FALSE)+(J100*VLOOKUP($A129,Assumptions!$A$17:$N$29,6,FALSE))/1000)</f>
        <v>0.28345013985075795</v>
      </c>
      <c r="K129" s="193">
        <f>(K71*VLOOKUP($A129,Assumptions!$A$3:$N$14,7,FALSE)+(K100*VLOOKUP($A129,Assumptions!$A$17:$N$29,7,FALSE))/1000)</f>
        <v>0.29023007706207604</v>
      </c>
      <c r="L129" s="193">
        <f>(L71*VLOOKUP($A129,Assumptions!$A$3:$N$14,8,FALSE)+(L100*VLOOKUP($A129,Assumptions!$A$17:$N$29,8,FALSE))/1000)</f>
        <v>0.29107756921349071</v>
      </c>
      <c r="M129" s="193">
        <f>(M71*VLOOKUP($A129,Assumptions!$A$3:$N$14,9,FALSE)+(M100*VLOOKUP($A129,Assumptions!$A$17:$N$29,9,FALSE))/1000)</f>
        <v>0.29107756921349071</v>
      </c>
      <c r="N129" s="193">
        <f>(N71*VLOOKUP($A129,Assumptions!$A$3:$N$14,10,FALSE)+(N100*VLOOKUP($A129,Assumptions!$A$17:$N$29,10,FALSE))/1000)</f>
        <v>0.29070032848487731</v>
      </c>
      <c r="O129" s="193">
        <f>(O71*VLOOKUP($A129,Assumptions!$A$3:$N$14,11,FALSE)+(O100*VLOOKUP($A129,Assumptions!$A$17:$N$29,11,FALSE))/1000)</f>
        <v>0.29302302197452135</v>
      </c>
      <c r="P129" s="193">
        <f>(P71*VLOOKUP($A129,Assumptions!$A$3:$N$14,12,FALSE)+(P100*VLOOKUP($A129,Assumptions!$A$17:$N$29,12,FALSE))/1000)</f>
        <v>0.29404001255621903</v>
      </c>
      <c r="Q129" s="193">
        <f>(Q71*VLOOKUP($A129,Assumptions!$A$3:$N$14,13,FALSE)+(Q100*VLOOKUP($A129,Assumptions!$A$17:$N$29,13,FALSE))/1000)</f>
        <v>0.29404001255621903</v>
      </c>
      <c r="R129" s="193">
        <f>(R71*VLOOKUP($A129,Assumptions!$A$3:$N$14,14,FALSE)+(R100*VLOOKUP($A129,Assumptions!$A$17:$N$29,14,FALSE))/1000)</f>
        <v>0</v>
      </c>
      <c r="S129" s="199" t="e">
        <f t="shared" si="13"/>
        <v>#DIV/0!</v>
      </c>
    </row>
    <row r="130" spans="1:19" ht="14">
      <c r="A130" s="185" t="s">
        <v>30</v>
      </c>
      <c r="B130" s="182" t="s">
        <v>46</v>
      </c>
      <c r="C130" s="231">
        <v>27263</v>
      </c>
      <c r="D130" s="211">
        <v>1</v>
      </c>
      <c r="E130" s="199"/>
      <c r="F130" s="211">
        <v>1</v>
      </c>
      <c r="G130" s="203">
        <f>1000*'Footprint Summary'!G192/'Intensity Summary'!$C130</f>
        <v>0</v>
      </c>
      <c r="H130" s="193">
        <f>(H72*VLOOKUP($A130,Assumptions!$A$3:$N$14,4,FALSE))+(H101*VLOOKUP($A130,Assumptions!$A$17:$N$29,4,FALSE))/1000</f>
        <v>0.29854956278933908</v>
      </c>
      <c r="I130" s="193">
        <f>(I72*VLOOKUP($A130,Assumptions!$A$3:$N$14,5,FALSE))+(I101*VLOOKUP($A130,Assumptions!$A$17:$N$29,5,FALSE))/1000</f>
        <v>0.30107763350021532</v>
      </c>
      <c r="J130" s="193">
        <f>(J72*VLOOKUP($A130,Assumptions!$A$3:$N$14,6,FALSE)+(J101*VLOOKUP($A130,Assumptions!$A$17:$N$29,6,FALSE))/1000)</f>
        <v>0.30162813466003757</v>
      </c>
      <c r="K130" s="193">
        <f>(K72*VLOOKUP($A130,Assumptions!$A$3:$N$14,7,FALSE)+(K101*VLOOKUP($A130,Assumptions!$A$17:$N$29,7,FALSE))/1000)</f>
        <v>0.30597037868706373</v>
      </c>
      <c r="L130" s="193">
        <f>(L72*VLOOKUP($A130,Assumptions!$A$3:$N$14,8,FALSE)+(L101*VLOOKUP($A130,Assumptions!$A$17:$N$29,8,FALSE))/1000)</f>
        <v>0.30845852510170191</v>
      </c>
      <c r="M130" s="193">
        <f>(M72*VLOOKUP($A130,Assumptions!$A$3:$N$14,9,FALSE)+(M101*VLOOKUP($A130,Assumptions!$A$17:$N$29,9,FALSE))/1000)</f>
        <v>0.30929419407229808</v>
      </c>
      <c r="N130" s="193">
        <f>(N72*VLOOKUP($A130,Assumptions!$A$3:$N$14,10,FALSE)+(N101*VLOOKUP($A130,Assumptions!$A$17:$N$29,10,FALSE))/1000)</f>
        <v>0.30929419407229808</v>
      </c>
      <c r="O130" s="193">
        <f>(O72*VLOOKUP($A130,Assumptions!$A$3:$N$14,11,FALSE)+(O101*VLOOKUP($A130,Assumptions!$A$17:$N$29,11,FALSE))/1000)</f>
        <v>0.30929419407229808</v>
      </c>
      <c r="P130" s="193">
        <f>(P72*VLOOKUP($A130,Assumptions!$A$3:$N$14,12,FALSE)+(P101*VLOOKUP($A130,Assumptions!$A$17:$N$29,12,FALSE))/1000)</f>
        <v>0.30929419407229808</v>
      </c>
      <c r="Q130" s="193">
        <f>(Q72*VLOOKUP($A130,Assumptions!$A$3:$N$14,13,FALSE)+(Q101*VLOOKUP($A130,Assumptions!$A$17:$N$29,13,FALSE))/1000)</f>
        <v>0.30929419407229808</v>
      </c>
      <c r="R130" s="193">
        <f>(R72*VLOOKUP($A130,Assumptions!$A$3:$N$14,14,FALSE)+(R101*VLOOKUP($A130,Assumptions!$A$17:$N$29,14,FALSE))/1000)</f>
        <v>0</v>
      </c>
      <c r="S130" s="199" t="e">
        <f t="shared" si="13"/>
        <v>#DIV/0!</v>
      </c>
    </row>
    <row r="131" spans="1:19" ht="14">
      <c r="A131" s="185" t="s">
        <v>30</v>
      </c>
      <c r="B131" s="182" t="s">
        <v>47</v>
      </c>
      <c r="C131" s="231">
        <v>39057</v>
      </c>
      <c r="D131" s="211">
        <v>1</v>
      </c>
      <c r="E131" s="199"/>
      <c r="F131" s="211">
        <v>1</v>
      </c>
      <c r="G131" s="203">
        <f>1000*'Footprint Summary'!G193/'Intensity Summary'!$C131</f>
        <v>0</v>
      </c>
      <c r="H131" s="193">
        <f>(H73*VLOOKUP($A131,Assumptions!$A$3:$N$14,4,FALSE))+(H102*VLOOKUP($A131,Assumptions!$A$17:$N$29,4,FALSE))/1000</f>
        <v>0.27140811754562438</v>
      </c>
      <c r="I131" s="193">
        <f>(I73*VLOOKUP($A131,Assumptions!$A$3:$N$14,5,FALSE))+(I102*VLOOKUP($A131,Assumptions!$A$17:$N$29,5,FALSE))/1000</f>
        <v>0.27140811754562438</v>
      </c>
      <c r="J131" s="193">
        <f>(J73*VLOOKUP($A131,Assumptions!$A$3:$N$14,6,FALSE)+(J102*VLOOKUP($A131,Assumptions!$A$17:$N$29,6,FALSE))/1000)</f>
        <v>0.27140811754562438</v>
      </c>
      <c r="K131" s="193">
        <f>(K73*VLOOKUP($A131,Assumptions!$A$3:$N$14,7,FALSE)+(K102*VLOOKUP($A131,Assumptions!$A$17:$N$29,7,FALSE))/1000)</f>
        <v>0.27140811754562438</v>
      </c>
      <c r="L131" s="193">
        <f>(L73*VLOOKUP($A131,Assumptions!$A$3:$N$14,8,FALSE)+(L102*VLOOKUP($A131,Assumptions!$A$17:$N$29,8,FALSE))/1000)</f>
        <v>0.27140811754562438</v>
      </c>
      <c r="M131" s="193">
        <f>(M73*VLOOKUP($A131,Assumptions!$A$3:$N$14,9,FALSE)+(M102*VLOOKUP($A131,Assumptions!$A$17:$N$29,9,FALSE))/1000)</f>
        <v>0.27140811754562438</v>
      </c>
      <c r="N131" s="193">
        <f>(N73*VLOOKUP($A131,Assumptions!$A$3:$N$14,10,FALSE)+(N102*VLOOKUP($A131,Assumptions!$A$17:$N$29,10,FALSE))/1000)</f>
        <v>0.27140811754562438</v>
      </c>
      <c r="O131" s="193">
        <f>(O73*VLOOKUP($A131,Assumptions!$A$3:$N$14,11,FALSE)+(O102*VLOOKUP($A131,Assumptions!$A$17:$N$29,11,FALSE))/1000)</f>
        <v>0.27140811754562438</v>
      </c>
      <c r="P131" s="193">
        <f>(P73*VLOOKUP($A131,Assumptions!$A$3:$N$14,12,FALSE)+(P102*VLOOKUP($A131,Assumptions!$A$17:$N$29,12,FALSE))/1000)</f>
        <v>0.27140811754562438</v>
      </c>
      <c r="Q131" s="193">
        <f>(Q73*VLOOKUP($A131,Assumptions!$A$3:$N$14,13,FALSE)+(Q102*VLOOKUP($A131,Assumptions!$A$17:$N$29,13,FALSE))/1000)</f>
        <v>0.27140811754562438</v>
      </c>
      <c r="R131" s="193">
        <f>(R73*VLOOKUP($A131,Assumptions!$A$3:$N$14,14,FALSE)+(R102*VLOOKUP($A131,Assumptions!$A$17:$N$29,14,FALSE))/1000)</f>
        <v>0</v>
      </c>
      <c r="S131" s="199" t="e">
        <f t="shared" si="13"/>
        <v>#DIV/0!</v>
      </c>
    </row>
    <row r="132" spans="1:19" ht="14">
      <c r="A132" s="185" t="s">
        <v>48</v>
      </c>
      <c r="B132" s="182" t="s">
        <v>49</v>
      </c>
      <c r="C132" s="231">
        <v>24754</v>
      </c>
      <c r="D132" s="211">
        <v>1</v>
      </c>
      <c r="E132" s="199"/>
      <c r="F132" s="211">
        <v>1</v>
      </c>
      <c r="G132" s="203">
        <f>1000*'Footprint Summary'!G194/'Intensity Summary'!$C132</f>
        <v>0</v>
      </c>
      <c r="H132" s="193">
        <f>(H74*VLOOKUP($A132,Assumptions!$A$3:$N$14,4,FALSE))+(H103*VLOOKUP($A132,Assumptions!$A$17:$N$29,4,FALSE))/1000</f>
        <v>1.2561301714212396</v>
      </c>
      <c r="I132" s="193">
        <f>(I74*VLOOKUP($A132,Assumptions!$A$3:$N$14,5,FALSE))+(I103*VLOOKUP($A132,Assumptions!$A$17:$N$29,5,FALSE))/1000</f>
        <v>0.29258584423049289</v>
      </c>
      <c r="J132" s="193">
        <f>(J74*VLOOKUP($A132,Assumptions!$A$3:$N$14,6,FALSE)+(J103*VLOOKUP($A132,Assumptions!$A$17:$N$29,6,FALSE))/1000)</f>
        <v>0.29258584423049289</v>
      </c>
      <c r="K132" s="193">
        <f>(K74*VLOOKUP($A132,Assumptions!$A$3:$N$14,7,FALSE)+(K103*VLOOKUP($A132,Assumptions!$A$17:$N$29,7,FALSE))/1000)</f>
        <v>0.29258584423049289</v>
      </c>
      <c r="L132" s="193">
        <f>(L74*VLOOKUP($A132,Assumptions!$A$3:$N$14,8,FALSE)+(L103*VLOOKUP($A132,Assumptions!$A$17:$N$29,8,FALSE))/1000)</f>
        <v>0.29258584423049289</v>
      </c>
      <c r="M132" s="193">
        <f>(M74*VLOOKUP($A132,Assumptions!$A$3:$N$14,9,FALSE)+(M103*VLOOKUP($A132,Assumptions!$A$17:$N$29,9,FALSE))/1000)</f>
        <v>0.29258584423049289</v>
      </c>
      <c r="N132" s="193">
        <f>(N74*VLOOKUP($A132,Assumptions!$A$3:$N$14,10,FALSE)+(N103*VLOOKUP($A132,Assumptions!$A$17:$N$29,10,FALSE))/1000)</f>
        <v>0.29258584423049289</v>
      </c>
      <c r="O132" s="193">
        <f>(O74*VLOOKUP($A132,Assumptions!$A$3:$N$14,11,FALSE)+(O103*VLOOKUP($A132,Assumptions!$A$17:$N$29,11,FALSE))/1000)</f>
        <v>0.29258584423049289</v>
      </c>
      <c r="P132" s="193">
        <f>(P74*VLOOKUP($A132,Assumptions!$A$3:$N$14,12,FALSE)+(P103*VLOOKUP($A132,Assumptions!$A$17:$N$29,12,FALSE))/1000)</f>
        <v>0.28931198258856172</v>
      </c>
      <c r="Q132" s="193">
        <f>(Q74*VLOOKUP($A132,Assumptions!$A$3:$N$14,13,FALSE)+(Q103*VLOOKUP($A132,Assumptions!$A$17:$N$29,13,FALSE))/1000)</f>
        <v>0.28931198258856172</v>
      </c>
      <c r="R132" s="193">
        <f>(R74*VLOOKUP($A132,Assumptions!$A$3:$N$14,14,FALSE)+(R103*VLOOKUP($A132,Assumptions!$A$17:$N$29,14,FALSE))/1000)</f>
        <v>0</v>
      </c>
      <c r="S132" s="199" t="e">
        <f t="shared" si="13"/>
        <v>#DIV/0!</v>
      </c>
    </row>
    <row r="133" spans="1:19" ht="14">
      <c r="A133" s="185" t="s">
        <v>30</v>
      </c>
      <c r="B133" s="182" t="s">
        <v>92</v>
      </c>
      <c r="C133" s="231">
        <v>26819</v>
      </c>
      <c r="D133" s="212">
        <v>0</v>
      </c>
      <c r="E133" s="199">
        <v>1</v>
      </c>
      <c r="F133" s="211">
        <v>1</v>
      </c>
      <c r="G133" s="203">
        <f>1000*'Footprint Summary'!G195/'Intensity Summary'!$C133</f>
        <v>0</v>
      </c>
      <c r="H133" s="193">
        <f>(H75*VLOOKUP($A133,Assumptions!$A$3:$N$14,4,FALSE))+(H104*VLOOKUP($A133,Assumptions!$A$17:$N$29,4,FALSE))/1000</f>
        <v>0</v>
      </c>
      <c r="I133" s="193">
        <f>(I75*VLOOKUP($A133,Assumptions!$A$3:$N$14,5,FALSE))+(I104*VLOOKUP($A133,Assumptions!$A$17:$N$29,5,FALSE))/1000</f>
        <v>0</v>
      </c>
      <c r="J133" s="193">
        <f>(J75*VLOOKUP($A133,Assumptions!$A$3:$N$14,6,FALSE)+(J104*VLOOKUP($A133,Assumptions!$A$17:$N$29,6,FALSE))/1000)</f>
        <v>0</v>
      </c>
      <c r="K133" s="193">
        <f>(K75*VLOOKUP($A133,Assumptions!$A$3:$N$14,7,FALSE)+(K104*VLOOKUP($A133,Assumptions!$A$17:$N$29,7,FALSE))/1000)</f>
        <v>0</v>
      </c>
      <c r="L133" s="193">
        <f>(L75*VLOOKUP($A133,Assumptions!$A$3:$N$14,8,FALSE)+(L104*VLOOKUP($A133,Assumptions!$A$17:$N$29,8,FALSE))/1000)</f>
        <v>0</v>
      </c>
      <c r="M133" s="193">
        <f>(M75*VLOOKUP($A133,Assumptions!$A$3:$N$14,9,FALSE)+(M104*VLOOKUP($A133,Assumptions!$A$17:$N$29,9,FALSE))/1000)</f>
        <v>0</v>
      </c>
      <c r="N133" s="193">
        <f>(N75*VLOOKUP($A133,Assumptions!$A$3:$N$14,10,FALSE)+(N104*VLOOKUP($A133,Assumptions!$A$17:$N$29,10,FALSE))/1000)</f>
        <v>0</v>
      </c>
      <c r="O133" s="193">
        <f>(O75*VLOOKUP($A133,Assumptions!$A$3:$N$14,11,FALSE)+(O104*VLOOKUP($A133,Assumptions!$A$17:$N$29,11,FALSE))/1000)</f>
        <v>0</v>
      </c>
      <c r="P133" s="193">
        <f>(P75*VLOOKUP($A133,Assumptions!$A$3:$N$14,12,FALSE)+(P104*VLOOKUP($A133,Assumptions!$A$17:$N$29,12,FALSE))/1000)</f>
        <v>0</v>
      </c>
      <c r="Q133" s="193">
        <f>(Q75*VLOOKUP($A133,Assumptions!$A$3:$N$14,13,FALSE)+(Q104*VLOOKUP($A133,Assumptions!$A$17:$N$29,13,FALSE))/1000)</f>
        <v>0</v>
      </c>
      <c r="R133" s="193">
        <f>(R75*VLOOKUP($A133,Assumptions!$A$3:$N$14,14,FALSE)+(R104*VLOOKUP($A133,Assumptions!$A$17:$N$29,14,FALSE))/1000)</f>
        <v>0</v>
      </c>
      <c r="S133" s="199" t="e">
        <f t="shared" si="13"/>
        <v>#DIV/0!</v>
      </c>
    </row>
    <row r="134" spans="1:19" ht="14">
      <c r="A134" s="185" t="s">
        <v>30</v>
      </c>
      <c r="B134" s="182" t="s">
        <v>52</v>
      </c>
      <c r="C134" s="231">
        <v>28396</v>
      </c>
      <c r="D134" s="211">
        <v>0.75</v>
      </c>
      <c r="E134" s="199"/>
      <c r="F134" s="211">
        <v>1</v>
      </c>
      <c r="G134" s="203">
        <f>1000*'Footprint Summary'!G196/'Intensity Summary'!$C134</f>
        <v>0</v>
      </c>
      <c r="H134" s="193">
        <f>(H76*VLOOKUP($A134,Assumptions!$A$3:$N$14,4,FALSE))+(H105*VLOOKUP($A134,Assumptions!$A$17:$N$29,4,FALSE))/1000</f>
        <v>0.24220720775655802</v>
      </c>
      <c r="I134" s="193">
        <f>(I76*VLOOKUP($A134,Assumptions!$A$3:$N$14,5,FALSE))+(I105*VLOOKUP($A134,Assumptions!$A$17:$N$29,5,FALSE))/1000</f>
        <v>0.24220720775655802</v>
      </c>
      <c r="J134" s="193">
        <f>(J76*VLOOKUP($A134,Assumptions!$A$3:$N$14,6,FALSE)+(J105*VLOOKUP($A134,Assumptions!$A$17:$N$29,6,FALSE))/1000)</f>
        <v>0.24377868255934348</v>
      </c>
      <c r="K134" s="193">
        <f>(K76*VLOOKUP($A134,Assumptions!$A$3:$N$14,7,FALSE)+(K105*VLOOKUP($A134,Assumptions!$A$17:$N$29,7,FALSE))/1000)</f>
        <v>0.2461544102288647</v>
      </c>
      <c r="L134" s="193">
        <f>(L76*VLOOKUP($A134,Assumptions!$A$3:$N$14,8,FALSE)+(L105*VLOOKUP($A134,Assumptions!$A$17:$N$29,8,FALSE))/1000)</f>
        <v>0.2461544102288647</v>
      </c>
      <c r="M134" s="193">
        <f>(M76*VLOOKUP($A134,Assumptions!$A$3:$N$14,9,FALSE)+(M105*VLOOKUP($A134,Assumptions!$A$17:$N$29,9,FALSE))/1000)</f>
        <v>0.2461544102288647</v>
      </c>
      <c r="N134" s="193">
        <f>(N76*VLOOKUP($A134,Assumptions!$A$3:$N$14,10,FALSE)+(N105*VLOOKUP($A134,Assumptions!$A$17:$N$29,10,FALSE))/1000)</f>
        <v>0.2711593750584963</v>
      </c>
      <c r="O134" s="193">
        <f>(O76*VLOOKUP($A134,Assumptions!$A$3:$N$14,11,FALSE)+(O105*VLOOKUP($A134,Assumptions!$A$17:$N$29,11,FALSE))/1000)</f>
        <v>0.2711593750584963</v>
      </c>
      <c r="P134" s="193">
        <f>(P76*VLOOKUP($A134,Assumptions!$A$3:$N$14,12,FALSE)+(P105*VLOOKUP($A134,Assumptions!$A$17:$N$29,12,FALSE))/1000)</f>
        <v>0.2711593750584963</v>
      </c>
      <c r="Q134" s="193">
        <f>(Q76*VLOOKUP($A134,Assumptions!$A$3:$N$14,13,FALSE)+(Q105*VLOOKUP($A134,Assumptions!$A$17:$N$29,13,FALSE))/1000)</f>
        <v>0.2711593750584963</v>
      </c>
      <c r="R134" s="193">
        <f>(R76*VLOOKUP($A134,Assumptions!$A$3:$N$14,14,FALSE)+(R105*VLOOKUP($A134,Assumptions!$A$17:$N$29,14,FALSE))/1000)</f>
        <v>0</v>
      </c>
      <c r="S134" s="199" t="e">
        <f t="shared" si="13"/>
        <v>#DIV/0!</v>
      </c>
    </row>
    <row r="135" spans="1:19" ht="14">
      <c r="A135" s="185" t="s">
        <v>30</v>
      </c>
      <c r="B135" s="182" t="s">
        <v>54</v>
      </c>
      <c r="C135" s="231">
        <v>37558</v>
      </c>
      <c r="D135" s="211">
        <v>0.75</v>
      </c>
      <c r="E135" s="199"/>
      <c r="F135" s="211">
        <v>1</v>
      </c>
      <c r="G135" s="203">
        <f>1000*'Footprint Summary'!G197/'Intensity Summary'!$C135</f>
        <v>0</v>
      </c>
      <c r="H135" s="193">
        <f>(H77*VLOOKUP($A135,Assumptions!$A$3:$N$14,4,FALSE))+(H106*VLOOKUP($A135,Assumptions!$A$17:$N$29,4,FALSE))/1000</f>
        <v>0.26368850217788392</v>
      </c>
      <c r="I135" s="193">
        <f>(I77*VLOOKUP($A135,Assumptions!$A$3:$N$14,5,FALSE))+(I106*VLOOKUP($A135,Assumptions!$A$17:$N$29,5,FALSE))/1000</f>
        <v>0.26368850217788392</v>
      </c>
      <c r="J135" s="193">
        <f>(J77*VLOOKUP($A135,Assumptions!$A$3:$N$14,6,FALSE)+(J106*VLOOKUP($A135,Assumptions!$A$17:$N$29,6,FALSE))/1000)</f>
        <v>0.26368850217788392</v>
      </c>
      <c r="K135" s="193">
        <f>(K77*VLOOKUP($A135,Assumptions!$A$3:$N$14,7,FALSE)+(K106*VLOOKUP($A135,Assumptions!$A$17:$N$29,7,FALSE))/1000)</f>
        <v>0.26702264133641768</v>
      </c>
      <c r="L135" s="193">
        <f>(L77*VLOOKUP($A135,Assumptions!$A$3:$N$14,8,FALSE)+(L106*VLOOKUP($A135,Assumptions!$A$17:$N$29,8,FALSE))/1000)</f>
        <v>0.26702264133641768</v>
      </c>
      <c r="M135" s="193">
        <f>(M77*VLOOKUP($A135,Assumptions!$A$3:$N$14,9,FALSE)+(M106*VLOOKUP($A135,Assumptions!$A$17:$N$29,9,FALSE))/1000)</f>
        <v>0.26702264133641768</v>
      </c>
      <c r="N135" s="193">
        <f>(N77*VLOOKUP($A135,Assumptions!$A$3:$N$14,10,FALSE)+(N106*VLOOKUP($A135,Assumptions!$A$17:$N$29,10,FALSE))/1000)</f>
        <v>0.26702264133641768</v>
      </c>
      <c r="O135" s="193">
        <f>(O77*VLOOKUP($A135,Assumptions!$A$3:$N$14,11,FALSE)+(O106*VLOOKUP($A135,Assumptions!$A$17:$N$29,11,FALSE))/1000)</f>
        <v>0.26702264133641768</v>
      </c>
      <c r="P135" s="193">
        <f>(P77*VLOOKUP($A135,Assumptions!$A$3:$N$14,12,FALSE)+(P106*VLOOKUP($A135,Assumptions!$A$17:$N$29,12,FALSE))/1000)</f>
        <v>0.26702264133641768</v>
      </c>
      <c r="Q135" s="193">
        <f>(Q77*VLOOKUP($A135,Assumptions!$A$3:$N$14,13,FALSE)+(Q106*VLOOKUP($A135,Assumptions!$A$17:$N$29,13,FALSE))/1000)</f>
        <v>0.26702264133641768</v>
      </c>
      <c r="R135" s="193">
        <f>(R77*VLOOKUP($A135,Assumptions!$A$3:$N$14,14,FALSE)+(R106*VLOOKUP($A135,Assumptions!$A$17:$N$29,14,FALSE))/1000)</f>
        <v>0</v>
      </c>
      <c r="S135" s="199" t="e">
        <f t="shared" si="13"/>
        <v>#DIV/0!</v>
      </c>
    </row>
    <row r="136" spans="1:19" ht="14">
      <c r="A136" s="185" t="s">
        <v>37</v>
      </c>
      <c r="B136" s="182" t="s">
        <v>55</v>
      </c>
      <c r="C136" s="231">
        <v>55051</v>
      </c>
      <c r="D136" s="211">
        <v>0.5</v>
      </c>
      <c r="E136" s="199">
        <v>1</v>
      </c>
      <c r="F136" s="211">
        <v>1</v>
      </c>
      <c r="G136" s="203">
        <f>1000*'Footprint Summary'!G198/'Intensity Summary'!$C136</f>
        <v>0</v>
      </c>
      <c r="H136" s="193">
        <f>(H78*VLOOKUP($A136,Assumptions!$A$3:$N$14,4,FALSE))+(H107*VLOOKUP($A136,Assumptions!$A$17:$N$29,4,FALSE))/1000</f>
        <v>2.6136129701948856</v>
      </c>
      <c r="I136" s="193">
        <f>(I78*VLOOKUP($A136,Assumptions!$A$3:$N$14,5,FALSE))+(I107*VLOOKUP($A136,Assumptions!$A$17:$N$29,5,FALSE))/1000</f>
        <v>0.3011754116970829</v>
      </c>
      <c r="J136" s="193">
        <f>(J78*VLOOKUP($A136,Assumptions!$A$3:$N$14,6,FALSE)+(J107*VLOOKUP($A136,Assumptions!$A$17:$N$29,6,FALSE))/1000)</f>
        <v>0.3011754116970829</v>
      </c>
      <c r="K136" s="193">
        <f>(K78*VLOOKUP($A136,Assumptions!$A$3:$N$14,7,FALSE)+(K107*VLOOKUP($A136,Assumptions!$A$17:$N$29,7,FALSE))/1000)</f>
        <v>0.3011754116970829</v>
      </c>
      <c r="L136" s="193">
        <f>(L78*VLOOKUP($A136,Assumptions!$A$3:$N$14,8,FALSE)+(L107*VLOOKUP($A136,Assumptions!$A$17:$N$29,8,FALSE))/1000)</f>
        <v>0.3011754116970829</v>
      </c>
      <c r="M136" s="193">
        <f>(M78*VLOOKUP($A136,Assumptions!$A$3:$N$14,9,FALSE)+(M107*VLOOKUP($A136,Assumptions!$A$17:$N$29,9,FALSE))/1000)</f>
        <v>0.3011754116970829</v>
      </c>
      <c r="N136" s="193">
        <f>(N78*VLOOKUP($A136,Assumptions!$A$3:$N$14,10,FALSE)+(N107*VLOOKUP($A136,Assumptions!$A$17:$N$29,10,FALSE))/1000)</f>
        <v>0.3011754116970829</v>
      </c>
      <c r="O136" s="193">
        <f>(O78*VLOOKUP($A136,Assumptions!$A$3:$N$14,11,FALSE)+(O107*VLOOKUP($A136,Assumptions!$A$17:$N$29,11,FALSE))/1000)</f>
        <v>0.3011754116970829</v>
      </c>
      <c r="P136" s="193">
        <f>(P78*VLOOKUP($A136,Assumptions!$A$3:$N$14,12,FALSE)+(P107*VLOOKUP($A136,Assumptions!$A$17:$N$29,12,FALSE))/1000)</f>
        <v>0.3011754116970829</v>
      </c>
      <c r="Q136" s="193">
        <f>(Q78*VLOOKUP($A136,Assumptions!$A$3:$N$14,13,FALSE)+(Q107*VLOOKUP($A136,Assumptions!$A$17:$N$29,13,FALSE))/1000)</f>
        <v>0.3011754116970829</v>
      </c>
      <c r="R136" s="193">
        <f>(R78*VLOOKUP($A136,Assumptions!$A$3:$N$14,14,FALSE)+(R107*VLOOKUP($A136,Assumptions!$A$17:$N$29,14,FALSE))/1000)</f>
        <v>0</v>
      </c>
      <c r="S136" s="199" t="e">
        <f t="shared" si="13"/>
        <v>#DIV/0!</v>
      </c>
    </row>
    <row r="137" spans="1:19" ht="14">
      <c r="A137" s="185" t="s">
        <v>30</v>
      </c>
      <c r="B137" s="182" t="s">
        <v>56</v>
      </c>
      <c r="C137" s="231">
        <v>39938</v>
      </c>
      <c r="D137" s="211">
        <v>0.5</v>
      </c>
      <c r="E137" s="199"/>
      <c r="F137" s="211">
        <v>1</v>
      </c>
      <c r="G137" s="203">
        <f>1000*'Footprint Summary'!G199/'Intensity Summary'!$C137</f>
        <v>0</v>
      </c>
      <c r="H137" s="193">
        <f>(H79*VLOOKUP($A137,Assumptions!$A$3:$N$14,4,FALSE))+(H108*VLOOKUP($A137,Assumptions!$A$17:$N$29,4,FALSE))/1000</f>
        <v>0.3011754116970829</v>
      </c>
      <c r="I137" s="193">
        <f>(I79*VLOOKUP($A137,Assumptions!$A$3:$N$14,5,FALSE))+(I108*VLOOKUP($A137,Assumptions!$A$17:$N$29,5,FALSE))/1000</f>
        <v>0.3011754116970829</v>
      </c>
      <c r="J137" s="193">
        <f>(J79*VLOOKUP($A137,Assumptions!$A$3:$N$14,6,FALSE)+(J108*VLOOKUP($A137,Assumptions!$A$17:$N$29,6,FALSE))/1000)</f>
        <v>0.3011754116970829</v>
      </c>
      <c r="K137" s="193">
        <f>(K79*VLOOKUP($A137,Assumptions!$A$3:$N$14,7,FALSE)+(K108*VLOOKUP($A137,Assumptions!$A$17:$N$29,7,FALSE))/1000)</f>
        <v>0.3011754116970829</v>
      </c>
      <c r="L137" s="193">
        <f>(L79*VLOOKUP($A137,Assumptions!$A$3:$N$14,8,FALSE)+(L108*VLOOKUP($A137,Assumptions!$A$17:$N$29,8,FALSE))/1000)</f>
        <v>0.3011754116970829</v>
      </c>
      <c r="M137" s="193">
        <f>(M79*VLOOKUP($A137,Assumptions!$A$3:$N$14,9,FALSE)+(M108*VLOOKUP($A137,Assumptions!$A$17:$N$29,9,FALSE))/1000)</f>
        <v>0.3011754116970829</v>
      </c>
      <c r="N137" s="193">
        <f>(N79*VLOOKUP($A137,Assumptions!$A$3:$N$14,10,FALSE)+(N108*VLOOKUP($A137,Assumptions!$A$17:$N$29,10,FALSE))/1000)</f>
        <v>0.3011754116970829</v>
      </c>
      <c r="O137" s="193">
        <f>(O79*VLOOKUP($A137,Assumptions!$A$3:$N$14,11,FALSE)+(O108*VLOOKUP($A137,Assumptions!$A$17:$N$29,11,FALSE))/1000)</f>
        <v>0.3011754116970829</v>
      </c>
      <c r="P137" s="193">
        <f>(P79*VLOOKUP($A137,Assumptions!$A$3:$N$14,12,FALSE)+(P108*VLOOKUP($A137,Assumptions!$A$17:$N$29,12,FALSE))/1000)</f>
        <v>0.3011754116970829</v>
      </c>
      <c r="Q137" s="193">
        <f>(Q79*VLOOKUP($A137,Assumptions!$A$3:$N$14,13,FALSE)+(Q108*VLOOKUP($A137,Assumptions!$A$17:$N$29,13,FALSE))/1000)</f>
        <v>0.3011754116970829</v>
      </c>
      <c r="R137" s="193">
        <f>(R79*VLOOKUP($A137,Assumptions!$A$3:$N$14,14,FALSE)+(R108*VLOOKUP($A137,Assumptions!$A$17:$N$29,14,FALSE))/1000)</f>
        <v>0</v>
      </c>
      <c r="S137" s="199" t="e">
        <f t="shared" si="13"/>
        <v>#DIV/0!</v>
      </c>
    </row>
    <row r="138" spans="1:19" ht="14">
      <c r="A138" s="185" t="s">
        <v>30</v>
      </c>
      <c r="B138" s="182" t="s">
        <v>93</v>
      </c>
      <c r="C138" s="231">
        <v>20404</v>
      </c>
      <c r="D138" s="212">
        <v>0</v>
      </c>
      <c r="E138" s="199">
        <v>1</v>
      </c>
      <c r="F138" s="211">
        <v>1</v>
      </c>
      <c r="G138" s="203">
        <f>1000*'Footprint Summary'!G200/'Intensity Summary'!$C138</f>
        <v>0</v>
      </c>
      <c r="H138" s="193">
        <f>(H80*VLOOKUP($A138,Assumptions!$A$3:$N$14,4,FALSE))+(H109*VLOOKUP($A138,Assumptions!$A$17:$N$29,4,FALSE))/1000</f>
        <v>0.3011754116970829</v>
      </c>
      <c r="I138" s="193">
        <f>(I80*VLOOKUP($A138,Assumptions!$A$3:$N$14,5,FALSE))+(I109*VLOOKUP($A138,Assumptions!$A$17:$N$29,5,FALSE))/1000</f>
        <v>0.3011754116970829</v>
      </c>
      <c r="J138" s="193">
        <f>(J80*VLOOKUP($A138,Assumptions!$A$3:$N$14,6,FALSE)+(J109*VLOOKUP($A138,Assumptions!$A$17:$N$29,6,FALSE))/1000)</f>
        <v>0.3011754116970829</v>
      </c>
      <c r="K138" s="193">
        <f>(K80*VLOOKUP($A138,Assumptions!$A$3:$N$14,7,FALSE)+(K109*VLOOKUP($A138,Assumptions!$A$17:$N$29,7,FALSE))/1000)</f>
        <v>0.3011754116970829</v>
      </c>
      <c r="L138" s="193">
        <f>(L80*VLOOKUP($A138,Assumptions!$A$3:$N$14,8,FALSE)+(L109*VLOOKUP($A138,Assumptions!$A$17:$N$29,8,FALSE))/1000)</f>
        <v>0.3011754116970829</v>
      </c>
      <c r="M138" s="193">
        <f>(M80*VLOOKUP($A138,Assumptions!$A$3:$N$14,9,FALSE)+(M109*VLOOKUP($A138,Assumptions!$A$17:$N$29,9,FALSE))/1000)</f>
        <v>0.3011754116970829</v>
      </c>
      <c r="N138" s="193">
        <f>(N80*VLOOKUP($A138,Assumptions!$A$3:$N$14,10,FALSE)+(N109*VLOOKUP($A138,Assumptions!$A$17:$N$29,10,FALSE))/1000)</f>
        <v>0.3011754116970829</v>
      </c>
      <c r="O138" s="193">
        <f>(O80*VLOOKUP($A138,Assumptions!$A$3:$N$14,11,FALSE)+(O109*VLOOKUP($A138,Assumptions!$A$17:$N$29,11,FALSE))/1000)</f>
        <v>0.3011754116970829</v>
      </c>
      <c r="P138" s="193">
        <f>(P80*VLOOKUP($A138,Assumptions!$A$3:$N$14,12,FALSE)+(P109*VLOOKUP($A138,Assumptions!$A$17:$N$29,12,FALSE))/1000)</f>
        <v>0.3011754116970829</v>
      </c>
      <c r="Q138" s="193">
        <f>(Q80*VLOOKUP($A138,Assumptions!$A$3:$N$14,13,FALSE)+(Q109*VLOOKUP($A138,Assumptions!$A$17:$N$29,13,FALSE))/1000)</f>
        <v>0.3011754116970829</v>
      </c>
      <c r="R138" s="193">
        <f>(R80*VLOOKUP($A138,Assumptions!$A$3:$N$14,14,FALSE)+(R109*VLOOKUP($A138,Assumptions!$A$17:$N$29,14,FALSE))/1000)</f>
        <v>0</v>
      </c>
      <c r="S138" s="199" t="e">
        <f t="shared" si="13"/>
        <v>#DIV/0!</v>
      </c>
    </row>
    <row r="139" spans="1:19" ht="14">
      <c r="A139" s="185" t="s">
        <v>37</v>
      </c>
      <c r="B139" s="182" t="s">
        <v>60</v>
      </c>
      <c r="C139" s="231">
        <v>1422</v>
      </c>
      <c r="D139" s="211">
        <v>1</v>
      </c>
      <c r="E139" s="199"/>
      <c r="F139" s="211">
        <v>1</v>
      </c>
      <c r="G139" s="203">
        <f>1000*'Footprint Summary'!G201/'Intensity Summary'!$C139</f>
        <v>0</v>
      </c>
      <c r="H139" s="193">
        <f>(H81*VLOOKUP($A139,Assumptions!$A$3:$N$14,4,FALSE))+(H110*VLOOKUP($A139,Assumptions!$A$17:$N$29,4,FALSE))/1000</f>
        <v>11.143207494926214</v>
      </c>
      <c r="I139" s="193">
        <f>(I81*VLOOKUP($A139,Assumptions!$A$3:$N$14,5,FALSE))+(I110*VLOOKUP($A139,Assumptions!$A$17:$N$29,5,FALSE))/1000</f>
        <v>0.23343123613829095</v>
      </c>
      <c r="J139" s="193">
        <f>(J81*VLOOKUP($A139,Assumptions!$A$3:$N$14,6,FALSE)+(J110*VLOOKUP($A139,Assumptions!$A$17:$N$29,6,FALSE))/1000)</f>
        <v>0.23343123613829095</v>
      </c>
      <c r="K139" s="193">
        <f>(K81*VLOOKUP($A139,Assumptions!$A$3:$N$14,7,FALSE)+(K110*VLOOKUP($A139,Assumptions!$A$17:$N$29,7,FALSE))/1000)</f>
        <v>0.23343123613829095</v>
      </c>
      <c r="L139" s="193">
        <f>(L81*VLOOKUP($A139,Assumptions!$A$3:$N$14,8,FALSE)+(L110*VLOOKUP($A139,Assumptions!$A$17:$N$29,8,FALSE))/1000)</f>
        <v>0.23343123613829095</v>
      </c>
      <c r="M139" s="193">
        <f>(M81*VLOOKUP($A139,Assumptions!$A$3:$N$14,9,FALSE)+(M110*VLOOKUP($A139,Assumptions!$A$17:$N$29,9,FALSE))/1000)</f>
        <v>0.23343123613829095</v>
      </c>
      <c r="N139" s="193">
        <f>(N81*VLOOKUP($A139,Assumptions!$A$3:$N$14,10,FALSE)+(N110*VLOOKUP($A139,Assumptions!$A$17:$N$29,10,FALSE))/1000)</f>
        <v>0.23343123613829095</v>
      </c>
      <c r="O139" s="193">
        <f>(O81*VLOOKUP($A139,Assumptions!$A$3:$N$14,11,FALSE)+(O110*VLOOKUP($A139,Assumptions!$A$17:$N$29,11,FALSE))/1000)</f>
        <v>0.23343123613829095</v>
      </c>
      <c r="P139" s="193">
        <f>(P81*VLOOKUP($A139,Assumptions!$A$3:$N$14,12,FALSE)+(P110*VLOOKUP($A139,Assumptions!$A$17:$N$29,12,FALSE))/1000)</f>
        <v>0.23343123613829095</v>
      </c>
      <c r="Q139" s="193">
        <f>(Q81*VLOOKUP($A139,Assumptions!$A$3:$N$14,13,FALSE)+(Q110*VLOOKUP($A139,Assumptions!$A$17:$N$29,13,FALSE))/1000)</f>
        <v>0.23343123613829095</v>
      </c>
      <c r="R139" s="193">
        <f>(R81*VLOOKUP($A139,Assumptions!$A$3:$N$14,14,FALSE)+(R110*VLOOKUP($A139,Assumptions!$A$17:$N$29,14,FALSE))/1000)</f>
        <v>0</v>
      </c>
      <c r="S139" s="199"/>
    </row>
    <row r="140" spans="1:19" ht="14">
      <c r="A140" s="185" t="s">
        <v>66</v>
      </c>
      <c r="B140" s="182" t="s">
        <v>170</v>
      </c>
      <c r="C140" s="231">
        <v>17363.8</v>
      </c>
      <c r="D140" s="212">
        <v>0</v>
      </c>
      <c r="E140" s="199"/>
      <c r="F140" s="211">
        <v>1</v>
      </c>
      <c r="G140" s="203">
        <f>1000*'Footprint Summary'!G202/'Intensity Summary'!$C140</f>
        <v>0</v>
      </c>
      <c r="H140" s="193">
        <f>(H82*VLOOKUP($A140,Assumptions!$A$3:$N$14,4,FALSE))+(H111*VLOOKUP($A140,Assumptions!$A$17:$N$29,4,FALSE))/1000</f>
        <v>4.7693642518190336</v>
      </c>
      <c r="I140" s="193">
        <f>(I82*VLOOKUP($A140,Assumptions!$A$3:$N$14,5,FALSE))+(I111*VLOOKUP($A140,Assumptions!$A$17:$N$29,5,FALSE))/1000</f>
        <v>0.24687676777560341</v>
      </c>
      <c r="J140" s="193">
        <f>(J82*VLOOKUP($A140,Assumptions!$A$3:$N$14,6,FALSE)+(J111*VLOOKUP($A140,Assumptions!$A$17:$N$29,6,FALSE))/1000)</f>
        <v>0.24687676777560341</v>
      </c>
      <c r="K140" s="193">
        <f>(K82*VLOOKUP($A140,Assumptions!$A$3:$N$14,7,FALSE)+(K111*VLOOKUP($A140,Assumptions!$A$17:$N$29,7,FALSE))/1000)</f>
        <v>0.24687676777560341</v>
      </c>
      <c r="L140" s="193">
        <f>(L82*VLOOKUP($A140,Assumptions!$A$3:$N$14,8,FALSE)+(L111*VLOOKUP($A140,Assumptions!$A$17:$N$29,8,FALSE))/1000)</f>
        <v>0.24687676777560341</v>
      </c>
      <c r="M140" s="193">
        <f>(M82*VLOOKUP($A140,Assumptions!$A$3:$N$14,9,FALSE)+(M111*VLOOKUP($A140,Assumptions!$A$17:$N$29,9,FALSE))/1000)</f>
        <v>0.24687676777560341</v>
      </c>
      <c r="N140" s="193">
        <f>(N82*VLOOKUP($A140,Assumptions!$A$3:$N$14,10,FALSE)+(N111*VLOOKUP($A140,Assumptions!$A$17:$N$29,10,FALSE))/1000)</f>
        <v>0.24687676777560341</v>
      </c>
      <c r="O140" s="193">
        <f>(O82*VLOOKUP($A140,Assumptions!$A$3:$N$14,11,FALSE)+(O111*VLOOKUP($A140,Assumptions!$A$17:$N$29,11,FALSE))/1000)</f>
        <v>0.24687676777560341</v>
      </c>
      <c r="P140" s="193">
        <f>(P82*VLOOKUP($A140,Assumptions!$A$3:$N$14,12,FALSE)+(P111*VLOOKUP($A140,Assumptions!$A$17:$N$29,12,FALSE))/1000)</f>
        <v>0.24687676777560341</v>
      </c>
      <c r="Q140" s="193">
        <f>(Q82*VLOOKUP($A140,Assumptions!$A$3:$N$14,13,FALSE)+(Q111*VLOOKUP($A140,Assumptions!$A$17:$N$29,13,FALSE))/1000)</f>
        <v>0.24687676777560341</v>
      </c>
      <c r="R140" s="193">
        <f>(R82*VLOOKUP($A140,Assumptions!$A$3:$N$14,14,FALSE)+(R111*VLOOKUP($A140,Assumptions!$A$17:$N$29,14,FALSE))/1000)</f>
        <v>0</v>
      </c>
      <c r="S140" s="199" t="e">
        <f t="shared" ref="S140:S141" si="14">(R140-G140)/G140</f>
        <v>#DIV/0!</v>
      </c>
    </row>
    <row r="141" spans="1:19" ht="14">
      <c r="A141" s="185" t="s">
        <v>48</v>
      </c>
      <c r="B141" s="182" t="s">
        <v>168</v>
      </c>
      <c r="C141" s="231">
        <v>24784</v>
      </c>
      <c r="D141" s="212">
        <v>0</v>
      </c>
      <c r="E141" s="199"/>
      <c r="F141" s="211">
        <v>1</v>
      </c>
      <c r="G141" s="203">
        <f>1000*'Footprint Summary'!G203/'Intensity Summary'!$C141</f>
        <v>0</v>
      </c>
      <c r="H141" s="193">
        <f>(H83*VLOOKUP($A141,Assumptions!$A$3:$N$14,4,FALSE))+(H112*VLOOKUP($A141,Assumptions!$A$17:$N$29,4,FALSE))/1000</f>
        <v>9.1461179952663532</v>
      </c>
      <c r="I141" s="193">
        <f>(I83*VLOOKUP($A141,Assumptions!$A$3:$N$14,5,FALSE))+(I112*VLOOKUP($A141,Assumptions!$A$17:$N$29,5,FALSE))/1000</f>
        <v>0.29233400709256241</v>
      </c>
      <c r="J141" s="193">
        <f>(J83*VLOOKUP($A141,Assumptions!$A$3:$N$14,6,FALSE)+(J112*VLOOKUP($A141,Assumptions!$A$17:$N$29,6,FALSE))/1000)</f>
        <v>0.29962705195060374</v>
      </c>
      <c r="K141" s="193">
        <f>(K83*VLOOKUP($A141,Assumptions!$A$3:$N$14,7,FALSE)+(K112*VLOOKUP($A141,Assumptions!$A$17:$N$29,7,FALSE))/1000)</f>
        <v>0.30216647052210543</v>
      </c>
      <c r="L141" s="193">
        <f>(L83*VLOOKUP($A141,Assumptions!$A$3:$N$14,8,FALSE)+(L112*VLOOKUP($A141,Assumptions!$A$17:$N$29,8,FALSE))/1000)</f>
        <v>0.30326459747194395</v>
      </c>
      <c r="M141" s="193">
        <f>(M83*VLOOKUP($A141,Assumptions!$A$3:$N$14,9,FALSE)+(M112*VLOOKUP($A141,Assumptions!$A$17:$N$29,9,FALSE))/1000)</f>
        <v>0.30326459747194395</v>
      </c>
      <c r="N141" s="193">
        <f>(N83*VLOOKUP($A141,Assumptions!$A$3:$N$14,10,FALSE)+(N112*VLOOKUP($A141,Assumptions!$A$17:$N$29,10,FALSE))/1000)</f>
        <v>0.30440329197195803</v>
      </c>
      <c r="O141" s="193">
        <f>(O83*VLOOKUP($A141,Assumptions!$A$3:$N$14,11,FALSE)+(O112*VLOOKUP($A141,Assumptions!$A$17:$N$29,11,FALSE))/1000)</f>
        <v>0.30440329197195803</v>
      </c>
      <c r="P141" s="193">
        <f>(P83*VLOOKUP($A141,Assumptions!$A$3:$N$14,12,FALSE)+(P112*VLOOKUP($A141,Assumptions!$A$17:$N$29,12,FALSE))/1000)</f>
        <v>0.30440329197195803</v>
      </c>
      <c r="Q141" s="193">
        <f>(Q83*VLOOKUP($A141,Assumptions!$A$3:$N$14,13,FALSE)+(Q112*VLOOKUP($A141,Assumptions!$A$17:$N$29,13,FALSE))/1000)</f>
        <v>0.30440329197195803</v>
      </c>
      <c r="R141" s="193">
        <f>(R83*VLOOKUP($A141,Assumptions!$A$3:$N$14,14,FALSE)+(R112*VLOOKUP($A141,Assumptions!$A$17:$N$29,14,FALSE))/1000)</f>
        <v>0</v>
      </c>
      <c r="S141" s="199" t="e">
        <f t="shared" si="14"/>
        <v>#DIV/0!</v>
      </c>
    </row>
    <row r="142" spans="1:19" ht="14">
      <c r="A142" s="185" t="s">
        <v>30</v>
      </c>
      <c r="B142" s="182" t="s">
        <v>123</v>
      </c>
      <c r="C142" s="231">
        <v>23555.5</v>
      </c>
      <c r="D142" s="211">
        <v>0</v>
      </c>
      <c r="E142" s="199"/>
      <c r="F142" s="211">
        <v>1</v>
      </c>
      <c r="G142" s="203">
        <f>1000*'Footprint Summary'!G204/'Intensity Summary'!$C142</f>
        <v>0</v>
      </c>
      <c r="H142" s="193">
        <f>(H84*VLOOKUP($A142,Assumptions!$A$3:$N$14,4,FALSE))+(H113*VLOOKUP($A142,Assumptions!$A$17:$N$29,4,FALSE))/1000</f>
        <v>0.24543137312459232</v>
      </c>
      <c r="I142" s="193">
        <f>(I84*VLOOKUP($A142,Assumptions!$A$3:$N$14,5,FALSE))+(I113*VLOOKUP($A142,Assumptions!$A$17:$N$29,5,FALSE))/1000</f>
        <v>0.27492811407082801</v>
      </c>
      <c r="J142" s="193">
        <f>(J84*VLOOKUP($A142,Assumptions!$A$3:$N$14,6,FALSE)+(J113*VLOOKUP($A142,Assumptions!$A$17:$N$29,6,FALSE))/1000)</f>
        <v>0.28424222730733378</v>
      </c>
      <c r="K142" s="193">
        <f>(K84*VLOOKUP($A142,Assumptions!$A$3:$N$14,7,FALSE)+(K113*VLOOKUP($A142,Assumptions!$A$17:$N$29,7,FALSE))/1000)</f>
        <v>0.28424222730733378</v>
      </c>
      <c r="L142" s="193">
        <f>(L84*VLOOKUP($A142,Assumptions!$A$3:$N$14,8,FALSE)+(L113*VLOOKUP($A142,Assumptions!$A$17:$N$29,8,FALSE))/1000)</f>
        <v>0.28424222730733378</v>
      </c>
      <c r="M142" s="193">
        <f>(M84*VLOOKUP($A142,Assumptions!$A$3:$N$14,9,FALSE)+(M113*VLOOKUP($A142,Assumptions!$A$17:$N$29,9,FALSE))/1000)</f>
        <v>0.28424222730733378</v>
      </c>
      <c r="N142" s="193">
        <f>(N84*VLOOKUP($A142,Assumptions!$A$3:$N$14,10,FALSE)+(N113*VLOOKUP($A142,Assumptions!$A$17:$N$29,10,FALSE))/1000)</f>
        <v>0.29413011808132539</v>
      </c>
      <c r="O142" s="193">
        <f>(O84*VLOOKUP($A142,Assumptions!$A$3:$N$14,11,FALSE)+(O113*VLOOKUP($A142,Assumptions!$A$17:$N$29,11,FALSE))/1000)</f>
        <v>0.29741405260845405</v>
      </c>
      <c r="P142" s="193">
        <f>(P84*VLOOKUP($A142,Assumptions!$A$3:$N$14,12,FALSE)+(P113*VLOOKUP($A142,Assumptions!$A$17:$N$29,12,FALSE))/1000)</f>
        <v>0.29741405260845405</v>
      </c>
      <c r="Q142" s="193">
        <f>(Q84*VLOOKUP($A142,Assumptions!$A$3:$N$14,13,FALSE)+(Q113*VLOOKUP($A142,Assumptions!$A$17:$N$29,13,FALSE))/1000)</f>
        <v>0.29741405260845405</v>
      </c>
      <c r="R142" s="193">
        <f>(R84*VLOOKUP($A142,Assumptions!$A$3:$N$14,14,FALSE)+(R113*VLOOKUP($A142,Assumptions!$A$17:$N$29,14,FALSE))/1000)</f>
        <v>0</v>
      </c>
      <c r="S142" s="199"/>
    </row>
    <row r="143" spans="1:19" ht="14">
      <c r="A143" s="185" t="s">
        <v>63</v>
      </c>
      <c r="B143" s="182" t="s">
        <v>64</v>
      </c>
      <c r="C143" s="231">
        <v>61127</v>
      </c>
      <c r="D143" s="211">
        <v>0.5</v>
      </c>
      <c r="E143" s="199"/>
      <c r="F143" s="211"/>
      <c r="G143" s="203">
        <f>1000*'Footprint Summary'!G205/'Intensity Summary'!$C143</f>
        <v>0</v>
      </c>
      <c r="H143" s="193">
        <f>(H85*VLOOKUP($A143,Assumptions!$A$3:$N$14,4,FALSE))+(H114*VLOOKUP($A143,Assumptions!$A$17:$N$29,4,FALSE))/1000</f>
        <v>0.27475510441680018</v>
      </c>
      <c r="I143" s="193">
        <f>(I85*VLOOKUP($A143,Assumptions!$A$3:$N$14,5,FALSE))+(I114*VLOOKUP($A143,Assumptions!$A$17:$N$29,5,FALSE))/1000</f>
        <v>0.27783582778847155</v>
      </c>
      <c r="J143" s="193">
        <f>(J85*VLOOKUP($A143,Assumptions!$A$3:$N$14,6,FALSE)+(J114*VLOOKUP($A143,Assumptions!$A$17:$N$29,6,FALSE))/1000)</f>
        <v>0.27878623605736252</v>
      </c>
      <c r="K143" s="193">
        <f>(K85*VLOOKUP($A143,Assumptions!$A$3:$N$14,7,FALSE)+(K114*VLOOKUP($A143,Assumptions!$A$17:$N$29,7,FALSE))/1000)</f>
        <v>0.28033088632997399</v>
      </c>
      <c r="L143" s="193">
        <f>(L85*VLOOKUP($A143,Assumptions!$A$3:$N$14,8,FALSE)+(L114*VLOOKUP($A143,Assumptions!$A$17:$N$29,8,FALSE))/1000)</f>
        <v>0.28097984029715511</v>
      </c>
      <c r="M143" s="193">
        <f>(M85*VLOOKUP($A143,Assumptions!$A$3:$N$14,9,FALSE)+(M114*VLOOKUP($A143,Assumptions!$A$17:$N$29,9,FALSE))/1000)</f>
        <v>0.28106800809453658</v>
      </c>
      <c r="N143" s="193">
        <f>(N85*VLOOKUP($A143,Assumptions!$A$3:$N$14,10,FALSE)+(N114*VLOOKUP($A143,Assumptions!$A$17:$N$29,10,FALSE))/1000)</f>
        <v>0.28302508487309097</v>
      </c>
      <c r="O143" s="193">
        <f>(O85*VLOOKUP($A143,Assumptions!$A$3:$N$14,11,FALSE)+(O114*VLOOKUP($A143,Assumptions!$A$17:$N$29,11,FALSE))/1000)</f>
        <v>0.28386366502568361</v>
      </c>
      <c r="P143" s="193">
        <f>(P85*VLOOKUP($A143,Assumptions!$A$3:$N$14,12,FALSE)+(P114*VLOOKUP($A143,Assumptions!$A$17:$N$29,12,FALSE))/1000)</f>
        <v>0.28518574452251788</v>
      </c>
      <c r="Q143" s="193">
        <f>(Q85*VLOOKUP($A143,Assumptions!$A$3:$N$14,13,FALSE)+(Q114*VLOOKUP($A143,Assumptions!$A$17:$N$29,13,FALSE))/1000)</f>
        <v>6.2758371763916303</v>
      </c>
      <c r="R143" s="193">
        <f>(R85*VLOOKUP($A143,Assumptions!$A$3:$N$14,14,FALSE)+(R114*VLOOKUP($A143,Assumptions!$A$17:$N$29,14,FALSE))/1000)</f>
        <v>0</v>
      </c>
      <c r="S143" s="199"/>
    </row>
    <row r="144" spans="1:19" ht="14">
      <c r="A144" s="185" t="s">
        <v>66</v>
      </c>
      <c r="B144" s="182" t="s">
        <v>95</v>
      </c>
      <c r="C144" s="231">
        <v>41253</v>
      </c>
      <c r="D144" s="212">
        <v>0</v>
      </c>
      <c r="E144" s="199">
        <v>1</v>
      </c>
      <c r="F144" s="211"/>
      <c r="G144" s="203">
        <f>1000*'Footprint Summary'!G206/'Intensity Summary'!$C144</f>
        <v>0</v>
      </c>
      <c r="H144" s="203">
        <f>(H86*VLOOKUP($A144,Assumptions!$A$3:$N$14,4,FALSE))+(H115*VLOOKUP($A144,Assumptions!$A$17:$N$29,4,FALSE))/1000</f>
        <v>0</v>
      </c>
      <c r="I144" s="203">
        <f>(I86*VLOOKUP($A144,Assumptions!$A$3:$N$14,5,FALSE))+(I115*VLOOKUP($A144,Assumptions!$A$17:$N$29,5,FALSE))/1000</f>
        <v>0</v>
      </c>
      <c r="J144" s="203">
        <f>(J86*VLOOKUP($A144,Assumptions!$A$3:$N$14,6,FALSE)+(J115*VLOOKUP($A144,Assumptions!$A$17:$N$29,6,FALSE))/1000)</f>
        <v>0</v>
      </c>
      <c r="K144" s="203">
        <f>(K86*VLOOKUP($A144,Assumptions!$A$3:$N$14,7,FALSE)+(K115*VLOOKUP($A144,Assumptions!$A$17:$N$29,7,FALSE))/1000)</f>
        <v>0</v>
      </c>
      <c r="L144" s="203">
        <f>(L86*VLOOKUP($A144,Assumptions!$A$3:$N$14,8,FALSE)+(L115*VLOOKUP($A144,Assumptions!$A$17:$N$29,8,FALSE))/1000)</f>
        <v>0</v>
      </c>
      <c r="M144" s="203">
        <f>(M86*VLOOKUP($A144,Assumptions!$A$3:$N$14,9,FALSE)+(M115*VLOOKUP($A144,Assumptions!$A$17:$N$29,9,FALSE))/1000)</f>
        <v>0</v>
      </c>
      <c r="N144" s="203">
        <f>(N86*VLOOKUP($A144,Assumptions!$A$3:$N$14,10,FALSE)+(N115*VLOOKUP($A144,Assumptions!$A$17:$N$29,10,FALSE))/1000)</f>
        <v>0</v>
      </c>
      <c r="O144" s="203">
        <f>(O86*VLOOKUP($A144,Assumptions!$A$3:$N$14,11,FALSE)+(O115*VLOOKUP($A144,Assumptions!$A$17:$N$29,11,FALSE))/1000)</f>
        <v>0</v>
      </c>
      <c r="P144" s="203">
        <f>(P86*VLOOKUP($A144,Assumptions!$A$3:$N$14,12,FALSE)+(P115*VLOOKUP($A144,Assumptions!$A$17:$N$29,12,FALSE))/1000)</f>
        <v>0</v>
      </c>
      <c r="Q144" s="203">
        <f>(Q86*VLOOKUP($A144,Assumptions!$A$3:$N$14,13,FALSE)+(Q115*VLOOKUP($A144,Assumptions!$A$17:$N$29,13,FALSE))/1000)</f>
        <v>0</v>
      </c>
      <c r="R144" s="203">
        <f>(R86*VLOOKUP($A144,Assumptions!$A$3:$N$14,14,FALSE)+(R115*VLOOKUP($A144,Assumptions!$A$17:$N$29,14,FALSE))/1000)</f>
        <v>0</v>
      </c>
      <c r="S144" s="199"/>
    </row>
    <row r="145" spans="1:19" ht="14">
      <c r="A145" s="185" t="s">
        <v>66</v>
      </c>
      <c r="B145" s="198" t="s">
        <v>133</v>
      </c>
      <c r="C145" s="231">
        <v>8227.2000000000007</v>
      </c>
      <c r="D145" s="212">
        <v>0</v>
      </c>
      <c r="E145" s="199"/>
      <c r="F145" s="211">
        <v>1</v>
      </c>
      <c r="G145" s="203">
        <f>1000*'Footprint Summary'!G207/'Intensity Summary'!$C145</f>
        <v>0</v>
      </c>
      <c r="H145" s="203" t="e">
        <f>(H87*VLOOKUP($A145,Assumptions!$A$3:$N$14,4,FALSE))+(H116*VLOOKUP($A145,Assumptions!$A$17:$N$29,4,FALSE))/1000</f>
        <v>#VALUE!</v>
      </c>
      <c r="I145" s="203" t="e">
        <f>(I87*VLOOKUP($A145,Assumptions!$A$3:$N$14,5,FALSE))+(I116*VLOOKUP($A145,Assumptions!$A$17:$N$29,5,FALSE))/1000</f>
        <v>#VALUE!</v>
      </c>
      <c r="J145" s="203" t="e">
        <f>(J87*VLOOKUP($A145,Assumptions!$A$3:$N$14,6,FALSE)+(J116*VLOOKUP($A145,Assumptions!$A$17:$N$29,6,FALSE))/1000)</f>
        <v>#VALUE!</v>
      </c>
      <c r="K145" s="203" t="e">
        <f>(K87*VLOOKUP($A145,Assumptions!$A$3:$N$14,7,FALSE)+(K116*VLOOKUP($A145,Assumptions!$A$17:$N$29,7,FALSE))/1000)</f>
        <v>#VALUE!</v>
      </c>
      <c r="L145" s="203" t="e">
        <f>(L87*VLOOKUP($A145,Assumptions!$A$3:$N$14,8,FALSE)+(L116*VLOOKUP($A145,Assumptions!$A$17:$N$29,8,FALSE))/1000)</f>
        <v>#VALUE!</v>
      </c>
      <c r="M145" s="203" t="e">
        <f>(M87*VLOOKUP($A145,Assumptions!$A$3:$N$14,9,FALSE)+(M116*VLOOKUP($A145,Assumptions!$A$17:$N$29,9,FALSE))/1000)</f>
        <v>#VALUE!</v>
      </c>
      <c r="N145" s="203" t="e">
        <f>(N87*VLOOKUP($A145,Assumptions!$A$3:$N$14,10,FALSE)+(N116*VLOOKUP($A145,Assumptions!$A$17:$N$29,10,FALSE))/1000)</f>
        <v>#VALUE!</v>
      </c>
      <c r="O145" s="203" t="e">
        <f>(O87*VLOOKUP($A145,Assumptions!$A$3:$N$14,11,FALSE)+(O116*VLOOKUP($A145,Assumptions!$A$17:$N$29,11,FALSE))/1000)</f>
        <v>#VALUE!</v>
      </c>
      <c r="P145" s="203" t="e">
        <f>(P87*VLOOKUP($A145,Assumptions!$A$3:$N$14,12,FALSE)+(P116*VLOOKUP($A145,Assumptions!$A$17:$N$29,12,FALSE))/1000)</f>
        <v>#VALUE!</v>
      </c>
      <c r="Q145" s="203" t="e">
        <f>(Q87*VLOOKUP($A145,Assumptions!$A$3:$N$14,13,FALSE)+(Q116*VLOOKUP($A145,Assumptions!$A$17:$N$29,13,FALSE))/1000)</f>
        <v>#VALUE!</v>
      </c>
      <c r="R145" s="203" t="e">
        <f>(R87*VLOOKUP($A145,Assumptions!$A$3:$N$14,14,FALSE)+(R116*VLOOKUP($A145,Assumptions!$A$17:$N$29,14,FALSE))/1000)</f>
        <v>#VALUE!</v>
      </c>
      <c r="S145" s="199" t="e">
        <f t="shared" ref="S145:S149" si="15">(R145-G145)/G145</f>
        <v>#VALUE!</v>
      </c>
    </row>
    <row r="146" spans="1:19" ht="14">
      <c r="A146" s="185" t="s">
        <v>178</v>
      </c>
      <c r="B146" s="198" t="s">
        <v>140</v>
      </c>
      <c r="C146" s="231">
        <v>20861</v>
      </c>
      <c r="D146" s="212">
        <v>1</v>
      </c>
      <c r="E146" s="199"/>
      <c r="F146" s="211">
        <v>1</v>
      </c>
      <c r="G146" s="203">
        <f>1000*'Footprint Summary'!G208/'Intensity Summary'!$C146</f>
        <v>0</v>
      </c>
      <c r="H146" s="203">
        <f>(H88*VLOOKUP($A146,Assumptions!$A$3:$N$14,4,FALSE))+(H117*VLOOKUP($A146,Assumptions!$A$17:$N$29,4,FALSE))/1000</f>
        <v>0.27455918017262848</v>
      </c>
      <c r="I146" s="203">
        <f>(I88*VLOOKUP($A146,Assumptions!$A$3:$N$14,5,FALSE))+(I117*VLOOKUP($A146,Assumptions!$A$17:$N$29,5,FALSE))/1000</f>
        <v>0.27874535502155562</v>
      </c>
      <c r="J146" s="203">
        <f>(J88*VLOOKUP($A146,Assumptions!$A$3:$N$14,6,FALSE)+(J117*VLOOKUP($A146,Assumptions!$A$17:$N$29,6,FALSE))/1000)</f>
        <v>0.27905036968448554</v>
      </c>
      <c r="K146" s="203">
        <f>(K88*VLOOKUP($A146,Assumptions!$A$3:$N$14,7,FALSE)+(K117*VLOOKUP($A146,Assumptions!$A$17:$N$29,7,FALSE))/1000)</f>
        <v>0.28107500069512165</v>
      </c>
      <c r="L146" s="203">
        <f>(L88*VLOOKUP($A146,Assumptions!$A$3:$N$14,8,FALSE)+(L117*VLOOKUP($A146,Assumptions!$A$17:$N$29,8,FALSE))/1000)</f>
        <v>0.28195786743401097</v>
      </c>
      <c r="M146" s="203">
        <f>(M88*VLOOKUP($A146,Assumptions!$A$3:$N$14,9,FALSE)+(M117*VLOOKUP($A146,Assumptions!$A$17:$N$29,9,FALSE))/1000)</f>
        <v>0.28206634160969324</v>
      </c>
      <c r="N146" s="203">
        <f>(N88*VLOOKUP($A146,Assumptions!$A$3:$N$14,10,FALSE)+(N117*VLOOKUP($A146,Assumptions!$A$17:$N$29,10,FALSE))/1000)</f>
        <v>0.28354263855973511</v>
      </c>
      <c r="O146" s="203">
        <f>(O88*VLOOKUP($A146,Assumptions!$A$3:$N$14,11,FALSE)+(O117*VLOOKUP($A146,Assumptions!$A$17:$N$29,11,FALSE))/1000)</f>
        <v>0.28503632058094464</v>
      </c>
      <c r="P146" s="203">
        <f>(P88*VLOOKUP($A146,Assumptions!$A$3:$N$14,12,FALSE)+(P117*VLOOKUP($A146,Assumptions!$A$17:$N$29,12,FALSE))/1000)</f>
        <v>0.28758032935530242</v>
      </c>
      <c r="Q146" s="203">
        <f>(Q88*VLOOKUP($A146,Assumptions!$A$3:$N$14,13,FALSE)+(Q117*VLOOKUP($A146,Assumptions!$A$17:$N$29,13,FALSE))/1000)</f>
        <v>0.28758032935530242</v>
      </c>
      <c r="R146" s="203">
        <f>(R88*VLOOKUP($A146,Assumptions!$A$3:$N$14,14,FALSE)+(R117*VLOOKUP($A146,Assumptions!$A$17:$N$29,14,FALSE))/1000)</f>
        <v>0</v>
      </c>
      <c r="S146" s="199" t="e">
        <f t="shared" si="15"/>
        <v>#DIV/0!</v>
      </c>
    </row>
    <row r="147" spans="1:19" ht="14">
      <c r="A147" s="185" t="s">
        <v>37</v>
      </c>
      <c r="B147" s="182" t="s">
        <v>166</v>
      </c>
      <c r="C147" s="231">
        <v>15723.1</v>
      </c>
      <c r="D147" s="212">
        <v>0</v>
      </c>
      <c r="E147" s="199"/>
      <c r="F147" s="211">
        <v>1</v>
      </c>
      <c r="G147" s="203">
        <f>1000*'Footprint Summary'!G209/'Intensity Summary'!$C147</f>
        <v>0</v>
      </c>
      <c r="H147" s="203">
        <f>(H89*VLOOKUP($A147,Assumptions!$A$3:$N$14,4,FALSE))+(H118*VLOOKUP($A147,Assumptions!$A$17:$N$29,4,FALSE))/1000</f>
        <v>0.28866133650747006</v>
      </c>
      <c r="I147" s="203">
        <f>(I89*VLOOKUP($A147,Assumptions!$A$3:$N$14,5,FALSE))+(I118*VLOOKUP($A147,Assumptions!$A$17:$N$29,5,FALSE))/1000</f>
        <v>0.28962316390007276</v>
      </c>
      <c r="J147" s="203">
        <f>(J89*VLOOKUP($A147,Assumptions!$A$3:$N$14,6,FALSE)+(J118*VLOOKUP($A147,Assumptions!$A$17:$N$29,6,FALSE))/1000)</f>
        <v>0.29180486848489756</v>
      </c>
      <c r="K147" s="203">
        <f>(K89*VLOOKUP($A147,Assumptions!$A$3:$N$14,7,FALSE)+(K118*VLOOKUP($A147,Assumptions!$A$17:$N$29,7,FALSE))/1000)</f>
        <v>0.29274945227798094</v>
      </c>
      <c r="L147" s="203">
        <f>(L89*VLOOKUP($A147,Assumptions!$A$3:$N$14,8,FALSE)+(L118*VLOOKUP($A147,Assumptions!$A$17:$N$29,8,FALSE))/1000)</f>
        <v>0.29343976298849317</v>
      </c>
      <c r="M147" s="203">
        <f>(M89*VLOOKUP($A147,Assumptions!$A$3:$N$14,9,FALSE)+(M118*VLOOKUP($A147,Assumptions!$A$17:$N$29,9,FALSE))/1000)</f>
        <v>0.2936215490330118</v>
      </c>
      <c r="N147" s="203">
        <f>(N89*VLOOKUP($A147,Assumptions!$A$3:$N$14,10,FALSE)+(N118*VLOOKUP($A147,Assumptions!$A$17:$N$29,10,FALSE))/1000)</f>
        <v>0.29453800332993152</v>
      </c>
      <c r="O147" s="203">
        <f>(O89*VLOOKUP($A147,Assumptions!$A$3:$N$14,11,FALSE)+(O118*VLOOKUP($A147,Assumptions!$A$17:$N$29,11,FALSE))/1000)</f>
        <v>0.29453800332993152</v>
      </c>
      <c r="P147" s="203">
        <f>(P89*VLOOKUP($A147,Assumptions!$A$3:$N$14,12,FALSE)+(P118*VLOOKUP($A147,Assumptions!$A$17:$N$29,12,FALSE))/1000)</f>
        <v>0.29438438531473016</v>
      </c>
      <c r="Q147" s="203">
        <f>(Q89*VLOOKUP($A147,Assumptions!$A$3:$N$14,13,FALSE)+(Q118*VLOOKUP($A147,Assumptions!$A$17:$N$29,13,FALSE))/1000)</f>
        <v>0.29690334244388106</v>
      </c>
      <c r="R147" s="203">
        <f>(R89*VLOOKUP($A147,Assumptions!$A$3:$N$14,14,FALSE)+(R118*VLOOKUP($A147,Assumptions!$A$17:$N$29,14,FALSE))/1000)</f>
        <v>0</v>
      </c>
      <c r="S147" s="199" t="e">
        <f t="shared" si="15"/>
        <v>#DIV/0!</v>
      </c>
    </row>
    <row r="148" spans="1:19" ht="14.5" thickBot="1">
      <c r="A148" s="185" t="s">
        <v>66</v>
      </c>
      <c r="B148" s="182" t="s">
        <v>67</v>
      </c>
      <c r="C148" s="231">
        <v>12837.7</v>
      </c>
      <c r="D148" s="211">
        <v>0</v>
      </c>
      <c r="E148" s="199"/>
      <c r="F148" s="211">
        <v>1</v>
      </c>
      <c r="G148" s="203">
        <f>1000*'Footprint Summary'!G210/'Intensity Summary'!$C148</f>
        <v>0</v>
      </c>
      <c r="H148" s="203" t="e">
        <f>(H90*VLOOKUP($A148,Assumptions!$A$3:$N$14,4,FALSE))+(H119*VLOOKUP($A148,Assumptions!$A$17:$N$29,4,FALSE))/1000</f>
        <v>#VALUE!</v>
      </c>
      <c r="I148" s="203" t="e">
        <f>(I90*VLOOKUP($A148,Assumptions!$A$3:$N$14,5,FALSE))+(I119*VLOOKUP($A148,Assumptions!$A$17:$N$29,5,FALSE))/1000</f>
        <v>#VALUE!</v>
      </c>
      <c r="J148" s="203" t="e">
        <f>(J90*VLOOKUP($A148,Assumptions!$A$3:$N$14,6,FALSE)+(J119*VLOOKUP($A148,Assumptions!$A$17:$N$29,6,FALSE))/1000)</f>
        <v>#VALUE!</v>
      </c>
      <c r="K148" s="203" t="e">
        <f>(K90*VLOOKUP($A148,Assumptions!$A$3:$N$14,7,FALSE)+(K119*VLOOKUP($A148,Assumptions!$A$17:$N$29,7,FALSE))/1000)</f>
        <v>#VALUE!</v>
      </c>
      <c r="L148" s="203" t="e">
        <f>(L90*VLOOKUP($A148,Assumptions!$A$3:$N$14,8,FALSE)+(L119*VLOOKUP($A148,Assumptions!$A$17:$N$29,8,FALSE))/1000)</f>
        <v>#VALUE!</v>
      </c>
      <c r="M148" s="203" t="e">
        <f>(M90*VLOOKUP($A148,Assumptions!$A$3:$N$14,9,FALSE)+(M119*VLOOKUP($A148,Assumptions!$A$17:$N$29,9,FALSE))/1000)</f>
        <v>#VALUE!</v>
      </c>
      <c r="N148" s="203" t="e">
        <f>(N90*VLOOKUP($A148,Assumptions!$A$3:$N$14,10,FALSE)+(N119*VLOOKUP($A148,Assumptions!$A$17:$N$29,10,FALSE))/1000)</f>
        <v>#VALUE!</v>
      </c>
      <c r="O148" s="203" t="e">
        <f>(O90*VLOOKUP($A148,Assumptions!$A$3:$N$14,11,FALSE)+(O119*VLOOKUP($A148,Assumptions!$A$17:$N$29,11,FALSE))/1000)</f>
        <v>#VALUE!</v>
      </c>
      <c r="P148" s="203" t="e">
        <f>(P90*VLOOKUP($A148,Assumptions!$A$3:$N$14,12,FALSE)+(P119*VLOOKUP($A148,Assumptions!$A$17:$N$29,12,FALSE))/1000)</f>
        <v>#VALUE!</v>
      </c>
      <c r="Q148" s="203" t="e">
        <f>(Q90*VLOOKUP($A148,Assumptions!$A$3:$N$14,13,FALSE)+(Q119*VLOOKUP($A148,Assumptions!$A$17:$N$29,13,FALSE))/1000)</f>
        <v>#VALUE!</v>
      </c>
      <c r="R148" s="203" t="e">
        <f>(R90*VLOOKUP($A148,Assumptions!$A$3:$N$14,14,FALSE)+(R119*VLOOKUP($A148,Assumptions!$A$17:$N$29,14,FALSE))/1000)</f>
        <v>#VALUE!</v>
      </c>
      <c r="S148" s="199" t="e">
        <f t="shared" si="15"/>
        <v>#VALUE!</v>
      </c>
    </row>
    <row r="149" spans="1:19" ht="13" thickTop="1">
      <c r="C149" s="203">
        <f>SUM(C126:C148)</f>
        <v>673188.29999999993</v>
      </c>
      <c r="D149" s="550">
        <v>1</v>
      </c>
      <c r="E149" s="550">
        <v>1</v>
      </c>
      <c r="F149" s="550">
        <v>1</v>
      </c>
      <c r="G149" s="208">
        <f>1000*'Footprint Summary'!G211/'Intensity Summary'!$C149</f>
        <v>0</v>
      </c>
      <c r="H149" s="208">
        <f>1000*'Footprint Summary'!H211/'Intensity Summary'!$C149</f>
        <v>0</v>
      </c>
      <c r="I149" s="208">
        <f>1000*'Footprint Summary'!I211/'Intensity Summary'!$C149</f>
        <v>0</v>
      </c>
      <c r="J149" s="208">
        <f>1000*'Footprint Summary'!J211/'Intensity Summary'!$C149</f>
        <v>0</v>
      </c>
      <c r="K149" s="208">
        <f>1000*'Footprint Summary'!K211/'Intensity Summary'!$C149</f>
        <v>0</v>
      </c>
      <c r="L149" s="208">
        <f>1000*'Footprint Summary'!L211/'Intensity Summary'!$C149</f>
        <v>0</v>
      </c>
      <c r="M149" s="208">
        <f>1000*'Footprint Summary'!M211/'Intensity Summary'!$C149</f>
        <v>0</v>
      </c>
      <c r="N149" s="208">
        <f>1000*'Footprint Summary'!N211/'Intensity Summary'!$C149</f>
        <v>0</v>
      </c>
      <c r="O149" s="208">
        <f>1000*'Footprint Summary'!O211/'Intensity Summary'!$C149</f>
        <v>0</v>
      </c>
      <c r="P149" s="208">
        <f>1000*'Footprint Summary'!P211/'Intensity Summary'!$C149</f>
        <v>0</v>
      </c>
      <c r="Q149" s="208">
        <f>1000*'Footprint Summary'!Q211/'Intensity Summary'!$C149</f>
        <v>0</v>
      </c>
      <c r="R149" s="208">
        <f>1000*'Footprint Summary'!R211/'Intensity Summary'!$C149</f>
        <v>0</v>
      </c>
      <c r="S149" s="202" t="e">
        <f t="shared" si="15"/>
        <v>#DIV/0!</v>
      </c>
    </row>
  </sheetData>
  <autoFilter ref="D3:F27" xr:uid="{44503BD9-41FF-47F2-8533-4DCA5FD5D08B}"/>
  <customSheetViews>
    <customSheetView guid="{0FAFE012-8D9E-4ED0-86A4-A997E430971B}" showAutoFilter="1" topLeftCell="C79">
      <selection activeCell="Q119" sqref="Q119"/>
      <pageMargins left="0.7" right="0.7" top="0.75" bottom="0.75" header="0.3" footer="0.3"/>
      <pageSetup paperSize="9" orientation="portrait" horizontalDpi="300" verticalDpi="300" r:id="rId1"/>
      <autoFilter ref="D3:F27" xr:uid="{709D531D-4263-4822-839C-294B8A1758F2}"/>
    </customSheetView>
  </customSheetViews>
  <phoneticPr fontId="60" type="noConversion"/>
  <pageMargins left="0.7" right="0.7" top="0.75" bottom="0.75" header="0.3" footer="0.3"/>
  <pageSetup paperSize="9" orientation="portrait" horizontalDpi="300" verticalDpi="300" r:id="rId2"/>
  <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EEFB4-F010-4417-AF3E-589023EEF001}">
  <sheetPr codeName="Sheet1">
    <tabColor theme="3" tint="-0.499984740745262"/>
  </sheetPr>
  <dimension ref="A2:U329"/>
  <sheetViews>
    <sheetView zoomScaleNormal="100" workbookViewId="0">
      <selection activeCell="F10" sqref="F10"/>
    </sheetView>
  </sheetViews>
  <sheetFormatPr defaultRowHeight="12.5"/>
  <cols>
    <col min="2" max="2" width="28" bestFit="1" customWidth="1"/>
    <col min="3" max="3" width="14.54296875" customWidth="1"/>
    <col min="4" max="4" width="13.26953125" customWidth="1"/>
    <col min="5" max="5" width="13.7265625" customWidth="1"/>
    <col min="6" max="6" width="14.453125" customWidth="1"/>
    <col min="7" max="7" width="11" customWidth="1"/>
    <col min="8" max="8" width="12.7265625" customWidth="1"/>
    <col min="9" max="18" width="11" customWidth="1"/>
    <col min="19" max="19" width="15.1796875" customWidth="1"/>
    <col min="20" max="20" width="11.54296875" bestFit="1" customWidth="1"/>
  </cols>
  <sheetData>
    <row r="2" spans="1:19" ht="23.25" customHeight="1" thickBot="1">
      <c r="A2" s="196" t="s">
        <v>206</v>
      </c>
      <c r="H2" s="362">
        <f>G14-H14</f>
        <v>86.099999999999909</v>
      </c>
      <c r="I2" s="362">
        <f>H2*0.88</f>
        <v>75.767999999999915</v>
      </c>
      <c r="R2" s="203"/>
    </row>
    <row r="3" spans="1:19" ht="15" thickTop="1" thickBot="1">
      <c r="A3" s="184" t="s">
        <v>6</v>
      </c>
      <c r="B3" s="184" t="s">
        <v>7</v>
      </c>
      <c r="C3" s="184" t="s">
        <v>9</v>
      </c>
      <c r="D3" s="184" t="s">
        <v>10</v>
      </c>
      <c r="E3" s="184" t="s">
        <v>11</v>
      </c>
      <c r="F3" s="184" t="s">
        <v>12</v>
      </c>
      <c r="G3" s="184" t="s">
        <v>188</v>
      </c>
      <c r="H3" s="184" t="s">
        <v>189</v>
      </c>
      <c r="I3" s="184" t="s">
        <v>190</v>
      </c>
      <c r="J3" s="184" t="s">
        <v>191</v>
      </c>
      <c r="K3" s="184" t="s">
        <v>192</v>
      </c>
      <c r="L3" s="184" t="s">
        <v>193</v>
      </c>
      <c r="M3" s="184" t="s">
        <v>194</v>
      </c>
      <c r="N3" s="184" t="s">
        <v>195</v>
      </c>
      <c r="O3" s="184" t="s">
        <v>196</v>
      </c>
      <c r="P3" s="184" t="s">
        <v>197</v>
      </c>
      <c r="Q3" s="184" t="s">
        <v>198</v>
      </c>
      <c r="R3" s="184" t="s">
        <v>199</v>
      </c>
      <c r="S3" s="200" t="s">
        <v>200</v>
      </c>
    </row>
    <row r="4" spans="1:19" ht="14.5" thickTop="1">
      <c r="A4" s="185" t="s">
        <v>30</v>
      </c>
      <c r="B4" s="198" t="s">
        <v>31</v>
      </c>
      <c r="C4" s="228">
        <v>29166</v>
      </c>
      <c r="D4" s="211">
        <v>1</v>
      </c>
      <c r="E4" s="199"/>
      <c r="F4" s="211">
        <v>1</v>
      </c>
      <c r="G4" s="195">
        <f>'1M-NR'!C62</f>
        <v>1824.81</v>
      </c>
      <c r="H4" s="195">
        <f>$G4+'1M-NR'!G214</f>
        <v>1804.81</v>
      </c>
      <c r="I4" s="195">
        <f>$G4+'1M-NR'!H214</f>
        <v>1804.81</v>
      </c>
      <c r="J4" s="195">
        <f>$G4+'1M-NR'!I214</f>
        <v>1264.81</v>
      </c>
      <c r="K4" s="195">
        <f>$G4+'1M-NR'!J214</f>
        <v>1214.81</v>
      </c>
      <c r="L4" s="195">
        <f>$G4+'1M-NR'!K214</f>
        <v>1194.81</v>
      </c>
      <c r="M4" s="195">
        <f>$G4+'1M-NR'!L214</f>
        <v>1194.81</v>
      </c>
      <c r="N4" s="195">
        <f>$G4+'1M-NR'!M214</f>
        <v>1184.81</v>
      </c>
      <c r="O4" s="195">
        <f>$G4+'1M-NR'!N214</f>
        <v>1044.81</v>
      </c>
      <c r="P4" s="195">
        <f>$G4+'1M-NR'!O214</f>
        <v>1044.81</v>
      </c>
      <c r="Q4" s="195">
        <f>$G4+'1M-NR'!P214</f>
        <v>1044.81</v>
      </c>
      <c r="R4" s="195">
        <f>$G4+'1M-NR'!Q214</f>
        <v>1044.81</v>
      </c>
      <c r="S4" s="199">
        <f>(R4-G4)/G4</f>
        <v>-0.4274417610600556</v>
      </c>
    </row>
    <row r="5" spans="1:19" ht="14">
      <c r="A5" s="185" t="s">
        <v>37</v>
      </c>
      <c r="B5" s="182" t="s">
        <v>38</v>
      </c>
      <c r="C5" s="228">
        <v>62987</v>
      </c>
      <c r="D5" s="211">
        <v>0.5</v>
      </c>
      <c r="E5" s="199"/>
      <c r="F5" s="211">
        <v>1</v>
      </c>
      <c r="G5" s="195">
        <f>'120C-NR'!C62</f>
        <v>3544.2289999999998</v>
      </c>
      <c r="H5" s="195">
        <f>$G5+'120C-NR'!G214</f>
        <v>3544.2289999999998</v>
      </c>
      <c r="I5" s="195">
        <f>$G5+'120C-NR'!H214</f>
        <v>3544.2289999999998</v>
      </c>
      <c r="J5" s="195">
        <f>$G5+'120C-NR'!I214</f>
        <v>3544.2289999999998</v>
      </c>
      <c r="K5" s="195">
        <f>$G5+'120C-NR'!J214</f>
        <v>3544.2289999999998</v>
      </c>
      <c r="L5" s="195">
        <f>$G5+'120C-NR'!K214</f>
        <v>3544.2289999999998</v>
      </c>
      <c r="M5" s="195">
        <f>$G5+'120C-NR'!L214</f>
        <v>3544.2289999999998</v>
      </c>
      <c r="N5" s="195">
        <f>$G5+'120C-NR'!M214</f>
        <v>3544.2289999999998</v>
      </c>
      <c r="O5" s="195">
        <f>$G5+'120C-NR'!N214</f>
        <v>3544.2289999999998</v>
      </c>
      <c r="P5" s="195">
        <f>$G5+'120C-NR'!O214</f>
        <v>3544.2289999999998</v>
      </c>
      <c r="Q5" s="195">
        <f>$G5+'120C-NR'!P214</f>
        <v>3544.2289999999998</v>
      </c>
      <c r="R5" s="195">
        <f>$G5+'120C-NR'!Q214</f>
        <v>3544.2289999999998</v>
      </c>
      <c r="S5" s="199">
        <f t="shared" ref="S5:S27" si="0">(R5-G5)/G5</f>
        <v>0</v>
      </c>
    </row>
    <row r="6" spans="1:19" ht="14">
      <c r="A6" s="185" t="s">
        <v>30</v>
      </c>
      <c r="B6" s="182" t="s">
        <v>42</v>
      </c>
      <c r="C6" s="231">
        <v>42132</v>
      </c>
      <c r="D6" s="211">
        <v>0.5</v>
      </c>
      <c r="E6" s="199">
        <v>0.25</v>
      </c>
      <c r="F6" s="211">
        <v>1</v>
      </c>
      <c r="G6" s="195">
        <f>'126P-NR'!C62</f>
        <v>2816.9789999999998</v>
      </c>
      <c r="H6" s="195">
        <f>$G6+'126P-NR'!G214</f>
        <v>2796.9789999999998</v>
      </c>
      <c r="I6" s="195">
        <f>$G6+'126P-NR'!H214</f>
        <v>2796.9789999999998</v>
      </c>
      <c r="J6" s="195">
        <f>$G6+'126P-NR'!I214</f>
        <v>2646.9789999999998</v>
      </c>
      <c r="K6" s="195">
        <f>$G6+'126P-NR'!J214</f>
        <v>2646.9789999999998</v>
      </c>
      <c r="L6" s="195">
        <f>$G6+'126P-NR'!K214</f>
        <v>2586.9789999999998</v>
      </c>
      <c r="M6" s="195">
        <f>$G6+'126P-NR'!L214</f>
        <v>2586.9789999999998</v>
      </c>
      <c r="N6" s="195">
        <f>$G6+'126P-NR'!M214</f>
        <v>2586.9789999999998</v>
      </c>
      <c r="O6" s="195">
        <f>$G6+'126P-NR'!N214</f>
        <v>2086.9789999999998</v>
      </c>
      <c r="P6" s="195">
        <f>$G6+'126P-NR'!O214</f>
        <v>1886.9789999999998</v>
      </c>
      <c r="Q6" s="195">
        <f>$G6+'126P-NR'!P214</f>
        <v>1886.9789999999998</v>
      </c>
      <c r="R6" s="195">
        <f>$G6+'126P-NR'!Q214</f>
        <v>1886.9789999999998</v>
      </c>
      <c r="S6" s="199">
        <f t="shared" si="0"/>
        <v>-0.33014090626873682</v>
      </c>
    </row>
    <row r="7" spans="1:19" ht="14">
      <c r="A7" s="185" t="s">
        <v>30</v>
      </c>
      <c r="B7" s="182" t="s">
        <v>43</v>
      </c>
      <c r="C7" s="231">
        <v>12509</v>
      </c>
      <c r="D7" s="211">
        <v>1</v>
      </c>
      <c r="E7" s="199"/>
      <c r="F7" s="211">
        <v>1</v>
      </c>
      <c r="G7" s="195">
        <f>'117C-NR'!C62</f>
        <v>607.25199999999995</v>
      </c>
      <c r="H7" s="195">
        <f>$G7+'117C-NR'!G214</f>
        <v>607.25199999999995</v>
      </c>
      <c r="I7" s="195">
        <f>$G7+'117C-NR'!H214</f>
        <v>607.25199999999995</v>
      </c>
      <c r="J7" s="195">
        <f>$G7+'117C-NR'!I214</f>
        <v>607.25199999999995</v>
      </c>
      <c r="K7" s="195">
        <f>$G7+'117C-NR'!J214</f>
        <v>607.25199999999995</v>
      </c>
      <c r="L7" s="195">
        <f>$G7+'117C-NR'!K214</f>
        <v>607.25199999999995</v>
      </c>
      <c r="M7" s="195">
        <f>$G7+'117C-NR'!L214</f>
        <v>607.25199999999995</v>
      </c>
      <c r="N7" s="195">
        <f>$G7+'117C-NR'!M214</f>
        <v>607.25199999999995</v>
      </c>
      <c r="O7" s="195">
        <f>$G7+'117C-NR'!N214</f>
        <v>607.25199999999995</v>
      </c>
      <c r="P7" s="195">
        <f>$G7+'117C-NR'!O214</f>
        <v>607.25199999999995</v>
      </c>
      <c r="Q7" s="195">
        <f>$G7+'117C-NR'!P214</f>
        <v>607.25199999999995</v>
      </c>
      <c r="R7" s="195">
        <f>$G7+'117C-NR'!Q214</f>
        <v>607.25199999999995</v>
      </c>
      <c r="S7" s="199">
        <f t="shared" si="0"/>
        <v>0</v>
      </c>
    </row>
    <row r="8" spans="1:19" ht="14">
      <c r="A8" s="185" t="s">
        <v>30</v>
      </c>
      <c r="B8" s="182" t="s">
        <v>46</v>
      </c>
      <c r="C8" s="231">
        <v>27263</v>
      </c>
      <c r="D8" s="211">
        <v>1</v>
      </c>
      <c r="E8" s="199"/>
      <c r="F8" s="211">
        <v>1</v>
      </c>
      <c r="G8" s="195">
        <f>'135K-NR'!C62</f>
        <v>1415.5930000000001</v>
      </c>
      <c r="H8" s="195">
        <f>$G8+'135K-NR'!G215</f>
        <v>1415.5930000000001</v>
      </c>
      <c r="I8" s="195">
        <f>$G8+'135K-NR'!H215</f>
        <v>1415.5930000000001</v>
      </c>
      <c r="J8" s="195">
        <f>$G8+'135K-NR'!I215</f>
        <v>1415.5930000000001</v>
      </c>
      <c r="K8" s="195">
        <f>$G8+'135K-NR'!J215</f>
        <v>1415.5930000000001</v>
      </c>
      <c r="L8" s="195">
        <f>$G8+'135K-NR'!K215</f>
        <v>1185.5930000000001</v>
      </c>
      <c r="M8" s="195">
        <f>$G8+'135K-NR'!L215</f>
        <v>1185.5930000000001</v>
      </c>
      <c r="N8" s="195">
        <f>$G8+'135K-NR'!M215</f>
        <v>1185.5930000000001</v>
      </c>
      <c r="O8" s="195">
        <f>$G8+'135K-NR'!N215</f>
        <v>1205.5930000000001</v>
      </c>
      <c r="P8" s="195">
        <f>$G8+'135K-NR'!O215</f>
        <v>1205.5930000000001</v>
      </c>
      <c r="Q8" s="195">
        <f>$G8+'135K-NR'!P215</f>
        <v>1205.5930000000001</v>
      </c>
      <c r="R8" s="195">
        <f>$G8+'135K-NR'!Q215</f>
        <v>1205.5930000000001</v>
      </c>
      <c r="S8" s="199">
        <f t="shared" si="0"/>
        <v>-0.14834772423994749</v>
      </c>
    </row>
    <row r="9" spans="1:19" ht="14">
      <c r="A9" s="185" t="s">
        <v>30</v>
      </c>
      <c r="B9" s="182" t="s">
        <v>47</v>
      </c>
      <c r="C9" s="231">
        <v>39057</v>
      </c>
      <c r="D9" s="211">
        <v>1</v>
      </c>
      <c r="E9" s="199"/>
      <c r="F9" s="211">
        <v>1</v>
      </c>
      <c r="G9" s="195">
        <f>'201K-NR'!C62</f>
        <v>1521.712</v>
      </c>
      <c r="H9" s="195">
        <f>$G9+'201K-NR'!G214</f>
        <v>1491.712</v>
      </c>
      <c r="I9" s="195">
        <f>$G9+'201K-NR'!H214</f>
        <v>1491.712</v>
      </c>
      <c r="J9" s="195">
        <f>$G9+'201K-NR'!I214</f>
        <v>1016.712</v>
      </c>
      <c r="K9" s="195">
        <f>$G9+'201K-NR'!J214</f>
        <v>1016.712</v>
      </c>
      <c r="L9" s="195">
        <f>$G9+'201K-NR'!K214</f>
        <v>991.71199999999999</v>
      </c>
      <c r="M9" s="195">
        <f>$G9+'201K-NR'!L214</f>
        <v>991.71199999999999</v>
      </c>
      <c r="N9" s="195">
        <f>$G9+'201K-NR'!M214</f>
        <v>991.71199999999999</v>
      </c>
      <c r="O9" s="195">
        <f>$G9+'201K-NR'!N214</f>
        <v>961.71199999999999</v>
      </c>
      <c r="P9" s="195">
        <f>$G9+'201K-NR'!O214</f>
        <v>201.71199999999999</v>
      </c>
      <c r="Q9" s="195">
        <f>$G9+'201K-NR'!P214</f>
        <v>201.71199999999999</v>
      </c>
      <c r="R9" s="195">
        <f>$G9+'201K-NR'!Q214</f>
        <v>201.71199999999999</v>
      </c>
      <c r="S9" s="199">
        <f t="shared" si="0"/>
        <v>-0.86744403671654036</v>
      </c>
    </row>
    <row r="10" spans="1:19" ht="14">
      <c r="A10" s="185" t="s">
        <v>48</v>
      </c>
      <c r="B10" s="182" t="s">
        <v>49</v>
      </c>
      <c r="C10" s="231">
        <v>24754</v>
      </c>
      <c r="D10" s="211">
        <v>1</v>
      </c>
      <c r="E10" s="199"/>
      <c r="F10" s="211">
        <v>1</v>
      </c>
      <c r="G10" s="195">
        <f>'259Q-NR'!C62</f>
        <v>1879.1079999999999</v>
      </c>
      <c r="H10" s="195">
        <f>$G10+'259Q-NR'!G214</f>
        <v>1879.1079999999999</v>
      </c>
      <c r="I10" s="195">
        <f>$G10+'259Q-NR'!H214</f>
        <v>1879.1079999999999</v>
      </c>
      <c r="J10" s="195">
        <f>$G10+'259Q-NR'!I214</f>
        <v>1879.10799</v>
      </c>
      <c r="K10" s="195">
        <f>$G10+'259Q-NR'!J214</f>
        <v>1879.10799</v>
      </c>
      <c r="L10" s="195">
        <f>$G10+'259Q-NR'!K214</f>
        <v>1702.4299899999999</v>
      </c>
      <c r="M10" s="195">
        <f>$G10+'259Q-NR'!L214</f>
        <v>1702.4299899999999</v>
      </c>
      <c r="N10" s="195">
        <f>$G10+'259Q-NR'!M214</f>
        <v>1702.4299899999999</v>
      </c>
      <c r="O10" s="195">
        <f>$G10+'259Q-NR'!N214</f>
        <v>1702.4299899999999</v>
      </c>
      <c r="P10" s="195">
        <f>$G10+'259Q-NR'!O214</f>
        <v>1582.0549899999999</v>
      </c>
      <c r="Q10" s="195">
        <f>$G10+'259Q-NR'!P214</f>
        <v>1582.0549899999999</v>
      </c>
      <c r="R10" s="195">
        <f>$G10+'259Q-NR'!Q214</f>
        <v>1582.0549899999999</v>
      </c>
      <c r="S10" s="199">
        <f t="shared" si="0"/>
        <v>-0.15808192504103016</v>
      </c>
    </row>
    <row r="11" spans="1:19" ht="14">
      <c r="A11" s="185" t="s">
        <v>30</v>
      </c>
      <c r="B11" s="182" t="s">
        <v>92</v>
      </c>
      <c r="C11" s="231">
        <v>26819</v>
      </c>
      <c r="D11" s="212">
        <v>0</v>
      </c>
      <c r="E11" s="199">
        <v>1</v>
      </c>
      <c r="F11" s="211">
        <v>1</v>
      </c>
      <c r="G11" s="195">
        <f>'347K-NR'!C62</f>
        <v>1483.8040000000001</v>
      </c>
      <c r="H11" s="195">
        <f>$G11+'347K-NR'!G214</f>
        <v>1483.8040000000001</v>
      </c>
      <c r="I11" s="195">
        <f>$G11+'347K-NR'!H214</f>
        <v>1483.8040000000001</v>
      </c>
      <c r="J11" s="195">
        <f>$G11+'347K-NR'!I214</f>
        <v>1503.8040000000001</v>
      </c>
      <c r="K11" s="195">
        <f>$G11+'347K-NR'!J214</f>
        <v>1293.8040000000001</v>
      </c>
      <c r="L11" s="195">
        <f>$G11+'347K-NR'!K214</f>
        <v>1293.8040000000001</v>
      </c>
      <c r="M11" s="195">
        <f>$G11+'347K-NR'!L214</f>
        <v>1293.8040000000001</v>
      </c>
      <c r="N11" s="195">
        <f>$G11+'347K-NR'!M214</f>
        <v>1293.8040000000001</v>
      </c>
      <c r="O11" s="195">
        <f>$G11+'347K-NR'!N214</f>
        <v>1313.8040000000001</v>
      </c>
      <c r="P11" s="195">
        <f>$G11+'347K-NR'!O214</f>
        <v>1313.8040000000001</v>
      </c>
      <c r="Q11" s="195">
        <f>$G11+'347K-NR'!P214</f>
        <v>1313.8040000000001</v>
      </c>
      <c r="R11" s="195">
        <f>$G11+'347K-NR'!Q214</f>
        <v>1093.8040000000001</v>
      </c>
      <c r="S11" s="199">
        <f t="shared" si="0"/>
        <v>-0.26283794894743506</v>
      </c>
    </row>
    <row r="12" spans="1:19" ht="14">
      <c r="A12" s="185" t="s">
        <v>30</v>
      </c>
      <c r="B12" s="182" t="s">
        <v>52</v>
      </c>
      <c r="C12" s="231">
        <v>28396</v>
      </c>
      <c r="D12" s="211">
        <v>0.75</v>
      </c>
      <c r="E12" s="199"/>
      <c r="F12" s="211">
        <v>1</v>
      </c>
      <c r="G12" s="195">
        <f>'40M-NR'!C62</f>
        <v>1211</v>
      </c>
      <c r="H12" s="195">
        <f>$G12+'40M-NR'!G214</f>
        <v>1241</v>
      </c>
      <c r="I12" s="195">
        <f>$G12+'40M-NR'!H214</f>
        <v>1241</v>
      </c>
      <c r="J12" s="195">
        <f>$G12+'40M-NR'!I214</f>
        <v>1241</v>
      </c>
      <c r="K12" s="195">
        <f>$G12+'40M-NR'!J214</f>
        <v>1241</v>
      </c>
      <c r="L12" s="195">
        <f>$G12+'40M-NR'!K214</f>
        <v>1141</v>
      </c>
      <c r="M12" s="195">
        <f>$G12+'40M-NR'!L214</f>
        <v>1141</v>
      </c>
      <c r="N12" s="195">
        <f>$G12+'40M-NR'!M214</f>
        <v>1141</v>
      </c>
      <c r="O12" s="195">
        <f>$G12+'40M-NR'!N214</f>
        <v>1161</v>
      </c>
      <c r="P12" s="195">
        <f>$G12+'40M-NR'!O214</f>
        <v>1161</v>
      </c>
      <c r="Q12" s="195">
        <f>$G12+'40M-NR'!P214</f>
        <v>1161</v>
      </c>
      <c r="R12" s="195">
        <f>$G12+'40M-NR'!Q214</f>
        <v>1161</v>
      </c>
      <c r="S12" s="199">
        <f t="shared" si="0"/>
        <v>-4.1288191577208921E-2</v>
      </c>
    </row>
    <row r="13" spans="1:19" ht="14">
      <c r="A13" s="185" t="s">
        <v>30</v>
      </c>
      <c r="B13" s="182" t="s">
        <v>54</v>
      </c>
      <c r="C13" s="231">
        <v>37558</v>
      </c>
      <c r="D13" s="211">
        <v>0.75</v>
      </c>
      <c r="E13" s="199"/>
      <c r="F13" s="211">
        <v>1</v>
      </c>
      <c r="G13" s="195">
        <f>'420G-NR'!C62</f>
        <v>1710.3420000000001</v>
      </c>
      <c r="H13" s="195">
        <f>$G13+'420G-NR'!G214</f>
        <v>1630.3420000000001</v>
      </c>
      <c r="I13" s="195">
        <f>$G13+'420G-NR'!H214</f>
        <v>1630.3420000000001</v>
      </c>
      <c r="J13" s="195">
        <f>$G13+'420G-NR'!I214</f>
        <v>1630.3420000000001</v>
      </c>
      <c r="K13" s="195">
        <f>$G13+'420G-NR'!J214</f>
        <v>1630.3420000000001</v>
      </c>
      <c r="L13" s="195">
        <f>$G13+'420G-NR'!K214</f>
        <v>1405.3420000000001</v>
      </c>
      <c r="M13" s="195">
        <f>$G13+'420G-NR'!L214</f>
        <v>1405.3420000000001</v>
      </c>
      <c r="N13" s="195">
        <f>$G13+'420G-NR'!M214</f>
        <v>1405.3420000000001</v>
      </c>
      <c r="O13" s="195">
        <f>$G13+'420G-NR'!N214</f>
        <v>1425.3420000000001</v>
      </c>
      <c r="P13" s="195">
        <f>$G13+'420G-NR'!O214</f>
        <v>1355.3420000000001</v>
      </c>
      <c r="Q13" s="195">
        <f>$G13+'420G-NR'!P214</f>
        <v>1355.3420000000001</v>
      </c>
      <c r="R13" s="195">
        <f>$G13+'420G-NR'!Q214</f>
        <v>1355.3420000000001</v>
      </c>
      <c r="S13" s="199">
        <f t="shared" si="0"/>
        <v>-0.20756082701588335</v>
      </c>
    </row>
    <row r="14" spans="1:19" ht="14">
      <c r="A14" s="185" t="s">
        <v>37</v>
      </c>
      <c r="B14" s="182" t="s">
        <v>55</v>
      </c>
      <c r="C14" s="231">
        <v>55051</v>
      </c>
      <c r="D14" s="211">
        <v>0.5</v>
      </c>
      <c r="E14" s="199">
        <v>0.5</v>
      </c>
      <c r="F14" s="211">
        <v>1</v>
      </c>
      <c r="G14" s="195">
        <f>'567C-NR'!C62</f>
        <v>1278.2635</v>
      </c>
      <c r="H14" s="195">
        <f>$G14+'567C-NR'!G214</f>
        <v>1192.1635000000001</v>
      </c>
      <c r="I14" s="195">
        <f>$G14+'567C-NR'!H214</f>
        <v>1192.1635000000001</v>
      </c>
      <c r="J14" s="195">
        <f>$G14+'567C-NR'!I214</f>
        <v>1132.4635000000001</v>
      </c>
      <c r="K14" s="195">
        <f>$G14+'567C-NR'!J214</f>
        <v>1119.4635000000001</v>
      </c>
      <c r="L14" s="195">
        <f>$G14+'567C-NR'!K214</f>
        <v>998.26350000000002</v>
      </c>
      <c r="M14" s="195">
        <f>$G14+'567C-NR'!L214</f>
        <v>998.26350000000002</v>
      </c>
      <c r="N14" s="195">
        <f>$G14+'567C-NR'!M214</f>
        <v>1185.2635</v>
      </c>
      <c r="O14" s="195">
        <f>$G14+'567C-NR'!N214</f>
        <v>1185.2635</v>
      </c>
      <c r="P14" s="195">
        <f>$G14+'567C-NR'!O214</f>
        <v>1185.2635</v>
      </c>
      <c r="Q14" s="195">
        <f>$G14+'567C-NR'!P214</f>
        <v>1185.2635</v>
      </c>
      <c r="R14" s="195">
        <f>$G14+'567C-NR'!Q214</f>
        <v>1185.2635</v>
      </c>
      <c r="S14" s="199">
        <f t="shared" si="0"/>
        <v>-7.2754952323992664E-2</v>
      </c>
    </row>
    <row r="15" spans="1:19" ht="14">
      <c r="A15" s="185" t="s">
        <v>30</v>
      </c>
      <c r="B15" s="182" t="s">
        <v>56</v>
      </c>
      <c r="C15" s="231">
        <v>39938</v>
      </c>
      <c r="D15" s="211">
        <v>0.5</v>
      </c>
      <c r="E15" s="199"/>
      <c r="F15" s="211">
        <v>1</v>
      </c>
      <c r="G15" s="195">
        <f>'60MP-NR'!C62</f>
        <v>2594.9870000000001</v>
      </c>
      <c r="H15" s="195">
        <f>$G15+'60MP-NR'!G214</f>
        <v>2594.9870000000001</v>
      </c>
      <c r="I15" s="195">
        <f>$G15+'60MP-NR'!H214</f>
        <v>2594.9870000000001</v>
      </c>
      <c r="J15" s="195">
        <f>$G15+'60MP-NR'!I214</f>
        <v>2594.9870000000001</v>
      </c>
      <c r="K15" s="195">
        <f>$G15+'60MP-NR'!J214</f>
        <v>2594.9870000000001</v>
      </c>
      <c r="L15" s="195">
        <f>$G15+'60MP-NR'!K214</f>
        <v>2594.9870000000001</v>
      </c>
      <c r="M15" s="195">
        <f>$G15+'60MP-NR'!L214</f>
        <v>2594.9870000000001</v>
      </c>
      <c r="N15" s="195">
        <f>$G15+'60MP-NR'!M214</f>
        <v>2594.9870000000001</v>
      </c>
      <c r="O15" s="195">
        <f>$G15+'60MP-NR'!N214</f>
        <v>2594.9870000000001</v>
      </c>
      <c r="P15" s="195">
        <f>$G15+'60MP-NR'!O214</f>
        <v>2594.9870000000001</v>
      </c>
      <c r="Q15" s="195">
        <f>$G15+'60MP-NR'!P214</f>
        <v>2594.9870000000001</v>
      </c>
      <c r="R15" s="195">
        <f>$G15+'60MP-NR'!Q214</f>
        <v>2594.9870000000001</v>
      </c>
      <c r="S15" s="199">
        <f t="shared" si="0"/>
        <v>0</v>
      </c>
    </row>
    <row r="16" spans="1:19" ht="14">
      <c r="A16" s="185" t="s">
        <v>30</v>
      </c>
      <c r="B16" s="182" t="s">
        <v>93</v>
      </c>
      <c r="C16" s="231">
        <v>20404</v>
      </c>
      <c r="D16" s="212">
        <v>0</v>
      </c>
      <c r="E16" s="199">
        <v>1</v>
      </c>
      <c r="F16" s="211">
        <v>1</v>
      </c>
      <c r="G16" s="195">
        <f>'151C-NR'!C62</f>
        <v>1059.2670000000001</v>
      </c>
      <c r="H16" s="195">
        <f>$G16+'151C-NR'!G214</f>
        <v>1059.2670000000001</v>
      </c>
      <c r="I16" s="195">
        <f>$G16+'151C-NR'!H214</f>
        <v>1059.2670000000001</v>
      </c>
      <c r="J16" s="195">
        <f>$G16+'151C-NR'!I214</f>
        <v>1059.2670000000001</v>
      </c>
      <c r="K16" s="195">
        <f>$G16+'151C-NR'!J214</f>
        <v>1059.2670000000001</v>
      </c>
      <c r="L16" s="195">
        <f>$G16+'151C-NR'!K214</f>
        <v>1059.2670000000001</v>
      </c>
      <c r="M16" s="195">
        <f>$G16+'151C-NR'!L214</f>
        <v>1059.2670000000001</v>
      </c>
      <c r="N16" s="195">
        <f>$G16+'151C-NR'!M214</f>
        <v>1059.2670000000001</v>
      </c>
      <c r="O16" s="195">
        <f>$G16+'151C-NR'!N214</f>
        <v>1059.2670000000001</v>
      </c>
      <c r="P16" s="195">
        <f>$G16+'151C-NR'!O214</f>
        <v>1179.2670000000001</v>
      </c>
      <c r="Q16" s="195">
        <f>$G16+'151C-NR'!P214</f>
        <v>1179.2670000000001</v>
      </c>
      <c r="R16" s="195">
        <f>$G16+'151C-NR'!Q214</f>
        <v>1179.2670000000001</v>
      </c>
      <c r="S16" s="199">
        <f>(R16-G16)/G16</f>
        <v>0.11328588542831977</v>
      </c>
    </row>
    <row r="17" spans="1:19" ht="14">
      <c r="A17" s="185" t="s">
        <v>37</v>
      </c>
      <c r="B17" s="182" t="s">
        <v>60</v>
      </c>
      <c r="C17" s="231">
        <v>1422</v>
      </c>
      <c r="D17" s="211">
        <v>1</v>
      </c>
      <c r="E17" s="199"/>
      <c r="F17" s="211">
        <v>1</v>
      </c>
      <c r="G17" s="195"/>
      <c r="H17" s="195"/>
      <c r="I17" s="195"/>
      <c r="J17" s="195"/>
      <c r="K17" s="195"/>
      <c r="L17" s="195"/>
      <c r="M17" s="195"/>
      <c r="N17" s="195"/>
      <c r="O17" s="195"/>
      <c r="P17" s="195"/>
      <c r="Q17" s="195"/>
      <c r="R17" s="195"/>
      <c r="S17" s="199"/>
    </row>
    <row r="18" spans="1:19" ht="14">
      <c r="A18" s="185" t="s">
        <v>66</v>
      </c>
      <c r="B18" s="182" t="s">
        <v>170</v>
      </c>
      <c r="C18" s="231">
        <v>17363.8</v>
      </c>
      <c r="D18" s="212">
        <v>0</v>
      </c>
      <c r="E18" s="199"/>
      <c r="F18" s="211">
        <v>1</v>
      </c>
      <c r="G18" s="195">
        <f>'20B-NR'!C62</f>
        <v>1538.549</v>
      </c>
      <c r="H18" s="195">
        <f>$G18+'20B-NR'!G214</f>
        <v>1568.549</v>
      </c>
      <c r="I18" s="195">
        <f>$G18+'20B-NR'!H214</f>
        <v>1568.549</v>
      </c>
      <c r="J18" s="195">
        <f>$G18+'20B-NR'!I214</f>
        <v>1568.549</v>
      </c>
      <c r="K18" s="195">
        <f>$G18+'20B-NR'!J214</f>
        <v>1543.549</v>
      </c>
      <c r="L18" s="195">
        <f>$G18+'20B-NR'!K214</f>
        <v>1513.549</v>
      </c>
      <c r="M18" s="195">
        <f>$G18+'20B-NR'!L214</f>
        <v>1513.549</v>
      </c>
      <c r="N18" s="195">
        <f>$G18+'20B-NR'!M214</f>
        <v>1513.549</v>
      </c>
      <c r="O18" s="195">
        <f>$G18+'20B-NR'!N214</f>
        <v>1123.549</v>
      </c>
      <c r="P18" s="195">
        <f>$G18+'20B-NR'!O214</f>
        <v>1123.549</v>
      </c>
      <c r="Q18" s="195">
        <f>$G18+'20B-NR'!P214</f>
        <v>1123.549</v>
      </c>
      <c r="R18" s="195">
        <f>$G18+'20B-NR'!Q214</f>
        <v>1123.549</v>
      </c>
      <c r="S18" s="199">
        <f t="shared" si="0"/>
        <v>-0.26973466558426151</v>
      </c>
    </row>
    <row r="19" spans="1:19" ht="14">
      <c r="A19" s="185" t="s">
        <v>48</v>
      </c>
      <c r="B19" s="182" t="s">
        <v>168</v>
      </c>
      <c r="C19" s="231">
        <v>24784</v>
      </c>
      <c r="D19" s="212">
        <v>0</v>
      </c>
      <c r="E19" s="199"/>
      <c r="F19" s="211">
        <v>1</v>
      </c>
      <c r="G19" s="195">
        <f>'179T-NR'!C62</f>
        <v>894.80700000000002</v>
      </c>
      <c r="H19" s="195">
        <f>$G19+'179T-NR'!G214</f>
        <v>894.80700000000002</v>
      </c>
      <c r="I19" s="195">
        <f>$G19+'179T-NR'!H214</f>
        <v>894.80700000000002</v>
      </c>
      <c r="J19" s="195">
        <f>$G19+'179T-NR'!I214</f>
        <v>894.80700000000002</v>
      </c>
      <c r="K19" s="195">
        <f>$G19+'179T-NR'!J214</f>
        <v>894.80700000000002</v>
      </c>
      <c r="L19" s="195">
        <f>$G19+'179T-NR'!K214</f>
        <v>853.80700000000002</v>
      </c>
      <c r="M19" s="195">
        <f>$G19+'179T-NR'!L214</f>
        <v>853.80700000000002</v>
      </c>
      <c r="N19" s="195">
        <f>$G19+'179T-NR'!M214</f>
        <v>853.80700000000002</v>
      </c>
      <c r="O19" s="195">
        <f>$G19+'179T-NR'!N214</f>
        <v>853.80700000000002</v>
      </c>
      <c r="P19" s="195">
        <f>$G19+'179T-NR'!O214</f>
        <v>853.80700000000002</v>
      </c>
      <c r="Q19" s="195">
        <f>$G19+'179T-NR'!P214</f>
        <v>853.80700000000002</v>
      </c>
      <c r="R19" s="195">
        <f>$G19+'179T-NR'!Q214</f>
        <v>853.80700000000002</v>
      </c>
      <c r="S19" s="199">
        <f t="shared" si="0"/>
        <v>-4.5819936589677999E-2</v>
      </c>
    </row>
    <row r="20" spans="1:19" ht="14">
      <c r="A20" s="185" t="s">
        <v>30</v>
      </c>
      <c r="B20" s="182" t="s">
        <v>123</v>
      </c>
      <c r="C20" s="231">
        <v>23555.5</v>
      </c>
      <c r="D20" s="211">
        <v>0</v>
      </c>
      <c r="E20" s="199"/>
      <c r="F20" s="211">
        <v>1</v>
      </c>
      <c r="G20" s="195">
        <f>'105M-NR'!C62</f>
        <v>924.71500000000003</v>
      </c>
      <c r="H20" s="195">
        <f>$G20+'105M-NR'!G214</f>
        <v>924.71500000000003</v>
      </c>
      <c r="I20" s="195">
        <f>$G20+'105M-NR'!H214</f>
        <v>924.71500000000003</v>
      </c>
      <c r="J20" s="195">
        <f>$G20+'105M-NR'!I214</f>
        <v>924.71500000000003</v>
      </c>
      <c r="K20" s="195">
        <f>$G20+'105M-NR'!J214</f>
        <v>924.71500000000003</v>
      </c>
      <c r="L20" s="195">
        <f>$G20+'105M-NR'!K214</f>
        <v>924.71500000000003</v>
      </c>
      <c r="M20" s="195">
        <f>$G20+'105M-NR'!L214</f>
        <v>924.71500000000003</v>
      </c>
      <c r="N20" s="195">
        <f>$G20+'105M-NR'!M214</f>
        <v>924.71500000000003</v>
      </c>
      <c r="O20" s="195">
        <f>$G20+'105M-NR'!N214</f>
        <v>924.71500000000003</v>
      </c>
      <c r="P20" s="195">
        <f>$G20+'105M-NR'!O214</f>
        <v>924.71500000000003</v>
      </c>
      <c r="Q20" s="195">
        <f>$G20+'105M-NR'!P214</f>
        <v>924.71500000000003</v>
      </c>
      <c r="R20" s="195">
        <f>$G20+'105M-NR'!Q214</f>
        <v>924.71500000000003</v>
      </c>
      <c r="S20" s="199">
        <f t="shared" si="0"/>
        <v>0</v>
      </c>
    </row>
    <row r="21" spans="1:19" ht="14">
      <c r="A21" s="185" t="s">
        <v>63</v>
      </c>
      <c r="B21" s="182" t="s">
        <v>64</v>
      </c>
      <c r="C21" s="231">
        <v>61127</v>
      </c>
      <c r="D21" s="211">
        <v>0.5</v>
      </c>
      <c r="E21" s="199"/>
      <c r="F21" s="211"/>
      <c r="G21" s="195">
        <f>'QV1-NR'!C62</f>
        <v>2379.8910000000001</v>
      </c>
      <c r="H21" s="195">
        <f>$G21+'QV1-NR'!G214</f>
        <v>2379.8910000000001</v>
      </c>
      <c r="I21" s="195">
        <f>$G21+'QV1-NR'!H214</f>
        <v>2379.8910000000001</v>
      </c>
      <c r="J21" s="195">
        <f>$G21+'QV1-NR'!I214</f>
        <v>2379.8910000000001</v>
      </c>
      <c r="K21" s="195">
        <f>$G21+'QV1-NR'!J214</f>
        <v>2379.8910000000001</v>
      </c>
      <c r="L21" s="195">
        <f>$G21+'QV1-NR'!K214</f>
        <v>2561.2690000000002</v>
      </c>
      <c r="M21" s="195">
        <f>$G21+'QV1-NR'!L214</f>
        <v>2561.2690000000002</v>
      </c>
      <c r="N21" s="195">
        <f>$G21+'QV1-NR'!M214</f>
        <v>2561.2690000000002</v>
      </c>
      <c r="O21" s="195">
        <f>$G21+'QV1-NR'!N214</f>
        <v>2561.2690000000002</v>
      </c>
      <c r="P21" s="195">
        <f>$G21+'QV1-NR'!O214</f>
        <v>2561.2690000000002</v>
      </c>
      <c r="Q21" s="195">
        <f>$G21+'QV1-NR'!P214</f>
        <v>2561.2690000000002</v>
      </c>
      <c r="R21" s="195">
        <f>$G21+'QV1-NR'!Q214</f>
        <v>2561.2690000000002</v>
      </c>
      <c r="S21" s="199">
        <f t="shared" si="0"/>
        <v>7.6212734112612784E-2</v>
      </c>
    </row>
    <row r="22" spans="1:19" ht="14">
      <c r="A22" s="185" t="s">
        <v>66</v>
      </c>
      <c r="B22" s="182" t="s">
        <v>95</v>
      </c>
      <c r="C22" s="231">
        <v>41253</v>
      </c>
      <c r="D22" s="212">
        <v>0</v>
      </c>
      <c r="E22" s="199">
        <v>0.5</v>
      </c>
      <c r="F22" s="211"/>
      <c r="G22" s="195">
        <f>'388G-NR'!C62</f>
        <v>2372.8890000000001</v>
      </c>
      <c r="H22" s="195">
        <f>$G22+'388G-NR'!G214</f>
        <v>2372.8890000000001</v>
      </c>
      <c r="I22" s="195">
        <f>$G22+'388G-NR'!H214</f>
        <v>2372.8890000000001</v>
      </c>
      <c r="J22" s="195">
        <f>$G22+'388G-NR'!I214</f>
        <v>2372.8890000000001</v>
      </c>
      <c r="K22" s="195">
        <f>$G22+'388G-NR'!J214</f>
        <v>2372.8890000000001</v>
      </c>
      <c r="L22" s="195">
        <f>$G22+'388G-NR'!K214</f>
        <v>2372.8890000000001</v>
      </c>
      <c r="M22" s="195">
        <f>$G22+'388G-NR'!L214</f>
        <v>2372.8890000000001</v>
      </c>
      <c r="N22" s="195">
        <f>$G22+'388G-NR'!M214</f>
        <v>2372.8890000000001</v>
      </c>
      <c r="O22" s="195">
        <f>$G22+'388G-NR'!N214</f>
        <v>2372.8890000000001</v>
      </c>
      <c r="P22" s="195">
        <f>$G22+'388G-NR'!O214</f>
        <v>2372.8890000000001</v>
      </c>
      <c r="Q22" s="195">
        <f>$G22+'388G-NR'!P214</f>
        <v>2372.8890000000001</v>
      </c>
      <c r="R22" s="195">
        <f>$G22+'388G-NR'!Q214</f>
        <v>2372.8890000000001</v>
      </c>
      <c r="S22" s="199">
        <f t="shared" si="0"/>
        <v>0</v>
      </c>
    </row>
    <row r="23" spans="1:19" ht="14">
      <c r="A23" s="185" t="s">
        <v>66</v>
      </c>
      <c r="B23" s="198" t="s">
        <v>133</v>
      </c>
      <c r="C23" s="231">
        <v>8227.2000000000007</v>
      </c>
      <c r="D23" s="212">
        <v>0</v>
      </c>
      <c r="E23" s="199"/>
      <c r="F23" s="211">
        <v>1</v>
      </c>
      <c r="G23" s="195">
        <f>'130P-NR'!C62</f>
        <v>547.97820000000002</v>
      </c>
      <c r="H23" s="195">
        <f>$G23+'130P-NR'!G214</f>
        <v>547.97820000000002</v>
      </c>
      <c r="I23" s="195">
        <f>$G23+'130P-NR'!H214</f>
        <v>547.97820000000002</v>
      </c>
      <c r="J23" s="195">
        <f>$G23+'130P-NR'!I214</f>
        <v>547.97820000000002</v>
      </c>
      <c r="K23" s="195">
        <f>$G23+'130P-NR'!J214</f>
        <v>547.97820000000002</v>
      </c>
      <c r="L23" s="195">
        <f>$G23+'130P-NR'!K214</f>
        <v>547.97820000000002</v>
      </c>
      <c r="M23" s="195">
        <f>$G23+'130P-NR'!L214</f>
        <v>547.97820000000002</v>
      </c>
      <c r="N23" s="195">
        <f>$G23+'130P-NR'!M214</f>
        <v>547.97820000000002</v>
      </c>
      <c r="O23" s="195">
        <f>$G23+'130P-NR'!N214</f>
        <v>547.97820000000002</v>
      </c>
      <c r="P23" s="195">
        <f>$G23+'130P-NR'!O214</f>
        <v>547.97820000000002</v>
      </c>
      <c r="Q23" s="195">
        <f>$G23+'130P-NR'!P214</f>
        <v>547.97820000000002</v>
      </c>
      <c r="R23" s="195">
        <f>$G23+'130P-NR'!Q214</f>
        <v>547.97820000000002</v>
      </c>
      <c r="S23" s="199">
        <f t="shared" si="0"/>
        <v>0</v>
      </c>
    </row>
    <row r="24" spans="1:19" ht="14">
      <c r="A24" s="185" t="s">
        <v>178</v>
      </c>
      <c r="B24" s="198" t="s">
        <v>140</v>
      </c>
      <c r="C24" s="231">
        <v>20861</v>
      </c>
      <c r="D24" s="212">
        <v>1</v>
      </c>
      <c r="E24" s="199"/>
      <c r="F24" s="211">
        <v>0</v>
      </c>
      <c r="G24" s="195">
        <f>'220L-NR'!C62</f>
        <v>1111.9480000000001</v>
      </c>
      <c r="H24" s="195">
        <f>$G24+'220L-NR'!G214</f>
        <v>1111.9480000000001</v>
      </c>
      <c r="I24" s="195">
        <f>$G24+'220L-NR'!H214</f>
        <v>1111.9480000000001</v>
      </c>
      <c r="J24" s="195">
        <f>$G24+'220L-NR'!I214</f>
        <v>1111.9480000000001</v>
      </c>
      <c r="K24" s="195">
        <f>$G24+'220L-NR'!J214</f>
        <v>1111.9480000000001</v>
      </c>
      <c r="L24" s="195">
        <f>$G24+'220L-NR'!K214</f>
        <v>1111.9480000000001</v>
      </c>
      <c r="M24" s="195">
        <f>$G24+'220L-NR'!L214</f>
        <v>1111.9480000000001</v>
      </c>
      <c r="N24" s="195">
        <f>$G24+'220L-NR'!M214</f>
        <v>1111.9480000000001</v>
      </c>
      <c r="O24" s="195">
        <f>$G24+'220L-NR'!N214</f>
        <v>1111.9480000000001</v>
      </c>
      <c r="P24" s="195">
        <f>$G24+'220L-NR'!O214</f>
        <v>1111.9480000000001</v>
      </c>
      <c r="Q24" s="195">
        <f>$G24+'220L-NR'!P214</f>
        <v>1111.9480000000001</v>
      </c>
      <c r="R24" s="195">
        <f>$G24+'220L-NR'!Q214</f>
        <v>1111.9480000000001</v>
      </c>
      <c r="S24" s="199">
        <f t="shared" si="0"/>
        <v>0</v>
      </c>
    </row>
    <row r="25" spans="1:19" ht="14">
      <c r="A25" s="185" t="s">
        <v>37</v>
      </c>
      <c r="B25" s="182" t="s">
        <v>166</v>
      </c>
      <c r="C25" s="231">
        <v>15723.1</v>
      </c>
      <c r="D25" s="212">
        <v>0</v>
      </c>
      <c r="E25" s="199"/>
      <c r="F25" s="211">
        <v>1</v>
      </c>
      <c r="G25" s="195">
        <f>'850C-NR'!C62</f>
        <v>775.36580000000004</v>
      </c>
      <c r="H25" s="195">
        <f>$G25+'850C-NR'!G214</f>
        <v>533.16579999999999</v>
      </c>
      <c r="I25" s="195">
        <f>$G25+'850C-NR'!H214</f>
        <v>533.16579999999999</v>
      </c>
      <c r="J25" s="195">
        <f>$G25+'850C-NR'!I214</f>
        <v>432.96580000000006</v>
      </c>
      <c r="K25" s="195">
        <f>$G25+'850C-NR'!J214</f>
        <v>386.76580000000007</v>
      </c>
      <c r="L25" s="195">
        <f>$G25+'850C-NR'!K214</f>
        <v>354.96580000000006</v>
      </c>
      <c r="M25" s="195">
        <f>$G25+'850C-NR'!L214</f>
        <v>354.96580000000006</v>
      </c>
      <c r="N25" s="195">
        <f>$G25+'850C-NR'!M214</f>
        <v>354.96580000000006</v>
      </c>
      <c r="O25" s="195">
        <f>$G25+'850C-NR'!N214</f>
        <v>346.76580000000007</v>
      </c>
      <c r="P25" s="195">
        <f>$G25+'850C-NR'!O214</f>
        <v>346.76580000000007</v>
      </c>
      <c r="Q25" s="195">
        <f>$G25+'850C-NR'!P214</f>
        <v>346.76580000000007</v>
      </c>
      <c r="R25" s="195">
        <f>$G25+'850C-NR'!Q214</f>
        <v>346.76580000000007</v>
      </c>
      <c r="S25" s="199">
        <f t="shared" si="0"/>
        <v>-0.55277134998732202</v>
      </c>
    </row>
    <row r="26" spans="1:19" ht="14.5" thickBot="1">
      <c r="A26" s="185" t="s">
        <v>66</v>
      </c>
      <c r="B26" s="182" t="s">
        <v>67</v>
      </c>
      <c r="C26" s="231">
        <v>12837.7</v>
      </c>
      <c r="D26" s="211">
        <v>0</v>
      </c>
      <c r="E26" s="199"/>
      <c r="F26" s="211">
        <v>1</v>
      </c>
      <c r="G26" s="195">
        <f>'6OC-NR'!C62</f>
        <v>981.13499999999999</v>
      </c>
      <c r="H26" s="195">
        <f>$G26+'6OC-NR'!G214</f>
        <v>981.13499999999999</v>
      </c>
      <c r="I26" s="195">
        <f>$G26+'6OC-NR'!H214</f>
        <v>981.13499999999999</v>
      </c>
      <c r="J26" s="195">
        <f>$G26+'6OC-NR'!I214</f>
        <v>981.13499999999999</v>
      </c>
      <c r="K26" s="195">
        <f>$G26+'6OC-NR'!J214</f>
        <v>562.84799999999996</v>
      </c>
      <c r="L26" s="195">
        <f>$G26+'6OC-NR'!K214</f>
        <v>562.84799999999996</v>
      </c>
      <c r="M26" s="195">
        <f>$G26+'6OC-NR'!L214</f>
        <v>562.84799999999996</v>
      </c>
      <c r="N26" s="195">
        <f>$G26+'6OC-NR'!M214</f>
        <v>562.84799999999996</v>
      </c>
      <c r="O26" s="195">
        <f>$G26+'6OC-NR'!N214</f>
        <v>562.84799999999996</v>
      </c>
      <c r="P26" s="195">
        <f>$G26+'6OC-NR'!O214</f>
        <v>478.20999999999992</v>
      </c>
      <c r="Q26" s="195">
        <f>$G26+'6OC-NR'!P214</f>
        <v>478.20999999999992</v>
      </c>
      <c r="R26" s="195">
        <f>$G26+'6OC-NR'!Q214</f>
        <v>478.20999999999992</v>
      </c>
      <c r="S26" s="199">
        <f t="shared" si="0"/>
        <v>-0.51259510668766284</v>
      </c>
    </row>
    <row r="27" spans="1:19" ht="13" thickTop="1">
      <c r="G27" s="201">
        <f>SUBTOTAL(109,(G4:G26))</f>
        <v>34474.624500000005</v>
      </c>
      <c r="H27" s="201">
        <f t="shared" ref="H27:R27" si="1">SUBTOTAL(109,(H4:H26))</f>
        <v>34056.324500000002</v>
      </c>
      <c r="I27" s="201">
        <f t="shared" si="1"/>
        <v>34056.324500000002</v>
      </c>
      <c r="J27" s="201">
        <f t="shared" si="1"/>
        <v>32751.424490000005</v>
      </c>
      <c r="K27" s="201">
        <f t="shared" si="1"/>
        <v>31988.937490000004</v>
      </c>
      <c r="L27" s="201">
        <f t="shared" si="1"/>
        <v>31109.637490000008</v>
      </c>
      <c r="M27" s="201">
        <f t="shared" si="1"/>
        <v>31109.637490000008</v>
      </c>
      <c r="N27" s="201">
        <f t="shared" si="1"/>
        <v>31286.637490000008</v>
      </c>
      <c r="O27" s="201">
        <f t="shared" si="1"/>
        <v>30298.437490000004</v>
      </c>
      <c r="P27" s="201">
        <f t="shared" si="1"/>
        <v>29183.424490000005</v>
      </c>
      <c r="Q27" s="201">
        <f t="shared" si="1"/>
        <v>29183.424490000005</v>
      </c>
      <c r="R27" s="201">
        <f t="shared" si="1"/>
        <v>28963.424490000005</v>
      </c>
      <c r="S27" s="202">
        <f t="shared" si="0"/>
        <v>-0.15986251017759454</v>
      </c>
    </row>
    <row r="28" spans="1:19" ht="14">
      <c r="B28" s="182"/>
      <c r="C28" s="231"/>
      <c r="D28" s="212"/>
      <c r="E28" s="199"/>
      <c r="F28" s="211"/>
    </row>
    <row r="29" spans="1:19">
      <c r="G29" s="362">
        <f>SUMIF(A4:A26,"NSW2",G4:G26)</f>
        <v>17170.460999999999</v>
      </c>
      <c r="H29" s="362">
        <f>SUMIF(A4:A26,"NSW2",H4:H26)</f>
        <v>17050.460999999999</v>
      </c>
    </row>
    <row r="30" spans="1:19">
      <c r="G30" s="592">
        <v>0.39</v>
      </c>
      <c r="H30" s="289">
        <f>H29/H27</f>
        <v>0.50065476090938699</v>
      </c>
      <c r="I30" t="s">
        <v>207</v>
      </c>
    </row>
    <row r="31" spans="1:19" ht="23.25" customHeight="1" thickBot="1">
      <c r="A31" s="196" t="s">
        <v>208</v>
      </c>
      <c r="G31" s="362"/>
      <c r="H31" s="362"/>
      <c r="I31" s="362"/>
    </row>
    <row r="32" spans="1:19" ht="15" thickTop="1" thickBot="1">
      <c r="A32" s="184" t="s">
        <v>6</v>
      </c>
      <c r="B32" s="184" t="s">
        <v>7</v>
      </c>
      <c r="C32" s="184" t="s">
        <v>9</v>
      </c>
      <c r="D32" s="184" t="s">
        <v>10</v>
      </c>
      <c r="E32" s="184" t="s">
        <v>11</v>
      </c>
      <c r="F32" s="184" t="s">
        <v>12</v>
      </c>
      <c r="G32" s="184" t="s">
        <v>188</v>
      </c>
      <c r="H32" s="184" t="s">
        <v>189</v>
      </c>
      <c r="I32" s="184" t="s">
        <v>190</v>
      </c>
      <c r="J32" s="184" t="s">
        <v>191</v>
      </c>
      <c r="K32" s="184" t="s">
        <v>192</v>
      </c>
      <c r="L32" s="184" t="s">
        <v>193</v>
      </c>
      <c r="M32" s="184" t="s">
        <v>194</v>
      </c>
      <c r="N32" s="184" t="s">
        <v>195</v>
      </c>
      <c r="O32" s="184" t="s">
        <v>196</v>
      </c>
      <c r="P32" s="184" t="s">
        <v>197</v>
      </c>
      <c r="Q32" s="184" t="s">
        <v>198</v>
      </c>
      <c r="R32" s="184" t="s">
        <v>199</v>
      </c>
      <c r="S32" s="200" t="s">
        <v>200</v>
      </c>
    </row>
    <row r="33" spans="1:19" ht="14.5" thickTop="1">
      <c r="A33" s="185" t="s">
        <v>30</v>
      </c>
      <c r="B33" s="198" t="s">
        <v>31</v>
      </c>
      <c r="C33" s="228">
        <v>29166</v>
      </c>
      <c r="D33" s="211">
        <v>1</v>
      </c>
      <c r="E33" s="199"/>
      <c r="F33" s="211">
        <v>1</v>
      </c>
      <c r="G33" s="197">
        <f>'1M-NR'!C63</f>
        <v>1614.7909999999999</v>
      </c>
      <c r="H33" s="197">
        <f>$G33+'1M-NR'!G267</f>
        <v>1614.7909999999999</v>
      </c>
      <c r="I33" s="197">
        <f>$G33+'1M-NR'!H267</f>
        <v>1614.7909999999999</v>
      </c>
      <c r="J33" s="197">
        <f>$G33+'1M-NR'!I267</f>
        <v>1614.7909999999999</v>
      </c>
      <c r="K33" s="197">
        <f>$G33+'1M-NR'!J267</f>
        <v>1126.7909999999999</v>
      </c>
      <c r="L33" s="197">
        <f>$G33+'1M-NR'!K267</f>
        <v>1088.7909999999999</v>
      </c>
      <c r="M33" s="197">
        <f>$G33+'1M-NR'!L267</f>
        <v>1050.7909999999999</v>
      </c>
      <c r="N33" s="197">
        <f>$G33+'1M-NR'!M267</f>
        <v>1012.7909999999999</v>
      </c>
      <c r="O33" s="197">
        <f>$G33+'1M-NR'!N267</f>
        <v>474.79099999999994</v>
      </c>
      <c r="P33" s="197">
        <f>$G33+'1M-NR'!O267</f>
        <v>474.79099999999994</v>
      </c>
      <c r="Q33" s="197">
        <f>$G33+'1M-NR'!P267</f>
        <v>474.79099999999994</v>
      </c>
      <c r="R33" s="197">
        <f>$G33+'1M-NR'!Q267</f>
        <v>474.79099999999994</v>
      </c>
      <c r="S33" s="199">
        <f>(R33-G33)/G33</f>
        <v>-0.70597371424537292</v>
      </c>
    </row>
    <row r="34" spans="1:19" ht="14">
      <c r="A34" s="185" t="s">
        <v>37</v>
      </c>
      <c r="B34" s="182" t="s">
        <v>38</v>
      </c>
      <c r="C34" s="228">
        <v>62987</v>
      </c>
      <c r="D34" s="211">
        <v>0.5</v>
      </c>
      <c r="E34" s="199"/>
      <c r="F34" s="211">
        <v>1</v>
      </c>
      <c r="G34" s="195">
        <f>'120C-NR'!C63</f>
        <v>8473.1630000000005</v>
      </c>
      <c r="H34" s="195">
        <f>$G34+'120C-NR'!G267</f>
        <v>8473.1630000000005</v>
      </c>
      <c r="I34" s="195">
        <f>$G34+'120C-NR'!H267</f>
        <v>8473.1630000000005</v>
      </c>
      <c r="J34" s="195">
        <f>$G34+'120C-NR'!I267</f>
        <v>8473.1630000000005</v>
      </c>
      <c r="K34" s="195">
        <f>$G34+'120C-NR'!J267</f>
        <v>8473.1630000000005</v>
      </c>
      <c r="L34" s="195">
        <f>$G34+'120C-NR'!K267</f>
        <v>8473.1630000000005</v>
      </c>
      <c r="M34" s="195">
        <f>$G34+'120C-NR'!L267</f>
        <v>8473.1630000000005</v>
      </c>
      <c r="N34" s="195">
        <f>$G34+'120C-NR'!M267</f>
        <v>8473.1630000000005</v>
      </c>
      <c r="O34" s="195">
        <f>$G34+'120C-NR'!N267</f>
        <v>8473.1630000000005</v>
      </c>
      <c r="P34" s="195">
        <f>$G34+'120C-NR'!O267</f>
        <v>8473.1630000000005</v>
      </c>
      <c r="Q34" s="195">
        <f>$G34+'120C-NR'!P267</f>
        <v>8473.1630000000005</v>
      </c>
      <c r="R34" s="195">
        <f>$G34+'120C-NR'!Q267</f>
        <v>8473.1630000000005</v>
      </c>
      <c r="S34" s="199">
        <f t="shared" ref="S34:S56" si="2">(R34-G34)/G34</f>
        <v>0</v>
      </c>
    </row>
    <row r="35" spans="1:19" ht="14">
      <c r="A35" s="185" t="s">
        <v>30</v>
      </c>
      <c r="B35" s="182" t="s">
        <v>42</v>
      </c>
      <c r="C35" s="231">
        <v>42132</v>
      </c>
      <c r="D35" s="211">
        <v>0.5</v>
      </c>
      <c r="E35" s="199">
        <v>0.25</v>
      </c>
      <c r="F35" s="211">
        <v>1</v>
      </c>
      <c r="G35" s="195">
        <f>'126P-NR'!C63</f>
        <v>4662.1239999999998</v>
      </c>
      <c r="H35" s="195">
        <f>$G35+'126P-NR'!G267</f>
        <v>4662.1239999999998</v>
      </c>
      <c r="I35" s="195">
        <f>$G35+'126P-NR'!H267</f>
        <v>4662.1239999999998</v>
      </c>
      <c r="J35" s="195">
        <f>$G35+'126P-NR'!I267</f>
        <v>4662.1239999999998</v>
      </c>
      <c r="K35" s="195">
        <f>$G35+'126P-NR'!J267</f>
        <v>4662.1239999999998</v>
      </c>
      <c r="L35" s="195">
        <f>$G35+'126P-NR'!K267</f>
        <v>4662.1239999999998</v>
      </c>
      <c r="M35" s="195">
        <f>$G35+'126P-NR'!L267</f>
        <v>4352.1239999999998</v>
      </c>
      <c r="N35" s="195">
        <f>$G35+'126P-NR'!M267</f>
        <v>4352.1239999999998</v>
      </c>
      <c r="O35" s="195">
        <f>$G35+'126P-NR'!N267</f>
        <v>3252.1239999999998</v>
      </c>
      <c r="P35" s="195">
        <f>$G35+'126P-NR'!O267</f>
        <v>3252.1239999999998</v>
      </c>
      <c r="Q35" s="195">
        <f>$G35+'126P-NR'!P267</f>
        <v>3252.1239999999998</v>
      </c>
      <c r="R35" s="195">
        <f>$G35+'126P-NR'!Q267</f>
        <v>3252.1239999999998</v>
      </c>
      <c r="S35" s="199">
        <f t="shared" si="2"/>
        <v>-0.30243725821106432</v>
      </c>
    </row>
    <row r="36" spans="1:19" ht="14">
      <c r="A36" s="185" t="s">
        <v>30</v>
      </c>
      <c r="B36" s="182" t="s">
        <v>43</v>
      </c>
      <c r="C36" s="231">
        <v>12509</v>
      </c>
      <c r="D36" s="211">
        <v>1</v>
      </c>
      <c r="E36" s="199"/>
      <c r="F36" s="211">
        <v>1</v>
      </c>
      <c r="G36" s="195">
        <f>'117C-NR'!C63</f>
        <v>946.923</v>
      </c>
      <c r="H36" s="195">
        <f>$G36+'117C-NR'!G267</f>
        <v>946.923</v>
      </c>
      <c r="I36" s="195">
        <f>$G36+'117C-NR'!H267</f>
        <v>946.923</v>
      </c>
      <c r="J36" s="195">
        <f>$G36+'117C-NR'!I267</f>
        <v>946.923</v>
      </c>
      <c r="K36" s="195">
        <f>$G36+'117C-NR'!J267</f>
        <v>946.923</v>
      </c>
      <c r="L36" s="195">
        <f>$G36+'117C-NR'!K267</f>
        <v>946.923</v>
      </c>
      <c r="M36" s="195">
        <f>$G36+'117C-NR'!L267</f>
        <v>946.923</v>
      </c>
      <c r="N36" s="195">
        <f>$G36+'117C-NR'!M267</f>
        <v>946.923</v>
      </c>
      <c r="O36" s="195">
        <f>$G36+'117C-NR'!N267</f>
        <v>946.923</v>
      </c>
      <c r="P36" s="195">
        <f>$G36+'117C-NR'!O267</f>
        <v>946.923</v>
      </c>
      <c r="Q36" s="195">
        <f>$G36+'117C-NR'!P267</f>
        <v>946.923</v>
      </c>
      <c r="R36" s="195">
        <f>$G36+'117C-NR'!Q267</f>
        <v>946.923</v>
      </c>
      <c r="S36" s="199">
        <f t="shared" si="2"/>
        <v>0</v>
      </c>
    </row>
    <row r="37" spans="1:19" ht="14">
      <c r="A37" s="185" t="s">
        <v>30</v>
      </c>
      <c r="B37" s="182" t="s">
        <v>46</v>
      </c>
      <c r="C37" s="231">
        <v>27263</v>
      </c>
      <c r="D37" s="211">
        <v>1</v>
      </c>
      <c r="E37" s="199"/>
      <c r="F37" s="211">
        <v>1</v>
      </c>
      <c r="G37" s="195">
        <f>'135K-NR'!C63</f>
        <v>930.447</v>
      </c>
      <c r="H37" s="195">
        <f>$G37+'135K-NR'!G268</f>
        <v>930.447</v>
      </c>
      <c r="I37" s="195">
        <f>$G37+'135K-NR'!H268</f>
        <v>930.447</v>
      </c>
      <c r="J37" s="195">
        <f>$G37+'135K-NR'!I268</f>
        <v>930.447</v>
      </c>
      <c r="K37" s="195">
        <f>$G37+'135K-NR'!J268</f>
        <v>930.447</v>
      </c>
      <c r="L37" s="195">
        <f>$G37+'135K-NR'!K268</f>
        <v>510.447</v>
      </c>
      <c r="M37" s="195">
        <f>$G37+'135K-NR'!L268</f>
        <v>510.447</v>
      </c>
      <c r="N37" s="195">
        <f>$G37+'135K-NR'!M268</f>
        <v>510.447</v>
      </c>
      <c r="O37" s="195">
        <f>$G37+'135K-NR'!N268</f>
        <v>450.447</v>
      </c>
      <c r="P37" s="195">
        <f>$G37+'135K-NR'!O268</f>
        <v>450.447</v>
      </c>
      <c r="Q37" s="195">
        <f>$G37+'135K-NR'!P268</f>
        <v>450.447</v>
      </c>
      <c r="R37" s="195">
        <f>$G37+'135K-NR'!Q268</f>
        <v>450.447</v>
      </c>
      <c r="S37" s="199">
        <f t="shared" si="2"/>
        <v>-0.51588107651483639</v>
      </c>
    </row>
    <row r="38" spans="1:19" ht="14">
      <c r="A38" s="185" t="s">
        <v>30</v>
      </c>
      <c r="B38" s="182" t="s">
        <v>47</v>
      </c>
      <c r="C38" s="231">
        <v>39057</v>
      </c>
      <c r="D38" s="211">
        <v>1</v>
      </c>
      <c r="E38" s="199"/>
      <c r="F38" s="211">
        <v>1</v>
      </c>
      <c r="G38" s="195">
        <f>'201K-NR'!C63</f>
        <v>1498.5630000000001</v>
      </c>
      <c r="H38" s="195">
        <f>$G38+'201K-NR'!G267</f>
        <v>1498.5630000000001</v>
      </c>
      <c r="I38" s="195">
        <f>$G38+'201K-NR'!H267</f>
        <v>1498.5630000000001</v>
      </c>
      <c r="J38" s="195">
        <f>$G38+'201K-NR'!I267</f>
        <v>1138.5630000000001</v>
      </c>
      <c r="K38" s="195">
        <f>$G38+'201K-NR'!J267</f>
        <v>1138.5630000000001</v>
      </c>
      <c r="L38" s="195">
        <f>$G38+'201K-NR'!K267</f>
        <v>1138.5630000000001</v>
      </c>
      <c r="M38" s="195">
        <f>$G38+'201K-NR'!L267</f>
        <v>1138.5630000000001</v>
      </c>
      <c r="N38" s="195">
        <f>$G38+'201K-NR'!M267</f>
        <v>1138.5630000000001</v>
      </c>
      <c r="O38" s="195">
        <f>$G38+'201K-NR'!N267</f>
        <v>738.5630000000001</v>
      </c>
      <c r="P38" s="195">
        <f>$G38+'201K-NR'!O267</f>
        <v>738.5630000000001</v>
      </c>
      <c r="Q38" s="195">
        <f>$G38+'201K-NR'!P267</f>
        <v>378.5630000000001</v>
      </c>
      <c r="R38" s="195">
        <f>$G38+'201K-NR'!Q267</f>
        <v>378.5630000000001</v>
      </c>
      <c r="S38" s="199">
        <f t="shared" si="2"/>
        <v>-0.7473826592542322</v>
      </c>
    </row>
    <row r="39" spans="1:19" ht="14">
      <c r="A39" s="185" t="s">
        <v>48</v>
      </c>
      <c r="B39" s="182" t="s">
        <v>49</v>
      </c>
      <c r="C39" s="231">
        <v>24754</v>
      </c>
      <c r="D39" s="211">
        <v>1</v>
      </c>
      <c r="E39" s="199"/>
      <c r="F39" s="211">
        <v>1</v>
      </c>
      <c r="G39" s="195">
        <f>'259Q-NR'!C63</f>
        <v>0</v>
      </c>
      <c r="H39" s="195">
        <f>$G39+'259Q-NR'!G267</f>
        <v>0</v>
      </c>
      <c r="I39" s="195">
        <f>$G39+'259Q-NR'!H267</f>
        <v>0</v>
      </c>
      <c r="J39" s="195">
        <f>$G39+'259Q-NR'!I267</f>
        <v>0</v>
      </c>
      <c r="K39" s="195">
        <f>$G39+'259Q-NR'!J267</f>
        <v>0</v>
      </c>
      <c r="L39" s="195">
        <f>$G39+'259Q-NR'!K267</f>
        <v>0</v>
      </c>
      <c r="M39" s="195">
        <f>$G39+'259Q-NR'!L267</f>
        <v>0</v>
      </c>
      <c r="N39" s="195">
        <f>$G39+'259Q-NR'!M267</f>
        <v>0</v>
      </c>
      <c r="O39" s="195">
        <f>$G39+'259Q-NR'!N267</f>
        <v>0</v>
      </c>
      <c r="P39" s="195">
        <f>$G39+'259Q-NR'!O267</f>
        <v>0</v>
      </c>
      <c r="Q39" s="195">
        <f>$G39+'259Q-NR'!P267</f>
        <v>0</v>
      </c>
      <c r="R39" s="195">
        <f>$G39+'259Q-NR'!Q267</f>
        <v>0</v>
      </c>
      <c r="S39" s="199">
        <v>0</v>
      </c>
    </row>
    <row r="40" spans="1:19" ht="14">
      <c r="A40" s="185" t="s">
        <v>30</v>
      </c>
      <c r="B40" s="182" t="s">
        <v>92</v>
      </c>
      <c r="C40" s="231">
        <v>26819</v>
      </c>
      <c r="D40" s="212">
        <v>0</v>
      </c>
      <c r="E40" s="199">
        <v>1</v>
      </c>
      <c r="F40" s="211">
        <v>1</v>
      </c>
      <c r="G40" s="195">
        <f>'347K-NR'!C63</f>
        <v>1177.8979999999999</v>
      </c>
      <c r="H40" s="195">
        <f>$G40+'347K-NR'!G267</f>
        <v>1177.8979999999999</v>
      </c>
      <c r="I40" s="195">
        <f>$G40+'347K-NR'!H267</f>
        <v>1177.8979999999999</v>
      </c>
      <c r="J40" s="195">
        <f>$G40+'347K-NR'!I267</f>
        <v>651.49703381642507</v>
      </c>
      <c r="K40" s="195">
        <f>$G40+'347K-NR'!J267</f>
        <v>651.49703381642507</v>
      </c>
      <c r="L40" s="195">
        <f>$G40+'347K-NR'!K267</f>
        <v>651.49703381642507</v>
      </c>
      <c r="M40" s="195">
        <f>$G40+'347K-NR'!L267</f>
        <v>651.49703381642507</v>
      </c>
      <c r="N40" s="195">
        <f>$G40+'347K-NR'!M267</f>
        <v>651.49703381642507</v>
      </c>
      <c r="O40" s="195">
        <f>$G40+'347K-NR'!N267</f>
        <v>576.56788727858293</v>
      </c>
      <c r="P40" s="195">
        <f>$G40+'347K-NR'!O267</f>
        <v>576.56788727858293</v>
      </c>
      <c r="Q40" s="195">
        <f>$G40+'347K-NR'!P267</f>
        <v>576.56788727858293</v>
      </c>
      <c r="R40" s="195">
        <f>$G40+'347K-NR'!Q267</f>
        <v>-0.10200000000008913</v>
      </c>
      <c r="S40" s="199">
        <f t="shared" si="2"/>
        <v>-1.0000865949343662</v>
      </c>
    </row>
    <row r="41" spans="1:19" ht="14">
      <c r="A41" s="185" t="s">
        <v>30</v>
      </c>
      <c r="B41" s="182" t="s">
        <v>52</v>
      </c>
      <c r="C41" s="231">
        <v>28396</v>
      </c>
      <c r="D41" s="211">
        <v>0.75</v>
      </c>
      <c r="E41" s="199"/>
      <c r="F41" s="211">
        <v>1</v>
      </c>
      <c r="G41" s="195">
        <f>'40M-NR'!C63</f>
        <v>2204</v>
      </c>
      <c r="H41" s="195">
        <f>$G41+'40M-NR'!G267</f>
        <v>1995</v>
      </c>
      <c r="I41" s="195">
        <f>$G41+'40M-NR'!H267</f>
        <v>1995</v>
      </c>
      <c r="J41" s="195">
        <f>$G41+'40M-NR'!I267</f>
        <v>1995</v>
      </c>
      <c r="K41" s="195">
        <f>$G41+'40M-NR'!J267</f>
        <v>1995</v>
      </c>
      <c r="L41" s="195">
        <f>$G41+'40M-NR'!K267</f>
        <v>1995</v>
      </c>
      <c r="M41" s="195">
        <f>$G41+'40M-NR'!L267</f>
        <v>1995</v>
      </c>
      <c r="N41" s="195">
        <f>$G41+'40M-NR'!M267</f>
        <v>1995</v>
      </c>
      <c r="O41" s="195">
        <f>$G41+'40M-NR'!N267</f>
        <v>1917</v>
      </c>
      <c r="P41" s="195">
        <f>$G41+'40M-NR'!O267</f>
        <v>1917</v>
      </c>
      <c r="Q41" s="195">
        <f>$G41+'40M-NR'!P267</f>
        <v>1917</v>
      </c>
      <c r="R41" s="195">
        <f>$G41+'40M-NR'!Q267</f>
        <v>1917</v>
      </c>
      <c r="S41" s="199">
        <f t="shared" si="2"/>
        <v>-0.13021778584392016</v>
      </c>
    </row>
    <row r="42" spans="1:19" ht="14">
      <c r="A42" s="185" t="s">
        <v>30</v>
      </c>
      <c r="B42" s="182" t="s">
        <v>54</v>
      </c>
      <c r="C42" s="231">
        <v>37558</v>
      </c>
      <c r="D42" s="211">
        <v>0.75</v>
      </c>
      <c r="E42" s="199"/>
      <c r="F42" s="211">
        <v>1</v>
      </c>
      <c r="G42" s="195">
        <f>'420G-NR'!C63</f>
        <v>930.447</v>
      </c>
      <c r="H42" s="195">
        <f>$G42+'420G-NR'!G267</f>
        <v>930.447</v>
      </c>
      <c r="I42" s="195">
        <f>$G42+'420G-NR'!H267</f>
        <v>930.447</v>
      </c>
      <c r="J42" s="195">
        <f>$G42+'420G-NR'!I267</f>
        <v>930.447</v>
      </c>
      <c r="K42" s="195">
        <f>$G42+'420G-NR'!J267</f>
        <v>930.447</v>
      </c>
      <c r="L42" s="195">
        <f>$G42+'420G-NR'!K267</f>
        <v>930.447</v>
      </c>
      <c r="M42" s="195">
        <f>$G42+'420G-NR'!L267</f>
        <v>930.447</v>
      </c>
      <c r="N42" s="195">
        <f>$G42+'420G-NR'!M267</f>
        <v>930.447</v>
      </c>
      <c r="O42" s="195">
        <f>$G42+'420G-NR'!N267</f>
        <v>790.447</v>
      </c>
      <c r="P42" s="195">
        <f>$G42+'420G-NR'!O267</f>
        <v>340.447</v>
      </c>
      <c r="Q42" s="195">
        <f>$G42+'420G-NR'!P267</f>
        <v>340.447</v>
      </c>
      <c r="R42" s="195">
        <f>$G42+'420G-NR'!Q267</f>
        <v>340.447</v>
      </c>
      <c r="S42" s="199">
        <f t="shared" si="2"/>
        <v>-0.63410382321615311</v>
      </c>
    </row>
    <row r="43" spans="1:19" ht="14">
      <c r="A43" s="185" t="s">
        <v>37</v>
      </c>
      <c r="B43" s="182" t="s">
        <v>55</v>
      </c>
      <c r="C43" s="231">
        <v>55051</v>
      </c>
      <c r="D43" s="211">
        <v>0.5</v>
      </c>
      <c r="E43" s="199">
        <v>0.5</v>
      </c>
      <c r="F43" s="211">
        <v>1</v>
      </c>
      <c r="G43" s="195">
        <f>'567C-NR'!C63</f>
        <v>5473.3249999999998</v>
      </c>
      <c r="H43" s="195">
        <f>$G43+'567C-NR'!G267</f>
        <v>5264.5767891209134</v>
      </c>
      <c r="I43" s="195">
        <f>$G43+'567C-NR'!H267</f>
        <v>5264.5767891209134</v>
      </c>
      <c r="J43" s="195">
        <f>$G43+'567C-NR'!I267</f>
        <v>5264.5767891209134</v>
      </c>
      <c r="K43" s="195">
        <f>$G43+'567C-NR'!J267</f>
        <v>5264.5767891209134</v>
      </c>
      <c r="L43" s="195">
        <f>$G43+'567C-NR'!K267</f>
        <v>4742.5702696034068</v>
      </c>
      <c r="M43" s="195">
        <f>$G43+'567C-NR'!L267</f>
        <v>4499.0080248578415</v>
      </c>
      <c r="N43" s="195">
        <f>$G43+'567C-NR'!M267</f>
        <v>552.00802485784152</v>
      </c>
      <c r="O43" s="195">
        <f>$G43+'567C-NR'!N267</f>
        <v>552.00802485784152</v>
      </c>
      <c r="P43" s="195">
        <f>$G43+'567C-NR'!O267</f>
        <v>552.00802485784152</v>
      </c>
      <c r="Q43" s="195">
        <f>$G43+'567C-NR'!P267</f>
        <v>552.00802485784152</v>
      </c>
      <c r="R43" s="195">
        <f>$G43+'567C-NR'!Q267</f>
        <v>552.00802485784152</v>
      </c>
      <c r="S43" s="199">
        <f t="shared" si="2"/>
        <v>-0.89914576151464753</v>
      </c>
    </row>
    <row r="44" spans="1:19" ht="14">
      <c r="A44" s="185" t="s">
        <v>30</v>
      </c>
      <c r="B44" s="182" t="s">
        <v>56</v>
      </c>
      <c r="C44" s="231">
        <v>39938</v>
      </c>
      <c r="D44" s="211">
        <v>0.5</v>
      </c>
      <c r="E44" s="199"/>
      <c r="F44" s="211">
        <v>1</v>
      </c>
      <c r="G44" s="195">
        <f>'60MP-NR'!C63</f>
        <v>4803.0529999999999</v>
      </c>
      <c r="H44" s="195">
        <f>$G44+'60MP-NR'!G267</f>
        <v>4803.0529999999999</v>
      </c>
      <c r="I44" s="195">
        <f>$G44+'60MP-NR'!H267</f>
        <v>4803.0529999999999</v>
      </c>
      <c r="J44" s="195">
        <f>$G44+'60MP-NR'!I267</f>
        <v>4803.0529999999999</v>
      </c>
      <c r="K44" s="195">
        <f>$G44+'60MP-NR'!J267</f>
        <v>4803.0529999999999</v>
      </c>
      <c r="L44" s="195">
        <f>$G44+'60MP-NR'!K267</f>
        <v>4803.0529999999999</v>
      </c>
      <c r="M44" s="195">
        <f>$G44+'60MP-NR'!L267</f>
        <v>4803.0529999999999</v>
      </c>
      <c r="N44" s="195">
        <f>$G44+'60MP-NR'!M267</f>
        <v>4803.0529999999999</v>
      </c>
      <c r="O44" s="195">
        <f>$G44+'60MP-NR'!N267</f>
        <v>4803.0529999999999</v>
      </c>
      <c r="P44" s="195">
        <f>$G44+'60MP-NR'!O267</f>
        <v>4803.0529999999999</v>
      </c>
      <c r="Q44" s="195">
        <f>$G44+'60MP-NR'!P267</f>
        <v>4803.0529999999999</v>
      </c>
      <c r="R44" s="195">
        <f>$G44+'60MP-NR'!Q267</f>
        <v>4803.0529999999999</v>
      </c>
      <c r="S44" s="199">
        <f t="shared" si="2"/>
        <v>0</v>
      </c>
    </row>
    <row r="45" spans="1:19" ht="14">
      <c r="A45" s="185" t="s">
        <v>30</v>
      </c>
      <c r="B45" s="182" t="s">
        <v>93</v>
      </c>
      <c r="C45" s="231">
        <v>20404</v>
      </c>
      <c r="D45" s="212">
        <v>0</v>
      </c>
      <c r="E45" s="199">
        <v>1</v>
      </c>
      <c r="F45" s="211">
        <v>1</v>
      </c>
      <c r="G45" s="195">
        <f>'151C-NR'!C63</f>
        <v>867.11</v>
      </c>
      <c r="H45" s="195">
        <f>$G45+'151C-NR'!G267</f>
        <v>867.11</v>
      </c>
      <c r="I45" s="195">
        <f>$G45+'151C-NR'!H267</f>
        <v>867.11</v>
      </c>
      <c r="J45" s="195">
        <f>$G45+'151C-NR'!I267</f>
        <v>867.11</v>
      </c>
      <c r="K45" s="195">
        <f>$G45+'151C-NR'!J267</f>
        <v>867.11</v>
      </c>
      <c r="L45" s="195">
        <f>$G45+'151C-NR'!K267</f>
        <v>867.11</v>
      </c>
      <c r="M45" s="195">
        <f>$G45+'151C-NR'!L267</f>
        <v>867.11</v>
      </c>
      <c r="N45" s="195">
        <f>$G45+'151C-NR'!M267</f>
        <v>867.11</v>
      </c>
      <c r="O45" s="195">
        <f>$G45+'151C-NR'!N267</f>
        <v>867.11</v>
      </c>
      <c r="P45" s="195">
        <f>$G45+'151C-NR'!O267</f>
        <v>867.11</v>
      </c>
      <c r="Q45" s="195">
        <f>$G45+'151C-NR'!P267</f>
        <v>100.11000000000001</v>
      </c>
      <c r="R45" s="195">
        <f>$G45+'151C-NR'!Q267</f>
        <v>100.11000000000001</v>
      </c>
      <c r="S45" s="199">
        <f t="shared" si="2"/>
        <v>-0.88454751992250114</v>
      </c>
    </row>
    <row r="46" spans="1:19" ht="14">
      <c r="A46" s="185" t="s">
        <v>37</v>
      </c>
      <c r="B46" s="182" t="s">
        <v>60</v>
      </c>
      <c r="C46" s="231">
        <v>1422</v>
      </c>
      <c r="D46" s="211">
        <v>1</v>
      </c>
      <c r="E46" s="199"/>
      <c r="F46" s="211">
        <v>1</v>
      </c>
      <c r="G46" s="195">
        <v>0</v>
      </c>
      <c r="H46" s="195">
        <v>0</v>
      </c>
      <c r="I46" s="195">
        <v>0</v>
      </c>
      <c r="J46" s="195">
        <v>0</v>
      </c>
      <c r="K46" s="195">
        <v>0</v>
      </c>
      <c r="L46" s="195">
        <v>0</v>
      </c>
      <c r="M46" s="195">
        <v>0</v>
      </c>
      <c r="N46" s="195">
        <v>0</v>
      </c>
      <c r="O46" s="195">
        <v>0</v>
      </c>
      <c r="P46" s="195">
        <v>0</v>
      </c>
      <c r="Q46" s="195">
        <v>0</v>
      </c>
      <c r="R46" s="195">
        <v>0</v>
      </c>
      <c r="S46" s="199">
        <v>0</v>
      </c>
    </row>
    <row r="47" spans="1:19" ht="14">
      <c r="A47" s="185" t="s">
        <v>66</v>
      </c>
      <c r="B47" s="182" t="s">
        <v>170</v>
      </c>
      <c r="C47" s="231">
        <v>17363.8</v>
      </c>
      <c r="D47" s="212">
        <v>0</v>
      </c>
      <c r="E47" s="199"/>
      <c r="F47" s="211">
        <v>1</v>
      </c>
      <c r="G47" s="195">
        <f>'20B-NR'!C63</f>
        <v>403.87900000000002</v>
      </c>
      <c r="H47" s="195">
        <f>$G47+'20B-NR'!G267</f>
        <v>258.87900000000002</v>
      </c>
      <c r="I47" s="195">
        <f>$G47+'20B-NR'!H267</f>
        <v>258.87900000000002</v>
      </c>
      <c r="J47" s="195">
        <f>$G47+'20B-NR'!I267</f>
        <v>258.87900000000002</v>
      </c>
      <c r="K47" s="195">
        <f>$G47+'20B-NR'!J267</f>
        <v>258.87900000000002</v>
      </c>
      <c r="L47" s="195">
        <f>$G47+'20B-NR'!K267</f>
        <v>135.87900000000002</v>
      </c>
      <c r="M47" s="195">
        <f>$G47+'20B-NR'!L267</f>
        <v>135.87900000000002</v>
      </c>
      <c r="N47" s="195">
        <f>$G47+'20B-NR'!M267</f>
        <v>135.87900000000002</v>
      </c>
      <c r="O47" s="195">
        <f>$G47+'20B-NR'!N267</f>
        <v>12.879000000000019</v>
      </c>
      <c r="P47" s="195">
        <f>$G47+'20B-NR'!O267</f>
        <v>12.879000000000019</v>
      </c>
      <c r="Q47" s="195">
        <f>$G47+'20B-NR'!P267</f>
        <v>12.879000000000019</v>
      </c>
      <c r="R47" s="195">
        <f>$G47+'20B-NR'!Q267</f>
        <v>12.879000000000019</v>
      </c>
      <c r="S47" s="199">
        <f t="shared" si="2"/>
        <v>-0.96811173643591264</v>
      </c>
    </row>
    <row r="48" spans="1:19" ht="14">
      <c r="A48" s="185" t="s">
        <v>48</v>
      </c>
      <c r="B48" s="182" t="s">
        <v>168</v>
      </c>
      <c r="C48" s="231">
        <v>24784</v>
      </c>
      <c r="D48" s="212">
        <v>0</v>
      </c>
      <c r="E48" s="199"/>
      <c r="F48" s="211">
        <v>1</v>
      </c>
      <c r="G48" s="195">
        <f>'179T-NR'!C63</f>
        <v>0</v>
      </c>
      <c r="H48" s="195">
        <f>$G48+'179T-NR'!G267</f>
        <v>0</v>
      </c>
      <c r="I48" s="195">
        <f>$G48+'179T-NR'!H267</f>
        <v>0</v>
      </c>
      <c r="J48" s="195">
        <f>$G48+'179T-NR'!I267</f>
        <v>0</v>
      </c>
      <c r="K48" s="195">
        <f>$G48+'179T-NR'!J267</f>
        <v>0</v>
      </c>
      <c r="L48" s="195">
        <f>$G48+'179T-NR'!K267</f>
        <v>0</v>
      </c>
      <c r="M48" s="195">
        <f>$G48+'179T-NR'!L267</f>
        <v>0</v>
      </c>
      <c r="N48" s="195">
        <f>$G48+'179T-NR'!M267</f>
        <v>0</v>
      </c>
      <c r="O48" s="195">
        <f>$G48+'179T-NR'!N267</f>
        <v>0</v>
      </c>
      <c r="P48" s="195">
        <f>$G48+'179T-NR'!O267</f>
        <v>0</v>
      </c>
      <c r="Q48" s="195">
        <f>$G48+'179T-NR'!P267</f>
        <v>0</v>
      </c>
      <c r="R48" s="195">
        <f>$G48+'179T-NR'!Q267</f>
        <v>0</v>
      </c>
      <c r="S48" s="199">
        <v>0</v>
      </c>
    </row>
    <row r="49" spans="1:19" ht="14">
      <c r="A49" s="185" t="s">
        <v>30</v>
      </c>
      <c r="B49" s="182" t="s">
        <v>123</v>
      </c>
      <c r="C49" s="231">
        <v>23555.5</v>
      </c>
      <c r="D49" s="211">
        <v>0</v>
      </c>
      <c r="E49" s="199"/>
      <c r="F49" s="211">
        <v>1</v>
      </c>
      <c r="G49" s="195">
        <f>'105M-NR'!C63</f>
        <v>2394.261</v>
      </c>
      <c r="H49" s="195">
        <f>$G49+'105M-NR'!G267</f>
        <v>2394.261</v>
      </c>
      <c r="I49" s="195">
        <f>$G49+'105M-NR'!H267</f>
        <v>2394.261</v>
      </c>
      <c r="J49" s="195">
        <f>$G49+'105M-NR'!I267</f>
        <v>2394.261</v>
      </c>
      <c r="K49" s="195">
        <f>$G49+'105M-NR'!J267</f>
        <v>2394.261</v>
      </c>
      <c r="L49" s="195">
        <f>$G49+'105M-NR'!K267</f>
        <v>2394.261</v>
      </c>
      <c r="M49" s="195">
        <f>$G49+'105M-NR'!L267</f>
        <v>2394.261</v>
      </c>
      <c r="N49" s="195">
        <f>$G49+'105M-NR'!M267</f>
        <v>2394.261</v>
      </c>
      <c r="O49" s="195">
        <f>$G49+'105M-NR'!N267</f>
        <v>2394.261</v>
      </c>
      <c r="P49" s="195">
        <f>$G49+'105M-NR'!O267</f>
        <v>2394.261</v>
      </c>
      <c r="Q49" s="195">
        <f>$G49+'105M-NR'!P267</f>
        <v>2394.261</v>
      </c>
      <c r="R49" s="195">
        <f>$G49+'105M-NR'!Q267</f>
        <v>2394.261</v>
      </c>
      <c r="S49" s="199">
        <f t="shared" si="2"/>
        <v>0</v>
      </c>
    </row>
    <row r="50" spans="1:19" ht="14">
      <c r="A50" s="185" t="s">
        <v>63</v>
      </c>
      <c r="B50" s="182" t="s">
        <v>64</v>
      </c>
      <c r="C50" s="231">
        <v>61127</v>
      </c>
      <c r="D50" s="211">
        <v>0.5</v>
      </c>
      <c r="E50" s="199"/>
      <c r="F50" s="211"/>
      <c r="G50" s="195">
        <f>'QV1-NR'!C63</f>
        <v>2165.6136000000001</v>
      </c>
      <c r="H50" s="195">
        <f>$G50+'QV1-NR'!G267</f>
        <v>2165.6136000000001</v>
      </c>
      <c r="I50" s="195">
        <f>$G50+'QV1-NR'!H267</f>
        <v>2165.6136000000001</v>
      </c>
      <c r="J50" s="195">
        <f>$G50+'QV1-NR'!I267</f>
        <v>2165.6136000000001</v>
      </c>
      <c r="K50" s="195">
        <f>$G50+'QV1-NR'!J267</f>
        <v>2165.6136000000001</v>
      </c>
      <c r="L50" s="195">
        <f>$G50+'QV1-NR'!K267</f>
        <v>2165.6136000000001</v>
      </c>
      <c r="M50" s="195">
        <f>$G50+'QV1-NR'!L267</f>
        <v>451.61360000000013</v>
      </c>
      <c r="N50" s="195">
        <f>$G50+'QV1-NR'!M267</f>
        <v>451.61360000000013</v>
      </c>
      <c r="O50" s="195">
        <f>$G50+'QV1-NR'!N267</f>
        <v>451.61360000000013</v>
      </c>
      <c r="P50" s="195">
        <f>$G50+'QV1-NR'!O267</f>
        <v>451.61360000000013</v>
      </c>
      <c r="Q50" s="195">
        <f>$G50+'QV1-NR'!P267</f>
        <v>451.61360000000013</v>
      </c>
      <c r="R50" s="195">
        <f>$G50+'QV1-NR'!Q267</f>
        <v>451.61360000000013</v>
      </c>
      <c r="S50" s="199">
        <f t="shared" si="2"/>
        <v>-0.79146159776610192</v>
      </c>
    </row>
    <row r="51" spans="1:19" ht="14">
      <c r="A51" s="185" t="s">
        <v>66</v>
      </c>
      <c r="B51" s="182" t="s">
        <v>95</v>
      </c>
      <c r="C51" s="231">
        <v>41253</v>
      </c>
      <c r="D51" s="212">
        <v>0</v>
      </c>
      <c r="E51" s="199">
        <v>0.5</v>
      </c>
      <c r="F51" s="211"/>
      <c r="G51" s="195">
        <f>'388G-NR'!C63</f>
        <v>3817</v>
      </c>
      <c r="H51" s="195">
        <f>$G51+'388G-NR'!G267</f>
        <v>3817</v>
      </c>
      <c r="I51" s="195">
        <f>$G51+'388G-NR'!H267</f>
        <v>3817</v>
      </c>
      <c r="J51" s="195">
        <f>$G51+'388G-NR'!I267</f>
        <v>3817</v>
      </c>
      <c r="K51" s="195">
        <f>$G51+'388G-NR'!J267</f>
        <v>3817</v>
      </c>
      <c r="L51" s="195">
        <f>$G51+'388G-NR'!K267</f>
        <v>3817</v>
      </c>
      <c r="M51" s="195">
        <f>$G51+'388G-NR'!L267</f>
        <v>3817</v>
      </c>
      <c r="N51" s="195">
        <f>$G51+'388G-NR'!M267</f>
        <v>3817</v>
      </c>
      <c r="O51" s="195">
        <f>$G51+'388G-NR'!N267</f>
        <v>3817</v>
      </c>
      <c r="P51" s="195">
        <f>$G51+'388G-NR'!O267</f>
        <v>3817</v>
      </c>
      <c r="Q51" s="195">
        <f>$G51+'388G-NR'!P267</f>
        <v>3817</v>
      </c>
      <c r="R51" s="195">
        <f>$G51+'388G-NR'!Q267</f>
        <v>3817</v>
      </c>
      <c r="S51" s="199">
        <f t="shared" si="2"/>
        <v>0</v>
      </c>
    </row>
    <row r="52" spans="1:19" ht="14">
      <c r="A52" s="185" t="s">
        <v>66</v>
      </c>
      <c r="B52" s="198" t="s">
        <v>133</v>
      </c>
      <c r="C52" s="231">
        <v>8227.2000000000007</v>
      </c>
      <c r="D52" s="212">
        <v>0</v>
      </c>
      <c r="E52" s="199"/>
      <c r="F52" s="211">
        <v>1</v>
      </c>
      <c r="G52" s="195">
        <f>'130P-NR'!C63</f>
        <v>0</v>
      </c>
      <c r="H52" s="195">
        <f>$G52+'130P-NR'!G267</f>
        <v>0</v>
      </c>
      <c r="I52" s="195">
        <f>$G52+'130P-NR'!H267</f>
        <v>0</v>
      </c>
      <c r="J52" s="195">
        <f>$G52+'130P-NR'!I267</f>
        <v>0</v>
      </c>
      <c r="K52" s="195">
        <f>$G52+'130P-NR'!J267</f>
        <v>0</v>
      </c>
      <c r="L52" s="195">
        <f>$G52+'130P-NR'!K267</f>
        <v>0</v>
      </c>
      <c r="M52" s="195">
        <f>$G52+'130P-NR'!L267</f>
        <v>0</v>
      </c>
      <c r="N52" s="195">
        <f>$G52+'130P-NR'!M267</f>
        <v>0</v>
      </c>
      <c r="O52" s="195">
        <f>$G52+'130P-NR'!N267</f>
        <v>0</v>
      </c>
      <c r="P52" s="195">
        <f>$G52+'130P-NR'!O267</f>
        <v>0</v>
      </c>
      <c r="Q52" s="195">
        <f>$G52+'130P-NR'!P267</f>
        <v>0</v>
      </c>
      <c r="R52" s="195">
        <f>$G52+'130P-NR'!Q267</f>
        <v>0</v>
      </c>
      <c r="S52" s="199"/>
    </row>
    <row r="53" spans="1:19" ht="14">
      <c r="A53" s="185" t="s">
        <v>178</v>
      </c>
      <c r="B53" s="198" t="s">
        <v>140</v>
      </c>
      <c r="C53" s="231">
        <v>20861</v>
      </c>
      <c r="D53" s="212">
        <v>1</v>
      </c>
      <c r="E53" s="199"/>
      <c r="F53" s="211">
        <v>0</v>
      </c>
      <c r="G53" s="195">
        <f>'220L-NR'!C63</f>
        <v>4934.9009999999998</v>
      </c>
      <c r="H53" s="195">
        <f>$G53+'220L-NR'!G267</f>
        <v>4934.9009999999998</v>
      </c>
      <c r="I53" s="195">
        <f>$G53+'220L-NR'!H267</f>
        <v>4934.9009999999998</v>
      </c>
      <c r="J53" s="195">
        <f>$G53+'220L-NR'!I267</f>
        <v>4934.9009999999998</v>
      </c>
      <c r="K53" s="195">
        <f>$G53+'220L-NR'!J267</f>
        <v>4934.9009999999998</v>
      </c>
      <c r="L53" s="195">
        <f>$G53+'220L-NR'!K267</f>
        <v>4934.9009999999998</v>
      </c>
      <c r="M53" s="195">
        <f>$G53+'220L-NR'!L267</f>
        <v>4934.9009999999998</v>
      </c>
      <c r="N53" s="195">
        <f>$G53+'220L-NR'!M267</f>
        <v>4934.9009999999998</v>
      </c>
      <c r="O53" s="195">
        <f>$G53+'220L-NR'!N267</f>
        <v>4934.9009999999998</v>
      </c>
      <c r="P53" s="195">
        <f>$G53+'220L-NR'!O267</f>
        <v>4934.9009999999998</v>
      </c>
      <c r="Q53" s="195">
        <f>$G53+'220L-NR'!P267</f>
        <v>4934.9009999999998</v>
      </c>
      <c r="R53" s="195">
        <f>$G53+'220L-NR'!Q267</f>
        <v>4934.9009999999998</v>
      </c>
      <c r="S53" s="199">
        <f t="shared" si="2"/>
        <v>0</v>
      </c>
    </row>
    <row r="54" spans="1:19" ht="14">
      <c r="A54" s="185" t="s">
        <v>37</v>
      </c>
      <c r="B54" s="182" t="s">
        <v>166</v>
      </c>
      <c r="C54" s="231">
        <v>15723.1</v>
      </c>
      <c r="D54" s="212">
        <v>0</v>
      </c>
      <c r="E54" s="199"/>
      <c r="F54" s="211">
        <v>1</v>
      </c>
      <c r="G54" s="195">
        <f>'850C-NR'!C63</f>
        <v>1726.5909999999999</v>
      </c>
      <c r="H54" s="195">
        <f>$G54+'850C-NR'!G267</f>
        <v>1577.6909999999998</v>
      </c>
      <c r="I54" s="195">
        <f>$G54+'850C-NR'!H267</f>
        <v>1577.6909999999998</v>
      </c>
      <c r="J54" s="195">
        <f>$G54+'850C-NR'!I267</f>
        <v>1309.491</v>
      </c>
      <c r="K54" s="195">
        <f>$G54+'850C-NR'!J267</f>
        <v>974.29099999999994</v>
      </c>
      <c r="L54" s="195">
        <f>$G54+'850C-NR'!K267</f>
        <v>974.29099999999994</v>
      </c>
      <c r="M54" s="195">
        <f>$G54+'850C-NR'!L267</f>
        <v>974.29099999999994</v>
      </c>
      <c r="N54" s="195">
        <f>$G54+'850C-NR'!M267</f>
        <v>974.29099999999994</v>
      </c>
      <c r="O54" s="195">
        <f>$G54+'850C-NR'!N267</f>
        <v>940.79099999999994</v>
      </c>
      <c r="P54" s="195">
        <f>$G54+'850C-NR'!O267</f>
        <v>940.79099999999994</v>
      </c>
      <c r="Q54" s="195">
        <f>$G54+'850C-NR'!P267</f>
        <v>940.79099999999994</v>
      </c>
      <c r="R54" s="195">
        <f>$G54+'850C-NR'!Q267</f>
        <v>940.79099999999994</v>
      </c>
      <c r="S54" s="199">
        <f t="shared" si="2"/>
        <v>-0.45511646938968175</v>
      </c>
    </row>
    <row r="55" spans="1:19" ht="14.5" thickBot="1">
      <c r="A55" s="185" t="s">
        <v>66</v>
      </c>
      <c r="B55" s="182" t="s">
        <v>67</v>
      </c>
      <c r="C55" s="231">
        <v>12837.7</v>
      </c>
      <c r="D55" s="211">
        <v>0</v>
      </c>
      <c r="E55" s="199"/>
      <c r="F55" s="211">
        <v>1</v>
      </c>
      <c r="G55" s="195">
        <f>'6OC-NR'!C63</f>
        <v>2892.9479999999999</v>
      </c>
      <c r="H55" s="195">
        <f>$G55+'6OC-NR'!G267</f>
        <v>2892.9479999999999</v>
      </c>
      <c r="I55" s="195">
        <f>$G55+'6OC-NR'!H267</f>
        <v>2892.9479999999999</v>
      </c>
      <c r="J55" s="195">
        <f>$G55+'6OC-NR'!I267</f>
        <v>2892.9479999999999</v>
      </c>
      <c r="K55" s="195">
        <f>$G55+'6OC-NR'!J267</f>
        <v>2792.5219999999999</v>
      </c>
      <c r="L55" s="195">
        <f>$G55+'6OC-NR'!K267</f>
        <v>2792.5219999999999</v>
      </c>
      <c r="M55" s="195">
        <f>$G55+'6OC-NR'!L267</f>
        <v>2792.5219999999999</v>
      </c>
      <c r="N55" s="195">
        <f>$G55+'6OC-NR'!M267</f>
        <v>2792.5219999999999</v>
      </c>
      <c r="O55" s="195">
        <f>$G55+'6OC-NR'!N267</f>
        <v>2792.5219999999999</v>
      </c>
      <c r="P55" s="195">
        <f>$G55+'6OC-NR'!O267</f>
        <v>1765.4829999999999</v>
      </c>
      <c r="Q55" s="195">
        <f>$G55+'6OC-NR'!P267</f>
        <v>1765.4829999999999</v>
      </c>
      <c r="R55" s="195">
        <f>$G55+'6OC-NR'!Q267</f>
        <v>1765.4829999999999</v>
      </c>
      <c r="S55" s="199">
        <f t="shared" si="2"/>
        <v>-0.38972874728477663</v>
      </c>
    </row>
    <row r="56" spans="1:19" ht="13" thickTop="1">
      <c r="G56" s="201">
        <f>SUBTOTAL(109,(G33:G55))</f>
        <v>51917.037599999989</v>
      </c>
      <c r="H56" s="201">
        <f t="shared" ref="H56:R56" si="3">SUBTOTAL(109,(H33:H55))</f>
        <v>51205.389389120901</v>
      </c>
      <c r="I56" s="201">
        <f t="shared" si="3"/>
        <v>51205.389389120901</v>
      </c>
      <c r="J56" s="201">
        <f t="shared" si="3"/>
        <v>50050.78842293733</v>
      </c>
      <c r="K56" s="201">
        <f t="shared" si="3"/>
        <v>49127.162422937326</v>
      </c>
      <c r="L56" s="201">
        <f t="shared" si="3"/>
        <v>48024.155903419822</v>
      </c>
      <c r="M56" s="201">
        <f t="shared" si="3"/>
        <v>45718.593658674254</v>
      </c>
      <c r="N56" s="201">
        <f t="shared" si="3"/>
        <v>41733.593658674261</v>
      </c>
      <c r="O56" s="201">
        <f t="shared" si="3"/>
        <v>39186.16451213642</v>
      </c>
      <c r="P56" s="201">
        <f t="shared" si="3"/>
        <v>37709.125512136423</v>
      </c>
      <c r="Q56" s="201">
        <f t="shared" si="3"/>
        <v>36582.125512136423</v>
      </c>
      <c r="R56" s="201">
        <f t="shared" si="3"/>
        <v>36005.455624857837</v>
      </c>
      <c r="S56" s="202">
        <f t="shared" si="2"/>
        <v>-0.30648093016659633</v>
      </c>
    </row>
    <row r="58" spans="1:19">
      <c r="E58" s="185"/>
    </row>
    <row r="60" spans="1:19" ht="18" thickBot="1">
      <c r="A60" s="196" t="s">
        <v>209</v>
      </c>
    </row>
    <row r="61" spans="1:19" ht="15" thickTop="1" thickBot="1">
      <c r="A61" s="184" t="s">
        <v>6</v>
      </c>
      <c r="B61" s="184" t="s">
        <v>7</v>
      </c>
      <c r="C61" s="184" t="s">
        <v>9</v>
      </c>
      <c r="D61" s="184" t="s">
        <v>10</v>
      </c>
      <c r="E61" s="184" t="s">
        <v>11</v>
      </c>
      <c r="F61" s="184" t="s">
        <v>12</v>
      </c>
      <c r="G61" s="184" t="s">
        <v>188</v>
      </c>
      <c r="H61" s="184" t="s">
        <v>189</v>
      </c>
      <c r="I61" s="184" t="s">
        <v>190</v>
      </c>
      <c r="J61" s="184" t="s">
        <v>191</v>
      </c>
      <c r="K61" s="184" t="s">
        <v>192</v>
      </c>
      <c r="L61" s="184" t="s">
        <v>193</v>
      </c>
      <c r="M61" s="184" t="s">
        <v>194</v>
      </c>
      <c r="N61" s="184" t="s">
        <v>195</v>
      </c>
      <c r="O61" s="184" t="s">
        <v>196</v>
      </c>
      <c r="P61" s="184" t="s">
        <v>197</v>
      </c>
      <c r="Q61" s="184" t="s">
        <v>198</v>
      </c>
      <c r="R61" s="184" t="s">
        <v>199</v>
      </c>
      <c r="S61" s="200" t="s">
        <v>200</v>
      </c>
    </row>
    <row r="62" spans="1:19" ht="14.5" thickTop="1">
      <c r="A62" s="185" t="s">
        <v>30</v>
      </c>
      <c r="B62" s="198" t="s">
        <v>31</v>
      </c>
      <c r="C62" s="228">
        <v>29166</v>
      </c>
      <c r="D62" s="211">
        <v>1</v>
      </c>
      <c r="E62" s="199"/>
      <c r="F62" s="211">
        <v>1</v>
      </c>
      <c r="G62" s="203">
        <f>G4*VLOOKUP($A62,Assumptions!$A$3:$N$14,3,FALSE)+(G33*VLOOKUP($A62,Assumptions!$A$17:$N$29,3,FALSE))/1000</f>
        <v>1524.81008023</v>
      </c>
      <c r="H62" s="203">
        <f>(H4*VLOOKUP($A62,Assumptions!$A$3:$N$14,4,FALSE))+(H33*VLOOKUP($A62,Assumptions!$A$17:$N$29,4,FALSE))/1000</f>
        <v>83.210180229999992</v>
      </c>
      <c r="I62" s="203">
        <f>(I4*VLOOKUP($A62,Assumptions!$A$3:$N$14,5,FALSE))+(I33*VLOOKUP($A62,Assumptions!$A$17:$N$29,5,FALSE))/1000</f>
        <v>83.210180229999992</v>
      </c>
      <c r="J62" s="203">
        <f>(J4*VLOOKUP($A62,Assumptions!$A$3:$N$14,6,FALSE)+(J33*VLOOKUP($A62,Assumptions!$A$17:$N$29,6,FALSE))/1000)</f>
        <v>83.210180229999992</v>
      </c>
      <c r="K62" s="203">
        <f>(K4*VLOOKUP($A62,Assumptions!$A$3:$N$14,7,FALSE)+(K33*VLOOKUP($A62,Assumptions!$A$17:$N$29,7,FALSE))/1000)</f>
        <v>58.063540230000001</v>
      </c>
      <c r="L62" s="203">
        <f>(L4*VLOOKUP($A62,Assumptions!$A$3:$N$14,8,FALSE)+(L33*VLOOKUP($A62,Assumptions!$A$17:$N$29,8,FALSE))/1000)</f>
        <v>56.105400230000001</v>
      </c>
      <c r="M62" s="203">
        <f>(M4*VLOOKUP($A62,Assumptions!$A$3:$N$14,9,FALSE)+(M33*VLOOKUP($A62,Assumptions!$A$17:$N$29,9,FALSE))/1000)</f>
        <v>54.147260230000001</v>
      </c>
      <c r="N62" s="203">
        <f>(N4*VLOOKUP($A62,Assumptions!$A$3:$N$14,10,FALSE)+(N33*VLOOKUP($A62,Assumptions!$A$17:$N$29,10,FALSE))/1000)</f>
        <v>52.18912023</v>
      </c>
      <c r="O62" s="203">
        <f>(O4*VLOOKUP($A62,Assumptions!$A$3:$N$14,11,FALSE)+(O33*VLOOKUP($A62,Assumptions!$A$17:$N$29,11,FALSE))/1000)</f>
        <v>24.465980229999996</v>
      </c>
      <c r="P62" s="203">
        <f>(P4*VLOOKUP($A62,Assumptions!$A$3:$N$14,12,FALSE)+(P33*VLOOKUP($A62,Assumptions!$A$17:$N$29,12,FALSE))/1000)</f>
        <v>24.465980229999996</v>
      </c>
      <c r="Q62" s="203">
        <f>(Q4*VLOOKUP($A62,Assumptions!$A$3:$N$14,13,FALSE)+(Q33*VLOOKUP($A62,Assumptions!$A$17:$N$29,13,FALSE))/1000)</f>
        <v>24.465980229999996</v>
      </c>
      <c r="R62" s="203">
        <f>(R4*VLOOKUP($A62,Assumptions!$A$3:$N$14,14,FALSE)+(R33*VLOOKUP($A62,Assumptions!$A$17:$N$29,14,FALSE))/1000)</f>
        <v>24.465980229999996</v>
      </c>
      <c r="S62" s="199">
        <f>(R62-G62)/G62</f>
        <v>-0.98395473603748107</v>
      </c>
    </row>
    <row r="63" spans="1:19" ht="14">
      <c r="A63" s="185" t="s">
        <v>37</v>
      </c>
      <c r="B63" s="182" t="s">
        <v>38</v>
      </c>
      <c r="C63" s="228">
        <v>62987</v>
      </c>
      <c r="D63" s="211">
        <v>0.5</v>
      </c>
      <c r="E63" s="199"/>
      <c r="F63" s="211">
        <v>1</v>
      </c>
      <c r="G63" s="203">
        <f>(G5*VLOOKUP($A63,Assumptions!$A$3:$N$14,3,FALSE))+(G34*VLOOKUP($A63,Assumptions!$A$17:$N$29,3,FALSE))/1000</f>
        <v>3697.3127693900001</v>
      </c>
      <c r="H63" s="203">
        <f>(H5*VLOOKUP($A63,Assumptions!$A$3:$N$14,4,FALSE))+(H34*VLOOKUP($A63,Assumptions!$A$17:$N$29,4,FALSE))/1000</f>
        <v>2001.39919289</v>
      </c>
      <c r="I63" s="203">
        <f>(I5*VLOOKUP($A63,Assumptions!$A$3:$N$14,5,FALSE))+(I34*VLOOKUP($A63,Assumptions!$A$17:$N$29,5,FALSE))/1000</f>
        <v>436.62208939000004</v>
      </c>
      <c r="J63" s="203">
        <f>(J5*VLOOKUP($A63,Assumptions!$A$3:$N$14,6,FALSE)+(J34*VLOOKUP($A63,Assumptions!$A$17:$N$29,6,FALSE))/1000)</f>
        <v>436.62208939000004</v>
      </c>
      <c r="K63" s="203">
        <f>(K5*VLOOKUP($A63,Assumptions!$A$3:$N$14,7,FALSE)+(K34*VLOOKUP($A63,Assumptions!$A$17:$N$29,7,FALSE))/1000)</f>
        <v>436.62208939000004</v>
      </c>
      <c r="L63" s="203">
        <f>(L5*VLOOKUP($A63,Assumptions!$A$3:$N$14,8,FALSE)+(L34*VLOOKUP($A63,Assumptions!$A$17:$N$29,8,FALSE))/1000)</f>
        <v>436.62208939000004</v>
      </c>
      <c r="M63" s="203">
        <f>(M5*VLOOKUP($A63,Assumptions!$A$3:$N$14,9,FALSE)+(M34*VLOOKUP($A63,Assumptions!$A$17:$N$29,9,FALSE))/1000)</f>
        <v>436.62208939000004</v>
      </c>
      <c r="N63" s="203">
        <f>(N5*VLOOKUP($A63,Assumptions!$A$3:$N$14,10,FALSE)+(N34*VLOOKUP($A63,Assumptions!$A$17:$N$29,10,FALSE))/1000)</f>
        <v>436.62208939000004</v>
      </c>
      <c r="O63" s="203">
        <f>(O5*VLOOKUP($A63,Assumptions!$A$3:$N$14,11,FALSE)+(O34*VLOOKUP($A63,Assumptions!$A$17:$N$29,11,FALSE))/1000)</f>
        <v>436.62208939000004</v>
      </c>
      <c r="P63" s="203">
        <f>(P5*VLOOKUP($A63,Assumptions!$A$3:$N$14,12,FALSE)+(P34*VLOOKUP($A63,Assumptions!$A$17:$N$29,12,FALSE))/1000)</f>
        <v>436.62208939000004</v>
      </c>
      <c r="Q63" s="203">
        <f>(Q5*VLOOKUP($A63,Assumptions!$A$3:$N$14,13,FALSE)+(Q34*VLOOKUP($A63,Assumptions!$A$17:$N$29,13,FALSE))/1000)</f>
        <v>436.62208939000004</v>
      </c>
      <c r="R63" s="203">
        <f>(R5*VLOOKUP($A63,Assumptions!$A$3:$N$14,14,FALSE)+(R34*VLOOKUP($A63,Assumptions!$A$17:$N$29,14,FALSE))/1000)</f>
        <v>436.62208939000004</v>
      </c>
      <c r="S63" s="199">
        <f t="shared" ref="S63:S85" si="4">(R63-G63)/G63</f>
        <v>-0.88190826239944098</v>
      </c>
    </row>
    <row r="64" spans="1:19" ht="14">
      <c r="A64" s="185" t="s">
        <v>30</v>
      </c>
      <c r="B64" s="182" t="s">
        <v>42</v>
      </c>
      <c r="C64" s="231">
        <v>42132</v>
      </c>
      <c r="D64" s="211">
        <v>0.5</v>
      </c>
      <c r="E64" s="199">
        <v>0.25</v>
      </c>
      <c r="F64" s="211">
        <v>1</v>
      </c>
      <c r="G64" s="203">
        <f>(G6*VLOOKUP($A64,Assumptions!$A$3:$N$14,3,FALSE))+(G35*VLOOKUP($A64,Assumptions!$A$17:$N$29,3,FALSE))/1000</f>
        <v>2465.65265972</v>
      </c>
      <c r="H64" s="203">
        <f>(H6*VLOOKUP($A64,Assumptions!$A$3:$N$14,4,FALSE))+(H35*VLOOKUP($A64,Assumptions!$A$17:$N$29,4,FALSE))/1000</f>
        <v>240.23924972</v>
      </c>
      <c r="I64" s="203">
        <f>(I6*VLOOKUP($A64,Assumptions!$A$3:$N$14,5,FALSE))+(I35*VLOOKUP($A64,Assumptions!$A$17:$N$29,5,FALSE))/1000</f>
        <v>240.23924972</v>
      </c>
      <c r="J64" s="203">
        <f>(J6*VLOOKUP($A64,Assumptions!$A$3:$N$14,6,FALSE)+(J35*VLOOKUP($A64,Assumptions!$A$17:$N$29,6,FALSE))/1000)</f>
        <v>240.23924972</v>
      </c>
      <c r="K64" s="203">
        <f>(K6*VLOOKUP($A64,Assumptions!$A$3:$N$14,7,FALSE)+(K35*VLOOKUP($A64,Assumptions!$A$17:$N$29,7,FALSE))/1000)</f>
        <v>240.23924972</v>
      </c>
      <c r="L64" s="203">
        <f>(L6*VLOOKUP($A64,Assumptions!$A$3:$N$14,8,FALSE)+(L35*VLOOKUP($A64,Assumptions!$A$17:$N$29,8,FALSE))/1000)</f>
        <v>240.23924972</v>
      </c>
      <c r="M64" s="203">
        <f>(M6*VLOOKUP($A64,Assumptions!$A$3:$N$14,9,FALSE)+(M35*VLOOKUP($A64,Assumptions!$A$17:$N$29,9,FALSE))/1000)</f>
        <v>224.26494972</v>
      </c>
      <c r="N64" s="203">
        <f>(N6*VLOOKUP($A64,Assumptions!$A$3:$N$14,10,FALSE)+(N35*VLOOKUP($A64,Assumptions!$A$17:$N$29,10,FALSE))/1000)</f>
        <v>224.26494972</v>
      </c>
      <c r="O64" s="203">
        <f>(O6*VLOOKUP($A64,Assumptions!$A$3:$N$14,11,FALSE)+(O35*VLOOKUP($A64,Assumptions!$A$17:$N$29,11,FALSE))/1000)</f>
        <v>167.58194972000001</v>
      </c>
      <c r="P64" s="203">
        <f>(P6*VLOOKUP($A64,Assumptions!$A$3:$N$14,12,FALSE)+(P35*VLOOKUP($A64,Assumptions!$A$17:$N$29,12,FALSE))/1000)</f>
        <v>167.58194972000001</v>
      </c>
      <c r="Q64" s="203">
        <f>(Q6*VLOOKUP($A64,Assumptions!$A$3:$N$14,13,FALSE)+(Q35*VLOOKUP($A64,Assumptions!$A$17:$N$29,13,FALSE))/1000)</f>
        <v>167.58194972000001</v>
      </c>
      <c r="R64" s="203">
        <f>(R6*VLOOKUP($A64,Assumptions!$A$3:$N$14,14,FALSE)+(R35*VLOOKUP($A64,Assumptions!$A$17:$N$29,14,FALSE))/1000)</f>
        <v>167.58194972000001</v>
      </c>
      <c r="S64" s="199">
        <f t="shared" si="4"/>
        <v>-0.9320334317733826</v>
      </c>
    </row>
    <row r="65" spans="1:19" ht="14">
      <c r="A65" s="185" t="s">
        <v>30</v>
      </c>
      <c r="B65" s="182" t="s">
        <v>43</v>
      </c>
      <c r="C65" s="231">
        <v>12509</v>
      </c>
      <c r="D65" s="211">
        <v>1</v>
      </c>
      <c r="E65" s="199"/>
      <c r="F65" s="211">
        <v>1</v>
      </c>
      <c r="G65" s="203">
        <f>(G7*VLOOKUP($A65,Assumptions!$A$3:$N$14,3,FALSE))+(G36*VLOOKUP($A65,Assumptions!$A$17:$N$29,3,FALSE))/1000</f>
        <v>528.52402218999998</v>
      </c>
      <c r="H65" s="203">
        <f>(H7*VLOOKUP($A65,Assumptions!$A$3:$N$14,4,FALSE))+(H36*VLOOKUP($A65,Assumptions!$A$17:$N$29,4,FALSE))/1000</f>
        <v>48.79494219</v>
      </c>
      <c r="I65" s="203">
        <f>(I7*VLOOKUP($A65,Assumptions!$A$3:$N$14,5,FALSE))+(I36*VLOOKUP($A65,Assumptions!$A$17:$N$29,5,FALSE))/1000</f>
        <v>48.79494219</v>
      </c>
      <c r="J65" s="203">
        <f>(J7*VLOOKUP($A65,Assumptions!$A$3:$N$14,6,FALSE)+(J36*VLOOKUP($A65,Assumptions!$A$17:$N$29,6,FALSE))/1000)</f>
        <v>48.79494219</v>
      </c>
      <c r="K65" s="203">
        <f>(K7*VLOOKUP($A65,Assumptions!$A$3:$N$14,7,FALSE)+(K36*VLOOKUP($A65,Assumptions!$A$17:$N$29,7,FALSE))/1000)</f>
        <v>48.79494219</v>
      </c>
      <c r="L65" s="203">
        <f>(L7*VLOOKUP($A65,Assumptions!$A$3:$N$14,8,FALSE)+(L36*VLOOKUP($A65,Assumptions!$A$17:$N$29,8,FALSE))/1000)</f>
        <v>48.79494219</v>
      </c>
      <c r="M65" s="203">
        <f>(M7*VLOOKUP($A65,Assumptions!$A$3:$N$14,9,FALSE)+(M36*VLOOKUP($A65,Assumptions!$A$17:$N$29,9,FALSE))/1000)</f>
        <v>48.79494219</v>
      </c>
      <c r="N65" s="203">
        <f>(N7*VLOOKUP($A65,Assumptions!$A$3:$N$14,10,FALSE)+(N36*VLOOKUP($A65,Assumptions!$A$17:$N$29,10,FALSE))/1000)</f>
        <v>48.79494219</v>
      </c>
      <c r="O65" s="203">
        <f>(O7*VLOOKUP($A65,Assumptions!$A$3:$N$14,11,FALSE)+(O36*VLOOKUP($A65,Assumptions!$A$17:$N$29,11,FALSE))/1000)</f>
        <v>48.79494219</v>
      </c>
      <c r="P65" s="203">
        <f>(P7*VLOOKUP($A65,Assumptions!$A$3:$N$14,12,FALSE)+(P36*VLOOKUP($A65,Assumptions!$A$17:$N$29,12,FALSE))/1000)</f>
        <v>48.79494219</v>
      </c>
      <c r="Q65" s="203">
        <f>(Q7*VLOOKUP($A65,Assumptions!$A$3:$N$14,13,FALSE)+(Q36*VLOOKUP($A65,Assumptions!$A$17:$N$29,13,FALSE))/1000)</f>
        <v>48.79494219</v>
      </c>
      <c r="R65" s="203">
        <f>(R7*VLOOKUP($A65,Assumptions!$A$3:$N$14,14,FALSE)+(R36*VLOOKUP($A65,Assumptions!$A$17:$N$29,14,FALSE))/1000)</f>
        <v>48.79494219</v>
      </c>
      <c r="S65" s="199">
        <f t="shared" si="4"/>
        <v>-0.90767696426018141</v>
      </c>
    </row>
    <row r="66" spans="1:19" ht="14">
      <c r="A66" s="185" t="s">
        <v>30</v>
      </c>
      <c r="B66" s="182" t="s">
        <v>46</v>
      </c>
      <c r="C66" s="231">
        <v>27263</v>
      </c>
      <c r="D66" s="211">
        <v>1</v>
      </c>
      <c r="E66" s="199"/>
      <c r="F66" s="211">
        <v>1</v>
      </c>
      <c r="G66" s="203">
        <f>(G8*VLOOKUP($A66,Assumptions!$A$3:$N$14,3,FALSE))+(G37*VLOOKUP($A66,Assumptions!$A$17:$N$29,3,FALSE))/1000</f>
        <v>1166.2644039100001</v>
      </c>
      <c r="H66" s="203">
        <f>(H8*VLOOKUP($A66,Assumptions!$A$3:$N$14,4,FALSE))+(H37*VLOOKUP($A66,Assumptions!$A$17:$N$29,4,FALSE))/1000</f>
        <v>47.945933910000001</v>
      </c>
      <c r="I66" s="203">
        <f>(I8*VLOOKUP($A66,Assumptions!$A$3:$N$14,5,FALSE))+(I37*VLOOKUP($A66,Assumptions!$A$17:$N$29,5,FALSE))/1000</f>
        <v>47.945933910000001</v>
      </c>
      <c r="J66" s="203">
        <f>(J8*VLOOKUP($A66,Assumptions!$A$3:$N$14,6,FALSE)+(J37*VLOOKUP($A66,Assumptions!$A$17:$N$29,6,FALSE))/1000)</f>
        <v>47.945933910000001</v>
      </c>
      <c r="K66" s="203">
        <f>(K8*VLOOKUP($A66,Assumptions!$A$3:$N$14,7,FALSE)+(K37*VLOOKUP($A66,Assumptions!$A$17:$N$29,7,FALSE))/1000)</f>
        <v>47.945933910000001</v>
      </c>
      <c r="L66" s="203">
        <f>(L8*VLOOKUP($A66,Assumptions!$A$3:$N$14,8,FALSE)+(L37*VLOOKUP($A66,Assumptions!$A$17:$N$29,8,FALSE))/1000)</f>
        <v>26.303333910000003</v>
      </c>
      <c r="M66" s="203">
        <f>(M8*VLOOKUP($A66,Assumptions!$A$3:$N$14,9,FALSE)+(M37*VLOOKUP($A66,Assumptions!$A$17:$N$29,9,FALSE))/1000)</f>
        <v>26.303333910000003</v>
      </c>
      <c r="N66" s="203">
        <f>(N8*VLOOKUP($A66,Assumptions!$A$3:$N$14,10,FALSE)+(N37*VLOOKUP($A66,Assumptions!$A$17:$N$29,10,FALSE))/1000)</f>
        <v>26.303333910000003</v>
      </c>
      <c r="O66" s="203">
        <f>(O8*VLOOKUP($A66,Assumptions!$A$3:$N$14,11,FALSE)+(O37*VLOOKUP($A66,Assumptions!$A$17:$N$29,11,FALSE))/1000)</f>
        <v>23.211533910000004</v>
      </c>
      <c r="P66" s="203">
        <f>(P8*VLOOKUP($A66,Assumptions!$A$3:$N$14,12,FALSE)+(P37*VLOOKUP($A66,Assumptions!$A$17:$N$29,12,FALSE))/1000)</f>
        <v>23.211533910000004</v>
      </c>
      <c r="Q66" s="203">
        <f>(Q8*VLOOKUP($A66,Assumptions!$A$3:$N$14,13,FALSE)+(Q37*VLOOKUP($A66,Assumptions!$A$17:$N$29,13,FALSE))/1000)</f>
        <v>23.211533910000004</v>
      </c>
      <c r="R66" s="203">
        <f>(R8*VLOOKUP($A66,Assumptions!$A$3:$N$14,14,FALSE)+(R37*VLOOKUP($A66,Assumptions!$A$17:$N$29,14,FALSE))/1000)</f>
        <v>23.211533910000004</v>
      </c>
      <c r="S66" s="199">
        <f t="shared" si="4"/>
        <v>-0.98009753720324355</v>
      </c>
    </row>
    <row r="67" spans="1:19" ht="14">
      <c r="A67" s="185" t="s">
        <v>30</v>
      </c>
      <c r="B67" s="182" t="s">
        <v>47</v>
      </c>
      <c r="C67" s="231">
        <v>39057</v>
      </c>
      <c r="D67" s="211">
        <v>1</v>
      </c>
      <c r="E67" s="199"/>
      <c r="F67" s="211">
        <v>1</v>
      </c>
      <c r="G67" s="203">
        <f>(G9*VLOOKUP($A67,Assumptions!$A$3:$N$14,3,FALSE))+(G38*VLOOKUP($A67,Assumptions!$A$17:$N$29,3,FALSE))/1000</f>
        <v>1279.37343139</v>
      </c>
      <c r="H67" s="203">
        <f>(H9*VLOOKUP($A67,Assumptions!$A$3:$N$14,4,FALSE))+(H38*VLOOKUP($A67,Assumptions!$A$17:$N$29,4,FALSE))/1000</f>
        <v>77.220951389999996</v>
      </c>
      <c r="I67" s="203">
        <f>(I9*VLOOKUP($A67,Assumptions!$A$3:$N$14,5,FALSE))+(I38*VLOOKUP($A67,Assumptions!$A$17:$N$29,5,FALSE))/1000</f>
        <v>77.220951389999996</v>
      </c>
      <c r="J67" s="203">
        <f>(J9*VLOOKUP($A67,Assumptions!$A$3:$N$14,6,FALSE)+(J38*VLOOKUP($A67,Assumptions!$A$17:$N$29,6,FALSE))/1000)</f>
        <v>58.670151390000008</v>
      </c>
      <c r="K67" s="203">
        <f>(K9*VLOOKUP($A67,Assumptions!$A$3:$N$14,7,FALSE)+(K38*VLOOKUP($A67,Assumptions!$A$17:$N$29,7,FALSE))/1000)</f>
        <v>58.670151390000008</v>
      </c>
      <c r="L67" s="203">
        <f>(L9*VLOOKUP($A67,Assumptions!$A$3:$N$14,8,FALSE)+(L38*VLOOKUP($A67,Assumptions!$A$17:$N$29,8,FALSE))/1000)</f>
        <v>58.670151390000008</v>
      </c>
      <c r="M67" s="203">
        <f>(M9*VLOOKUP($A67,Assumptions!$A$3:$N$14,9,FALSE)+(M38*VLOOKUP($A67,Assumptions!$A$17:$N$29,9,FALSE))/1000)</f>
        <v>58.670151390000008</v>
      </c>
      <c r="N67" s="203">
        <f>(N9*VLOOKUP($A67,Assumptions!$A$3:$N$14,10,FALSE)+(N38*VLOOKUP($A67,Assumptions!$A$17:$N$29,10,FALSE))/1000)</f>
        <v>58.670151390000008</v>
      </c>
      <c r="O67" s="203">
        <f>(O9*VLOOKUP($A67,Assumptions!$A$3:$N$14,11,FALSE)+(O38*VLOOKUP($A67,Assumptions!$A$17:$N$29,11,FALSE))/1000)</f>
        <v>38.058151390000006</v>
      </c>
      <c r="P67" s="203">
        <f>(P9*VLOOKUP($A67,Assumptions!$A$3:$N$14,12,FALSE)+(P38*VLOOKUP($A67,Assumptions!$A$17:$N$29,12,FALSE))/1000)</f>
        <v>38.058151390000006</v>
      </c>
      <c r="Q67" s="203">
        <f>(Q9*VLOOKUP($A67,Assumptions!$A$3:$N$14,13,FALSE)+(Q38*VLOOKUP($A67,Assumptions!$A$17:$N$29,13,FALSE))/1000)</f>
        <v>19.507351390000007</v>
      </c>
      <c r="R67" s="203">
        <f>(R9*VLOOKUP($A67,Assumptions!$A$3:$N$14,14,FALSE)+(R38*VLOOKUP($A67,Assumptions!$A$17:$N$29,14,FALSE))/1000)</f>
        <v>19.507351390000007</v>
      </c>
      <c r="S67" s="199">
        <f t="shared" si="4"/>
        <v>-0.98475241793257673</v>
      </c>
    </row>
    <row r="68" spans="1:19" ht="14">
      <c r="A68" s="185" t="s">
        <v>48</v>
      </c>
      <c r="B68" s="182" t="s">
        <v>49</v>
      </c>
      <c r="C68" s="231">
        <v>24754</v>
      </c>
      <c r="D68" s="211">
        <v>1</v>
      </c>
      <c r="E68" s="199"/>
      <c r="F68" s="211">
        <v>1</v>
      </c>
      <c r="G68" s="203">
        <f>(G10*VLOOKUP($A68,Assumptions!$A$3:$N$14,3,FALSE))+(G39*VLOOKUP($A68,Assumptions!$A$17:$N$29,3,FALSE))/1000</f>
        <v>1653.6150399999999</v>
      </c>
      <c r="H68" s="203">
        <f>(H10*VLOOKUP($A68,Assumptions!$A$3:$N$14,4,FALSE))+(H39*VLOOKUP($A68,Assumptions!$A$17:$N$29,4,FALSE))/1000</f>
        <v>826.80751999999995</v>
      </c>
      <c r="I68" s="203">
        <f>(I10*VLOOKUP($A68,Assumptions!$A$3:$N$14,5,FALSE))+(I39*VLOOKUP($A68,Assumptions!$A$17:$N$29,5,FALSE))/1000</f>
        <v>0</v>
      </c>
      <c r="J68" s="203">
        <f>(J10*VLOOKUP($A68,Assumptions!$A$3:$N$14,6,FALSE)+(J39*VLOOKUP($A68,Assumptions!$A$17:$N$29,6,FALSE))/1000)</f>
        <v>0</v>
      </c>
      <c r="K68" s="203">
        <f>(K10*VLOOKUP($A68,Assumptions!$A$3:$N$14,7,FALSE)+(K39*VLOOKUP($A68,Assumptions!$A$17:$N$29,7,FALSE))/1000)</f>
        <v>0</v>
      </c>
      <c r="L68" s="203">
        <f>(L10*VLOOKUP($A68,Assumptions!$A$3:$N$14,8,FALSE)+(L39*VLOOKUP($A68,Assumptions!$A$17:$N$29,8,FALSE))/1000)</f>
        <v>0</v>
      </c>
      <c r="M68" s="203">
        <f>(M10*VLOOKUP($A68,Assumptions!$A$3:$N$14,9,FALSE)+(M39*VLOOKUP($A68,Assumptions!$A$17:$N$29,9,FALSE))/1000)</f>
        <v>0</v>
      </c>
      <c r="N68" s="203">
        <f>(N10*VLOOKUP($A68,Assumptions!$A$3:$N$14,10,FALSE)+(N39*VLOOKUP($A68,Assumptions!$A$17:$N$29,10,FALSE))/1000)</f>
        <v>0</v>
      </c>
      <c r="O68" s="203">
        <f>(O10*VLOOKUP($A68,Assumptions!$A$3:$N$14,11,FALSE)+(O39*VLOOKUP($A68,Assumptions!$A$17:$N$29,11,FALSE))/1000)</f>
        <v>0</v>
      </c>
      <c r="P68" s="203">
        <f>(P10*VLOOKUP($A68,Assumptions!$A$3:$N$14,12,FALSE)+(P39*VLOOKUP($A68,Assumptions!$A$17:$N$29,12,FALSE))/1000)</f>
        <v>0</v>
      </c>
      <c r="Q68" s="203">
        <f>(Q10*VLOOKUP($A68,Assumptions!$A$3:$N$14,13,FALSE)+(Q39*VLOOKUP($A68,Assumptions!$A$17:$N$29,13,FALSE))/1000)</f>
        <v>0</v>
      </c>
      <c r="R68" s="203">
        <f>(R10*VLOOKUP($A68,Assumptions!$A$3:$N$14,14,FALSE)+(R39*VLOOKUP($A68,Assumptions!$A$17:$N$29,14,FALSE))/1000)</f>
        <v>0</v>
      </c>
      <c r="S68" s="199">
        <f t="shared" si="4"/>
        <v>-1</v>
      </c>
    </row>
    <row r="69" spans="1:19" ht="14">
      <c r="A69" s="185" t="s">
        <v>30</v>
      </c>
      <c r="B69" s="182" t="s">
        <v>92</v>
      </c>
      <c r="C69" s="231">
        <v>26819</v>
      </c>
      <c r="D69" s="212">
        <v>0</v>
      </c>
      <c r="E69" s="199">
        <v>1</v>
      </c>
      <c r="F69" s="211">
        <v>1</v>
      </c>
      <c r="G69" s="203">
        <f>(G11*VLOOKUP($A69,Assumptions!$A$3:$N$14,3,FALSE))+(G40*VLOOKUP($A69,Assumptions!$A$17:$N$29,3,FALSE))/1000</f>
        <v>1232.9022439400003</v>
      </c>
      <c r="H69" s="203">
        <f>(H11*VLOOKUP($A69,Assumptions!$A$3:$N$14,4,FALSE))+(H40*VLOOKUP($A69,Assumptions!$A$17:$N$29,4,FALSE))/1000</f>
        <v>60.697083939999999</v>
      </c>
      <c r="I69" s="203">
        <f>(I11*VLOOKUP($A69,Assumptions!$A$3:$N$14,5,FALSE))+(I40*VLOOKUP($A69,Assumptions!$A$17:$N$29,5,FALSE))/1000</f>
        <v>60.697083939999999</v>
      </c>
      <c r="J69" s="203">
        <f>(J11*VLOOKUP($A69,Assumptions!$A$3:$N$14,6,FALSE)+(J40*VLOOKUP($A69,Assumptions!$A$17:$N$29,6,FALSE))/1000)</f>
        <v>33.571642152560386</v>
      </c>
      <c r="K69" s="203">
        <f>(K11*VLOOKUP($A69,Assumptions!$A$3:$N$14,7,FALSE)+(K40*VLOOKUP($A69,Assumptions!$A$17:$N$29,7,FALSE))/1000)</f>
        <v>33.571642152560386</v>
      </c>
      <c r="L69" s="203">
        <f>(L11*VLOOKUP($A69,Assumptions!$A$3:$N$14,8,FALSE)+(L40*VLOOKUP($A69,Assumptions!$A$17:$N$29,8,FALSE))/1000)</f>
        <v>33.571642152560386</v>
      </c>
      <c r="M69" s="203">
        <f>(M11*VLOOKUP($A69,Assumptions!$A$3:$N$14,9,FALSE)+(M40*VLOOKUP($A69,Assumptions!$A$17:$N$29,9,FALSE))/1000)</f>
        <v>33.571642152560386</v>
      </c>
      <c r="N69" s="203">
        <f>(N11*VLOOKUP($A69,Assumptions!$A$3:$N$14,10,FALSE)+(N40*VLOOKUP($A69,Assumptions!$A$17:$N$29,10,FALSE))/1000)</f>
        <v>33.571642152560386</v>
      </c>
      <c r="O69" s="203">
        <f>(O11*VLOOKUP($A69,Assumptions!$A$3:$N$14,11,FALSE)+(O40*VLOOKUP($A69,Assumptions!$A$17:$N$29,11,FALSE))/1000)</f>
        <v>29.71054323146538</v>
      </c>
      <c r="P69" s="203">
        <f>(P11*VLOOKUP($A69,Assumptions!$A$3:$N$14,12,FALSE)+(P40*VLOOKUP($A69,Assumptions!$A$17:$N$29,12,FALSE))/1000)</f>
        <v>29.71054323146538</v>
      </c>
      <c r="Q69" s="203">
        <f>(Q11*VLOOKUP($A69,Assumptions!$A$3:$N$14,13,FALSE)+(Q40*VLOOKUP($A69,Assumptions!$A$17:$N$29,13,FALSE))/1000)</f>
        <v>29.71054323146538</v>
      </c>
      <c r="R69" s="203">
        <f>(R11*VLOOKUP($A69,Assumptions!$A$3:$N$14,14,FALSE)+(R40*VLOOKUP($A69,Assumptions!$A$17:$N$29,14,FALSE))/1000)</f>
        <v>-5.2560600000045934E-3</v>
      </c>
      <c r="S69" s="199">
        <f t="shared" si="4"/>
        <v>-1.0000042631603809</v>
      </c>
    </row>
    <row r="70" spans="1:19" ht="14">
      <c r="A70" s="185" t="s">
        <v>30</v>
      </c>
      <c r="B70" s="182" t="s">
        <v>52</v>
      </c>
      <c r="C70" s="231">
        <v>28396</v>
      </c>
      <c r="D70" s="211">
        <v>0.75</v>
      </c>
      <c r="E70" s="199"/>
      <c r="F70" s="211">
        <v>1</v>
      </c>
      <c r="G70" s="203">
        <f>(G12*VLOOKUP($A70,Assumptions!$A$3:$N$14,3,FALSE))+(G41*VLOOKUP($A70,Assumptions!$A$17:$N$29,3,FALSE))/1000</f>
        <v>1070.2621200000001</v>
      </c>
      <c r="H70" s="203">
        <f>(H12*VLOOKUP($A70,Assumptions!$A$3:$N$14,4,FALSE))+(H41*VLOOKUP($A70,Assumptions!$A$17:$N$29,4,FALSE))/1000</f>
        <v>102.80235</v>
      </c>
      <c r="I70" s="203">
        <f>(I12*VLOOKUP($A70,Assumptions!$A$3:$N$14,5,FALSE))+(I41*VLOOKUP($A70,Assumptions!$A$17:$N$29,5,FALSE))/1000</f>
        <v>102.80235</v>
      </c>
      <c r="J70" s="203">
        <f>(J12*VLOOKUP($A70,Assumptions!$A$3:$N$14,6,FALSE)+(J41*VLOOKUP($A70,Assumptions!$A$17:$N$29,6,FALSE))/1000)</f>
        <v>102.80235</v>
      </c>
      <c r="K70" s="203">
        <f>(K12*VLOOKUP($A70,Assumptions!$A$3:$N$14,7,FALSE)+(K41*VLOOKUP($A70,Assumptions!$A$17:$N$29,7,FALSE))/1000)</f>
        <v>102.80235</v>
      </c>
      <c r="L70" s="203">
        <f>(L12*VLOOKUP($A70,Assumptions!$A$3:$N$14,8,FALSE)+(L41*VLOOKUP($A70,Assumptions!$A$17:$N$29,8,FALSE))/1000)</f>
        <v>102.80235</v>
      </c>
      <c r="M70" s="203">
        <f>(M12*VLOOKUP($A70,Assumptions!$A$3:$N$14,9,FALSE)+(M41*VLOOKUP($A70,Assumptions!$A$17:$N$29,9,FALSE))/1000)</f>
        <v>102.80235</v>
      </c>
      <c r="N70" s="203">
        <f>(N12*VLOOKUP($A70,Assumptions!$A$3:$N$14,10,FALSE)+(N41*VLOOKUP($A70,Assumptions!$A$17:$N$29,10,FALSE))/1000)</f>
        <v>102.80235</v>
      </c>
      <c r="O70" s="203">
        <f>(O12*VLOOKUP($A70,Assumptions!$A$3:$N$14,11,FALSE)+(O41*VLOOKUP($A70,Assumptions!$A$17:$N$29,11,FALSE))/1000)</f>
        <v>98.783010000000004</v>
      </c>
      <c r="P70" s="203">
        <f>(P12*VLOOKUP($A70,Assumptions!$A$3:$N$14,12,FALSE)+(P41*VLOOKUP($A70,Assumptions!$A$17:$N$29,12,FALSE))/1000)</f>
        <v>98.783010000000004</v>
      </c>
      <c r="Q70" s="203">
        <f>(Q12*VLOOKUP($A70,Assumptions!$A$3:$N$14,13,FALSE)+(Q41*VLOOKUP($A70,Assumptions!$A$17:$N$29,13,FALSE))/1000)</f>
        <v>98.783010000000004</v>
      </c>
      <c r="R70" s="203">
        <f>(R12*VLOOKUP($A70,Assumptions!$A$3:$N$14,14,FALSE)+(R41*VLOOKUP($A70,Assumptions!$A$17:$N$29,14,FALSE))/1000)</f>
        <v>98.783010000000004</v>
      </c>
      <c r="S70" s="199">
        <f t="shared" si="4"/>
        <v>-0.9077020403188707</v>
      </c>
    </row>
    <row r="71" spans="1:19" ht="14">
      <c r="A71" s="185" t="s">
        <v>30</v>
      </c>
      <c r="B71" s="182" t="s">
        <v>54</v>
      </c>
      <c r="C71" s="231">
        <v>37558</v>
      </c>
      <c r="D71" s="211">
        <v>0.75</v>
      </c>
      <c r="E71" s="199"/>
      <c r="F71" s="211">
        <v>1</v>
      </c>
      <c r="G71" s="203">
        <f>(G13*VLOOKUP($A71,Assumptions!$A$3:$N$14,3,FALSE))+(G42*VLOOKUP($A71,Assumptions!$A$17:$N$29,3,FALSE))/1000</f>
        <v>1399.11611391</v>
      </c>
      <c r="H71" s="203">
        <f>(H13*VLOOKUP($A71,Assumptions!$A$3:$N$14,4,FALSE))+(H42*VLOOKUP($A71,Assumptions!$A$17:$N$29,4,FALSE))/1000</f>
        <v>47.945933910000001</v>
      </c>
      <c r="I71" s="203">
        <f>(I13*VLOOKUP($A71,Assumptions!$A$3:$N$14,5,FALSE))+(I42*VLOOKUP($A71,Assumptions!$A$17:$N$29,5,FALSE))/1000</f>
        <v>47.945933910000001</v>
      </c>
      <c r="J71" s="203">
        <f>(J13*VLOOKUP($A71,Assumptions!$A$3:$N$14,6,FALSE)+(J42*VLOOKUP($A71,Assumptions!$A$17:$N$29,6,FALSE))/1000)</f>
        <v>47.945933910000001</v>
      </c>
      <c r="K71" s="203">
        <f>(K13*VLOOKUP($A71,Assumptions!$A$3:$N$14,7,FALSE)+(K42*VLOOKUP($A71,Assumptions!$A$17:$N$29,7,FALSE))/1000)</f>
        <v>47.945933910000001</v>
      </c>
      <c r="L71" s="203">
        <f>(L13*VLOOKUP($A71,Assumptions!$A$3:$N$14,8,FALSE)+(L42*VLOOKUP($A71,Assumptions!$A$17:$N$29,8,FALSE))/1000)</f>
        <v>47.945933910000001</v>
      </c>
      <c r="M71" s="203">
        <f>(M13*VLOOKUP($A71,Assumptions!$A$3:$N$14,9,FALSE)+(M42*VLOOKUP($A71,Assumptions!$A$17:$N$29,9,FALSE))/1000)</f>
        <v>47.945933910000001</v>
      </c>
      <c r="N71" s="203">
        <f>(N13*VLOOKUP($A71,Assumptions!$A$3:$N$14,10,FALSE)+(N42*VLOOKUP($A71,Assumptions!$A$17:$N$29,10,FALSE))/1000)</f>
        <v>47.945933910000001</v>
      </c>
      <c r="O71" s="203">
        <f>(O13*VLOOKUP($A71,Assumptions!$A$3:$N$14,11,FALSE)+(O42*VLOOKUP($A71,Assumptions!$A$17:$N$29,11,FALSE))/1000)</f>
        <v>40.731733910000003</v>
      </c>
      <c r="P71" s="203">
        <f>(P13*VLOOKUP($A71,Assumptions!$A$3:$N$14,12,FALSE)+(P42*VLOOKUP($A71,Assumptions!$A$17:$N$29,12,FALSE))/1000)</f>
        <v>17.543233909999998</v>
      </c>
      <c r="Q71" s="203">
        <f>(Q13*VLOOKUP($A71,Assumptions!$A$3:$N$14,13,FALSE)+(Q42*VLOOKUP($A71,Assumptions!$A$17:$N$29,13,FALSE))/1000)</f>
        <v>17.543233909999998</v>
      </c>
      <c r="R71" s="203">
        <f>(R13*VLOOKUP($A71,Assumptions!$A$3:$N$14,14,FALSE)+(R42*VLOOKUP($A71,Assumptions!$A$17:$N$29,14,FALSE))/1000)</f>
        <v>17.543233909999998</v>
      </c>
      <c r="S71" s="199">
        <f t="shared" si="4"/>
        <v>-0.98746120230080592</v>
      </c>
    </row>
    <row r="72" spans="1:19" ht="14">
      <c r="A72" s="185" t="s">
        <v>37</v>
      </c>
      <c r="B72" s="182" t="s">
        <v>55</v>
      </c>
      <c r="C72" s="231">
        <v>55051</v>
      </c>
      <c r="D72" s="211">
        <v>0.5</v>
      </c>
      <c r="E72" s="199">
        <v>0.5</v>
      </c>
      <c r="F72" s="211">
        <v>1</v>
      </c>
      <c r="G72" s="203">
        <f>(G14*VLOOKUP($A72,Assumptions!$A$3:$N$14,3,FALSE))+(G43*VLOOKUP($A72,Assumptions!$A$17:$N$29,3,FALSE))/1000</f>
        <v>1458.04285725</v>
      </c>
      <c r="H72" s="203">
        <f>(H14*VLOOKUP($A72,Assumptions!$A$3:$N$14,4,FALSE))+(H43*VLOOKUP($A72,Assumptions!$A$17:$N$29,4,FALSE))/1000</f>
        <v>797.62382719340076</v>
      </c>
      <c r="I72" s="203">
        <f>(I14*VLOOKUP($A72,Assumptions!$A$3:$N$14,5,FALSE))+(I43*VLOOKUP($A72,Assumptions!$A$17:$N$29,5,FALSE))/1000</f>
        <v>271.28364194340065</v>
      </c>
      <c r="J72" s="203">
        <f>(J14*VLOOKUP($A72,Assumptions!$A$3:$N$14,6,FALSE)+(J43*VLOOKUP($A72,Assumptions!$A$17:$N$29,6,FALSE))/1000)</f>
        <v>271.28364194340065</v>
      </c>
      <c r="K72" s="203">
        <f>(K14*VLOOKUP($A72,Assumptions!$A$3:$N$14,7,FALSE)+(K43*VLOOKUP($A72,Assumptions!$A$17:$N$29,7,FALSE))/1000)</f>
        <v>271.28364194340065</v>
      </c>
      <c r="L72" s="203">
        <f>(L14*VLOOKUP($A72,Assumptions!$A$3:$N$14,8,FALSE)+(L43*VLOOKUP($A72,Assumptions!$A$17:$N$29,8,FALSE))/1000)</f>
        <v>244.38464599266356</v>
      </c>
      <c r="M72" s="203">
        <f>(M14*VLOOKUP($A72,Assumptions!$A$3:$N$14,9,FALSE)+(M43*VLOOKUP($A72,Assumptions!$A$17:$N$29,9,FALSE))/1000)</f>
        <v>231.83388352092459</v>
      </c>
      <c r="N72" s="203">
        <f>(N14*VLOOKUP($A72,Assumptions!$A$3:$N$14,10,FALSE)+(N43*VLOOKUP($A72,Assumptions!$A$17:$N$29,10,FALSE))/1000)</f>
        <v>28.444973520924574</v>
      </c>
      <c r="O72" s="203">
        <f>(O14*VLOOKUP($A72,Assumptions!$A$3:$N$14,11,FALSE)+(O43*VLOOKUP($A72,Assumptions!$A$17:$N$29,11,FALSE))/1000)</f>
        <v>28.444973520924574</v>
      </c>
      <c r="P72" s="203">
        <f>(P14*VLOOKUP($A72,Assumptions!$A$3:$N$14,12,FALSE)+(P43*VLOOKUP($A72,Assumptions!$A$17:$N$29,12,FALSE))/1000)</f>
        <v>28.444973520924574</v>
      </c>
      <c r="Q72" s="203">
        <f>(Q14*VLOOKUP($A72,Assumptions!$A$3:$N$14,13,FALSE)+(Q43*VLOOKUP($A72,Assumptions!$A$17:$N$29,13,FALSE))/1000)</f>
        <v>28.444973520924574</v>
      </c>
      <c r="R72" s="203">
        <f>(R14*VLOOKUP($A72,Assumptions!$A$3:$N$14,14,FALSE)+(R43*VLOOKUP($A72,Assumptions!$A$17:$N$29,14,FALSE))/1000)</f>
        <v>28.444973520924574</v>
      </c>
      <c r="S72" s="199">
        <f t="shared" si="4"/>
        <v>-0.9804909894249787</v>
      </c>
    </row>
    <row r="73" spans="1:19" ht="14">
      <c r="A73" s="185" t="s">
        <v>30</v>
      </c>
      <c r="B73" s="182" t="s">
        <v>56</v>
      </c>
      <c r="C73" s="231">
        <v>39938</v>
      </c>
      <c r="D73" s="211">
        <v>0.5</v>
      </c>
      <c r="E73" s="199"/>
      <c r="F73" s="211">
        <v>1</v>
      </c>
      <c r="G73" s="203">
        <f>(G15*VLOOKUP($A73,Assumptions!$A$3:$N$14,3,FALSE))+(G44*VLOOKUP($A73,Assumptions!$A$17:$N$29,3,FALSE))/1000</f>
        <v>2297.5410510900001</v>
      </c>
      <c r="H73" s="203">
        <f>(H15*VLOOKUP($A73,Assumptions!$A$3:$N$14,4,FALSE))+(H44*VLOOKUP($A73,Assumptions!$A$17:$N$29,4,FALSE))/1000</f>
        <v>247.50132109</v>
      </c>
      <c r="I73" s="203">
        <f>(I15*VLOOKUP($A73,Assumptions!$A$3:$N$14,5,FALSE))+(I44*VLOOKUP($A73,Assumptions!$A$17:$N$29,5,FALSE))/1000</f>
        <v>247.50132109</v>
      </c>
      <c r="J73" s="203">
        <f>(J15*VLOOKUP($A73,Assumptions!$A$3:$N$14,6,FALSE)+(J44*VLOOKUP($A73,Assumptions!$A$17:$N$29,6,FALSE))/1000)</f>
        <v>247.50132109</v>
      </c>
      <c r="K73" s="203">
        <f>(K15*VLOOKUP($A73,Assumptions!$A$3:$N$14,7,FALSE)+(K44*VLOOKUP($A73,Assumptions!$A$17:$N$29,7,FALSE))/1000)</f>
        <v>247.50132109</v>
      </c>
      <c r="L73" s="203">
        <f>(L15*VLOOKUP($A73,Assumptions!$A$3:$N$14,8,FALSE)+(L44*VLOOKUP($A73,Assumptions!$A$17:$N$29,8,FALSE))/1000)</f>
        <v>247.50132109</v>
      </c>
      <c r="M73" s="203">
        <f>(M15*VLOOKUP($A73,Assumptions!$A$3:$N$14,9,FALSE)+(M44*VLOOKUP($A73,Assumptions!$A$17:$N$29,9,FALSE))/1000)</f>
        <v>247.50132109</v>
      </c>
      <c r="N73" s="203">
        <f>(N15*VLOOKUP($A73,Assumptions!$A$3:$N$14,10,FALSE)+(N44*VLOOKUP($A73,Assumptions!$A$17:$N$29,10,FALSE))/1000)</f>
        <v>247.50132109</v>
      </c>
      <c r="O73" s="203">
        <f>(O15*VLOOKUP($A73,Assumptions!$A$3:$N$14,11,FALSE)+(O44*VLOOKUP($A73,Assumptions!$A$17:$N$29,11,FALSE))/1000)</f>
        <v>247.50132109</v>
      </c>
      <c r="P73" s="203">
        <f>(P15*VLOOKUP($A73,Assumptions!$A$3:$N$14,12,FALSE)+(P44*VLOOKUP($A73,Assumptions!$A$17:$N$29,12,FALSE))/1000)</f>
        <v>247.50132109</v>
      </c>
      <c r="Q73" s="203">
        <f>(Q15*VLOOKUP($A73,Assumptions!$A$3:$N$14,13,FALSE)+(Q44*VLOOKUP($A73,Assumptions!$A$17:$N$29,13,FALSE))/1000)</f>
        <v>247.50132109</v>
      </c>
      <c r="R73" s="203">
        <f>(R15*VLOOKUP($A73,Assumptions!$A$3:$N$14,14,FALSE)+(R44*VLOOKUP($A73,Assumptions!$A$17:$N$29,14,FALSE))/1000)</f>
        <v>247.50132109</v>
      </c>
      <c r="S73" s="199">
        <f t="shared" si="4"/>
        <v>-0.89227556087732118</v>
      </c>
    </row>
    <row r="74" spans="1:19" ht="14">
      <c r="A74" s="185" t="s">
        <v>30</v>
      </c>
      <c r="B74" s="182" t="s">
        <v>93</v>
      </c>
      <c r="C74" s="231">
        <v>20404</v>
      </c>
      <c r="D74" s="212">
        <v>0</v>
      </c>
      <c r="E74" s="199">
        <v>1</v>
      </c>
      <c r="F74" s="211">
        <v>1</v>
      </c>
      <c r="G74" s="203">
        <f>(G16*VLOOKUP($A74,Assumptions!$A$3:$N$14,3,FALSE))+(G45*VLOOKUP($A74,Assumptions!$A$17:$N$29,3,FALSE))/1000</f>
        <v>881.50310830000012</v>
      </c>
      <c r="H74" s="203">
        <f>(H16*VLOOKUP($A74,Assumptions!$A$3:$N$14,4,FALSE))+(H45*VLOOKUP($A74,Assumptions!$A$17:$N$29,4,FALSE))/1000</f>
        <v>44.682178299999997</v>
      </c>
      <c r="I74" s="203">
        <f>(I16*VLOOKUP($A74,Assumptions!$A$3:$N$14,5,FALSE))+(I45*VLOOKUP($A74,Assumptions!$A$17:$N$29,5,FALSE))/1000</f>
        <v>44.682178299999997</v>
      </c>
      <c r="J74" s="203">
        <f>(J16*VLOOKUP($A74,Assumptions!$A$3:$N$14,6,FALSE)+(J45*VLOOKUP($A74,Assumptions!$A$17:$N$29,6,FALSE))/1000)</f>
        <v>44.682178299999997</v>
      </c>
      <c r="K74" s="203">
        <f>(K16*VLOOKUP($A74,Assumptions!$A$3:$N$14,7,FALSE)+(K45*VLOOKUP($A74,Assumptions!$A$17:$N$29,7,FALSE))/1000)</f>
        <v>44.682178299999997</v>
      </c>
      <c r="L74" s="203">
        <f>(L16*VLOOKUP($A74,Assumptions!$A$3:$N$14,8,FALSE)+(L45*VLOOKUP($A74,Assumptions!$A$17:$N$29,8,FALSE))/1000)</f>
        <v>44.682178299999997</v>
      </c>
      <c r="M74" s="203">
        <f>(M16*VLOOKUP($A74,Assumptions!$A$3:$N$14,9,FALSE)+(M45*VLOOKUP($A74,Assumptions!$A$17:$N$29,9,FALSE))/1000)</f>
        <v>44.682178299999997</v>
      </c>
      <c r="N74" s="203">
        <f>(N16*VLOOKUP($A74,Assumptions!$A$3:$N$14,10,FALSE)+(N45*VLOOKUP($A74,Assumptions!$A$17:$N$29,10,FALSE))/1000)</f>
        <v>44.682178299999997</v>
      </c>
      <c r="O74" s="203">
        <f>(O16*VLOOKUP($A74,Assumptions!$A$3:$N$14,11,FALSE)+(O45*VLOOKUP($A74,Assumptions!$A$17:$N$29,11,FALSE))/1000)</f>
        <v>44.682178299999997</v>
      </c>
      <c r="P74" s="203">
        <f>(P16*VLOOKUP($A74,Assumptions!$A$3:$N$14,12,FALSE)+(P45*VLOOKUP($A74,Assumptions!$A$17:$N$29,12,FALSE))/1000)</f>
        <v>44.682178299999997</v>
      </c>
      <c r="Q74" s="203">
        <f>(Q16*VLOOKUP($A74,Assumptions!$A$3:$N$14,13,FALSE)+(Q45*VLOOKUP($A74,Assumptions!$A$17:$N$29,13,FALSE))/1000)</f>
        <v>5.1586683000000013</v>
      </c>
      <c r="R74" s="203">
        <f>(R16*VLOOKUP($A74,Assumptions!$A$3:$N$14,14,FALSE)+(R45*VLOOKUP($A74,Assumptions!$A$17:$N$29,14,FALSE))/1000)</f>
        <v>5.1586683000000013</v>
      </c>
      <c r="S74" s="199">
        <f t="shared" si="4"/>
        <v>-0.99414787281924777</v>
      </c>
    </row>
    <row r="75" spans="1:19" ht="14">
      <c r="A75" s="185" t="s">
        <v>37</v>
      </c>
      <c r="B75" s="182" t="s">
        <v>60</v>
      </c>
      <c r="C75" s="231">
        <v>1422</v>
      </c>
      <c r="D75" s="211">
        <v>1</v>
      </c>
      <c r="E75" s="199"/>
      <c r="F75" s="211">
        <v>1</v>
      </c>
      <c r="G75" s="203">
        <f>(G17*VLOOKUP($A75,Assumptions!$A$3:$N$14,3,FALSE))+(G46*VLOOKUP($A75,Assumptions!$A$17:$N$29,3,FALSE))/1000</f>
        <v>0</v>
      </c>
      <c r="H75" s="203">
        <f>(H17*VLOOKUP($A75,Assumptions!$A$3:$N$14,4,FALSE))+(H46*VLOOKUP($A75,Assumptions!$A$17:$N$29,4,FALSE))/1000</f>
        <v>0</v>
      </c>
      <c r="I75" s="203">
        <f>(I17*VLOOKUP($A75,Assumptions!$A$3:$N$14,5,FALSE))+(I46*VLOOKUP($A75,Assumptions!$A$17:$N$29,5,FALSE))/1000</f>
        <v>0</v>
      </c>
      <c r="J75" s="203">
        <f>(J17*VLOOKUP($A75,Assumptions!$A$3:$N$14,6,FALSE)+(J46*VLOOKUP($A75,Assumptions!$A$17:$N$29,6,FALSE))/1000)</f>
        <v>0</v>
      </c>
      <c r="K75" s="203">
        <f>(K17*VLOOKUP($A75,Assumptions!$A$3:$N$14,7,FALSE)+(K46*VLOOKUP($A75,Assumptions!$A$17:$N$29,7,FALSE))/1000)</f>
        <v>0</v>
      </c>
      <c r="L75" s="203">
        <f>(L17*VLOOKUP($A75,Assumptions!$A$3:$N$14,8,FALSE)+(L46*VLOOKUP($A75,Assumptions!$A$17:$N$29,8,FALSE))/1000)</f>
        <v>0</v>
      </c>
      <c r="M75" s="203">
        <f>(M17*VLOOKUP($A75,Assumptions!$A$3:$N$14,9,FALSE)+(M46*VLOOKUP($A75,Assumptions!$A$17:$N$29,9,FALSE))/1000)</f>
        <v>0</v>
      </c>
      <c r="N75" s="203">
        <f>(N17*VLOOKUP($A75,Assumptions!$A$3:$N$14,10,FALSE)+(N46*VLOOKUP($A75,Assumptions!$A$17:$N$29,10,FALSE))/1000)</f>
        <v>0</v>
      </c>
      <c r="O75" s="203">
        <f>(O17*VLOOKUP($A75,Assumptions!$A$3:$N$14,11,FALSE)+(O46*VLOOKUP($A75,Assumptions!$A$17:$N$29,11,FALSE))/1000)</f>
        <v>0</v>
      </c>
      <c r="P75" s="203">
        <f>(P17*VLOOKUP($A75,Assumptions!$A$3:$N$14,12,FALSE)+(P46*VLOOKUP($A75,Assumptions!$A$17:$N$29,12,FALSE))/1000)</f>
        <v>0</v>
      </c>
      <c r="Q75" s="203">
        <f>(Q17*VLOOKUP($A75,Assumptions!$A$3:$N$14,13,FALSE)+(Q46*VLOOKUP($A75,Assumptions!$A$17:$N$29,13,FALSE))/1000)</f>
        <v>0</v>
      </c>
      <c r="R75" s="203">
        <f>(R17*VLOOKUP($A75,Assumptions!$A$3:$N$14,14,FALSE)+(R46*VLOOKUP($A75,Assumptions!$A$17:$N$29,14,FALSE))/1000)</f>
        <v>0</v>
      </c>
      <c r="S75" s="199"/>
    </row>
    <row r="76" spans="1:19" ht="14">
      <c r="A76" s="185" t="s">
        <v>66</v>
      </c>
      <c r="B76" s="182" t="s">
        <v>170</v>
      </c>
      <c r="C76" s="231">
        <v>17363.8</v>
      </c>
      <c r="D76" s="212">
        <v>0</v>
      </c>
      <c r="E76" s="199"/>
      <c r="F76" s="211">
        <v>1</v>
      </c>
      <c r="G76" s="203">
        <f>(G18*VLOOKUP($A76,Assumptions!$A$3:$N$14,3,FALSE))+(G47*VLOOKUP($A76,Assumptions!$A$17:$N$29,3,FALSE))/1000</f>
        <v>1236.2655948700001</v>
      </c>
      <c r="H76" s="203">
        <f>(H18*VLOOKUP($A76,Assumptions!$A$3:$N$14,4,FALSE))+(H47*VLOOKUP($A76,Assumptions!$A$17:$N$29,4,FALSE))/1000</f>
        <v>595.27171386999999</v>
      </c>
      <c r="I76" s="203">
        <f>(I18*VLOOKUP($A76,Assumptions!$A$3:$N$14,5,FALSE))+(I47*VLOOKUP($A76,Assumptions!$A$17:$N$29,5,FALSE))/1000</f>
        <v>13.340034870000002</v>
      </c>
      <c r="J76" s="203">
        <f>(J18*VLOOKUP($A76,Assumptions!$A$3:$N$14,6,FALSE)+(J47*VLOOKUP($A76,Assumptions!$A$17:$N$29,6,FALSE))/1000)</f>
        <v>13.340034870000002</v>
      </c>
      <c r="K76" s="203">
        <f>(K18*VLOOKUP($A76,Assumptions!$A$3:$N$14,7,FALSE)+(K47*VLOOKUP($A76,Assumptions!$A$17:$N$29,7,FALSE))/1000)</f>
        <v>13.340034870000002</v>
      </c>
      <c r="L76" s="203">
        <f>(L18*VLOOKUP($A76,Assumptions!$A$3:$N$14,8,FALSE)+(L47*VLOOKUP($A76,Assumptions!$A$17:$N$29,8,FALSE))/1000)</f>
        <v>7.0018448700000011</v>
      </c>
      <c r="M76" s="203">
        <f>(M18*VLOOKUP($A76,Assumptions!$A$3:$N$14,9,FALSE)+(M47*VLOOKUP($A76,Assumptions!$A$17:$N$29,9,FALSE))/1000)</f>
        <v>7.0018448700000011</v>
      </c>
      <c r="N76" s="203">
        <f>(N18*VLOOKUP($A76,Assumptions!$A$3:$N$14,10,FALSE)+(N47*VLOOKUP($A76,Assumptions!$A$17:$N$29,10,FALSE))/1000)</f>
        <v>7.0018448700000011</v>
      </c>
      <c r="O76" s="203">
        <f>(O18*VLOOKUP($A76,Assumptions!$A$3:$N$14,11,FALSE)+(O47*VLOOKUP($A76,Assumptions!$A$17:$N$29,11,FALSE))/1000)</f>
        <v>0.66365487000000101</v>
      </c>
      <c r="P76" s="203">
        <f>(P18*VLOOKUP($A76,Assumptions!$A$3:$N$14,12,FALSE)+(P47*VLOOKUP($A76,Assumptions!$A$17:$N$29,12,FALSE))/1000)</f>
        <v>0.66365487000000101</v>
      </c>
      <c r="Q76" s="203">
        <f>(Q18*VLOOKUP($A76,Assumptions!$A$3:$N$14,13,FALSE)+(Q47*VLOOKUP($A76,Assumptions!$A$17:$N$29,13,FALSE))/1000)</f>
        <v>0.66365487000000101</v>
      </c>
      <c r="R76" s="203">
        <f>(R18*VLOOKUP($A76,Assumptions!$A$3:$N$14,14,FALSE)+(R47*VLOOKUP($A76,Assumptions!$A$17:$N$29,14,FALSE))/1000)</f>
        <v>0.66365487000000101</v>
      </c>
      <c r="S76" s="199">
        <f t="shared" si="4"/>
        <v>-0.99946317775666171</v>
      </c>
    </row>
    <row r="77" spans="1:19" ht="14">
      <c r="A77" s="185" t="s">
        <v>48</v>
      </c>
      <c r="B77" s="182" t="s">
        <v>168</v>
      </c>
      <c r="C77" s="231">
        <v>24784</v>
      </c>
      <c r="D77" s="212">
        <v>0</v>
      </c>
      <c r="E77" s="199"/>
      <c r="F77" s="211">
        <v>1</v>
      </c>
      <c r="G77" s="203">
        <f>(G19*VLOOKUP($A77,Assumptions!$A$3:$N$14,3,FALSE))+(G48*VLOOKUP($A77,Assumptions!$A$17:$N$29,3,FALSE))/1000</f>
        <v>787.43016</v>
      </c>
      <c r="H77" s="203">
        <f>(H19*VLOOKUP($A77,Assumptions!$A$3:$N$14,4,FALSE))+(H48*VLOOKUP($A77,Assumptions!$A$17:$N$29,4,FALSE))/1000</f>
        <v>393.71508</v>
      </c>
      <c r="I77" s="203">
        <f>(I19*VLOOKUP($A77,Assumptions!$A$3:$N$14,5,FALSE))+(I48*VLOOKUP($A77,Assumptions!$A$17:$N$29,5,FALSE))/1000</f>
        <v>0</v>
      </c>
      <c r="J77" s="203">
        <f>(J19*VLOOKUP($A77,Assumptions!$A$3:$N$14,6,FALSE)+(J48*VLOOKUP($A77,Assumptions!$A$17:$N$29,6,FALSE))/1000)</f>
        <v>0</v>
      </c>
      <c r="K77" s="203">
        <f>(K19*VLOOKUP($A77,Assumptions!$A$3:$N$14,7,FALSE)+(K48*VLOOKUP($A77,Assumptions!$A$17:$N$29,7,FALSE))/1000)</f>
        <v>0</v>
      </c>
      <c r="L77" s="203">
        <f>(L19*VLOOKUP($A77,Assumptions!$A$3:$N$14,8,FALSE)+(L48*VLOOKUP($A77,Assumptions!$A$17:$N$29,8,FALSE))/1000)</f>
        <v>0</v>
      </c>
      <c r="M77" s="203">
        <f>(M19*VLOOKUP($A77,Assumptions!$A$3:$N$14,9,FALSE)+(M48*VLOOKUP($A77,Assumptions!$A$17:$N$29,9,FALSE))/1000)</f>
        <v>0</v>
      </c>
      <c r="N77" s="203">
        <f>(N19*VLOOKUP($A77,Assumptions!$A$3:$N$14,10,FALSE)+(N48*VLOOKUP($A77,Assumptions!$A$17:$N$29,10,FALSE))/1000)</f>
        <v>0</v>
      </c>
      <c r="O77" s="203">
        <f>(O19*VLOOKUP($A77,Assumptions!$A$3:$N$14,11,FALSE)+(O48*VLOOKUP($A77,Assumptions!$A$17:$N$29,11,FALSE))/1000)</f>
        <v>0</v>
      </c>
      <c r="P77" s="203">
        <f>(P19*VLOOKUP($A77,Assumptions!$A$3:$N$14,12,FALSE)+(P48*VLOOKUP($A77,Assumptions!$A$17:$N$29,12,FALSE))/1000)</f>
        <v>0</v>
      </c>
      <c r="Q77" s="203">
        <f>(Q19*VLOOKUP($A77,Assumptions!$A$3:$N$14,13,FALSE)+(Q48*VLOOKUP($A77,Assumptions!$A$17:$N$29,13,FALSE))/1000)</f>
        <v>0</v>
      </c>
      <c r="R77" s="203">
        <f>(R19*VLOOKUP($A77,Assumptions!$A$3:$N$14,14,FALSE)+(R48*VLOOKUP($A77,Assumptions!$A$17:$N$29,14,FALSE))/1000)</f>
        <v>0</v>
      </c>
      <c r="S77" s="199">
        <f t="shared" si="4"/>
        <v>-1</v>
      </c>
    </row>
    <row r="78" spans="1:19" ht="14">
      <c r="A78" s="185" t="s">
        <v>30</v>
      </c>
      <c r="B78" s="182" t="s">
        <v>123</v>
      </c>
      <c r="C78" s="231">
        <v>23555.5</v>
      </c>
      <c r="D78" s="211">
        <v>0</v>
      </c>
      <c r="E78" s="199"/>
      <c r="F78" s="211">
        <v>1</v>
      </c>
      <c r="G78" s="203">
        <f>(G20*VLOOKUP($A78,Assumptions!$A$3:$N$14,3,FALSE))+(G49*VLOOKUP($A78,Assumptions!$A$17:$N$29,3,FALSE))/1000</f>
        <v>853.90111933000003</v>
      </c>
      <c r="H78" s="203">
        <f>(H20*VLOOKUP($A78,Assumptions!$A$3:$N$14,4,FALSE))+(H49*VLOOKUP($A78,Assumptions!$A$17:$N$29,4,FALSE))/1000</f>
        <v>123.37626933</v>
      </c>
      <c r="I78" s="203">
        <f>(I20*VLOOKUP($A78,Assumptions!$A$3:$N$14,5,FALSE))+(I49*VLOOKUP($A78,Assumptions!$A$17:$N$29,5,FALSE))/1000</f>
        <v>123.37626933</v>
      </c>
      <c r="J78" s="203">
        <f>(J20*VLOOKUP($A78,Assumptions!$A$3:$N$14,6,FALSE)+(J49*VLOOKUP($A78,Assumptions!$A$17:$N$29,6,FALSE))/1000)</f>
        <v>123.37626933</v>
      </c>
      <c r="K78" s="203">
        <f>(K20*VLOOKUP($A78,Assumptions!$A$3:$N$14,7,FALSE)+(K49*VLOOKUP($A78,Assumptions!$A$17:$N$29,7,FALSE))/1000)</f>
        <v>123.37626933</v>
      </c>
      <c r="L78" s="203">
        <f>(L20*VLOOKUP($A78,Assumptions!$A$3:$N$14,8,FALSE)+(L49*VLOOKUP($A78,Assumptions!$A$17:$N$29,8,FALSE))/1000)</f>
        <v>123.37626933</v>
      </c>
      <c r="M78" s="203">
        <f>(M20*VLOOKUP($A78,Assumptions!$A$3:$N$14,9,FALSE)+(M49*VLOOKUP($A78,Assumptions!$A$17:$N$29,9,FALSE))/1000)</f>
        <v>123.37626933</v>
      </c>
      <c r="N78" s="203">
        <f>(N20*VLOOKUP($A78,Assumptions!$A$3:$N$14,10,FALSE)+(N49*VLOOKUP($A78,Assumptions!$A$17:$N$29,10,FALSE))/1000)</f>
        <v>123.37626933</v>
      </c>
      <c r="O78" s="203">
        <f>(O20*VLOOKUP($A78,Assumptions!$A$3:$N$14,11,FALSE)+(O49*VLOOKUP($A78,Assumptions!$A$17:$N$29,11,FALSE))/1000)</f>
        <v>123.37626933</v>
      </c>
      <c r="P78" s="203">
        <f>(P20*VLOOKUP($A78,Assumptions!$A$3:$N$14,12,FALSE)+(P49*VLOOKUP($A78,Assumptions!$A$17:$N$29,12,FALSE))/1000)</f>
        <v>123.37626933</v>
      </c>
      <c r="Q78" s="203">
        <f>(Q20*VLOOKUP($A78,Assumptions!$A$3:$N$14,13,FALSE)+(Q49*VLOOKUP($A78,Assumptions!$A$17:$N$29,13,FALSE))/1000)</f>
        <v>123.37626933</v>
      </c>
      <c r="R78" s="203">
        <f>(R20*VLOOKUP($A78,Assumptions!$A$3:$N$14,14,FALSE)+(R49*VLOOKUP($A78,Assumptions!$A$17:$N$29,14,FALSE))/1000)</f>
        <v>123.37626933</v>
      </c>
      <c r="S78" s="199"/>
    </row>
    <row r="79" spans="1:19" ht="14">
      <c r="A79" s="185" t="s">
        <v>63</v>
      </c>
      <c r="B79" s="182" t="s">
        <v>64</v>
      </c>
      <c r="C79" s="231">
        <v>61127</v>
      </c>
      <c r="D79" s="211">
        <v>0.5</v>
      </c>
      <c r="E79" s="199"/>
      <c r="F79" s="211"/>
      <c r="G79" s="203">
        <f>(G21*VLOOKUP($A79,Assumptions!$A$3:$N$14,3,FALSE))+(G50*VLOOKUP($A79,Assumptions!$A$17:$N$29,3,FALSE))/1000</f>
        <v>1753.7188588079998</v>
      </c>
      <c r="H79" s="203">
        <f>(H21*VLOOKUP($A79,Assumptions!$A$3:$N$14,4,FALSE))+(H50*VLOOKUP($A79,Assumptions!$A$17:$N$29,4,FALSE))/1000</f>
        <v>111.59406880800002</v>
      </c>
      <c r="I79" s="203">
        <f>(I21*VLOOKUP($A79,Assumptions!$A$3:$N$14,5,FALSE))+(I50*VLOOKUP($A79,Assumptions!$A$17:$N$29,5,FALSE))/1000</f>
        <v>111.59406880800002</v>
      </c>
      <c r="J79" s="203">
        <f>(J21*VLOOKUP($A79,Assumptions!$A$3:$N$14,6,FALSE)+(J50*VLOOKUP($A79,Assumptions!$A$17:$N$29,6,FALSE))/1000)</f>
        <v>111.59406880800002</v>
      </c>
      <c r="K79" s="203">
        <f>(K21*VLOOKUP($A79,Assumptions!$A$3:$N$14,7,FALSE)+(K50*VLOOKUP($A79,Assumptions!$A$17:$N$29,7,FALSE))/1000)</f>
        <v>111.59406880800002</v>
      </c>
      <c r="L79" s="203">
        <f>(L21*VLOOKUP($A79,Assumptions!$A$3:$N$14,8,FALSE)+(L50*VLOOKUP($A79,Assumptions!$A$17:$N$29,8,FALSE))/1000)</f>
        <v>111.59406880800002</v>
      </c>
      <c r="M79" s="203">
        <f>(M21*VLOOKUP($A79,Assumptions!$A$3:$N$14,9,FALSE)+(M50*VLOOKUP($A79,Assumptions!$A$17:$N$29,9,FALSE))/1000)</f>
        <v>23.271648808000009</v>
      </c>
      <c r="N79" s="203">
        <f>(N21*VLOOKUP($A79,Assumptions!$A$3:$N$14,10,FALSE)+(N50*VLOOKUP($A79,Assumptions!$A$17:$N$29,10,FALSE))/1000)</f>
        <v>23.271648808000009</v>
      </c>
      <c r="O79" s="203">
        <f>(O21*VLOOKUP($A79,Assumptions!$A$3:$N$14,11,FALSE)+(O50*VLOOKUP($A79,Assumptions!$A$17:$N$29,11,FALSE))/1000)</f>
        <v>23.271648808000009</v>
      </c>
      <c r="P79" s="203">
        <f>(P21*VLOOKUP($A79,Assumptions!$A$3:$N$14,12,FALSE)+(P50*VLOOKUP($A79,Assumptions!$A$17:$N$29,12,FALSE))/1000)</f>
        <v>23.271648808000009</v>
      </c>
      <c r="Q79" s="203">
        <f>(Q21*VLOOKUP($A79,Assumptions!$A$3:$N$14,13,FALSE)+(Q50*VLOOKUP($A79,Assumptions!$A$17:$N$29,13,FALSE))/1000)</f>
        <v>23.271648808000009</v>
      </c>
      <c r="R79" s="203">
        <f>(R21*VLOOKUP($A79,Assumptions!$A$3:$N$14,14,FALSE)+(R50*VLOOKUP($A79,Assumptions!$A$17:$N$29,14,FALSE))/1000)</f>
        <v>23.271648808000009</v>
      </c>
      <c r="S79" s="199"/>
    </row>
    <row r="80" spans="1:19" ht="14">
      <c r="A80" s="185" t="s">
        <v>66</v>
      </c>
      <c r="B80" s="182" t="s">
        <v>95</v>
      </c>
      <c r="C80" s="231">
        <v>41253</v>
      </c>
      <c r="D80" s="212">
        <v>0</v>
      </c>
      <c r="E80" s="199">
        <v>0.5</v>
      </c>
      <c r="F80" s="211"/>
      <c r="G80" s="203">
        <f>(G22*VLOOKUP($A80,Assumptions!$A$3:$N$14,3,FALSE))+(G51*VLOOKUP($A80,Assumptions!$A$17:$N$29,3,FALSE))/1000</f>
        <v>2071.27232</v>
      </c>
      <c r="H80" s="203">
        <f>(H22*VLOOKUP($A80,Assumptions!$A$3:$N$14,4,FALSE))+(H51*VLOOKUP($A80,Assumptions!$A$17:$N$29,4,FALSE))/1000</f>
        <v>1077.031829</v>
      </c>
      <c r="I80" s="203">
        <f>(I22*VLOOKUP($A80,Assumptions!$A$3:$N$14,5,FALSE))+(I51*VLOOKUP($A80,Assumptions!$A$17:$N$29,5,FALSE))/1000</f>
        <v>196.69001</v>
      </c>
      <c r="J80" s="203">
        <f>(J22*VLOOKUP($A80,Assumptions!$A$3:$N$14,6,FALSE)+(J51*VLOOKUP($A80,Assumptions!$A$17:$N$29,6,FALSE))/1000)</f>
        <v>196.69001</v>
      </c>
      <c r="K80" s="203">
        <f>(K22*VLOOKUP($A80,Assumptions!$A$3:$N$14,7,FALSE)+(K51*VLOOKUP($A80,Assumptions!$A$17:$N$29,7,FALSE))/1000)</f>
        <v>196.69001</v>
      </c>
      <c r="L80" s="203">
        <f>(L22*VLOOKUP($A80,Assumptions!$A$3:$N$14,8,FALSE)+(L51*VLOOKUP($A80,Assumptions!$A$17:$N$29,8,FALSE))/1000)</f>
        <v>196.69001</v>
      </c>
      <c r="M80" s="203">
        <f>(M22*VLOOKUP($A80,Assumptions!$A$3:$N$14,9,FALSE)+(M51*VLOOKUP($A80,Assumptions!$A$17:$N$29,9,FALSE))/1000)</f>
        <v>196.69001</v>
      </c>
      <c r="N80" s="203">
        <f>(N22*VLOOKUP($A80,Assumptions!$A$3:$N$14,10,FALSE)+(N51*VLOOKUP($A80,Assumptions!$A$17:$N$29,10,FALSE))/1000)</f>
        <v>196.69001</v>
      </c>
      <c r="O80" s="203">
        <f>(O22*VLOOKUP($A80,Assumptions!$A$3:$N$14,11,FALSE)+(O51*VLOOKUP($A80,Assumptions!$A$17:$N$29,11,FALSE))/1000)</f>
        <v>196.69001</v>
      </c>
      <c r="P80" s="203">
        <f>(P22*VLOOKUP($A80,Assumptions!$A$3:$N$14,12,FALSE)+(P51*VLOOKUP($A80,Assumptions!$A$17:$N$29,12,FALSE))/1000)</f>
        <v>196.69001</v>
      </c>
      <c r="Q80" s="203">
        <f>(Q22*VLOOKUP($A80,Assumptions!$A$3:$N$14,13,FALSE)+(Q51*VLOOKUP($A80,Assumptions!$A$17:$N$29,13,FALSE))/1000)</f>
        <v>196.69001</v>
      </c>
      <c r="R80" s="203">
        <f>(R22*VLOOKUP($A80,Assumptions!$A$3:$N$14,14,FALSE)+(R51*VLOOKUP($A80,Assumptions!$A$17:$N$29,14,FALSE))/1000)</f>
        <v>196.69001</v>
      </c>
      <c r="S80" s="199"/>
    </row>
    <row r="81" spans="1:19" ht="14">
      <c r="A81" s="185" t="s">
        <v>66</v>
      </c>
      <c r="B81" s="198" t="s">
        <v>133</v>
      </c>
      <c r="C81" s="231">
        <v>8227.2000000000007</v>
      </c>
      <c r="D81" s="212">
        <v>0</v>
      </c>
      <c r="E81" s="199"/>
      <c r="F81" s="211">
        <v>1</v>
      </c>
      <c r="G81" s="203">
        <f>(G23*VLOOKUP($A81,Assumptions!$A$3:$N$14,3,FALSE))+(G52*VLOOKUP($A81,Assumptions!$A$17:$N$29,3,FALSE))/1000</f>
        <v>432.90277800000001</v>
      </c>
      <c r="H81" s="203">
        <f>(H23*VLOOKUP($A81,Assumptions!$A$3:$N$14,4,FALSE))+(H52*VLOOKUP($A81,Assumptions!$A$17:$N$29,4,FALSE))/1000</f>
        <v>203.29991219999999</v>
      </c>
      <c r="I81" s="203">
        <f>(I23*VLOOKUP($A81,Assumptions!$A$3:$N$14,5,FALSE))+(I52*VLOOKUP($A81,Assumptions!$A$17:$N$29,5,FALSE))/1000</f>
        <v>0</v>
      </c>
      <c r="J81" s="203">
        <f>(J23*VLOOKUP($A81,Assumptions!$A$3:$N$14,6,FALSE)+(J52*VLOOKUP($A81,Assumptions!$A$17:$N$29,6,FALSE))/1000)</f>
        <v>0</v>
      </c>
      <c r="K81" s="203">
        <f>(K23*VLOOKUP($A81,Assumptions!$A$3:$N$14,7,FALSE)+(K52*VLOOKUP($A81,Assumptions!$A$17:$N$29,7,FALSE))/1000)</f>
        <v>0</v>
      </c>
      <c r="L81" s="203">
        <f>(L23*VLOOKUP($A81,Assumptions!$A$3:$N$14,8,FALSE)+(L52*VLOOKUP($A81,Assumptions!$A$17:$N$29,8,FALSE))/1000)</f>
        <v>0</v>
      </c>
      <c r="M81" s="203">
        <f>(M23*VLOOKUP($A81,Assumptions!$A$3:$N$14,9,FALSE)+(M52*VLOOKUP($A81,Assumptions!$A$17:$N$29,9,FALSE))/1000)</f>
        <v>0</v>
      </c>
      <c r="N81" s="203">
        <f>(N23*VLOOKUP($A81,Assumptions!$A$3:$N$14,10,FALSE)+(N52*VLOOKUP($A81,Assumptions!$A$17:$N$29,10,FALSE))/1000)</f>
        <v>0</v>
      </c>
      <c r="O81" s="203">
        <f>(O23*VLOOKUP($A81,Assumptions!$A$3:$N$14,11,FALSE)+(O52*VLOOKUP($A81,Assumptions!$A$17:$N$29,11,FALSE))/1000)</f>
        <v>0</v>
      </c>
      <c r="P81" s="203">
        <f>(P23*VLOOKUP($A81,Assumptions!$A$3:$N$14,12,FALSE)+(P52*VLOOKUP($A81,Assumptions!$A$17:$N$29,12,FALSE))/1000)</f>
        <v>0</v>
      </c>
      <c r="Q81" s="203">
        <f>(Q23*VLOOKUP($A81,Assumptions!$A$3:$N$14,13,FALSE)+(Q52*VLOOKUP($A81,Assumptions!$A$17:$N$29,13,FALSE))/1000)</f>
        <v>0</v>
      </c>
      <c r="R81" s="203">
        <f>(R23*VLOOKUP($A81,Assumptions!$A$3:$N$14,14,FALSE)+(R52*VLOOKUP($A81,Assumptions!$A$17:$N$29,14,FALSE))/1000)</f>
        <v>0</v>
      </c>
      <c r="S81" s="199">
        <f t="shared" si="4"/>
        <v>-1</v>
      </c>
    </row>
    <row r="82" spans="1:19" ht="14">
      <c r="A82" s="185" t="s">
        <v>178</v>
      </c>
      <c r="B82" s="198" t="s">
        <v>140</v>
      </c>
      <c r="C82" s="231">
        <v>20861</v>
      </c>
      <c r="D82" s="212">
        <v>1</v>
      </c>
      <c r="E82" s="199"/>
      <c r="F82" s="211">
        <v>0</v>
      </c>
      <c r="G82" s="203">
        <f>(G24*VLOOKUP($A82,Assumptions!$A$3:$N$14,3,FALSE))+(G53*VLOOKUP($A82,Assumptions!$A$17:$N$29,3,FALSE))/1000</f>
        <v>1132.7343685300002</v>
      </c>
      <c r="H82" s="203">
        <f>(H24*VLOOKUP($A82,Assumptions!$A$3:$N$14,4,FALSE))+(H53*VLOOKUP($A82,Assumptions!$A$17:$N$29,4,FALSE))/1000</f>
        <v>254.29544852999999</v>
      </c>
      <c r="I82" s="203">
        <f>(I24*VLOOKUP($A82,Assumptions!$A$3:$N$14,5,FALSE))+(I53*VLOOKUP($A82,Assumptions!$A$17:$N$29,5,FALSE))/1000</f>
        <v>254.29544852999999</v>
      </c>
      <c r="J82" s="203">
        <f>(J24*VLOOKUP($A82,Assumptions!$A$3:$N$14,6,FALSE)+(J53*VLOOKUP($A82,Assumptions!$A$17:$N$29,6,FALSE))/1000)</f>
        <v>254.29544852999999</v>
      </c>
      <c r="K82" s="203">
        <f>(K24*VLOOKUP($A82,Assumptions!$A$3:$N$14,7,FALSE)+(K53*VLOOKUP($A82,Assumptions!$A$17:$N$29,7,FALSE))/1000)</f>
        <v>254.29544852999999</v>
      </c>
      <c r="L82" s="203">
        <f>(L24*VLOOKUP($A82,Assumptions!$A$3:$N$14,8,FALSE)+(L53*VLOOKUP($A82,Assumptions!$A$17:$N$29,8,FALSE))/1000)</f>
        <v>254.29544852999999</v>
      </c>
      <c r="M82" s="203">
        <f>(M24*VLOOKUP($A82,Assumptions!$A$3:$N$14,9,FALSE)+(M53*VLOOKUP($A82,Assumptions!$A$17:$N$29,9,FALSE))/1000)</f>
        <v>254.29544852999999</v>
      </c>
      <c r="N82" s="203">
        <f>(N24*VLOOKUP($A82,Assumptions!$A$3:$N$14,10,FALSE)+(N53*VLOOKUP($A82,Assumptions!$A$17:$N$29,10,FALSE))/1000)</f>
        <v>254.29544852999999</v>
      </c>
      <c r="O82" s="203">
        <f>(O24*VLOOKUP($A82,Assumptions!$A$3:$N$14,11,FALSE)+(O53*VLOOKUP($A82,Assumptions!$A$17:$N$29,11,FALSE))/1000)</f>
        <v>254.29544852999999</v>
      </c>
      <c r="P82" s="203">
        <f>(P24*VLOOKUP($A82,Assumptions!$A$3:$N$14,12,FALSE)+(P53*VLOOKUP($A82,Assumptions!$A$17:$N$29,12,FALSE))/1000)</f>
        <v>254.29544852999999</v>
      </c>
      <c r="Q82" s="203">
        <f>(Q24*VLOOKUP($A82,Assumptions!$A$3:$N$14,13,FALSE)+(Q53*VLOOKUP($A82,Assumptions!$A$17:$N$29,13,FALSE))/1000)</f>
        <v>254.29544852999999</v>
      </c>
      <c r="R82" s="203">
        <f>(R24*VLOOKUP($A82,Assumptions!$A$3:$N$14,14,FALSE)+(R53*VLOOKUP($A82,Assumptions!$A$17:$N$29,14,FALSE))/1000)</f>
        <v>254.29544852999999</v>
      </c>
      <c r="S82" s="199">
        <f t="shared" si="4"/>
        <v>-0.77550301677522993</v>
      </c>
    </row>
    <row r="83" spans="1:19" ht="14">
      <c r="A83" s="185" t="s">
        <v>37</v>
      </c>
      <c r="B83" s="182" t="s">
        <v>166</v>
      </c>
      <c r="C83" s="231">
        <v>15723.1</v>
      </c>
      <c r="D83" s="212">
        <v>0</v>
      </c>
      <c r="E83" s="199"/>
      <c r="F83" s="211">
        <v>1</v>
      </c>
      <c r="G83" s="203">
        <f>(G25*VLOOKUP($A83,Assumptions!$A$3:$N$14,3,FALSE))+(G54*VLOOKUP($A83,Assumptions!$A$17:$N$29,3,FALSE))/1000</f>
        <v>802.30777023000007</v>
      </c>
      <c r="H83" s="203">
        <f>(H25*VLOOKUP($A83,Assumptions!$A$3:$N$14,4,FALSE))+(H54*VLOOKUP($A83,Assumptions!$A$17:$N$29,4,FALSE))/1000</f>
        <v>316.69111793000002</v>
      </c>
      <c r="I83" s="203">
        <f>(I25*VLOOKUP($A83,Assumptions!$A$3:$N$14,5,FALSE))+(I54*VLOOKUP($A83,Assumptions!$A$17:$N$29,5,FALSE))/1000</f>
        <v>81.298417229999998</v>
      </c>
      <c r="J83" s="203">
        <f>(J25*VLOOKUP($A83,Assumptions!$A$3:$N$14,6,FALSE)+(J54*VLOOKUP($A83,Assumptions!$A$17:$N$29,6,FALSE))/1000)</f>
        <v>67.478071229999998</v>
      </c>
      <c r="K83" s="203">
        <f>(K25*VLOOKUP($A83,Assumptions!$A$3:$N$14,7,FALSE)+(K54*VLOOKUP($A83,Assumptions!$A$17:$N$29,7,FALSE))/1000)</f>
        <v>50.20521523</v>
      </c>
      <c r="L83" s="203">
        <f>(L25*VLOOKUP($A83,Assumptions!$A$3:$N$14,8,FALSE)+(L54*VLOOKUP($A83,Assumptions!$A$17:$N$29,8,FALSE))/1000)</f>
        <v>50.20521523</v>
      </c>
      <c r="M83" s="203">
        <f>(M25*VLOOKUP($A83,Assumptions!$A$3:$N$14,9,FALSE)+(M54*VLOOKUP($A83,Assumptions!$A$17:$N$29,9,FALSE))/1000)</f>
        <v>50.20521523</v>
      </c>
      <c r="N83" s="203">
        <f>(N25*VLOOKUP($A83,Assumptions!$A$3:$N$14,10,FALSE)+(N54*VLOOKUP($A83,Assumptions!$A$17:$N$29,10,FALSE))/1000)</f>
        <v>50.20521523</v>
      </c>
      <c r="O83" s="203">
        <f>(O25*VLOOKUP($A83,Assumptions!$A$3:$N$14,11,FALSE)+(O54*VLOOKUP($A83,Assumptions!$A$17:$N$29,11,FALSE))/1000)</f>
        <v>48.478960229999998</v>
      </c>
      <c r="P83" s="203">
        <f>(P25*VLOOKUP($A83,Assumptions!$A$3:$N$14,12,FALSE)+(P54*VLOOKUP($A83,Assumptions!$A$17:$N$29,12,FALSE))/1000)</f>
        <v>48.478960229999998</v>
      </c>
      <c r="Q83" s="203">
        <f>(Q25*VLOOKUP($A83,Assumptions!$A$3:$N$14,13,FALSE)+(Q54*VLOOKUP($A83,Assumptions!$A$17:$N$29,13,FALSE))/1000)</f>
        <v>48.478960229999998</v>
      </c>
      <c r="R83" s="203">
        <f>(R25*VLOOKUP($A83,Assumptions!$A$3:$N$14,14,FALSE)+(R54*VLOOKUP($A83,Assumptions!$A$17:$N$29,14,FALSE))/1000)</f>
        <v>48.478960229999998</v>
      </c>
      <c r="S83" s="199">
        <f t="shared" si="4"/>
        <v>-0.9395756067324359</v>
      </c>
    </row>
    <row r="84" spans="1:19" ht="14.5" thickBot="1">
      <c r="A84" s="185" t="s">
        <v>66</v>
      </c>
      <c r="B84" s="182" t="s">
        <v>67</v>
      </c>
      <c r="C84" s="231">
        <v>12837.7</v>
      </c>
      <c r="D84" s="211">
        <v>0</v>
      </c>
      <c r="E84" s="199"/>
      <c r="F84" s="211">
        <v>1</v>
      </c>
      <c r="G84" s="203">
        <f>(G26*VLOOKUP($A84,Assumptions!$A$3:$N$14,3,FALSE))+(G55*VLOOKUP($A84,Assumptions!$A$17:$N$29,3,FALSE))/1000</f>
        <v>924.17026043999999</v>
      </c>
      <c r="H84" s="203">
        <f>(H26*VLOOKUP($A84,Assumptions!$A$3:$N$14,4,FALSE))+(H55*VLOOKUP($A84,Assumptions!$A$17:$N$29,4,FALSE))/1000</f>
        <v>513.07469543999991</v>
      </c>
      <c r="I84" s="203">
        <f>(I26*VLOOKUP($A84,Assumptions!$A$3:$N$14,5,FALSE))+(I55*VLOOKUP($A84,Assumptions!$A$17:$N$29,5,FALSE))/1000</f>
        <v>149.07361043999998</v>
      </c>
      <c r="J84" s="203">
        <f>(J26*VLOOKUP($A84,Assumptions!$A$3:$N$14,6,FALSE)+(J55*VLOOKUP($A84,Assumptions!$A$17:$N$29,6,FALSE))/1000)</f>
        <v>149.07361043999998</v>
      </c>
      <c r="K84" s="203">
        <f>(K26*VLOOKUP($A84,Assumptions!$A$3:$N$14,7,FALSE)+(K55*VLOOKUP($A84,Assumptions!$A$17:$N$29,7,FALSE))/1000)</f>
        <v>143.89865866</v>
      </c>
      <c r="L84" s="203">
        <f>(L26*VLOOKUP($A84,Assumptions!$A$3:$N$14,8,FALSE)+(L55*VLOOKUP($A84,Assumptions!$A$17:$N$29,8,FALSE))/1000)</f>
        <v>143.89865866</v>
      </c>
      <c r="M84" s="203">
        <f>(M26*VLOOKUP($A84,Assumptions!$A$3:$N$14,9,FALSE)+(M55*VLOOKUP($A84,Assumptions!$A$17:$N$29,9,FALSE))/1000)</f>
        <v>143.89865866</v>
      </c>
      <c r="N84" s="203">
        <f>(N26*VLOOKUP($A84,Assumptions!$A$3:$N$14,10,FALSE)+(N55*VLOOKUP($A84,Assumptions!$A$17:$N$29,10,FALSE))/1000)</f>
        <v>143.89865866</v>
      </c>
      <c r="O84" s="203">
        <f>(O26*VLOOKUP($A84,Assumptions!$A$3:$N$14,11,FALSE)+(O55*VLOOKUP($A84,Assumptions!$A$17:$N$29,11,FALSE))/1000)</f>
        <v>143.89865866</v>
      </c>
      <c r="P84" s="203">
        <f>(P26*VLOOKUP($A84,Assumptions!$A$3:$N$14,12,FALSE)+(P55*VLOOKUP($A84,Assumptions!$A$17:$N$29,12,FALSE))/1000)</f>
        <v>90.975338989999997</v>
      </c>
      <c r="Q84" s="203">
        <f>(Q26*VLOOKUP($A84,Assumptions!$A$3:$N$14,13,FALSE)+(Q55*VLOOKUP($A84,Assumptions!$A$17:$N$29,13,FALSE))/1000)</f>
        <v>90.975338989999997</v>
      </c>
      <c r="R84" s="203">
        <f>(R26*VLOOKUP($A84,Assumptions!$A$3:$N$14,14,FALSE)+(R55*VLOOKUP($A84,Assumptions!$A$17:$N$29,14,FALSE))/1000)</f>
        <v>90.975338989999997</v>
      </c>
      <c r="S84" s="199">
        <f t="shared" si="4"/>
        <v>-0.90155997992546699</v>
      </c>
    </row>
    <row r="85" spans="1:19" ht="13" thickTop="1">
      <c r="G85" s="201">
        <f>SUBTOTAL(9,G62:G84)</f>
        <v>30649.623131527998</v>
      </c>
      <c r="H85" s="201">
        <f>SUBTOTAL(9,H62:H84)</f>
        <v>8215.2207998713984</v>
      </c>
      <c r="I85" s="201">
        <f>SUBTOTAL(9,I62:I84)</f>
        <v>2638.6137152214001</v>
      </c>
      <c r="J85" s="201">
        <f t="shared" ref="J85:R85" si="5">SUBTOTAL(9,J62:J84)</f>
        <v>2579.1171274339604</v>
      </c>
      <c r="K85" s="201">
        <f t="shared" si="5"/>
        <v>2531.5226796539605</v>
      </c>
      <c r="L85" s="201">
        <f t="shared" si="5"/>
        <v>2474.6847537032236</v>
      </c>
      <c r="M85" s="201">
        <f t="shared" si="5"/>
        <v>2355.8791312314847</v>
      </c>
      <c r="N85" s="201">
        <f t="shared" si="5"/>
        <v>2150.5320812314849</v>
      </c>
      <c r="O85" s="201">
        <f t="shared" si="5"/>
        <v>2019.26305731039</v>
      </c>
      <c r="P85" s="201">
        <f t="shared" si="5"/>
        <v>1943.15123764039</v>
      </c>
      <c r="Q85" s="201">
        <f t="shared" si="5"/>
        <v>1885.0769276403901</v>
      </c>
      <c r="R85" s="201">
        <f t="shared" si="5"/>
        <v>1855.3611283489247</v>
      </c>
      <c r="S85" s="202">
        <f t="shared" si="4"/>
        <v>-0.93946545050857766</v>
      </c>
    </row>
    <row r="86" spans="1:19">
      <c r="E86" s="238"/>
      <c r="F86" s="237"/>
    </row>
    <row r="87" spans="1:19" ht="13" thickBot="1">
      <c r="F87" s="238" t="s">
        <v>210</v>
      </c>
      <c r="G87" s="240"/>
      <c r="H87" s="241">
        <f>H145*Assumptions!D35</f>
        <v>158316.82291328401</v>
      </c>
      <c r="I87" s="241">
        <f>I85*Assumptions!E35</f>
        <v>158316.82291328401</v>
      </c>
      <c r="J87" s="241">
        <f>J85*Assumptions!F35</f>
        <v>154747.02764603763</v>
      </c>
      <c r="K87" s="241">
        <f>K85*Assumptions!G35</f>
        <v>151891.36077923764</v>
      </c>
      <c r="L87" s="241">
        <f>L85*Assumptions!H35</f>
        <v>148481.08522219342</v>
      </c>
      <c r="M87" s="241">
        <f>M85*Assumptions!I35</f>
        <v>141352.74787388908</v>
      </c>
      <c r="N87" s="241">
        <f>N85*Assumptions!J35</f>
        <v>129031.92487388909</v>
      </c>
      <c r="O87" s="241">
        <f>O85*Assumptions!K35</f>
        <v>121155.7834386234</v>
      </c>
      <c r="P87" s="241">
        <f>P85*Assumptions!L35</f>
        <v>116589.0742584234</v>
      </c>
      <c r="Q87" s="241">
        <f>Q85*Assumptions!M35</f>
        <v>113104.6156584234</v>
      </c>
      <c r="R87" s="241">
        <f>R85*Assumptions!N35</f>
        <v>111321.66770093548</v>
      </c>
    </row>
    <row r="88" spans="1:19" ht="13" thickTop="1"/>
    <row r="90" spans="1:19" ht="18" thickBot="1">
      <c r="A90" s="196" t="s">
        <v>211</v>
      </c>
    </row>
    <row r="91" spans="1:19" ht="15" thickTop="1" thickBot="1">
      <c r="A91" s="184" t="s">
        <v>6</v>
      </c>
      <c r="B91" s="184" t="s">
        <v>7</v>
      </c>
      <c r="C91" s="184" t="s">
        <v>9</v>
      </c>
      <c r="D91" s="184" t="s">
        <v>10</v>
      </c>
      <c r="E91" s="184" t="s">
        <v>11</v>
      </c>
      <c r="F91" s="184" t="s">
        <v>12</v>
      </c>
      <c r="G91" s="184" t="s">
        <v>188</v>
      </c>
      <c r="H91" s="184" t="s">
        <v>189</v>
      </c>
      <c r="I91" s="184" t="s">
        <v>190</v>
      </c>
      <c r="J91" s="184" t="s">
        <v>191</v>
      </c>
      <c r="K91" s="184" t="s">
        <v>192</v>
      </c>
      <c r="L91" s="184" t="s">
        <v>193</v>
      </c>
      <c r="M91" s="184" t="s">
        <v>194</v>
      </c>
      <c r="N91" s="184" t="s">
        <v>195</v>
      </c>
      <c r="O91" s="184" t="s">
        <v>196</v>
      </c>
      <c r="P91" s="184" t="s">
        <v>197</v>
      </c>
      <c r="Q91" s="184" t="s">
        <v>198</v>
      </c>
      <c r="R91" s="184" t="s">
        <v>199</v>
      </c>
      <c r="S91" s="200" t="s">
        <v>200</v>
      </c>
    </row>
    <row r="92" spans="1:19" ht="14.5" thickTop="1">
      <c r="A92" s="185" t="s">
        <v>30</v>
      </c>
      <c r="B92" s="198" t="s">
        <v>31</v>
      </c>
      <c r="C92" s="228">
        <v>29166</v>
      </c>
      <c r="D92" s="211">
        <v>1</v>
      </c>
      <c r="E92" s="199"/>
      <c r="F92" s="211">
        <v>1</v>
      </c>
      <c r="G92" s="203">
        <f>G4*VLOOKUP($A92,Assumptions!$A$3:$N$14,3,FALSE)</f>
        <v>1441.5998999999999</v>
      </c>
      <c r="H92" s="203">
        <f>H4*VLOOKUP($A92,Assumptions!$A$3:$N$14,4,FALSE)</f>
        <v>0</v>
      </c>
      <c r="I92" s="203">
        <f>I4*VLOOKUP($A92,Assumptions!$A$3:$N$14,5,FALSE)</f>
        <v>0</v>
      </c>
      <c r="J92" s="203">
        <f>J4*VLOOKUP($A92,Assumptions!$A$3:$N$14,6,FALSE)</f>
        <v>0</v>
      </c>
      <c r="K92" s="203">
        <f>K4*VLOOKUP($A92,Assumptions!$A$3:$N$14,7,FALSE)</f>
        <v>0</v>
      </c>
      <c r="L92" s="203">
        <f>L4*VLOOKUP($A92,Assumptions!$A$3:$N$14,8,FALSE)</f>
        <v>0</v>
      </c>
      <c r="M92" s="203">
        <f>M4*VLOOKUP($A92,Assumptions!$A$3:$N$14,9,FALSE)</f>
        <v>0</v>
      </c>
      <c r="N92" s="203">
        <f>N4*VLOOKUP($A92,Assumptions!$A$3:$N$14,10,FALSE)</f>
        <v>0</v>
      </c>
      <c r="O92" s="203">
        <f>O4*VLOOKUP($A92,Assumptions!$A$3:$N$14,11,FALSE)</f>
        <v>0</v>
      </c>
      <c r="P92" s="203">
        <f>P4*VLOOKUP($A92,Assumptions!$A$3:$N$14,12,FALSE)</f>
        <v>0</v>
      </c>
      <c r="Q92" s="203">
        <f>Q4*VLOOKUP($A92,Assumptions!$A$3:$N$14,13,FALSE)</f>
        <v>0</v>
      </c>
      <c r="R92" s="203">
        <f>R4*VLOOKUP($A92,Assumptions!$A$3:$N$14,14,FALSE)</f>
        <v>0</v>
      </c>
    </row>
    <row r="93" spans="1:19" ht="14">
      <c r="A93" s="185" t="s">
        <v>37</v>
      </c>
      <c r="B93" s="182" t="s">
        <v>38</v>
      </c>
      <c r="C93" s="228">
        <v>62987</v>
      </c>
      <c r="D93" s="211">
        <v>0.5</v>
      </c>
      <c r="E93" s="199"/>
      <c r="F93" s="211">
        <v>1</v>
      </c>
      <c r="G93" s="203">
        <f>G5*VLOOKUP($A93,Assumptions!$A$3:$N$14,3,FALSE)</f>
        <v>3260.6906800000002</v>
      </c>
      <c r="H93" s="203">
        <f>H5*VLOOKUP($A93,Assumptions!$A$3:$N$14,4,FALSE)</f>
        <v>1564.7771034999998</v>
      </c>
      <c r="I93" s="203">
        <f>I5*VLOOKUP($A93,Assumptions!$A$3:$N$14,5,FALSE)</f>
        <v>0</v>
      </c>
      <c r="J93" s="203">
        <f>J5*VLOOKUP($A93,Assumptions!$A$3:$N$14,6,FALSE)</f>
        <v>0</v>
      </c>
      <c r="K93" s="203">
        <f>K5*VLOOKUP($A93,Assumptions!$A$3:$N$14,7,FALSE)</f>
        <v>0</v>
      </c>
      <c r="L93" s="203">
        <f>L5*VLOOKUP($A93,Assumptions!$A$3:$N$14,8,FALSE)</f>
        <v>0</v>
      </c>
      <c r="M93" s="203">
        <f>M5*VLOOKUP($A93,Assumptions!$A$3:$N$14,9,FALSE)</f>
        <v>0</v>
      </c>
      <c r="N93" s="203">
        <f>N5*VLOOKUP($A93,Assumptions!$A$3:$N$14,10,FALSE)</f>
        <v>0</v>
      </c>
      <c r="O93" s="203">
        <f>O5*VLOOKUP($A93,Assumptions!$A$3:$N$14,11,FALSE)</f>
        <v>0</v>
      </c>
      <c r="P93" s="203">
        <f>P5*VLOOKUP($A93,Assumptions!$A$3:$N$14,12,FALSE)</f>
        <v>0</v>
      </c>
      <c r="Q93" s="203">
        <f>Q5*VLOOKUP($A93,Assumptions!$A$3:$N$14,13,FALSE)</f>
        <v>0</v>
      </c>
      <c r="R93" s="203">
        <f>R5*VLOOKUP($A93,Assumptions!$A$3:$N$14,14,FALSE)</f>
        <v>0</v>
      </c>
    </row>
    <row r="94" spans="1:19" ht="14">
      <c r="A94" s="185" t="s">
        <v>30</v>
      </c>
      <c r="B94" s="182" t="s">
        <v>42</v>
      </c>
      <c r="C94" s="231">
        <v>42132</v>
      </c>
      <c r="D94" s="211">
        <v>0.5</v>
      </c>
      <c r="E94" s="199">
        <v>0.25</v>
      </c>
      <c r="F94" s="211">
        <v>1</v>
      </c>
      <c r="G94" s="203">
        <f>G6*VLOOKUP($A94,Assumptions!$A$3:$N$14,3,FALSE)</f>
        <v>2225.4134100000001</v>
      </c>
      <c r="H94" s="203">
        <f>H6*VLOOKUP($A94,Assumptions!$A$3:$N$14,4,FALSE)</f>
        <v>0</v>
      </c>
      <c r="I94" s="203">
        <f>I6*VLOOKUP($A94,Assumptions!$A$3:$N$14,5,FALSE)</f>
        <v>0</v>
      </c>
      <c r="J94" s="203">
        <f>J6*VLOOKUP($A94,Assumptions!$A$3:$N$14,6,FALSE)</f>
        <v>0</v>
      </c>
      <c r="K94" s="203">
        <f>K6*VLOOKUP($A94,Assumptions!$A$3:$N$14,7,FALSE)</f>
        <v>0</v>
      </c>
      <c r="L94" s="203">
        <f>L6*VLOOKUP($A94,Assumptions!$A$3:$N$14,8,FALSE)</f>
        <v>0</v>
      </c>
      <c r="M94" s="203">
        <f>M6*VLOOKUP($A94,Assumptions!$A$3:$N$14,9,FALSE)</f>
        <v>0</v>
      </c>
      <c r="N94" s="203">
        <f>N6*VLOOKUP($A94,Assumptions!$A$3:$N$14,10,FALSE)</f>
        <v>0</v>
      </c>
      <c r="O94" s="203">
        <f>O6*VLOOKUP($A94,Assumptions!$A$3:$N$14,11,FALSE)</f>
        <v>0</v>
      </c>
      <c r="P94" s="203">
        <f>P6*VLOOKUP($A94,Assumptions!$A$3:$N$14,12,FALSE)</f>
        <v>0</v>
      </c>
      <c r="Q94" s="203">
        <f>Q6*VLOOKUP($A94,Assumptions!$A$3:$N$14,13,FALSE)</f>
        <v>0</v>
      </c>
      <c r="R94" s="203">
        <f>R6*VLOOKUP($A94,Assumptions!$A$3:$N$14,14,FALSE)</f>
        <v>0</v>
      </c>
    </row>
    <row r="95" spans="1:19" ht="14">
      <c r="A95" s="185" t="s">
        <v>30</v>
      </c>
      <c r="B95" s="182" t="s">
        <v>43</v>
      </c>
      <c r="C95" s="231">
        <v>12509</v>
      </c>
      <c r="D95" s="211">
        <v>1</v>
      </c>
      <c r="E95" s="199"/>
      <c r="F95" s="211">
        <v>1</v>
      </c>
      <c r="G95" s="203">
        <f>G7*VLOOKUP($A95,Assumptions!$A$3:$N$14,3,FALSE)</f>
        <v>479.72908000000001</v>
      </c>
      <c r="H95" s="203">
        <f>H7*VLOOKUP($A95,Assumptions!$A$3:$N$14,4,FALSE)</f>
        <v>0</v>
      </c>
      <c r="I95" s="203">
        <f>I7*VLOOKUP($A95,Assumptions!$A$3:$N$14,5,FALSE)</f>
        <v>0</v>
      </c>
      <c r="J95" s="203">
        <f>J7*VLOOKUP($A95,Assumptions!$A$3:$N$14,6,FALSE)</f>
        <v>0</v>
      </c>
      <c r="K95" s="203">
        <f>K7*VLOOKUP($A95,Assumptions!$A$3:$N$14,7,FALSE)</f>
        <v>0</v>
      </c>
      <c r="L95" s="203">
        <f>L7*VLOOKUP($A95,Assumptions!$A$3:$N$14,8,FALSE)</f>
        <v>0</v>
      </c>
      <c r="M95" s="203">
        <f>M7*VLOOKUP($A95,Assumptions!$A$3:$N$14,9,FALSE)</f>
        <v>0</v>
      </c>
      <c r="N95" s="203">
        <f>N7*VLOOKUP($A95,Assumptions!$A$3:$N$14,10,FALSE)</f>
        <v>0</v>
      </c>
      <c r="O95" s="203">
        <f>O7*VLOOKUP($A95,Assumptions!$A$3:$N$14,11,FALSE)</f>
        <v>0</v>
      </c>
      <c r="P95" s="203">
        <f>P7*VLOOKUP($A95,Assumptions!$A$3:$N$14,12,FALSE)</f>
        <v>0</v>
      </c>
      <c r="Q95" s="203">
        <f>Q7*VLOOKUP($A95,Assumptions!$A$3:$N$14,13,FALSE)</f>
        <v>0</v>
      </c>
      <c r="R95" s="203">
        <f>R7*VLOOKUP($A95,Assumptions!$A$3:$N$14,14,FALSE)</f>
        <v>0</v>
      </c>
    </row>
    <row r="96" spans="1:19" ht="14">
      <c r="A96" s="185" t="s">
        <v>30</v>
      </c>
      <c r="B96" s="182" t="s">
        <v>46</v>
      </c>
      <c r="C96" s="231">
        <v>27263</v>
      </c>
      <c r="D96" s="211">
        <v>1</v>
      </c>
      <c r="E96" s="199"/>
      <c r="F96" s="211">
        <v>1</v>
      </c>
      <c r="G96" s="203">
        <f>G8*VLOOKUP($A96,Assumptions!$A$3:$N$14,3,FALSE)</f>
        <v>1118.3184700000002</v>
      </c>
      <c r="H96" s="203">
        <f>H8*VLOOKUP($A96,Assumptions!$A$3:$N$14,4,FALSE)</f>
        <v>0</v>
      </c>
      <c r="I96" s="203">
        <f>I8*VLOOKUP($A96,Assumptions!$A$3:$N$14,5,FALSE)</f>
        <v>0</v>
      </c>
      <c r="J96" s="203">
        <f>J8*VLOOKUP($A96,Assumptions!$A$3:$N$14,6,FALSE)</f>
        <v>0</v>
      </c>
      <c r="K96" s="203">
        <f>K8*VLOOKUP($A96,Assumptions!$A$3:$N$14,7,FALSE)</f>
        <v>0</v>
      </c>
      <c r="L96" s="203">
        <f>L8*VLOOKUP($A96,Assumptions!$A$3:$N$14,8,FALSE)</f>
        <v>0</v>
      </c>
      <c r="M96" s="203">
        <f>M8*VLOOKUP($A96,Assumptions!$A$3:$N$14,9,FALSE)</f>
        <v>0</v>
      </c>
      <c r="N96" s="203">
        <f>N8*VLOOKUP($A96,Assumptions!$A$3:$N$14,10,FALSE)</f>
        <v>0</v>
      </c>
      <c r="O96" s="203">
        <f>O8*VLOOKUP($A96,Assumptions!$A$3:$N$14,11,FALSE)</f>
        <v>0</v>
      </c>
      <c r="P96" s="203">
        <f>P8*VLOOKUP($A96,Assumptions!$A$3:$N$14,12,FALSE)</f>
        <v>0</v>
      </c>
      <c r="Q96" s="203">
        <f>Q8*VLOOKUP($A96,Assumptions!$A$3:$N$14,13,FALSE)</f>
        <v>0</v>
      </c>
      <c r="R96" s="203">
        <f>R8*VLOOKUP($A96,Assumptions!$A$3:$N$14,14,FALSE)</f>
        <v>0</v>
      </c>
    </row>
    <row r="97" spans="1:18" ht="14">
      <c r="A97" s="185" t="s">
        <v>30</v>
      </c>
      <c r="B97" s="182" t="s">
        <v>47</v>
      </c>
      <c r="C97" s="231">
        <v>39057</v>
      </c>
      <c r="D97" s="211">
        <v>1</v>
      </c>
      <c r="E97" s="199"/>
      <c r="F97" s="211">
        <v>1</v>
      </c>
      <c r="G97" s="203">
        <f>G9*VLOOKUP($A97,Assumptions!$A$3:$N$14,3,FALSE)</f>
        <v>1202.15248</v>
      </c>
      <c r="H97" s="203">
        <f>H9*VLOOKUP($A97,Assumptions!$A$3:$N$14,4,FALSE)</f>
        <v>0</v>
      </c>
      <c r="I97" s="203">
        <f>I9*VLOOKUP($A97,Assumptions!$A$3:$N$14,5,FALSE)</f>
        <v>0</v>
      </c>
      <c r="J97" s="203">
        <f>J9*VLOOKUP($A97,Assumptions!$A$3:$N$14,6,FALSE)</f>
        <v>0</v>
      </c>
      <c r="K97" s="203">
        <f>K9*VLOOKUP($A97,Assumptions!$A$3:$N$14,7,FALSE)</f>
        <v>0</v>
      </c>
      <c r="L97" s="203">
        <f>L9*VLOOKUP($A97,Assumptions!$A$3:$N$14,8,FALSE)</f>
        <v>0</v>
      </c>
      <c r="M97" s="203">
        <f>M9*VLOOKUP($A97,Assumptions!$A$3:$N$14,9,FALSE)</f>
        <v>0</v>
      </c>
      <c r="N97" s="203">
        <f>N9*VLOOKUP($A97,Assumptions!$A$3:$N$14,10,FALSE)</f>
        <v>0</v>
      </c>
      <c r="O97" s="203">
        <f>O9*VLOOKUP($A97,Assumptions!$A$3:$N$14,11,FALSE)</f>
        <v>0</v>
      </c>
      <c r="P97" s="203">
        <f>P9*VLOOKUP($A97,Assumptions!$A$3:$N$14,12,FALSE)</f>
        <v>0</v>
      </c>
      <c r="Q97" s="203">
        <f>Q9*VLOOKUP($A97,Assumptions!$A$3:$N$14,13,FALSE)</f>
        <v>0</v>
      </c>
      <c r="R97" s="203">
        <f>R9*VLOOKUP($A97,Assumptions!$A$3:$N$14,14,FALSE)</f>
        <v>0</v>
      </c>
    </row>
    <row r="98" spans="1:18" ht="14">
      <c r="A98" s="185" t="s">
        <v>48</v>
      </c>
      <c r="B98" s="182" t="s">
        <v>49</v>
      </c>
      <c r="C98" s="231">
        <v>24754</v>
      </c>
      <c r="D98" s="211">
        <v>1</v>
      </c>
      <c r="E98" s="199"/>
      <c r="F98" s="211">
        <v>1</v>
      </c>
      <c r="G98" s="203">
        <f>G10*VLOOKUP($A98,Assumptions!$A$3:$N$14,3,FALSE)</f>
        <v>1653.6150399999999</v>
      </c>
      <c r="H98" s="203">
        <f>H10*VLOOKUP($A98,Assumptions!$A$3:$N$14,4,FALSE)</f>
        <v>826.80751999999995</v>
      </c>
      <c r="I98" s="203">
        <f>I10*VLOOKUP($A98,Assumptions!$A$3:$N$14,5,FALSE)</f>
        <v>0</v>
      </c>
      <c r="J98" s="203">
        <f>J10*VLOOKUP($A98,Assumptions!$A$3:$N$14,6,FALSE)</f>
        <v>0</v>
      </c>
      <c r="K98" s="203">
        <f>K10*VLOOKUP($A98,Assumptions!$A$3:$N$14,7,FALSE)</f>
        <v>0</v>
      </c>
      <c r="L98" s="203">
        <f>L10*VLOOKUP($A98,Assumptions!$A$3:$N$14,8,FALSE)</f>
        <v>0</v>
      </c>
      <c r="M98" s="203">
        <f>M10*VLOOKUP($A98,Assumptions!$A$3:$N$14,9,FALSE)</f>
        <v>0</v>
      </c>
      <c r="N98" s="203">
        <f>N10*VLOOKUP($A98,Assumptions!$A$3:$N$14,10,FALSE)</f>
        <v>0</v>
      </c>
      <c r="O98" s="203">
        <f>O10*VLOOKUP($A98,Assumptions!$A$3:$N$14,11,FALSE)</f>
        <v>0</v>
      </c>
      <c r="P98" s="203">
        <f>P10*VLOOKUP($A98,Assumptions!$A$3:$N$14,12,FALSE)</f>
        <v>0</v>
      </c>
      <c r="Q98" s="203">
        <f>Q10*VLOOKUP($A98,Assumptions!$A$3:$N$14,13,FALSE)</f>
        <v>0</v>
      </c>
      <c r="R98" s="203">
        <f>R10*VLOOKUP($A98,Assumptions!$A$3:$N$14,14,FALSE)</f>
        <v>0</v>
      </c>
    </row>
    <row r="99" spans="1:18" ht="14">
      <c r="A99" s="185" t="s">
        <v>30</v>
      </c>
      <c r="B99" s="182" t="s">
        <v>92</v>
      </c>
      <c r="C99" s="231">
        <v>26819</v>
      </c>
      <c r="D99" s="212">
        <v>0</v>
      </c>
      <c r="E99" s="199">
        <v>1</v>
      </c>
      <c r="F99" s="211">
        <v>1</v>
      </c>
      <c r="G99" s="203">
        <f>G11*VLOOKUP($A99,Assumptions!$A$3:$N$14,3,FALSE)</f>
        <v>1172.2051600000002</v>
      </c>
      <c r="H99" s="203">
        <f>H11*VLOOKUP($A99,Assumptions!$A$3:$N$14,4,FALSE)</f>
        <v>0</v>
      </c>
      <c r="I99" s="203">
        <f>I11*VLOOKUP($A99,Assumptions!$A$3:$N$14,5,FALSE)</f>
        <v>0</v>
      </c>
      <c r="J99" s="203">
        <f>J11*VLOOKUP($A99,Assumptions!$A$3:$N$14,6,FALSE)</f>
        <v>0</v>
      </c>
      <c r="K99" s="203">
        <f>K11*VLOOKUP($A99,Assumptions!$A$3:$N$14,7,FALSE)</f>
        <v>0</v>
      </c>
      <c r="L99" s="203">
        <f>L11*VLOOKUP($A99,Assumptions!$A$3:$N$14,8,FALSE)</f>
        <v>0</v>
      </c>
      <c r="M99" s="203">
        <f>M11*VLOOKUP($A99,Assumptions!$A$3:$N$14,9,FALSE)</f>
        <v>0</v>
      </c>
      <c r="N99" s="203">
        <f>N11*VLOOKUP($A99,Assumptions!$A$3:$N$14,10,FALSE)</f>
        <v>0</v>
      </c>
      <c r="O99" s="203">
        <f>O11*VLOOKUP($A99,Assumptions!$A$3:$N$14,11,FALSE)</f>
        <v>0</v>
      </c>
      <c r="P99" s="203">
        <f>P11*VLOOKUP($A99,Assumptions!$A$3:$N$14,12,FALSE)</f>
        <v>0</v>
      </c>
      <c r="Q99" s="203">
        <f>Q11*VLOOKUP($A99,Assumptions!$A$3:$N$14,13,FALSE)</f>
        <v>0</v>
      </c>
      <c r="R99" s="203">
        <f>R11*VLOOKUP($A99,Assumptions!$A$3:$N$14,14,FALSE)</f>
        <v>0</v>
      </c>
    </row>
    <row r="100" spans="1:18" ht="14">
      <c r="A100" s="185" t="s">
        <v>30</v>
      </c>
      <c r="B100" s="182" t="s">
        <v>52</v>
      </c>
      <c r="C100" s="231">
        <v>28396</v>
      </c>
      <c r="D100" s="211">
        <v>0.75</v>
      </c>
      <c r="E100" s="199"/>
      <c r="F100" s="211">
        <v>1</v>
      </c>
      <c r="G100" s="203">
        <f>G12*VLOOKUP($A100,Assumptions!$A$3:$N$14,3,FALSE)</f>
        <v>956.69</v>
      </c>
      <c r="H100" s="203">
        <f>H12*VLOOKUP($A100,Assumptions!$A$3:$N$14,4,FALSE)</f>
        <v>0</v>
      </c>
      <c r="I100" s="203">
        <f>I12*VLOOKUP($A100,Assumptions!$A$3:$N$14,5,FALSE)</f>
        <v>0</v>
      </c>
      <c r="J100" s="203">
        <f>J12*VLOOKUP($A100,Assumptions!$A$3:$N$14,6,FALSE)</f>
        <v>0</v>
      </c>
      <c r="K100" s="203">
        <f>K12*VLOOKUP($A100,Assumptions!$A$3:$N$14,7,FALSE)</f>
        <v>0</v>
      </c>
      <c r="L100" s="203">
        <f>L12*VLOOKUP($A100,Assumptions!$A$3:$N$14,8,FALSE)</f>
        <v>0</v>
      </c>
      <c r="M100" s="203">
        <f>M12*VLOOKUP($A100,Assumptions!$A$3:$N$14,9,FALSE)</f>
        <v>0</v>
      </c>
      <c r="N100" s="203">
        <f>N12*VLOOKUP($A100,Assumptions!$A$3:$N$14,10,FALSE)</f>
        <v>0</v>
      </c>
      <c r="O100" s="203">
        <f>O12*VLOOKUP($A100,Assumptions!$A$3:$N$14,11,FALSE)</f>
        <v>0</v>
      </c>
      <c r="P100" s="203">
        <f>P12*VLOOKUP($A100,Assumptions!$A$3:$N$14,12,FALSE)</f>
        <v>0</v>
      </c>
      <c r="Q100" s="203">
        <f>Q12*VLOOKUP($A100,Assumptions!$A$3:$N$14,13,FALSE)</f>
        <v>0</v>
      </c>
      <c r="R100" s="203">
        <f>R12*VLOOKUP($A100,Assumptions!$A$3:$N$14,14,FALSE)</f>
        <v>0</v>
      </c>
    </row>
    <row r="101" spans="1:18" ht="14">
      <c r="A101" s="185" t="s">
        <v>30</v>
      </c>
      <c r="B101" s="182" t="s">
        <v>54</v>
      </c>
      <c r="C101" s="231">
        <v>37558</v>
      </c>
      <c r="D101" s="211">
        <v>0.75</v>
      </c>
      <c r="E101" s="199"/>
      <c r="F101" s="211">
        <v>1</v>
      </c>
      <c r="G101" s="203">
        <f>G13*VLOOKUP($A101,Assumptions!$A$3:$N$14,3,FALSE)</f>
        <v>1351.1701800000001</v>
      </c>
      <c r="H101" s="203">
        <f>H13*VLOOKUP($A101,Assumptions!$A$3:$N$14,4,FALSE)</f>
        <v>0</v>
      </c>
      <c r="I101" s="203">
        <f>I13*VLOOKUP($A101,Assumptions!$A$3:$N$14,5,FALSE)</f>
        <v>0</v>
      </c>
      <c r="J101" s="203">
        <f>J13*VLOOKUP($A101,Assumptions!$A$3:$N$14,6,FALSE)</f>
        <v>0</v>
      </c>
      <c r="K101" s="203">
        <f>K13*VLOOKUP($A101,Assumptions!$A$3:$N$14,7,FALSE)</f>
        <v>0</v>
      </c>
      <c r="L101" s="203">
        <f>L13*VLOOKUP($A101,Assumptions!$A$3:$N$14,8,FALSE)</f>
        <v>0</v>
      </c>
      <c r="M101" s="203">
        <f>M13*VLOOKUP($A101,Assumptions!$A$3:$N$14,9,FALSE)</f>
        <v>0</v>
      </c>
      <c r="N101" s="203">
        <f>N13*VLOOKUP($A101,Assumptions!$A$3:$N$14,10,FALSE)</f>
        <v>0</v>
      </c>
      <c r="O101" s="203">
        <f>O13*VLOOKUP($A101,Assumptions!$A$3:$N$14,11,FALSE)</f>
        <v>0</v>
      </c>
      <c r="P101" s="203">
        <f>P13*VLOOKUP($A101,Assumptions!$A$3:$N$14,12,FALSE)</f>
        <v>0</v>
      </c>
      <c r="Q101" s="203">
        <f>Q13*VLOOKUP($A101,Assumptions!$A$3:$N$14,13,FALSE)</f>
        <v>0</v>
      </c>
      <c r="R101" s="203">
        <f>R13*VLOOKUP($A101,Assumptions!$A$3:$N$14,14,FALSE)</f>
        <v>0</v>
      </c>
    </row>
    <row r="102" spans="1:18" ht="14">
      <c r="A102" s="185" t="s">
        <v>37</v>
      </c>
      <c r="B102" s="182" t="s">
        <v>55</v>
      </c>
      <c r="C102" s="231">
        <v>55051</v>
      </c>
      <c r="D102" s="211">
        <v>0.5</v>
      </c>
      <c r="E102" s="199">
        <v>0.5</v>
      </c>
      <c r="F102" s="211">
        <v>1</v>
      </c>
      <c r="G102" s="203">
        <f>G14*VLOOKUP($A102,Assumptions!$A$3:$N$14,3,FALSE)</f>
        <v>1176.00242</v>
      </c>
      <c r="H102" s="203">
        <f>H14*VLOOKUP($A102,Assumptions!$A$3:$N$14,4,FALSE)</f>
        <v>526.3401852500001</v>
      </c>
      <c r="I102" s="203">
        <f>I14*VLOOKUP($A102,Assumptions!$A$3:$N$14,5,FALSE)</f>
        <v>0</v>
      </c>
      <c r="J102" s="203">
        <f>J14*VLOOKUP($A102,Assumptions!$A$3:$N$14,6,FALSE)</f>
        <v>0</v>
      </c>
      <c r="K102" s="203">
        <f>K14*VLOOKUP($A102,Assumptions!$A$3:$N$14,7,FALSE)</f>
        <v>0</v>
      </c>
      <c r="L102" s="203">
        <f>L14*VLOOKUP($A102,Assumptions!$A$3:$N$14,8,FALSE)</f>
        <v>0</v>
      </c>
      <c r="M102" s="203">
        <f>M14*VLOOKUP($A102,Assumptions!$A$3:$N$14,9,FALSE)</f>
        <v>0</v>
      </c>
      <c r="N102" s="203">
        <f>N14*VLOOKUP($A102,Assumptions!$A$3:$N$14,10,FALSE)</f>
        <v>0</v>
      </c>
      <c r="O102" s="203">
        <f>O14*VLOOKUP($A102,Assumptions!$A$3:$N$14,11,FALSE)</f>
        <v>0</v>
      </c>
      <c r="P102" s="203">
        <f>P14*VLOOKUP($A102,Assumptions!$A$3:$N$14,12,FALSE)</f>
        <v>0</v>
      </c>
      <c r="Q102" s="203">
        <f>Q14*VLOOKUP($A102,Assumptions!$A$3:$N$14,13,FALSE)</f>
        <v>0</v>
      </c>
      <c r="R102" s="203">
        <f>R14*VLOOKUP($A102,Assumptions!$A$3:$N$14,14,FALSE)</f>
        <v>0</v>
      </c>
    </row>
    <row r="103" spans="1:18" ht="14">
      <c r="A103" s="185" t="s">
        <v>30</v>
      </c>
      <c r="B103" s="182" t="s">
        <v>56</v>
      </c>
      <c r="C103" s="231">
        <v>39938</v>
      </c>
      <c r="D103" s="211">
        <v>0.5</v>
      </c>
      <c r="E103" s="199"/>
      <c r="F103" s="211">
        <v>1</v>
      </c>
      <c r="G103" s="203">
        <f>G15*VLOOKUP($A103,Assumptions!$A$3:$N$14,3,FALSE)</f>
        <v>2050.03973</v>
      </c>
      <c r="H103" s="203">
        <f>H15*VLOOKUP($A103,Assumptions!$A$3:$N$14,4,FALSE)</f>
        <v>0</v>
      </c>
      <c r="I103" s="203">
        <f>I15*VLOOKUP($A103,Assumptions!$A$3:$N$14,5,FALSE)</f>
        <v>0</v>
      </c>
      <c r="J103" s="203">
        <f>J15*VLOOKUP($A103,Assumptions!$A$3:$N$14,6,FALSE)</f>
        <v>0</v>
      </c>
      <c r="K103" s="203">
        <f>K15*VLOOKUP($A103,Assumptions!$A$3:$N$14,7,FALSE)</f>
        <v>0</v>
      </c>
      <c r="L103" s="203">
        <f>L15*VLOOKUP($A103,Assumptions!$A$3:$N$14,8,FALSE)</f>
        <v>0</v>
      </c>
      <c r="M103" s="203">
        <f>M15*VLOOKUP($A103,Assumptions!$A$3:$N$14,9,FALSE)</f>
        <v>0</v>
      </c>
      <c r="N103" s="203">
        <f>N15*VLOOKUP($A103,Assumptions!$A$3:$N$14,10,FALSE)</f>
        <v>0</v>
      </c>
      <c r="O103" s="203">
        <f>O15*VLOOKUP($A103,Assumptions!$A$3:$N$14,11,FALSE)</f>
        <v>0</v>
      </c>
      <c r="P103" s="203">
        <f>P15*VLOOKUP($A103,Assumptions!$A$3:$N$14,12,FALSE)</f>
        <v>0</v>
      </c>
      <c r="Q103" s="203">
        <f>Q15*VLOOKUP($A103,Assumptions!$A$3:$N$14,13,FALSE)</f>
        <v>0</v>
      </c>
      <c r="R103" s="203">
        <f>R15*VLOOKUP($A103,Assumptions!$A$3:$N$14,14,FALSE)</f>
        <v>0</v>
      </c>
    </row>
    <row r="104" spans="1:18" ht="14">
      <c r="A104" s="185" t="s">
        <v>30</v>
      </c>
      <c r="B104" s="182" t="s">
        <v>93</v>
      </c>
      <c r="C104" s="231">
        <v>20404</v>
      </c>
      <c r="D104" s="212">
        <v>0</v>
      </c>
      <c r="E104" s="199">
        <v>1</v>
      </c>
      <c r="F104" s="211">
        <v>1</v>
      </c>
      <c r="G104" s="203">
        <f>G16*VLOOKUP($A104,Assumptions!$A$3:$N$14,3,FALSE)</f>
        <v>836.82093000000009</v>
      </c>
      <c r="H104" s="203">
        <f>H16*VLOOKUP($A104,Assumptions!$A$3:$N$14,4,FALSE)</f>
        <v>0</v>
      </c>
      <c r="I104" s="203">
        <f>I16*VLOOKUP($A104,Assumptions!$A$3:$N$14,5,FALSE)</f>
        <v>0</v>
      </c>
      <c r="J104" s="203">
        <f>J16*VLOOKUP($A104,Assumptions!$A$3:$N$14,6,FALSE)</f>
        <v>0</v>
      </c>
      <c r="K104" s="203">
        <f>K16*VLOOKUP($A104,Assumptions!$A$3:$N$14,7,FALSE)</f>
        <v>0</v>
      </c>
      <c r="L104" s="203">
        <f>L16*VLOOKUP($A104,Assumptions!$A$3:$N$14,8,FALSE)</f>
        <v>0</v>
      </c>
      <c r="M104" s="203">
        <f>M16*VLOOKUP($A104,Assumptions!$A$3:$N$14,9,FALSE)</f>
        <v>0</v>
      </c>
      <c r="N104" s="203">
        <f>N16*VLOOKUP($A104,Assumptions!$A$3:$N$14,10,FALSE)</f>
        <v>0</v>
      </c>
      <c r="O104" s="203">
        <f>O16*VLOOKUP($A104,Assumptions!$A$3:$N$14,11,FALSE)</f>
        <v>0</v>
      </c>
      <c r="P104" s="203">
        <f>P16*VLOOKUP($A104,Assumptions!$A$3:$N$14,12,FALSE)</f>
        <v>0</v>
      </c>
      <c r="Q104" s="203">
        <f>Q16*VLOOKUP($A104,Assumptions!$A$3:$N$14,13,FALSE)</f>
        <v>0</v>
      </c>
      <c r="R104" s="203">
        <f>R16*VLOOKUP($A104,Assumptions!$A$3:$N$14,14,FALSE)</f>
        <v>0</v>
      </c>
    </row>
    <row r="105" spans="1:18" ht="14">
      <c r="A105" s="185" t="s">
        <v>37</v>
      </c>
      <c r="B105" s="182" t="s">
        <v>60</v>
      </c>
      <c r="C105" s="231">
        <v>1422</v>
      </c>
      <c r="D105" s="211">
        <v>1</v>
      </c>
      <c r="E105" s="199"/>
      <c r="F105" s="211">
        <v>1</v>
      </c>
      <c r="G105" s="203">
        <f>G17*VLOOKUP($A105,Assumptions!$A$3:$N$14,3,FALSE)</f>
        <v>0</v>
      </c>
      <c r="H105" s="203">
        <f>H17*VLOOKUP($A105,Assumptions!$A$3:$N$14,4,FALSE)</f>
        <v>0</v>
      </c>
      <c r="I105" s="203">
        <f>I17*VLOOKUP($A105,Assumptions!$A$3:$N$14,5,FALSE)</f>
        <v>0</v>
      </c>
      <c r="J105" s="203">
        <f>J17*VLOOKUP($A105,Assumptions!$A$3:$N$14,6,FALSE)</f>
        <v>0</v>
      </c>
      <c r="K105" s="203">
        <f>K17*VLOOKUP($A105,Assumptions!$A$3:$N$14,7,FALSE)</f>
        <v>0</v>
      </c>
      <c r="L105" s="203">
        <f>L17*VLOOKUP($A105,Assumptions!$A$3:$N$14,8,FALSE)</f>
        <v>0</v>
      </c>
      <c r="M105" s="203">
        <f>M17*VLOOKUP($A105,Assumptions!$A$3:$N$14,9,FALSE)</f>
        <v>0</v>
      </c>
      <c r="N105" s="203">
        <f>N17*VLOOKUP($A105,Assumptions!$A$3:$N$14,10,FALSE)</f>
        <v>0</v>
      </c>
      <c r="O105" s="203">
        <f>O17*VLOOKUP($A105,Assumptions!$A$3:$N$14,11,FALSE)</f>
        <v>0</v>
      </c>
      <c r="P105" s="203">
        <f>P17*VLOOKUP($A105,Assumptions!$A$3:$N$14,12,FALSE)</f>
        <v>0</v>
      </c>
      <c r="Q105" s="203">
        <f>Q17*VLOOKUP($A105,Assumptions!$A$3:$N$14,13,FALSE)</f>
        <v>0</v>
      </c>
      <c r="R105" s="203">
        <f>R17*VLOOKUP($A105,Assumptions!$A$3:$N$14,14,FALSE)</f>
        <v>0</v>
      </c>
    </row>
    <row r="106" spans="1:18" ht="14">
      <c r="A106" s="185" t="s">
        <v>66</v>
      </c>
      <c r="B106" s="182" t="s">
        <v>170</v>
      </c>
      <c r="C106" s="231">
        <v>17363.8</v>
      </c>
      <c r="D106" s="212">
        <v>0</v>
      </c>
      <c r="E106" s="199"/>
      <c r="F106" s="211">
        <v>1</v>
      </c>
      <c r="G106" s="203">
        <f>G18*VLOOKUP($A106,Assumptions!$A$3:$N$14,3,FALSE)</f>
        <v>1215.45371</v>
      </c>
      <c r="H106" s="203">
        <f>H18*VLOOKUP($A106,Assumptions!$A$3:$N$14,4,FALSE)</f>
        <v>581.93167900000003</v>
      </c>
      <c r="I106" s="203">
        <f>I18*VLOOKUP($A106,Assumptions!$A$3:$N$14,5,FALSE)</f>
        <v>0</v>
      </c>
      <c r="J106" s="203">
        <f>J18*VLOOKUP($A106,Assumptions!$A$3:$N$14,6,FALSE)</f>
        <v>0</v>
      </c>
      <c r="K106" s="203">
        <f>K18*VLOOKUP($A106,Assumptions!$A$3:$N$14,7,FALSE)</f>
        <v>0</v>
      </c>
      <c r="L106" s="203">
        <f>L18*VLOOKUP($A106,Assumptions!$A$3:$N$14,8,FALSE)</f>
        <v>0</v>
      </c>
      <c r="M106" s="203">
        <f>M18*VLOOKUP($A106,Assumptions!$A$3:$N$14,9,FALSE)</f>
        <v>0</v>
      </c>
      <c r="N106" s="203">
        <f>N18*VLOOKUP($A106,Assumptions!$A$3:$N$14,10,FALSE)</f>
        <v>0</v>
      </c>
      <c r="O106" s="203">
        <f>O18*VLOOKUP($A106,Assumptions!$A$3:$N$14,11,FALSE)</f>
        <v>0</v>
      </c>
      <c r="P106" s="203">
        <f>P18*VLOOKUP($A106,Assumptions!$A$3:$N$14,12,FALSE)</f>
        <v>0</v>
      </c>
      <c r="Q106" s="203">
        <f>Q18*VLOOKUP($A106,Assumptions!$A$3:$N$14,13,FALSE)</f>
        <v>0</v>
      </c>
      <c r="R106" s="203">
        <f>R18*VLOOKUP($A106,Assumptions!$A$3:$N$14,14,FALSE)</f>
        <v>0</v>
      </c>
    </row>
    <row r="107" spans="1:18" ht="14">
      <c r="A107" s="185" t="s">
        <v>48</v>
      </c>
      <c r="B107" s="182" t="s">
        <v>168</v>
      </c>
      <c r="C107" s="231">
        <v>24784</v>
      </c>
      <c r="D107" s="212">
        <v>0</v>
      </c>
      <c r="E107" s="199"/>
      <c r="F107" s="211">
        <v>1</v>
      </c>
      <c r="G107" s="203">
        <f>G19*VLOOKUP($A107,Assumptions!$A$3:$N$14,3,FALSE)</f>
        <v>787.43016</v>
      </c>
      <c r="H107" s="203">
        <f>H19*VLOOKUP($A107,Assumptions!$A$3:$N$14,4,FALSE)</f>
        <v>393.71508</v>
      </c>
      <c r="I107" s="203">
        <f>I19*VLOOKUP($A107,Assumptions!$A$3:$N$14,5,FALSE)</f>
        <v>0</v>
      </c>
      <c r="J107" s="203">
        <f>J19*VLOOKUP($A107,Assumptions!$A$3:$N$14,6,FALSE)</f>
        <v>0</v>
      </c>
      <c r="K107" s="203">
        <f>K19*VLOOKUP($A107,Assumptions!$A$3:$N$14,7,FALSE)</f>
        <v>0</v>
      </c>
      <c r="L107" s="203">
        <f>L19*VLOOKUP($A107,Assumptions!$A$3:$N$14,8,FALSE)</f>
        <v>0</v>
      </c>
      <c r="M107" s="203">
        <f>M19*VLOOKUP($A107,Assumptions!$A$3:$N$14,9,FALSE)</f>
        <v>0</v>
      </c>
      <c r="N107" s="203">
        <f>N19*VLOOKUP($A107,Assumptions!$A$3:$N$14,10,FALSE)</f>
        <v>0</v>
      </c>
      <c r="O107" s="203">
        <f>O19*VLOOKUP($A107,Assumptions!$A$3:$N$14,11,FALSE)</f>
        <v>0</v>
      </c>
      <c r="P107" s="203">
        <f>P19*VLOOKUP($A107,Assumptions!$A$3:$N$14,12,FALSE)</f>
        <v>0</v>
      </c>
      <c r="Q107" s="203">
        <f>Q19*VLOOKUP($A107,Assumptions!$A$3:$N$14,13,FALSE)</f>
        <v>0</v>
      </c>
      <c r="R107" s="203">
        <f>R19*VLOOKUP($A107,Assumptions!$A$3:$N$14,14,FALSE)</f>
        <v>0</v>
      </c>
    </row>
    <row r="108" spans="1:18" ht="14">
      <c r="A108" s="185" t="s">
        <v>30</v>
      </c>
      <c r="B108" s="182" t="s">
        <v>123</v>
      </c>
      <c r="C108" s="231">
        <v>23555.5</v>
      </c>
      <c r="D108" s="211">
        <v>0</v>
      </c>
      <c r="E108" s="199"/>
      <c r="F108" s="211">
        <v>1</v>
      </c>
      <c r="G108" s="203">
        <f>G20*VLOOKUP($A108,Assumptions!$A$3:$N$14,3,FALSE)</f>
        <v>730.52485000000001</v>
      </c>
      <c r="H108" s="203">
        <f>H20*VLOOKUP($A108,Assumptions!$A$3:$N$14,4,FALSE)</f>
        <v>0</v>
      </c>
      <c r="I108" s="203">
        <f>I20*VLOOKUP($A108,Assumptions!$A$3:$N$14,5,FALSE)</f>
        <v>0</v>
      </c>
      <c r="J108" s="203">
        <f>J20*VLOOKUP($A108,Assumptions!$A$3:$N$14,6,FALSE)</f>
        <v>0</v>
      </c>
      <c r="K108" s="203">
        <f>K20*VLOOKUP($A108,Assumptions!$A$3:$N$14,7,FALSE)</f>
        <v>0</v>
      </c>
      <c r="L108" s="203">
        <f>L20*VLOOKUP($A108,Assumptions!$A$3:$N$14,8,FALSE)</f>
        <v>0</v>
      </c>
      <c r="M108" s="203">
        <f>M20*VLOOKUP($A108,Assumptions!$A$3:$N$14,9,FALSE)</f>
        <v>0</v>
      </c>
      <c r="N108" s="203">
        <f>N20*VLOOKUP($A108,Assumptions!$A$3:$N$14,10,FALSE)</f>
        <v>0</v>
      </c>
      <c r="O108" s="203">
        <f>O20*VLOOKUP($A108,Assumptions!$A$3:$N$14,11,FALSE)</f>
        <v>0</v>
      </c>
      <c r="P108" s="203">
        <f>P20*VLOOKUP($A108,Assumptions!$A$3:$N$14,12,FALSE)</f>
        <v>0</v>
      </c>
      <c r="Q108" s="203">
        <f>Q20*VLOOKUP($A108,Assumptions!$A$3:$N$14,13,FALSE)</f>
        <v>0</v>
      </c>
      <c r="R108" s="203">
        <f>R20*VLOOKUP($A108,Assumptions!$A$3:$N$14,14,FALSE)</f>
        <v>0</v>
      </c>
    </row>
    <row r="109" spans="1:18" ht="14">
      <c r="A109" s="185" t="s">
        <v>63</v>
      </c>
      <c r="B109" s="182" t="s">
        <v>64</v>
      </c>
      <c r="C109" s="231">
        <v>61127</v>
      </c>
      <c r="D109" s="211">
        <v>0.5</v>
      </c>
      <c r="E109" s="199"/>
      <c r="F109" s="211"/>
      <c r="G109" s="203">
        <f>G21*VLOOKUP($A109,Assumptions!$A$3:$N$14,3,FALSE)</f>
        <v>1642.1247899999998</v>
      </c>
      <c r="H109" s="203">
        <f>H21*VLOOKUP($A109,Assumptions!$A$3:$N$14,4,FALSE)</f>
        <v>0</v>
      </c>
      <c r="I109" s="203">
        <f>I21*VLOOKUP($A109,Assumptions!$A$3:$N$14,5,FALSE)</f>
        <v>0</v>
      </c>
      <c r="J109" s="203">
        <f>J21*VLOOKUP($A109,Assumptions!$A$3:$N$14,6,FALSE)</f>
        <v>0</v>
      </c>
      <c r="K109" s="203">
        <f>K21*VLOOKUP($A109,Assumptions!$A$3:$N$14,7,FALSE)</f>
        <v>0</v>
      </c>
      <c r="L109" s="203">
        <f>L21*VLOOKUP($A109,Assumptions!$A$3:$N$14,8,FALSE)</f>
        <v>0</v>
      </c>
      <c r="M109" s="203">
        <f>M21*VLOOKUP($A109,Assumptions!$A$3:$N$14,9,FALSE)</f>
        <v>0</v>
      </c>
      <c r="N109" s="203">
        <f>N21*VLOOKUP($A109,Assumptions!$A$3:$N$14,10,FALSE)</f>
        <v>0</v>
      </c>
      <c r="O109" s="203">
        <f>O21*VLOOKUP($A109,Assumptions!$A$3:$N$14,11,FALSE)</f>
        <v>0</v>
      </c>
      <c r="P109" s="203">
        <f>P21*VLOOKUP($A109,Assumptions!$A$3:$N$14,12,FALSE)</f>
        <v>0</v>
      </c>
      <c r="Q109" s="203">
        <f>Q21*VLOOKUP($A109,Assumptions!$A$3:$N$14,13,FALSE)</f>
        <v>0</v>
      </c>
      <c r="R109" s="203">
        <f>R21*VLOOKUP($A109,Assumptions!$A$3:$N$14,14,FALSE)</f>
        <v>0</v>
      </c>
    </row>
    <row r="110" spans="1:18" ht="14">
      <c r="A110" s="185" t="s">
        <v>66</v>
      </c>
      <c r="B110" s="182" t="s">
        <v>95</v>
      </c>
      <c r="C110" s="231">
        <v>41253</v>
      </c>
      <c r="D110" s="212">
        <v>0</v>
      </c>
      <c r="E110" s="199">
        <v>0.5</v>
      </c>
      <c r="F110" s="211"/>
      <c r="G110" s="203">
        <f>G22*VLOOKUP($A110,Assumptions!$A$3:$N$14,3,FALSE)</f>
        <v>1874.5823100000002</v>
      </c>
      <c r="H110" s="203">
        <f>H22*VLOOKUP($A110,Assumptions!$A$3:$N$14,4,FALSE)</f>
        <v>880.34181899999999</v>
      </c>
      <c r="I110" s="203">
        <f>I22*VLOOKUP($A110,Assumptions!$A$3:$N$14,5,FALSE)</f>
        <v>0</v>
      </c>
      <c r="J110" s="203">
        <f>J22*VLOOKUP($A110,Assumptions!$A$3:$N$14,6,FALSE)</f>
        <v>0</v>
      </c>
      <c r="K110" s="203">
        <f>K22*VLOOKUP($A110,Assumptions!$A$3:$N$14,7,FALSE)</f>
        <v>0</v>
      </c>
      <c r="L110" s="203">
        <f>L22*VLOOKUP($A110,Assumptions!$A$3:$N$14,8,FALSE)</f>
        <v>0</v>
      </c>
      <c r="M110" s="203">
        <f>M22*VLOOKUP($A110,Assumptions!$A$3:$N$14,9,FALSE)</f>
        <v>0</v>
      </c>
      <c r="N110" s="203">
        <f>N22*VLOOKUP($A110,Assumptions!$A$3:$N$14,10,FALSE)</f>
        <v>0</v>
      </c>
      <c r="O110" s="203">
        <f>O22*VLOOKUP($A110,Assumptions!$A$3:$N$14,11,FALSE)</f>
        <v>0</v>
      </c>
      <c r="P110" s="203">
        <f>P22*VLOOKUP($A110,Assumptions!$A$3:$N$14,12,FALSE)</f>
        <v>0</v>
      </c>
      <c r="Q110" s="203">
        <f>Q22*VLOOKUP($A110,Assumptions!$A$3:$N$14,13,FALSE)</f>
        <v>0</v>
      </c>
      <c r="R110" s="203">
        <f>R22*VLOOKUP($A110,Assumptions!$A$3:$N$14,14,FALSE)</f>
        <v>0</v>
      </c>
    </row>
    <row r="111" spans="1:18" ht="14">
      <c r="A111" s="185" t="s">
        <v>66</v>
      </c>
      <c r="B111" s="198" t="s">
        <v>133</v>
      </c>
      <c r="C111" s="231">
        <v>8227.2000000000007</v>
      </c>
      <c r="D111" s="212">
        <v>0</v>
      </c>
      <c r="E111" s="199"/>
      <c r="F111" s="211">
        <v>1</v>
      </c>
      <c r="G111" s="203">
        <f>G23*VLOOKUP($A111,Assumptions!$A$3:$N$14,3,FALSE)</f>
        <v>432.90277800000001</v>
      </c>
      <c r="H111" s="203">
        <f>H23*VLOOKUP($A111,Assumptions!$A$3:$N$14,4,FALSE)</f>
        <v>203.29991219999999</v>
      </c>
      <c r="I111" s="203">
        <f>I23*VLOOKUP($A111,Assumptions!$A$3:$N$14,5,FALSE)</f>
        <v>0</v>
      </c>
      <c r="J111" s="203">
        <f>J23*VLOOKUP($A111,Assumptions!$A$3:$N$14,6,FALSE)</f>
        <v>0</v>
      </c>
      <c r="K111" s="203">
        <f>K23*VLOOKUP($A111,Assumptions!$A$3:$N$14,7,FALSE)</f>
        <v>0</v>
      </c>
      <c r="L111" s="203">
        <f>L23*VLOOKUP($A111,Assumptions!$A$3:$N$14,8,FALSE)</f>
        <v>0</v>
      </c>
      <c r="M111" s="203">
        <f>M23*VLOOKUP($A111,Assumptions!$A$3:$N$14,9,FALSE)</f>
        <v>0</v>
      </c>
      <c r="N111" s="203">
        <f>N23*VLOOKUP($A111,Assumptions!$A$3:$N$14,10,FALSE)</f>
        <v>0</v>
      </c>
      <c r="O111" s="203">
        <f>O23*VLOOKUP($A111,Assumptions!$A$3:$N$14,11,FALSE)</f>
        <v>0</v>
      </c>
      <c r="P111" s="203">
        <f>P23*VLOOKUP($A111,Assumptions!$A$3:$N$14,12,FALSE)</f>
        <v>0</v>
      </c>
      <c r="Q111" s="203">
        <f>Q23*VLOOKUP($A111,Assumptions!$A$3:$N$14,13,FALSE)</f>
        <v>0</v>
      </c>
      <c r="R111" s="203">
        <f>R23*VLOOKUP($A111,Assumptions!$A$3:$N$14,14,FALSE)</f>
        <v>0</v>
      </c>
    </row>
    <row r="112" spans="1:18" ht="14">
      <c r="A112" s="185" t="s">
        <v>178</v>
      </c>
      <c r="B112" s="198" t="s">
        <v>140</v>
      </c>
      <c r="C112" s="231">
        <v>20861</v>
      </c>
      <c r="D112" s="212">
        <v>1</v>
      </c>
      <c r="E112" s="199"/>
      <c r="F112" s="211">
        <v>0</v>
      </c>
      <c r="G112" s="203">
        <f>G24*VLOOKUP($A112,Assumptions!$A$3:$N$14,3,FALSE)</f>
        <v>878.43892000000017</v>
      </c>
      <c r="H112" s="203">
        <f>H24*VLOOKUP($A112,Assumptions!$A$3:$N$14,4,FALSE)</f>
        <v>0</v>
      </c>
      <c r="I112" s="203">
        <f>I24*VLOOKUP($A112,Assumptions!$A$3:$N$14,5,FALSE)</f>
        <v>0</v>
      </c>
      <c r="J112" s="203">
        <f>J24*VLOOKUP($A112,Assumptions!$A$3:$N$14,6,FALSE)</f>
        <v>0</v>
      </c>
      <c r="K112" s="203">
        <f>K24*VLOOKUP($A112,Assumptions!$A$3:$N$14,7,FALSE)</f>
        <v>0</v>
      </c>
      <c r="L112" s="203">
        <f>L24*VLOOKUP($A112,Assumptions!$A$3:$N$14,8,FALSE)</f>
        <v>0</v>
      </c>
      <c r="M112" s="203">
        <f>M24*VLOOKUP($A112,Assumptions!$A$3:$N$14,9,FALSE)</f>
        <v>0</v>
      </c>
      <c r="N112" s="203">
        <f>N24*VLOOKUP($A112,Assumptions!$A$3:$N$14,10,FALSE)</f>
        <v>0</v>
      </c>
      <c r="O112" s="203">
        <f>O24*VLOOKUP($A112,Assumptions!$A$3:$N$14,11,FALSE)</f>
        <v>0</v>
      </c>
      <c r="P112" s="203">
        <f>P24*VLOOKUP($A112,Assumptions!$A$3:$N$14,12,FALSE)</f>
        <v>0</v>
      </c>
      <c r="Q112" s="203">
        <f>Q24*VLOOKUP($A112,Assumptions!$A$3:$N$14,13,FALSE)</f>
        <v>0</v>
      </c>
      <c r="R112" s="203">
        <f>R24*VLOOKUP($A112,Assumptions!$A$3:$N$14,14,FALSE)</f>
        <v>0</v>
      </c>
    </row>
    <row r="113" spans="1:19" ht="14">
      <c r="A113" s="185" t="s">
        <v>37</v>
      </c>
      <c r="B113" s="182" t="s">
        <v>166</v>
      </c>
      <c r="C113" s="231">
        <v>15723.1</v>
      </c>
      <c r="D113" s="212">
        <v>0</v>
      </c>
      <c r="E113" s="199"/>
      <c r="F113" s="211">
        <v>1</v>
      </c>
      <c r="G113" s="203">
        <f>G25*VLOOKUP($A113,Assumptions!$A$3:$N$14,3,FALSE)</f>
        <v>713.33653600000002</v>
      </c>
      <c r="H113" s="203">
        <f>H25*VLOOKUP($A113,Assumptions!$A$3:$N$14,4,FALSE)</f>
        <v>235.39270070000001</v>
      </c>
      <c r="I113" s="203">
        <f>I25*VLOOKUP($A113,Assumptions!$A$3:$N$14,5,FALSE)</f>
        <v>0</v>
      </c>
      <c r="J113" s="203">
        <f>J25*VLOOKUP($A113,Assumptions!$A$3:$N$14,6,FALSE)</f>
        <v>0</v>
      </c>
      <c r="K113" s="203">
        <f>K25*VLOOKUP($A113,Assumptions!$A$3:$N$14,7,FALSE)</f>
        <v>0</v>
      </c>
      <c r="L113" s="203">
        <f>L25*VLOOKUP($A113,Assumptions!$A$3:$N$14,8,FALSE)</f>
        <v>0</v>
      </c>
      <c r="M113" s="203">
        <f>M25*VLOOKUP($A113,Assumptions!$A$3:$N$14,9,FALSE)</f>
        <v>0</v>
      </c>
      <c r="N113" s="203">
        <f>N25*VLOOKUP($A113,Assumptions!$A$3:$N$14,10,FALSE)</f>
        <v>0</v>
      </c>
      <c r="O113" s="203">
        <f>O25*VLOOKUP($A113,Assumptions!$A$3:$N$14,11,FALSE)</f>
        <v>0</v>
      </c>
      <c r="P113" s="203">
        <f>P25*VLOOKUP($A113,Assumptions!$A$3:$N$14,12,FALSE)</f>
        <v>0</v>
      </c>
      <c r="Q113" s="203">
        <f>Q25*VLOOKUP($A113,Assumptions!$A$3:$N$14,13,FALSE)</f>
        <v>0</v>
      </c>
      <c r="R113" s="203">
        <f>R25*VLOOKUP($A113,Assumptions!$A$3:$N$14,14,FALSE)</f>
        <v>0</v>
      </c>
    </row>
    <row r="114" spans="1:19" ht="14.5" thickBot="1">
      <c r="A114" s="185" t="s">
        <v>66</v>
      </c>
      <c r="B114" s="182" t="s">
        <v>67</v>
      </c>
      <c r="C114" s="231">
        <v>12837.7</v>
      </c>
      <c r="D114" s="211">
        <v>0</v>
      </c>
      <c r="E114" s="199"/>
      <c r="F114" s="211">
        <v>1</v>
      </c>
      <c r="G114" s="203">
        <f>G26*VLOOKUP($A114,Assumptions!$A$3:$N$14,3,FALSE)</f>
        <v>775.09665000000007</v>
      </c>
      <c r="H114" s="203">
        <f>H26*VLOOKUP($A114,Assumptions!$A$3:$N$14,4,FALSE)</f>
        <v>364.00108499999999</v>
      </c>
      <c r="I114" s="203">
        <f>I26*VLOOKUP($A114,Assumptions!$A$3:$N$14,5,FALSE)</f>
        <v>0</v>
      </c>
      <c r="J114" s="203">
        <f>J26*VLOOKUP($A114,Assumptions!$A$3:$N$14,6,FALSE)</f>
        <v>0</v>
      </c>
      <c r="K114" s="203">
        <f>K26*VLOOKUP($A114,Assumptions!$A$3:$N$14,7,FALSE)</f>
        <v>0</v>
      </c>
      <c r="L114" s="203">
        <f>L26*VLOOKUP($A114,Assumptions!$A$3:$N$14,8,FALSE)</f>
        <v>0</v>
      </c>
      <c r="M114" s="203">
        <f>M26*VLOOKUP($A114,Assumptions!$A$3:$N$14,9,FALSE)</f>
        <v>0</v>
      </c>
      <c r="N114" s="203">
        <f>N26*VLOOKUP($A114,Assumptions!$A$3:$N$14,10,FALSE)</f>
        <v>0</v>
      </c>
      <c r="O114" s="203">
        <f>O26*VLOOKUP($A114,Assumptions!$A$3:$N$14,11,FALSE)</f>
        <v>0</v>
      </c>
      <c r="P114" s="203">
        <f>P26*VLOOKUP($A114,Assumptions!$A$3:$N$14,12,FALSE)</f>
        <v>0</v>
      </c>
      <c r="Q114" s="203">
        <f>Q26*VLOOKUP($A114,Assumptions!$A$3:$N$14,13,FALSE)</f>
        <v>0</v>
      </c>
      <c r="R114" s="203">
        <f>R26*VLOOKUP($A114,Assumptions!$A$3:$N$14,14,FALSE)</f>
        <v>0</v>
      </c>
    </row>
    <row r="115" spans="1:19" ht="13" thickTop="1">
      <c r="G115" s="201">
        <f>SUBTOTAL(9,G92:G114)</f>
        <v>27974.338184000011</v>
      </c>
      <c r="H115" s="201">
        <f>SUBTOTAL(9,H92:H114)</f>
        <v>5576.6070846500006</v>
      </c>
      <c r="I115" s="201">
        <f>SUBTOTAL(9,I92:I114)</f>
        <v>0</v>
      </c>
      <c r="J115" s="201">
        <f t="shared" ref="J115:R115" si="6">SUBTOTAL(9,J92:J114)</f>
        <v>0</v>
      </c>
      <c r="K115" s="201">
        <f t="shared" si="6"/>
        <v>0</v>
      </c>
      <c r="L115" s="201">
        <f t="shared" si="6"/>
        <v>0</v>
      </c>
      <c r="M115" s="201">
        <f t="shared" si="6"/>
        <v>0</v>
      </c>
      <c r="N115" s="201">
        <f t="shared" si="6"/>
        <v>0</v>
      </c>
      <c r="O115" s="201">
        <f t="shared" si="6"/>
        <v>0</v>
      </c>
      <c r="P115" s="201">
        <f t="shared" si="6"/>
        <v>0</v>
      </c>
      <c r="Q115" s="201">
        <f t="shared" si="6"/>
        <v>0</v>
      </c>
      <c r="R115" s="201">
        <f t="shared" si="6"/>
        <v>0</v>
      </c>
      <c r="S115" s="202">
        <f t="shared" ref="S115" si="7">(R115-G115)/G115</f>
        <v>-1</v>
      </c>
    </row>
    <row r="120" spans="1:19" ht="18" thickBot="1">
      <c r="A120" s="196" t="s">
        <v>212</v>
      </c>
      <c r="H120" s="203"/>
    </row>
    <row r="121" spans="1:19" ht="15" thickTop="1" thickBot="1">
      <c r="A121" s="184" t="s">
        <v>6</v>
      </c>
      <c r="B121" s="184" t="s">
        <v>7</v>
      </c>
      <c r="C121" s="184" t="s">
        <v>9</v>
      </c>
      <c r="D121" s="184" t="s">
        <v>10</v>
      </c>
      <c r="E121" s="184" t="s">
        <v>11</v>
      </c>
      <c r="F121" s="184" t="s">
        <v>12</v>
      </c>
      <c r="G121" s="184" t="s">
        <v>188</v>
      </c>
      <c r="H121" s="184" t="s">
        <v>189</v>
      </c>
      <c r="I121" s="184" t="s">
        <v>190</v>
      </c>
      <c r="J121" s="184" t="s">
        <v>191</v>
      </c>
      <c r="K121" s="184" t="s">
        <v>192</v>
      </c>
      <c r="L121" s="184" t="s">
        <v>193</v>
      </c>
      <c r="M121" s="184" t="s">
        <v>194</v>
      </c>
      <c r="N121" s="184" t="s">
        <v>195</v>
      </c>
      <c r="O121" s="184" t="s">
        <v>196</v>
      </c>
      <c r="P121" s="184" t="s">
        <v>197</v>
      </c>
      <c r="Q121" s="184" t="s">
        <v>198</v>
      </c>
      <c r="R121" s="184" t="s">
        <v>199</v>
      </c>
      <c r="S121" s="200" t="s">
        <v>200</v>
      </c>
    </row>
    <row r="122" spans="1:19" ht="14.5" thickTop="1">
      <c r="A122" s="185" t="s">
        <v>30</v>
      </c>
      <c r="B122" s="198" t="s">
        <v>31</v>
      </c>
      <c r="C122" s="228">
        <v>29166</v>
      </c>
      <c r="D122" s="211">
        <v>1</v>
      </c>
      <c r="E122" s="199"/>
      <c r="F122" s="211">
        <v>1</v>
      </c>
      <c r="G122" s="203">
        <f>G33*VLOOKUP($A122,Assumptions!$A$17:$N$29,3,FALSE)/1000</f>
        <v>83.210180229999992</v>
      </c>
      <c r="H122" s="203">
        <f>(H33*VLOOKUP($A122,Assumptions!$A$17:$N$29,4,FALSE))/1000</f>
        <v>83.210180229999992</v>
      </c>
      <c r="I122" s="203">
        <f>(I33*VLOOKUP($A122,Assumptions!$A$17:$N$29,5,FALSE))/1000</f>
        <v>83.210180229999992</v>
      </c>
      <c r="J122" s="203">
        <f>(J33*VLOOKUP($A122,Assumptions!$A$17:$N$29,6,FALSE))/1000</f>
        <v>83.210180229999992</v>
      </c>
      <c r="K122" s="203">
        <f>(K33*VLOOKUP($A122,Assumptions!$A$17:$N$29,7,FALSE))/1000</f>
        <v>58.063540230000001</v>
      </c>
      <c r="L122" s="203">
        <f>(L33*VLOOKUP($A122,Assumptions!$A$17:$N$29,8,FALSE))/1000</f>
        <v>56.105400230000001</v>
      </c>
      <c r="M122" s="203">
        <f>(M33*VLOOKUP($A122,Assumptions!$A$17:$N$29,9,FALSE))/1000</f>
        <v>54.147260230000001</v>
      </c>
      <c r="N122" s="203">
        <f>(N33*VLOOKUP($A122,Assumptions!$A$17:$N$29,10,FALSE))/1000</f>
        <v>52.18912023</v>
      </c>
      <c r="O122" s="203">
        <f>(O33*VLOOKUP($A122,Assumptions!$A$17:$N$29,11,FALSE))/1000</f>
        <v>24.465980229999996</v>
      </c>
      <c r="P122" s="203">
        <f>(P33*VLOOKUP($A122,Assumptions!$A$17:$N$29,12,FALSE))/1000</f>
        <v>24.465980229999996</v>
      </c>
      <c r="Q122" s="203">
        <f>(Q33*VLOOKUP($A122,Assumptions!$A$17:$N$29,13,FALSE))/1000</f>
        <v>24.465980229999996</v>
      </c>
      <c r="R122" s="203">
        <f>(R33*VLOOKUP($A122,Assumptions!$A$17:$N$29,14,FALSE))/1000</f>
        <v>24.465980229999996</v>
      </c>
    </row>
    <row r="123" spans="1:19" ht="14">
      <c r="A123" s="185" t="s">
        <v>37</v>
      </c>
      <c r="B123" s="182" t="s">
        <v>38</v>
      </c>
      <c r="C123" s="228">
        <v>62987</v>
      </c>
      <c r="D123" s="211">
        <v>0.5</v>
      </c>
      <c r="E123" s="199"/>
      <c r="F123" s="211">
        <v>1</v>
      </c>
      <c r="G123" s="203">
        <f>G34*VLOOKUP($A123,Assumptions!$A$17:$N$29,3,FALSE)/1000</f>
        <v>436.62208939000004</v>
      </c>
      <c r="H123" s="203">
        <f>(H34*VLOOKUP($A123,Assumptions!$A$17:$N$29,4,FALSE))/1000</f>
        <v>436.62208939000004</v>
      </c>
      <c r="I123" s="203">
        <f>(I34*VLOOKUP($A123,Assumptions!$A$17:$N$29,5,FALSE))/1000</f>
        <v>436.62208939000004</v>
      </c>
      <c r="J123" s="203">
        <f>(J34*VLOOKUP($A123,Assumptions!$A$17:$N$29,6,FALSE))/1000</f>
        <v>436.62208939000004</v>
      </c>
      <c r="K123" s="203">
        <f>(K34*VLOOKUP($A123,Assumptions!$A$17:$N$29,7,FALSE))/1000</f>
        <v>436.62208939000004</v>
      </c>
      <c r="L123" s="203">
        <f>(L34*VLOOKUP($A123,Assumptions!$A$17:$N$29,8,FALSE))/1000</f>
        <v>436.62208939000004</v>
      </c>
      <c r="M123" s="203">
        <f>(M34*VLOOKUP($A123,Assumptions!$A$17:$N$29,9,FALSE))/1000</f>
        <v>436.62208939000004</v>
      </c>
      <c r="N123" s="203">
        <f>(N34*VLOOKUP($A123,Assumptions!$A$17:$N$29,10,FALSE))/1000</f>
        <v>436.62208939000004</v>
      </c>
      <c r="O123" s="203">
        <f>(O34*VLOOKUP($A123,Assumptions!$A$17:$N$29,11,FALSE))/1000</f>
        <v>436.62208939000004</v>
      </c>
      <c r="P123" s="203">
        <f>(P34*VLOOKUP($A123,Assumptions!$A$17:$N$29,12,FALSE))/1000</f>
        <v>436.62208939000004</v>
      </c>
      <c r="Q123" s="203">
        <f>(Q34*VLOOKUP($A123,Assumptions!$A$17:$N$29,13,FALSE))/1000</f>
        <v>436.62208939000004</v>
      </c>
      <c r="R123" s="203">
        <f>(R34*VLOOKUP($A123,Assumptions!$A$17:$N$29,14,FALSE))/1000</f>
        <v>436.62208939000004</v>
      </c>
    </row>
    <row r="124" spans="1:19" ht="14">
      <c r="A124" s="185" t="s">
        <v>30</v>
      </c>
      <c r="B124" s="182" t="s">
        <v>42</v>
      </c>
      <c r="C124" s="231">
        <v>42132</v>
      </c>
      <c r="D124" s="211">
        <v>0.5</v>
      </c>
      <c r="E124" s="199">
        <v>0.25</v>
      </c>
      <c r="F124" s="211">
        <v>1</v>
      </c>
      <c r="G124" s="203">
        <f>G35*VLOOKUP($A124,Assumptions!$A$17:$N$29,3,FALSE)/1000</f>
        <v>240.23924972</v>
      </c>
      <c r="H124" s="203">
        <f>(H35*VLOOKUP($A124,Assumptions!$A$17:$N$29,4,FALSE))/1000</f>
        <v>240.23924972</v>
      </c>
      <c r="I124" s="203">
        <f>(I35*VLOOKUP($A124,Assumptions!$A$17:$N$29,5,FALSE))/1000</f>
        <v>240.23924972</v>
      </c>
      <c r="J124" s="203">
        <f>(J35*VLOOKUP($A124,Assumptions!$A$17:$N$29,6,FALSE))/1000</f>
        <v>240.23924972</v>
      </c>
      <c r="K124" s="203">
        <f>(K35*VLOOKUP($A124,Assumptions!$A$17:$N$29,7,FALSE))/1000</f>
        <v>240.23924972</v>
      </c>
      <c r="L124" s="203">
        <f>(L35*VLOOKUP($A124,Assumptions!$A$17:$N$29,8,FALSE))/1000</f>
        <v>240.23924972</v>
      </c>
      <c r="M124" s="203">
        <f>(M35*VLOOKUP($A124,Assumptions!$A$17:$N$29,9,FALSE))/1000</f>
        <v>224.26494972</v>
      </c>
      <c r="N124" s="203">
        <f>(N35*VLOOKUP($A124,Assumptions!$A$17:$N$29,10,FALSE))/1000</f>
        <v>224.26494972</v>
      </c>
      <c r="O124" s="203">
        <f>(O35*VLOOKUP($A124,Assumptions!$A$17:$N$29,11,FALSE))/1000</f>
        <v>167.58194972000001</v>
      </c>
      <c r="P124" s="203">
        <f>(P35*VLOOKUP($A124,Assumptions!$A$17:$N$29,12,FALSE))/1000</f>
        <v>167.58194972000001</v>
      </c>
      <c r="Q124" s="203">
        <f>(Q35*VLOOKUP($A124,Assumptions!$A$17:$N$29,13,FALSE))/1000</f>
        <v>167.58194972000001</v>
      </c>
      <c r="R124" s="203">
        <f>(R35*VLOOKUP($A124,Assumptions!$A$17:$N$29,14,FALSE))/1000</f>
        <v>167.58194972000001</v>
      </c>
    </row>
    <row r="125" spans="1:19" ht="14">
      <c r="A125" s="185" t="s">
        <v>30</v>
      </c>
      <c r="B125" s="182" t="s">
        <v>43</v>
      </c>
      <c r="C125" s="231">
        <v>12509</v>
      </c>
      <c r="D125" s="211">
        <v>1</v>
      </c>
      <c r="E125" s="199"/>
      <c r="F125" s="211">
        <v>1</v>
      </c>
      <c r="G125" s="203">
        <f>G36*VLOOKUP($A125,Assumptions!$A$17:$N$29,3,FALSE)/1000</f>
        <v>48.79494219</v>
      </c>
      <c r="H125" s="203">
        <f>(H36*VLOOKUP($A125,Assumptions!$A$17:$N$29,4,FALSE))/1000</f>
        <v>48.79494219</v>
      </c>
      <c r="I125" s="203">
        <f>(I36*VLOOKUP($A125,Assumptions!$A$17:$N$29,5,FALSE))/1000</f>
        <v>48.79494219</v>
      </c>
      <c r="J125" s="203">
        <f>(J36*VLOOKUP($A125,Assumptions!$A$17:$N$29,6,FALSE))/1000</f>
        <v>48.79494219</v>
      </c>
      <c r="K125" s="203">
        <f>(K36*VLOOKUP($A125,Assumptions!$A$17:$N$29,7,FALSE))/1000</f>
        <v>48.79494219</v>
      </c>
      <c r="L125" s="203">
        <f>(L36*VLOOKUP($A125,Assumptions!$A$17:$N$29,8,FALSE))/1000</f>
        <v>48.79494219</v>
      </c>
      <c r="M125" s="203">
        <f>(M36*VLOOKUP($A125,Assumptions!$A$17:$N$29,9,FALSE))/1000</f>
        <v>48.79494219</v>
      </c>
      <c r="N125" s="203">
        <f>(N36*VLOOKUP($A125,Assumptions!$A$17:$N$29,10,FALSE))/1000</f>
        <v>48.79494219</v>
      </c>
      <c r="O125" s="203">
        <f>(O36*VLOOKUP($A125,Assumptions!$A$17:$N$29,11,FALSE))/1000</f>
        <v>48.79494219</v>
      </c>
      <c r="P125" s="203">
        <f>(P36*VLOOKUP($A125,Assumptions!$A$17:$N$29,12,FALSE))/1000</f>
        <v>48.79494219</v>
      </c>
      <c r="Q125" s="203">
        <f>(Q36*VLOOKUP($A125,Assumptions!$A$17:$N$29,13,FALSE))/1000</f>
        <v>48.79494219</v>
      </c>
      <c r="R125" s="203">
        <f>(R36*VLOOKUP($A125,Assumptions!$A$17:$N$29,14,FALSE))/1000</f>
        <v>48.79494219</v>
      </c>
    </row>
    <row r="126" spans="1:19" ht="14">
      <c r="A126" s="185" t="s">
        <v>30</v>
      </c>
      <c r="B126" s="182" t="s">
        <v>46</v>
      </c>
      <c r="C126" s="231">
        <v>27263</v>
      </c>
      <c r="D126" s="211">
        <v>1</v>
      </c>
      <c r="E126" s="199"/>
      <c r="F126" s="211">
        <v>1</v>
      </c>
      <c r="G126" s="203">
        <f>G37*VLOOKUP($A126,Assumptions!$A$17:$N$29,3,FALSE)/1000</f>
        <v>47.945933910000001</v>
      </c>
      <c r="H126" s="203">
        <f>(H37*VLOOKUP($A126,Assumptions!$A$17:$N$29,4,FALSE))/1000</f>
        <v>47.945933910000001</v>
      </c>
      <c r="I126" s="203">
        <f>(I37*VLOOKUP($A126,Assumptions!$A$17:$N$29,5,FALSE))/1000</f>
        <v>47.945933910000001</v>
      </c>
      <c r="J126" s="203">
        <f>(J37*VLOOKUP($A126,Assumptions!$A$17:$N$29,6,FALSE))/1000</f>
        <v>47.945933910000001</v>
      </c>
      <c r="K126" s="203">
        <f>(K37*VLOOKUP($A126,Assumptions!$A$17:$N$29,7,FALSE))/1000</f>
        <v>47.945933910000001</v>
      </c>
      <c r="L126" s="203">
        <f>(L37*VLOOKUP($A126,Assumptions!$A$17:$N$29,8,FALSE))/1000</f>
        <v>26.303333910000003</v>
      </c>
      <c r="M126" s="203">
        <f>(M37*VLOOKUP($A126,Assumptions!$A$17:$N$29,9,FALSE))/1000</f>
        <v>26.303333910000003</v>
      </c>
      <c r="N126" s="203">
        <f>(N37*VLOOKUP($A126,Assumptions!$A$17:$N$29,10,FALSE))/1000</f>
        <v>26.303333910000003</v>
      </c>
      <c r="O126" s="203">
        <f>(O37*VLOOKUP($A126,Assumptions!$A$17:$N$29,11,FALSE))/1000</f>
        <v>23.211533910000004</v>
      </c>
      <c r="P126" s="203">
        <f>(P37*VLOOKUP($A126,Assumptions!$A$17:$N$29,12,FALSE))/1000</f>
        <v>23.211533910000004</v>
      </c>
      <c r="Q126" s="203">
        <f>(Q37*VLOOKUP($A126,Assumptions!$A$17:$N$29,13,FALSE))/1000</f>
        <v>23.211533910000004</v>
      </c>
      <c r="R126" s="203">
        <f>(R37*VLOOKUP($A126,Assumptions!$A$17:$N$29,14,FALSE))/1000</f>
        <v>23.211533910000004</v>
      </c>
    </row>
    <row r="127" spans="1:19" ht="14">
      <c r="A127" s="185" t="s">
        <v>30</v>
      </c>
      <c r="B127" s="182" t="s">
        <v>47</v>
      </c>
      <c r="C127" s="231">
        <v>39057</v>
      </c>
      <c r="D127" s="211">
        <v>1</v>
      </c>
      <c r="E127" s="199"/>
      <c r="F127" s="211">
        <v>1</v>
      </c>
      <c r="G127" s="203">
        <f>G38*VLOOKUP($A127,Assumptions!$A$17:$N$29,3,FALSE)/1000</f>
        <v>77.220951389999996</v>
      </c>
      <c r="H127" s="203">
        <f>(H38*VLOOKUP($A127,Assumptions!$A$17:$N$29,4,FALSE))/1000</f>
        <v>77.220951389999996</v>
      </c>
      <c r="I127" s="203">
        <f>(I38*VLOOKUP($A127,Assumptions!$A$17:$N$29,5,FALSE))/1000</f>
        <v>77.220951389999996</v>
      </c>
      <c r="J127" s="203">
        <f>(J38*VLOOKUP($A127,Assumptions!$A$17:$N$29,6,FALSE))/1000</f>
        <v>58.670151390000008</v>
      </c>
      <c r="K127" s="203">
        <f>(K38*VLOOKUP($A127,Assumptions!$A$17:$N$29,7,FALSE))/1000</f>
        <v>58.670151390000008</v>
      </c>
      <c r="L127" s="203">
        <f>(L38*VLOOKUP($A127,Assumptions!$A$17:$N$29,8,FALSE))/1000</f>
        <v>58.670151390000008</v>
      </c>
      <c r="M127" s="203">
        <f>(M38*VLOOKUP($A127,Assumptions!$A$17:$N$29,9,FALSE))/1000</f>
        <v>58.670151390000008</v>
      </c>
      <c r="N127" s="203">
        <f>(N38*VLOOKUP($A127,Assumptions!$A$17:$N$29,10,FALSE))/1000</f>
        <v>58.670151390000008</v>
      </c>
      <c r="O127" s="203">
        <f>(O38*VLOOKUP($A127,Assumptions!$A$17:$N$29,11,FALSE))/1000</f>
        <v>38.058151390000006</v>
      </c>
      <c r="P127" s="203">
        <f>(P38*VLOOKUP($A127,Assumptions!$A$17:$N$29,12,FALSE))/1000</f>
        <v>38.058151390000006</v>
      </c>
      <c r="Q127" s="203">
        <f>(Q38*VLOOKUP($A127,Assumptions!$A$17:$N$29,13,FALSE))/1000</f>
        <v>19.507351390000007</v>
      </c>
      <c r="R127" s="203">
        <f>(R38*VLOOKUP($A127,Assumptions!$A$17:$N$29,14,FALSE))/1000</f>
        <v>19.507351390000007</v>
      </c>
    </row>
    <row r="128" spans="1:19" ht="14">
      <c r="A128" s="185" t="s">
        <v>48</v>
      </c>
      <c r="B128" s="182" t="s">
        <v>49</v>
      </c>
      <c r="C128" s="231">
        <v>24754</v>
      </c>
      <c r="D128" s="211">
        <v>1</v>
      </c>
      <c r="E128" s="199"/>
      <c r="F128" s="211">
        <v>1</v>
      </c>
      <c r="G128" s="203">
        <f>G39*VLOOKUP($A128,Assumptions!$A$17:$N$29,3,FALSE)/1000</f>
        <v>0</v>
      </c>
      <c r="H128" s="203">
        <f>(H39*VLOOKUP($A128,Assumptions!$A$17:$N$29,4,FALSE))/1000</f>
        <v>0</v>
      </c>
      <c r="I128" s="203">
        <f>(I39*VLOOKUP($A128,Assumptions!$A$17:$N$29,5,FALSE))/1000</f>
        <v>0</v>
      </c>
      <c r="J128" s="203">
        <f>(J39*VLOOKUP($A128,Assumptions!$A$17:$N$29,6,FALSE))/1000</f>
        <v>0</v>
      </c>
      <c r="K128" s="203">
        <f>(K39*VLOOKUP($A128,Assumptions!$A$17:$N$29,7,FALSE))/1000</f>
        <v>0</v>
      </c>
      <c r="L128" s="203">
        <f>(L39*VLOOKUP($A128,Assumptions!$A$17:$N$29,8,FALSE))/1000</f>
        <v>0</v>
      </c>
      <c r="M128" s="203">
        <f>(M39*VLOOKUP($A128,Assumptions!$A$17:$N$29,9,FALSE))/1000</f>
        <v>0</v>
      </c>
      <c r="N128" s="203">
        <f>(N39*VLOOKUP($A128,Assumptions!$A$17:$N$29,10,FALSE))/1000</f>
        <v>0</v>
      </c>
      <c r="O128" s="203">
        <f>(O39*VLOOKUP($A128,Assumptions!$A$17:$N$29,11,FALSE))/1000</f>
        <v>0</v>
      </c>
      <c r="P128" s="203">
        <f>(P39*VLOOKUP($A128,Assumptions!$A$17:$N$29,12,FALSE))/1000</f>
        <v>0</v>
      </c>
      <c r="Q128" s="203">
        <f>(Q39*VLOOKUP($A128,Assumptions!$A$17:$N$29,13,FALSE))/1000</f>
        <v>0</v>
      </c>
      <c r="R128" s="203">
        <f>(R39*VLOOKUP($A128,Assumptions!$A$17:$N$29,14,FALSE))/1000</f>
        <v>0</v>
      </c>
    </row>
    <row r="129" spans="1:18" ht="14">
      <c r="A129" s="185" t="s">
        <v>30</v>
      </c>
      <c r="B129" s="182" t="s">
        <v>92</v>
      </c>
      <c r="C129" s="231">
        <v>26819</v>
      </c>
      <c r="D129" s="212">
        <v>0</v>
      </c>
      <c r="E129" s="199">
        <v>1</v>
      </c>
      <c r="F129" s="211">
        <v>1</v>
      </c>
      <c r="G129" s="203">
        <f>G40*VLOOKUP($A129,Assumptions!$A$17:$N$29,3,FALSE)/1000</f>
        <v>60.697083939999999</v>
      </c>
      <c r="H129" s="203">
        <f>(H40*VLOOKUP($A129,Assumptions!$A$17:$N$29,4,FALSE))/1000</f>
        <v>60.697083939999999</v>
      </c>
      <c r="I129" s="203">
        <f>(I40*VLOOKUP($A129,Assumptions!$A$17:$N$29,5,FALSE))/1000</f>
        <v>60.697083939999999</v>
      </c>
      <c r="J129" s="203">
        <f>(J40*VLOOKUP($A129,Assumptions!$A$17:$N$29,6,FALSE))/1000</f>
        <v>33.571642152560386</v>
      </c>
      <c r="K129" s="203">
        <f>(K40*VLOOKUP($A129,Assumptions!$A$17:$N$29,7,FALSE))/1000</f>
        <v>33.571642152560386</v>
      </c>
      <c r="L129" s="203">
        <f>(L40*VLOOKUP($A129,Assumptions!$A$17:$N$29,8,FALSE))/1000</f>
        <v>33.571642152560386</v>
      </c>
      <c r="M129" s="203">
        <f>(M40*VLOOKUP($A129,Assumptions!$A$17:$N$29,9,FALSE))/1000</f>
        <v>33.571642152560386</v>
      </c>
      <c r="N129" s="203">
        <f>(N40*VLOOKUP($A129,Assumptions!$A$17:$N$29,10,FALSE))/1000</f>
        <v>33.571642152560386</v>
      </c>
      <c r="O129" s="203">
        <f>(O40*VLOOKUP($A129,Assumptions!$A$17:$N$29,11,FALSE))/1000</f>
        <v>29.71054323146538</v>
      </c>
      <c r="P129" s="203">
        <f>(P40*VLOOKUP($A129,Assumptions!$A$17:$N$29,12,FALSE))/1000</f>
        <v>29.71054323146538</v>
      </c>
      <c r="Q129" s="203">
        <f>(Q40*VLOOKUP($A129,Assumptions!$A$17:$N$29,13,FALSE))/1000</f>
        <v>29.71054323146538</v>
      </c>
      <c r="R129" s="203">
        <f>(R40*VLOOKUP($A129,Assumptions!$A$17:$N$29,14,FALSE))/1000</f>
        <v>-5.2560600000045934E-3</v>
      </c>
    </row>
    <row r="130" spans="1:18" ht="14">
      <c r="A130" s="185" t="s">
        <v>30</v>
      </c>
      <c r="B130" s="182" t="s">
        <v>52</v>
      </c>
      <c r="C130" s="231">
        <v>28396</v>
      </c>
      <c r="D130" s="211">
        <v>0.75</v>
      </c>
      <c r="E130" s="199"/>
      <c r="F130" s="211">
        <v>1</v>
      </c>
      <c r="G130" s="203">
        <f>G41*VLOOKUP($A130,Assumptions!$A$17:$N$29,3,FALSE)/1000</f>
        <v>113.57212</v>
      </c>
      <c r="H130" s="203">
        <f>(H41*VLOOKUP($A130,Assumptions!$A$17:$N$29,4,FALSE))/1000</f>
        <v>102.80235</v>
      </c>
      <c r="I130" s="203">
        <f>(I41*VLOOKUP($A130,Assumptions!$A$17:$N$29,5,FALSE))/1000</f>
        <v>102.80235</v>
      </c>
      <c r="J130" s="203">
        <f>(J41*VLOOKUP($A130,Assumptions!$A$17:$N$29,6,FALSE))/1000</f>
        <v>102.80235</v>
      </c>
      <c r="K130" s="203">
        <f>(K41*VLOOKUP($A130,Assumptions!$A$17:$N$29,7,FALSE))/1000</f>
        <v>102.80235</v>
      </c>
      <c r="L130" s="203">
        <f>(L41*VLOOKUP($A130,Assumptions!$A$17:$N$29,8,FALSE))/1000</f>
        <v>102.80235</v>
      </c>
      <c r="M130" s="203">
        <f>(M41*VLOOKUP($A130,Assumptions!$A$17:$N$29,9,FALSE))/1000</f>
        <v>102.80235</v>
      </c>
      <c r="N130" s="203">
        <f>(N41*VLOOKUP($A130,Assumptions!$A$17:$N$29,10,FALSE))/1000</f>
        <v>102.80235</v>
      </c>
      <c r="O130" s="203">
        <f>(O41*VLOOKUP($A130,Assumptions!$A$17:$N$29,11,FALSE))/1000</f>
        <v>98.783010000000004</v>
      </c>
      <c r="P130" s="203">
        <f>(P41*VLOOKUP($A130,Assumptions!$A$17:$N$29,12,FALSE))/1000</f>
        <v>98.783010000000004</v>
      </c>
      <c r="Q130" s="203">
        <f>(Q41*VLOOKUP($A130,Assumptions!$A$17:$N$29,13,FALSE))/1000</f>
        <v>98.783010000000004</v>
      </c>
      <c r="R130" s="203">
        <f>(R41*VLOOKUP($A130,Assumptions!$A$17:$N$29,14,FALSE))/1000</f>
        <v>98.783010000000004</v>
      </c>
    </row>
    <row r="131" spans="1:18" ht="14">
      <c r="A131" s="185" t="s">
        <v>30</v>
      </c>
      <c r="B131" s="182" t="s">
        <v>54</v>
      </c>
      <c r="C131" s="231">
        <v>37558</v>
      </c>
      <c r="D131" s="211">
        <v>0.75</v>
      </c>
      <c r="E131" s="199"/>
      <c r="F131" s="211">
        <v>1</v>
      </c>
      <c r="G131" s="203">
        <f>G42*VLOOKUP($A131,Assumptions!$A$17:$N$29,3,FALSE)/1000</f>
        <v>47.945933910000001</v>
      </c>
      <c r="H131" s="203">
        <f>(H42*VLOOKUP($A131,Assumptions!$A$17:$N$29,4,FALSE))/1000</f>
        <v>47.945933910000001</v>
      </c>
      <c r="I131" s="203">
        <f>(I42*VLOOKUP($A131,Assumptions!$A$17:$N$29,5,FALSE))/1000</f>
        <v>47.945933910000001</v>
      </c>
      <c r="J131" s="203">
        <f>(J42*VLOOKUP($A131,Assumptions!$A$17:$N$29,6,FALSE))/1000</f>
        <v>47.945933910000001</v>
      </c>
      <c r="K131" s="203">
        <f>(K42*VLOOKUP($A131,Assumptions!$A$17:$N$29,7,FALSE))/1000</f>
        <v>47.945933910000001</v>
      </c>
      <c r="L131" s="203">
        <f>(L42*VLOOKUP($A131,Assumptions!$A$17:$N$29,8,FALSE))/1000</f>
        <v>47.945933910000001</v>
      </c>
      <c r="M131" s="203">
        <f>(M42*VLOOKUP($A131,Assumptions!$A$17:$N$29,9,FALSE))/1000</f>
        <v>47.945933910000001</v>
      </c>
      <c r="N131" s="203">
        <f>(N42*VLOOKUP($A131,Assumptions!$A$17:$N$29,10,FALSE))/1000</f>
        <v>47.945933910000001</v>
      </c>
      <c r="O131" s="203">
        <f>(O42*VLOOKUP($A131,Assumptions!$A$17:$N$29,11,FALSE))/1000</f>
        <v>40.731733910000003</v>
      </c>
      <c r="P131" s="203">
        <f>(P42*VLOOKUP($A131,Assumptions!$A$17:$N$29,12,FALSE))/1000</f>
        <v>17.543233909999998</v>
      </c>
      <c r="Q131" s="203">
        <f>(Q42*VLOOKUP($A131,Assumptions!$A$17:$N$29,13,FALSE))/1000</f>
        <v>17.543233909999998</v>
      </c>
      <c r="R131" s="203">
        <f>(R42*VLOOKUP($A131,Assumptions!$A$17:$N$29,14,FALSE))/1000</f>
        <v>17.543233909999998</v>
      </c>
    </row>
    <row r="132" spans="1:18" ht="14">
      <c r="A132" s="185" t="s">
        <v>37</v>
      </c>
      <c r="B132" s="182" t="s">
        <v>55</v>
      </c>
      <c r="C132" s="231">
        <v>55051</v>
      </c>
      <c r="D132" s="211">
        <v>0.5</v>
      </c>
      <c r="E132" s="199">
        <v>0.5</v>
      </c>
      <c r="F132" s="211">
        <v>1</v>
      </c>
      <c r="G132" s="203">
        <f>G43*VLOOKUP($A132,Assumptions!$A$17:$N$29,3,FALSE)/1000</f>
        <v>282.04043725000002</v>
      </c>
      <c r="H132" s="203">
        <f>(H43*VLOOKUP($A132,Assumptions!$A$17:$N$29,4,FALSE))/1000</f>
        <v>271.28364194340065</v>
      </c>
      <c r="I132" s="203">
        <f>(I43*VLOOKUP($A132,Assumptions!$A$17:$N$29,5,FALSE))/1000</f>
        <v>271.28364194340065</v>
      </c>
      <c r="J132" s="203">
        <f>(J43*VLOOKUP($A132,Assumptions!$A$17:$N$29,6,FALSE))/1000</f>
        <v>271.28364194340065</v>
      </c>
      <c r="K132" s="203">
        <f>(K43*VLOOKUP($A132,Assumptions!$A$17:$N$29,7,FALSE))/1000</f>
        <v>271.28364194340065</v>
      </c>
      <c r="L132" s="203">
        <f>(L43*VLOOKUP($A132,Assumptions!$A$17:$N$29,8,FALSE))/1000</f>
        <v>244.38464599266356</v>
      </c>
      <c r="M132" s="203">
        <f>(M43*VLOOKUP($A132,Assumptions!$A$17:$N$29,9,FALSE))/1000</f>
        <v>231.83388352092459</v>
      </c>
      <c r="N132" s="203">
        <f>(N43*VLOOKUP($A132,Assumptions!$A$17:$N$29,10,FALSE))/1000</f>
        <v>28.444973520924574</v>
      </c>
      <c r="O132" s="203">
        <f>(O43*VLOOKUP($A132,Assumptions!$A$17:$N$29,11,FALSE))/1000</f>
        <v>28.444973520924574</v>
      </c>
      <c r="P132" s="203">
        <f>(P43*VLOOKUP($A132,Assumptions!$A$17:$N$29,12,FALSE))/1000</f>
        <v>28.444973520924574</v>
      </c>
      <c r="Q132" s="203">
        <f>(Q43*VLOOKUP($A132,Assumptions!$A$17:$N$29,13,FALSE))/1000</f>
        <v>28.444973520924574</v>
      </c>
      <c r="R132" s="203">
        <f>(R43*VLOOKUP($A132,Assumptions!$A$17:$N$29,14,FALSE))/1000</f>
        <v>28.444973520924574</v>
      </c>
    </row>
    <row r="133" spans="1:18" ht="14">
      <c r="A133" s="185" t="s">
        <v>30</v>
      </c>
      <c r="B133" s="182" t="s">
        <v>56</v>
      </c>
      <c r="C133" s="231">
        <v>39938</v>
      </c>
      <c r="D133" s="211">
        <v>0.5</v>
      </c>
      <c r="E133" s="199"/>
      <c r="F133" s="211">
        <v>1</v>
      </c>
      <c r="G133" s="203">
        <f>G44*VLOOKUP($A133,Assumptions!$A$17:$N$29,3,FALSE)/1000</f>
        <v>247.50132109</v>
      </c>
      <c r="H133" s="203">
        <f>(H44*VLOOKUP($A133,Assumptions!$A$17:$N$29,4,FALSE))/1000</f>
        <v>247.50132109</v>
      </c>
      <c r="I133" s="203">
        <f>(I44*VLOOKUP($A133,Assumptions!$A$17:$N$29,5,FALSE))/1000</f>
        <v>247.50132109</v>
      </c>
      <c r="J133" s="203">
        <f>(J44*VLOOKUP($A133,Assumptions!$A$17:$N$29,6,FALSE))/1000</f>
        <v>247.50132109</v>
      </c>
      <c r="K133" s="203">
        <f>(K44*VLOOKUP($A133,Assumptions!$A$17:$N$29,7,FALSE))/1000</f>
        <v>247.50132109</v>
      </c>
      <c r="L133" s="203">
        <f>(L44*VLOOKUP($A133,Assumptions!$A$17:$N$29,8,FALSE))/1000</f>
        <v>247.50132109</v>
      </c>
      <c r="M133" s="203">
        <f>(M44*VLOOKUP($A133,Assumptions!$A$17:$N$29,9,FALSE))/1000</f>
        <v>247.50132109</v>
      </c>
      <c r="N133" s="203">
        <f>(N44*VLOOKUP($A133,Assumptions!$A$17:$N$29,10,FALSE))/1000</f>
        <v>247.50132109</v>
      </c>
      <c r="O133" s="203">
        <f>(O44*VLOOKUP($A133,Assumptions!$A$17:$N$29,11,FALSE))/1000</f>
        <v>247.50132109</v>
      </c>
      <c r="P133" s="203">
        <f>(P44*VLOOKUP($A133,Assumptions!$A$17:$N$29,12,FALSE))/1000</f>
        <v>247.50132109</v>
      </c>
      <c r="Q133" s="203">
        <f>(Q44*VLOOKUP($A133,Assumptions!$A$17:$N$29,13,FALSE))/1000</f>
        <v>247.50132109</v>
      </c>
      <c r="R133" s="203">
        <f>(R44*VLOOKUP($A133,Assumptions!$A$17:$N$29,14,FALSE))/1000</f>
        <v>247.50132109</v>
      </c>
    </row>
    <row r="134" spans="1:18" ht="14">
      <c r="A134" s="185" t="s">
        <v>30</v>
      </c>
      <c r="B134" s="182" t="s">
        <v>93</v>
      </c>
      <c r="C134" s="231">
        <v>20404</v>
      </c>
      <c r="D134" s="212">
        <v>0</v>
      </c>
      <c r="E134" s="199">
        <v>1</v>
      </c>
      <c r="F134" s="211">
        <v>1</v>
      </c>
      <c r="G134" s="203">
        <f>G45*VLOOKUP($A134,Assumptions!$A$17:$N$29,3,FALSE)/1000</f>
        <v>44.682178299999997</v>
      </c>
      <c r="H134" s="203">
        <f>(H45*VLOOKUP($A134,Assumptions!$A$17:$N$29,4,FALSE))/1000</f>
        <v>44.682178299999997</v>
      </c>
      <c r="I134" s="203">
        <f>(I45*VLOOKUP($A134,Assumptions!$A$17:$N$29,5,FALSE))/1000</f>
        <v>44.682178299999997</v>
      </c>
      <c r="J134" s="203">
        <f>(J45*VLOOKUP($A134,Assumptions!$A$17:$N$29,6,FALSE))/1000</f>
        <v>44.682178299999997</v>
      </c>
      <c r="K134" s="203">
        <f>(K45*VLOOKUP($A134,Assumptions!$A$17:$N$29,7,FALSE))/1000</f>
        <v>44.682178299999997</v>
      </c>
      <c r="L134" s="203">
        <f>(L45*VLOOKUP($A134,Assumptions!$A$17:$N$29,8,FALSE))/1000</f>
        <v>44.682178299999997</v>
      </c>
      <c r="M134" s="203">
        <f>(M45*VLOOKUP($A134,Assumptions!$A$17:$N$29,9,FALSE))/1000</f>
        <v>44.682178299999997</v>
      </c>
      <c r="N134" s="203">
        <f>(N45*VLOOKUP($A134,Assumptions!$A$17:$N$29,10,FALSE))/1000</f>
        <v>44.682178299999997</v>
      </c>
      <c r="O134" s="203">
        <f>(O45*VLOOKUP($A134,Assumptions!$A$17:$N$29,11,FALSE))/1000</f>
        <v>44.682178299999997</v>
      </c>
      <c r="P134" s="203">
        <f>(P45*VLOOKUP($A134,Assumptions!$A$17:$N$29,12,FALSE))/1000</f>
        <v>44.682178299999997</v>
      </c>
      <c r="Q134" s="203">
        <f>(Q45*VLOOKUP($A134,Assumptions!$A$17:$N$29,13,FALSE))/1000</f>
        <v>5.1586683000000013</v>
      </c>
      <c r="R134" s="203">
        <f>(R45*VLOOKUP($A134,Assumptions!$A$17:$N$29,14,FALSE))/1000</f>
        <v>5.1586683000000013</v>
      </c>
    </row>
    <row r="135" spans="1:18" ht="14">
      <c r="A135" s="185" t="s">
        <v>37</v>
      </c>
      <c r="B135" s="182" t="s">
        <v>60</v>
      </c>
      <c r="C135" s="231">
        <v>1422</v>
      </c>
      <c r="D135" s="211">
        <v>1</v>
      </c>
      <c r="E135" s="199"/>
      <c r="F135" s="211">
        <v>1</v>
      </c>
      <c r="G135" s="203">
        <f>G46*VLOOKUP($A135,Assumptions!$A$17:$N$29,3,FALSE)/1000</f>
        <v>0</v>
      </c>
      <c r="H135" s="203">
        <f>(H46*VLOOKUP($A135,Assumptions!$A$17:$N$29,4,FALSE))/1000</f>
        <v>0</v>
      </c>
      <c r="I135" s="203">
        <f>(I46*VLOOKUP($A135,Assumptions!$A$17:$N$29,5,FALSE))/1000</f>
        <v>0</v>
      </c>
      <c r="J135" s="203">
        <f>(J46*VLOOKUP($A135,Assumptions!$A$17:$N$29,6,FALSE))/1000</f>
        <v>0</v>
      </c>
      <c r="K135" s="203">
        <f>(K46*VLOOKUP($A135,Assumptions!$A$17:$N$29,7,FALSE))/1000</f>
        <v>0</v>
      </c>
      <c r="L135" s="203">
        <f>(L46*VLOOKUP($A135,Assumptions!$A$17:$N$29,8,FALSE))/1000</f>
        <v>0</v>
      </c>
      <c r="M135" s="203">
        <f>(M46*VLOOKUP($A135,Assumptions!$A$17:$N$29,9,FALSE))/1000</f>
        <v>0</v>
      </c>
      <c r="N135" s="203">
        <f>(N46*VLOOKUP($A135,Assumptions!$A$17:$N$29,10,FALSE))/1000</f>
        <v>0</v>
      </c>
      <c r="O135" s="203">
        <f>(O46*VLOOKUP($A135,Assumptions!$A$17:$N$29,11,FALSE))/1000</f>
        <v>0</v>
      </c>
      <c r="P135" s="203">
        <f>(P46*VLOOKUP($A135,Assumptions!$A$17:$N$29,12,FALSE))/1000</f>
        <v>0</v>
      </c>
      <c r="Q135" s="203">
        <f>(Q46*VLOOKUP($A135,Assumptions!$A$17:$N$29,13,FALSE))/1000</f>
        <v>0</v>
      </c>
      <c r="R135" s="203">
        <f>(R46*VLOOKUP($A135,Assumptions!$A$17:$N$29,14,FALSE))/1000</f>
        <v>0</v>
      </c>
    </row>
    <row r="136" spans="1:18" ht="14">
      <c r="A136" s="185" t="s">
        <v>66</v>
      </c>
      <c r="B136" s="182" t="s">
        <v>170</v>
      </c>
      <c r="C136" s="231">
        <v>17363.8</v>
      </c>
      <c r="D136" s="212">
        <v>0</v>
      </c>
      <c r="E136" s="199"/>
      <c r="F136" s="211">
        <v>1</v>
      </c>
      <c r="G136" s="203">
        <f>G47*VLOOKUP($A136,Assumptions!$A$17:$N$29,3,FALSE)/1000</f>
        <v>20.81188487</v>
      </c>
      <c r="H136" s="203">
        <f>(H47*VLOOKUP($A136,Assumptions!$A$17:$N$29,4,FALSE))/1000</f>
        <v>13.340034870000002</v>
      </c>
      <c r="I136" s="203">
        <f>(I47*VLOOKUP($A136,Assumptions!$A$17:$N$29,5,FALSE))/1000</f>
        <v>13.340034870000002</v>
      </c>
      <c r="J136" s="203">
        <f>(J47*VLOOKUP($A136,Assumptions!$A$17:$N$29,6,FALSE))/1000</f>
        <v>13.340034870000002</v>
      </c>
      <c r="K136" s="203">
        <f>(K47*VLOOKUP($A136,Assumptions!$A$17:$N$29,7,FALSE))/1000</f>
        <v>13.340034870000002</v>
      </c>
      <c r="L136" s="203">
        <f>(L47*VLOOKUP($A136,Assumptions!$A$17:$N$29,8,FALSE))/1000</f>
        <v>7.0018448700000011</v>
      </c>
      <c r="M136" s="203">
        <f>(M47*VLOOKUP($A136,Assumptions!$A$17:$N$29,9,FALSE))/1000</f>
        <v>7.0018448700000011</v>
      </c>
      <c r="N136" s="203">
        <f>(N47*VLOOKUP($A136,Assumptions!$A$17:$N$29,10,FALSE))/1000</f>
        <v>7.0018448700000011</v>
      </c>
      <c r="O136" s="203">
        <f>(O47*VLOOKUP($A136,Assumptions!$A$17:$N$29,11,FALSE))/1000</f>
        <v>0.66365487000000101</v>
      </c>
      <c r="P136" s="203">
        <f>(P47*VLOOKUP($A136,Assumptions!$A$17:$N$29,12,FALSE))/1000</f>
        <v>0.66365487000000101</v>
      </c>
      <c r="Q136" s="203">
        <f>(Q47*VLOOKUP($A136,Assumptions!$A$17:$N$29,13,FALSE))/1000</f>
        <v>0.66365487000000101</v>
      </c>
      <c r="R136" s="203">
        <f>(R47*VLOOKUP($A136,Assumptions!$A$17:$N$29,14,FALSE))/1000</f>
        <v>0.66365487000000101</v>
      </c>
    </row>
    <row r="137" spans="1:18" ht="14">
      <c r="A137" s="185" t="s">
        <v>48</v>
      </c>
      <c r="B137" s="182" t="s">
        <v>168</v>
      </c>
      <c r="C137" s="231">
        <v>24784</v>
      </c>
      <c r="D137" s="212">
        <v>0</v>
      </c>
      <c r="E137" s="199"/>
      <c r="F137" s="211">
        <v>1</v>
      </c>
      <c r="G137" s="203">
        <f>G48*VLOOKUP($A137,Assumptions!$A$17:$N$29,3,FALSE)/1000</f>
        <v>0</v>
      </c>
      <c r="H137" s="203">
        <f>(H48*VLOOKUP($A137,Assumptions!$A$17:$N$29,4,FALSE))/1000</f>
        <v>0</v>
      </c>
      <c r="I137" s="203">
        <f>(I48*VLOOKUP($A137,Assumptions!$A$17:$N$29,5,FALSE))/1000</f>
        <v>0</v>
      </c>
      <c r="J137" s="203">
        <f>(J48*VLOOKUP($A137,Assumptions!$A$17:$N$29,6,FALSE))/1000</f>
        <v>0</v>
      </c>
      <c r="K137" s="203">
        <f>(K48*VLOOKUP($A137,Assumptions!$A$17:$N$29,7,FALSE))/1000</f>
        <v>0</v>
      </c>
      <c r="L137" s="203">
        <f>(L48*VLOOKUP($A137,Assumptions!$A$17:$N$29,8,FALSE))/1000</f>
        <v>0</v>
      </c>
      <c r="M137" s="203">
        <f>(M48*VLOOKUP($A137,Assumptions!$A$17:$N$29,9,FALSE))/1000</f>
        <v>0</v>
      </c>
      <c r="N137" s="203">
        <f>(N48*VLOOKUP($A137,Assumptions!$A$17:$N$29,10,FALSE))/1000</f>
        <v>0</v>
      </c>
      <c r="O137" s="203">
        <f>(O48*VLOOKUP($A137,Assumptions!$A$17:$N$29,11,FALSE))/1000</f>
        <v>0</v>
      </c>
      <c r="P137" s="203">
        <f>(P48*VLOOKUP($A137,Assumptions!$A$17:$N$29,12,FALSE))/1000</f>
        <v>0</v>
      </c>
      <c r="Q137" s="203">
        <f>(Q48*VLOOKUP($A137,Assumptions!$A$17:$N$29,13,FALSE))/1000</f>
        <v>0</v>
      </c>
      <c r="R137" s="203">
        <f>(R48*VLOOKUP($A137,Assumptions!$A$17:$N$29,14,FALSE))/1000</f>
        <v>0</v>
      </c>
    </row>
    <row r="138" spans="1:18" ht="14">
      <c r="A138" s="185" t="s">
        <v>30</v>
      </c>
      <c r="B138" s="182" t="s">
        <v>123</v>
      </c>
      <c r="C138" s="231">
        <v>23555.5</v>
      </c>
      <c r="D138" s="211">
        <v>0</v>
      </c>
      <c r="E138" s="199"/>
      <c r="F138" s="211">
        <v>1</v>
      </c>
      <c r="G138" s="203">
        <f>G49*VLOOKUP($A138,Assumptions!$A$17:$N$29,3,FALSE)/1000</f>
        <v>123.37626933</v>
      </c>
      <c r="H138" s="203">
        <f>(H49*VLOOKUP($A138,Assumptions!$A$17:$N$29,4,FALSE))/1000</f>
        <v>123.37626933</v>
      </c>
      <c r="I138" s="203">
        <f>(I49*VLOOKUP($A138,Assumptions!$A$17:$N$29,5,FALSE))/1000</f>
        <v>123.37626933</v>
      </c>
      <c r="J138" s="203">
        <f>(J49*VLOOKUP($A138,Assumptions!$A$17:$N$29,6,FALSE))/1000</f>
        <v>123.37626933</v>
      </c>
      <c r="K138" s="203">
        <f>(K49*VLOOKUP($A138,Assumptions!$A$17:$N$29,7,FALSE))/1000</f>
        <v>123.37626933</v>
      </c>
      <c r="L138" s="203">
        <f>(L49*VLOOKUP($A138,Assumptions!$A$17:$N$29,8,FALSE))/1000</f>
        <v>123.37626933</v>
      </c>
      <c r="M138" s="203">
        <f>(M49*VLOOKUP($A138,Assumptions!$A$17:$N$29,9,FALSE))/1000</f>
        <v>123.37626933</v>
      </c>
      <c r="N138" s="203">
        <f>(N49*VLOOKUP($A138,Assumptions!$A$17:$N$29,10,FALSE))/1000</f>
        <v>123.37626933</v>
      </c>
      <c r="O138" s="203">
        <f>(O49*VLOOKUP($A138,Assumptions!$A$17:$N$29,11,FALSE))/1000</f>
        <v>123.37626933</v>
      </c>
      <c r="P138" s="203">
        <f>(P49*VLOOKUP($A138,Assumptions!$A$17:$N$29,12,FALSE))/1000</f>
        <v>123.37626933</v>
      </c>
      <c r="Q138" s="203">
        <f>(Q49*VLOOKUP($A138,Assumptions!$A$17:$N$29,13,FALSE))/1000</f>
        <v>123.37626933</v>
      </c>
      <c r="R138" s="203">
        <f>(R49*VLOOKUP($A138,Assumptions!$A$17:$N$29,14,FALSE))/1000</f>
        <v>123.37626933</v>
      </c>
    </row>
    <row r="139" spans="1:18" ht="14">
      <c r="A139" s="185" t="s">
        <v>63</v>
      </c>
      <c r="B139" s="182" t="s">
        <v>64</v>
      </c>
      <c r="C139" s="231">
        <v>61127</v>
      </c>
      <c r="D139" s="211">
        <v>0.5</v>
      </c>
      <c r="E139" s="199"/>
      <c r="F139" s="211"/>
      <c r="G139" s="203">
        <f>G50*VLOOKUP($A139,Assumptions!$A$17:$N$29,3,FALSE)/1000</f>
        <v>111.59406880800002</v>
      </c>
      <c r="H139" s="203">
        <f>(H50*VLOOKUP($A139,Assumptions!$A$17:$N$29,4,FALSE))/1000</f>
        <v>111.59406880800002</v>
      </c>
      <c r="I139" s="203">
        <f>(I50*VLOOKUP($A139,Assumptions!$A$17:$N$29,5,FALSE))/1000</f>
        <v>111.59406880800002</v>
      </c>
      <c r="J139" s="203">
        <f>(J50*VLOOKUP($A139,Assumptions!$A$17:$N$29,6,FALSE))/1000</f>
        <v>111.59406880800002</v>
      </c>
      <c r="K139" s="203">
        <f>(K50*VLOOKUP($A139,Assumptions!$A$17:$N$29,7,FALSE))/1000</f>
        <v>111.59406880800002</v>
      </c>
      <c r="L139" s="203">
        <f>(L50*VLOOKUP($A139,Assumptions!$A$17:$N$29,8,FALSE))/1000</f>
        <v>111.59406880800002</v>
      </c>
      <c r="M139" s="203">
        <f>(M50*VLOOKUP($A139,Assumptions!$A$17:$N$29,9,FALSE))/1000</f>
        <v>23.271648808000009</v>
      </c>
      <c r="N139" s="203">
        <f>(N50*VLOOKUP($A139,Assumptions!$A$17:$N$29,10,FALSE))/1000</f>
        <v>23.271648808000009</v>
      </c>
      <c r="O139" s="203">
        <f>(O50*VLOOKUP($A139,Assumptions!$A$17:$N$29,11,FALSE))/1000</f>
        <v>23.271648808000009</v>
      </c>
      <c r="P139" s="203">
        <f>(P50*VLOOKUP($A139,Assumptions!$A$17:$N$29,12,FALSE))/1000</f>
        <v>23.271648808000009</v>
      </c>
      <c r="Q139" s="203">
        <f>(Q50*VLOOKUP($A139,Assumptions!$A$17:$N$29,13,FALSE))/1000</f>
        <v>23.271648808000009</v>
      </c>
      <c r="R139" s="203">
        <f>(R50*VLOOKUP($A139,Assumptions!$A$17:$N$29,14,FALSE))/1000</f>
        <v>23.271648808000009</v>
      </c>
    </row>
    <row r="140" spans="1:18" ht="14">
      <c r="A140" s="185" t="s">
        <v>66</v>
      </c>
      <c r="B140" s="182" t="s">
        <v>95</v>
      </c>
      <c r="C140" s="231">
        <v>41253</v>
      </c>
      <c r="D140" s="212">
        <v>0</v>
      </c>
      <c r="E140" s="199">
        <v>0.5</v>
      </c>
      <c r="F140" s="211"/>
      <c r="G140" s="203">
        <f>G51*VLOOKUP($A140,Assumptions!$A$17:$N$29,3,FALSE)/1000</f>
        <v>196.69001</v>
      </c>
      <c r="H140" s="203">
        <f>(H51*VLOOKUP($A140,Assumptions!$A$17:$N$29,4,FALSE))/1000</f>
        <v>196.69001</v>
      </c>
      <c r="I140" s="203">
        <f>(I51*VLOOKUP($A140,Assumptions!$A$17:$N$29,5,FALSE))/1000</f>
        <v>196.69001</v>
      </c>
      <c r="J140" s="203">
        <f>(J51*VLOOKUP($A140,Assumptions!$A$17:$N$29,6,FALSE))/1000</f>
        <v>196.69001</v>
      </c>
      <c r="K140" s="203">
        <f>(K51*VLOOKUP($A140,Assumptions!$A$17:$N$29,7,FALSE))/1000</f>
        <v>196.69001</v>
      </c>
      <c r="L140" s="203">
        <f>(L51*VLOOKUP($A140,Assumptions!$A$17:$N$29,8,FALSE))/1000</f>
        <v>196.69001</v>
      </c>
      <c r="M140" s="203">
        <f>(M51*VLOOKUP($A140,Assumptions!$A$17:$N$29,9,FALSE))/1000</f>
        <v>196.69001</v>
      </c>
      <c r="N140" s="203">
        <f>(N51*VLOOKUP($A140,Assumptions!$A$17:$N$29,10,FALSE))/1000</f>
        <v>196.69001</v>
      </c>
      <c r="O140" s="203">
        <f>(O51*VLOOKUP($A140,Assumptions!$A$17:$N$29,11,FALSE))/1000</f>
        <v>196.69001</v>
      </c>
      <c r="P140" s="203">
        <f>(P51*VLOOKUP($A140,Assumptions!$A$17:$N$29,12,FALSE))/1000</f>
        <v>196.69001</v>
      </c>
      <c r="Q140" s="203">
        <f>(Q51*VLOOKUP($A140,Assumptions!$A$17:$N$29,13,FALSE))/1000</f>
        <v>196.69001</v>
      </c>
      <c r="R140" s="203">
        <f>(R51*VLOOKUP($A140,Assumptions!$A$17:$N$29,14,FALSE))/1000</f>
        <v>196.69001</v>
      </c>
    </row>
    <row r="141" spans="1:18" ht="14">
      <c r="A141" s="185" t="s">
        <v>66</v>
      </c>
      <c r="B141" s="198" t="s">
        <v>133</v>
      </c>
      <c r="C141" s="231">
        <v>8227.2000000000007</v>
      </c>
      <c r="D141" s="212">
        <v>0</v>
      </c>
      <c r="E141" s="199"/>
      <c r="F141" s="211">
        <v>1</v>
      </c>
      <c r="G141" s="203">
        <f>G52*VLOOKUP($A141,Assumptions!$A$17:$N$29,3,FALSE)/1000</f>
        <v>0</v>
      </c>
      <c r="H141" s="203">
        <f>(H52*VLOOKUP($A141,Assumptions!$A$17:$N$29,4,FALSE))/1000</f>
        <v>0</v>
      </c>
      <c r="I141" s="203">
        <f>(I52*VLOOKUP($A141,Assumptions!$A$17:$N$29,5,FALSE))/1000</f>
        <v>0</v>
      </c>
      <c r="J141" s="203">
        <f>(J52*VLOOKUP($A141,Assumptions!$A$17:$N$29,6,FALSE))/1000</f>
        <v>0</v>
      </c>
      <c r="K141" s="203">
        <f>(K52*VLOOKUP($A141,Assumptions!$A$17:$N$29,7,FALSE))/1000</f>
        <v>0</v>
      </c>
      <c r="L141" s="203">
        <f>(L52*VLOOKUP($A141,Assumptions!$A$17:$N$29,8,FALSE))/1000</f>
        <v>0</v>
      </c>
      <c r="M141" s="203">
        <f>(M52*VLOOKUP($A141,Assumptions!$A$17:$N$29,9,FALSE))/1000</f>
        <v>0</v>
      </c>
      <c r="N141" s="203">
        <f>(N52*VLOOKUP($A141,Assumptions!$A$17:$N$29,10,FALSE))/1000</f>
        <v>0</v>
      </c>
      <c r="O141" s="203">
        <f>(O52*VLOOKUP($A141,Assumptions!$A$17:$N$29,11,FALSE))/1000</f>
        <v>0</v>
      </c>
      <c r="P141" s="203">
        <f>(P52*VLOOKUP($A141,Assumptions!$A$17:$N$29,12,FALSE))/1000</f>
        <v>0</v>
      </c>
      <c r="Q141" s="203">
        <f>(Q52*VLOOKUP($A141,Assumptions!$A$17:$N$29,13,FALSE))/1000</f>
        <v>0</v>
      </c>
      <c r="R141" s="203">
        <f>(R52*VLOOKUP($A141,Assumptions!$A$17:$N$29,14,FALSE))/1000</f>
        <v>0</v>
      </c>
    </row>
    <row r="142" spans="1:18" ht="14">
      <c r="A142" s="185" t="s">
        <v>178</v>
      </c>
      <c r="B142" s="198" t="s">
        <v>140</v>
      </c>
      <c r="C142" s="231">
        <v>20861</v>
      </c>
      <c r="D142" s="212">
        <v>1</v>
      </c>
      <c r="E142" s="199"/>
      <c r="F142" s="211">
        <v>0</v>
      </c>
      <c r="G142" s="203">
        <f>G53*VLOOKUP($A142,Assumptions!$A$17:$N$29,3,FALSE)/1000</f>
        <v>254.29544852999999</v>
      </c>
      <c r="H142" s="203">
        <f>(H53*VLOOKUP($A142,Assumptions!$A$17:$N$29,4,FALSE))/1000</f>
        <v>254.29544852999999</v>
      </c>
      <c r="I142" s="203">
        <f>(I53*VLOOKUP($A142,Assumptions!$A$17:$N$29,5,FALSE))/1000</f>
        <v>254.29544852999999</v>
      </c>
      <c r="J142" s="203">
        <f>(J53*VLOOKUP($A142,Assumptions!$A$17:$N$29,6,FALSE))/1000</f>
        <v>254.29544852999999</v>
      </c>
      <c r="K142" s="203">
        <f>(K53*VLOOKUP($A142,Assumptions!$A$17:$N$29,7,FALSE))/1000</f>
        <v>254.29544852999999</v>
      </c>
      <c r="L142" s="203">
        <f>(L53*VLOOKUP($A142,Assumptions!$A$17:$N$29,8,FALSE))/1000</f>
        <v>254.29544852999999</v>
      </c>
      <c r="M142" s="203">
        <f>(M53*VLOOKUP($A142,Assumptions!$A$17:$N$29,9,FALSE))/1000</f>
        <v>254.29544852999999</v>
      </c>
      <c r="N142" s="203">
        <f>(N53*VLOOKUP($A142,Assumptions!$A$17:$N$29,10,FALSE))/1000</f>
        <v>254.29544852999999</v>
      </c>
      <c r="O142" s="203">
        <f>(O53*VLOOKUP($A142,Assumptions!$A$17:$N$29,11,FALSE))/1000</f>
        <v>254.29544852999999</v>
      </c>
      <c r="P142" s="203">
        <f>(P53*VLOOKUP($A142,Assumptions!$A$17:$N$29,12,FALSE))/1000</f>
        <v>254.29544852999999</v>
      </c>
      <c r="Q142" s="203">
        <f>(Q53*VLOOKUP($A142,Assumptions!$A$17:$N$29,13,FALSE))/1000</f>
        <v>254.29544852999999</v>
      </c>
      <c r="R142" s="203">
        <f>(R53*VLOOKUP($A142,Assumptions!$A$17:$N$29,14,FALSE))/1000</f>
        <v>254.29544852999999</v>
      </c>
    </row>
    <row r="143" spans="1:18" ht="14">
      <c r="A143" s="185" t="s">
        <v>37</v>
      </c>
      <c r="B143" s="182" t="s">
        <v>166</v>
      </c>
      <c r="C143" s="231">
        <v>15723.1</v>
      </c>
      <c r="D143" s="212">
        <v>0</v>
      </c>
      <c r="E143" s="199"/>
      <c r="F143" s="211">
        <v>1</v>
      </c>
      <c r="G143" s="203">
        <f>G54*VLOOKUP($A143,Assumptions!$A$17:$N$29,3,FALSE)/1000</f>
        <v>88.971234230000007</v>
      </c>
      <c r="H143" s="203">
        <f>(H54*VLOOKUP($A143,Assumptions!$A$17:$N$29,4,FALSE))/1000</f>
        <v>81.298417229999998</v>
      </c>
      <c r="I143" s="203">
        <f>(I54*VLOOKUP($A143,Assumptions!$A$17:$N$29,5,FALSE))/1000</f>
        <v>81.298417229999998</v>
      </c>
      <c r="J143" s="203">
        <f>(J54*VLOOKUP($A143,Assumptions!$A$17:$N$29,6,FALSE))/1000</f>
        <v>67.478071229999998</v>
      </c>
      <c r="K143" s="203">
        <f>(K54*VLOOKUP($A143,Assumptions!$A$17:$N$29,7,FALSE))/1000</f>
        <v>50.20521523</v>
      </c>
      <c r="L143" s="203">
        <f>(L54*VLOOKUP($A143,Assumptions!$A$17:$N$29,8,FALSE))/1000</f>
        <v>50.20521523</v>
      </c>
      <c r="M143" s="203">
        <f>(M54*VLOOKUP($A143,Assumptions!$A$17:$N$29,9,FALSE))/1000</f>
        <v>50.20521523</v>
      </c>
      <c r="N143" s="203">
        <f>(N54*VLOOKUP($A143,Assumptions!$A$17:$N$29,10,FALSE))/1000</f>
        <v>50.20521523</v>
      </c>
      <c r="O143" s="203">
        <f>(O54*VLOOKUP($A143,Assumptions!$A$17:$N$29,11,FALSE))/1000</f>
        <v>48.478960229999998</v>
      </c>
      <c r="P143" s="203">
        <f>(P54*VLOOKUP($A143,Assumptions!$A$17:$N$29,12,FALSE))/1000</f>
        <v>48.478960229999998</v>
      </c>
      <c r="Q143" s="203">
        <f>(Q54*VLOOKUP($A143,Assumptions!$A$17:$N$29,13,FALSE))/1000</f>
        <v>48.478960229999998</v>
      </c>
      <c r="R143" s="203">
        <f>(R54*VLOOKUP($A143,Assumptions!$A$17:$N$29,14,FALSE))/1000</f>
        <v>48.478960229999998</v>
      </c>
    </row>
    <row r="144" spans="1:18" ht="14.5" thickBot="1">
      <c r="A144" s="185" t="s">
        <v>66</v>
      </c>
      <c r="B144" s="182" t="s">
        <v>67</v>
      </c>
      <c r="C144" s="231">
        <v>12837.7</v>
      </c>
      <c r="D144" s="211">
        <v>0</v>
      </c>
      <c r="E144" s="199"/>
      <c r="F144" s="211">
        <v>1</v>
      </c>
      <c r="G144" s="203">
        <f>G55*VLOOKUP($A144,Assumptions!$A$17:$N$29,3,FALSE)/1000</f>
        <v>149.07361043999998</v>
      </c>
      <c r="H144" s="203">
        <f>(H55*VLOOKUP($A144,Assumptions!$A$17:$N$29,4,FALSE))/1000</f>
        <v>149.07361043999998</v>
      </c>
      <c r="I144" s="203">
        <f>(I55*VLOOKUP($A144,Assumptions!$A$17:$N$29,5,FALSE))/1000</f>
        <v>149.07361043999998</v>
      </c>
      <c r="J144" s="203">
        <f>(J55*VLOOKUP($A144,Assumptions!$A$17:$N$29,6,FALSE))/1000</f>
        <v>149.07361043999998</v>
      </c>
      <c r="K144" s="203">
        <f>(K55*VLOOKUP($A144,Assumptions!$A$17:$N$29,7,FALSE))/1000</f>
        <v>143.89865866</v>
      </c>
      <c r="L144" s="203">
        <f>(L55*VLOOKUP($A144,Assumptions!$A$17:$N$29,8,FALSE))/1000</f>
        <v>143.89865866</v>
      </c>
      <c r="M144" s="203">
        <f>(M55*VLOOKUP($A144,Assumptions!$A$17:$N$29,9,FALSE))/1000</f>
        <v>143.89865866</v>
      </c>
      <c r="N144" s="203">
        <f>(N55*VLOOKUP($A144,Assumptions!$A$17:$N$29,10,FALSE))/1000</f>
        <v>143.89865866</v>
      </c>
      <c r="O144" s="203">
        <f>(O55*VLOOKUP($A144,Assumptions!$A$17:$N$29,11,FALSE))/1000</f>
        <v>143.89865866</v>
      </c>
      <c r="P144" s="203">
        <f>(P55*VLOOKUP($A144,Assumptions!$A$17:$N$29,12,FALSE))/1000</f>
        <v>90.975338989999997</v>
      </c>
      <c r="Q144" s="203">
        <f>(Q55*VLOOKUP($A144,Assumptions!$A$17:$N$29,13,FALSE))/1000</f>
        <v>90.975338989999997</v>
      </c>
      <c r="R144" s="203">
        <f>(R55*VLOOKUP($A144,Assumptions!$A$17:$N$29,14,FALSE))/1000</f>
        <v>90.975338989999997</v>
      </c>
    </row>
    <row r="145" spans="1:21" ht="13" thickTop="1">
      <c r="G145" s="201">
        <f>SUBTOTAL(9,G122:G144)</f>
        <v>2675.2849475279995</v>
      </c>
      <c r="H145" s="201">
        <f>SUBTOTAL(9,H122:H144)</f>
        <v>2638.6137152214001</v>
      </c>
      <c r="I145" s="201">
        <f>SUBTOTAL(9,I122:I144)</f>
        <v>2638.6137152214001</v>
      </c>
      <c r="J145" s="201">
        <f t="shared" ref="J145:R145" si="8">SUBTOTAL(9,J122:J144)</f>
        <v>2579.1171274339604</v>
      </c>
      <c r="K145" s="201">
        <f t="shared" si="8"/>
        <v>2531.5226796539605</v>
      </c>
      <c r="L145" s="201">
        <f t="shared" si="8"/>
        <v>2474.6847537032236</v>
      </c>
      <c r="M145" s="201">
        <f t="shared" si="8"/>
        <v>2355.8791312314847</v>
      </c>
      <c r="N145" s="201">
        <f t="shared" si="8"/>
        <v>2150.5320812314849</v>
      </c>
      <c r="O145" s="201">
        <f t="shared" si="8"/>
        <v>2019.26305731039</v>
      </c>
      <c r="P145" s="201">
        <f t="shared" si="8"/>
        <v>1943.15123764039</v>
      </c>
      <c r="Q145" s="201">
        <f t="shared" si="8"/>
        <v>1885.0769276403901</v>
      </c>
      <c r="R145" s="201">
        <f t="shared" si="8"/>
        <v>1855.3611283489247</v>
      </c>
      <c r="S145" s="202">
        <f t="shared" ref="S145" si="9">(R145-G145)/G145</f>
        <v>-0.30648093016659622</v>
      </c>
    </row>
    <row r="147" spans="1:21" ht="13" thickBot="1">
      <c r="F147" s="238" t="s">
        <v>210</v>
      </c>
      <c r="G147" s="631"/>
      <c r="H147" s="631">
        <f>H145*Assumptions!D35</f>
        <v>158316.82291328401</v>
      </c>
      <c r="I147" s="631">
        <f>I145*Assumptions!E35</f>
        <v>158316.82291328401</v>
      </c>
      <c r="J147" s="631">
        <f>J145*Assumptions!F35</f>
        <v>154747.02764603763</v>
      </c>
      <c r="K147" s="631">
        <f>K145*Assumptions!G35</f>
        <v>151891.36077923764</v>
      </c>
      <c r="L147" s="631">
        <f>L145*Assumptions!H35</f>
        <v>148481.08522219342</v>
      </c>
      <c r="M147" s="631">
        <f>M145*Assumptions!I35</f>
        <v>141352.74787388908</v>
      </c>
      <c r="N147" s="631">
        <f>N145*Assumptions!J35</f>
        <v>129031.92487388909</v>
      </c>
      <c r="O147" s="631">
        <f>O145*Assumptions!K35</f>
        <v>121155.7834386234</v>
      </c>
      <c r="P147" s="631">
        <f>P145*Assumptions!L35</f>
        <v>116589.0742584234</v>
      </c>
      <c r="Q147" s="631">
        <f>Q145*Assumptions!M35</f>
        <v>113104.6156584234</v>
      </c>
      <c r="R147" s="631">
        <f>R145*Assumptions!N35</f>
        <v>111321.66770093548</v>
      </c>
    </row>
    <row r="148" spans="1:21" ht="13" thickTop="1">
      <c r="F148" s="185" t="s">
        <v>213</v>
      </c>
      <c r="G148" s="632"/>
      <c r="H148" s="632">
        <f t="shared" ref="H148:R148" si="10">H27*29</f>
        <v>987633.41050000011</v>
      </c>
      <c r="I148" s="632">
        <f t="shared" si="10"/>
        <v>987633.41050000011</v>
      </c>
      <c r="J148" s="632">
        <f t="shared" si="10"/>
        <v>949791.31021000014</v>
      </c>
      <c r="K148" s="632">
        <f t="shared" si="10"/>
        <v>927679.18721000012</v>
      </c>
      <c r="L148" s="632">
        <f t="shared" si="10"/>
        <v>902179.48721000028</v>
      </c>
      <c r="M148" s="632">
        <f t="shared" si="10"/>
        <v>902179.48721000028</v>
      </c>
      <c r="N148" s="632">
        <f t="shared" si="10"/>
        <v>907312.48721000028</v>
      </c>
      <c r="O148" s="632">
        <f t="shared" si="10"/>
        <v>878654.68721000012</v>
      </c>
      <c r="P148" s="632">
        <f t="shared" si="10"/>
        <v>846319.31021000014</v>
      </c>
      <c r="Q148" s="632">
        <f t="shared" si="10"/>
        <v>846319.31021000014</v>
      </c>
      <c r="R148" s="632">
        <f t="shared" si="10"/>
        <v>839939.31021000014</v>
      </c>
    </row>
    <row r="151" spans="1:21" ht="18" thickBot="1">
      <c r="A151" s="196" t="s">
        <v>204</v>
      </c>
    </row>
    <row r="152" spans="1:21" ht="15" thickTop="1" thickBot="1">
      <c r="A152" s="184" t="s">
        <v>6</v>
      </c>
      <c r="B152" s="184" t="s">
        <v>7</v>
      </c>
      <c r="C152" s="184" t="s">
        <v>9</v>
      </c>
      <c r="D152" s="184" t="s">
        <v>10</v>
      </c>
      <c r="E152" s="184" t="s">
        <v>11</v>
      </c>
      <c r="F152" s="184" t="s">
        <v>12</v>
      </c>
      <c r="G152" s="184" t="s">
        <v>188</v>
      </c>
      <c r="H152" s="184" t="s">
        <v>189</v>
      </c>
      <c r="I152" s="184" t="s">
        <v>190</v>
      </c>
      <c r="J152" s="184" t="s">
        <v>191</v>
      </c>
      <c r="K152" s="184" t="s">
        <v>192</v>
      </c>
      <c r="L152" s="184" t="s">
        <v>193</v>
      </c>
      <c r="M152" s="184" t="s">
        <v>194</v>
      </c>
      <c r="N152" s="184" t="s">
        <v>195</v>
      </c>
      <c r="O152" s="184" t="s">
        <v>196</v>
      </c>
      <c r="P152" s="184" t="s">
        <v>197</v>
      </c>
      <c r="Q152" s="184" t="s">
        <v>198</v>
      </c>
      <c r="R152" s="184" t="s">
        <v>199</v>
      </c>
      <c r="S152" s="200" t="s">
        <v>198</v>
      </c>
      <c r="U152" s="186" t="s">
        <v>214</v>
      </c>
    </row>
    <row r="153" spans="1:21" ht="14.5" thickTop="1">
      <c r="A153" s="185" t="s">
        <v>30</v>
      </c>
      <c r="B153" s="198" t="s">
        <v>31</v>
      </c>
      <c r="C153" s="228">
        <v>29166</v>
      </c>
      <c r="D153" s="211">
        <v>1</v>
      </c>
      <c r="E153" s="199"/>
      <c r="F153" s="211">
        <v>1</v>
      </c>
      <c r="G153" s="193">
        <f>'1M-NR'!F272</f>
        <v>5.1606552665612879</v>
      </c>
      <c r="H153" s="193">
        <f>'1M-NR'!G272</f>
        <v>5.1606552665612879</v>
      </c>
      <c r="I153" s="193">
        <f>'1M-NR'!H272</f>
        <v>5.1749719079986978</v>
      </c>
      <c r="J153" s="193">
        <f>'1M-NR'!I272</f>
        <v>5.5615212268087628</v>
      </c>
      <c r="K153" s="193">
        <f>'1M-NR'!J272</f>
        <v>5.6194497516387898</v>
      </c>
      <c r="L153" s="193">
        <f>'1M-NR'!K272</f>
        <v>5.6283318490111567</v>
      </c>
      <c r="M153" s="193">
        <f>'1M-NR'!L272</f>
        <v>5.6372139463835236</v>
      </c>
      <c r="N153" s="193">
        <f>'1M-NR'!M272</f>
        <v>5.6460960437558905</v>
      </c>
      <c r="O153" s="193">
        <f>'1M-NR'!N272</f>
        <v>5.7707175822301329</v>
      </c>
      <c r="P153" s="193">
        <f>'1M-NR'!O272</f>
        <v>5.7707175822301329</v>
      </c>
      <c r="Q153" s="193">
        <f>'1M-NR'!P272</f>
        <v>5.7707175822301329</v>
      </c>
      <c r="R153" s="193">
        <f>'1M-NR'!Q272</f>
        <v>5.7707175822301329</v>
      </c>
      <c r="S153" s="349">
        <f t="shared" ref="S153:S165" si="11">Q153-G153</f>
        <v>0.61006231566884495</v>
      </c>
      <c r="T153" s="362">
        <f>S153*C153</f>
        <v>17793.077498797531</v>
      </c>
      <c r="U153" s="363">
        <f>S153*C153/T153</f>
        <v>1</v>
      </c>
    </row>
    <row r="154" spans="1:21" ht="14">
      <c r="A154" s="185" t="s">
        <v>37</v>
      </c>
      <c r="B154" s="182" t="s">
        <v>38</v>
      </c>
      <c r="C154" s="228">
        <v>62987</v>
      </c>
      <c r="D154" s="211">
        <v>0.5</v>
      </c>
      <c r="E154" s="199"/>
      <c r="F154" s="211">
        <v>1</v>
      </c>
      <c r="G154" s="193">
        <f>'120C-NR'!F272</f>
        <v>4.2064719358533793</v>
      </c>
      <c r="H154" s="193">
        <f>'120C-NR'!G272</f>
        <v>4.2064719358533793</v>
      </c>
      <c r="I154" s="193">
        <f>'120C-NR'!H272</f>
        <v>4.2064719358533793</v>
      </c>
      <c r="J154" s="193">
        <f>'120C-NR'!I272</f>
        <v>4.2064719358533793</v>
      </c>
      <c r="K154" s="193">
        <f>'120C-NR'!J272</f>
        <v>4.2064719358533793</v>
      </c>
      <c r="L154" s="193">
        <f>'120C-NR'!K272</f>
        <v>4.2064719358533793</v>
      </c>
      <c r="M154" s="193">
        <f>'120C-NR'!L272</f>
        <v>4.2064719358533793</v>
      </c>
      <c r="N154" s="193">
        <f>'120C-NR'!M272</f>
        <v>4.2064719358533793</v>
      </c>
      <c r="O154" s="193">
        <f>'120C-NR'!N272</f>
        <v>4.2064719358533793</v>
      </c>
      <c r="P154" s="193">
        <f>'120C-NR'!O272</f>
        <v>4.2064719358533793</v>
      </c>
      <c r="Q154" s="193">
        <f>'120C-NR'!P272</f>
        <v>4.2064719358533793</v>
      </c>
      <c r="R154" s="193">
        <f>'120C-NR'!Q272</f>
        <v>4.2064719358533793</v>
      </c>
      <c r="S154" s="349">
        <f t="shared" si="11"/>
        <v>0</v>
      </c>
      <c r="T154" s="362">
        <f t="shared" ref="T154:T175" si="12">S154*C154</f>
        <v>0</v>
      </c>
      <c r="U154" s="363"/>
    </row>
    <row r="155" spans="1:21" ht="14">
      <c r="A155" s="185" t="s">
        <v>30</v>
      </c>
      <c r="B155" s="182" t="s">
        <v>42</v>
      </c>
      <c r="C155" s="231">
        <v>42132</v>
      </c>
      <c r="D155" s="211">
        <v>0.5</v>
      </c>
      <c r="E155" s="199">
        <v>0.25</v>
      </c>
      <c r="F155" s="211">
        <v>1</v>
      </c>
      <c r="G155" s="193">
        <f>'126P-NR'!F272</f>
        <v>5.1893950280212673</v>
      </c>
      <c r="H155" s="193">
        <f>'126P-NR'!G272</f>
        <v>5.1893950280212673</v>
      </c>
      <c r="I155" s="193">
        <f>'126P-NR'!H272</f>
        <v>5.1981210607315385</v>
      </c>
      <c r="J155" s="193">
        <f>'126P-NR'!I272</f>
        <v>5.2635663060585705</v>
      </c>
      <c r="K155" s="193">
        <f>'126P-NR'!J272</f>
        <v>5.2635663060585705</v>
      </c>
      <c r="L155" s="193">
        <f>'126P-NR'!K272</f>
        <v>5.2635663060585705</v>
      </c>
      <c r="M155" s="193">
        <f>'126P-NR'!L272</f>
        <v>5.2983154690224481</v>
      </c>
      <c r="N155" s="193">
        <f>'126P-NR'!M272</f>
        <v>5.2983154690224481</v>
      </c>
      <c r="O155" s="193">
        <f>'126P-NR'!N272</f>
        <v>5.5468797426384837</v>
      </c>
      <c r="P155" s="193">
        <f>'126P-NR'!O272</f>
        <v>5.5468797426384837</v>
      </c>
      <c r="Q155" s="193">
        <f>'126P-NR'!P272</f>
        <v>5.6341400697411936</v>
      </c>
      <c r="R155" s="193">
        <f>'126P-NR'!Q272</f>
        <v>5.6341400697411936</v>
      </c>
      <c r="S155" s="349">
        <f t="shared" si="11"/>
        <v>0.44474504171992635</v>
      </c>
      <c r="T155" s="362">
        <f t="shared" si="12"/>
        <v>18737.998097743937</v>
      </c>
    </row>
    <row r="156" spans="1:21" ht="14">
      <c r="A156" s="185" t="s">
        <v>30</v>
      </c>
      <c r="B156" s="182" t="s">
        <v>43</v>
      </c>
      <c r="C156" s="231">
        <v>12509</v>
      </c>
      <c r="D156" s="211">
        <v>1</v>
      </c>
      <c r="E156" s="199"/>
      <c r="F156" s="211">
        <v>1</v>
      </c>
      <c r="G156" s="193">
        <f>'117C-NR'!F272</f>
        <v>5.3187239545911771</v>
      </c>
      <c r="H156" s="193">
        <f>'117C-NR'!G272</f>
        <v>5.3187239545911771</v>
      </c>
      <c r="I156" s="193">
        <f>'117C-NR'!H272</f>
        <v>5.3187239545911771</v>
      </c>
      <c r="J156" s="193">
        <f>'117C-NR'!I272</f>
        <v>5.3187239545911771</v>
      </c>
      <c r="K156" s="193">
        <f>'117C-NR'!J272</f>
        <v>5.3187239545911771</v>
      </c>
      <c r="L156" s="193">
        <f>'117C-NR'!K272</f>
        <v>5.3187239545911771</v>
      </c>
      <c r="M156" s="193">
        <f>'117C-NR'!L272</f>
        <v>5.3187239545911771</v>
      </c>
      <c r="N156" s="193">
        <f>'117C-NR'!M272</f>
        <v>5.3187239545911771</v>
      </c>
      <c r="O156" s="193">
        <f>'117C-NR'!N272</f>
        <v>5.3187239545911771</v>
      </c>
      <c r="P156" s="193">
        <f>'117C-NR'!O272</f>
        <v>5.3187239545911771</v>
      </c>
      <c r="Q156" s="193">
        <f>'117C-NR'!P272</f>
        <v>5.3187239545911771</v>
      </c>
      <c r="R156" s="193">
        <f>'117C-NR'!Q272</f>
        <v>5.3187239545911771</v>
      </c>
      <c r="S156" s="349">
        <f t="shared" si="11"/>
        <v>0</v>
      </c>
      <c r="T156" s="362">
        <f t="shared" si="12"/>
        <v>0</v>
      </c>
    </row>
    <row r="157" spans="1:21" ht="14">
      <c r="A157" s="185" t="s">
        <v>30</v>
      </c>
      <c r="B157" s="182" t="s">
        <v>46</v>
      </c>
      <c r="C157" s="231">
        <v>27263</v>
      </c>
      <c r="D157" s="211">
        <v>1</v>
      </c>
      <c r="E157" s="199"/>
      <c r="F157" s="211">
        <v>1</v>
      </c>
      <c r="G157" s="193">
        <f>'135K-NR'!F273</f>
        <v>5.5572639747090102</v>
      </c>
      <c r="H157" s="193">
        <f>'135K-NR'!G273</f>
        <v>5.5572639747090102</v>
      </c>
      <c r="I157" s="193">
        <f>'135K-NR'!H273</f>
        <v>5.5572639747090102</v>
      </c>
      <c r="J157" s="193">
        <f>'135K-NR'!I273</f>
        <v>5.5572639747090102</v>
      </c>
      <c r="K157" s="193">
        <f>'135K-NR'!J273</f>
        <v>5.5572639747090102</v>
      </c>
      <c r="L157" s="193">
        <f>'135K-NR'!K273</f>
        <v>5.65751459975733</v>
      </c>
      <c r="M157" s="193">
        <f>'135K-NR'!L273</f>
        <v>5.7455724710361702</v>
      </c>
      <c r="N157" s="193">
        <f>'135K-NR'!M273</f>
        <v>5.7455724710361702</v>
      </c>
      <c r="O157" s="193">
        <f>'135K-NR'!N273</f>
        <v>5.7336862891148463</v>
      </c>
      <c r="P157" s="193">
        <f>'135K-NR'!O273</f>
        <v>5.7336862891148463</v>
      </c>
      <c r="Q157" s="193">
        <f>'135K-NR'!P273</f>
        <v>5.7336862891148463</v>
      </c>
      <c r="R157" s="193">
        <f>'135K-NR'!Q273</f>
        <v>5.7336862891148463</v>
      </c>
      <c r="S157" s="349">
        <f t="shared" si="11"/>
        <v>0.17642231440583611</v>
      </c>
      <c r="T157" s="362">
        <f t="shared" si="12"/>
        <v>4809.8015576463104</v>
      </c>
    </row>
    <row r="158" spans="1:21" ht="14">
      <c r="A158" s="185" t="s">
        <v>30</v>
      </c>
      <c r="B158" s="182" t="s">
        <v>47</v>
      </c>
      <c r="C158" s="231">
        <v>39057</v>
      </c>
      <c r="D158" s="211">
        <v>1</v>
      </c>
      <c r="E158" s="199"/>
      <c r="F158" s="211">
        <v>1</v>
      </c>
      <c r="G158" s="193">
        <f>'201K-NR'!F272</f>
        <v>5.5342721655410259</v>
      </c>
      <c r="H158" s="193">
        <f>'201K-NR'!G272</f>
        <v>5.5342721655410259</v>
      </c>
      <c r="I158" s="193">
        <f>'201K-NR'!H272</f>
        <v>5.5546713464728459</v>
      </c>
      <c r="J158" s="193">
        <f>'201K-NR'!I272</f>
        <v>5.8931708217041399</v>
      </c>
      <c r="K158" s="193">
        <f>'201K-NR'!J272</f>
        <v>5.8931708217041399</v>
      </c>
      <c r="L158" s="193">
        <f>'201K-NR'!K272</f>
        <v>5.910170139147322</v>
      </c>
      <c r="M158" s="193">
        <f>'201K-NR'!L272</f>
        <v>5.910170139147322</v>
      </c>
      <c r="N158" s="193">
        <f>'201K-NR'!M272</f>
        <v>5.910170139147322</v>
      </c>
      <c r="O158" s="193">
        <f>'201K-NR'!N272</f>
        <v>5.9478053687578303</v>
      </c>
      <c r="P158" s="193">
        <f>'201K-NR'!O272</f>
        <v>6.1177985431896591</v>
      </c>
      <c r="Q158" s="193">
        <f>'201K-NR'!P272</f>
        <v>6.4800970628414092</v>
      </c>
      <c r="R158" s="193">
        <f>'201K-NR'!Q272</f>
        <v>6.4800970628414092</v>
      </c>
      <c r="S158" s="349">
        <f t="shared" si="11"/>
        <v>0.94582489730038333</v>
      </c>
      <c r="T158" s="362">
        <f t="shared" si="12"/>
        <v>36941.083013861069</v>
      </c>
    </row>
    <row r="159" spans="1:21" ht="14">
      <c r="A159" s="185" t="s">
        <v>48</v>
      </c>
      <c r="B159" s="182" t="s">
        <v>49</v>
      </c>
      <c r="C159" s="231">
        <v>24754</v>
      </c>
      <c r="D159" s="211">
        <v>1</v>
      </c>
      <c r="E159" s="199"/>
      <c r="F159" s="211">
        <v>1</v>
      </c>
      <c r="G159" s="193">
        <f>'259Q-NR'!F272</f>
        <v>5.4825066741604607</v>
      </c>
      <c r="H159" s="193">
        <f>'259Q-NR'!G272</f>
        <v>5.4825066741604607</v>
      </c>
      <c r="I159" s="193">
        <f>'259Q-NR'!H272</f>
        <v>5.4825066741604607</v>
      </c>
      <c r="J159" s="193">
        <f>'259Q-NR'!I272</f>
        <v>5.4825066802171643</v>
      </c>
      <c r="K159" s="193">
        <f>'259Q-NR'!J272</f>
        <v>5.4825066802171643</v>
      </c>
      <c r="L159" s="193">
        <f>'259Q-NR'!K272</f>
        <v>5.5895153057815321</v>
      </c>
      <c r="M159" s="193">
        <f>'259Q-NR'!L272</f>
        <v>5.5895153057815321</v>
      </c>
      <c r="N159" s="193">
        <f>'259Q-NR'!M272</f>
        <v>5.5895153057815321</v>
      </c>
      <c r="O159" s="193">
        <f>'259Q-NR'!N272</f>
        <v>5.5895153057815321</v>
      </c>
      <c r="P159" s="193">
        <f>'259Q-NR'!O272</f>
        <v>5.6624228737996827</v>
      </c>
      <c r="Q159" s="193">
        <f>'259Q-NR'!P272</f>
        <v>5.6624228737996827</v>
      </c>
      <c r="R159" s="193">
        <f>'259Q-NR'!Q272</f>
        <v>5.6624228737996827</v>
      </c>
      <c r="S159" s="349">
        <f t="shared" si="11"/>
        <v>0.17991619963922201</v>
      </c>
      <c r="T159" s="362">
        <f t="shared" si="12"/>
        <v>4453.645605869302</v>
      </c>
    </row>
    <row r="160" spans="1:21" ht="14">
      <c r="A160" s="185" t="s">
        <v>30</v>
      </c>
      <c r="B160" s="182" t="s">
        <v>92</v>
      </c>
      <c r="C160" s="231">
        <v>26819</v>
      </c>
      <c r="D160" s="212">
        <v>0</v>
      </c>
      <c r="E160" s="199">
        <v>1</v>
      </c>
      <c r="F160" s="211">
        <v>1</v>
      </c>
      <c r="G160" s="193">
        <f>'347K-NR'!F272</f>
        <v>5.1319155051013077</v>
      </c>
      <c r="H160" s="193">
        <f>'347K-NR'!G272</f>
        <v>5.1319155051013077</v>
      </c>
      <c r="I160" s="193">
        <f>'347K-NR'!H272</f>
        <v>5.1319155051013077</v>
      </c>
      <c r="J160" s="193">
        <f>'347K-NR'!I272</f>
        <v>5.1439247095331417</v>
      </c>
      <c r="K160" s="193">
        <f>'347K-NR'!J272</f>
        <v>5.3327172387454072</v>
      </c>
      <c r="L160" s="193">
        <f>'347K-NR'!K272</f>
        <v>5.3327172387454072</v>
      </c>
      <c r="M160" s="193">
        <f>'347K-NR'!L272</f>
        <v>5.3327172387454072</v>
      </c>
      <c r="N160" s="193">
        <f>'347K-NR'!M272</f>
        <v>5.3327172387454072</v>
      </c>
      <c r="O160" s="193">
        <f>'347K-NR'!N272</f>
        <v>5.3190057657589067</v>
      </c>
      <c r="P160" s="193">
        <f>'347K-NR'!O272</f>
        <v>5.3190057657589067</v>
      </c>
      <c r="Q160" s="193">
        <f>'347K-NR'!P272</f>
        <v>5.3190057657589067</v>
      </c>
      <c r="R160" s="193">
        <f>'347K-NR'!Q272</f>
        <v>5.5496417176584805</v>
      </c>
      <c r="S160" s="349">
        <f t="shared" si="11"/>
        <v>0.18709026065759904</v>
      </c>
      <c r="T160" s="362">
        <f t="shared" si="12"/>
        <v>5017.5737005761484</v>
      </c>
    </row>
    <row r="161" spans="1:20" ht="14">
      <c r="A161" s="185" t="s">
        <v>30</v>
      </c>
      <c r="B161" s="182" t="s">
        <v>52</v>
      </c>
      <c r="C161" s="231">
        <v>28396</v>
      </c>
      <c r="D161" s="211">
        <v>0.75</v>
      </c>
      <c r="E161" s="199"/>
      <c r="F161" s="211">
        <v>1</v>
      </c>
      <c r="G161" s="193">
        <f>'40M-NR'!F272</f>
        <v>5.8216697801408248</v>
      </c>
      <c r="H161" s="193">
        <f>'40M-NR'!G272</f>
        <v>5.8216697801408248</v>
      </c>
      <c r="I161" s="193">
        <f>'40M-NR'!H272</f>
        <v>5.8107065289353068</v>
      </c>
      <c r="J161" s="193">
        <f>'40M-NR'!I272</f>
        <v>5.8107065289353068</v>
      </c>
      <c r="K161" s="193">
        <f>'40M-NR'!J272</f>
        <v>5.8107065289353068</v>
      </c>
      <c r="L161" s="193">
        <f>'40M-NR'!K272</f>
        <v>5.8499647687555969</v>
      </c>
      <c r="M161" s="193">
        <f>'40M-NR'!L272</f>
        <v>5.8761369286357903</v>
      </c>
      <c r="N161" s="193">
        <f>'40M-NR'!M272</f>
        <v>5.8761369286357903</v>
      </c>
      <c r="O161" s="193">
        <f>'40M-NR'!N272</f>
        <v>5.8662850006524447</v>
      </c>
      <c r="P161" s="193">
        <f>'40M-NR'!O272</f>
        <v>5.8662850006524447</v>
      </c>
      <c r="Q161" s="193">
        <f>'40M-NR'!P272</f>
        <v>5.8662850006524447</v>
      </c>
      <c r="R161" s="193">
        <f>'40M-NR'!Q272</f>
        <v>5.8662850006524447</v>
      </c>
      <c r="S161" s="349">
        <f t="shared" si="11"/>
        <v>4.4615220511619924E-2</v>
      </c>
      <c r="T161" s="362">
        <f t="shared" si="12"/>
        <v>1266.8938016479594</v>
      </c>
    </row>
    <row r="162" spans="1:20" ht="14">
      <c r="A162" s="185" t="s">
        <v>30</v>
      </c>
      <c r="B162" s="182" t="s">
        <v>54</v>
      </c>
      <c r="C162" s="231">
        <v>37558</v>
      </c>
      <c r="D162" s="211">
        <v>0.75</v>
      </c>
      <c r="E162" s="199"/>
      <c r="F162" s="211">
        <v>1</v>
      </c>
      <c r="G162" s="193">
        <f>'420G-NR'!F272</f>
        <v>5.448052881161086</v>
      </c>
      <c r="H162" s="193">
        <f>'420G-NR'!G272</f>
        <v>5.448052881161086</v>
      </c>
      <c r="I162" s="193">
        <f>'420G-NR'!H272</f>
        <v>5.5006819299584313</v>
      </c>
      <c r="J162" s="193">
        <f>'420G-NR'!I272</f>
        <v>5.5006819299584313</v>
      </c>
      <c r="K162" s="193">
        <f>'420G-NR'!J272</f>
        <v>5.5006819299584313</v>
      </c>
      <c r="L162" s="193">
        <f>'420G-NR'!K272</f>
        <v>5.632254551951795</v>
      </c>
      <c r="M162" s="193">
        <f>'420G-NR'!L272</f>
        <v>5.6487011297009655</v>
      </c>
      <c r="N162" s="193">
        <f>'420G-NR'!M272</f>
        <v>5.6487011297009655</v>
      </c>
      <c r="O162" s="193">
        <f>'420G-NR'!N272</f>
        <v>5.6413803315520532</v>
      </c>
      <c r="P162" s="193">
        <f>'420G-NR'!O272</f>
        <v>5.6864549189699458</v>
      </c>
      <c r="Q162" s="193">
        <f>'420G-NR'!P272</f>
        <v>5.7061908122689511</v>
      </c>
      <c r="R162" s="193">
        <f>'420G-NR'!Q272</f>
        <v>5.7061908122689511</v>
      </c>
      <c r="S162" s="349">
        <f t="shared" si="11"/>
        <v>0.25813793110786509</v>
      </c>
      <c r="T162" s="362">
        <f t="shared" si="12"/>
        <v>9695.1444165491976</v>
      </c>
    </row>
    <row r="163" spans="1:20" ht="14">
      <c r="A163" s="185" t="s">
        <v>37</v>
      </c>
      <c r="B163" s="182" t="s">
        <v>55</v>
      </c>
      <c r="C163" s="231">
        <v>55051</v>
      </c>
      <c r="D163" s="211">
        <v>0.5</v>
      </c>
      <c r="E163" s="199">
        <v>0.5</v>
      </c>
      <c r="F163" s="211">
        <v>1</v>
      </c>
      <c r="G163" s="193">
        <f>'567C-NR'!F272</f>
        <v>5.7139636967611818</v>
      </c>
      <c r="H163" s="193">
        <f>'567C-NR'!G272</f>
        <v>5.7617711039606681</v>
      </c>
      <c r="I163" s="193">
        <f>'567C-NR'!H272</f>
        <v>5.7937039159584529</v>
      </c>
      <c r="J163" s="193">
        <f>'567C-NR'!I272</f>
        <v>5.8427640888844419</v>
      </c>
      <c r="K163" s="193">
        <f>'567C-NR'!J272</f>
        <v>5.8534472086170686</v>
      </c>
      <c r="L163" s="193">
        <f>'567C-NR'!K272</f>
        <v>5.9377135394345757</v>
      </c>
      <c r="M163" s="193">
        <f>'567C-NR'!L272</f>
        <v>5.9859989346342308</v>
      </c>
      <c r="N163" s="193">
        <f>'567C-NR'!M272</f>
        <v>6.0022160697127509</v>
      </c>
      <c r="O163" s="193">
        <f>'567C-NR'!N272</f>
        <v>6.0022160697127509</v>
      </c>
      <c r="P163" s="193">
        <f>'567C-NR'!O272</f>
        <v>6.0022160697127509</v>
      </c>
      <c r="Q163" s="193">
        <f>'567C-NR'!P272</f>
        <v>6.0022160697127509</v>
      </c>
      <c r="R163" s="193">
        <f>'567C-NR'!Q272</f>
        <v>6.0022160697127509</v>
      </c>
      <c r="S163" s="349">
        <f t="shared" si="11"/>
        <v>0.28825237295156914</v>
      </c>
      <c r="T163" s="362">
        <f t="shared" si="12"/>
        <v>15868.581383356832</v>
      </c>
    </row>
    <row r="164" spans="1:20" ht="14">
      <c r="A164" s="185" t="s">
        <v>30</v>
      </c>
      <c r="B164" s="182" t="s">
        <v>56</v>
      </c>
      <c r="C164" s="231">
        <v>39938</v>
      </c>
      <c r="D164" s="211">
        <v>0.5</v>
      </c>
      <c r="E164" s="199"/>
      <c r="F164" s="211">
        <v>1</v>
      </c>
      <c r="G164" s="193">
        <f>'60MP-NR'!F272</f>
        <v>5.2669923839632133</v>
      </c>
      <c r="H164" s="193">
        <f>'60MP-NR'!G272</f>
        <v>5.2669923839632133</v>
      </c>
      <c r="I164" s="193">
        <f>'60MP-NR'!H272</f>
        <v>5.2669923839632133</v>
      </c>
      <c r="J164" s="193">
        <f>'60MP-NR'!I272</f>
        <v>5.2669923839632133</v>
      </c>
      <c r="K164" s="193">
        <f>'60MP-NR'!J272</f>
        <v>5.2669923839632133</v>
      </c>
      <c r="L164" s="193">
        <f>'60MP-NR'!K272</f>
        <v>5.2669923839632133</v>
      </c>
      <c r="M164" s="193">
        <f>'60MP-NR'!L272</f>
        <v>5.2669923839632133</v>
      </c>
      <c r="N164" s="193">
        <f>'60MP-NR'!M272</f>
        <v>5.2669923839632133</v>
      </c>
      <c r="O164" s="193">
        <f>'60MP-NR'!N272</f>
        <v>5.2669923839632133</v>
      </c>
      <c r="P164" s="193">
        <f>'60MP-NR'!O272</f>
        <v>5.2669923839632133</v>
      </c>
      <c r="Q164" s="193">
        <f>'60MP-NR'!P272</f>
        <v>5.2669923839632133</v>
      </c>
      <c r="R164" s="193">
        <f>'60MP-NR'!Q272</f>
        <v>5.2669923839632133</v>
      </c>
      <c r="S164" s="349">
        <f t="shared" si="11"/>
        <v>0</v>
      </c>
      <c r="T164" s="362">
        <f t="shared" si="12"/>
        <v>0</v>
      </c>
    </row>
    <row r="165" spans="1:20" ht="14">
      <c r="A165" s="185" t="s">
        <v>30</v>
      </c>
      <c r="B165" s="182" t="s">
        <v>93</v>
      </c>
      <c r="C165" s="231">
        <v>20404</v>
      </c>
      <c r="D165" s="212">
        <v>0</v>
      </c>
      <c r="E165" s="199">
        <v>1</v>
      </c>
      <c r="F165" s="211">
        <v>1</v>
      </c>
      <c r="G165" s="193">
        <f>'151C-NR'!F272</f>
        <v>5.6779709728409253</v>
      </c>
      <c r="H165" s="193">
        <f>'151C-NR'!G272</f>
        <v>5.6779709728409253</v>
      </c>
      <c r="I165" s="193">
        <f>'151C-NR'!H272</f>
        <v>5.6779709728409253</v>
      </c>
      <c r="J165" s="193">
        <f>'151C-NR'!I272</f>
        <v>5.6779709728409253</v>
      </c>
      <c r="K165" s="193">
        <f>'151C-NR'!J272</f>
        <v>5.6779709728409253</v>
      </c>
      <c r="L165" s="193">
        <f>'151C-NR'!K272</f>
        <v>5.6779709728409253</v>
      </c>
      <c r="M165" s="193">
        <f>'151C-NR'!L272</f>
        <v>5.6779709728409253</v>
      </c>
      <c r="N165" s="193">
        <f>'151C-NR'!M272</f>
        <v>5.6779709728409253</v>
      </c>
      <c r="O165" s="193">
        <f>'151C-NR'!N272</f>
        <v>5.6779709728409253</v>
      </c>
      <c r="P165" s="193">
        <f>'151C-NR'!O272</f>
        <v>5.6779709728409253</v>
      </c>
      <c r="Q165" s="193">
        <f>'151C-NR'!P272</f>
        <v>5.6144378534554962</v>
      </c>
      <c r="R165" s="193">
        <f>'151C-NR'!Q272</f>
        <v>5.6144378534554962</v>
      </c>
      <c r="S165" s="349">
        <f t="shared" si="11"/>
        <v>-6.353311938542916E-2</v>
      </c>
      <c r="T165" s="362">
        <f t="shared" si="12"/>
        <v>-1296.3297679402965</v>
      </c>
    </row>
    <row r="166" spans="1:20" ht="14">
      <c r="A166" s="185" t="s">
        <v>37</v>
      </c>
      <c r="B166" s="182" t="s">
        <v>60</v>
      </c>
      <c r="C166" s="231">
        <v>1422</v>
      </c>
      <c r="D166" s="211">
        <v>1</v>
      </c>
      <c r="E166" s="199"/>
      <c r="F166" s="211">
        <v>1</v>
      </c>
      <c r="G166" s="193"/>
      <c r="H166" s="193"/>
      <c r="I166" s="193"/>
      <c r="J166" s="193"/>
      <c r="K166" s="193"/>
      <c r="L166" s="193"/>
      <c r="M166" s="193"/>
      <c r="N166" s="193"/>
      <c r="O166" s="193"/>
      <c r="P166" s="193"/>
      <c r="Q166" s="193"/>
      <c r="R166" s="193"/>
      <c r="S166" s="349"/>
      <c r="T166" s="362">
        <f t="shared" si="12"/>
        <v>0</v>
      </c>
    </row>
    <row r="167" spans="1:20" ht="14">
      <c r="A167" s="185" t="s">
        <v>66</v>
      </c>
      <c r="B167" s="182" t="s">
        <v>170</v>
      </c>
      <c r="C167" s="231">
        <v>17363.8</v>
      </c>
      <c r="D167" s="212">
        <v>0</v>
      </c>
      <c r="E167" s="199"/>
      <c r="F167" s="211">
        <v>1</v>
      </c>
      <c r="G167" s="193">
        <f>'20B-NR'!F272</f>
        <v>4.7257012393998696</v>
      </c>
      <c r="H167" s="193">
        <f>'20B-NR'!G272</f>
        <v>4.7257012393998696</v>
      </c>
      <c r="I167" s="193">
        <f>'20B-NR'!H272</f>
        <v>4.7003145304979235</v>
      </c>
      <c r="J167" s="193">
        <f>'20B-NR'!I272</f>
        <v>4.7003145304979235</v>
      </c>
      <c r="K167" s="193">
        <f>'20B-NR'!J272</f>
        <v>4.7308108394982238</v>
      </c>
      <c r="L167" s="193">
        <f>'20B-NR'!K272</f>
        <v>4.7769146172882726</v>
      </c>
      <c r="M167" s="193">
        <f>'20B-NR'!L272</f>
        <v>4.7769146172882726</v>
      </c>
      <c r="N167" s="193">
        <f>'20B-NR'!M272</f>
        <v>4.7769146172882726</v>
      </c>
      <c r="O167" s="193">
        <f>'20B-NR'!N272</f>
        <v>5.2621652446826381</v>
      </c>
      <c r="P167" s="193">
        <f>'20B-NR'!O272</f>
        <v>5.2621652446826381</v>
      </c>
      <c r="Q167" s="193">
        <f>'20B-NR'!P272</f>
        <v>5.2621652446826381</v>
      </c>
      <c r="R167" s="193">
        <f>'20B-NR'!Q272</f>
        <v>5.2621652446826381</v>
      </c>
      <c r="S167" s="349">
        <f>Q167-G167</f>
        <v>0.5364640052827685</v>
      </c>
      <c r="T167" s="362">
        <f t="shared" si="12"/>
        <v>9315.0536949289344</v>
      </c>
    </row>
    <row r="168" spans="1:20" ht="14">
      <c r="A168" s="185" t="s">
        <v>48</v>
      </c>
      <c r="B168" s="182" t="s">
        <v>168</v>
      </c>
      <c r="C168" s="231">
        <v>24784</v>
      </c>
      <c r="D168" s="212">
        <v>0</v>
      </c>
      <c r="E168" s="199"/>
      <c r="F168" s="211">
        <v>1</v>
      </c>
      <c r="G168" s="193">
        <f>'179T-NR'!F272</f>
        <v>5.1171842068287203</v>
      </c>
      <c r="H168" s="193">
        <f>'179T-NR'!G272</f>
        <v>5.1171842068287203</v>
      </c>
      <c r="I168" s="193">
        <f>'179T-NR'!H272</f>
        <v>5.1171842068287203</v>
      </c>
      <c r="J168" s="193">
        <f>'179T-NR'!I272</f>
        <v>5.1171842068287203</v>
      </c>
      <c r="K168" s="193">
        <f>'179T-NR'!J272</f>
        <v>5.1171842068287203</v>
      </c>
      <c r="L168" s="193">
        <f>'179T-NR'!K272</f>
        <v>5.1818870820185845</v>
      </c>
      <c r="M168" s="193">
        <f>'179T-NR'!L272</f>
        <v>5.1818870820185845</v>
      </c>
      <c r="N168" s="193">
        <f>'179T-NR'!M272</f>
        <v>5.1818870820185845</v>
      </c>
      <c r="O168" s="193">
        <f>'179T-NR'!N272</f>
        <v>5.1818870820185845</v>
      </c>
      <c r="P168" s="193">
        <f>'179T-NR'!O272</f>
        <v>5.1818870820185845</v>
      </c>
      <c r="Q168" s="193">
        <f>'179T-NR'!P272</f>
        <v>5.1818870820185845</v>
      </c>
      <c r="R168" s="193">
        <f>'179T-NR'!Q272</f>
        <v>5.1818870820185845</v>
      </c>
      <c r="S168" s="349">
        <f t="shared" ref="S168:S175" si="13">Q168-G168</f>
        <v>6.4702875189864173E-2</v>
      </c>
      <c r="T168" s="362">
        <f t="shared" si="12"/>
        <v>1603.5960587055936</v>
      </c>
    </row>
    <row r="169" spans="1:20" ht="14">
      <c r="A169" s="185" t="s">
        <v>30</v>
      </c>
      <c r="B169" s="182" t="s">
        <v>123</v>
      </c>
      <c r="C169" s="231">
        <v>23555.5</v>
      </c>
      <c r="D169" s="211">
        <v>0</v>
      </c>
      <c r="E169" s="199"/>
      <c r="F169" s="211">
        <v>1</v>
      </c>
      <c r="G169" s="193">
        <f>'105M-NR'!F272</f>
        <v>5.8446615893088083</v>
      </c>
      <c r="H169" s="193">
        <f>'105M-NR'!G272</f>
        <v>5.8446615893088083</v>
      </c>
      <c r="I169" s="193">
        <f>'105M-NR'!H272</f>
        <v>5.8446615893088083</v>
      </c>
      <c r="J169" s="193">
        <f>'105M-NR'!I272</f>
        <v>5.8446615893088083</v>
      </c>
      <c r="K169" s="193">
        <f>'105M-NR'!J272</f>
        <v>5.8446615893088083</v>
      </c>
      <c r="L169" s="193">
        <f>'105M-NR'!K272</f>
        <v>5.8446615893088083</v>
      </c>
      <c r="M169" s="193">
        <f>'105M-NR'!L272</f>
        <v>5.8446615893088083</v>
      </c>
      <c r="N169" s="193">
        <f>'105M-NR'!M272</f>
        <v>5.8446615893088083</v>
      </c>
      <c r="O169" s="193">
        <f>'105M-NR'!N272</f>
        <v>5.8446615893088083</v>
      </c>
      <c r="P169" s="193">
        <f>'105M-NR'!O272</f>
        <v>5.8446615893088083</v>
      </c>
      <c r="Q169" s="193">
        <f>'105M-NR'!P272</f>
        <v>5.8446615893088083</v>
      </c>
      <c r="R169" s="193">
        <f>'105M-NR'!Q272</f>
        <v>5.8446615893088083</v>
      </c>
      <c r="S169" s="349">
        <f t="shared" si="13"/>
        <v>0</v>
      </c>
      <c r="T169" s="362">
        <f t="shared" si="12"/>
        <v>0</v>
      </c>
    </row>
    <row r="170" spans="1:20" ht="14">
      <c r="A170" s="185" t="s">
        <v>63</v>
      </c>
      <c r="B170" s="182" t="s">
        <v>64</v>
      </c>
      <c r="C170" s="231">
        <v>61127</v>
      </c>
      <c r="D170" s="211">
        <v>0.5</v>
      </c>
      <c r="E170" s="199"/>
      <c r="F170" s="211"/>
      <c r="G170" s="193">
        <f>'QV1-NR'!F272</f>
        <v>5.6286137879911049</v>
      </c>
      <c r="H170" s="193">
        <f>'QV1-NR'!G272</f>
        <v>5.6286137879911049</v>
      </c>
      <c r="I170" s="193">
        <f>'QV1-NR'!H272</f>
        <v>5.6286137879911049</v>
      </c>
      <c r="J170" s="193">
        <f>'QV1-NR'!I272</f>
        <v>5.6286137879911049</v>
      </c>
      <c r="K170" s="193">
        <f>'QV1-NR'!J272</f>
        <v>5.6286137879911049</v>
      </c>
      <c r="L170" s="193">
        <f>'QV1-NR'!K272</f>
        <v>5.6262326096847133</v>
      </c>
      <c r="M170" s="193">
        <f>'QV1-NR'!L272</f>
        <v>5.6005773337384372</v>
      </c>
      <c r="N170" s="193">
        <f>'QV1-NR'!M272</f>
        <v>5.6005773337384372</v>
      </c>
      <c r="O170" s="193">
        <f>'QV1-NR'!N272</f>
        <v>5.6005773337384372</v>
      </c>
      <c r="P170" s="193">
        <f>'QV1-NR'!O272</f>
        <v>5.6005773337384372</v>
      </c>
      <c r="Q170" s="193">
        <f>'QV1-NR'!P272</f>
        <v>5.6005773337384372</v>
      </c>
      <c r="R170" s="193">
        <f>'QV1-NR'!Q272</f>
        <v>5.6228587067829068</v>
      </c>
      <c r="S170" s="349">
        <f t="shared" si="13"/>
        <v>-2.8036454252667653E-2</v>
      </c>
      <c r="T170" s="362">
        <f t="shared" si="12"/>
        <v>-1713.7843391028157</v>
      </c>
    </row>
    <row r="171" spans="1:20" ht="14">
      <c r="A171" s="185" t="s">
        <v>66</v>
      </c>
      <c r="B171" s="182" t="s">
        <v>95</v>
      </c>
      <c r="C171" s="231">
        <v>41253</v>
      </c>
      <c r="D171" s="212">
        <v>0</v>
      </c>
      <c r="E171" s="199">
        <v>0.5</v>
      </c>
      <c r="F171" s="211"/>
      <c r="G171" s="193">
        <f>'388G-NR'!F272</f>
        <v>5.0456962207213678</v>
      </c>
      <c r="H171" s="193">
        <f>'388G-NR'!G272</f>
        <v>5.0456962207213678</v>
      </c>
      <c r="I171" s="193">
        <f>'388G-NR'!H272</f>
        <v>5.0456962207213678</v>
      </c>
      <c r="J171" s="193">
        <f>'388G-NR'!I272</f>
        <v>5.0456962207213678</v>
      </c>
      <c r="K171" s="193">
        <f>'388G-NR'!J272</f>
        <v>5.0456962207213678</v>
      </c>
      <c r="L171" s="193">
        <f>'388G-NR'!K272</f>
        <v>5.0456962207213678</v>
      </c>
      <c r="M171" s="193">
        <f>'388G-NR'!L272</f>
        <v>5.0456962207213678</v>
      </c>
      <c r="N171" s="193">
        <f>'388G-NR'!M272</f>
        <v>5.0456962207213678</v>
      </c>
      <c r="O171" s="193">
        <f>'388G-NR'!N272</f>
        <v>5.0456962207213678</v>
      </c>
      <c r="P171" s="193">
        <f>'388G-NR'!O272</f>
        <v>5.0456962207213678</v>
      </c>
      <c r="Q171" s="193">
        <f>'388G-NR'!P272</f>
        <v>5.0456962207213678</v>
      </c>
      <c r="R171" s="193">
        <f>'388G-NR'!Q272</f>
        <v>5.0456962207213678</v>
      </c>
      <c r="S171" s="349">
        <f t="shared" si="13"/>
        <v>0</v>
      </c>
      <c r="T171" s="362">
        <f t="shared" si="12"/>
        <v>0</v>
      </c>
    </row>
    <row r="172" spans="1:20" ht="14">
      <c r="A172" s="185" t="s">
        <v>66</v>
      </c>
      <c r="B172" s="198" t="s">
        <v>133</v>
      </c>
      <c r="C172" s="231">
        <v>8227.2000000000007</v>
      </c>
      <c r="D172" s="212">
        <v>0</v>
      </c>
      <c r="E172" s="199"/>
      <c r="F172" s="211">
        <v>1</v>
      </c>
      <c r="G172" s="193">
        <f>'130P-NR'!F272</f>
        <v>4.5300065231572084</v>
      </c>
      <c r="H172" s="193">
        <f>'130P-NR'!G272</f>
        <v>4.5300065231572084</v>
      </c>
      <c r="I172" s="193">
        <f>'130P-NR'!H272</f>
        <v>4.5300065231572084</v>
      </c>
      <c r="J172" s="193">
        <f>'130P-NR'!I272</f>
        <v>4.5300065231572084</v>
      </c>
      <c r="K172" s="193">
        <f>'130P-NR'!J272</f>
        <v>4.5300065231572084</v>
      </c>
      <c r="L172" s="193">
        <f>'130P-NR'!K272</f>
        <v>4.5300065231572084</v>
      </c>
      <c r="M172" s="193">
        <f>'130P-NR'!L272</f>
        <v>4.5300065231572084</v>
      </c>
      <c r="N172" s="193">
        <f>'130P-NR'!M272</f>
        <v>4.5300065231572084</v>
      </c>
      <c r="O172" s="193">
        <f>'130P-NR'!N272</f>
        <v>4.5300065231572084</v>
      </c>
      <c r="P172" s="193">
        <f>'130P-NR'!O272</f>
        <v>4.5300065231572084</v>
      </c>
      <c r="Q172" s="193">
        <f>'130P-NR'!P272</f>
        <v>4.5300065231572084</v>
      </c>
      <c r="R172" s="193">
        <f>'130P-NR'!Q272</f>
        <v>4.5300065231572084</v>
      </c>
      <c r="S172" s="349">
        <f t="shared" si="13"/>
        <v>0</v>
      </c>
      <c r="T172" s="362">
        <f t="shared" si="12"/>
        <v>0</v>
      </c>
    </row>
    <row r="173" spans="1:20" ht="14">
      <c r="A173" s="185" t="s">
        <v>178</v>
      </c>
      <c r="B173" s="198" t="s">
        <v>140</v>
      </c>
      <c r="C173" s="231">
        <v>20861</v>
      </c>
      <c r="D173" s="212">
        <v>1</v>
      </c>
      <c r="E173" s="199"/>
      <c r="F173" s="211">
        <v>0</v>
      </c>
      <c r="G173" s="193">
        <f>'220L-NR'!F272</f>
        <v>4.790932811480757</v>
      </c>
      <c r="H173" s="193">
        <f>'220L-NR'!G272</f>
        <v>4.790932811480757</v>
      </c>
      <c r="I173" s="193">
        <f>'220L-NR'!H272</f>
        <v>4.790932811480757</v>
      </c>
      <c r="J173" s="193">
        <f>'220L-NR'!I272</f>
        <v>4.790932811480757</v>
      </c>
      <c r="K173" s="193">
        <f>'220L-NR'!J272</f>
        <v>4.790932811480757</v>
      </c>
      <c r="L173" s="193">
        <f>'220L-NR'!K272</f>
        <v>4.790932811480757</v>
      </c>
      <c r="M173" s="193">
        <f>'220L-NR'!L272</f>
        <v>4.790932811480757</v>
      </c>
      <c r="N173" s="193">
        <f>'220L-NR'!M272</f>
        <v>4.790932811480757</v>
      </c>
      <c r="O173" s="193">
        <f>'220L-NR'!N272</f>
        <v>4.790932811480757</v>
      </c>
      <c r="P173" s="193">
        <f>'220L-NR'!O272</f>
        <v>4.790932811480757</v>
      </c>
      <c r="Q173" s="193">
        <f>'220L-NR'!P272</f>
        <v>4.790932811480757</v>
      </c>
      <c r="R173" s="193">
        <f>'220L-NR'!Q272</f>
        <v>4.790932811480757</v>
      </c>
      <c r="S173" s="349">
        <f t="shared" si="13"/>
        <v>0</v>
      </c>
      <c r="T173" s="362">
        <f t="shared" si="12"/>
        <v>0</v>
      </c>
    </row>
    <row r="174" spans="1:20" ht="14">
      <c r="A174" s="185" t="s">
        <v>37</v>
      </c>
      <c r="B174" s="182" t="s">
        <v>166</v>
      </c>
      <c r="C174" s="231">
        <v>15723.1</v>
      </c>
      <c r="D174" s="212">
        <v>0</v>
      </c>
      <c r="E174" s="199"/>
      <c r="F174" s="211">
        <v>0</v>
      </c>
      <c r="G174" s="193">
        <f>'850C-NR'!F272</f>
        <v>4.8364833906071016</v>
      </c>
      <c r="H174" s="193">
        <f>'850C-NR'!G272</f>
        <v>4.8364833906071016</v>
      </c>
      <c r="I174" s="193">
        <f>'850C-NR'!H272</f>
        <v>5.5062620397952138</v>
      </c>
      <c r="J174" s="193">
        <f>'850C-NR'!I272</f>
        <v>5.6730837782371895</v>
      </c>
      <c r="K174" s="193">
        <f>'850C-NR'!J272</f>
        <v>5.8146138550476181</v>
      </c>
      <c r="L174" s="193">
        <f>'850C-NR'!K272</f>
        <v>5.8638942464992319</v>
      </c>
      <c r="M174" s="193">
        <f>'850C-NR'!L272</f>
        <v>5.8852046860458751</v>
      </c>
      <c r="N174" s="193">
        <f>'850C-NR'!M272</f>
        <v>5.8852046860458751</v>
      </c>
      <c r="O174" s="193">
        <f>'850C-NR'!N272</f>
        <v>5.907302386414865</v>
      </c>
      <c r="P174" s="193">
        <f>'850C-NR'!O272</f>
        <v>5.907302386414865</v>
      </c>
      <c r="Q174" s="193">
        <f>'850C-NR'!P272</f>
        <v>5.907302386414865</v>
      </c>
      <c r="R174" s="193">
        <f>'850C-NR'!Q272</f>
        <v>5.907302386414865</v>
      </c>
      <c r="S174" s="349">
        <f t="shared" si="13"/>
        <v>1.0708189958077634</v>
      </c>
      <c r="T174" s="362">
        <f t="shared" si="12"/>
        <v>16836.594152985046</v>
      </c>
    </row>
    <row r="175" spans="1:20" ht="14.5" thickBot="1">
      <c r="A175" s="185" t="s">
        <v>66</v>
      </c>
      <c r="B175" s="182" t="s">
        <v>67</v>
      </c>
      <c r="C175" s="231">
        <v>12837.7</v>
      </c>
      <c r="D175" s="211">
        <v>0</v>
      </c>
      <c r="E175" s="199"/>
      <c r="F175" s="211">
        <v>1</v>
      </c>
      <c r="G175" s="193">
        <f>'6OC-NR'!F272</f>
        <v>4.7628832354859751</v>
      </c>
      <c r="H175" s="193">
        <f>'6OC-NR'!G272</f>
        <v>4.7628832354859751</v>
      </c>
      <c r="I175" s="193">
        <f>'6OC-NR'!H272</f>
        <v>4.7628832354859751</v>
      </c>
      <c r="J175" s="193">
        <f>'6OC-NR'!I272</f>
        <v>5.3353020390224728</v>
      </c>
      <c r="K175" s="193">
        <f>'6OC-NR'!J272</f>
        <v>5.5160533147163555</v>
      </c>
      <c r="L175" s="193">
        <f>'6OC-NR'!K272</f>
        <v>5.5160533147163555</v>
      </c>
      <c r="M175" s="193">
        <f>'6OC-NR'!L272</f>
        <v>5.5160533147163555</v>
      </c>
      <c r="N175" s="193">
        <f>'6OC-NR'!M272</f>
        <v>5.5160533147163555</v>
      </c>
      <c r="O175" s="193">
        <f>'6OC-NR'!N272</f>
        <v>5.7079394155118459</v>
      </c>
      <c r="P175" s="193">
        <f>'6OC-NR'!O272</f>
        <v>5.7716680110315162</v>
      </c>
      <c r="Q175" s="193">
        <f>'6OC-NR'!P272</f>
        <v>5.7716680110315162</v>
      </c>
      <c r="R175" s="193">
        <f>'6OC-NR'!Q272</f>
        <v>5.7716680110315162</v>
      </c>
      <c r="S175" s="349">
        <f t="shared" si="13"/>
        <v>1.008784775545541</v>
      </c>
      <c r="T175" s="362">
        <f t="shared" si="12"/>
        <v>12950.476313020992</v>
      </c>
    </row>
    <row r="176" spans="1:20" ht="13" thickTop="1">
      <c r="B176" s="182" t="s">
        <v>215</v>
      </c>
      <c r="C176" s="183">
        <f>SUBTOTAL(109,C153:C175)</f>
        <v>673188.29999999993</v>
      </c>
      <c r="D176" s="211">
        <v>1</v>
      </c>
      <c r="E176" s="211">
        <v>1</v>
      </c>
      <c r="F176" s="211">
        <v>1</v>
      </c>
      <c r="G176" s="549">
        <f>SUMPRODUCT(G153:G175,$C153:$C175)/SUM($C153:$C175)</f>
        <v>5.2370330970859431</v>
      </c>
      <c r="H176" s="549">
        <f t="shared" ref="H176" si="14">SUMPRODUCT(H153:H175,$C153:$C175)/SUM($C153:$C175)</f>
        <v>5.2409426207270098</v>
      </c>
      <c r="I176" s="549">
        <f t="shared" ref="I176:R176" si="15">SUMPRODUCT(I153:I175,$C153:$C175)/SUM($C153:$C175)</f>
        <v>5.2633663388661596</v>
      </c>
      <c r="J176" s="549">
        <f t="shared" si="15"/>
        <v>5.3231513839209121</v>
      </c>
      <c r="K176" s="549">
        <f t="shared" si="15"/>
        <v>5.3415951694611987</v>
      </c>
      <c r="L176" s="549">
        <f t="shared" si="15"/>
        <v>5.3713547007332751</v>
      </c>
      <c r="M176" s="549">
        <f t="shared" si="15"/>
        <v>5.3816188561859128</v>
      </c>
      <c r="N176" s="549">
        <f t="shared" si="15"/>
        <v>5.3833298555529101</v>
      </c>
      <c r="O176" s="549">
        <f t="shared" si="15"/>
        <v>5.4213092224955544</v>
      </c>
      <c r="P176" s="549">
        <f t="shared" si="15"/>
        <v>5.4375828524701832</v>
      </c>
      <c r="Q176" s="549">
        <f t="shared" si="15"/>
        <v>5.4632393534760881</v>
      </c>
      <c r="R176" s="549">
        <f t="shared" si="15"/>
        <v>5.4744508066223831</v>
      </c>
      <c r="S176" s="544">
        <f>R176-G176</f>
        <v>0.23741770953644004</v>
      </c>
      <c r="T176" s="362">
        <f>SUBTOTAL(109,T153:T175)</f>
        <v>152279.40518864579</v>
      </c>
    </row>
    <row r="178" spans="1:19" ht="32" thickTop="1" thickBot="1">
      <c r="A178" s="196" t="s">
        <v>216</v>
      </c>
      <c r="F178" s="441" t="s">
        <v>205</v>
      </c>
      <c r="G178" s="184" t="s">
        <v>188</v>
      </c>
      <c r="H178" s="184" t="s">
        <v>189</v>
      </c>
      <c r="I178" s="184" t="s">
        <v>190</v>
      </c>
      <c r="J178" s="184" t="s">
        <v>191</v>
      </c>
      <c r="K178" s="184" t="s">
        <v>192</v>
      </c>
      <c r="L178" s="184" t="s">
        <v>193</v>
      </c>
      <c r="M178" s="184" t="s">
        <v>194</v>
      </c>
      <c r="N178" s="184" t="s">
        <v>195</v>
      </c>
      <c r="O178" s="184" t="s">
        <v>196</v>
      </c>
      <c r="P178" s="184" t="s">
        <v>197</v>
      </c>
      <c r="Q178" s="184" t="s">
        <v>198</v>
      </c>
      <c r="R178" s="184" t="s">
        <v>199</v>
      </c>
      <c r="S178" s="200" t="s">
        <v>84</v>
      </c>
    </row>
    <row r="179" spans="1:19" ht="16" thickTop="1">
      <c r="F179" s="438" t="s">
        <v>10</v>
      </c>
      <c r="G179" s="439">
        <f>SUMPRODUCT(G153:G175,$C153:$C175,$D153:$D175)/SUMPRODUCT($C153:$C175,$D153:$D175)</f>
        <v>5.2939894644512195</v>
      </c>
      <c r="H179" s="439">
        <f t="shared" ref="H179:R179" si="16">SUMPRODUCT(H153:H175,$C153:$C175,$D153:$D175)/SUMPRODUCT($C153:$C175,$D153:$D175)</f>
        <v>5.2979162441742069</v>
      </c>
      <c r="I179" s="439">
        <f t="shared" si="16"/>
        <v>5.3084382327323487</v>
      </c>
      <c r="J179" s="439">
        <f t="shared" si="16"/>
        <v>5.3896758583664868</v>
      </c>
      <c r="K179" s="439">
        <f t="shared" si="16"/>
        <v>5.3955950251223559</v>
      </c>
      <c r="L179" s="439">
        <f t="shared" si="16"/>
        <v>5.4346681904031584</v>
      </c>
      <c r="M179" s="439">
        <f t="shared" si="16"/>
        <v>5.4494614148100462</v>
      </c>
      <c r="N179" s="439">
        <f t="shared" si="16"/>
        <v>5.4515664832300406</v>
      </c>
      <c r="O179" s="439">
        <f t="shared" si="16"/>
        <v>5.4802157545291266</v>
      </c>
      <c r="P179" s="439">
        <f t="shared" si="16"/>
        <v>5.5092024034949612</v>
      </c>
      <c r="Q179" s="439">
        <f t="shared" si="16"/>
        <v>5.558571873208872</v>
      </c>
      <c r="R179" s="439">
        <f t="shared" si="16"/>
        <v>5.5606040017171301</v>
      </c>
      <c r="S179" s="470">
        <f>IF(F179="","",Q179-G179)</f>
        <v>0.26458240875765249</v>
      </c>
    </row>
    <row r="180" spans="1:19" ht="15.5">
      <c r="E180" s="185"/>
      <c r="F180" s="438" t="s">
        <v>12</v>
      </c>
      <c r="G180" s="439">
        <f>SUMPRODUCT(G153:G175,$C153:$C175,$F153:$F175)/SUMPRODUCT($C153:$C175,$F153:$F175)</f>
        <v>5.2362114353485207</v>
      </c>
      <c r="H180" s="439">
        <f t="shared" ref="H180:R180" si="17">SUMPRODUCT(H153:H175,$C153:$C175,$F153:$F175)/SUMPRODUCT($C153:$C175,$F153:$F175)</f>
        <v>5.2411379167279479</v>
      </c>
      <c r="I180" s="439">
        <f t="shared" si="17"/>
        <v>5.2496818726451897</v>
      </c>
      <c r="J180" s="439">
        <f t="shared" si="17"/>
        <v>5.320108554869873</v>
      </c>
      <c r="K180" s="439">
        <f t="shared" si="17"/>
        <v>5.3391845328632543</v>
      </c>
      <c r="L180" s="439">
        <f t="shared" si="17"/>
        <v>5.3755072640861155</v>
      </c>
      <c r="M180" s="439">
        <f t="shared" si="17"/>
        <v>5.390749690844074</v>
      </c>
      <c r="N180" s="439">
        <f t="shared" si="17"/>
        <v>5.3929057608146413</v>
      </c>
      <c r="O180" s="439">
        <f t="shared" si="17"/>
        <v>5.4401140698252073</v>
      </c>
      <c r="P180" s="439">
        <f t="shared" si="17"/>
        <v>5.4606208482479177</v>
      </c>
      <c r="Q180" s="439">
        <f t="shared" si="17"/>
        <v>5.4929511999918361</v>
      </c>
      <c r="R180" s="439">
        <f t="shared" si="17"/>
        <v>5.5045295328228736</v>
      </c>
      <c r="S180" s="470">
        <f>IF(F180="","",Q180-G180)</f>
        <v>0.25673976464331538</v>
      </c>
    </row>
    <row r="181" spans="1:19" ht="15.5">
      <c r="F181" s="438" t="s">
        <v>11</v>
      </c>
      <c r="G181" s="439">
        <f>SUMPRODUCT(G153:G175,$C153:$C175,$E153:$E175)/SUMPRODUCT($C153:$C175,$E153:$E175)</f>
        <v>5.3773163530915085</v>
      </c>
      <c r="H181" s="439">
        <f t="shared" ref="H181:R181" si="18">SUMPRODUCT(H153:H175,$C153:$C175,$E153:$E175)/SUMPRODUCT($C153:$C175,$E153:$E175)</f>
        <v>5.3897415030978291</v>
      </c>
      <c r="I181" s="439">
        <f t="shared" si="18"/>
        <v>5.3989086851726711</v>
      </c>
      <c r="J181" s="439">
        <f t="shared" si="18"/>
        <v>5.4212093179158183</v>
      </c>
      <c r="K181" s="439">
        <f t="shared" si="18"/>
        <v>5.4717936463248549</v>
      </c>
      <c r="L181" s="439">
        <f t="shared" si="18"/>
        <v>5.4936944742974081</v>
      </c>
      <c r="M181" s="439">
        <f t="shared" si="18"/>
        <v>5.5096998051417883</v>
      </c>
      <c r="N181" s="439">
        <f t="shared" si="18"/>
        <v>5.5139146402024437</v>
      </c>
      <c r="O181" s="439">
        <f t="shared" si="18"/>
        <v>5.5351632663682917</v>
      </c>
      <c r="P181" s="439">
        <f t="shared" si="18"/>
        <v>5.5351632663682917</v>
      </c>
      <c r="Q181" s="439">
        <f t="shared" si="18"/>
        <v>5.5316015265321372</v>
      </c>
      <c r="R181" s="439">
        <f t="shared" si="18"/>
        <v>5.5900052882309197</v>
      </c>
      <c r="S181" s="470">
        <f>IF(F181="","",Q181-H181)</f>
        <v>0.14186002343430815</v>
      </c>
    </row>
    <row r="185" spans="1:19" ht="18" thickBot="1">
      <c r="A185" s="196" t="s">
        <v>217</v>
      </c>
      <c r="R185" s="203"/>
    </row>
    <row r="186" spans="1:19" ht="15" thickTop="1" thickBot="1">
      <c r="A186" s="184" t="s">
        <v>6</v>
      </c>
      <c r="B186" s="184" t="s">
        <v>7</v>
      </c>
      <c r="C186" s="184" t="s">
        <v>9</v>
      </c>
      <c r="D186" s="184" t="s">
        <v>10</v>
      </c>
      <c r="E186" s="184" t="s">
        <v>11</v>
      </c>
      <c r="F186" s="184" t="s">
        <v>12</v>
      </c>
      <c r="G186" s="184" t="s">
        <v>188</v>
      </c>
      <c r="H186" s="184" t="s">
        <v>189</v>
      </c>
      <c r="I186" s="184" t="s">
        <v>190</v>
      </c>
      <c r="J186" s="184" t="s">
        <v>191</v>
      </c>
      <c r="K186" s="184" t="s">
        <v>192</v>
      </c>
      <c r="L186" s="184" t="s">
        <v>193</v>
      </c>
      <c r="M186" s="184" t="s">
        <v>194</v>
      </c>
      <c r="N186" s="184" t="s">
        <v>195</v>
      </c>
      <c r="O186" s="184" t="s">
        <v>196</v>
      </c>
      <c r="P186" s="184" t="s">
        <v>197</v>
      </c>
      <c r="Q186" s="184" t="s">
        <v>198</v>
      </c>
      <c r="R186" s="184" t="s">
        <v>199</v>
      </c>
      <c r="S186" s="200" t="s">
        <v>84</v>
      </c>
    </row>
    <row r="187" spans="1:19" ht="14.5" thickTop="1">
      <c r="A187" s="185" t="s">
        <v>30</v>
      </c>
      <c r="B187" s="182" t="s">
        <v>116</v>
      </c>
      <c r="C187" s="228">
        <v>29166</v>
      </c>
      <c r="D187" s="211">
        <v>1</v>
      </c>
      <c r="E187" s="199"/>
      <c r="F187" s="211">
        <v>1</v>
      </c>
      <c r="G187" s="203">
        <f>G122*Assumptions!C$35</f>
        <v>0</v>
      </c>
      <c r="H187" s="203">
        <f>H122*Assumptions!D$35</f>
        <v>4992.6108138</v>
      </c>
      <c r="I187" s="203">
        <f>I122*Assumptions!E$35</f>
        <v>4992.6108138</v>
      </c>
      <c r="J187" s="203">
        <f>J122*Assumptions!F$35</f>
        <v>4992.6108138</v>
      </c>
      <c r="K187" s="203">
        <f>K122*Assumptions!G$35</f>
        <v>3483.8124138000003</v>
      </c>
      <c r="L187" s="203">
        <f>L122*Assumptions!H$35</f>
        <v>3366.3240138000001</v>
      </c>
      <c r="M187" s="203">
        <f>M122*Assumptions!I$35</f>
        <v>3248.8356137999999</v>
      </c>
      <c r="N187" s="203">
        <f>N122*Assumptions!J$35</f>
        <v>3131.3472138000002</v>
      </c>
      <c r="O187" s="203">
        <f>O122*Assumptions!K$35</f>
        <v>1467.9588137999997</v>
      </c>
      <c r="P187" s="203">
        <f>P122*Assumptions!L$35</f>
        <v>1467.9588137999997</v>
      </c>
      <c r="Q187" s="203">
        <f>Q122*Assumptions!M$35</f>
        <v>1467.9588137999997</v>
      </c>
      <c r="R187" s="203">
        <f>R122*Assumptions!N$35</f>
        <v>1467.9588137999997</v>
      </c>
      <c r="S187" s="204">
        <f>SUM(G187:R187)</f>
        <v>34079.986951799998</v>
      </c>
    </row>
    <row r="188" spans="1:19" ht="14">
      <c r="A188" s="185" t="s">
        <v>37</v>
      </c>
      <c r="B188" s="182" t="s">
        <v>38</v>
      </c>
      <c r="C188" s="228">
        <v>62987</v>
      </c>
      <c r="D188" s="211">
        <v>0.5</v>
      </c>
      <c r="E188" s="199"/>
      <c r="F188" s="211">
        <v>1</v>
      </c>
      <c r="G188" s="203">
        <f>G123*Assumptions!C$35</f>
        <v>0</v>
      </c>
      <c r="H188" s="203">
        <f>H123*Assumptions!D$35</f>
        <v>26197.325363400003</v>
      </c>
      <c r="I188" s="203">
        <f>I123*Assumptions!E$35</f>
        <v>26197.325363400003</v>
      </c>
      <c r="J188" s="203">
        <f>J123*Assumptions!F$35</f>
        <v>26197.325363400003</v>
      </c>
      <c r="K188" s="203">
        <f>K123*Assumptions!G$35</f>
        <v>26197.325363400003</v>
      </c>
      <c r="L188" s="203">
        <f>L123*Assumptions!H$35</f>
        <v>26197.325363400003</v>
      </c>
      <c r="M188" s="203">
        <f>M123*Assumptions!I$35</f>
        <v>26197.325363400003</v>
      </c>
      <c r="N188" s="203">
        <f>N123*Assumptions!J$35</f>
        <v>26197.325363400003</v>
      </c>
      <c r="O188" s="203">
        <f>O123*Assumptions!K$35</f>
        <v>26197.325363400003</v>
      </c>
      <c r="P188" s="203">
        <f>P123*Assumptions!L$35</f>
        <v>26197.325363400003</v>
      </c>
      <c r="Q188" s="203">
        <f>Q123*Assumptions!M$35</f>
        <v>26197.325363400003</v>
      </c>
      <c r="R188" s="203">
        <f>R123*Assumptions!N$35</f>
        <v>26197.325363400003</v>
      </c>
      <c r="S188" s="204">
        <f t="shared" ref="S188:S209" si="19">SUM(G188:R188)</f>
        <v>288170.57899740007</v>
      </c>
    </row>
    <row r="189" spans="1:19" ht="14">
      <c r="A189" s="185" t="s">
        <v>30</v>
      </c>
      <c r="B189" s="182" t="s">
        <v>42</v>
      </c>
      <c r="C189" s="231">
        <v>42132</v>
      </c>
      <c r="D189" s="211">
        <v>0.5</v>
      </c>
      <c r="E189" s="199">
        <v>0.25</v>
      </c>
      <c r="F189" s="211">
        <v>1</v>
      </c>
      <c r="G189" s="203">
        <f>G124*Assumptions!C$35</f>
        <v>0</v>
      </c>
      <c r="H189" s="203">
        <f>H124*Assumptions!D$35</f>
        <v>14414.354983200001</v>
      </c>
      <c r="I189" s="203">
        <f>I124*Assumptions!E$35</f>
        <v>14414.354983200001</v>
      </c>
      <c r="J189" s="203">
        <f>J124*Assumptions!F$35</f>
        <v>14414.354983200001</v>
      </c>
      <c r="K189" s="203">
        <f>K124*Assumptions!G$35</f>
        <v>14414.354983200001</v>
      </c>
      <c r="L189" s="203">
        <f>L124*Assumptions!H$35</f>
        <v>14414.354983200001</v>
      </c>
      <c r="M189" s="203">
        <f>M124*Assumptions!I$35</f>
        <v>13455.8969832</v>
      </c>
      <c r="N189" s="203">
        <f>N124*Assumptions!J$35</f>
        <v>13455.8969832</v>
      </c>
      <c r="O189" s="203">
        <f>O124*Assumptions!K$35</f>
        <v>10054.916983200001</v>
      </c>
      <c r="P189" s="203">
        <f>P124*Assumptions!L$35</f>
        <v>10054.916983200001</v>
      </c>
      <c r="Q189" s="203">
        <f>Q124*Assumptions!M$35</f>
        <v>10054.916983200001</v>
      </c>
      <c r="R189" s="203">
        <f>R124*Assumptions!N$35</f>
        <v>10054.916983200001</v>
      </c>
      <c r="S189" s="204">
        <f t="shared" si="19"/>
        <v>139203.23681520001</v>
      </c>
    </row>
    <row r="190" spans="1:19" ht="14">
      <c r="A190" s="185" t="s">
        <v>30</v>
      </c>
      <c r="B190" s="182" t="s">
        <v>43</v>
      </c>
      <c r="C190" s="231">
        <v>12509</v>
      </c>
      <c r="D190" s="211">
        <v>1</v>
      </c>
      <c r="E190" s="199"/>
      <c r="F190" s="211">
        <v>1</v>
      </c>
      <c r="G190" s="203">
        <f>G125*Assumptions!C$35</f>
        <v>0</v>
      </c>
      <c r="H190" s="203">
        <f>H125*Assumptions!D$35</f>
        <v>2927.6965313999999</v>
      </c>
      <c r="I190" s="203">
        <f>I125*Assumptions!E$35</f>
        <v>2927.6965313999999</v>
      </c>
      <c r="J190" s="203">
        <f>J125*Assumptions!F$35</f>
        <v>2927.6965313999999</v>
      </c>
      <c r="K190" s="203">
        <f>K125*Assumptions!G$35</f>
        <v>2927.6965313999999</v>
      </c>
      <c r="L190" s="203">
        <f>L125*Assumptions!H$35</f>
        <v>2927.6965313999999</v>
      </c>
      <c r="M190" s="203">
        <f>M125*Assumptions!I$35</f>
        <v>2927.6965313999999</v>
      </c>
      <c r="N190" s="203">
        <f>N125*Assumptions!J$35</f>
        <v>2927.6965313999999</v>
      </c>
      <c r="O190" s="203">
        <f>O125*Assumptions!K$35</f>
        <v>2927.6965313999999</v>
      </c>
      <c r="P190" s="203">
        <f>P125*Assumptions!L$35</f>
        <v>2927.6965313999999</v>
      </c>
      <c r="Q190" s="203">
        <f>Q125*Assumptions!M$35</f>
        <v>2927.6965313999999</v>
      </c>
      <c r="R190" s="203">
        <f>R125*Assumptions!N$35</f>
        <v>2927.6965313999999</v>
      </c>
      <c r="S190" s="204">
        <f t="shared" si="19"/>
        <v>32204.661845400005</v>
      </c>
    </row>
    <row r="191" spans="1:19" ht="14">
      <c r="A191" s="185" t="s">
        <v>30</v>
      </c>
      <c r="B191" s="182" t="s">
        <v>46</v>
      </c>
      <c r="C191" s="231">
        <v>27263</v>
      </c>
      <c r="D191" s="211">
        <v>1</v>
      </c>
      <c r="E191" s="199"/>
      <c r="F191" s="211">
        <v>1</v>
      </c>
      <c r="G191" s="203">
        <f>G126*Assumptions!C$35</f>
        <v>0</v>
      </c>
      <c r="H191" s="203">
        <f>H126*Assumptions!D$35</f>
        <v>2876.7560346</v>
      </c>
      <c r="I191" s="203">
        <f>I126*Assumptions!E$35</f>
        <v>2876.7560346</v>
      </c>
      <c r="J191" s="203">
        <f>J126*Assumptions!F$35</f>
        <v>2876.7560346</v>
      </c>
      <c r="K191" s="203">
        <f>K126*Assumptions!G$35</f>
        <v>2876.7560346</v>
      </c>
      <c r="L191" s="203">
        <f>L126*Assumptions!H$35</f>
        <v>1578.2000346000002</v>
      </c>
      <c r="M191" s="203">
        <f>M126*Assumptions!I$35</f>
        <v>1578.2000346000002</v>
      </c>
      <c r="N191" s="203">
        <f>N126*Assumptions!J$35</f>
        <v>1578.2000346000002</v>
      </c>
      <c r="O191" s="203">
        <f>O126*Assumptions!K$35</f>
        <v>1392.6920346000002</v>
      </c>
      <c r="P191" s="203">
        <f>P126*Assumptions!L$35</f>
        <v>1392.6920346000002</v>
      </c>
      <c r="Q191" s="203">
        <f>Q126*Assumptions!M$35</f>
        <v>1392.6920346000002</v>
      </c>
      <c r="R191" s="203">
        <f>R126*Assumptions!N$35</f>
        <v>1392.6920346000002</v>
      </c>
      <c r="S191" s="204">
        <f t="shared" si="19"/>
        <v>21812.392380600002</v>
      </c>
    </row>
    <row r="192" spans="1:19" ht="14">
      <c r="A192" s="185" t="s">
        <v>30</v>
      </c>
      <c r="B192" s="182" t="s">
        <v>47</v>
      </c>
      <c r="C192" s="231">
        <v>39057</v>
      </c>
      <c r="D192" s="211">
        <v>1</v>
      </c>
      <c r="E192" s="199"/>
      <c r="F192" s="211">
        <v>1</v>
      </c>
      <c r="G192" s="203">
        <f>G127*Assumptions!C$35</f>
        <v>0</v>
      </c>
      <c r="H192" s="203">
        <f>H127*Assumptions!D$35</f>
        <v>4633.2570833999998</v>
      </c>
      <c r="I192" s="203">
        <f>I127*Assumptions!E$35</f>
        <v>4633.2570833999998</v>
      </c>
      <c r="J192" s="203">
        <f>J127*Assumptions!F$35</f>
        <v>3520.2090834000005</v>
      </c>
      <c r="K192" s="203">
        <f>K127*Assumptions!G$35</f>
        <v>3520.2090834000005</v>
      </c>
      <c r="L192" s="203">
        <f>L127*Assumptions!H$35</f>
        <v>3520.2090834000005</v>
      </c>
      <c r="M192" s="203">
        <f>M127*Assumptions!I$35</f>
        <v>3520.2090834000005</v>
      </c>
      <c r="N192" s="203">
        <f>N127*Assumptions!J$35</f>
        <v>3520.2090834000005</v>
      </c>
      <c r="O192" s="203">
        <f>O127*Assumptions!K$35</f>
        <v>2283.4890834000003</v>
      </c>
      <c r="P192" s="203">
        <f>P127*Assumptions!L$35</f>
        <v>2283.4890834000003</v>
      </c>
      <c r="Q192" s="203">
        <f>Q127*Assumptions!M$35</f>
        <v>1170.4410834000005</v>
      </c>
      <c r="R192" s="203">
        <f>R127*Assumptions!N$35</f>
        <v>1170.4410834000005</v>
      </c>
      <c r="S192" s="204">
        <f t="shared" si="19"/>
        <v>33775.419917400002</v>
      </c>
    </row>
    <row r="193" spans="1:19" ht="14">
      <c r="A193" s="185" t="s">
        <v>48</v>
      </c>
      <c r="B193" s="182" t="s">
        <v>49</v>
      </c>
      <c r="C193" s="231">
        <v>24754</v>
      </c>
      <c r="D193" s="211">
        <v>1</v>
      </c>
      <c r="E193" s="199"/>
      <c r="F193" s="211">
        <v>1</v>
      </c>
      <c r="G193" s="203">
        <f>G128*Assumptions!C$35</f>
        <v>0</v>
      </c>
      <c r="H193" s="203">
        <f>H128*Assumptions!D$35</f>
        <v>0</v>
      </c>
      <c r="I193" s="203">
        <f>I128*Assumptions!E$35</f>
        <v>0</v>
      </c>
      <c r="J193" s="203">
        <f>J128*Assumptions!F$35</f>
        <v>0</v>
      </c>
      <c r="K193" s="203">
        <f>K128*Assumptions!G$35</f>
        <v>0</v>
      </c>
      <c r="L193" s="203">
        <f>L128*Assumptions!H$35</f>
        <v>0</v>
      </c>
      <c r="M193" s="203">
        <f>M128*Assumptions!I$35</f>
        <v>0</v>
      </c>
      <c r="N193" s="203">
        <f>N128*Assumptions!J$35</f>
        <v>0</v>
      </c>
      <c r="O193" s="203">
        <f>O128*Assumptions!K$35</f>
        <v>0</v>
      </c>
      <c r="P193" s="203">
        <f>P128*Assumptions!L$35</f>
        <v>0</v>
      </c>
      <c r="Q193" s="203">
        <f>Q128*Assumptions!M$35</f>
        <v>0</v>
      </c>
      <c r="R193" s="203">
        <f>R128*Assumptions!N$35</f>
        <v>0</v>
      </c>
      <c r="S193" s="204">
        <f t="shared" si="19"/>
        <v>0</v>
      </c>
    </row>
    <row r="194" spans="1:19" ht="14">
      <c r="A194" s="185" t="s">
        <v>30</v>
      </c>
      <c r="B194" s="182" t="s">
        <v>92</v>
      </c>
      <c r="C194" s="231">
        <v>26819</v>
      </c>
      <c r="D194" s="212">
        <v>0</v>
      </c>
      <c r="E194" s="199">
        <v>1</v>
      </c>
      <c r="F194" s="211">
        <v>1</v>
      </c>
      <c r="G194" s="203">
        <f>G129*Assumptions!C$35</f>
        <v>0</v>
      </c>
      <c r="H194" s="203">
        <f>H129*Assumptions!D$35</f>
        <v>3641.8250364</v>
      </c>
      <c r="I194" s="203">
        <f>I129*Assumptions!E$35</f>
        <v>3641.8250364</v>
      </c>
      <c r="J194" s="203">
        <f>J129*Assumptions!F$35</f>
        <v>2014.2985291536231</v>
      </c>
      <c r="K194" s="203">
        <f>K129*Assumptions!G$35</f>
        <v>2014.2985291536231</v>
      </c>
      <c r="L194" s="203">
        <f>L129*Assumptions!H$35</f>
        <v>2014.2985291536231</v>
      </c>
      <c r="M194" s="203">
        <f>M129*Assumptions!I$35</f>
        <v>2014.2985291536231</v>
      </c>
      <c r="N194" s="203">
        <f>N129*Assumptions!J$35</f>
        <v>2014.2985291536231</v>
      </c>
      <c r="O194" s="203">
        <f>O129*Assumptions!K$35</f>
        <v>1782.6325938879227</v>
      </c>
      <c r="P194" s="203">
        <f>P129*Assumptions!L$35</f>
        <v>1782.6325938879227</v>
      </c>
      <c r="Q194" s="203">
        <f>Q129*Assumptions!M$35</f>
        <v>1782.6325938879227</v>
      </c>
      <c r="R194" s="203">
        <f>R129*Assumptions!N$35</f>
        <v>-0.31536360000027563</v>
      </c>
      <c r="S194" s="204">
        <f t="shared" si="19"/>
        <v>22702.725136631885</v>
      </c>
    </row>
    <row r="195" spans="1:19" ht="14">
      <c r="A195" s="185" t="s">
        <v>30</v>
      </c>
      <c r="B195" s="182" t="s">
        <v>52</v>
      </c>
      <c r="C195" s="231">
        <v>28396</v>
      </c>
      <c r="D195" s="211">
        <v>0.75</v>
      </c>
      <c r="E195" s="199"/>
      <c r="F195" s="211">
        <v>1</v>
      </c>
      <c r="G195" s="203">
        <f>G130*Assumptions!C$35</f>
        <v>0</v>
      </c>
      <c r="H195" s="203">
        <f>H130*Assumptions!D$35</f>
        <v>6168.1410000000005</v>
      </c>
      <c r="I195" s="203">
        <f>I130*Assumptions!E$35</f>
        <v>6168.1410000000005</v>
      </c>
      <c r="J195" s="203">
        <f>J130*Assumptions!F$35</f>
        <v>6168.1410000000005</v>
      </c>
      <c r="K195" s="203">
        <f>K130*Assumptions!G$35</f>
        <v>6168.1410000000005</v>
      </c>
      <c r="L195" s="203">
        <f>L130*Assumptions!H$35</f>
        <v>6168.1410000000005</v>
      </c>
      <c r="M195" s="203">
        <f>M130*Assumptions!I$35</f>
        <v>6168.1410000000005</v>
      </c>
      <c r="N195" s="203">
        <f>N130*Assumptions!J$35</f>
        <v>6168.1410000000005</v>
      </c>
      <c r="O195" s="203">
        <f>O130*Assumptions!K$35</f>
        <v>5926.9805999999999</v>
      </c>
      <c r="P195" s="203">
        <f>P130*Assumptions!L$35</f>
        <v>5926.9805999999999</v>
      </c>
      <c r="Q195" s="203">
        <f>Q130*Assumptions!M$35</f>
        <v>5926.9805999999999</v>
      </c>
      <c r="R195" s="203">
        <f>R130*Assumptions!N$35</f>
        <v>5926.9805999999999</v>
      </c>
      <c r="S195" s="204">
        <f t="shared" si="19"/>
        <v>66884.909400000019</v>
      </c>
    </row>
    <row r="196" spans="1:19" ht="14">
      <c r="A196" s="185" t="s">
        <v>30</v>
      </c>
      <c r="B196" s="182" t="s">
        <v>54</v>
      </c>
      <c r="C196" s="231">
        <v>37558</v>
      </c>
      <c r="D196" s="211">
        <v>0.75</v>
      </c>
      <c r="E196" s="199"/>
      <c r="F196" s="211">
        <v>1</v>
      </c>
      <c r="G196" s="203">
        <f>G131*Assumptions!C$35</f>
        <v>0</v>
      </c>
      <c r="H196" s="203">
        <f>H131*Assumptions!D$35</f>
        <v>2876.7560346</v>
      </c>
      <c r="I196" s="203">
        <f>I131*Assumptions!E$35</f>
        <v>2876.7560346</v>
      </c>
      <c r="J196" s="203">
        <f>J131*Assumptions!F$35</f>
        <v>2876.7560346</v>
      </c>
      <c r="K196" s="203">
        <f>K131*Assumptions!G$35</f>
        <v>2876.7560346</v>
      </c>
      <c r="L196" s="203">
        <f>L131*Assumptions!H$35</f>
        <v>2876.7560346</v>
      </c>
      <c r="M196" s="203">
        <f>M131*Assumptions!I$35</f>
        <v>2876.7560346</v>
      </c>
      <c r="N196" s="203">
        <f>N131*Assumptions!J$35</f>
        <v>2876.7560346</v>
      </c>
      <c r="O196" s="203">
        <f>O131*Assumptions!K$35</f>
        <v>2443.9040346000002</v>
      </c>
      <c r="P196" s="203">
        <f>P131*Assumptions!L$35</f>
        <v>1052.5940345999998</v>
      </c>
      <c r="Q196" s="203">
        <f>Q131*Assumptions!M$35</f>
        <v>1052.5940345999998</v>
      </c>
      <c r="R196" s="203">
        <f>R131*Assumptions!N$35</f>
        <v>1052.5940345999998</v>
      </c>
      <c r="S196" s="204">
        <f t="shared" si="19"/>
        <v>25738.978380599994</v>
      </c>
    </row>
    <row r="197" spans="1:19" ht="14">
      <c r="A197" s="185" t="s">
        <v>37</v>
      </c>
      <c r="B197" s="182" t="s">
        <v>55</v>
      </c>
      <c r="C197" s="231">
        <v>55051</v>
      </c>
      <c r="D197" s="211">
        <v>0.5</v>
      </c>
      <c r="E197" s="199">
        <v>0.5</v>
      </c>
      <c r="F197" s="211">
        <v>1</v>
      </c>
      <c r="G197" s="203">
        <f>G132*Assumptions!C$35</f>
        <v>0</v>
      </c>
      <c r="H197" s="203">
        <f>H132*Assumptions!D$35</f>
        <v>16277.018516604039</v>
      </c>
      <c r="I197" s="203">
        <f>I132*Assumptions!E$35</f>
        <v>16277.018516604039</v>
      </c>
      <c r="J197" s="203">
        <f>J132*Assumptions!F$35</f>
        <v>16277.018516604039</v>
      </c>
      <c r="K197" s="203">
        <f>K132*Assumptions!G$35</f>
        <v>16277.018516604039</v>
      </c>
      <c r="L197" s="203">
        <f>L132*Assumptions!H$35</f>
        <v>14663.078759559814</v>
      </c>
      <c r="M197" s="203">
        <f>M132*Assumptions!I$35</f>
        <v>13910.033011255475</v>
      </c>
      <c r="N197" s="203">
        <f>N132*Assumptions!J$35</f>
        <v>1706.6984112554744</v>
      </c>
      <c r="O197" s="203">
        <f>O132*Assumptions!K$35</f>
        <v>1706.6984112554744</v>
      </c>
      <c r="P197" s="203">
        <f>P132*Assumptions!L$35</f>
        <v>1706.6984112554744</v>
      </c>
      <c r="Q197" s="203">
        <f>Q132*Assumptions!M$35</f>
        <v>1706.6984112554744</v>
      </c>
      <c r="R197" s="203">
        <f>R132*Assumptions!N$35</f>
        <v>1706.6984112554744</v>
      </c>
      <c r="S197" s="204">
        <f t="shared" si="19"/>
        <v>102214.67789350884</v>
      </c>
    </row>
    <row r="198" spans="1:19" ht="14">
      <c r="A198" s="185" t="s">
        <v>30</v>
      </c>
      <c r="B198" s="182" t="s">
        <v>56</v>
      </c>
      <c r="C198" s="231">
        <v>39938</v>
      </c>
      <c r="D198" s="211">
        <v>0.5</v>
      </c>
      <c r="E198" s="199"/>
      <c r="F198" s="211">
        <v>1</v>
      </c>
      <c r="G198" s="203">
        <f>G133*Assumptions!C$35</f>
        <v>0</v>
      </c>
      <c r="H198" s="203">
        <f>H133*Assumptions!D$35</f>
        <v>14850.0792654</v>
      </c>
      <c r="I198" s="203">
        <f>I133*Assumptions!E$35</f>
        <v>14850.0792654</v>
      </c>
      <c r="J198" s="203">
        <f>J133*Assumptions!F$35</f>
        <v>14850.0792654</v>
      </c>
      <c r="K198" s="203">
        <f>K133*Assumptions!G$35</f>
        <v>14850.0792654</v>
      </c>
      <c r="L198" s="203">
        <f>L133*Assumptions!H$35</f>
        <v>14850.0792654</v>
      </c>
      <c r="M198" s="203">
        <f>M133*Assumptions!I$35</f>
        <v>14850.0792654</v>
      </c>
      <c r="N198" s="203">
        <f>N133*Assumptions!J$35</f>
        <v>14850.0792654</v>
      </c>
      <c r="O198" s="203">
        <f>O133*Assumptions!K$35</f>
        <v>14850.0792654</v>
      </c>
      <c r="P198" s="203">
        <f>P133*Assumptions!L$35</f>
        <v>14850.0792654</v>
      </c>
      <c r="Q198" s="203">
        <f>Q133*Assumptions!M$35</f>
        <v>14850.0792654</v>
      </c>
      <c r="R198" s="203">
        <f>R133*Assumptions!N$35</f>
        <v>14850.0792654</v>
      </c>
      <c r="S198" s="204">
        <f t="shared" si="19"/>
        <v>163350.8719194</v>
      </c>
    </row>
    <row r="199" spans="1:19" ht="14">
      <c r="A199" s="185" t="s">
        <v>30</v>
      </c>
      <c r="B199" s="182" t="s">
        <v>93</v>
      </c>
      <c r="C199" s="231">
        <v>20404</v>
      </c>
      <c r="D199" s="212">
        <v>0</v>
      </c>
      <c r="E199" s="199">
        <v>1</v>
      </c>
      <c r="F199" s="211">
        <v>1</v>
      </c>
      <c r="G199" s="203">
        <f>G134*Assumptions!C$35</f>
        <v>0</v>
      </c>
      <c r="H199" s="203">
        <f>H134*Assumptions!D$35</f>
        <v>2680.9306979999997</v>
      </c>
      <c r="I199" s="203">
        <f>I134*Assumptions!E$35</f>
        <v>2680.9306979999997</v>
      </c>
      <c r="J199" s="203">
        <f>J134*Assumptions!F$35</f>
        <v>2680.9306979999997</v>
      </c>
      <c r="K199" s="203">
        <f>K134*Assumptions!G$35</f>
        <v>2680.9306979999997</v>
      </c>
      <c r="L199" s="203">
        <f>L134*Assumptions!H$35</f>
        <v>2680.9306979999997</v>
      </c>
      <c r="M199" s="203">
        <f>M134*Assumptions!I$35</f>
        <v>2680.9306979999997</v>
      </c>
      <c r="N199" s="203">
        <f>N134*Assumptions!J$35</f>
        <v>2680.9306979999997</v>
      </c>
      <c r="O199" s="203">
        <f>O134*Assumptions!K$35</f>
        <v>2680.9306979999997</v>
      </c>
      <c r="P199" s="203">
        <f>P134*Assumptions!L$35</f>
        <v>2680.9306979999997</v>
      </c>
      <c r="Q199" s="203">
        <f>Q134*Assumptions!M$35</f>
        <v>309.52009800000008</v>
      </c>
      <c r="R199" s="203">
        <f>R134*Assumptions!N$35</f>
        <v>309.52009800000008</v>
      </c>
      <c r="S199" s="204">
        <f t="shared" si="19"/>
        <v>24747.416477999999</v>
      </c>
    </row>
    <row r="200" spans="1:19" ht="14">
      <c r="A200" s="185" t="s">
        <v>37</v>
      </c>
      <c r="B200" s="182" t="s">
        <v>60</v>
      </c>
      <c r="C200" s="231">
        <v>1422</v>
      </c>
      <c r="D200" s="211">
        <v>1</v>
      </c>
      <c r="E200" s="199"/>
      <c r="F200" s="211">
        <v>1</v>
      </c>
      <c r="G200" s="203">
        <f>G135*Assumptions!C$35</f>
        <v>0</v>
      </c>
      <c r="H200" s="203">
        <f>H135*Assumptions!D$35</f>
        <v>0</v>
      </c>
      <c r="I200" s="203">
        <f>I135*Assumptions!E$35</f>
        <v>0</v>
      </c>
      <c r="J200" s="203">
        <f>J135*Assumptions!F$35</f>
        <v>0</v>
      </c>
      <c r="K200" s="203">
        <f>K135*Assumptions!G$35</f>
        <v>0</v>
      </c>
      <c r="L200" s="203">
        <f>L135*Assumptions!H$35</f>
        <v>0</v>
      </c>
      <c r="M200" s="203">
        <f>M135*Assumptions!I$35</f>
        <v>0</v>
      </c>
      <c r="N200" s="203">
        <f>N135*Assumptions!J$35</f>
        <v>0</v>
      </c>
      <c r="O200" s="203">
        <f>O135*Assumptions!K$35</f>
        <v>0</v>
      </c>
      <c r="P200" s="203">
        <f>P135*Assumptions!L$35</f>
        <v>0</v>
      </c>
      <c r="Q200" s="203">
        <f>Q135*Assumptions!M$35</f>
        <v>0</v>
      </c>
      <c r="R200" s="203">
        <f>R135*Assumptions!N$35</f>
        <v>0</v>
      </c>
      <c r="S200" s="204">
        <f t="shared" si="19"/>
        <v>0</v>
      </c>
    </row>
    <row r="201" spans="1:19" ht="14">
      <c r="A201" s="185" t="s">
        <v>66</v>
      </c>
      <c r="B201" s="182" t="s">
        <v>170</v>
      </c>
      <c r="C201" s="231">
        <v>17363.8</v>
      </c>
      <c r="D201" s="212">
        <v>0</v>
      </c>
      <c r="E201" s="199"/>
      <c r="F201" s="211">
        <v>1</v>
      </c>
      <c r="G201" s="203">
        <f>G136*Assumptions!C$35</f>
        <v>0</v>
      </c>
      <c r="H201" s="203">
        <f>H136*Assumptions!D$35</f>
        <v>800.40209220000008</v>
      </c>
      <c r="I201" s="203">
        <f>I136*Assumptions!E$35</f>
        <v>800.40209220000008</v>
      </c>
      <c r="J201" s="203">
        <f>J136*Assumptions!F$35</f>
        <v>800.40209220000008</v>
      </c>
      <c r="K201" s="203">
        <f>K136*Assumptions!G$35</f>
        <v>800.40209220000008</v>
      </c>
      <c r="L201" s="203">
        <f>L136*Assumptions!H$35</f>
        <v>420.11069220000007</v>
      </c>
      <c r="M201" s="203">
        <f>M136*Assumptions!I$35</f>
        <v>420.11069220000007</v>
      </c>
      <c r="N201" s="203">
        <f>N136*Assumptions!J$35</f>
        <v>420.11069220000007</v>
      </c>
      <c r="O201" s="203">
        <f>O136*Assumptions!K$35</f>
        <v>39.819292200000064</v>
      </c>
      <c r="P201" s="203">
        <f>P136*Assumptions!L$35</f>
        <v>39.819292200000064</v>
      </c>
      <c r="Q201" s="203">
        <f>Q136*Assumptions!M$35</f>
        <v>39.819292200000064</v>
      </c>
      <c r="R201" s="203">
        <f>R136*Assumptions!N$35</f>
        <v>39.819292200000064</v>
      </c>
      <c r="S201" s="204">
        <f t="shared" si="19"/>
        <v>4621.2176141999998</v>
      </c>
    </row>
    <row r="202" spans="1:19" ht="14">
      <c r="A202" s="185" t="s">
        <v>48</v>
      </c>
      <c r="B202" s="182" t="s">
        <v>168</v>
      </c>
      <c r="C202" s="231">
        <v>24784</v>
      </c>
      <c r="D202" s="212">
        <v>0</v>
      </c>
      <c r="E202" s="199"/>
      <c r="F202" s="211">
        <v>1</v>
      </c>
      <c r="G202" s="203">
        <f>G137*Assumptions!C$35</f>
        <v>0</v>
      </c>
      <c r="H202" s="203">
        <f>H137*Assumptions!D$35</f>
        <v>0</v>
      </c>
      <c r="I202" s="203">
        <f>I137*Assumptions!E$35</f>
        <v>0</v>
      </c>
      <c r="J202" s="203">
        <f>J137*Assumptions!F$35</f>
        <v>0</v>
      </c>
      <c r="K202" s="203">
        <f>K137*Assumptions!G$35</f>
        <v>0</v>
      </c>
      <c r="L202" s="203">
        <f>L137*Assumptions!H$35</f>
        <v>0</v>
      </c>
      <c r="M202" s="203">
        <f>M137*Assumptions!I$35</f>
        <v>0</v>
      </c>
      <c r="N202" s="203">
        <f>N137*Assumptions!J$35</f>
        <v>0</v>
      </c>
      <c r="O202" s="203">
        <f>O137*Assumptions!K$35</f>
        <v>0</v>
      </c>
      <c r="P202" s="203">
        <f>P137*Assumptions!L$35</f>
        <v>0</v>
      </c>
      <c r="Q202" s="203">
        <f>Q137*Assumptions!M$35</f>
        <v>0</v>
      </c>
      <c r="R202" s="203">
        <f>R137*Assumptions!N$35</f>
        <v>0</v>
      </c>
      <c r="S202" s="204">
        <f t="shared" si="19"/>
        <v>0</v>
      </c>
    </row>
    <row r="203" spans="1:19" ht="14">
      <c r="A203" s="185" t="s">
        <v>30</v>
      </c>
      <c r="B203" s="182" t="s">
        <v>123</v>
      </c>
      <c r="C203" s="231">
        <v>23555.5</v>
      </c>
      <c r="D203" s="211">
        <v>0</v>
      </c>
      <c r="E203" s="199"/>
      <c r="F203" s="211">
        <v>1</v>
      </c>
      <c r="G203" s="203">
        <f>G138*Assumptions!C$35</f>
        <v>0</v>
      </c>
      <c r="H203" s="203">
        <f>H138*Assumptions!D$35</f>
        <v>7402.5761597999999</v>
      </c>
      <c r="I203" s="203">
        <f>I138*Assumptions!E$35</f>
        <v>7402.5761597999999</v>
      </c>
      <c r="J203" s="203">
        <f>J138*Assumptions!F$35</f>
        <v>7402.5761597999999</v>
      </c>
      <c r="K203" s="203">
        <f>K138*Assumptions!G$35</f>
        <v>7402.5761597999999</v>
      </c>
      <c r="L203" s="203">
        <f>L138*Assumptions!H$35</f>
        <v>7402.5761597999999</v>
      </c>
      <c r="M203" s="203">
        <f>M138*Assumptions!I$35</f>
        <v>7402.5761597999999</v>
      </c>
      <c r="N203" s="203">
        <f>N138*Assumptions!J$35</f>
        <v>7402.5761597999999</v>
      </c>
      <c r="O203" s="203">
        <f>O138*Assumptions!K$35</f>
        <v>7402.5761597999999</v>
      </c>
      <c r="P203" s="203">
        <f>P138*Assumptions!L$35</f>
        <v>7402.5761597999999</v>
      </c>
      <c r="Q203" s="203">
        <f>Q138*Assumptions!M$35</f>
        <v>7402.5761597999999</v>
      </c>
      <c r="R203" s="203">
        <f>R138*Assumptions!N$35</f>
        <v>7402.5761597999999</v>
      </c>
      <c r="S203" s="204">
        <f t="shared" si="19"/>
        <v>81428.337757799993</v>
      </c>
    </row>
    <row r="204" spans="1:19" ht="14">
      <c r="A204" s="185" t="s">
        <v>63</v>
      </c>
      <c r="B204" s="182" t="s">
        <v>64</v>
      </c>
      <c r="C204" s="231">
        <v>61127</v>
      </c>
      <c r="D204" s="211">
        <v>0.5</v>
      </c>
      <c r="E204" s="199"/>
      <c r="F204" s="211"/>
      <c r="G204" s="203">
        <f>G139*Assumptions!C$35</f>
        <v>0</v>
      </c>
      <c r="H204" s="203">
        <f>H139*Assumptions!D$35</f>
        <v>6695.6441284800012</v>
      </c>
      <c r="I204" s="203">
        <f>I139*Assumptions!E$35</f>
        <v>6695.6441284800012</v>
      </c>
      <c r="J204" s="203">
        <f>J139*Assumptions!F$35</f>
        <v>6695.6441284800012</v>
      </c>
      <c r="K204" s="203">
        <f>K139*Assumptions!G$35</f>
        <v>6695.6441284800012</v>
      </c>
      <c r="L204" s="203">
        <f>L139*Assumptions!H$35</f>
        <v>6695.6441284800012</v>
      </c>
      <c r="M204" s="203">
        <f>M139*Assumptions!I$35</f>
        <v>1396.2989284800005</v>
      </c>
      <c r="N204" s="203">
        <f>N139*Assumptions!J$35</f>
        <v>1396.2989284800005</v>
      </c>
      <c r="O204" s="203">
        <f>O139*Assumptions!K$35</f>
        <v>1396.2989284800005</v>
      </c>
      <c r="P204" s="203">
        <f>P139*Assumptions!L$35</f>
        <v>1396.2989284800005</v>
      </c>
      <c r="Q204" s="203">
        <f>Q139*Assumptions!M$35</f>
        <v>1396.2989284800005</v>
      </c>
      <c r="R204" s="203">
        <f>R139*Assumptions!N$35</f>
        <v>1396.2989284800005</v>
      </c>
      <c r="S204" s="204">
        <f t="shared" si="19"/>
        <v>41856.014213279996</v>
      </c>
    </row>
    <row r="205" spans="1:19" ht="14">
      <c r="A205" s="185" t="s">
        <v>66</v>
      </c>
      <c r="B205" s="182" t="s">
        <v>95</v>
      </c>
      <c r="C205" s="231">
        <v>41253</v>
      </c>
      <c r="D205" s="212">
        <v>0</v>
      </c>
      <c r="E205" s="199">
        <v>0.5</v>
      </c>
      <c r="F205" s="211"/>
      <c r="G205" s="203">
        <f>G140*Assumptions!C$35</f>
        <v>0</v>
      </c>
      <c r="H205" s="203">
        <f>H140*Assumptions!D$35</f>
        <v>11801.400600000001</v>
      </c>
      <c r="I205" s="203">
        <f>I140*Assumptions!E$35</f>
        <v>11801.400600000001</v>
      </c>
      <c r="J205" s="203">
        <f>J140*Assumptions!F$35</f>
        <v>11801.400600000001</v>
      </c>
      <c r="K205" s="203">
        <f>K140*Assumptions!G$35</f>
        <v>11801.400600000001</v>
      </c>
      <c r="L205" s="203">
        <f>L140*Assumptions!H$35</f>
        <v>11801.400600000001</v>
      </c>
      <c r="M205" s="203">
        <f>M140*Assumptions!I$35</f>
        <v>11801.400600000001</v>
      </c>
      <c r="N205" s="203">
        <f>N140*Assumptions!J$35</f>
        <v>11801.400600000001</v>
      </c>
      <c r="O205" s="203">
        <f>O140*Assumptions!K$35</f>
        <v>11801.400600000001</v>
      </c>
      <c r="P205" s="203">
        <f>P140*Assumptions!L$35</f>
        <v>11801.400600000001</v>
      </c>
      <c r="Q205" s="203">
        <f>Q140*Assumptions!M$35</f>
        <v>11801.400600000001</v>
      </c>
      <c r="R205" s="203">
        <f>R140*Assumptions!N$35</f>
        <v>11801.400600000001</v>
      </c>
      <c r="S205" s="204">
        <f t="shared" si="19"/>
        <v>129815.40659999999</v>
      </c>
    </row>
    <row r="206" spans="1:19" ht="14">
      <c r="A206" s="185" t="s">
        <v>66</v>
      </c>
      <c r="B206" s="198" t="s">
        <v>133</v>
      </c>
      <c r="C206" s="231">
        <v>8227.2000000000007</v>
      </c>
      <c r="D206" s="212">
        <v>0</v>
      </c>
      <c r="E206" s="199"/>
      <c r="F206" s="211">
        <v>1</v>
      </c>
      <c r="G206" s="203">
        <f>G141*Assumptions!C$35</f>
        <v>0</v>
      </c>
      <c r="H206" s="203">
        <f>H141*Assumptions!D$35</f>
        <v>0</v>
      </c>
      <c r="I206" s="203">
        <f>I141*Assumptions!E$35</f>
        <v>0</v>
      </c>
      <c r="J206" s="203">
        <f>J141*Assumptions!F$35</f>
        <v>0</v>
      </c>
      <c r="K206" s="203">
        <f>K141*Assumptions!G$35</f>
        <v>0</v>
      </c>
      <c r="L206" s="203">
        <f>L141*Assumptions!H$35</f>
        <v>0</v>
      </c>
      <c r="M206" s="203">
        <f>M141*Assumptions!I$35</f>
        <v>0</v>
      </c>
      <c r="N206" s="203">
        <f>N141*Assumptions!J$35</f>
        <v>0</v>
      </c>
      <c r="O206" s="203">
        <f>O141*Assumptions!K$35</f>
        <v>0</v>
      </c>
      <c r="P206" s="203">
        <f>P141*Assumptions!L$35</f>
        <v>0</v>
      </c>
      <c r="Q206" s="203">
        <f>Q141*Assumptions!M$35</f>
        <v>0</v>
      </c>
      <c r="R206" s="203">
        <f>R141*Assumptions!N$35</f>
        <v>0</v>
      </c>
      <c r="S206" s="204">
        <f t="shared" si="19"/>
        <v>0</v>
      </c>
    </row>
    <row r="207" spans="1:19" ht="14">
      <c r="A207" s="185" t="s">
        <v>178</v>
      </c>
      <c r="B207" s="198" t="s">
        <v>140</v>
      </c>
      <c r="C207" s="231">
        <v>20861</v>
      </c>
      <c r="D207" s="212">
        <v>1</v>
      </c>
      <c r="E207" s="199"/>
      <c r="F207" s="211">
        <v>0</v>
      </c>
      <c r="G207" s="203">
        <f>G142*Assumptions!C$35</f>
        <v>0</v>
      </c>
      <c r="H207" s="203">
        <f>H142*Assumptions!D$35</f>
        <v>15257.726911799999</v>
      </c>
      <c r="I207" s="203">
        <f>I142*Assumptions!E$35</f>
        <v>15257.726911799999</v>
      </c>
      <c r="J207" s="203">
        <f>J142*Assumptions!F$35</f>
        <v>15257.726911799999</v>
      </c>
      <c r="K207" s="203">
        <f>K142*Assumptions!G$35</f>
        <v>15257.726911799999</v>
      </c>
      <c r="L207" s="203">
        <f>L142*Assumptions!H$35</f>
        <v>15257.726911799999</v>
      </c>
      <c r="M207" s="203">
        <f>M142*Assumptions!I$35</f>
        <v>15257.726911799999</v>
      </c>
      <c r="N207" s="203">
        <f>N142*Assumptions!J$35</f>
        <v>15257.726911799999</v>
      </c>
      <c r="O207" s="203">
        <f>O142*Assumptions!K$35</f>
        <v>15257.726911799999</v>
      </c>
      <c r="P207" s="203">
        <f>P142*Assumptions!L$35</f>
        <v>15257.726911799999</v>
      </c>
      <c r="Q207" s="203">
        <f>Q142*Assumptions!M$35</f>
        <v>15257.726911799999</v>
      </c>
      <c r="R207" s="203">
        <f>R142*Assumptions!N$35</f>
        <v>15257.726911799999</v>
      </c>
      <c r="S207" s="204">
        <f t="shared" si="19"/>
        <v>167834.99602980001</v>
      </c>
    </row>
    <row r="208" spans="1:19" ht="14">
      <c r="A208" s="185" t="s">
        <v>37</v>
      </c>
      <c r="B208" s="182" t="s">
        <v>166</v>
      </c>
      <c r="C208" s="231">
        <v>15723.1</v>
      </c>
      <c r="D208" s="212">
        <v>0</v>
      </c>
      <c r="E208" s="199"/>
      <c r="F208" s="211">
        <v>1</v>
      </c>
      <c r="G208" s="203">
        <f>G143*Assumptions!C$35</f>
        <v>0</v>
      </c>
      <c r="H208" s="203">
        <f>H143*Assumptions!D$35</f>
        <v>4877.9050337999997</v>
      </c>
      <c r="I208" s="203">
        <f>I143*Assumptions!E$35</f>
        <v>4877.9050337999997</v>
      </c>
      <c r="J208" s="203">
        <f>J143*Assumptions!F$35</f>
        <v>4048.6842738</v>
      </c>
      <c r="K208" s="203">
        <f>K143*Assumptions!G$35</f>
        <v>3012.3129137999999</v>
      </c>
      <c r="L208" s="203">
        <f>L143*Assumptions!H$35</f>
        <v>3012.3129137999999</v>
      </c>
      <c r="M208" s="203">
        <f>M143*Assumptions!I$35</f>
        <v>3012.3129137999999</v>
      </c>
      <c r="N208" s="203">
        <f>N143*Assumptions!J$35</f>
        <v>3012.3129137999999</v>
      </c>
      <c r="O208" s="203">
        <f>O143*Assumptions!K$35</f>
        <v>2908.7376138</v>
      </c>
      <c r="P208" s="203">
        <f>P143*Assumptions!L$35</f>
        <v>2908.7376138</v>
      </c>
      <c r="Q208" s="203">
        <f>Q143*Assumptions!M$35</f>
        <v>2908.7376138</v>
      </c>
      <c r="R208" s="203">
        <f>R143*Assumptions!N$35</f>
        <v>2908.7376138</v>
      </c>
      <c r="S208" s="204">
        <f t="shared" si="19"/>
        <v>37488.696451800002</v>
      </c>
    </row>
    <row r="209" spans="1:19" ht="14.5" thickBot="1">
      <c r="A209" s="185" t="s">
        <v>66</v>
      </c>
      <c r="B209" s="182" t="s">
        <v>67</v>
      </c>
      <c r="C209" s="231">
        <v>12837.7</v>
      </c>
      <c r="D209" s="211">
        <v>0</v>
      </c>
      <c r="E209" s="199"/>
      <c r="F209" s="211">
        <v>1</v>
      </c>
      <c r="G209" s="203">
        <f>G144*Assumptions!C$35</f>
        <v>0</v>
      </c>
      <c r="H209" s="203">
        <f>H144*Assumptions!D$35</f>
        <v>8944.4166263999996</v>
      </c>
      <c r="I209" s="203">
        <f>I144*Assumptions!E$35</f>
        <v>8944.4166263999996</v>
      </c>
      <c r="J209" s="203">
        <f>J144*Assumptions!F$35</f>
        <v>8944.4166263999996</v>
      </c>
      <c r="K209" s="203">
        <f>K144*Assumptions!G$35</f>
        <v>8633.9195196000001</v>
      </c>
      <c r="L209" s="203">
        <f>L144*Assumptions!H$35</f>
        <v>8633.9195196000001</v>
      </c>
      <c r="M209" s="203">
        <f>M144*Assumptions!I$35</f>
        <v>8633.9195196000001</v>
      </c>
      <c r="N209" s="203">
        <f>N144*Assumptions!J$35</f>
        <v>8633.9195196000001</v>
      </c>
      <c r="O209" s="203">
        <f>O144*Assumptions!K$35</f>
        <v>8633.9195196000001</v>
      </c>
      <c r="P209" s="203">
        <f>P144*Assumptions!L$35</f>
        <v>5458.5203394</v>
      </c>
      <c r="Q209" s="203">
        <f>Q144*Assumptions!M$35</f>
        <v>5458.5203394</v>
      </c>
      <c r="R209" s="203">
        <f>R144*Assumptions!N$35</f>
        <v>5458.5203394</v>
      </c>
      <c r="S209" s="204">
        <f t="shared" si="19"/>
        <v>86378.408495399999</v>
      </c>
    </row>
    <row r="210" spans="1:19" ht="13" thickTop="1">
      <c r="G210" s="261">
        <f>SUBTOTAL(109,G187:G209)</f>
        <v>0</v>
      </c>
      <c r="H210" s="261">
        <f t="shared" ref="H210:P210" si="20">SUBTOTAL(109,H187:H209)</f>
        <v>158316.82291328401</v>
      </c>
      <c r="I210" s="261">
        <f t="shared" si="20"/>
        <v>158316.82291328401</v>
      </c>
      <c r="J210" s="261">
        <f t="shared" si="20"/>
        <v>154747.02764603766</v>
      </c>
      <c r="K210" s="261">
        <f t="shared" si="20"/>
        <v>151891.36077923767</v>
      </c>
      <c r="L210" s="261">
        <f t="shared" si="20"/>
        <v>148481.08522219345</v>
      </c>
      <c r="M210" s="261">
        <f t="shared" si="20"/>
        <v>141352.74787388908</v>
      </c>
      <c r="N210" s="261">
        <f t="shared" si="20"/>
        <v>129031.92487388907</v>
      </c>
      <c r="O210" s="261">
        <f t="shared" si="20"/>
        <v>121155.78343862339</v>
      </c>
      <c r="P210" s="261">
        <f t="shared" si="20"/>
        <v>116589.07425842337</v>
      </c>
      <c r="Q210" s="261">
        <f t="shared" ref="Q210:R210" si="21">SUBTOTAL(109,Q187:Q209)</f>
        <v>113104.61565842338</v>
      </c>
      <c r="R210" s="261">
        <f t="shared" si="21"/>
        <v>111321.66770093546</v>
      </c>
      <c r="S210" s="261">
        <f>SUBTOTAL(109,S187:S209)</f>
        <v>1504308.9332782209</v>
      </c>
    </row>
    <row r="214" spans="1:19" ht="18" thickBot="1">
      <c r="A214" s="196" t="s">
        <v>218</v>
      </c>
      <c r="B214" s="498"/>
      <c r="C214" s="498"/>
    </row>
    <row r="215" spans="1:19" ht="15" thickTop="1" thickBot="1">
      <c r="A215" s="184" t="s">
        <v>6</v>
      </c>
      <c r="B215" s="184" t="s">
        <v>7</v>
      </c>
      <c r="C215" s="184" t="s">
        <v>9</v>
      </c>
      <c r="D215" s="184" t="s">
        <v>10</v>
      </c>
      <c r="E215" s="184" t="s">
        <v>11</v>
      </c>
      <c r="F215" s="184" t="s">
        <v>12</v>
      </c>
      <c r="G215" s="184" t="s">
        <v>188</v>
      </c>
      <c r="H215" s="184" t="s">
        <v>189</v>
      </c>
      <c r="I215" s="184" t="s">
        <v>190</v>
      </c>
      <c r="J215" s="184" t="s">
        <v>191</v>
      </c>
      <c r="K215" s="184" t="s">
        <v>192</v>
      </c>
      <c r="L215" s="184" t="s">
        <v>193</v>
      </c>
      <c r="M215" s="184" t="s">
        <v>194</v>
      </c>
      <c r="N215" s="184" t="s">
        <v>195</v>
      </c>
      <c r="O215" s="184" t="s">
        <v>196</v>
      </c>
      <c r="P215" s="184" t="s">
        <v>197</v>
      </c>
      <c r="Q215" s="184" t="s">
        <v>198</v>
      </c>
      <c r="R215" s="184" t="s">
        <v>199</v>
      </c>
      <c r="S215" s="200" t="s">
        <v>84</v>
      </c>
    </row>
    <row r="216" spans="1:19" ht="14.5" thickTop="1">
      <c r="A216" s="185" t="s">
        <v>30</v>
      </c>
      <c r="B216" s="198" t="s">
        <v>31</v>
      </c>
      <c r="C216" s="228">
        <v>29166</v>
      </c>
      <c r="D216" s="211">
        <v>1</v>
      </c>
      <c r="E216" s="199"/>
      <c r="F216" s="211">
        <v>1</v>
      </c>
      <c r="G216" s="700">
        <v>77.1795357617506</v>
      </c>
      <c r="H216" s="700">
        <v>70.452715501556085</v>
      </c>
      <c r="I216" s="700">
        <v>63.72589524136157</v>
      </c>
      <c r="J216" s="700">
        <v>56.999074981167055</v>
      </c>
      <c r="K216" s="700">
        <v>50.272254720972541</v>
      </c>
      <c r="L216" s="700">
        <v>43.545434460778033</v>
      </c>
      <c r="M216" s="700">
        <v>36.818614200583525</v>
      </c>
      <c r="N216" s="700">
        <v>30.09179394038901</v>
      </c>
      <c r="O216" s="700">
        <v>23.364973680194499</v>
      </c>
      <c r="P216" s="700">
        <v>16.638153419999988</v>
      </c>
      <c r="Q216" s="700">
        <v>16.638153419999998</v>
      </c>
      <c r="R216" s="700">
        <v>16.638153419999998</v>
      </c>
      <c r="S216" s="204">
        <f>SUM(G216:R216)</f>
        <v>502.36475274875278</v>
      </c>
    </row>
    <row r="217" spans="1:19" ht="14">
      <c r="A217" s="185" t="s">
        <v>37</v>
      </c>
      <c r="B217" s="182" t="s">
        <v>38</v>
      </c>
      <c r="C217" s="228">
        <v>62987</v>
      </c>
      <c r="D217" s="211">
        <v>0.5</v>
      </c>
      <c r="E217" s="199"/>
      <c r="F217" s="211">
        <v>1</v>
      </c>
      <c r="G217" s="700">
        <v>144.03186989707601</v>
      </c>
      <c r="H217" s="700">
        <v>133.96376213073424</v>
      </c>
      <c r="I217" s="700">
        <v>123.89565436439244</v>
      </c>
      <c r="J217" s="700">
        <v>113.82754659805067</v>
      </c>
      <c r="K217" s="700">
        <v>103.75943883170888</v>
      </c>
      <c r="L217" s="700">
        <v>93.691331065367109</v>
      </c>
      <c r="M217" s="700">
        <v>83.623223299025312</v>
      </c>
      <c r="N217" s="700">
        <v>73.555115532683544</v>
      </c>
      <c r="O217" s="700">
        <v>63.487007766341755</v>
      </c>
      <c r="P217" s="700">
        <v>53.418899999999979</v>
      </c>
      <c r="Q217" s="700">
        <v>53.418900000000001</v>
      </c>
      <c r="R217" s="700">
        <v>53.418900000000001</v>
      </c>
      <c r="S217" s="204">
        <f t="shared" ref="S217:S238" si="22">SUM(G217:R217)</f>
        <v>1094.0916494853798</v>
      </c>
    </row>
    <row r="218" spans="1:19" ht="14">
      <c r="A218" s="185" t="s">
        <v>30</v>
      </c>
      <c r="B218" s="182" t="s">
        <v>42</v>
      </c>
      <c r="C218" s="231">
        <v>42132</v>
      </c>
      <c r="D218" s="211">
        <v>0.5</v>
      </c>
      <c r="E218" s="199">
        <v>0.25</v>
      </c>
      <c r="F218" s="211">
        <v>1</v>
      </c>
      <c r="G218" s="700">
        <v>149.50280291218795</v>
      </c>
      <c r="H218" s="700">
        <v>136.36445241861151</v>
      </c>
      <c r="I218" s="700">
        <v>123.22610192503508</v>
      </c>
      <c r="J218" s="700">
        <v>110.08775143145864</v>
      </c>
      <c r="K218" s="700">
        <v>96.949400937882203</v>
      </c>
      <c r="L218" s="700">
        <v>83.811050444305764</v>
      </c>
      <c r="M218" s="700">
        <v>70.672699950729324</v>
      </c>
      <c r="N218" s="700">
        <v>57.534349457152885</v>
      </c>
      <c r="O218" s="700">
        <v>44.395998963576446</v>
      </c>
      <c r="P218" s="700">
        <v>31.257648470000003</v>
      </c>
      <c r="Q218" s="700">
        <v>31.257648470000003</v>
      </c>
      <c r="R218" s="700">
        <v>31.257648470000003</v>
      </c>
      <c r="S218" s="204">
        <f t="shared" si="22"/>
        <v>966.31755385093993</v>
      </c>
    </row>
    <row r="219" spans="1:19" ht="14">
      <c r="A219" s="185" t="s">
        <v>30</v>
      </c>
      <c r="B219" s="182" t="s">
        <v>43</v>
      </c>
      <c r="C219" s="231">
        <v>12509</v>
      </c>
      <c r="D219" s="211">
        <v>1</v>
      </c>
      <c r="E219" s="199"/>
      <c r="F219" s="211">
        <v>1</v>
      </c>
      <c r="G219" s="700">
        <v>36.280779770403001</v>
      </c>
      <c r="H219" s="700">
        <v>33.457626108135997</v>
      </c>
      <c r="I219" s="700">
        <v>30.634472445868997</v>
      </c>
      <c r="J219" s="700">
        <v>27.811318783601997</v>
      </c>
      <c r="K219" s="700">
        <v>24.988165121334998</v>
      </c>
      <c r="L219" s="700">
        <v>22.165011459067998</v>
      </c>
      <c r="M219" s="700">
        <v>19.341857796800998</v>
      </c>
      <c r="N219" s="700">
        <v>16.518704134533998</v>
      </c>
      <c r="O219" s="700">
        <v>13.695550472266998</v>
      </c>
      <c r="P219" s="700">
        <v>10.872396809999998</v>
      </c>
      <c r="Q219" s="700">
        <v>10.872396809999998</v>
      </c>
      <c r="R219" s="700">
        <v>10.872396809999998</v>
      </c>
      <c r="S219" s="204">
        <f t="shared" si="22"/>
        <v>257.51067652201499</v>
      </c>
    </row>
    <row r="220" spans="1:19" ht="14">
      <c r="A220" s="185" t="s">
        <v>30</v>
      </c>
      <c r="B220" s="182" t="s">
        <v>46</v>
      </c>
      <c r="C220" s="231">
        <v>27263</v>
      </c>
      <c r="D220" s="211">
        <v>1</v>
      </c>
      <c r="E220" s="199"/>
      <c r="F220" s="211">
        <v>1</v>
      </c>
      <c r="G220" s="700">
        <v>56.833416289870542</v>
      </c>
      <c r="H220" s="700">
        <v>52.405172293773816</v>
      </c>
      <c r="I220" s="700">
        <v>47.976928297677091</v>
      </c>
      <c r="J220" s="700">
        <v>43.548684301580366</v>
      </c>
      <c r="K220" s="700">
        <v>39.12044030548364</v>
      </c>
      <c r="L220" s="700">
        <v>34.692196309386915</v>
      </c>
      <c r="M220" s="700">
        <v>30.26395231329019</v>
      </c>
      <c r="N220" s="700">
        <v>25.835708317193461</v>
      </c>
      <c r="O220" s="700">
        <v>21.407464321096732</v>
      </c>
      <c r="P220" s="700">
        <v>16.979220325000007</v>
      </c>
      <c r="Q220" s="700">
        <v>16.979220325</v>
      </c>
      <c r="R220" s="700">
        <v>16.979220325</v>
      </c>
      <c r="S220" s="204">
        <f t="shared" si="22"/>
        <v>403.02162372435271</v>
      </c>
    </row>
    <row r="221" spans="1:19" ht="14">
      <c r="A221" s="185" t="s">
        <v>30</v>
      </c>
      <c r="B221" s="182" t="s">
        <v>47</v>
      </c>
      <c r="C221" s="231">
        <v>39057</v>
      </c>
      <c r="D221" s="211">
        <v>1</v>
      </c>
      <c r="E221" s="199"/>
      <c r="F221" s="211">
        <v>1</v>
      </c>
      <c r="G221" s="700">
        <v>95.801844534882051</v>
      </c>
      <c r="H221" s="700">
        <v>88.900793189339595</v>
      </c>
      <c r="I221" s="700">
        <v>81.999741843797153</v>
      </c>
      <c r="J221" s="700">
        <v>75.098690498254712</v>
      </c>
      <c r="K221" s="700">
        <v>68.197639152712256</v>
      </c>
      <c r="L221" s="700">
        <v>61.296587807169807</v>
      </c>
      <c r="M221" s="700">
        <v>54.395536461627358</v>
      </c>
      <c r="N221" s="700">
        <v>47.49448511608491</v>
      </c>
      <c r="O221" s="700">
        <v>40.593433770542461</v>
      </c>
      <c r="P221" s="700">
        <v>33.692382425000005</v>
      </c>
      <c r="Q221" s="700">
        <v>33.692382424999998</v>
      </c>
      <c r="R221" s="700">
        <v>33.692382424999998</v>
      </c>
      <c r="S221" s="204">
        <f t="shared" si="22"/>
        <v>714.85589964941028</v>
      </c>
    </row>
    <row r="222" spans="1:19" ht="14">
      <c r="A222" s="185" t="s">
        <v>48</v>
      </c>
      <c r="B222" s="182" t="s">
        <v>49</v>
      </c>
      <c r="C222" s="231">
        <v>24754</v>
      </c>
      <c r="D222" s="211">
        <v>1</v>
      </c>
      <c r="E222" s="199"/>
      <c r="F222" s="211">
        <v>1</v>
      </c>
      <c r="G222" s="700">
        <v>156.98270326973631</v>
      </c>
      <c r="H222" s="700">
        <v>141.69279965921004</v>
      </c>
      <c r="I222" s="700">
        <v>126.40289604868379</v>
      </c>
      <c r="J222" s="700">
        <v>111.11299243815752</v>
      </c>
      <c r="K222" s="700">
        <v>95.823088827631253</v>
      </c>
      <c r="L222" s="700">
        <v>80.533185217104986</v>
      </c>
      <c r="M222" s="700">
        <v>65.243281606578734</v>
      </c>
      <c r="N222" s="700">
        <v>49.953377996052467</v>
      </c>
      <c r="O222" s="700">
        <v>34.663474385526214</v>
      </c>
      <c r="P222" s="700">
        <v>19.373570774999951</v>
      </c>
      <c r="Q222" s="700">
        <v>19.373570775000001</v>
      </c>
      <c r="R222" s="700">
        <v>19.373570775000001</v>
      </c>
      <c r="S222" s="204">
        <f t="shared" si="22"/>
        <v>920.52851177368132</v>
      </c>
    </row>
    <row r="223" spans="1:19" ht="14">
      <c r="A223" s="185" t="s">
        <v>30</v>
      </c>
      <c r="B223" s="182" t="s">
        <v>92</v>
      </c>
      <c r="C223" s="231">
        <v>26819</v>
      </c>
      <c r="D223" s="212">
        <v>0</v>
      </c>
      <c r="E223" s="199">
        <v>1</v>
      </c>
      <c r="F223" s="211">
        <v>1</v>
      </c>
      <c r="G223" s="700">
        <v>37.491256923622053</v>
      </c>
      <c r="H223" s="700">
        <v>35.0550034832196</v>
      </c>
      <c r="I223" s="700">
        <v>32.618750042817148</v>
      </c>
      <c r="J223" s="700">
        <v>30.182496602414698</v>
      </c>
      <c r="K223" s="700">
        <v>27.746243162012249</v>
      </c>
      <c r="L223" s="700">
        <v>25.309989721609796</v>
      </c>
      <c r="M223" s="700">
        <v>22.873736281207343</v>
      </c>
      <c r="N223" s="700">
        <v>20.437482840804893</v>
      </c>
      <c r="O223" s="700">
        <v>18.001229400402444</v>
      </c>
      <c r="P223" s="700">
        <v>15.564975959999991</v>
      </c>
      <c r="Q223" s="700">
        <v>15.56497596</v>
      </c>
      <c r="R223" s="700">
        <v>15.56497596</v>
      </c>
      <c r="S223" s="204">
        <f t="shared" si="22"/>
        <v>296.41111633811028</v>
      </c>
    </row>
    <row r="224" spans="1:19" ht="14">
      <c r="A224" s="185" t="s">
        <v>30</v>
      </c>
      <c r="B224" s="182" t="s">
        <v>52</v>
      </c>
      <c r="C224" s="231">
        <v>28396</v>
      </c>
      <c r="D224" s="211">
        <v>0.75</v>
      </c>
      <c r="E224" s="199"/>
      <c r="F224" s="211">
        <v>1</v>
      </c>
      <c r="G224" s="700">
        <v>55.33126712744113</v>
      </c>
      <c r="H224" s="700">
        <v>50.419914320503224</v>
      </c>
      <c r="I224" s="700">
        <v>45.508561513565319</v>
      </c>
      <c r="J224" s="700">
        <v>40.597208706627413</v>
      </c>
      <c r="K224" s="700">
        <v>35.685855899689507</v>
      </c>
      <c r="L224" s="700">
        <v>30.774503092751601</v>
      </c>
      <c r="M224" s="700">
        <v>25.863150285813695</v>
      </c>
      <c r="N224" s="700">
        <v>20.951797478875793</v>
      </c>
      <c r="O224" s="700">
        <v>16.040444671937891</v>
      </c>
      <c r="P224" s="700">
        <v>11.129091864999985</v>
      </c>
      <c r="Q224" s="700">
        <v>11.129091864999999</v>
      </c>
      <c r="R224" s="700">
        <v>11.129091864999999</v>
      </c>
      <c r="S224" s="204">
        <f t="shared" si="22"/>
        <v>354.55997869220556</v>
      </c>
    </row>
    <row r="225" spans="1:19" ht="14">
      <c r="A225" s="185" t="s">
        <v>30</v>
      </c>
      <c r="B225" s="182" t="s">
        <v>54</v>
      </c>
      <c r="C225" s="231">
        <v>37558</v>
      </c>
      <c r="D225" s="211">
        <v>0.75</v>
      </c>
      <c r="E225" s="199"/>
      <c r="F225" s="211">
        <v>1</v>
      </c>
      <c r="G225" s="700">
        <v>80.05610105427472</v>
      </c>
      <c r="H225" s="700">
        <v>73.824683137688638</v>
      </c>
      <c r="I225" s="700">
        <v>67.593265221102556</v>
      </c>
      <c r="J225" s="700">
        <v>61.361847304516473</v>
      </c>
      <c r="K225" s="700">
        <v>55.130429387930391</v>
      </c>
      <c r="L225" s="700">
        <v>48.899011471344309</v>
      </c>
      <c r="M225" s="700">
        <v>42.667593554758227</v>
      </c>
      <c r="N225" s="700">
        <v>36.436175638172145</v>
      </c>
      <c r="O225" s="700">
        <v>30.204757721586066</v>
      </c>
      <c r="P225" s="700">
        <v>23.973339804999988</v>
      </c>
      <c r="Q225" s="700">
        <v>23.973339804999998</v>
      </c>
      <c r="R225" s="700">
        <v>23.973339804999998</v>
      </c>
      <c r="S225" s="204">
        <f t="shared" si="22"/>
        <v>568.09388390637355</v>
      </c>
    </row>
    <row r="226" spans="1:19" ht="14">
      <c r="A226" s="185" t="s">
        <v>37</v>
      </c>
      <c r="B226" s="182" t="s">
        <v>55</v>
      </c>
      <c r="C226" s="231">
        <v>55051</v>
      </c>
      <c r="D226" s="211">
        <v>0.5</v>
      </c>
      <c r="E226" s="199">
        <v>0.5</v>
      </c>
      <c r="F226" s="211">
        <v>1</v>
      </c>
      <c r="G226" s="700">
        <v>106.314639384</v>
      </c>
      <c r="H226" s="700">
        <v>99.565693868000011</v>
      </c>
      <c r="I226" s="700">
        <v>92.816748352000005</v>
      </c>
      <c r="J226" s="700">
        <v>86.067802835999998</v>
      </c>
      <c r="K226" s="700">
        <v>79.318857320000006</v>
      </c>
      <c r="L226" s="700">
        <v>72.569911804000014</v>
      </c>
      <c r="M226" s="700">
        <v>65.820966288000008</v>
      </c>
      <c r="N226" s="700">
        <v>59.072020772000009</v>
      </c>
      <c r="O226" s="700">
        <v>52.32307525600001</v>
      </c>
      <c r="P226" s="700">
        <v>45.574129740000004</v>
      </c>
      <c r="Q226" s="700">
        <v>45.574129739999997</v>
      </c>
      <c r="R226" s="700">
        <v>45.574129739999997</v>
      </c>
      <c r="S226" s="204">
        <f t="shared" si="22"/>
        <v>850.59210510000003</v>
      </c>
    </row>
    <row r="227" spans="1:19" ht="14">
      <c r="A227" s="185" t="s">
        <v>30</v>
      </c>
      <c r="B227" s="182" t="s">
        <v>56</v>
      </c>
      <c r="C227" s="231">
        <v>39938</v>
      </c>
      <c r="D227" s="211">
        <v>0.5</v>
      </c>
      <c r="E227" s="199"/>
      <c r="F227" s="211">
        <v>1</v>
      </c>
      <c r="G227" s="700">
        <v>162.67169963696915</v>
      </c>
      <c r="H227" s="700">
        <v>147.86093967730591</v>
      </c>
      <c r="I227" s="700">
        <v>133.05017971764266</v>
      </c>
      <c r="J227" s="700">
        <v>118.23941975797941</v>
      </c>
      <c r="K227" s="700">
        <v>103.42865979831616</v>
      </c>
      <c r="L227" s="700">
        <v>88.617899838652932</v>
      </c>
      <c r="M227" s="700">
        <v>73.807139878989688</v>
      </c>
      <c r="N227" s="700">
        <v>58.996379919326458</v>
      </c>
      <c r="O227" s="700">
        <v>44.185619959663214</v>
      </c>
      <c r="P227" s="700">
        <v>29.374859999999977</v>
      </c>
      <c r="Q227" s="700">
        <v>29.374860000000002</v>
      </c>
      <c r="R227" s="700">
        <v>29.374860000000002</v>
      </c>
      <c r="S227" s="204">
        <f t="shared" si="22"/>
        <v>1018.9825181848457</v>
      </c>
    </row>
    <row r="228" spans="1:19" ht="14">
      <c r="A228" s="185" t="s">
        <v>30</v>
      </c>
      <c r="B228" s="182" t="s">
        <v>93</v>
      </c>
      <c r="C228" s="231">
        <v>20404</v>
      </c>
      <c r="D228" s="212">
        <v>0</v>
      </c>
      <c r="E228" s="199">
        <v>1</v>
      </c>
      <c r="F228" s="211">
        <v>1</v>
      </c>
      <c r="G228" s="700">
        <v>58.131336524848592</v>
      </c>
      <c r="H228" s="700">
        <v>54.537590214865418</v>
      </c>
      <c r="I228" s="700">
        <v>50.943843904882236</v>
      </c>
      <c r="J228" s="700">
        <v>47.350097594899054</v>
      </c>
      <c r="K228" s="700">
        <v>43.75635128491588</v>
      </c>
      <c r="L228" s="700">
        <v>40.162604974932705</v>
      </c>
      <c r="M228" s="700">
        <v>36.568858664949524</v>
      </c>
      <c r="N228" s="700">
        <v>32.975112354966342</v>
      </c>
      <c r="O228" s="700">
        <v>29.381366044983167</v>
      </c>
      <c r="P228" s="700">
        <v>25.787619734999989</v>
      </c>
      <c r="Q228" s="700">
        <v>25.787619734999993</v>
      </c>
      <c r="R228" s="700">
        <v>25.787619734999993</v>
      </c>
      <c r="S228" s="204">
        <f t="shared" si="22"/>
        <v>471.17002076924291</v>
      </c>
    </row>
    <row r="229" spans="1:19" ht="14">
      <c r="A229" s="185" t="s">
        <v>37</v>
      </c>
      <c r="B229" s="182" t="s">
        <v>60</v>
      </c>
      <c r="C229" s="231">
        <v>1422</v>
      </c>
      <c r="D229" s="211">
        <v>1</v>
      </c>
      <c r="E229" s="199"/>
      <c r="F229" s="211">
        <v>1</v>
      </c>
      <c r="G229" s="700">
        <v>5.4793612881599989</v>
      </c>
      <c r="H229" s="700">
        <v>5.1122783559199991</v>
      </c>
      <c r="I229" s="700">
        <v>4.7451954236799994</v>
      </c>
      <c r="J229" s="700">
        <v>4.3781124914399996</v>
      </c>
      <c r="K229" s="700">
        <v>4.0110295591999998</v>
      </c>
      <c r="L229" s="700">
        <v>3.6439466269599996</v>
      </c>
      <c r="M229" s="700">
        <v>3.2768636947199994</v>
      </c>
      <c r="N229" s="700">
        <v>2.9097807624799996</v>
      </c>
      <c r="O229" s="700">
        <v>2.5426978302399998</v>
      </c>
      <c r="P229" s="700">
        <v>2.1756148979999996</v>
      </c>
      <c r="Q229" s="700">
        <v>2.1756148979999996</v>
      </c>
      <c r="R229" s="700">
        <v>2.1756148979999996</v>
      </c>
      <c r="S229" s="204">
        <f t="shared" si="22"/>
        <v>42.626110726799993</v>
      </c>
    </row>
    <row r="230" spans="1:19" ht="14">
      <c r="A230" s="185" t="s">
        <v>66</v>
      </c>
      <c r="B230" s="182" t="s">
        <v>170</v>
      </c>
      <c r="C230" s="231">
        <v>17363.8</v>
      </c>
      <c r="D230" s="212">
        <v>0</v>
      </c>
      <c r="E230" s="199"/>
      <c r="F230" s="211">
        <v>1</v>
      </c>
      <c r="G230" s="700">
        <v>53.836299396599991</v>
      </c>
      <c r="H230" s="700">
        <v>49.255787924199993</v>
      </c>
      <c r="I230" s="700">
        <v>44.675276451799995</v>
      </c>
      <c r="J230" s="700">
        <v>40.094764979399997</v>
      </c>
      <c r="K230" s="700">
        <v>35.514253506999999</v>
      </c>
      <c r="L230" s="700">
        <v>30.933742034600002</v>
      </c>
      <c r="M230" s="700">
        <v>26.353230562200004</v>
      </c>
      <c r="N230" s="700">
        <v>21.772719089800006</v>
      </c>
      <c r="O230" s="700">
        <v>17.192207617400005</v>
      </c>
      <c r="P230" s="700">
        <v>12.611696145000005</v>
      </c>
      <c r="Q230" s="700">
        <v>12.611696144999998</v>
      </c>
      <c r="R230" s="700">
        <v>12.611696144999998</v>
      </c>
      <c r="S230" s="204">
        <f t="shared" si="22"/>
        <v>357.46336999800002</v>
      </c>
    </row>
    <row r="231" spans="1:19" ht="14">
      <c r="A231" s="185" t="s">
        <v>48</v>
      </c>
      <c r="B231" s="182" t="s">
        <v>168</v>
      </c>
      <c r="C231" s="231">
        <v>24784</v>
      </c>
      <c r="D231" s="212">
        <v>0</v>
      </c>
      <c r="E231" s="199"/>
      <c r="F231" s="211">
        <v>1</v>
      </c>
      <c r="G231" s="700">
        <v>97.845387975000008</v>
      </c>
      <c r="H231" s="700">
        <v>89.570962375000008</v>
      </c>
      <c r="I231" s="700">
        <v>81.296536775000007</v>
      </c>
      <c r="J231" s="700">
        <v>73.022111175000006</v>
      </c>
      <c r="K231" s="700">
        <v>64.747685575000006</v>
      </c>
      <c r="L231" s="700">
        <v>56.473259975000005</v>
      </c>
      <c r="M231" s="700">
        <v>48.198834375000004</v>
      </c>
      <c r="N231" s="700">
        <v>39.924408775000003</v>
      </c>
      <c r="O231" s="700">
        <v>31.649983174999999</v>
      </c>
      <c r="P231" s="700">
        <v>23.375557574999998</v>
      </c>
      <c r="Q231" s="700">
        <v>23.375557574999998</v>
      </c>
      <c r="R231" s="700">
        <v>23.375557574999998</v>
      </c>
      <c r="S231" s="204">
        <f t="shared" si="22"/>
        <v>652.85584290000008</v>
      </c>
    </row>
    <row r="232" spans="1:19" ht="14">
      <c r="A232" s="185" t="s">
        <v>30</v>
      </c>
      <c r="B232" s="182" t="s">
        <v>123</v>
      </c>
      <c r="C232" s="231">
        <v>23555.5</v>
      </c>
      <c r="D232" s="211">
        <v>0</v>
      </c>
      <c r="E232" s="199"/>
      <c r="F232" s="211">
        <v>1</v>
      </c>
      <c r="G232" s="700">
        <v>39.792431878155995</v>
      </c>
      <c r="H232" s="700">
        <v>36.424597309471999</v>
      </c>
      <c r="I232" s="700">
        <v>33.056762740788002</v>
      </c>
      <c r="J232" s="700">
        <v>29.688928172103999</v>
      </c>
      <c r="K232" s="700">
        <v>26.32109360342</v>
      </c>
      <c r="L232" s="700">
        <v>22.953259034736</v>
      </c>
      <c r="M232" s="700">
        <v>19.585424466052</v>
      </c>
      <c r="N232" s="700">
        <v>16.217589897368001</v>
      </c>
      <c r="O232" s="700">
        <v>12.849755328684001</v>
      </c>
      <c r="P232" s="700">
        <v>9.4819207600000013</v>
      </c>
      <c r="Q232" s="700">
        <v>9.4819207600000013</v>
      </c>
      <c r="R232" s="700">
        <v>9.4819207600000013</v>
      </c>
      <c r="S232" s="204">
        <f t="shared" si="22"/>
        <v>265.33560471077999</v>
      </c>
    </row>
    <row r="233" spans="1:19" ht="14">
      <c r="A233" s="185" t="s">
        <v>63</v>
      </c>
      <c r="B233" s="182" t="s">
        <v>64</v>
      </c>
      <c r="C233" s="231">
        <v>61127</v>
      </c>
      <c r="D233" s="211">
        <v>0.5</v>
      </c>
      <c r="E233" s="199"/>
      <c r="F233" s="211"/>
      <c r="G233" s="700">
        <v>106.52684795796</v>
      </c>
      <c r="H233" s="700">
        <v>100.00816485152001</v>
      </c>
      <c r="I233" s="700">
        <v>93.489481745080013</v>
      </c>
      <c r="J233" s="700">
        <v>86.970798638640005</v>
      </c>
      <c r="K233" s="700">
        <v>80.452115532199997</v>
      </c>
      <c r="L233" s="700">
        <v>73.933432425760003</v>
      </c>
      <c r="M233" s="700">
        <v>67.414749319320009</v>
      </c>
      <c r="N233" s="700">
        <v>60.896066212880001</v>
      </c>
      <c r="O233" s="700">
        <v>54.37738310644</v>
      </c>
      <c r="P233" s="700">
        <v>47.858699999999999</v>
      </c>
      <c r="Q233" s="700">
        <v>47.858699999999999</v>
      </c>
      <c r="R233" s="700">
        <v>47.858699999999999</v>
      </c>
      <c r="S233" s="204">
        <f t="shared" si="22"/>
        <v>867.64513978979994</v>
      </c>
    </row>
    <row r="234" spans="1:19" ht="14">
      <c r="A234" s="185" t="s">
        <v>66</v>
      </c>
      <c r="B234" s="182" t="s">
        <v>95</v>
      </c>
      <c r="C234" s="231">
        <v>41253</v>
      </c>
      <c r="D234" s="212">
        <v>0</v>
      </c>
      <c r="E234" s="199">
        <v>0.5</v>
      </c>
      <c r="F234" s="211"/>
      <c r="G234" s="700">
        <v>86.791927762814993</v>
      </c>
      <c r="H234" s="700">
        <v>79.60561430528</v>
      </c>
      <c r="I234" s="700">
        <v>72.419300847744992</v>
      </c>
      <c r="J234" s="700">
        <v>65.232987390209999</v>
      </c>
      <c r="K234" s="700">
        <v>58.046673932674992</v>
      </c>
      <c r="L234" s="700">
        <v>50.860360475139998</v>
      </c>
      <c r="M234" s="700">
        <v>43.674047017604991</v>
      </c>
      <c r="N234" s="700">
        <v>36.487733560069998</v>
      </c>
      <c r="O234" s="700">
        <v>29.301420102534994</v>
      </c>
      <c r="P234" s="700">
        <v>22.115106644999994</v>
      </c>
      <c r="Q234" s="700">
        <v>22.115106645000001</v>
      </c>
      <c r="R234" s="700">
        <v>22.115106645000001</v>
      </c>
      <c r="S234" s="204">
        <f t="shared" si="22"/>
        <v>588.76538532907489</v>
      </c>
    </row>
    <row r="235" spans="1:19" ht="14">
      <c r="A235" s="185" t="s">
        <v>66</v>
      </c>
      <c r="B235" s="198" t="s">
        <v>133</v>
      </c>
      <c r="C235" s="231">
        <v>8227.2000000000007</v>
      </c>
      <c r="D235" s="212">
        <v>0</v>
      </c>
      <c r="E235" s="199"/>
      <c r="F235" s="211">
        <v>1</v>
      </c>
      <c r="G235" s="700">
        <v>14.741070910000001</v>
      </c>
      <c r="H235" s="700">
        <v>13.576803910000001</v>
      </c>
      <c r="I235" s="700">
        <v>12.41253691</v>
      </c>
      <c r="J235" s="700">
        <v>11.248269909999999</v>
      </c>
      <c r="K235" s="700">
        <v>10.084002909999999</v>
      </c>
      <c r="L235" s="700">
        <v>8.9197359099999982</v>
      </c>
      <c r="M235" s="700">
        <v>7.7554689099999976</v>
      </c>
      <c r="N235" s="700">
        <v>6.591201909999997</v>
      </c>
      <c r="O235" s="700">
        <v>5.4269349099999964</v>
      </c>
      <c r="P235" s="700">
        <v>4.2626679099999958</v>
      </c>
      <c r="Q235" s="700">
        <v>4.2626679099999993</v>
      </c>
      <c r="R235" s="700">
        <v>4.2626679099999993</v>
      </c>
      <c r="S235" s="204">
        <f t="shared" si="22"/>
        <v>103.54402992</v>
      </c>
    </row>
    <row r="236" spans="1:19" ht="14">
      <c r="A236" s="185" t="s">
        <v>178</v>
      </c>
      <c r="B236" s="198" t="s">
        <v>140</v>
      </c>
      <c r="C236" s="231">
        <v>20861</v>
      </c>
      <c r="D236" s="212">
        <v>1</v>
      </c>
      <c r="E236" s="199"/>
      <c r="F236" s="211">
        <v>0</v>
      </c>
      <c r="G236" s="700">
        <v>43.59746813872124</v>
      </c>
      <c r="H236" s="700">
        <v>40.087651570196655</v>
      </c>
      <c r="I236" s="700">
        <v>36.577835001672071</v>
      </c>
      <c r="J236" s="700">
        <v>33.068018433147486</v>
      </c>
      <c r="K236" s="700">
        <v>29.558201864622902</v>
      </c>
      <c r="L236" s="700">
        <v>26.048385296098317</v>
      </c>
      <c r="M236" s="700">
        <v>22.538568727573733</v>
      </c>
      <c r="N236" s="700">
        <v>19.028752159049152</v>
      </c>
      <c r="O236" s="700">
        <v>15.518935590524569</v>
      </c>
      <c r="P236" s="700">
        <v>12.009119021999986</v>
      </c>
      <c r="Q236" s="700">
        <v>12.009119021999998</v>
      </c>
      <c r="R236" s="700">
        <v>12.009119021999998</v>
      </c>
      <c r="S236" s="204">
        <f t="shared" si="22"/>
        <v>302.05117384760609</v>
      </c>
    </row>
    <row r="237" spans="1:19" ht="14">
      <c r="A237" s="185" t="s">
        <v>37</v>
      </c>
      <c r="B237" s="182" t="s">
        <v>166</v>
      </c>
      <c r="C237" s="231">
        <v>15723.1</v>
      </c>
      <c r="D237" s="212">
        <v>0</v>
      </c>
      <c r="E237" s="199"/>
      <c r="F237" s="211">
        <v>1</v>
      </c>
      <c r="G237" s="700">
        <v>104.92433291729085</v>
      </c>
      <c r="H237" s="700">
        <v>93.89625072892521</v>
      </c>
      <c r="I237" s="700">
        <v>82.868168540559552</v>
      </c>
      <c r="J237" s="700">
        <v>71.840086352193893</v>
      </c>
      <c r="K237" s="700">
        <v>60.812004163828249</v>
      </c>
      <c r="L237" s="700">
        <v>49.78392197546259</v>
      </c>
      <c r="M237" s="700">
        <v>38.755839787096939</v>
      </c>
      <c r="N237" s="700">
        <v>27.727757598731287</v>
      </c>
      <c r="O237" s="700">
        <v>16.699675410365636</v>
      </c>
      <c r="P237" s="700">
        <v>5.6715932219999861</v>
      </c>
      <c r="Q237" s="700">
        <v>5.6715932219999994</v>
      </c>
      <c r="R237" s="700">
        <v>5.6715932219999994</v>
      </c>
      <c r="S237" s="204">
        <f t="shared" si="22"/>
        <v>564.32281714045416</v>
      </c>
    </row>
    <row r="238" spans="1:19" ht="14.5" thickBot="1">
      <c r="A238" s="185" t="s">
        <v>66</v>
      </c>
      <c r="B238" s="182" t="s">
        <v>67</v>
      </c>
      <c r="C238" s="231">
        <v>12837.7</v>
      </c>
      <c r="D238" s="211">
        <v>0</v>
      </c>
      <c r="E238" s="199"/>
      <c r="F238" s="211">
        <v>1</v>
      </c>
      <c r="G238" s="700">
        <v>75.513339619454001</v>
      </c>
      <c r="H238" s="700">
        <v>70.090973697848</v>
      </c>
      <c r="I238" s="700">
        <v>64.668607776241998</v>
      </c>
      <c r="J238" s="700">
        <v>59.246241854635997</v>
      </c>
      <c r="K238" s="700">
        <v>53.823875933029996</v>
      </c>
      <c r="L238" s="700">
        <v>48.401510011423994</v>
      </c>
      <c r="M238" s="700">
        <v>42.979144089817993</v>
      </c>
      <c r="N238" s="700">
        <v>37.556778168211991</v>
      </c>
      <c r="O238" s="700">
        <v>32.13441224660599</v>
      </c>
      <c r="P238" s="700">
        <v>26.712046324999989</v>
      </c>
      <c r="Q238" s="700">
        <v>26.712046324999999</v>
      </c>
      <c r="R238" s="700">
        <v>26.712046324999999</v>
      </c>
      <c r="S238" s="204">
        <f t="shared" si="22"/>
        <v>564.5510223722697</v>
      </c>
    </row>
    <row r="239" spans="1:19" ht="13" thickTop="1">
      <c r="G239" s="261">
        <f t="shared" ref="G239:P239" si="23">SUBTOTAL(109,G216:G238)</f>
        <v>1845.6577209312193</v>
      </c>
      <c r="H239" s="261">
        <f t="shared" si="23"/>
        <v>1696.1302310313056</v>
      </c>
      <c r="I239" s="261">
        <f t="shared" si="23"/>
        <v>1546.6027411313926</v>
      </c>
      <c r="J239" s="261">
        <f t="shared" si="23"/>
        <v>1397.0752512314793</v>
      </c>
      <c r="K239" s="261">
        <f t="shared" si="23"/>
        <v>1247.5477613315661</v>
      </c>
      <c r="L239" s="261">
        <f t="shared" si="23"/>
        <v>1098.0202714316526</v>
      </c>
      <c r="M239" s="261">
        <f t="shared" si="23"/>
        <v>948.49278153173952</v>
      </c>
      <c r="N239" s="261">
        <f t="shared" si="23"/>
        <v>798.96529163182629</v>
      </c>
      <c r="O239" s="261">
        <f t="shared" si="23"/>
        <v>649.43780173191317</v>
      </c>
      <c r="P239" s="261">
        <f t="shared" si="23"/>
        <v>499.91031183199982</v>
      </c>
      <c r="Q239" s="261">
        <f>SUBTOTAL(109,Q216:Q238)</f>
        <v>499.91031183199999</v>
      </c>
      <c r="R239" s="261">
        <f>SUBTOTAL(109,R216:R238)</f>
        <v>499.91031183199999</v>
      </c>
      <c r="S239" s="261">
        <f>SUBTOTAL(109,S216:S238)</f>
        <v>12727.660787480094</v>
      </c>
    </row>
    <row r="242" spans="1:19" ht="18" thickBot="1">
      <c r="A242" s="196" t="s">
        <v>219</v>
      </c>
    </row>
    <row r="243" spans="1:19" ht="15" thickTop="1" thickBot="1">
      <c r="A243" s="184" t="s">
        <v>6</v>
      </c>
      <c r="B243" s="184" t="s">
        <v>7</v>
      </c>
      <c r="C243" s="184" t="s">
        <v>9</v>
      </c>
      <c r="D243" s="184" t="s">
        <v>10</v>
      </c>
      <c r="E243" s="184" t="s">
        <v>11</v>
      </c>
      <c r="F243" s="184" t="s">
        <v>12</v>
      </c>
      <c r="G243" s="184" t="s">
        <v>188</v>
      </c>
      <c r="H243" s="184" t="s">
        <v>189</v>
      </c>
      <c r="I243" s="184" t="s">
        <v>190</v>
      </c>
      <c r="J243" s="184" t="s">
        <v>191</v>
      </c>
      <c r="K243" s="184" t="s">
        <v>192</v>
      </c>
      <c r="L243" s="184" t="s">
        <v>193</v>
      </c>
      <c r="M243" s="184" t="s">
        <v>194</v>
      </c>
      <c r="N243" s="184" t="s">
        <v>195</v>
      </c>
      <c r="O243" s="184" t="s">
        <v>196</v>
      </c>
      <c r="P243" s="184" t="s">
        <v>197</v>
      </c>
      <c r="Q243" s="184" t="s">
        <v>198</v>
      </c>
      <c r="R243" s="184" t="s">
        <v>199</v>
      </c>
      <c r="S243" s="200" t="s">
        <v>84</v>
      </c>
    </row>
    <row r="244" spans="1:19" ht="14.5" thickTop="1">
      <c r="A244" s="185" t="s">
        <v>220</v>
      </c>
      <c r="B244" s="198" t="s">
        <v>31</v>
      </c>
      <c r="C244" s="228">
        <v>29166</v>
      </c>
      <c r="D244" s="211">
        <v>1</v>
      </c>
      <c r="E244" s="199"/>
      <c r="F244" s="211">
        <v>1</v>
      </c>
      <c r="G244" s="203">
        <f>-1*($G4-G4)*(VLOOKUP($A244,Assumptions!$A$4:$N$14,COLUMNS(Assumptions!$A$4:B$14)+1,0))</f>
        <v>0</v>
      </c>
      <c r="H244" s="203">
        <f>-1*($G4-H4)*(VLOOKUP($A244,Assumptions!$A$4:$N$14,COLUMNS(Assumptions!$A$4:C$14)+1,0))</f>
        <v>-14.84</v>
      </c>
      <c r="I244" s="203">
        <f>-1*($G4-I4)*(VLOOKUP($A244,Assumptions!$A$4:$N$14,COLUMNS(Assumptions!$A$4:D$14)+1,0))</f>
        <v>-14.6</v>
      </c>
      <c r="J244" s="203">
        <f>-1*($G4-J4)*(VLOOKUP($A244,Assumptions!$A$4:$N$14,COLUMNS(Assumptions!$A$4:E$14)+1,0))</f>
        <v>-370.72</v>
      </c>
      <c r="K244" s="203">
        <f>-1*($G4-K4)*(VLOOKUP($A244,Assumptions!$A$4:$N$14,COLUMNS(Assumptions!$A$4:F$14)+1,0))</f>
        <v>-380.64</v>
      </c>
      <c r="L244" s="203">
        <f>-1*($G4-L4)*(VLOOKUP($A244,Assumptions!$A$4:$N$14,COLUMNS(Assumptions!$A$4:G$14)+1,0))</f>
        <v>-344.61</v>
      </c>
      <c r="M244" s="203">
        <f>-1*($G4-M4)*(VLOOKUP($A244,Assumptions!$A$4:$N$14,COLUMNS(Assumptions!$A$4:H$14)+1,0))</f>
        <v>-289.8</v>
      </c>
      <c r="N244" s="203">
        <f>-1*($G4-N4)*(VLOOKUP($A244,Assumptions!$A$4:$N$14,COLUMNS(Assumptions!$A$4:I$14)+1,0))</f>
        <v>-245.12</v>
      </c>
      <c r="O244" s="203">
        <f>-1*($G4-O4)*(VLOOKUP($A244,Assumptions!$A$4:$N$14,COLUMNS(Assumptions!$A$4:J$14)+1,0))</f>
        <v>-253.5</v>
      </c>
      <c r="P244" s="203">
        <f>-1*($G4-P4)*(VLOOKUP($A244,Assumptions!$A$4:$N$14,COLUMNS(Assumptions!$A$4:K$14)+1,0))</f>
        <v>-224.64</v>
      </c>
      <c r="Q244" s="203">
        <f>-1*($G4-Q4)*(VLOOKUP($A244,Assumptions!$A$4:$N$14,COLUMNS(Assumptions!$A$4:L$14)+1,0))</f>
        <v>-205.92000000000002</v>
      </c>
      <c r="R244" s="203">
        <f>-1*($G4-R4)*(VLOOKUP($A244,Assumptions!$A$4:$N$14,COLUMNS(Assumptions!$A$4:M$14)+1,0))</f>
        <v>-193.44</v>
      </c>
      <c r="S244" s="204">
        <f>SUM(G244:R244)</f>
        <v>-2537.83</v>
      </c>
    </row>
    <row r="245" spans="1:19" ht="14">
      <c r="A245" s="185" t="s">
        <v>221</v>
      </c>
      <c r="B245" s="182" t="s">
        <v>38</v>
      </c>
      <c r="C245" s="228">
        <v>62987</v>
      </c>
      <c r="D245" s="211">
        <v>0.5</v>
      </c>
      <c r="E245" s="199"/>
      <c r="F245" s="211">
        <v>1</v>
      </c>
      <c r="G245" s="203">
        <f>-1*($G5-G5)*(VLOOKUP($A245,Assumptions!$A$4:$N$14,COLUMNS(Assumptions!$A$4:B$14)+1,0))</f>
        <v>0</v>
      </c>
      <c r="H245" s="203">
        <f>-1*($G5-H5)*(VLOOKUP($A245,Assumptions!$A$4:$N$14,COLUMNS(Assumptions!$A$4:C$14)+1,0))</f>
        <v>0</v>
      </c>
      <c r="I245" s="203">
        <f>-1*($G5-I5)*(VLOOKUP($A245,Assumptions!$A$4:$N$14,COLUMNS(Assumptions!$A$4:D$14)+1,0))</f>
        <v>0</v>
      </c>
      <c r="J245" s="203">
        <f>-1*($G5-J5)*(VLOOKUP($A245,Assumptions!$A$4:$N$14,COLUMNS(Assumptions!$A$4:E$14)+1,0))</f>
        <v>0</v>
      </c>
      <c r="K245" s="203">
        <f>-1*($G5-K5)*(VLOOKUP($A245,Assumptions!$A$4:$N$14,COLUMNS(Assumptions!$A$4:F$14)+1,0))</f>
        <v>0</v>
      </c>
      <c r="L245" s="203">
        <f>-1*($G5-L5)*(VLOOKUP($A245,Assumptions!$A$4:$N$14,COLUMNS(Assumptions!$A$4:G$14)+1,0))</f>
        <v>0</v>
      </c>
      <c r="M245" s="203">
        <f>-1*($G5-M5)*(VLOOKUP($A245,Assumptions!$A$4:$N$14,COLUMNS(Assumptions!$A$4:H$14)+1,0))</f>
        <v>0</v>
      </c>
      <c r="N245" s="203">
        <f>-1*($G5-N5)*(VLOOKUP($A245,Assumptions!$A$4:$N$14,COLUMNS(Assumptions!$A$4:I$14)+1,0))</f>
        <v>0</v>
      </c>
      <c r="O245" s="203">
        <f>-1*($G5-O5)*(VLOOKUP($A245,Assumptions!$A$4:$N$14,COLUMNS(Assumptions!$A$4:J$14)+1,0))</f>
        <v>0</v>
      </c>
      <c r="P245" s="203">
        <f>-1*($G5-P5)*(VLOOKUP($A245,Assumptions!$A$4:$N$14,COLUMNS(Assumptions!$A$4:K$14)+1,0))</f>
        <v>0</v>
      </c>
      <c r="Q245" s="203">
        <f>-1*($G5-Q5)*(VLOOKUP($A245,Assumptions!$A$4:$N$14,COLUMNS(Assumptions!$A$4:L$14)+1,0))</f>
        <v>0</v>
      </c>
      <c r="R245" s="203">
        <f>-1*($G5-R5)*(VLOOKUP($A245,Assumptions!$A$4:$N$14,COLUMNS(Assumptions!$A$4:M$14)+1,0))</f>
        <v>0</v>
      </c>
      <c r="S245" s="204">
        <f t="shared" ref="S245:S266" si="24">SUM(G245:R245)</f>
        <v>0</v>
      </c>
    </row>
    <row r="246" spans="1:19" ht="14">
      <c r="A246" s="185" t="s">
        <v>220</v>
      </c>
      <c r="B246" s="182" t="s">
        <v>42</v>
      </c>
      <c r="C246" s="231">
        <v>42132</v>
      </c>
      <c r="D246" s="211">
        <v>0.5</v>
      </c>
      <c r="E246" s="199">
        <v>0.25</v>
      </c>
      <c r="F246" s="211">
        <v>1</v>
      </c>
      <c r="G246" s="203">
        <f>-1*($G6-G6)*(VLOOKUP($A246,Assumptions!$A$4:$N$14,COLUMNS(Assumptions!$A$4:B$14)+1,0))</f>
        <v>0</v>
      </c>
      <c r="H246" s="203">
        <f>-1*($G6-H6)*(VLOOKUP($A246,Assumptions!$A$4:$N$14,COLUMNS(Assumptions!$A$4:C$14)+1,0))</f>
        <v>-14.84</v>
      </c>
      <c r="I246" s="203">
        <f>-1*($G6-I6)*(VLOOKUP($A246,Assumptions!$A$4:$N$14,COLUMNS(Assumptions!$A$4:D$14)+1,0))</f>
        <v>-14.6</v>
      </c>
      <c r="J246" s="203">
        <f>-1*($G6-J6)*(VLOOKUP($A246,Assumptions!$A$4:$N$14,COLUMNS(Assumptions!$A$4:E$14)+1,0))</f>
        <v>-112.54</v>
      </c>
      <c r="K246" s="203">
        <f>-1*($G6-K6)*(VLOOKUP($A246,Assumptions!$A$4:$N$14,COLUMNS(Assumptions!$A$4:F$14)+1,0))</f>
        <v>-106.08</v>
      </c>
      <c r="L246" s="203">
        <f>-1*($G6-L6)*(VLOOKUP($A246,Assumptions!$A$4:$N$14,COLUMNS(Assumptions!$A$4:G$14)+1,0))</f>
        <v>-125.81000000000002</v>
      </c>
      <c r="M246" s="203">
        <f>-1*($G6-M6)*(VLOOKUP($A246,Assumptions!$A$4:$N$14,COLUMNS(Assumptions!$A$4:H$14)+1,0))</f>
        <v>-105.80000000000001</v>
      </c>
      <c r="N246" s="203">
        <f>-1*($G6-N6)*(VLOOKUP($A246,Assumptions!$A$4:$N$14,COLUMNS(Assumptions!$A$4:I$14)+1,0))</f>
        <v>-88.09</v>
      </c>
      <c r="O246" s="203">
        <f>-1*($G6-O6)*(VLOOKUP($A246,Assumptions!$A$4:$N$14,COLUMNS(Assumptions!$A$4:J$14)+1,0))</f>
        <v>-237.25</v>
      </c>
      <c r="P246" s="203">
        <f>-1*($G6-P6)*(VLOOKUP($A246,Assumptions!$A$4:$N$14,COLUMNS(Assumptions!$A$4:K$14)+1,0))</f>
        <v>-267.83999999999997</v>
      </c>
      <c r="Q246" s="203">
        <f>-1*($G6-Q6)*(VLOOKUP($A246,Assumptions!$A$4:$N$14,COLUMNS(Assumptions!$A$4:L$14)+1,0))</f>
        <v>-245.52</v>
      </c>
      <c r="R246" s="203">
        <f>-1*($G6-R6)*(VLOOKUP($A246,Assumptions!$A$4:$N$14,COLUMNS(Assumptions!$A$4:M$14)+1,0))</f>
        <v>-230.64</v>
      </c>
      <c r="S246" s="204">
        <f t="shared" si="24"/>
        <v>-1549.0099999999998</v>
      </c>
    </row>
    <row r="247" spans="1:19" ht="14">
      <c r="A247" s="185" t="s">
        <v>220</v>
      </c>
      <c r="B247" s="182" t="s">
        <v>43</v>
      </c>
      <c r="C247" s="231">
        <v>12509</v>
      </c>
      <c r="D247" s="211">
        <v>1</v>
      </c>
      <c r="E247" s="199"/>
      <c r="F247" s="211">
        <v>1</v>
      </c>
      <c r="G247" s="203">
        <f>-1*($G7-G7)*(VLOOKUP($A247,Assumptions!$A$4:$N$14,COLUMNS(Assumptions!$A$4:B$14)+1,0))</f>
        <v>0</v>
      </c>
      <c r="H247" s="203">
        <f>-1*($G7-H7)*(VLOOKUP($A247,Assumptions!$A$4:$N$14,COLUMNS(Assumptions!$A$4:C$14)+1,0))</f>
        <v>0</v>
      </c>
      <c r="I247" s="203">
        <f>-1*($G7-I7)*(VLOOKUP($A247,Assumptions!$A$4:$N$14,COLUMNS(Assumptions!$A$4:D$14)+1,0))</f>
        <v>0</v>
      </c>
      <c r="J247" s="203">
        <f>-1*($G7-J7)*(VLOOKUP($A247,Assumptions!$A$4:$N$14,COLUMNS(Assumptions!$A$4:E$14)+1,0))</f>
        <v>0</v>
      </c>
      <c r="K247" s="203">
        <f>-1*($G7-K7)*(VLOOKUP($A247,Assumptions!$A$4:$N$14,COLUMNS(Assumptions!$A$4:F$14)+1,0))</f>
        <v>0</v>
      </c>
      <c r="L247" s="203">
        <f>-1*($G7-L7)*(VLOOKUP($A247,Assumptions!$A$4:$N$14,COLUMNS(Assumptions!$A$4:G$14)+1,0))</f>
        <v>0</v>
      </c>
      <c r="M247" s="203">
        <f>-1*($G7-M7)*(VLOOKUP($A247,Assumptions!$A$4:$N$14,COLUMNS(Assumptions!$A$4:H$14)+1,0))</f>
        <v>0</v>
      </c>
      <c r="N247" s="203">
        <f>-1*($G7-N7)*(VLOOKUP($A247,Assumptions!$A$4:$N$14,COLUMNS(Assumptions!$A$4:I$14)+1,0))</f>
        <v>0</v>
      </c>
      <c r="O247" s="203">
        <f>-1*($G7-O7)*(VLOOKUP($A247,Assumptions!$A$4:$N$14,COLUMNS(Assumptions!$A$4:J$14)+1,0))</f>
        <v>0</v>
      </c>
      <c r="P247" s="203">
        <f>-1*($G7-P7)*(VLOOKUP($A247,Assumptions!$A$4:$N$14,COLUMNS(Assumptions!$A$4:K$14)+1,0))</f>
        <v>0</v>
      </c>
      <c r="Q247" s="203">
        <f>-1*($G7-Q7)*(VLOOKUP($A247,Assumptions!$A$4:$N$14,COLUMNS(Assumptions!$A$4:L$14)+1,0))</f>
        <v>0</v>
      </c>
      <c r="R247" s="203">
        <f>-1*($G7-R7)*(VLOOKUP($A247,Assumptions!$A$4:$N$14,COLUMNS(Assumptions!$A$4:M$14)+1,0))</f>
        <v>0</v>
      </c>
      <c r="S247" s="204">
        <f t="shared" si="24"/>
        <v>0</v>
      </c>
    </row>
    <row r="248" spans="1:19" ht="14">
      <c r="A248" s="185" t="s">
        <v>220</v>
      </c>
      <c r="B248" s="182" t="s">
        <v>46</v>
      </c>
      <c r="C248" s="231">
        <v>27263</v>
      </c>
      <c r="D248" s="211">
        <v>1</v>
      </c>
      <c r="E248" s="199"/>
      <c r="F248" s="211">
        <v>1</v>
      </c>
      <c r="G248" s="203">
        <f>-1*($G8-G8)*(VLOOKUP($A248,Assumptions!$A$4:$N$14,COLUMNS(Assumptions!$A$4:B$14)+1,0))</f>
        <v>0</v>
      </c>
      <c r="H248" s="203">
        <f>-1*($G8-H8)*(VLOOKUP($A248,Assumptions!$A$4:$N$14,COLUMNS(Assumptions!$A$4:C$14)+1,0))</f>
        <v>0</v>
      </c>
      <c r="I248" s="203">
        <f>-1*($G8-I8)*(VLOOKUP($A248,Assumptions!$A$4:$N$14,COLUMNS(Assumptions!$A$4:D$14)+1,0))</f>
        <v>0</v>
      </c>
      <c r="J248" s="203">
        <f>-1*($G8-J8)*(VLOOKUP($A248,Assumptions!$A$4:$N$14,COLUMNS(Assumptions!$A$4:E$14)+1,0))</f>
        <v>0</v>
      </c>
      <c r="K248" s="203">
        <f>-1*($G8-K8)*(VLOOKUP($A248,Assumptions!$A$4:$N$14,COLUMNS(Assumptions!$A$4:F$14)+1,0))</f>
        <v>0</v>
      </c>
      <c r="L248" s="203">
        <f>-1*($G8-L8)*(VLOOKUP($A248,Assumptions!$A$4:$N$14,COLUMNS(Assumptions!$A$4:G$14)+1,0))</f>
        <v>-125.81000000000002</v>
      </c>
      <c r="M248" s="203">
        <f>-1*($G8-M8)*(VLOOKUP($A248,Assumptions!$A$4:$N$14,COLUMNS(Assumptions!$A$4:H$14)+1,0))</f>
        <v>-105.80000000000001</v>
      </c>
      <c r="N248" s="203">
        <f>-1*($G8-N8)*(VLOOKUP($A248,Assumptions!$A$4:$N$14,COLUMNS(Assumptions!$A$4:I$14)+1,0))</f>
        <v>-88.09</v>
      </c>
      <c r="O248" s="203">
        <f>-1*($G8-O8)*(VLOOKUP($A248,Assumptions!$A$4:$N$14,COLUMNS(Assumptions!$A$4:J$14)+1,0))</f>
        <v>-68.25</v>
      </c>
      <c r="P248" s="203">
        <f>-1*($G8-P8)*(VLOOKUP($A248,Assumptions!$A$4:$N$14,COLUMNS(Assumptions!$A$4:K$14)+1,0))</f>
        <v>-60.48</v>
      </c>
      <c r="Q248" s="203">
        <f>-1*($G8-Q8)*(VLOOKUP($A248,Assumptions!$A$4:$N$14,COLUMNS(Assumptions!$A$4:L$14)+1,0))</f>
        <v>-55.440000000000005</v>
      </c>
      <c r="R248" s="203">
        <f>-1*($G8-R8)*(VLOOKUP($A248,Assumptions!$A$4:$N$14,COLUMNS(Assumptions!$A$4:M$14)+1,0))</f>
        <v>-52.08</v>
      </c>
      <c r="S248" s="204">
        <f t="shared" si="24"/>
        <v>-555.95000000000005</v>
      </c>
    </row>
    <row r="249" spans="1:19" ht="14">
      <c r="A249" s="185" t="s">
        <v>220</v>
      </c>
      <c r="B249" s="182" t="s">
        <v>47</v>
      </c>
      <c r="C249" s="231">
        <v>39057</v>
      </c>
      <c r="D249" s="211">
        <v>1</v>
      </c>
      <c r="E249" s="199"/>
      <c r="F249" s="211">
        <v>1</v>
      </c>
      <c r="G249" s="203">
        <f>-1*($G9-G9)*(VLOOKUP($A249,Assumptions!$A$4:$N$14,COLUMNS(Assumptions!$A$4:B$14)+1,0))</f>
        <v>0</v>
      </c>
      <c r="H249" s="203">
        <f>-1*($G9-H9)*(VLOOKUP($A249,Assumptions!$A$4:$N$14,COLUMNS(Assumptions!$A$4:C$14)+1,0))</f>
        <v>-22.259999999999998</v>
      </c>
      <c r="I249" s="203">
        <f>-1*($G9-I9)*(VLOOKUP($A249,Assumptions!$A$4:$N$14,COLUMNS(Assumptions!$A$4:D$14)+1,0))</f>
        <v>-21.9</v>
      </c>
      <c r="J249" s="203">
        <f>-1*($G9-J9)*(VLOOKUP($A249,Assumptions!$A$4:$N$14,COLUMNS(Assumptions!$A$4:E$14)+1,0))</f>
        <v>-334.31</v>
      </c>
      <c r="K249" s="203">
        <f>-1*($G9-K9)*(VLOOKUP($A249,Assumptions!$A$4:$N$14,COLUMNS(Assumptions!$A$4:F$14)+1,0))</f>
        <v>-315.12</v>
      </c>
      <c r="L249" s="203">
        <f>-1*($G9-L9)*(VLOOKUP($A249,Assumptions!$A$4:$N$14,COLUMNS(Assumptions!$A$4:G$14)+1,0))</f>
        <v>-289.91000000000003</v>
      </c>
      <c r="M249" s="203">
        <f>-1*($G9-M9)*(VLOOKUP($A249,Assumptions!$A$4:$N$14,COLUMNS(Assumptions!$A$4:H$14)+1,0))</f>
        <v>-243.8</v>
      </c>
      <c r="N249" s="203">
        <f>-1*($G9-N9)*(VLOOKUP($A249,Assumptions!$A$4:$N$14,COLUMNS(Assumptions!$A$4:I$14)+1,0))</f>
        <v>-202.99</v>
      </c>
      <c r="O249" s="203">
        <f>-1*($G9-O9)*(VLOOKUP($A249,Assumptions!$A$4:$N$14,COLUMNS(Assumptions!$A$4:J$14)+1,0))</f>
        <v>-182</v>
      </c>
      <c r="P249" s="203">
        <f>-1*($G9-P9)*(VLOOKUP($A249,Assumptions!$A$4:$N$14,COLUMNS(Assumptions!$A$4:K$14)+1,0))</f>
        <v>-380.15999999999997</v>
      </c>
      <c r="Q249" s="203">
        <f>-1*($G9-Q9)*(VLOOKUP($A249,Assumptions!$A$4:$N$14,COLUMNS(Assumptions!$A$4:L$14)+1,0))</f>
        <v>-348.48</v>
      </c>
      <c r="R249" s="203">
        <f>-1*($G9-R9)*(VLOOKUP($A249,Assumptions!$A$4:$N$14,COLUMNS(Assumptions!$A$4:M$14)+1,0))</f>
        <v>-327.36</v>
      </c>
      <c r="S249" s="204">
        <f t="shared" si="24"/>
        <v>-2668.29</v>
      </c>
    </row>
    <row r="250" spans="1:19" ht="14">
      <c r="A250" s="185" t="s">
        <v>222</v>
      </c>
      <c r="B250" s="198" t="s">
        <v>49</v>
      </c>
      <c r="C250" s="231">
        <v>24754</v>
      </c>
      <c r="D250" s="211">
        <v>1</v>
      </c>
      <c r="E250" s="199"/>
      <c r="F250" s="211">
        <v>1</v>
      </c>
      <c r="G250" s="203">
        <f>-1*($G10-G10)*(VLOOKUP($A250,Assumptions!$A$4:$N$14,COLUMNS(Assumptions!$A$4:B$14)+1,0))</f>
        <v>0</v>
      </c>
      <c r="H250" s="203">
        <f>-1*($G10-H10)*(VLOOKUP($A250,Assumptions!$A$4:$N$14,COLUMNS(Assumptions!$A$4:C$14)+1,0))</f>
        <v>0</v>
      </c>
      <c r="I250" s="203">
        <f>-1*($G10-I10)*(VLOOKUP($A250,Assumptions!$A$4:$N$14,COLUMNS(Assumptions!$A$4:D$14)+1,0))</f>
        <v>0</v>
      </c>
      <c r="J250" s="203">
        <f>-1*($G10-J10)*(VLOOKUP($A250,Assumptions!$A$4:$N$14,COLUMNS(Assumptions!$A$4:E$14)+1,0))</f>
        <v>-5.4399999862653205E-6</v>
      </c>
      <c r="K250" s="203">
        <f>-1*($G10-K10)*(VLOOKUP($A250,Assumptions!$A$4:$N$14,COLUMNS(Assumptions!$A$4:F$14)+1,0))</f>
        <v>-5.1099999870984907E-6</v>
      </c>
      <c r="L250" s="203">
        <f>-1*($G10-L10)*(VLOOKUP($A250,Assumptions!$A$4:$N$14,COLUMNS(Assumptions!$A$4:G$14)+1,0))</f>
        <v>-85.158800820000039</v>
      </c>
      <c r="M250" s="203">
        <f>-1*($G10-M10)*(VLOOKUP($A250,Assumptions!$A$4:$N$14,COLUMNS(Assumptions!$A$4:H$14)+1,0))</f>
        <v>-80.388494550000047</v>
      </c>
      <c r="N250" s="203">
        <f>-1*($G10-N10)*(VLOOKUP($A250,Assumptions!$A$4:$N$14,COLUMNS(Assumptions!$A$4:I$14)+1,0))</f>
        <v>-75.79486629000003</v>
      </c>
      <c r="O250" s="203">
        <f>-1*($G10-O10)*(VLOOKUP($A250,Assumptions!$A$4:$N$14,COLUMNS(Assumptions!$A$4:J$14)+1,0))</f>
        <v>-71.377916040000045</v>
      </c>
      <c r="P250" s="203">
        <f>-1*($G10-P10)*(VLOOKUP($A250,Assumptions!$A$4:$N$14,COLUMNS(Assumptions!$A$4:K$14)+1,0))</f>
        <v>-113.47424982000004</v>
      </c>
      <c r="Q250" s="203">
        <f>-1*($G10-Q10)*(VLOOKUP($A250,Assumptions!$A$4:$N$14,COLUMNS(Assumptions!$A$4:L$14)+1,0))</f>
        <v>-109.31550768000002</v>
      </c>
      <c r="R250" s="203">
        <f>-1*($G10-R10)*(VLOOKUP($A250,Assumptions!$A$4:$N$14,COLUMNS(Assumptions!$A$4:M$14)+1,0))</f>
        <v>-104.26560651000003</v>
      </c>
      <c r="S250" s="204">
        <f t="shared" si="24"/>
        <v>-639.77545226000018</v>
      </c>
    </row>
    <row r="251" spans="1:19" ht="14">
      <c r="A251" s="185" t="s">
        <v>220</v>
      </c>
      <c r="B251" s="182" t="s">
        <v>92</v>
      </c>
      <c r="C251" s="231">
        <v>26819</v>
      </c>
      <c r="D251" s="212">
        <v>0</v>
      </c>
      <c r="E251" s="199">
        <v>1</v>
      </c>
      <c r="F251" s="211">
        <v>1</v>
      </c>
      <c r="G251" s="203">
        <f>-1*($G11-G11)*(VLOOKUP($A251,Assumptions!$A$4:$N$14,COLUMNS(Assumptions!$A$4:B$14)+1,0))</f>
        <v>0</v>
      </c>
      <c r="H251" s="203">
        <f>-1*($G11-H11)*(VLOOKUP($A251,Assumptions!$A$4:$N$14,COLUMNS(Assumptions!$A$4:C$14)+1,0))</f>
        <v>0</v>
      </c>
      <c r="I251" s="203">
        <f>-1*($G11-I11)*(VLOOKUP($A251,Assumptions!$A$4:$N$14,COLUMNS(Assumptions!$A$4:D$14)+1,0))</f>
        <v>0</v>
      </c>
      <c r="J251" s="203">
        <f>-1*($G11-J11)*(VLOOKUP($A251,Assumptions!$A$4:$N$14,COLUMNS(Assumptions!$A$4:E$14)+1,0))</f>
        <v>13.24</v>
      </c>
      <c r="K251" s="203">
        <f>-1*($G11-K11)*(VLOOKUP($A251,Assumptions!$A$4:$N$14,COLUMNS(Assumptions!$A$4:F$14)+1,0))</f>
        <v>-118.56</v>
      </c>
      <c r="L251" s="203">
        <f>-1*($G11-L11)*(VLOOKUP($A251,Assumptions!$A$4:$N$14,COLUMNS(Assumptions!$A$4:G$14)+1,0))</f>
        <v>-103.93</v>
      </c>
      <c r="M251" s="203">
        <f>-1*($G11-M11)*(VLOOKUP($A251,Assumptions!$A$4:$N$14,COLUMNS(Assumptions!$A$4:H$14)+1,0))</f>
        <v>-87.4</v>
      </c>
      <c r="N251" s="203">
        <f>-1*($G11-N11)*(VLOOKUP($A251,Assumptions!$A$4:$N$14,COLUMNS(Assumptions!$A$4:I$14)+1,0))</f>
        <v>-72.77</v>
      </c>
      <c r="O251" s="203">
        <f>-1*($G11-O11)*(VLOOKUP($A251,Assumptions!$A$4:$N$14,COLUMNS(Assumptions!$A$4:J$14)+1,0))</f>
        <v>-55.25</v>
      </c>
      <c r="P251" s="203">
        <f>-1*($G11-P11)*(VLOOKUP($A251,Assumptions!$A$4:$N$14,COLUMNS(Assumptions!$A$4:K$14)+1,0))</f>
        <v>-48.959999999999994</v>
      </c>
      <c r="Q251" s="203">
        <f>-1*($G11-Q11)*(VLOOKUP($A251,Assumptions!$A$4:$N$14,COLUMNS(Assumptions!$A$4:L$14)+1,0))</f>
        <v>-44.88</v>
      </c>
      <c r="R251" s="203">
        <f>-1*($G11-R11)*(VLOOKUP($A251,Assumptions!$A$4:$N$14,COLUMNS(Assumptions!$A$4:M$14)+1,0))</f>
        <v>-96.72</v>
      </c>
      <c r="S251" s="204">
        <f t="shared" si="24"/>
        <v>-615.23</v>
      </c>
    </row>
    <row r="252" spans="1:19" ht="14">
      <c r="A252" s="185" t="s">
        <v>220</v>
      </c>
      <c r="B252" s="182" t="s">
        <v>52</v>
      </c>
      <c r="C252" s="231">
        <v>28396</v>
      </c>
      <c r="D252" s="211">
        <v>0.75</v>
      </c>
      <c r="E252" s="199"/>
      <c r="F252" s="211">
        <v>1</v>
      </c>
      <c r="G252" s="203">
        <f>-1*($G12-G12)*(VLOOKUP($A252,Assumptions!$A$4:$N$14,COLUMNS(Assumptions!$A$4:B$14)+1,0))</f>
        <v>0</v>
      </c>
      <c r="H252" s="203">
        <f>-1*($G12-H12)*(VLOOKUP($A252,Assumptions!$A$4:$N$14,COLUMNS(Assumptions!$A$4:C$14)+1,0))</f>
        <v>22.259999999999998</v>
      </c>
      <c r="I252" s="203">
        <f>-1*($G12-I12)*(VLOOKUP($A252,Assumptions!$A$4:$N$14,COLUMNS(Assumptions!$A$4:D$14)+1,0))</f>
        <v>21.9</v>
      </c>
      <c r="J252" s="203">
        <f>-1*($G12-J12)*(VLOOKUP($A252,Assumptions!$A$4:$N$14,COLUMNS(Assumptions!$A$4:E$14)+1,0))</f>
        <v>19.86</v>
      </c>
      <c r="K252" s="203">
        <f>-1*($G12-K12)*(VLOOKUP($A252,Assumptions!$A$4:$N$14,COLUMNS(Assumptions!$A$4:F$14)+1,0))</f>
        <v>18.72</v>
      </c>
      <c r="L252" s="203">
        <f>-1*($G12-L12)*(VLOOKUP($A252,Assumptions!$A$4:$N$14,COLUMNS(Assumptions!$A$4:G$14)+1,0))</f>
        <v>-38.290000000000006</v>
      </c>
      <c r="M252" s="203">
        <f>-1*($G12-M12)*(VLOOKUP($A252,Assumptions!$A$4:$N$14,COLUMNS(Assumptions!$A$4:H$14)+1,0))</f>
        <v>-32.200000000000003</v>
      </c>
      <c r="N252" s="203">
        <f>-1*($G12-N12)*(VLOOKUP($A252,Assumptions!$A$4:$N$14,COLUMNS(Assumptions!$A$4:I$14)+1,0))</f>
        <v>-26.810000000000002</v>
      </c>
      <c r="O252" s="203">
        <f>-1*($G12-O12)*(VLOOKUP($A252,Assumptions!$A$4:$N$14,COLUMNS(Assumptions!$A$4:J$14)+1,0))</f>
        <v>-16.25</v>
      </c>
      <c r="P252" s="203">
        <f>-1*($G12-P12)*(VLOOKUP($A252,Assumptions!$A$4:$N$14,COLUMNS(Assumptions!$A$4:K$14)+1,0))</f>
        <v>-14.399999999999999</v>
      </c>
      <c r="Q252" s="203">
        <f>-1*($G12-Q12)*(VLOOKUP($A252,Assumptions!$A$4:$N$14,COLUMNS(Assumptions!$A$4:L$14)+1,0))</f>
        <v>-13.200000000000001</v>
      </c>
      <c r="R252" s="203">
        <f>-1*($G12-R12)*(VLOOKUP($A252,Assumptions!$A$4:$N$14,COLUMNS(Assumptions!$A$4:M$14)+1,0))</f>
        <v>-12.4</v>
      </c>
      <c r="S252" s="204">
        <f t="shared" si="24"/>
        <v>-70.810000000000016</v>
      </c>
    </row>
    <row r="253" spans="1:19" ht="14">
      <c r="A253" s="185" t="s">
        <v>220</v>
      </c>
      <c r="B253" s="182" t="s">
        <v>54</v>
      </c>
      <c r="C253" s="231">
        <v>37558</v>
      </c>
      <c r="D253" s="211">
        <v>0.75</v>
      </c>
      <c r="E253" s="199"/>
      <c r="F253" s="211">
        <v>1</v>
      </c>
      <c r="G253" s="203">
        <f>-1*($G13-G13)*(VLOOKUP($A253,Assumptions!$A$4:$N$14,COLUMNS(Assumptions!$A$4:B$14)+1,0))</f>
        <v>0</v>
      </c>
      <c r="H253" s="203">
        <f>-1*($G13-H13)*(VLOOKUP($A253,Assumptions!$A$4:$N$14,COLUMNS(Assumptions!$A$4:C$14)+1,0))</f>
        <v>-59.36</v>
      </c>
      <c r="I253" s="203">
        <f>-1*($G13-I13)*(VLOOKUP($A253,Assumptions!$A$4:$N$14,COLUMNS(Assumptions!$A$4:D$14)+1,0))</f>
        <v>-58.4</v>
      </c>
      <c r="J253" s="203">
        <f>-1*($G13-J13)*(VLOOKUP($A253,Assumptions!$A$4:$N$14,COLUMNS(Assumptions!$A$4:E$14)+1,0))</f>
        <v>-52.96</v>
      </c>
      <c r="K253" s="203">
        <f>-1*($G13-K13)*(VLOOKUP($A253,Assumptions!$A$4:$N$14,COLUMNS(Assumptions!$A$4:F$14)+1,0))</f>
        <v>-49.92</v>
      </c>
      <c r="L253" s="203">
        <f>-1*($G13-L13)*(VLOOKUP($A253,Assumptions!$A$4:$N$14,COLUMNS(Assumptions!$A$4:G$14)+1,0))</f>
        <v>-166.83500000000001</v>
      </c>
      <c r="M253" s="203">
        <f>-1*($G13-M13)*(VLOOKUP($A253,Assumptions!$A$4:$N$14,COLUMNS(Assumptions!$A$4:H$14)+1,0))</f>
        <v>-140.30000000000001</v>
      </c>
      <c r="N253" s="203">
        <f>-1*($G13-N13)*(VLOOKUP($A253,Assumptions!$A$4:$N$14,COLUMNS(Assumptions!$A$4:I$14)+1,0))</f>
        <v>-116.815</v>
      </c>
      <c r="O253" s="203">
        <f>-1*($G13-O13)*(VLOOKUP($A253,Assumptions!$A$4:$N$14,COLUMNS(Assumptions!$A$4:J$14)+1,0))</f>
        <v>-92.625</v>
      </c>
      <c r="P253" s="203">
        <f>-1*($G13-P13)*(VLOOKUP($A253,Assumptions!$A$4:$N$14,COLUMNS(Assumptions!$A$4:K$14)+1,0))</f>
        <v>-102.24</v>
      </c>
      <c r="Q253" s="203">
        <f>-1*($G13-Q13)*(VLOOKUP($A253,Assumptions!$A$4:$N$14,COLUMNS(Assumptions!$A$4:L$14)+1,0))</f>
        <v>-93.72</v>
      </c>
      <c r="R253" s="203">
        <f>-1*($G13-R13)*(VLOOKUP($A253,Assumptions!$A$4:$N$14,COLUMNS(Assumptions!$A$4:M$14)+1,0))</f>
        <v>-88.04</v>
      </c>
      <c r="S253" s="204">
        <f t="shared" si="24"/>
        <v>-1021.2150000000001</v>
      </c>
    </row>
    <row r="254" spans="1:19" ht="14">
      <c r="A254" s="185" t="s">
        <v>221</v>
      </c>
      <c r="B254" s="182" t="s">
        <v>55</v>
      </c>
      <c r="C254" s="231">
        <v>55051</v>
      </c>
      <c r="D254" s="211">
        <v>0.5</v>
      </c>
      <c r="E254" s="199">
        <v>0.5</v>
      </c>
      <c r="F254" s="211">
        <v>1</v>
      </c>
      <c r="G254" s="203">
        <f>-1*($G14-G14)*(VLOOKUP($A254,Assumptions!$A$4:$N$14,COLUMNS(Assumptions!$A$4:B$14)+1,0))</f>
        <v>0</v>
      </c>
      <c r="H254" s="203">
        <f>-1*($G14-H14)*(VLOOKUP($A254,Assumptions!$A$4:$N$14,COLUMNS(Assumptions!$A$4:C$14)+1,0))</f>
        <v>-76.026299999999921</v>
      </c>
      <c r="I254" s="203">
        <f>-1*($G14-I14)*(VLOOKUP($A254,Assumptions!$A$4:$N$14,COLUMNS(Assumptions!$A$4:D$14)+1,0))</f>
        <v>-66.46919999999993</v>
      </c>
      <c r="J254" s="203">
        <f>-1*($G14-J14)*(VLOOKUP($A254,Assumptions!$A$4:$N$14,COLUMNS(Assumptions!$A$4:E$14)+1,0))</f>
        <v>-106.87139999999997</v>
      </c>
      <c r="K254" s="203">
        <f>-1*($G14-K14)*(VLOOKUP($A254,Assumptions!$A$4:$N$14,COLUMNS(Assumptions!$A$4:F$14)+1,0))</f>
        <v>-113.22439999999996</v>
      </c>
      <c r="L254" s="203">
        <f>-1*($G14-L14)*(VLOOKUP($A254,Assumptions!$A$4:$N$14,COLUMNS(Assumptions!$A$4:G$14)+1,0))</f>
        <v>-195.72</v>
      </c>
      <c r="M254" s="203">
        <f>-1*($G14-M14)*(VLOOKUP($A254,Assumptions!$A$4:$N$14,COLUMNS(Assumptions!$A$4:H$14)+1,0))</f>
        <v>-184.24</v>
      </c>
      <c r="N254" s="203">
        <f>-1*($G14-N14)*(VLOOKUP($A254,Assumptions!$A$4:$N$14,COLUMNS(Assumptions!$A$4:I$14)+1,0))</f>
        <v>-54.590999999999994</v>
      </c>
      <c r="O254" s="203">
        <f>-1*($G14-O14)*(VLOOKUP($A254,Assumptions!$A$4:$N$14,COLUMNS(Assumptions!$A$4:J$14)+1,0))</f>
        <v>-47.988</v>
      </c>
      <c r="P254" s="203">
        <f>-1*($G14-P14)*(VLOOKUP($A254,Assumptions!$A$4:$N$14,COLUMNS(Assumptions!$A$4:K$14)+1,0))</f>
        <v>-42.873000000000005</v>
      </c>
      <c r="Q254" s="203">
        <f>-1*($G14-Q14)*(VLOOKUP($A254,Assumptions!$A$4:$N$14,COLUMNS(Assumptions!$A$4:L$14)+1,0))</f>
        <v>-40.734000000000002</v>
      </c>
      <c r="R254" s="203">
        <f>-1*($G14-R14)*(VLOOKUP($A254,Assumptions!$A$4:$N$14,COLUMNS(Assumptions!$A$4:M$14)+1,0))</f>
        <v>-39.152999999999999</v>
      </c>
      <c r="S254" s="204">
        <f t="shared" si="24"/>
        <v>-967.89029999999991</v>
      </c>
    </row>
    <row r="255" spans="1:19" ht="14">
      <c r="A255" s="185" t="s">
        <v>220</v>
      </c>
      <c r="B255" s="182" t="s">
        <v>56</v>
      </c>
      <c r="C255" s="231">
        <v>39938</v>
      </c>
      <c r="D255" s="211">
        <v>0.5</v>
      </c>
      <c r="E255" s="199"/>
      <c r="F255" s="211">
        <v>1</v>
      </c>
      <c r="G255" s="203">
        <f>-1*($G15-G15)*(VLOOKUP($A255,Assumptions!$A$4:$N$14,COLUMNS(Assumptions!$A$4:B$14)+1,0))</f>
        <v>0</v>
      </c>
      <c r="H255" s="203">
        <f>-1*($G15-H15)*(VLOOKUP($A255,Assumptions!$A$4:$N$14,COLUMNS(Assumptions!$A$4:C$14)+1,0))</f>
        <v>0</v>
      </c>
      <c r="I255" s="203">
        <f>-1*($G15-I15)*(VLOOKUP($A255,Assumptions!$A$4:$N$14,COLUMNS(Assumptions!$A$4:D$14)+1,0))</f>
        <v>0</v>
      </c>
      <c r="J255" s="203">
        <f>-1*($G15-J15)*(VLOOKUP($A255,Assumptions!$A$4:$N$14,COLUMNS(Assumptions!$A$4:E$14)+1,0))</f>
        <v>0</v>
      </c>
      <c r="K255" s="203">
        <f>-1*($G15-K15)*(VLOOKUP($A255,Assumptions!$A$4:$N$14,COLUMNS(Assumptions!$A$4:F$14)+1,0))</f>
        <v>0</v>
      </c>
      <c r="L255" s="203">
        <f>-1*($G15-L15)*(VLOOKUP($A255,Assumptions!$A$4:$N$14,COLUMNS(Assumptions!$A$4:G$14)+1,0))</f>
        <v>0</v>
      </c>
      <c r="M255" s="203">
        <f>-1*($G15-M15)*(VLOOKUP($A255,Assumptions!$A$4:$N$14,COLUMNS(Assumptions!$A$4:H$14)+1,0))</f>
        <v>0</v>
      </c>
      <c r="N255" s="203">
        <f>-1*($G15-N15)*(VLOOKUP($A255,Assumptions!$A$4:$N$14,COLUMNS(Assumptions!$A$4:I$14)+1,0))</f>
        <v>0</v>
      </c>
      <c r="O255" s="203">
        <f>-1*($G15-O15)*(VLOOKUP($A255,Assumptions!$A$4:$N$14,COLUMNS(Assumptions!$A$4:J$14)+1,0))</f>
        <v>0</v>
      </c>
      <c r="P255" s="203">
        <f>-1*($G15-P15)*(VLOOKUP($A255,Assumptions!$A$4:$N$14,COLUMNS(Assumptions!$A$4:K$14)+1,0))</f>
        <v>0</v>
      </c>
      <c r="Q255" s="203">
        <f>-1*($G15-Q15)*(VLOOKUP($A255,Assumptions!$A$4:$N$14,COLUMNS(Assumptions!$A$4:L$14)+1,0))</f>
        <v>0</v>
      </c>
      <c r="R255" s="203">
        <f>-1*($G15-R15)*(VLOOKUP($A255,Assumptions!$A$4:$N$14,COLUMNS(Assumptions!$A$4:M$14)+1,0))</f>
        <v>0</v>
      </c>
      <c r="S255" s="204">
        <f t="shared" si="24"/>
        <v>0</v>
      </c>
    </row>
    <row r="256" spans="1:19" ht="14">
      <c r="A256" s="185" t="s">
        <v>220</v>
      </c>
      <c r="B256" s="182" t="s">
        <v>93</v>
      </c>
      <c r="C256" s="231">
        <v>20404</v>
      </c>
      <c r="D256" s="212">
        <v>0</v>
      </c>
      <c r="E256" s="199">
        <v>1</v>
      </c>
      <c r="F256" s="211">
        <v>1</v>
      </c>
      <c r="G256" s="203">
        <f>-1*($G16-G16)*(VLOOKUP($A256,Assumptions!$A$4:$N$14,COLUMNS(Assumptions!$A$4:B$14)+1,0))</f>
        <v>0</v>
      </c>
      <c r="H256" s="203">
        <f>-1*($G16-H16)*(VLOOKUP($A256,Assumptions!$A$4:$N$14,COLUMNS(Assumptions!$A$4:C$14)+1,0))</f>
        <v>0</v>
      </c>
      <c r="I256" s="203">
        <f>-1*($G16-I16)*(VLOOKUP($A256,Assumptions!$A$4:$N$14,COLUMNS(Assumptions!$A$4:D$14)+1,0))</f>
        <v>0</v>
      </c>
      <c r="J256" s="203">
        <f>-1*($G16-J16)*(VLOOKUP($A256,Assumptions!$A$4:$N$14,COLUMNS(Assumptions!$A$4:E$14)+1,0))</f>
        <v>0</v>
      </c>
      <c r="K256" s="203">
        <f>-1*($G16-K16)*(VLOOKUP($A256,Assumptions!$A$4:$N$14,COLUMNS(Assumptions!$A$4:F$14)+1,0))</f>
        <v>0</v>
      </c>
      <c r="L256" s="203">
        <f>-1*($G16-L16)*(VLOOKUP($A256,Assumptions!$A$4:$N$14,COLUMNS(Assumptions!$A$4:G$14)+1,0))</f>
        <v>0</v>
      </c>
      <c r="M256" s="203">
        <f>-1*($G16-M16)*(VLOOKUP($A256,Assumptions!$A$4:$N$14,COLUMNS(Assumptions!$A$4:H$14)+1,0))</f>
        <v>0</v>
      </c>
      <c r="N256" s="203">
        <f>-1*($G16-N16)*(VLOOKUP($A256,Assumptions!$A$4:$N$14,COLUMNS(Assumptions!$A$4:I$14)+1,0))</f>
        <v>0</v>
      </c>
      <c r="O256" s="203">
        <f>-1*($G16-O16)*(VLOOKUP($A256,Assumptions!$A$4:$N$14,COLUMNS(Assumptions!$A$4:J$14)+1,0))</f>
        <v>0</v>
      </c>
      <c r="P256" s="203">
        <f>-1*($G16-P16)*(VLOOKUP($A256,Assumptions!$A$4:$N$14,COLUMNS(Assumptions!$A$4:K$14)+1,0))</f>
        <v>34.559999999999995</v>
      </c>
      <c r="Q256" s="203">
        <f>-1*($G16-Q16)*(VLOOKUP($A256,Assumptions!$A$4:$N$14,COLUMNS(Assumptions!$A$4:L$14)+1,0))</f>
        <v>31.68</v>
      </c>
      <c r="R256" s="203">
        <f>-1*($G16-R16)*(VLOOKUP($A256,Assumptions!$A$4:$N$14,COLUMNS(Assumptions!$A$4:M$14)+1,0))</f>
        <v>29.759999999999998</v>
      </c>
      <c r="S256" s="204">
        <f t="shared" si="24"/>
        <v>96</v>
      </c>
    </row>
    <row r="257" spans="1:19" ht="14">
      <c r="A257" s="185" t="s">
        <v>221</v>
      </c>
      <c r="B257" s="182" t="s">
        <v>60</v>
      </c>
      <c r="C257" s="231">
        <v>1422</v>
      </c>
      <c r="D257" s="211">
        <v>1</v>
      </c>
      <c r="E257" s="199"/>
      <c r="F257" s="211">
        <v>1</v>
      </c>
      <c r="G257" s="203">
        <f>-1*($G17-G17)*(VLOOKUP($A257,Assumptions!$A$4:$N$14,COLUMNS(Assumptions!$A$4:B$14)+1,0))</f>
        <v>0</v>
      </c>
      <c r="H257" s="203">
        <f>-1*($G17-H17)*(VLOOKUP($A257,Assumptions!$A$4:$N$14,COLUMNS(Assumptions!$A$4:C$14)+1,0))</f>
        <v>0</v>
      </c>
      <c r="I257" s="203">
        <f>-1*($G17-I17)*(VLOOKUP($A257,Assumptions!$A$4:$N$14,COLUMNS(Assumptions!$A$4:D$14)+1,0))</f>
        <v>0</v>
      </c>
      <c r="J257" s="203">
        <f>-1*($G17-J17)*(VLOOKUP($A257,Assumptions!$A$4:$N$14,COLUMNS(Assumptions!$A$4:E$14)+1,0))</f>
        <v>0</v>
      </c>
      <c r="K257" s="203">
        <f>-1*($G17-K17)*(VLOOKUP($A257,Assumptions!$A$4:$N$14,COLUMNS(Assumptions!$A$4:F$14)+1,0))</f>
        <v>0</v>
      </c>
      <c r="L257" s="203">
        <f>-1*($G17-L17)*(VLOOKUP($A257,Assumptions!$A$4:$N$14,COLUMNS(Assumptions!$A$4:G$14)+1,0))</f>
        <v>0</v>
      </c>
      <c r="M257" s="203">
        <f>-1*($G17-M17)*(VLOOKUP($A257,Assumptions!$A$4:$N$14,COLUMNS(Assumptions!$A$4:H$14)+1,0))</f>
        <v>0</v>
      </c>
      <c r="N257" s="203">
        <f>-1*($G17-N17)*(VLOOKUP($A257,Assumptions!$A$4:$N$14,COLUMNS(Assumptions!$A$4:I$14)+1,0))</f>
        <v>0</v>
      </c>
      <c r="O257" s="203">
        <f>-1*($G17-O17)*(VLOOKUP($A257,Assumptions!$A$4:$N$14,COLUMNS(Assumptions!$A$4:J$14)+1,0))</f>
        <v>0</v>
      </c>
      <c r="P257" s="203">
        <f>-1*($G17-P17)*(VLOOKUP($A257,Assumptions!$A$4:$N$14,COLUMNS(Assumptions!$A$4:K$14)+1,0))</f>
        <v>0</v>
      </c>
      <c r="Q257" s="203">
        <f>-1*($G17-Q17)*(VLOOKUP($A257,Assumptions!$A$4:$N$14,COLUMNS(Assumptions!$A$4:L$14)+1,0))</f>
        <v>0</v>
      </c>
      <c r="R257" s="203">
        <f>-1*($G17-R17)*(VLOOKUP($A257,Assumptions!$A$4:$N$14,COLUMNS(Assumptions!$A$4:M$14)+1,0))</f>
        <v>0</v>
      </c>
      <c r="S257" s="204">
        <f t="shared" si="24"/>
        <v>0</v>
      </c>
    </row>
    <row r="258" spans="1:19" ht="14">
      <c r="A258" s="185" t="s">
        <v>220</v>
      </c>
      <c r="B258" s="182" t="s">
        <v>170</v>
      </c>
      <c r="C258" s="231">
        <v>17363.8</v>
      </c>
      <c r="D258" s="212">
        <v>0</v>
      </c>
      <c r="E258" s="199"/>
      <c r="F258" s="211">
        <v>1</v>
      </c>
      <c r="G258" s="203">
        <f>-1*($G18-G18)*(VLOOKUP($A258,Assumptions!$A$4:$N$14,COLUMNS(Assumptions!$A$4:B$14)+1,0))</f>
        <v>0</v>
      </c>
      <c r="H258" s="203">
        <f>-1*($G18-H18)*(VLOOKUP($A258,Assumptions!$A$4:$N$14,COLUMNS(Assumptions!$A$4:C$14)+1,0))</f>
        <v>22.259999999999998</v>
      </c>
      <c r="I258" s="203">
        <f>-1*($G18-I18)*(VLOOKUP($A258,Assumptions!$A$4:$N$14,COLUMNS(Assumptions!$A$4:D$14)+1,0))</f>
        <v>21.9</v>
      </c>
      <c r="J258" s="203">
        <f>-1*($G18-J18)*(VLOOKUP($A258,Assumptions!$A$4:$N$14,COLUMNS(Assumptions!$A$4:E$14)+1,0))</f>
        <v>19.86</v>
      </c>
      <c r="K258" s="203">
        <f>-1*($G18-K18)*(VLOOKUP($A258,Assumptions!$A$4:$N$14,COLUMNS(Assumptions!$A$4:F$14)+1,0))</f>
        <v>3.12</v>
      </c>
      <c r="L258" s="203">
        <f>-1*($G18-L18)*(VLOOKUP($A258,Assumptions!$A$4:$N$14,COLUMNS(Assumptions!$A$4:G$14)+1,0))</f>
        <v>-13.675000000000001</v>
      </c>
      <c r="M258" s="203">
        <f>-1*($G18-M18)*(VLOOKUP($A258,Assumptions!$A$4:$N$14,COLUMNS(Assumptions!$A$4:H$14)+1,0))</f>
        <v>-11.5</v>
      </c>
      <c r="N258" s="203">
        <f>-1*($G18-N18)*(VLOOKUP($A258,Assumptions!$A$4:$N$14,COLUMNS(Assumptions!$A$4:I$14)+1,0))</f>
        <v>-9.5749999999999993</v>
      </c>
      <c r="O258" s="203">
        <f>-1*($G18-O18)*(VLOOKUP($A258,Assumptions!$A$4:$N$14,COLUMNS(Assumptions!$A$4:J$14)+1,0))</f>
        <v>-134.875</v>
      </c>
      <c r="P258" s="203">
        <f>-1*($G18-P18)*(VLOOKUP($A258,Assumptions!$A$4:$N$14,COLUMNS(Assumptions!$A$4:K$14)+1,0))</f>
        <v>-119.52</v>
      </c>
      <c r="Q258" s="203">
        <f>-1*($G18-Q18)*(VLOOKUP($A258,Assumptions!$A$4:$N$14,COLUMNS(Assumptions!$A$4:L$14)+1,0))</f>
        <v>-109.56</v>
      </c>
      <c r="R258" s="203">
        <f>-1*($G18-R18)*(VLOOKUP($A258,Assumptions!$A$4:$N$14,COLUMNS(Assumptions!$A$4:M$14)+1,0))</f>
        <v>-102.92</v>
      </c>
      <c r="S258" s="204">
        <f t="shared" si="24"/>
        <v>-434.48500000000001</v>
      </c>
    </row>
    <row r="259" spans="1:19" ht="14">
      <c r="A259" s="185" t="s">
        <v>222</v>
      </c>
      <c r="B259" s="182" t="s">
        <v>168</v>
      </c>
      <c r="C259" s="231">
        <v>24784</v>
      </c>
      <c r="D259" s="212">
        <v>0</v>
      </c>
      <c r="E259" s="199"/>
      <c r="F259" s="211">
        <v>1</v>
      </c>
      <c r="G259" s="203">
        <f>-1*($G19-G19)*(VLOOKUP($A259,Assumptions!$A$4:$N$14,COLUMNS(Assumptions!$A$4:B$14)+1,0))</f>
        <v>0</v>
      </c>
      <c r="H259" s="203">
        <f>-1*($G19-H19)*(VLOOKUP($A259,Assumptions!$A$4:$N$14,COLUMNS(Assumptions!$A$4:C$14)+1,0))</f>
        <v>0</v>
      </c>
      <c r="I259" s="203">
        <f>-1*($G19-I19)*(VLOOKUP($A259,Assumptions!$A$4:$N$14,COLUMNS(Assumptions!$A$4:D$14)+1,0))</f>
        <v>0</v>
      </c>
      <c r="J259" s="203">
        <f>-1*($G19-J19)*(VLOOKUP($A259,Assumptions!$A$4:$N$14,COLUMNS(Assumptions!$A$4:E$14)+1,0))</f>
        <v>0</v>
      </c>
      <c r="K259" s="203">
        <f>-1*($G19-K19)*(VLOOKUP($A259,Assumptions!$A$4:$N$14,COLUMNS(Assumptions!$A$4:F$14)+1,0))</f>
        <v>0</v>
      </c>
      <c r="L259" s="203">
        <f>-1*($G19-L19)*(VLOOKUP($A259,Assumptions!$A$4:$N$14,COLUMNS(Assumptions!$A$4:G$14)+1,0))</f>
        <v>-19.762</v>
      </c>
      <c r="M259" s="203">
        <f>-1*($G19-M19)*(VLOOKUP($A259,Assumptions!$A$4:$N$14,COLUMNS(Assumptions!$A$4:H$14)+1,0))</f>
        <v>-18.655000000000001</v>
      </c>
      <c r="N259" s="203">
        <f>-1*($G19-N19)*(VLOOKUP($A259,Assumptions!$A$4:$N$14,COLUMNS(Assumptions!$A$4:I$14)+1,0))</f>
        <v>-17.588999999999999</v>
      </c>
      <c r="O259" s="203">
        <f>-1*($G19-O19)*(VLOOKUP($A259,Assumptions!$A$4:$N$14,COLUMNS(Assumptions!$A$4:J$14)+1,0))</f>
        <v>-16.564</v>
      </c>
      <c r="P259" s="203">
        <f>-1*($G19-P19)*(VLOOKUP($A259,Assumptions!$A$4:$N$14,COLUMNS(Assumptions!$A$4:K$14)+1,0))</f>
        <v>-15.662000000000001</v>
      </c>
      <c r="Q259" s="203">
        <f>-1*($G19-Q19)*(VLOOKUP($A259,Assumptions!$A$4:$N$14,COLUMNS(Assumptions!$A$4:L$14)+1,0))</f>
        <v>-15.087999999999999</v>
      </c>
      <c r="R259" s="203">
        <f>-1*($G19-R19)*(VLOOKUP($A259,Assumptions!$A$4:$N$14,COLUMNS(Assumptions!$A$4:M$14)+1,0))</f>
        <v>-14.390999999999998</v>
      </c>
      <c r="S259" s="204">
        <f t="shared" si="24"/>
        <v>-117.71099999999998</v>
      </c>
    </row>
    <row r="260" spans="1:19" ht="14">
      <c r="A260" s="185" t="s">
        <v>220</v>
      </c>
      <c r="B260" s="182" t="s">
        <v>123</v>
      </c>
      <c r="C260" s="231">
        <v>23555.5</v>
      </c>
      <c r="D260" s="211">
        <v>0</v>
      </c>
      <c r="E260" s="199"/>
      <c r="F260" s="211">
        <v>1</v>
      </c>
      <c r="G260" s="203">
        <f>-1*($G20-G20)*(VLOOKUP($A260,Assumptions!$A$4:$N$14,COLUMNS(Assumptions!$A$4:B$14)+1,0))</f>
        <v>0</v>
      </c>
      <c r="H260" s="203">
        <f>-1*($G20-H20)*(VLOOKUP($A260,Assumptions!$A$4:$N$14,COLUMNS(Assumptions!$A$4:C$14)+1,0))</f>
        <v>0</v>
      </c>
      <c r="I260" s="203">
        <f>-1*($G20-I20)*(VLOOKUP($A260,Assumptions!$A$4:$N$14,COLUMNS(Assumptions!$A$4:D$14)+1,0))</f>
        <v>0</v>
      </c>
      <c r="J260" s="203">
        <f>-1*($G20-J20)*(VLOOKUP($A260,Assumptions!$A$4:$N$14,COLUMNS(Assumptions!$A$4:E$14)+1,0))</f>
        <v>0</v>
      </c>
      <c r="K260" s="203">
        <f>-1*($G20-K20)*(VLOOKUP($A260,Assumptions!$A$4:$N$14,COLUMNS(Assumptions!$A$4:F$14)+1,0))</f>
        <v>0</v>
      </c>
      <c r="L260" s="203">
        <f>-1*($G20-L20)*(VLOOKUP($A260,Assumptions!$A$4:$N$14,COLUMNS(Assumptions!$A$4:G$14)+1,0))</f>
        <v>0</v>
      </c>
      <c r="M260" s="203">
        <f>-1*($G20-M20)*(VLOOKUP($A260,Assumptions!$A$4:$N$14,COLUMNS(Assumptions!$A$4:H$14)+1,0))</f>
        <v>0</v>
      </c>
      <c r="N260" s="203">
        <f>-1*($G20-N20)*(VLOOKUP($A260,Assumptions!$A$4:$N$14,COLUMNS(Assumptions!$A$4:I$14)+1,0))</f>
        <v>0</v>
      </c>
      <c r="O260" s="203">
        <f>-1*($G20-O20)*(VLOOKUP($A260,Assumptions!$A$4:$N$14,COLUMNS(Assumptions!$A$4:J$14)+1,0))</f>
        <v>0</v>
      </c>
      <c r="P260" s="203">
        <f>-1*($G20-P20)*(VLOOKUP($A260,Assumptions!$A$4:$N$14,COLUMNS(Assumptions!$A$4:K$14)+1,0))</f>
        <v>0</v>
      </c>
      <c r="Q260" s="203">
        <f>-1*($G20-Q20)*(VLOOKUP($A260,Assumptions!$A$4:$N$14,COLUMNS(Assumptions!$A$4:L$14)+1,0))</f>
        <v>0</v>
      </c>
      <c r="R260" s="203">
        <f>-1*($G20-R20)*(VLOOKUP($A260,Assumptions!$A$4:$N$14,COLUMNS(Assumptions!$A$4:M$14)+1,0))</f>
        <v>0</v>
      </c>
      <c r="S260" s="204">
        <f t="shared" si="24"/>
        <v>0</v>
      </c>
    </row>
    <row r="261" spans="1:19" ht="14">
      <c r="A261" s="185" t="s">
        <v>223</v>
      </c>
      <c r="B261" s="182" t="s">
        <v>64</v>
      </c>
      <c r="C261" s="231">
        <v>61127</v>
      </c>
      <c r="D261" s="211">
        <v>0.5</v>
      </c>
      <c r="E261" s="199"/>
      <c r="F261" s="211"/>
      <c r="G261" s="203">
        <f>-1*($G21-G21)*(VLOOKUP($A261,Assumptions!$A$4:$N$14,COLUMNS(Assumptions!$A$4:B$14)+1,0))</f>
        <v>0</v>
      </c>
      <c r="H261" s="203">
        <f>-1*($G21-H21)*(VLOOKUP($A261,Assumptions!$A$4:$N$14,COLUMNS(Assumptions!$A$4:C$14)+1,0))</f>
        <v>0</v>
      </c>
      <c r="I261" s="203">
        <f>-1*($G21-I21)*(VLOOKUP($A261,Assumptions!$A$4:$N$14,COLUMNS(Assumptions!$A$4:D$14)+1,0))</f>
        <v>0</v>
      </c>
      <c r="J261" s="203">
        <f>-1*($G21-J21)*(VLOOKUP($A261,Assumptions!$A$4:$N$14,COLUMNS(Assumptions!$A$4:E$14)+1,0))</f>
        <v>0</v>
      </c>
      <c r="K261" s="203">
        <f>-1*($G21-K21)*(VLOOKUP($A261,Assumptions!$A$4:$N$14,COLUMNS(Assumptions!$A$4:F$14)+1,0))</f>
        <v>0</v>
      </c>
      <c r="L261" s="203">
        <f>-1*($G21-L21)*(VLOOKUP($A261,Assumptions!$A$4:$N$14,COLUMNS(Assumptions!$A$4:G$14)+1,0))</f>
        <v>98.880117704754497</v>
      </c>
      <c r="M261" s="203">
        <f>-1*($G21-M21)*(VLOOKUP($A261,Assumptions!$A$4:$N$14,COLUMNS(Assumptions!$A$4:H$14)+1,0))</f>
        <v>91.958509465421685</v>
      </c>
      <c r="N261" s="203">
        <f>-1*($G21-N21)*(VLOOKUP($A261,Assumptions!$A$4:$N$14,COLUMNS(Assumptions!$A$4:I$14)+1,0))</f>
        <v>87.360583992150595</v>
      </c>
      <c r="O261" s="203">
        <f>-1*($G21-O21)*(VLOOKUP($A261,Assumptions!$A$4:$N$14,COLUMNS(Assumptions!$A$4:J$14)+1,0))</f>
        <v>82.992554792543075</v>
      </c>
      <c r="P261" s="203">
        <f>-1*($G21-P21)*(VLOOKUP($A261,Assumptions!$A$4:$N$14,COLUMNS(Assumptions!$A$4:K$14)+1,0))</f>
        <v>78.842927052915911</v>
      </c>
      <c r="Q261" s="203">
        <f>-1*($G21-Q21)*(VLOOKUP($A261,Assumptions!$A$4:$N$14,COLUMNS(Assumptions!$A$4:L$14)+1,0))</f>
        <v>74.900780700270118</v>
      </c>
      <c r="R261" s="203">
        <f>-1*($G21-R21)*(VLOOKUP($A261,Assumptions!$A$4:$N$14,COLUMNS(Assumptions!$A$4:M$14)+1,0))</f>
        <v>71.155741665256613</v>
      </c>
      <c r="S261" s="204">
        <f t="shared" si="24"/>
        <v>586.09121537331259</v>
      </c>
    </row>
    <row r="262" spans="1:19" ht="14">
      <c r="A262" s="185" t="s">
        <v>220</v>
      </c>
      <c r="B262" s="182" t="s">
        <v>95</v>
      </c>
      <c r="C262" s="231">
        <v>41253</v>
      </c>
      <c r="D262" s="212">
        <v>0</v>
      </c>
      <c r="E262" s="199">
        <v>0.5</v>
      </c>
      <c r="F262" s="211"/>
      <c r="G262" s="203">
        <f>-1*($G22-G22)*(VLOOKUP($A262,Assumptions!$A$4:$N$14,COLUMNS(Assumptions!$A$4:B$14)+1,0))</f>
        <v>0</v>
      </c>
      <c r="H262" s="203">
        <f>-1*($G22-H22)*(VLOOKUP($A262,Assumptions!$A$4:$N$14,COLUMNS(Assumptions!$A$4:C$14)+1,0))</f>
        <v>0</v>
      </c>
      <c r="I262" s="203">
        <f>-1*($G22-I22)*(VLOOKUP($A262,Assumptions!$A$4:$N$14,COLUMNS(Assumptions!$A$4:D$14)+1,0))</f>
        <v>0</v>
      </c>
      <c r="J262" s="203">
        <f>-1*($G22-J22)*(VLOOKUP($A262,Assumptions!$A$4:$N$14,COLUMNS(Assumptions!$A$4:E$14)+1,0))</f>
        <v>0</v>
      </c>
      <c r="K262" s="203">
        <f>-1*($G22-K22)*(VLOOKUP($A262,Assumptions!$A$4:$N$14,COLUMNS(Assumptions!$A$4:F$14)+1,0))</f>
        <v>0</v>
      </c>
      <c r="L262" s="203">
        <f>-1*($G22-L22)*(VLOOKUP($A262,Assumptions!$A$4:$N$14,COLUMNS(Assumptions!$A$4:G$14)+1,0))</f>
        <v>0</v>
      </c>
      <c r="M262" s="203">
        <f>-1*($G22-M22)*(VLOOKUP($A262,Assumptions!$A$4:$N$14,COLUMNS(Assumptions!$A$4:H$14)+1,0))</f>
        <v>0</v>
      </c>
      <c r="N262" s="203">
        <f>-1*($G22-N22)*(VLOOKUP($A262,Assumptions!$A$4:$N$14,COLUMNS(Assumptions!$A$4:I$14)+1,0))</f>
        <v>0</v>
      </c>
      <c r="O262" s="203">
        <f>-1*($G22-O22)*(VLOOKUP($A262,Assumptions!$A$4:$N$14,COLUMNS(Assumptions!$A$4:J$14)+1,0))</f>
        <v>0</v>
      </c>
      <c r="P262" s="203">
        <f>-1*($G22-P22)*(VLOOKUP($A262,Assumptions!$A$4:$N$14,COLUMNS(Assumptions!$A$4:K$14)+1,0))</f>
        <v>0</v>
      </c>
      <c r="Q262" s="203">
        <f>-1*($G22-Q22)*(VLOOKUP($A262,Assumptions!$A$4:$N$14,COLUMNS(Assumptions!$A$4:L$14)+1,0))</f>
        <v>0</v>
      </c>
      <c r="R262" s="203">
        <f>-1*($G22-R22)*(VLOOKUP($A262,Assumptions!$A$4:$N$14,COLUMNS(Assumptions!$A$4:M$14)+1,0))</f>
        <v>0</v>
      </c>
      <c r="S262" s="204">
        <f t="shared" si="24"/>
        <v>0</v>
      </c>
    </row>
    <row r="263" spans="1:19" ht="14">
      <c r="A263" s="185" t="s">
        <v>220</v>
      </c>
      <c r="B263" s="198" t="s">
        <v>133</v>
      </c>
      <c r="C263" s="231">
        <v>8227.2000000000007</v>
      </c>
      <c r="D263" s="212">
        <v>0</v>
      </c>
      <c r="E263" s="199"/>
      <c r="F263" s="211">
        <v>1</v>
      </c>
      <c r="G263" s="203">
        <f>-1*($G23-G23)*(VLOOKUP($A263,Assumptions!$A$4:$N$14,COLUMNS(Assumptions!$A$4:B$14)+1,0))</f>
        <v>0</v>
      </c>
      <c r="H263" s="203">
        <f>-1*($G23-H23)*(VLOOKUP($A263,Assumptions!$A$4:$N$14,COLUMNS(Assumptions!$A$4:C$14)+1,0))</f>
        <v>0</v>
      </c>
      <c r="I263" s="203">
        <f>-1*($G23-I23)*(VLOOKUP($A263,Assumptions!$A$4:$N$14,COLUMNS(Assumptions!$A$4:D$14)+1,0))</f>
        <v>0</v>
      </c>
      <c r="J263" s="203">
        <f>-1*($G23-J23)*(VLOOKUP($A263,Assumptions!$A$4:$N$14,COLUMNS(Assumptions!$A$4:E$14)+1,0))</f>
        <v>0</v>
      </c>
      <c r="K263" s="203">
        <f>-1*($G23-K23)*(VLOOKUP($A263,Assumptions!$A$4:$N$14,COLUMNS(Assumptions!$A$4:F$14)+1,0))</f>
        <v>0</v>
      </c>
      <c r="L263" s="203">
        <f>-1*($G23-L23)*(VLOOKUP($A263,Assumptions!$A$4:$N$14,COLUMNS(Assumptions!$A$4:G$14)+1,0))</f>
        <v>0</v>
      </c>
      <c r="M263" s="203">
        <f>-1*($G23-M23)*(VLOOKUP($A263,Assumptions!$A$4:$N$14,COLUMNS(Assumptions!$A$4:H$14)+1,0))</f>
        <v>0</v>
      </c>
      <c r="N263" s="203">
        <f>-1*($G23-N23)*(VLOOKUP($A263,Assumptions!$A$4:$N$14,COLUMNS(Assumptions!$A$4:I$14)+1,0))</f>
        <v>0</v>
      </c>
      <c r="O263" s="203">
        <f>-1*($G23-O23)*(VLOOKUP($A263,Assumptions!$A$4:$N$14,COLUMNS(Assumptions!$A$4:J$14)+1,0))</f>
        <v>0</v>
      </c>
      <c r="P263" s="203">
        <f>-1*($G23-P23)*(VLOOKUP($A263,Assumptions!$A$4:$N$14,COLUMNS(Assumptions!$A$4:K$14)+1,0))</f>
        <v>0</v>
      </c>
      <c r="Q263" s="203">
        <f>-1*($G23-Q23)*(VLOOKUP($A263,Assumptions!$A$4:$N$14,COLUMNS(Assumptions!$A$4:L$14)+1,0))</f>
        <v>0</v>
      </c>
      <c r="R263" s="203">
        <f>-1*($G23-R23)*(VLOOKUP($A263,Assumptions!$A$4:$N$14,COLUMNS(Assumptions!$A$4:M$14)+1,0))</f>
        <v>0</v>
      </c>
      <c r="S263" s="204">
        <f t="shared" si="24"/>
        <v>0</v>
      </c>
    </row>
    <row r="264" spans="1:19" ht="14">
      <c r="A264" s="185" t="s">
        <v>224</v>
      </c>
      <c r="B264" s="198" t="s">
        <v>140</v>
      </c>
      <c r="C264" s="231">
        <v>20861</v>
      </c>
      <c r="D264" s="212">
        <v>1</v>
      </c>
      <c r="E264" s="199"/>
      <c r="F264" s="211">
        <v>0</v>
      </c>
      <c r="G264" s="203">
        <f>-1*($G24-G24)*(VLOOKUP($A264,Assumptions!$A$4:$N$14,COLUMNS(Assumptions!$A$4:B$14)+1,0))</f>
        <v>0</v>
      </c>
      <c r="H264" s="203">
        <f>-1*($G24-H24)*(VLOOKUP($A264,Assumptions!$A$4:$N$14,COLUMNS(Assumptions!$A$4:C$14)+1,0))</f>
        <v>0</v>
      </c>
      <c r="I264" s="203">
        <f>-1*($G24-I24)*(VLOOKUP($A264,Assumptions!$A$4:$N$14,COLUMNS(Assumptions!$A$4:D$14)+1,0))</f>
        <v>0</v>
      </c>
      <c r="J264" s="203">
        <f>-1*($G24-J24)*(VLOOKUP($A264,Assumptions!$A$4:$N$14,COLUMNS(Assumptions!$A$4:E$14)+1,0))</f>
        <v>0</v>
      </c>
      <c r="K264" s="203">
        <f>-1*($G24-K24)*(VLOOKUP($A264,Assumptions!$A$4:$N$14,COLUMNS(Assumptions!$A$4:F$14)+1,0))</f>
        <v>0</v>
      </c>
      <c r="L264" s="203">
        <f>-1*($G24-L24)*(VLOOKUP($A264,Assumptions!$A$4:$N$14,COLUMNS(Assumptions!$A$4:G$14)+1,0))</f>
        <v>0</v>
      </c>
      <c r="M264" s="203">
        <f>-1*($G24-M24)*(VLOOKUP($A264,Assumptions!$A$4:$N$14,COLUMNS(Assumptions!$A$4:H$14)+1,0))</f>
        <v>0</v>
      </c>
      <c r="N264" s="203">
        <f>-1*($G24-N24)*(VLOOKUP($A264,Assumptions!$A$4:$N$14,COLUMNS(Assumptions!$A$4:I$14)+1,0))</f>
        <v>0</v>
      </c>
      <c r="O264" s="203">
        <f>-1*($G24-O24)*(VLOOKUP($A264,Assumptions!$A$4:$N$14,COLUMNS(Assumptions!$A$4:J$14)+1,0))</f>
        <v>0</v>
      </c>
      <c r="P264" s="203">
        <f>-1*($G24-P24)*(VLOOKUP($A264,Assumptions!$A$4:$N$14,COLUMNS(Assumptions!$A$4:K$14)+1,0))</f>
        <v>0</v>
      </c>
      <c r="Q264" s="203">
        <f>-1*($G24-Q24)*(VLOOKUP($A264,Assumptions!$A$4:$N$14,COLUMNS(Assumptions!$A$4:L$14)+1,0))</f>
        <v>0</v>
      </c>
      <c r="R264" s="203">
        <f>-1*($G24-R24)*(VLOOKUP($A264,Assumptions!$A$4:$N$14,COLUMNS(Assumptions!$A$4:M$14)+1,0))</f>
        <v>0</v>
      </c>
      <c r="S264" s="204">
        <f t="shared" si="24"/>
        <v>0</v>
      </c>
    </row>
    <row r="265" spans="1:19" ht="14">
      <c r="A265" s="185" t="s">
        <v>221</v>
      </c>
      <c r="B265" s="182" t="s">
        <v>166</v>
      </c>
      <c r="C265" s="231">
        <v>15723.1</v>
      </c>
      <c r="D265" s="212">
        <v>0</v>
      </c>
      <c r="E265" s="199"/>
      <c r="F265" s="211">
        <v>1</v>
      </c>
      <c r="G265" s="203">
        <f>-1*($G25-G25)*(VLOOKUP($A265,Assumptions!$A$4:$N$14,COLUMNS(Assumptions!$A$4:B$14)+1,0))</f>
        <v>0</v>
      </c>
      <c r="H265" s="203">
        <f>-1*($G25-H25)*(VLOOKUP($A265,Assumptions!$A$4:$N$14,COLUMNS(Assumptions!$A$4:C$14)+1,0))</f>
        <v>-213.86260000000004</v>
      </c>
      <c r="I265" s="203">
        <f>-1*($G25-I25)*(VLOOKUP($A265,Assumptions!$A$4:$N$14,COLUMNS(Assumptions!$A$4:D$14)+1,0))</f>
        <v>-186.97840000000005</v>
      </c>
      <c r="J265" s="203">
        <f>-1*($G25-J25)*(VLOOKUP($A265,Assumptions!$A$4:$N$14,COLUMNS(Assumptions!$A$4:E$14)+1,0))</f>
        <v>-250.97919999999999</v>
      </c>
      <c r="K265" s="203">
        <f>-1*($G25-K25)*(VLOOKUP($A265,Assumptions!$A$4:$N$14,COLUMNS(Assumptions!$A$4:F$14)+1,0))</f>
        <v>-277.07179999999994</v>
      </c>
      <c r="L265" s="203">
        <f>-1*($G25-L25)*(VLOOKUP($A265,Assumptions!$A$4:$N$14,COLUMNS(Assumptions!$A$4:G$14)+1,0))</f>
        <v>-293.85959999999994</v>
      </c>
      <c r="M265" s="203">
        <f>-1*($G25-M25)*(VLOOKUP($A265,Assumptions!$A$4:$N$14,COLUMNS(Assumptions!$A$4:H$14)+1,0))</f>
        <v>-276.6232</v>
      </c>
      <c r="N265" s="203">
        <f>-1*($G25-N25)*(VLOOKUP($A265,Assumptions!$A$4:$N$14,COLUMNS(Assumptions!$A$4:I$14)+1,0))</f>
        <v>-246.77479999999997</v>
      </c>
      <c r="O265" s="203">
        <f>-1*($G25-O25)*(VLOOKUP($A265,Assumptions!$A$4:$N$14,COLUMNS(Assumptions!$A$4:J$14)+1,0))</f>
        <v>-221.1576</v>
      </c>
      <c r="P265" s="203">
        <f>-1*($G25-P25)*(VLOOKUP($A265,Assumptions!$A$4:$N$14,COLUMNS(Assumptions!$A$4:K$14)+1,0))</f>
        <v>-197.58459999999999</v>
      </c>
      <c r="Q265" s="203">
        <f>-1*($G25-Q25)*(VLOOKUP($A265,Assumptions!$A$4:$N$14,COLUMNS(Assumptions!$A$4:L$14)+1,0))</f>
        <v>-187.7268</v>
      </c>
      <c r="R265" s="203">
        <f>-1*($G25-R25)*(VLOOKUP($A265,Assumptions!$A$4:$N$14,COLUMNS(Assumptions!$A$4:M$14)+1,0))</f>
        <v>-180.44059999999999</v>
      </c>
      <c r="S265" s="204">
        <f t="shared" si="24"/>
        <v>-2533.0591999999997</v>
      </c>
    </row>
    <row r="266" spans="1:19" ht="14.5" thickBot="1">
      <c r="A266" s="185" t="s">
        <v>220</v>
      </c>
      <c r="B266" s="182" t="s">
        <v>67</v>
      </c>
      <c r="C266" s="231">
        <v>12837.7</v>
      </c>
      <c r="D266" s="211">
        <v>0</v>
      </c>
      <c r="E266" s="199"/>
      <c r="F266" s="211">
        <v>1</v>
      </c>
      <c r="G266" s="203">
        <f>-1*($G26-G26)*(VLOOKUP($A266,Assumptions!$A$4:$N$14,COLUMNS(Assumptions!$A$4:B$14)+1,0))</f>
        <v>0</v>
      </c>
      <c r="H266" s="203">
        <f>-1*($G26-H26)*(VLOOKUP($A266,Assumptions!$A$4:$N$14,COLUMNS(Assumptions!$A$4:C$14)+1,0))</f>
        <v>0</v>
      </c>
      <c r="I266" s="203">
        <f>-1*($G26-I26)*(VLOOKUP($A266,Assumptions!$A$4:$N$14,COLUMNS(Assumptions!$A$4:D$14)+1,0))</f>
        <v>0</v>
      </c>
      <c r="J266" s="203">
        <f>-1*($G26-J26)*(VLOOKUP($A266,Assumptions!$A$4:$N$14,COLUMNS(Assumptions!$A$4:E$14)+1,0))</f>
        <v>0</v>
      </c>
      <c r="K266" s="203">
        <f>-1*($G26-K26)*(VLOOKUP($A266,Assumptions!$A$4:$N$14,COLUMNS(Assumptions!$A$4:F$14)+1,0))</f>
        <v>-261.01108800000003</v>
      </c>
      <c r="L266" s="203">
        <f>-1*($G26-L26)*(VLOOKUP($A266,Assumptions!$A$4:$N$14,COLUMNS(Assumptions!$A$4:G$14)+1,0))</f>
        <v>-228.80298900000003</v>
      </c>
      <c r="M266" s="203">
        <f>-1*($G26-M26)*(VLOOKUP($A266,Assumptions!$A$4:$N$14,COLUMNS(Assumptions!$A$4:H$14)+1,0))</f>
        <v>-192.41202000000001</v>
      </c>
      <c r="N266" s="203">
        <f>-1*($G26-N26)*(VLOOKUP($A266,Assumptions!$A$4:$N$14,COLUMNS(Assumptions!$A$4:I$14)+1,0))</f>
        <v>-160.20392100000001</v>
      </c>
      <c r="O266" s="203">
        <f>-1*($G26-O26)*(VLOOKUP($A266,Assumptions!$A$4:$N$14,COLUMNS(Assumptions!$A$4:J$14)+1,0))</f>
        <v>-135.94327500000003</v>
      </c>
      <c r="P266" s="203">
        <f>-1*($G26-P26)*(VLOOKUP($A266,Assumptions!$A$4:$N$14,COLUMNS(Assumptions!$A$4:K$14)+1,0))</f>
        <v>-144.8424</v>
      </c>
      <c r="Q266" s="203">
        <f>-1*($G26-Q26)*(VLOOKUP($A266,Assumptions!$A$4:$N$14,COLUMNS(Assumptions!$A$4:L$14)+1,0))</f>
        <v>-132.77220000000003</v>
      </c>
      <c r="R266" s="203">
        <f>-1*($G26-R26)*(VLOOKUP($A266,Assumptions!$A$4:$N$14,COLUMNS(Assumptions!$A$4:M$14)+1,0))</f>
        <v>-124.72540000000002</v>
      </c>
      <c r="S266" s="204">
        <f t="shared" si="24"/>
        <v>-1380.7132930000002</v>
      </c>
    </row>
    <row r="267" spans="1:19" ht="13" thickTop="1">
      <c r="G267" s="261">
        <f t="shared" ref="G267:P267" si="25">SUBTOTAL(109,G244:G266)</f>
        <v>0</v>
      </c>
      <c r="H267" s="261">
        <f t="shared" si="25"/>
        <v>-356.66889999999995</v>
      </c>
      <c r="I267" s="261">
        <f t="shared" si="25"/>
        <v>-319.14759999999995</v>
      </c>
      <c r="J267" s="261">
        <f t="shared" si="25"/>
        <v>-1175.4206054400001</v>
      </c>
      <c r="K267" s="261">
        <f t="shared" si="25"/>
        <v>-1599.7872931099998</v>
      </c>
      <c r="L267" s="261">
        <f t="shared" si="25"/>
        <v>-1933.2932721152456</v>
      </c>
      <c r="M267" s="261">
        <f t="shared" si="25"/>
        <v>-1676.9602050845783</v>
      </c>
      <c r="N267" s="261">
        <f t="shared" si="25"/>
        <v>-1317.8530032978497</v>
      </c>
      <c r="O267" s="261">
        <f t="shared" si="25"/>
        <v>-1450.038236247457</v>
      </c>
      <c r="P267" s="261">
        <f t="shared" si="25"/>
        <v>-1619.2733227670842</v>
      </c>
      <c r="Q267" s="261">
        <f>SUBTOTAL(109,Q244:Q266)</f>
        <v>-1495.7757269797298</v>
      </c>
      <c r="R267" s="261">
        <f>SUBTOTAL(109,R244:R266)</f>
        <v>-1465.6598648447437</v>
      </c>
      <c r="S267" s="261">
        <f>SUBTOTAL(109,S244:S266)</f>
        <v>-14409.878029886686</v>
      </c>
    </row>
    <row r="268" spans="1:19">
      <c r="G268" s="513"/>
      <c r="H268" s="513"/>
      <c r="I268" s="513"/>
      <c r="J268" s="513"/>
      <c r="K268" s="513"/>
      <c r="L268" s="513"/>
      <c r="M268" s="513"/>
      <c r="N268" s="513"/>
      <c r="O268" s="513"/>
      <c r="P268" s="513"/>
      <c r="Q268" s="513"/>
      <c r="R268" s="513"/>
      <c r="S268" s="513"/>
    </row>
    <row r="269" spans="1:19">
      <c r="G269" s="513"/>
      <c r="H269" s="513"/>
      <c r="I269" s="513"/>
      <c r="J269" s="513"/>
      <c r="K269" s="513"/>
      <c r="L269" s="513"/>
      <c r="M269" s="513"/>
      <c r="N269" s="513"/>
      <c r="O269" s="513"/>
      <c r="P269" s="513"/>
      <c r="Q269" s="513"/>
      <c r="R269" s="513"/>
      <c r="S269" s="513"/>
    </row>
    <row r="270" spans="1:19">
      <c r="G270" s="513"/>
      <c r="H270" s="513"/>
      <c r="I270" s="513"/>
      <c r="J270" s="513"/>
      <c r="K270" s="513"/>
      <c r="L270" s="513"/>
      <c r="M270" s="513"/>
      <c r="N270" s="513"/>
      <c r="O270" s="513"/>
      <c r="P270" s="513"/>
      <c r="Q270" s="513"/>
      <c r="R270" s="513"/>
      <c r="S270" s="513"/>
    </row>
    <row r="271" spans="1:19" ht="18" thickBot="1">
      <c r="A271" s="196" t="s">
        <v>225</v>
      </c>
    </row>
    <row r="272" spans="1:19" ht="15" thickTop="1" thickBot="1">
      <c r="A272" s="184" t="s">
        <v>6</v>
      </c>
      <c r="B272" s="184" t="s">
        <v>7</v>
      </c>
      <c r="C272" s="184" t="s">
        <v>9</v>
      </c>
      <c r="D272" s="184" t="s">
        <v>10</v>
      </c>
      <c r="E272" s="184" t="s">
        <v>11</v>
      </c>
      <c r="F272" s="184" t="s">
        <v>12</v>
      </c>
      <c r="G272" s="184" t="s">
        <v>188</v>
      </c>
      <c r="H272" s="184" t="s">
        <v>189</v>
      </c>
      <c r="I272" s="184" t="s">
        <v>190</v>
      </c>
      <c r="J272" s="184" t="s">
        <v>191</v>
      </c>
      <c r="K272" s="184" t="s">
        <v>192</v>
      </c>
      <c r="L272" s="184" t="s">
        <v>193</v>
      </c>
      <c r="M272" s="184" t="s">
        <v>194</v>
      </c>
      <c r="N272" s="184" t="s">
        <v>195</v>
      </c>
      <c r="O272" s="184" t="s">
        <v>196</v>
      </c>
      <c r="P272" s="184" t="s">
        <v>197</v>
      </c>
      <c r="Q272" s="184" t="s">
        <v>198</v>
      </c>
      <c r="R272" s="184" t="s">
        <v>199</v>
      </c>
      <c r="S272" s="200" t="s">
        <v>84</v>
      </c>
    </row>
    <row r="273" spans="1:19" ht="14.5" thickTop="1">
      <c r="A273" s="185" t="s">
        <v>220</v>
      </c>
      <c r="B273" s="198" t="s">
        <v>31</v>
      </c>
      <c r="C273" s="228">
        <v>29166</v>
      </c>
      <c r="D273" s="211">
        <v>1</v>
      </c>
      <c r="E273" s="199"/>
      <c r="F273" s="211">
        <v>1</v>
      </c>
      <c r="G273" s="203">
        <f>-1*($G33-G33)*VLOOKUP($A273,Assumptions!$A$18:$N$29,COLUMNS(Assumptions!$A$18:B$29)+1)/1000</f>
        <v>0</v>
      </c>
      <c r="H273" s="203">
        <f>-1*($G33-H33)*VLOOKUP($A273,Assumptions!$A$18:$N$29,COLUMNS(Assumptions!$A$18:C$29)+1)/1000</f>
        <v>0</v>
      </c>
      <c r="I273" s="203">
        <f>-1*($G33-I33)*VLOOKUP($A273,Assumptions!$A$18:$N$29,COLUMNS(Assumptions!$A$18:D$29)+1)/1000</f>
        <v>0</v>
      </c>
      <c r="J273" s="203">
        <f>-1*($G33-J33)*VLOOKUP($A273,Assumptions!$A$18:$N$29,COLUMNS(Assumptions!$A$18:E$29)+1)/1000</f>
        <v>0</v>
      </c>
      <c r="K273" s="203">
        <f>-1*($G33-K33)*VLOOKUP($A273,Assumptions!$A$18:$N$29,COLUMNS(Assumptions!$A$18:F$29)+1)/1000</f>
        <v>-25.146639999999998</v>
      </c>
      <c r="L273" s="203">
        <f>-1*($G33-L33)*VLOOKUP($A273,Assumptions!$A$18:$N$29,COLUMNS(Assumptions!$A$18:G$29)+1)/1000</f>
        <v>-27.104779999999998</v>
      </c>
      <c r="M273" s="203">
        <f>-1*($G33-M33)*VLOOKUP($A273,Assumptions!$A$18:$N$29,COLUMNS(Assumptions!$A$18:H$29)+1)/1000</f>
        <v>-29.062920000000002</v>
      </c>
      <c r="N273" s="203">
        <f>-1*($G33-N33)*VLOOKUP($A273,Assumptions!$A$18:$N$29,COLUMNS(Assumptions!$A$18:I$29)+1)/1000</f>
        <v>-31.021060000000002</v>
      </c>
      <c r="O273" s="203">
        <f>-1*($G33-O33)*VLOOKUP($A273,Assumptions!$A$18:$N$29,COLUMNS(Assumptions!$A$18:J$29)+1)/1000</f>
        <v>-58.744200000000006</v>
      </c>
      <c r="P273" s="203">
        <f>-1*($G33-P33)*VLOOKUP($A273,Assumptions!$A$18:$N$29,COLUMNS(Assumptions!$A$18:K$29)+1)/1000</f>
        <v>-58.744200000000006</v>
      </c>
      <c r="Q273" s="203">
        <f>-1*($G33-Q33)*VLOOKUP($A273,Assumptions!$A$18:$N$29,COLUMNS(Assumptions!$A$18:L$29)+1)/1000</f>
        <v>-58.744200000000006</v>
      </c>
      <c r="R273" s="203">
        <f>-1*($G33-R33)*VLOOKUP($A273,Assumptions!$A$18:$N$29,COLUMNS(Assumptions!$A$18:M$29)+1)/1000</f>
        <v>-58.744200000000006</v>
      </c>
      <c r="S273" s="204">
        <f>SUM(G273:R273)</f>
        <v>-347.31220000000008</v>
      </c>
    </row>
    <row r="274" spans="1:19" ht="14">
      <c r="A274" s="185" t="s">
        <v>221</v>
      </c>
      <c r="B274" s="182" t="s">
        <v>38</v>
      </c>
      <c r="C274" s="228">
        <v>62987</v>
      </c>
      <c r="D274" s="211">
        <v>0.5</v>
      </c>
      <c r="E274" s="199"/>
      <c r="F274" s="211">
        <v>1</v>
      </c>
      <c r="G274" s="203">
        <f>-1*($G34-G34)*VLOOKUP($A274,Assumptions!$A$18:$N$29,COLUMNS(Assumptions!$A$18:B$29)+1)/1000</f>
        <v>0</v>
      </c>
      <c r="H274" s="203">
        <f>-1*($G34-H34)*VLOOKUP($A274,Assumptions!$A$18:$N$29,COLUMNS(Assumptions!$A$18:C$29)+1)/1000</f>
        <v>0</v>
      </c>
      <c r="I274" s="203">
        <f>-1*($G34-I34)*VLOOKUP($A274,Assumptions!$A$18:$N$29,COLUMNS(Assumptions!$A$18:D$29)+1)/1000</f>
        <v>0</v>
      </c>
      <c r="J274" s="203">
        <f>-1*($G34-J34)*VLOOKUP($A274,Assumptions!$A$18:$N$29,COLUMNS(Assumptions!$A$18:E$29)+1)/1000</f>
        <v>0</v>
      </c>
      <c r="K274" s="203">
        <f>-1*($G34-K34)*VLOOKUP($A274,Assumptions!$A$18:$N$29,COLUMNS(Assumptions!$A$18:F$29)+1)/1000</f>
        <v>0</v>
      </c>
      <c r="L274" s="203">
        <f>-1*($G34-L34)*VLOOKUP($A274,Assumptions!$A$18:$N$29,COLUMNS(Assumptions!$A$18:G$29)+1)/1000</f>
        <v>0</v>
      </c>
      <c r="M274" s="203">
        <f>-1*($G34-M34)*VLOOKUP($A274,Assumptions!$A$18:$N$29,COLUMNS(Assumptions!$A$18:H$29)+1)/1000</f>
        <v>0</v>
      </c>
      <c r="N274" s="203">
        <f>-1*($G34-N34)*VLOOKUP($A274,Assumptions!$A$18:$N$29,COLUMNS(Assumptions!$A$18:I$29)+1)/1000</f>
        <v>0</v>
      </c>
      <c r="O274" s="203">
        <f>-1*($G34-O34)*VLOOKUP($A274,Assumptions!$A$18:$N$29,COLUMNS(Assumptions!$A$18:J$29)+1)/1000</f>
        <v>0</v>
      </c>
      <c r="P274" s="203">
        <f>-1*($G34-P34)*VLOOKUP($A274,Assumptions!$A$18:$N$29,COLUMNS(Assumptions!$A$18:K$29)+1)/1000</f>
        <v>0</v>
      </c>
      <c r="Q274" s="203">
        <f>-1*($G34-Q34)*VLOOKUP($A274,Assumptions!$A$18:$N$29,COLUMNS(Assumptions!$A$18:L$29)+1)/1000</f>
        <v>0</v>
      </c>
      <c r="R274" s="203">
        <f>-1*($G34-R34)*VLOOKUP($A274,Assumptions!$A$18:$N$29,COLUMNS(Assumptions!$A$18:M$29)+1)/1000</f>
        <v>0</v>
      </c>
      <c r="S274" s="204">
        <f t="shared" ref="S274:S295" si="26">SUM(G274:R274)</f>
        <v>0</v>
      </c>
    </row>
    <row r="275" spans="1:19" ht="14">
      <c r="A275" s="185" t="s">
        <v>220</v>
      </c>
      <c r="B275" s="182" t="s">
        <v>42</v>
      </c>
      <c r="C275" s="231">
        <v>42132</v>
      </c>
      <c r="D275" s="211">
        <v>0.5</v>
      </c>
      <c r="E275" s="199">
        <v>0.25</v>
      </c>
      <c r="F275" s="211">
        <v>1</v>
      </c>
      <c r="G275" s="203">
        <f>-1*($G35-G35)*VLOOKUP($A275,Assumptions!$A$18:$N$29,COLUMNS(Assumptions!$A$18:B$29)+1)/1000</f>
        <v>0</v>
      </c>
      <c r="H275" s="203">
        <f>-1*($G35-H35)*VLOOKUP($A275,Assumptions!$A$18:$N$29,COLUMNS(Assumptions!$A$18:C$29)+1)/1000</f>
        <v>0</v>
      </c>
      <c r="I275" s="203">
        <f>-1*($G35-I35)*VLOOKUP($A275,Assumptions!$A$18:$N$29,COLUMNS(Assumptions!$A$18:D$29)+1)/1000</f>
        <v>0</v>
      </c>
      <c r="J275" s="203">
        <f>-1*($G35-J35)*VLOOKUP($A275,Assumptions!$A$18:$N$29,COLUMNS(Assumptions!$A$18:E$29)+1)/1000</f>
        <v>0</v>
      </c>
      <c r="K275" s="203">
        <f>-1*($G35-K35)*VLOOKUP($A275,Assumptions!$A$18:$N$29,COLUMNS(Assumptions!$A$18:F$29)+1)/1000</f>
        <v>0</v>
      </c>
      <c r="L275" s="203">
        <f>-1*($G35-L35)*VLOOKUP($A275,Assumptions!$A$18:$N$29,COLUMNS(Assumptions!$A$18:G$29)+1)/1000</f>
        <v>0</v>
      </c>
      <c r="M275" s="203">
        <f>-1*($G35-M35)*VLOOKUP($A275,Assumptions!$A$18:$N$29,COLUMNS(Assumptions!$A$18:H$29)+1)/1000</f>
        <v>-15.974300000000001</v>
      </c>
      <c r="N275" s="203">
        <f>-1*($G35-N35)*VLOOKUP($A275,Assumptions!$A$18:$N$29,COLUMNS(Assumptions!$A$18:I$29)+1)/1000</f>
        <v>-15.974300000000001</v>
      </c>
      <c r="O275" s="203">
        <f>-1*($G35-O35)*VLOOKUP($A275,Assumptions!$A$18:$N$29,COLUMNS(Assumptions!$A$18:J$29)+1)/1000</f>
        <v>-72.657300000000006</v>
      </c>
      <c r="P275" s="203">
        <f>-1*($G35-P35)*VLOOKUP($A275,Assumptions!$A$18:$N$29,COLUMNS(Assumptions!$A$18:K$29)+1)/1000</f>
        <v>-72.657300000000006</v>
      </c>
      <c r="Q275" s="203">
        <f>-1*($G35-Q35)*VLOOKUP($A275,Assumptions!$A$18:$N$29,COLUMNS(Assumptions!$A$18:L$29)+1)/1000</f>
        <v>-72.657300000000006</v>
      </c>
      <c r="R275" s="203">
        <f>-1*($G35-R35)*VLOOKUP($A275,Assumptions!$A$18:$N$29,COLUMNS(Assumptions!$A$18:M$29)+1)/1000</f>
        <v>-72.657300000000006</v>
      </c>
      <c r="S275" s="204">
        <f t="shared" si="26"/>
        <v>-322.57780000000002</v>
      </c>
    </row>
    <row r="276" spans="1:19" ht="14">
      <c r="A276" s="185" t="s">
        <v>220</v>
      </c>
      <c r="B276" s="182" t="s">
        <v>43</v>
      </c>
      <c r="C276" s="231">
        <v>12509</v>
      </c>
      <c r="D276" s="211">
        <v>1</v>
      </c>
      <c r="E276" s="199"/>
      <c r="F276" s="211">
        <v>1</v>
      </c>
      <c r="G276" s="203">
        <f>-1*($G36-G36)*VLOOKUP($A276,Assumptions!$A$18:$N$29,COLUMNS(Assumptions!$A$18:B$29)+1)/1000</f>
        <v>0</v>
      </c>
      <c r="H276" s="203">
        <f>-1*($G36-H36)*VLOOKUP($A276,Assumptions!$A$18:$N$29,COLUMNS(Assumptions!$A$18:C$29)+1)/1000</f>
        <v>0</v>
      </c>
      <c r="I276" s="203">
        <f>-1*($G36-I36)*VLOOKUP($A276,Assumptions!$A$18:$N$29,COLUMNS(Assumptions!$A$18:D$29)+1)/1000</f>
        <v>0</v>
      </c>
      <c r="J276" s="203">
        <f>-1*($G36-J36)*VLOOKUP($A276,Assumptions!$A$18:$N$29,COLUMNS(Assumptions!$A$18:E$29)+1)/1000</f>
        <v>0</v>
      </c>
      <c r="K276" s="203">
        <f>-1*($G36-K36)*VLOOKUP($A276,Assumptions!$A$18:$N$29,COLUMNS(Assumptions!$A$18:F$29)+1)/1000</f>
        <v>0</v>
      </c>
      <c r="L276" s="203">
        <f>-1*($G36-L36)*VLOOKUP($A276,Assumptions!$A$18:$N$29,COLUMNS(Assumptions!$A$18:G$29)+1)/1000</f>
        <v>0</v>
      </c>
      <c r="M276" s="203">
        <f>-1*($G36-M36)*VLOOKUP($A276,Assumptions!$A$18:$N$29,COLUMNS(Assumptions!$A$18:H$29)+1)/1000</f>
        <v>0</v>
      </c>
      <c r="N276" s="203">
        <f>-1*($G36-N36)*VLOOKUP($A276,Assumptions!$A$18:$N$29,COLUMNS(Assumptions!$A$18:I$29)+1)/1000</f>
        <v>0</v>
      </c>
      <c r="O276" s="203">
        <f>-1*($G36-O36)*VLOOKUP($A276,Assumptions!$A$18:$N$29,COLUMNS(Assumptions!$A$18:J$29)+1)/1000</f>
        <v>0</v>
      </c>
      <c r="P276" s="203">
        <f>-1*($G36-P36)*VLOOKUP($A276,Assumptions!$A$18:$N$29,COLUMNS(Assumptions!$A$18:K$29)+1)/1000</f>
        <v>0</v>
      </c>
      <c r="Q276" s="203">
        <f>-1*($G36-Q36)*VLOOKUP($A276,Assumptions!$A$18:$N$29,COLUMNS(Assumptions!$A$18:L$29)+1)/1000</f>
        <v>0</v>
      </c>
      <c r="R276" s="203">
        <f>-1*($G36-R36)*VLOOKUP($A276,Assumptions!$A$18:$N$29,COLUMNS(Assumptions!$A$18:M$29)+1)/1000</f>
        <v>0</v>
      </c>
      <c r="S276" s="204">
        <f t="shared" si="26"/>
        <v>0</v>
      </c>
    </row>
    <row r="277" spans="1:19" ht="14">
      <c r="A277" s="185" t="s">
        <v>220</v>
      </c>
      <c r="B277" s="182" t="s">
        <v>46</v>
      </c>
      <c r="C277" s="231">
        <v>27263</v>
      </c>
      <c r="D277" s="211">
        <v>1</v>
      </c>
      <c r="E277" s="199"/>
      <c r="F277" s="211">
        <v>1</v>
      </c>
      <c r="G277" s="203">
        <f>-1*($G37-G37)*VLOOKUP($A277,Assumptions!$A$18:$N$29,COLUMNS(Assumptions!$A$18:B$29)+1)/1000</f>
        <v>0</v>
      </c>
      <c r="H277" s="203">
        <f>-1*($G37-H37)*VLOOKUP($A277,Assumptions!$A$18:$N$29,COLUMNS(Assumptions!$A$18:C$29)+1)/1000</f>
        <v>0</v>
      </c>
      <c r="I277" s="203">
        <f>-1*($G37-I37)*VLOOKUP($A277,Assumptions!$A$18:$N$29,COLUMNS(Assumptions!$A$18:D$29)+1)/1000</f>
        <v>0</v>
      </c>
      <c r="J277" s="203">
        <f>-1*($G37-J37)*VLOOKUP($A277,Assumptions!$A$18:$N$29,COLUMNS(Assumptions!$A$18:E$29)+1)/1000</f>
        <v>0</v>
      </c>
      <c r="K277" s="203">
        <f>-1*($G37-K37)*VLOOKUP($A277,Assumptions!$A$18:$N$29,COLUMNS(Assumptions!$A$18:F$29)+1)/1000</f>
        <v>0</v>
      </c>
      <c r="L277" s="203">
        <f>-1*($G37-L37)*VLOOKUP($A277,Assumptions!$A$18:$N$29,COLUMNS(Assumptions!$A$18:G$29)+1)/1000</f>
        <v>-21.642600000000002</v>
      </c>
      <c r="M277" s="203">
        <f>-1*($G37-M37)*VLOOKUP($A277,Assumptions!$A$18:$N$29,COLUMNS(Assumptions!$A$18:H$29)+1)/1000</f>
        <v>-21.642600000000002</v>
      </c>
      <c r="N277" s="203">
        <f>-1*($G37-N37)*VLOOKUP($A277,Assumptions!$A$18:$N$29,COLUMNS(Assumptions!$A$18:I$29)+1)/1000</f>
        <v>-21.642600000000002</v>
      </c>
      <c r="O277" s="203">
        <f>-1*($G37-O37)*VLOOKUP($A277,Assumptions!$A$18:$N$29,COLUMNS(Assumptions!$A$18:J$29)+1)/1000</f>
        <v>-24.734400000000001</v>
      </c>
      <c r="P277" s="203">
        <f>-1*($G37-P37)*VLOOKUP($A277,Assumptions!$A$18:$N$29,COLUMNS(Assumptions!$A$18:K$29)+1)/1000</f>
        <v>-24.734400000000001</v>
      </c>
      <c r="Q277" s="203">
        <f>-1*($G37-Q37)*VLOOKUP($A277,Assumptions!$A$18:$N$29,COLUMNS(Assumptions!$A$18:L$29)+1)/1000</f>
        <v>-24.734400000000001</v>
      </c>
      <c r="R277" s="203">
        <f>-1*($G37-R37)*VLOOKUP($A277,Assumptions!$A$18:$N$29,COLUMNS(Assumptions!$A$18:M$29)+1)/1000</f>
        <v>-24.734400000000001</v>
      </c>
      <c r="S277" s="204">
        <f t="shared" si="26"/>
        <v>-163.86539999999999</v>
      </c>
    </row>
    <row r="278" spans="1:19" ht="14">
      <c r="A278" s="185" t="s">
        <v>220</v>
      </c>
      <c r="B278" s="182" t="s">
        <v>47</v>
      </c>
      <c r="C278" s="231">
        <v>39057</v>
      </c>
      <c r="D278" s="211">
        <v>1</v>
      </c>
      <c r="E278" s="199"/>
      <c r="F278" s="211">
        <v>1</v>
      </c>
      <c r="G278" s="203">
        <f>-1*($G38-G38)*VLOOKUP($A278,Assumptions!$A$18:$N$29,COLUMNS(Assumptions!$A$18:B$29)+1)/1000</f>
        <v>0</v>
      </c>
      <c r="H278" s="203">
        <f>-1*($G38-H38)*VLOOKUP($A278,Assumptions!$A$18:$N$29,COLUMNS(Assumptions!$A$18:C$29)+1)/1000</f>
        <v>0</v>
      </c>
      <c r="I278" s="203">
        <f>-1*($G38-I38)*VLOOKUP($A278,Assumptions!$A$18:$N$29,COLUMNS(Assumptions!$A$18:D$29)+1)/1000</f>
        <v>0</v>
      </c>
      <c r="J278" s="203">
        <f>-1*($G38-J38)*VLOOKUP($A278,Assumptions!$A$18:$N$29,COLUMNS(Assumptions!$A$18:E$29)+1)/1000</f>
        <v>-18.550799999999999</v>
      </c>
      <c r="K278" s="203">
        <f>-1*($G38-K38)*VLOOKUP($A278,Assumptions!$A$18:$N$29,COLUMNS(Assumptions!$A$18:F$29)+1)/1000</f>
        <v>-18.550799999999999</v>
      </c>
      <c r="L278" s="203">
        <f>-1*($G38-L38)*VLOOKUP($A278,Assumptions!$A$18:$N$29,COLUMNS(Assumptions!$A$18:G$29)+1)/1000</f>
        <v>-18.550799999999999</v>
      </c>
      <c r="M278" s="203">
        <f>-1*($G38-M38)*VLOOKUP($A278,Assumptions!$A$18:$N$29,COLUMNS(Assumptions!$A$18:H$29)+1)/1000</f>
        <v>-18.550799999999999</v>
      </c>
      <c r="N278" s="203">
        <f>-1*($G38-N38)*VLOOKUP($A278,Assumptions!$A$18:$N$29,COLUMNS(Assumptions!$A$18:I$29)+1)/1000</f>
        <v>-18.550799999999999</v>
      </c>
      <c r="O278" s="203">
        <f>-1*($G38-O38)*VLOOKUP($A278,Assumptions!$A$18:$N$29,COLUMNS(Assumptions!$A$18:J$29)+1)/1000</f>
        <v>-39.162800000000004</v>
      </c>
      <c r="P278" s="203">
        <f>-1*($G38-P38)*VLOOKUP($A278,Assumptions!$A$18:$N$29,COLUMNS(Assumptions!$A$18:K$29)+1)/1000</f>
        <v>-39.162800000000004</v>
      </c>
      <c r="Q278" s="203">
        <f>-1*($G38-Q38)*VLOOKUP($A278,Assumptions!$A$18:$N$29,COLUMNS(Assumptions!$A$18:L$29)+1)/1000</f>
        <v>-57.7136</v>
      </c>
      <c r="R278" s="203">
        <f>-1*($G38-R38)*VLOOKUP($A278,Assumptions!$A$18:$N$29,COLUMNS(Assumptions!$A$18:M$29)+1)/1000</f>
        <v>-57.7136</v>
      </c>
      <c r="S278" s="204">
        <f t="shared" si="26"/>
        <v>-286.5068</v>
      </c>
    </row>
    <row r="279" spans="1:19" ht="14">
      <c r="A279" s="185" t="s">
        <v>222</v>
      </c>
      <c r="B279" s="182" t="s">
        <v>49</v>
      </c>
      <c r="C279" s="231">
        <v>24754</v>
      </c>
      <c r="D279" s="211">
        <v>1</v>
      </c>
      <c r="E279" s="199"/>
      <c r="F279" s="211">
        <v>1</v>
      </c>
      <c r="G279" s="203">
        <f>-1*($G39-G39)*VLOOKUP($A279,Assumptions!$A$18:$N$29,COLUMNS(Assumptions!$A$18:B$29)+1)/1000</f>
        <v>0</v>
      </c>
      <c r="H279" s="203">
        <f>-1*($G39-H39)*VLOOKUP($A279,Assumptions!$A$18:$N$29,COLUMNS(Assumptions!$A$18:C$29)+1)/1000</f>
        <v>0</v>
      </c>
      <c r="I279" s="203">
        <f>-1*($G39-I39)*VLOOKUP($A279,Assumptions!$A$18:$N$29,COLUMNS(Assumptions!$A$18:D$29)+1)/1000</f>
        <v>0</v>
      </c>
      <c r="J279" s="203">
        <f>-1*($G39-J39)*VLOOKUP($A279,Assumptions!$A$18:$N$29,COLUMNS(Assumptions!$A$18:E$29)+1)/1000</f>
        <v>0</v>
      </c>
      <c r="K279" s="203">
        <f>-1*($G39-K39)*VLOOKUP($A279,Assumptions!$A$18:$N$29,COLUMNS(Assumptions!$A$18:F$29)+1)/1000</f>
        <v>0</v>
      </c>
      <c r="L279" s="203">
        <f>-1*($G39-L39)*VLOOKUP($A279,Assumptions!$A$18:$N$29,COLUMNS(Assumptions!$A$18:G$29)+1)/1000</f>
        <v>0</v>
      </c>
      <c r="M279" s="203">
        <f>-1*($G39-M39)*VLOOKUP($A279,Assumptions!$A$18:$N$29,COLUMNS(Assumptions!$A$18:H$29)+1)/1000</f>
        <v>0</v>
      </c>
      <c r="N279" s="203">
        <f>-1*($G39-N39)*VLOOKUP($A279,Assumptions!$A$18:$N$29,COLUMNS(Assumptions!$A$18:I$29)+1)/1000</f>
        <v>0</v>
      </c>
      <c r="O279" s="203">
        <f>-1*($G39-O39)*VLOOKUP($A279,Assumptions!$A$18:$N$29,COLUMNS(Assumptions!$A$18:J$29)+1)/1000</f>
        <v>0</v>
      </c>
      <c r="P279" s="203">
        <f>-1*($G39-P39)*VLOOKUP($A279,Assumptions!$A$18:$N$29,COLUMNS(Assumptions!$A$18:K$29)+1)/1000</f>
        <v>0</v>
      </c>
      <c r="Q279" s="203">
        <f>-1*($G39-Q39)*VLOOKUP($A279,Assumptions!$A$18:$N$29,COLUMNS(Assumptions!$A$18:L$29)+1)/1000</f>
        <v>0</v>
      </c>
      <c r="R279" s="203">
        <f>-1*($G39-R39)*VLOOKUP($A279,Assumptions!$A$18:$N$29,COLUMNS(Assumptions!$A$18:M$29)+1)/1000</f>
        <v>0</v>
      </c>
      <c r="S279" s="204">
        <f t="shared" si="26"/>
        <v>0</v>
      </c>
    </row>
    <row r="280" spans="1:19" ht="14">
      <c r="A280" s="185" t="s">
        <v>220</v>
      </c>
      <c r="B280" s="182" t="s">
        <v>92</v>
      </c>
      <c r="C280" s="231">
        <v>26819</v>
      </c>
      <c r="D280" s="212">
        <v>0</v>
      </c>
      <c r="E280" s="199">
        <v>1</v>
      </c>
      <c r="F280" s="211">
        <v>1</v>
      </c>
      <c r="G280" s="203">
        <f>-1*($G40-G40)*VLOOKUP($A280,Assumptions!$A$18:$N$29,COLUMNS(Assumptions!$A$18:B$29)+1)/1000</f>
        <v>0</v>
      </c>
      <c r="H280" s="203">
        <f>-1*($G40-H40)*VLOOKUP($A280,Assumptions!$A$18:$N$29,COLUMNS(Assumptions!$A$18:C$29)+1)/1000</f>
        <v>0</v>
      </c>
      <c r="I280" s="203">
        <f>-1*($G40-I40)*VLOOKUP($A280,Assumptions!$A$18:$N$29,COLUMNS(Assumptions!$A$18:D$29)+1)/1000</f>
        <v>0</v>
      </c>
      <c r="J280" s="203">
        <f>-1*($G40-J40)*VLOOKUP($A280,Assumptions!$A$18:$N$29,COLUMNS(Assumptions!$A$18:E$29)+1)/1000</f>
        <v>-27.125441787439613</v>
      </c>
      <c r="K280" s="203">
        <f>-1*($G40-K40)*VLOOKUP($A280,Assumptions!$A$18:$N$29,COLUMNS(Assumptions!$A$18:F$29)+1)/1000</f>
        <v>-27.125441787439613</v>
      </c>
      <c r="L280" s="203">
        <f>-1*($G40-L40)*VLOOKUP($A280,Assumptions!$A$18:$N$29,COLUMNS(Assumptions!$A$18:G$29)+1)/1000</f>
        <v>-27.125441787439613</v>
      </c>
      <c r="M280" s="203">
        <f>-1*($G40-M40)*VLOOKUP($A280,Assumptions!$A$18:$N$29,COLUMNS(Assumptions!$A$18:H$29)+1)/1000</f>
        <v>-27.125441787439613</v>
      </c>
      <c r="N280" s="203">
        <f>-1*($G40-N40)*VLOOKUP($A280,Assumptions!$A$18:$N$29,COLUMNS(Assumptions!$A$18:I$29)+1)/1000</f>
        <v>-27.125441787439613</v>
      </c>
      <c r="O280" s="203">
        <f>-1*($G40-O40)*VLOOKUP($A280,Assumptions!$A$18:$N$29,COLUMNS(Assumptions!$A$18:J$29)+1)/1000</f>
        <v>-30.986540708534616</v>
      </c>
      <c r="P280" s="203">
        <f>-1*($G40-P40)*VLOOKUP($A280,Assumptions!$A$18:$N$29,COLUMNS(Assumptions!$A$18:K$29)+1)/1000</f>
        <v>-30.986540708534616</v>
      </c>
      <c r="Q280" s="203">
        <f>-1*($G40-Q40)*VLOOKUP($A280,Assumptions!$A$18:$N$29,COLUMNS(Assumptions!$A$18:L$29)+1)/1000</f>
        <v>-30.986540708534616</v>
      </c>
      <c r="R280" s="203">
        <f>-1*($G40-R40)*VLOOKUP($A280,Assumptions!$A$18:$N$29,COLUMNS(Assumptions!$A$18:M$29)+1)/1000</f>
        <v>-60.702340000000007</v>
      </c>
      <c r="S280" s="204">
        <f t="shared" si="26"/>
        <v>-289.28917106280193</v>
      </c>
    </row>
    <row r="281" spans="1:19" ht="14">
      <c r="A281" s="185" t="s">
        <v>220</v>
      </c>
      <c r="B281" s="182" t="s">
        <v>52</v>
      </c>
      <c r="C281" s="231">
        <v>28396</v>
      </c>
      <c r="D281" s="211">
        <v>0.75</v>
      </c>
      <c r="E281" s="199"/>
      <c r="F281" s="211">
        <v>1</v>
      </c>
      <c r="G281" s="203">
        <f>-1*($G41-G41)*VLOOKUP($A281,Assumptions!$A$18:$N$29,COLUMNS(Assumptions!$A$18:B$29)+1)/1000</f>
        <v>0</v>
      </c>
      <c r="H281" s="203">
        <f>-1*($G41-H41)*VLOOKUP($A281,Assumptions!$A$18:$N$29,COLUMNS(Assumptions!$A$18:C$29)+1)/1000</f>
        <v>-10.769770000000001</v>
      </c>
      <c r="I281" s="203">
        <f>-1*($G41-I41)*VLOOKUP($A281,Assumptions!$A$18:$N$29,COLUMNS(Assumptions!$A$18:D$29)+1)/1000</f>
        <v>-10.769770000000001</v>
      </c>
      <c r="J281" s="203">
        <f>-1*($G41-J41)*VLOOKUP($A281,Assumptions!$A$18:$N$29,COLUMNS(Assumptions!$A$18:E$29)+1)/1000</f>
        <v>-10.769770000000001</v>
      </c>
      <c r="K281" s="203">
        <f>-1*($G41-K41)*VLOOKUP($A281,Assumptions!$A$18:$N$29,COLUMNS(Assumptions!$A$18:F$29)+1)/1000</f>
        <v>-10.769770000000001</v>
      </c>
      <c r="L281" s="203">
        <f>-1*($G41-L41)*VLOOKUP($A281,Assumptions!$A$18:$N$29,COLUMNS(Assumptions!$A$18:G$29)+1)/1000</f>
        <v>-10.769770000000001</v>
      </c>
      <c r="M281" s="203">
        <f>-1*($G41-M41)*VLOOKUP($A281,Assumptions!$A$18:$N$29,COLUMNS(Assumptions!$A$18:H$29)+1)/1000</f>
        <v>-10.769770000000001</v>
      </c>
      <c r="N281" s="203">
        <f>-1*($G41-N41)*VLOOKUP($A281,Assumptions!$A$18:$N$29,COLUMNS(Assumptions!$A$18:I$29)+1)/1000</f>
        <v>-10.769770000000001</v>
      </c>
      <c r="O281" s="203">
        <f>-1*($G41-O41)*VLOOKUP($A281,Assumptions!$A$18:$N$29,COLUMNS(Assumptions!$A$18:J$29)+1)/1000</f>
        <v>-14.789110000000001</v>
      </c>
      <c r="P281" s="203">
        <f>-1*($G41-P41)*VLOOKUP($A281,Assumptions!$A$18:$N$29,COLUMNS(Assumptions!$A$18:K$29)+1)/1000</f>
        <v>-14.789110000000001</v>
      </c>
      <c r="Q281" s="203">
        <f>-1*($G41-Q41)*VLOOKUP($A281,Assumptions!$A$18:$N$29,COLUMNS(Assumptions!$A$18:L$29)+1)/1000</f>
        <v>-14.789110000000001</v>
      </c>
      <c r="R281" s="203">
        <f>-1*($G41-R41)*VLOOKUP($A281,Assumptions!$A$18:$N$29,COLUMNS(Assumptions!$A$18:M$29)+1)/1000</f>
        <v>-14.789110000000001</v>
      </c>
      <c r="S281" s="204">
        <f t="shared" si="26"/>
        <v>-134.54482999999999</v>
      </c>
    </row>
    <row r="282" spans="1:19" ht="14">
      <c r="A282" s="185" t="s">
        <v>220</v>
      </c>
      <c r="B282" s="182" t="s">
        <v>54</v>
      </c>
      <c r="C282" s="231">
        <v>37558</v>
      </c>
      <c r="D282" s="211">
        <v>0.75</v>
      </c>
      <c r="E282" s="199"/>
      <c r="F282" s="211">
        <v>1</v>
      </c>
      <c r="G282" s="203">
        <f>-1*($G42-G42)*VLOOKUP($A282,Assumptions!$A$18:$N$29,COLUMNS(Assumptions!$A$18:B$29)+1)/1000</f>
        <v>0</v>
      </c>
      <c r="H282" s="203">
        <f>-1*($G42-H42)*VLOOKUP($A282,Assumptions!$A$18:$N$29,COLUMNS(Assumptions!$A$18:C$29)+1)/1000</f>
        <v>0</v>
      </c>
      <c r="I282" s="203">
        <f>-1*($G42-I42)*VLOOKUP($A282,Assumptions!$A$18:$N$29,COLUMNS(Assumptions!$A$18:D$29)+1)/1000</f>
        <v>0</v>
      </c>
      <c r="J282" s="203">
        <f>-1*($G42-J42)*VLOOKUP($A282,Assumptions!$A$18:$N$29,COLUMNS(Assumptions!$A$18:E$29)+1)/1000</f>
        <v>0</v>
      </c>
      <c r="K282" s="203">
        <f>-1*($G42-K42)*VLOOKUP($A282,Assumptions!$A$18:$N$29,COLUMNS(Assumptions!$A$18:F$29)+1)/1000</f>
        <v>0</v>
      </c>
      <c r="L282" s="203">
        <f>-1*($G42-L42)*VLOOKUP($A282,Assumptions!$A$18:$N$29,COLUMNS(Assumptions!$A$18:G$29)+1)/1000</f>
        <v>0</v>
      </c>
      <c r="M282" s="203">
        <f>-1*($G42-M42)*VLOOKUP($A282,Assumptions!$A$18:$N$29,COLUMNS(Assumptions!$A$18:H$29)+1)/1000</f>
        <v>0</v>
      </c>
      <c r="N282" s="203">
        <f>-1*($G42-N42)*VLOOKUP($A282,Assumptions!$A$18:$N$29,COLUMNS(Assumptions!$A$18:I$29)+1)/1000</f>
        <v>0</v>
      </c>
      <c r="O282" s="203">
        <f>-1*($G42-O42)*VLOOKUP($A282,Assumptions!$A$18:$N$29,COLUMNS(Assumptions!$A$18:J$29)+1)/1000</f>
        <v>-7.2141999999999999</v>
      </c>
      <c r="P282" s="203">
        <f>-1*($G42-P42)*VLOOKUP($A282,Assumptions!$A$18:$N$29,COLUMNS(Assumptions!$A$18:K$29)+1)/1000</f>
        <v>-30.402699999999999</v>
      </c>
      <c r="Q282" s="203">
        <f>-1*($G42-Q42)*VLOOKUP($A282,Assumptions!$A$18:$N$29,COLUMNS(Assumptions!$A$18:L$29)+1)/1000</f>
        <v>-30.402699999999999</v>
      </c>
      <c r="R282" s="203">
        <f>-1*($G42-R42)*VLOOKUP($A282,Assumptions!$A$18:$N$29,COLUMNS(Assumptions!$A$18:M$29)+1)/1000</f>
        <v>-30.402699999999999</v>
      </c>
      <c r="S282" s="204">
        <f t="shared" si="26"/>
        <v>-98.422299999999993</v>
      </c>
    </row>
    <row r="283" spans="1:19" ht="14">
      <c r="A283" s="185" t="s">
        <v>221</v>
      </c>
      <c r="B283" s="182" t="s">
        <v>55</v>
      </c>
      <c r="C283" s="231">
        <v>55051</v>
      </c>
      <c r="D283" s="211">
        <v>0.5</v>
      </c>
      <c r="E283" s="199">
        <v>0.5</v>
      </c>
      <c r="F283" s="211">
        <v>1</v>
      </c>
      <c r="G283" s="203">
        <f>-1*($G43-G43)*VLOOKUP($A283,Assumptions!$A$18:$N$29,COLUMNS(Assumptions!$A$18:B$29)+1)/1000</f>
        <v>0</v>
      </c>
      <c r="H283" s="203">
        <f>-1*($G43-H43)*VLOOKUP($A283,Assumptions!$A$18:$N$29,COLUMNS(Assumptions!$A$18:C$29)+1)/1000</f>
        <v>-10.756795306599322</v>
      </c>
      <c r="I283" s="203">
        <f>-1*($G43-I43)*VLOOKUP($A283,Assumptions!$A$18:$N$29,COLUMNS(Assumptions!$A$18:D$29)+1)/1000</f>
        <v>-10.756795306599322</v>
      </c>
      <c r="J283" s="203">
        <f>-1*($G43-J43)*VLOOKUP($A283,Assumptions!$A$18:$N$29,COLUMNS(Assumptions!$A$18:E$29)+1)/1000</f>
        <v>-10.756795306599322</v>
      </c>
      <c r="K283" s="203">
        <f>-1*($G43-K43)*VLOOKUP($A283,Assumptions!$A$18:$N$29,COLUMNS(Assumptions!$A$18:F$29)+1)/1000</f>
        <v>-10.756795306599322</v>
      </c>
      <c r="L283" s="203">
        <f>-1*($G43-L43)*VLOOKUP($A283,Assumptions!$A$18:$N$29,COLUMNS(Assumptions!$A$18:G$29)+1)/1000</f>
        <v>-37.655791257336439</v>
      </c>
      <c r="M283" s="203">
        <f>-1*($G43-M43)*VLOOKUP($A283,Assumptions!$A$18:$N$29,COLUMNS(Assumptions!$A$18:H$29)+1)/1000</f>
        <v>-50.206553729075424</v>
      </c>
      <c r="N283" s="203">
        <f>-1*($G43-N43)*VLOOKUP($A283,Assumptions!$A$18:$N$29,COLUMNS(Assumptions!$A$18:I$29)+1)/1000</f>
        <v>-253.59546372907542</v>
      </c>
      <c r="O283" s="203">
        <f>-1*($G43-O43)*VLOOKUP($A283,Assumptions!$A$18:$N$29,COLUMNS(Assumptions!$A$18:J$29)+1)/1000</f>
        <v>-253.59546372907542</v>
      </c>
      <c r="P283" s="203">
        <f>-1*($G43-P43)*VLOOKUP($A283,Assumptions!$A$18:$N$29,COLUMNS(Assumptions!$A$18:K$29)+1)/1000</f>
        <v>-253.59546372907542</v>
      </c>
      <c r="Q283" s="203">
        <f>-1*($G43-Q43)*VLOOKUP($A283,Assumptions!$A$18:$N$29,COLUMNS(Assumptions!$A$18:L$29)+1)/1000</f>
        <v>-253.59546372907542</v>
      </c>
      <c r="R283" s="203">
        <f>-1*($G43-R43)*VLOOKUP($A283,Assumptions!$A$18:$N$29,COLUMNS(Assumptions!$A$18:M$29)+1)/1000</f>
        <v>-253.59546372907542</v>
      </c>
      <c r="S283" s="204">
        <f t="shared" si="26"/>
        <v>-1398.8668448581861</v>
      </c>
    </row>
    <row r="284" spans="1:19" ht="14">
      <c r="A284" s="185" t="s">
        <v>220</v>
      </c>
      <c r="B284" s="182" t="s">
        <v>56</v>
      </c>
      <c r="C284" s="231">
        <v>39938</v>
      </c>
      <c r="D284" s="211">
        <v>0.5</v>
      </c>
      <c r="E284" s="199"/>
      <c r="F284" s="211">
        <v>1</v>
      </c>
      <c r="G284" s="203">
        <f>-1*($G44-G44)*VLOOKUP($A284,Assumptions!$A$18:$N$29,COLUMNS(Assumptions!$A$18:B$29)+1)/1000</f>
        <v>0</v>
      </c>
      <c r="H284" s="203">
        <f>-1*($G44-H44)*VLOOKUP($A284,Assumptions!$A$18:$N$29,COLUMNS(Assumptions!$A$18:C$29)+1)/1000</f>
        <v>0</v>
      </c>
      <c r="I284" s="203">
        <f>-1*($G44-I44)*VLOOKUP($A284,Assumptions!$A$18:$N$29,COLUMNS(Assumptions!$A$18:D$29)+1)/1000</f>
        <v>0</v>
      </c>
      <c r="J284" s="203">
        <f>-1*($G44-J44)*VLOOKUP($A284,Assumptions!$A$18:$N$29,COLUMNS(Assumptions!$A$18:E$29)+1)/1000</f>
        <v>0</v>
      </c>
      <c r="K284" s="203">
        <f>-1*($G44-K44)*VLOOKUP($A284,Assumptions!$A$18:$N$29,COLUMNS(Assumptions!$A$18:F$29)+1)/1000</f>
        <v>0</v>
      </c>
      <c r="L284" s="203">
        <f>-1*($G44-L44)*VLOOKUP($A284,Assumptions!$A$18:$N$29,COLUMNS(Assumptions!$A$18:G$29)+1)/1000</f>
        <v>0</v>
      </c>
      <c r="M284" s="203">
        <f>-1*($G44-M44)*VLOOKUP($A284,Assumptions!$A$18:$N$29,COLUMNS(Assumptions!$A$18:H$29)+1)/1000</f>
        <v>0</v>
      </c>
      <c r="N284" s="203">
        <f>-1*($G44-N44)*VLOOKUP($A284,Assumptions!$A$18:$N$29,COLUMNS(Assumptions!$A$18:I$29)+1)/1000</f>
        <v>0</v>
      </c>
      <c r="O284" s="203">
        <f>-1*($G44-O44)*VLOOKUP($A284,Assumptions!$A$18:$N$29,COLUMNS(Assumptions!$A$18:J$29)+1)/1000</f>
        <v>0</v>
      </c>
      <c r="P284" s="203">
        <f>-1*($G44-P44)*VLOOKUP($A284,Assumptions!$A$18:$N$29,COLUMNS(Assumptions!$A$18:K$29)+1)/1000</f>
        <v>0</v>
      </c>
      <c r="Q284" s="203">
        <f>-1*($G44-Q44)*VLOOKUP($A284,Assumptions!$A$18:$N$29,COLUMNS(Assumptions!$A$18:L$29)+1)/1000</f>
        <v>0</v>
      </c>
      <c r="R284" s="203">
        <f>-1*($G44-R44)*VLOOKUP($A284,Assumptions!$A$18:$N$29,COLUMNS(Assumptions!$A$18:M$29)+1)/1000</f>
        <v>0</v>
      </c>
      <c r="S284" s="204">
        <f t="shared" si="26"/>
        <v>0</v>
      </c>
    </row>
    <row r="285" spans="1:19" ht="14">
      <c r="A285" s="185" t="s">
        <v>220</v>
      </c>
      <c r="B285" s="182" t="s">
        <v>93</v>
      </c>
      <c r="C285" s="231">
        <v>20404</v>
      </c>
      <c r="D285" s="212">
        <v>0</v>
      </c>
      <c r="E285" s="199">
        <v>1</v>
      </c>
      <c r="F285" s="211">
        <v>1</v>
      </c>
      <c r="G285" s="203">
        <f>-1*($G45-G45)*VLOOKUP($A285,Assumptions!$A$18:$N$29,COLUMNS(Assumptions!$A$18:B$29)+1)/1000</f>
        <v>0</v>
      </c>
      <c r="H285" s="203">
        <f>-1*($G45-H45)*VLOOKUP($A285,Assumptions!$A$18:$N$29,COLUMNS(Assumptions!$A$18:C$29)+1)/1000</f>
        <v>0</v>
      </c>
      <c r="I285" s="203">
        <f>-1*($G45-I45)*VLOOKUP($A285,Assumptions!$A$18:$N$29,COLUMNS(Assumptions!$A$18:D$29)+1)/1000</f>
        <v>0</v>
      </c>
      <c r="J285" s="203">
        <f>-1*($G45-J45)*VLOOKUP($A285,Assumptions!$A$18:$N$29,COLUMNS(Assumptions!$A$18:E$29)+1)/1000</f>
        <v>0</v>
      </c>
      <c r="K285" s="203">
        <f>-1*($G45-K45)*VLOOKUP($A285,Assumptions!$A$18:$N$29,COLUMNS(Assumptions!$A$18:F$29)+1)/1000</f>
        <v>0</v>
      </c>
      <c r="L285" s="203">
        <f>-1*($G45-L45)*VLOOKUP($A285,Assumptions!$A$18:$N$29,COLUMNS(Assumptions!$A$18:G$29)+1)/1000</f>
        <v>0</v>
      </c>
      <c r="M285" s="203">
        <f>-1*($G45-M45)*VLOOKUP($A285,Assumptions!$A$18:$N$29,COLUMNS(Assumptions!$A$18:H$29)+1)/1000</f>
        <v>0</v>
      </c>
      <c r="N285" s="203">
        <f>-1*($G45-N45)*VLOOKUP($A285,Assumptions!$A$18:$N$29,COLUMNS(Assumptions!$A$18:I$29)+1)/1000</f>
        <v>0</v>
      </c>
      <c r="O285" s="203">
        <f>-1*($G45-O45)*VLOOKUP($A285,Assumptions!$A$18:$N$29,COLUMNS(Assumptions!$A$18:J$29)+1)/1000</f>
        <v>0</v>
      </c>
      <c r="P285" s="203">
        <f>-1*($G45-P45)*VLOOKUP($A285,Assumptions!$A$18:$N$29,COLUMNS(Assumptions!$A$18:K$29)+1)/1000</f>
        <v>0</v>
      </c>
      <c r="Q285" s="203">
        <f>-1*($G45-Q45)*VLOOKUP($A285,Assumptions!$A$18:$N$29,COLUMNS(Assumptions!$A$18:L$29)+1)/1000</f>
        <v>-39.523510000000002</v>
      </c>
      <c r="R285" s="203">
        <f>-1*($G45-R45)*VLOOKUP($A285,Assumptions!$A$18:$N$29,COLUMNS(Assumptions!$A$18:M$29)+1)/1000</f>
        <v>-39.523510000000002</v>
      </c>
      <c r="S285" s="204">
        <f t="shared" si="26"/>
        <v>-79.047020000000003</v>
      </c>
    </row>
    <row r="286" spans="1:19" ht="14">
      <c r="A286" s="185" t="s">
        <v>221</v>
      </c>
      <c r="B286" s="182" t="s">
        <v>60</v>
      </c>
      <c r="C286" s="231">
        <v>1422</v>
      </c>
      <c r="D286" s="211">
        <v>1</v>
      </c>
      <c r="E286" s="199"/>
      <c r="F286" s="211">
        <v>1</v>
      </c>
      <c r="G286" s="203">
        <f>-1*($G46-G46)*VLOOKUP($A286,Assumptions!$A$18:$N$29,COLUMNS(Assumptions!$A$18:B$29)+1)/1000</f>
        <v>0</v>
      </c>
      <c r="H286" s="203">
        <f>-1*($G46-H46)*VLOOKUP($A286,Assumptions!$A$18:$N$29,COLUMNS(Assumptions!$A$18:C$29)+1)/1000</f>
        <v>0</v>
      </c>
      <c r="I286" s="203">
        <f>-1*($G46-I46)*VLOOKUP($A286,Assumptions!$A$18:$N$29,COLUMNS(Assumptions!$A$18:D$29)+1)/1000</f>
        <v>0</v>
      </c>
      <c r="J286" s="203">
        <f>-1*($G46-J46)*VLOOKUP($A286,Assumptions!$A$18:$N$29,COLUMNS(Assumptions!$A$18:E$29)+1)/1000</f>
        <v>0</v>
      </c>
      <c r="K286" s="203">
        <f>-1*($G46-K46)*VLOOKUP($A286,Assumptions!$A$18:$N$29,COLUMNS(Assumptions!$A$18:F$29)+1)/1000</f>
        <v>0</v>
      </c>
      <c r="L286" s="203">
        <f>-1*($G46-L46)*VLOOKUP($A286,Assumptions!$A$18:$N$29,COLUMNS(Assumptions!$A$18:G$29)+1)/1000</f>
        <v>0</v>
      </c>
      <c r="M286" s="203">
        <f>-1*($G46-M46)*VLOOKUP($A286,Assumptions!$A$18:$N$29,COLUMNS(Assumptions!$A$18:H$29)+1)/1000</f>
        <v>0</v>
      </c>
      <c r="N286" s="203">
        <f>-1*($G46-N46)*VLOOKUP($A286,Assumptions!$A$18:$N$29,COLUMNS(Assumptions!$A$18:I$29)+1)/1000</f>
        <v>0</v>
      </c>
      <c r="O286" s="203">
        <f>-1*($G46-O46)*VLOOKUP($A286,Assumptions!$A$18:$N$29,COLUMNS(Assumptions!$A$18:J$29)+1)/1000</f>
        <v>0</v>
      </c>
      <c r="P286" s="203">
        <f>-1*($G46-P46)*VLOOKUP($A286,Assumptions!$A$18:$N$29,COLUMNS(Assumptions!$A$18:K$29)+1)/1000</f>
        <v>0</v>
      </c>
      <c r="Q286" s="203">
        <f>-1*($G46-Q46)*VLOOKUP($A286,Assumptions!$A$18:$N$29,COLUMNS(Assumptions!$A$18:L$29)+1)/1000</f>
        <v>0</v>
      </c>
      <c r="R286" s="203">
        <f>-1*($G46-R46)*VLOOKUP($A286,Assumptions!$A$18:$N$29,COLUMNS(Assumptions!$A$18:M$29)+1)/1000</f>
        <v>0</v>
      </c>
      <c r="S286" s="204">
        <f t="shared" si="26"/>
        <v>0</v>
      </c>
    </row>
    <row r="287" spans="1:19" ht="14">
      <c r="A287" s="185" t="s">
        <v>220</v>
      </c>
      <c r="B287" s="182" t="s">
        <v>170</v>
      </c>
      <c r="C287" s="231">
        <v>17363.8</v>
      </c>
      <c r="D287" s="212">
        <v>0</v>
      </c>
      <c r="E287" s="199"/>
      <c r="F287" s="211">
        <v>1</v>
      </c>
      <c r="G287" s="203">
        <f>-1*($G47-G47)*VLOOKUP($A287,Assumptions!$A$18:$N$29,COLUMNS(Assumptions!$A$18:B$29)+1)/1000</f>
        <v>0</v>
      </c>
      <c r="H287" s="203">
        <f>-1*($G47-H47)*VLOOKUP($A287,Assumptions!$A$18:$N$29,COLUMNS(Assumptions!$A$18:C$29)+1)/1000</f>
        <v>-7.4718500000000008</v>
      </c>
      <c r="I287" s="203">
        <f>-1*($G47-I47)*VLOOKUP($A287,Assumptions!$A$18:$N$29,COLUMNS(Assumptions!$A$18:D$29)+1,0)/1000</f>
        <v>-7.4718500000000008</v>
      </c>
      <c r="J287" s="203">
        <f>-1*($G47-J47)*VLOOKUP($A287,Assumptions!$A$18:$N$29,COLUMNS(Assumptions!$A$18:E$29)+1)/1000</f>
        <v>-7.4718500000000008</v>
      </c>
      <c r="K287" s="203">
        <f>-1*($G47-K47)*VLOOKUP($A287,Assumptions!$A$18:$N$29,COLUMNS(Assumptions!$A$18:F$29)+1)/1000</f>
        <v>-7.4718500000000008</v>
      </c>
      <c r="L287" s="203">
        <f>-1*($G47-L47)*VLOOKUP($A287,Assumptions!$A$18:$N$29,COLUMNS(Assumptions!$A$18:G$29)+1)/1000</f>
        <v>-13.810040000000001</v>
      </c>
      <c r="M287" s="203">
        <f>-1*($G47-M47)*VLOOKUP($A287,Assumptions!$A$18:$N$29,COLUMNS(Assumptions!$A$18:H$29)+1)/1000</f>
        <v>-13.810040000000001</v>
      </c>
      <c r="N287" s="203">
        <f>-1*($G47-N47)*VLOOKUP($A287,Assumptions!$A$18:$N$29,COLUMNS(Assumptions!$A$18:I$29)+1)/1000</f>
        <v>-13.810040000000001</v>
      </c>
      <c r="O287" s="203">
        <f>-1*($G47-O47)*VLOOKUP($A287,Assumptions!$A$18:$N$29,COLUMNS(Assumptions!$A$18:J$29)+1)/1000</f>
        <v>-20.148229999999998</v>
      </c>
      <c r="P287" s="203">
        <f>-1*($G47-P47)*VLOOKUP($A287,Assumptions!$A$18:$N$29,COLUMNS(Assumptions!$A$18:K$29)+1)/1000</f>
        <v>-20.148229999999998</v>
      </c>
      <c r="Q287" s="203">
        <f>-1*($G47-Q47)*VLOOKUP($A287,Assumptions!$A$18:$N$29,COLUMNS(Assumptions!$A$18:L$29)+1)/1000</f>
        <v>-20.148229999999998</v>
      </c>
      <c r="R287" s="203">
        <f>-1*($G47-R47)*VLOOKUP($A287,Assumptions!$A$18:$N$29,COLUMNS(Assumptions!$A$18:M$29)+1)/1000</f>
        <v>-20.148229999999998</v>
      </c>
      <c r="S287" s="204">
        <f t="shared" si="26"/>
        <v>-151.91043999999999</v>
      </c>
    </row>
    <row r="288" spans="1:19" ht="14">
      <c r="A288" s="185" t="s">
        <v>222</v>
      </c>
      <c r="B288" s="182" t="s">
        <v>168</v>
      </c>
      <c r="C288" s="231">
        <v>24784</v>
      </c>
      <c r="D288" s="212">
        <v>0</v>
      </c>
      <c r="E288" s="199"/>
      <c r="F288" s="211">
        <v>1</v>
      </c>
      <c r="G288" s="203">
        <f>-1*($G48-G48)*VLOOKUP($A288,Assumptions!$A$18:$N$29,COLUMNS(Assumptions!$A$18:B$29)+1)/1000</f>
        <v>0</v>
      </c>
      <c r="H288" s="203">
        <f>-1*($G48-H48)*VLOOKUP($A288,Assumptions!$A$18:$N$29,COLUMNS(Assumptions!$A$18:C$29)+1)/1000</f>
        <v>0</v>
      </c>
      <c r="I288" s="203">
        <f>-1*($G48-I48)*VLOOKUP($A288,Assumptions!$A$18:$N$29,COLUMNS(Assumptions!$A$18:D$29)+1)/1000</f>
        <v>0</v>
      </c>
      <c r="J288" s="203">
        <f>-1*($G48-J48)*VLOOKUP($A288,Assumptions!$A$18:$N$29,COLUMNS(Assumptions!$A$18:E$29)+1)/1000</f>
        <v>0</v>
      </c>
      <c r="K288" s="203">
        <f>-1*($G48-K48)*VLOOKUP($A288,Assumptions!$A$18:$N$29,COLUMNS(Assumptions!$A$18:F$29)+1)/1000</f>
        <v>0</v>
      </c>
      <c r="L288" s="203">
        <f>-1*($G48-L48)*VLOOKUP($A288,Assumptions!$A$18:$N$29,COLUMNS(Assumptions!$A$18:G$29)+1)/1000</f>
        <v>0</v>
      </c>
      <c r="M288" s="203">
        <f>-1*($G48-M48)*VLOOKUP($A288,Assumptions!$A$18:$N$29,COLUMNS(Assumptions!$A$18:H$29)+1)/1000</f>
        <v>0</v>
      </c>
      <c r="N288" s="203">
        <f>-1*($G48-N48)*VLOOKUP($A288,Assumptions!$A$18:$N$29,COLUMNS(Assumptions!$A$18:I$29)+1)/1000</f>
        <v>0</v>
      </c>
      <c r="O288" s="203">
        <f>-1*($G48-O48)*VLOOKUP($A288,Assumptions!$A$18:$N$29,COLUMNS(Assumptions!$A$18:J$29)+1)/1000</f>
        <v>0</v>
      </c>
      <c r="P288" s="203">
        <f>-1*($G48-P48)*VLOOKUP($A288,Assumptions!$A$18:$N$29,COLUMNS(Assumptions!$A$18:K$29)+1)/1000</f>
        <v>0</v>
      </c>
      <c r="Q288" s="203">
        <f>-1*($G48-Q48)*VLOOKUP($A288,Assumptions!$A$18:$N$29,COLUMNS(Assumptions!$A$18:L$29)+1)/1000</f>
        <v>0</v>
      </c>
      <c r="R288" s="203">
        <f>-1*($G48-R48)*VLOOKUP($A288,Assumptions!$A$18:$N$29,COLUMNS(Assumptions!$A$18:M$29)+1)/1000</f>
        <v>0</v>
      </c>
      <c r="S288" s="204">
        <f t="shared" si="26"/>
        <v>0</v>
      </c>
    </row>
    <row r="289" spans="1:19" ht="14">
      <c r="A289" s="185" t="s">
        <v>220</v>
      </c>
      <c r="B289" s="182" t="s">
        <v>123</v>
      </c>
      <c r="C289" s="231">
        <v>23555.5</v>
      </c>
      <c r="D289" s="211">
        <v>0</v>
      </c>
      <c r="E289" s="199"/>
      <c r="F289" s="211">
        <v>1</v>
      </c>
      <c r="G289" s="203">
        <f>-1*($G49-G49)*VLOOKUP($A289,Assumptions!$A$18:$N$29,COLUMNS(Assumptions!$A$18:B$29)+1)/1000</f>
        <v>0</v>
      </c>
      <c r="H289" s="203">
        <f>-1*($G49-H49)*VLOOKUP($A289,Assumptions!$A$18:$N$29,COLUMNS(Assumptions!$A$18:C$29)+1)/1000</f>
        <v>0</v>
      </c>
      <c r="I289" s="203">
        <f>-1*($G49-I49)*VLOOKUP($A289,Assumptions!$A$18:$N$29,COLUMNS(Assumptions!$A$18:D$29)+1)/1000</f>
        <v>0</v>
      </c>
      <c r="J289" s="203">
        <f>-1*($G49-J49)*VLOOKUP($A289,Assumptions!$A$18:$N$29,COLUMNS(Assumptions!$A$18:E$29)+1)/1000</f>
        <v>0</v>
      </c>
      <c r="K289" s="203">
        <f>-1*($G49-K49)*VLOOKUP($A289,Assumptions!$A$18:$N$29,COLUMNS(Assumptions!$A$18:F$29)+1)/1000</f>
        <v>0</v>
      </c>
      <c r="L289" s="203">
        <f>-1*($G49-L49)*VLOOKUP($A289,Assumptions!$A$18:$N$29,COLUMNS(Assumptions!$A$18:G$29)+1)/1000</f>
        <v>0</v>
      </c>
      <c r="M289" s="203">
        <f>-1*($G49-M49)*VLOOKUP($A289,Assumptions!$A$18:$N$29,COLUMNS(Assumptions!$A$18:H$29)+1)/1000</f>
        <v>0</v>
      </c>
      <c r="N289" s="203">
        <f>-1*($G49-N49)*VLOOKUP($A289,Assumptions!$A$18:$N$29,COLUMNS(Assumptions!$A$18:I$29)+1)/1000</f>
        <v>0</v>
      </c>
      <c r="O289" s="203">
        <f>-1*($G49-O49)*VLOOKUP($A289,Assumptions!$A$18:$N$29,COLUMNS(Assumptions!$A$18:J$29)+1)/1000</f>
        <v>0</v>
      </c>
      <c r="P289" s="203">
        <f>-1*($G49-P49)*VLOOKUP($A289,Assumptions!$A$18:$N$29,COLUMNS(Assumptions!$A$18:K$29)+1)/1000</f>
        <v>0</v>
      </c>
      <c r="Q289" s="203">
        <f>-1*($G49-Q49)*VLOOKUP($A289,Assumptions!$A$18:$N$29,COLUMNS(Assumptions!$A$18:L$29)+1)/1000</f>
        <v>0</v>
      </c>
      <c r="R289" s="203">
        <f>-1*($G49-R49)*VLOOKUP($A289,Assumptions!$A$18:$N$29,COLUMNS(Assumptions!$A$18:M$29)+1)/1000</f>
        <v>0</v>
      </c>
      <c r="S289" s="204">
        <f t="shared" si="26"/>
        <v>0</v>
      </c>
    </row>
    <row r="290" spans="1:19" ht="14">
      <c r="A290" s="185" t="s">
        <v>223</v>
      </c>
      <c r="B290" s="182" t="s">
        <v>64</v>
      </c>
      <c r="C290" s="231">
        <v>61127</v>
      </c>
      <c r="D290" s="211">
        <v>0.5</v>
      </c>
      <c r="E290" s="199"/>
      <c r="F290" s="211"/>
      <c r="G290" s="203">
        <f>-1*($G50-G50)*VLOOKUP($A290,Assumptions!$A$18:$N$29,COLUMNS(Assumptions!$A$18:B$29)+1)/1000</f>
        <v>0</v>
      </c>
      <c r="H290" s="203">
        <f>-1*($G50-H50)*VLOOKUP($A290,Assumptions!$A$18:$N$29,COLUMNS(Assumptions!$A$18:C$29)+1)/1000</f>
        <v>0</v>
      </c>
      <c r="I290" s="203">
        <f>-1*($G50-I50)*VLOOKUP($A290,Assumptions!$A$18:$N$29,COLUMNS(Assumptions!$A$18:D$29)+1)/1000</f>
        <v>0</v>
      </c>
      <c r="J290" s="203">
        <f>-1*($G50-J50)*VLOOKUP($A290,Assumptions!$A$18:$N$29,COLUMNS(Assumptions!$A$18:E$29)+1)/1000</f>
        <v>0</v>
      </c>
      <c r="K290" s="203">
        <f>-1*($G50-K50)*VLOOKUP($A290,Assumptions!$A$18:$N$29,COLUMNS(Assumptions!$A$18:F$29)+1)/1000</f>
        <v>0</v>
      </c>
      <c r="L290" s="203">
        <f>-1*($G50-L50)*VLOOKUP($A290,Assumptions!$A$18:$N$29,COLUMNS(Assumptions!$A$18:G$29)+1)/1000</f>
        <v>0</v>
      </c>
      <c r="M290" s="203">
        <f>-1*($G50-M50)*VLOOKUP($A290,Assumptions!$A$18:$N$29,COLUMNS(Assumptions!$A$18:H$29)+1)/1000</f>
        <v>-88.322419999999994</v>
      </c>
      <c r="N290" s="203">
        <f>-1*($G50-N50)*VLOOKUP($A290,Assumptions!$A$18:$N$29,COLUMNS(Assumptions!$A$18:I$29)+1)/1000</f>
        <v>-88.322419999999994</v>
      </c>
      <c r="O290" s="203">
        <f>-1*($G50-O50)*VLOOKUP($A290,Assumptions!$A$18:$N$29,COLUMNS(Assumptions!$A$18:J$29)+1)/1000</f>
        <v>-88.322419999999994</v>
      </c>
      <c r="P290" s="203">
        <f>-1*($G50-P50)*VLOOKUP($A290,Assumptions!$A$18:$N$29,COLUMNS(Assumptions!$A$18:K$29)+1)/1000</f>
        <v>-88.322419999999994</v>
      </c>
      <c r="Q290" s="203">
        <f>-1*($G50-Q50)*VLOOKUP($A290,Assumptions!$A$18:$N$29,COLUMNS(Assumptions!$A$18:L$29)+1)/1000</f>
        <v>-88.322419999999994</v>
      </c>
      <c r="R290" s="203">
        <f>-1*($G50-R50)*VLOOKUP($A290,Assumptions!$A$18:$N$29,COLUMNS(Assumptions!$A$18:M$29)+1)/1000</f>
        <v>-88.322419999999994</v>
      </c>
      <c r="S290" s="204">
        <f t="shared" si="26"/>
        <v>-529.93451999999991</v>
      </c>
    </row>
    <row r="291" spans="1:19" ht="14">
      <c r="A291" s="185" t="s">
        <v>220</v>
      </c>
      <c r="B291" s="182" t="s">
        <v>95</v>
      </c>
      <c r="C291" s="231">
        <v>41253</v>
      </c>
      <c r="D291" s="212">
        <v>0</v>
      </c>
      <c r="E291" s="199">
        <v>0.5</v>
      </c>
      <c r="F291" s="211"/>
      <c r="G291" s="203">
        <f>-1*($G51-G51)*VLOOKUP($A291,Assumptions!$A$18:$N$29,COLUMNS(Assumptions!$A$18:B$29)+1)/1000</f>
        <v>0</v>
      </c>
      <c r="H291" s="203">
        <f>-1*($G51-H51)*VLOOKUP($A291,Assumptions!$A$18:$N$29,COLUMNS(Assumptions!$A$18:C$29)+1)/1000</f>
        <v>0</v>
      </c>
      <c r="I291" s="203">
        <f>-1*($G51-I51)*VLOOKUP($A291,Assumptions!$A$18:$N$29,COLUMNS(Assumptions!$A$18:D$29)+1)/1000</f>
        <v>0</v>
      </c>
      <c r="J291" s="203">
        <f>-1*($G51-J51)*VLOOKUP($A291,Assumptions!$A$18:$N$29,COLUMNS(Assumptions!$A$18:E$29)+1)/1000</f>
        <v>0</v>
      </c>
      <c r="K291" s="203">
        <f>-1*($G51-K51)*VLOOKUP($A291,Assumptions!$A$18:$N$29,COLUMNS(Assumptions!$A$18:F$29)+1)/1000</f>
        <v>0</v>
      </c>
      <c r="L291" s="203">
        <f>-1*($G51-L51)*VLOOKUP($A291,Assumptions!$A$18:$N$29,COLUMNS(Assumptions!$A$18:G$29)+1)/1000</f>
        <v>0</v>
      </c>
      <c r="M291" s="203">
        <f>-1*($G51-M51)*VLOOKUP($A291,Assumptions!$A$18:$N$29,COLUMNS(Assumptions!$A$18:H$29)+1)/1000</f>
        <v>0</v>
      </c>
      <c r="N291" s="203">
        <f>-1*($G51-N51)*VLOOKUP($A291,Assumptions!$A$18:$N$29,COLUMNS(Assumptions!$A$18:I$29)+1)/1000</f>
        <v>0</v>
      </c>
      <c r="O291" s="203">
        <f>-1*($G51-O51)*VLOOKUP($A291,Assumptions!$A$18:$N$29,COLUMNS(Assumptions!$A$18:J$29)+1)/1000</f>
        <v>0</v>
      </c>
      <c r="P291" s="203">
        <f>-1*($G51-P51)*VLOOKUP($A291,Assumptions!$A$18:$N$29,COLUMNS(Assumptions!$A$18:K$29)+1)/1000</f>
        <v>0</v>
      </c>
      <c r="Q291" s="203">
        <f>-1*($G51-Q51)*VLOOKUP($A291,Assumptions!$A$18:$N$29,COLUMNS(Assumptions!$A$18:L$29)+1)/1000</f>
        <v>0</v>
      </c>
      <c r="R291" s="203">
        <f>-1*($G51-R51)*VLOOKUP($A291,Assumptions!$A$18:$N$29,COLUMNS(Assumptions!$A$18:M$29)+1)/1000</f>
        <v>0</v>
      </c>
      <c r="S291" s="204">
        <f t="shared" si="26"/>
        <v>0</v>
      </c>
    </row>
    <row r="292" spans="1:19" ht="14">
      <c r="A292" s="185" t="s">
        <v>220</v>
      </c>
      <c r="B292" s="198" t="s">
        <v>133</v>
      </c>
      <c r="C292" s="231">
        <v>8227.2000000000007</v>
      </c>
      <c r="D292" s="212">
        <v>0</v>
      </c>
      <c r="E292" s="199"/>
      <c r="F292" s="211">
        <v>1</v>
      </c>
      <c r="G292" s="203">
        <f>-1*($G52-G52)*VLOOKUP($A292,Assumptions!$A$18:$N$29,COLUMNS(Assumptions!$A$18:B$29)+1)/1000</f>
        <v>0</v>
      </c>
      <c r="H292" s="203">
        <f>-1*($G52-H52)*VLOOKUP($A292,Assumptions!$A$18:$N$29,COLUMNS(Assumptions!$A$18:C$29)+1)/1000</f>
        <v>0</v>
      </c>
      <c r="I292" s="203">
        <f>-1*($G52-I52)*VLOOKUP($A292,Assumptions!$A$18:$N$29,COLUMNS(Assumptions!$A$18:D$29)+1)/1000</f>
        <v>0</v>
      </c>
      <c r="J292" s="203">
        <f>-1*($G52-J52)*VLOOKUP($A292,Assumptions!$A$18:$N$29,COLUMNS(Assumptions!$A$18:E$29)+1)/1000</f>
        <v>0</v>
      </c>
      <c r="K292" s="203">
        <f>-1*($G52-K52)*VLOOKUP($A292,Assumptions!$A$18:$N$29,COLUMNS(Assumptions!$A$18:F$29)+1)/1000</f>
        <v>0</v>
      </c>
      <c r="L292" s="203">
        <f>-1*($G52-L52)*VLOOKUP($A292,Assumptions!$A$18:$N$29,COLUMNS(Assumptions!$A$18:G$29)+1)/1000</f>
        <v>0</v>
      </c>
      <c r="M292" s="203">
        <f>-1*($G52-M52)*VLOOKUP($A292,Assumptions!$A$18:$N$29,COLUMNS(Assumptions!$A$18:H$29)+1)/1000</f>
        <v>0</v>
      </c>
      <c r="N292" s="203">
        <f>-1*($G52-N52)*VLOOKUP($A292,Assumptions!$A$18:$N$29,COLUMNS(Assumptions!$A$18:I$29)+1)/1000</f>
        <v>0</v>
      </c>
      <c r="O292" s="203">
        <f>-1*($G52-O52)*VLOOKUP($A292,Assumptions!$A$18:$N$29,COLUMNS(Assumptions!$A$18:J$29)+1)/1000</f>
        <v>0</v>
      </c>
      <c r="P292" s="203">
        <f>-1*($G52-P52)*VLOOKUP($A292,Assumptions!$A$18:$N$29,COLUMNS(Assumptions!$A$18:K$29)+1)/1000</f>
        <v>0</v>
      </c>
      <c r="Q292" s="203">
        <f>-1*($G52-Q52)*VLOOKUP($A292,Assumptions!$A$18:$N$29,COLUMNS(Assumptions!$A$18:L$29)+1)/1000</f>
        <v>0</v>
      </c>
      <c r="R292" s="203">
        <f>-1*($G52-R52)*VLOOKUP($A292,Assumptions!$A$18:$N$29,COLUMNS(Assumptions!$A$18:M$29)+1)/1000</f>
        <v>0</v>
      </c>
      <c r="S292" s="204">
        <f t="shared" si="26"/>
        <v>0</v>
      </c>
    </row>
    <row r="293" spans="1:19" ht="14">
      <c r="A293" s="185" t="s">
        <v>224</v>
      </c>
      <c r="B293" s="198" t="s">
        <v>140</v>
      </c>
      <c r="C293" s="231">
        <v>20861</v>
      </c>
      <c r="D293" s="212">
        <v>1</v>
      </c>
      <c r="E293" s="199"/>
      <c r="F293" s="211">
        <v>0</v>
      </c>
      <c r="G293" s="203">
        <f>-1*($G53-G53)*VLOOKUP($A293,Assumptions!$A$18:$N$29,COLUMNS(Assumptions!$A$18:B$29)+1,0)/1000</f>
        <v>0</v>
      </c>
      <c r="H293" s="203">
        <f>-1*($G53-H53)*VLOOKUP($A293,Assumptions!$A$18:$N$29,COLUMNS(Assumptions!$A$18:C$29)+1,0)/1000</f>
        <v>0</v>
      </c>
      <c r="I293" s="203">
        <f>-1*($G53-I53)*VLOOKUP($A293,Assumptions!$A$18:$N$29,COLUMNS(Assumptions!$A$18:D$29)+1,0)/1000</f>
        <v>0</v>
      </c>
      <c r="J293" s="203">
        <f>-1*($G53-J53)*VLOOKUP($A293,Assumptions!$A$18:$N$29,COLUMNS(Assumptions!$A$18:E$29)+1,0)/1000</f>
        <v>0</v>
      </c>
      <c r="K293" s="203">
        <f>-1*($G53-K53)*VLOOKUP($A293,Assumptions!$A$18:$N$29,COLUMNS(Assumptions!$A$18:F$29)+1,0)/1000</f>
        <v>0</v>
      </c>
      <c r="L293" s="203">
        <f>-1*($G53-L53)*VLOOKUP($A293,Assumptions!$A$18:$N$29,COLUMNS(Assumptions!$A$18:G$29)+1,0)/1000</f>
        <v>0</v>
      </c>
      <c r="M293" s="203">
        <f>-1*($G53-M53)*VLOOKUP($A293,Assumptions!$A$18:$N$29,COLUMNS(Assumptions!$A$18:H$29)+1,0)/1000</f>
        <v>0</v>
      </c>
      <c r="N293" s="203">
        <f>-1*($G53-N53)*VLOOKUP($A293,Assumptions!$A$18:$N$29,COLUMNS(Assumptions!$A$18:I$29)+1,0)/1000</f>
        <v>0</v>
      </c>
      <c r="O293" s="203">
        <f>-1*($G53-O53)*VLOOKUP($A293,Assumptions!$A$18:$N$29,COLUMNS(Assumptions!$A$18:J$29)+1,0)/1000</f>
        <v>0</v>
      </c>
      <c r="P293" s="203">
        <f>-1*($G53-P53)*VLOOKUP($A293,Assumptions!$A$18:$N$29,COLUMNS(Assumptions!$A$18:K$29)+1,0)/1000</f>
        <v>0</v>
      </c>
      <c r="Q293" s="203">
        <f>-1*($G53-Q53)*VLOOKUP($A293,Assumptions!$A$18:$N$29,COLUMNS(Assumptions!$A$18:L$29)+1,0)/1000</f>
        <v>0</v>
      </c>
      <c r="R293" s="203">
        <f>-1*($G53-R53)*VLOOKUP($A293,Assumptions!$A$18:$N$29,COLUMNS(Assumptions!$A$18:M$29)+1,0)/1000</f>
        <v>0</v>
      </c>
      <c r="S293" s="204">
        <f t="shared" si="26"/>
        <v>0</v>
      </c>
    </row>
    <row r="294" spans="1:19" ht="14">
      <c r="A294" s="185" t="s">
        <v>221</v>
      </c>
      <c r="B294" s="182" t="s">
        <v>166</v>
      </c>
      <c r="C294" s="231">
        <v>15723.1</v>
      </c>
      <c r="D294" s="212">
        <v>0</v>
      </c>
      <c r="E294" s="199"/>
      <c r="F294" s="211">
        <v>1</v>
      </c>
      <c r="G294" s="203">
        <f>-1*($G54-G54)*VLOOKUP($A294,Assumptions!$A$18:$N$29,COLUMNS(Assumptions!$A$18:B$29)+1)/1000</f>
        <v>0</v>
      </c>
      <c r="H294" s="203">
        <f>-1*($G54-H54)*VLOOKUP($A294,Assumptions!$A$18:$N$29,COLUMNS(Assumptions!$A$18:C$29)+1)/1000</f>
        <v>-7.6728170000000047</v>
      </c>
      <c r="I294" s="203">
        <f>-1*($G54-I54)*VLOOKUP($A294,Assumptions!$A$18:$N$29,COLUMNS(Assumptions!$A$18:D$29)+1)/1000</f>
        <v>-7.6728170000000047</v>
      </c>
      <c r="J294" s="203">
        <f>-1*($G54-J54)*VLOOKUP($A294,Assumptions!$A$18:$N$29,COLUMNS(Assumptions!$A$18:E$29)+1)/1000</f>
        <v>-21.493162999999996</v>
      </c>
      <c r="K294" s="203">
        <f>-1*($G54-K54)*VLOOKUP($A294,Assumptions!$A$18:$N$29,COLUMNS(Assumptions!$A$18:F$29)+1)/1000</f>
        <v>-38.766019</v>
      </c>
      <c r="L294" s="203">
        <f>-1*($G54-L54)*VLOOKUP($A294,Assumptions!$A$18:$N$29,COLUMNS(Assumptions!$A$18:G$29)+1)/1000</f>
        <v>-38.766019</v>
      </c>
      <c r="M294" s="203">
        <f>-1*($G54-M54)*VLOOKUP($A294,Assumptions!$A$18:$N$29,COLUMNS(Assumptions!$A$18:H$29)+1)/1000</f>
        <v>-38.766019</v>
      </c>
      <c r="N294" s="203">
        <f>-1*($G54-N54)*VLOOKUP($A294,Assumptions!$A$18:$N$29,COLUMNS(Assumptions!$A$18:I$29)+1)/1000</f>
        <v>-38.766019</v>
      </c>
      <c r="O294" s="203">
        <f>-1*($G54-O54)*VLOOKUP($A294,Assumptions!$A$18:$N$29,COLUMNS(Assumptions!$A$18:J$29)+1)/1000</f>
        <v>-40.492273999999995</v>
      </c>
      <c r="P294" s="203">
        <f>-1*($G54-P54)*VLOOKUP($A294,Assumptions!$A$18:$N$29,COLUMNS(Assumptions!$A$18:K$29)+1)/1000</f>
        <v>-40.492273999999995</v>
      </c>
      <c r="Q294" s="203">
        <f>-1*($G54-Q54)*VLOOKUP($A294,Assumptions!$A$18:$N$29,COLUMNS(Assumptions!$A$18:L$29)+1)/1000</f>
        <v>-40.492273999999995</v>
      </c>
      <c r="R294" s="203">
        <f>-1*($G54-R54)*VLOOKUP($A294,Assumptions!$A$18:$N$29,COLUMNS(Assumptions!$A$18:M$29)+1)/1000</f>
        <v>-40.492273999999995</v>
      </c>
      <c r="S294" s="204">
        <f t="shared" si="26"/>
        <v>-353.87196900000004</v>
      </c>
    </row>
    <row r="295" spans="1:19" ht="14.5" thickBot="1">
      <c r="A295" s="185" t="s">
        <v>220</v>
      </c>
      <c r="B295" s="182" t="s">
        <v>67</v>
      </c>
      <c r="C295" s="231">
        <v>12837.7</v>
      </c>
      <c r="D295" s="211">
        <v>0</v>
      </c>
      <c r="E295" s="199"/>
      <c r="F295" s="211">
        <v>1</v>
      </c>
      <c r="G295" s="203">
        <f>-1*($G55-G55)*VLOOKUP($A295,Assumptions!$A$18:$N$29,COLUMNS(Assumptions!$A$18:B$29)+1)/1000</f>
        <v>0</v>
      </c>
      <c r="H295" s="203">
        <f>-1*($G55-H55)*VLOOKUP($A295,Assumptions!$A$18:$N$29,COLUMNS(Assumptions!$A$18:C$29)+1)/1000</f>
        <v>0</v>
      </c>
      <c r="I295" s="203">
        <f>-1*($G55-I55)*VLOOKUP($A295,Assumptions!$A$18:$N$29,COLUMNS(Assumptions!$A$18:D$29)+1)/1000</f>
        <v>0</v>
      </c>
      <c r="J295" s="203">
        <f>-1*($G55-J55)*VLOOKUP($A295,Assumptions!$A$18:$N$29,COLUMNS(Assumptions!$A$18:E$29)+1)/1000</f>
        <v>0</v>
      </c>
      <c r="K295" s="203">
        <f>-1*($G55-K55)*VLOOKUP($A295,Assumptions!$A$18:$N$29,COLUMNS(Assumptions!$A$18:F$29)+1)/1000</f>
        <v>-5.1749517799999971</v>
      </c>
      <c r="L295" s="203">
        <f>-1*($G55-L55)*VLOOKUP($A295,Assumptions!$A$18:$N$29,COLUMNS(Assumptions!$A$18:G$29)+1)/1000</f>
        <v>-5.1749517799999971</v>
      </c>
      <c r="M295" s="203">
        <f>-1*($G55-M55)*VLOOKUP($A295,Assumptions!$A$18:$N$29,COLUMNS(Assumptions!$A$18:H$29)+1)/1000</f>
        <v>-5.1749517799999971</v>
      </c>
      <c r="N295" s="203">
        <f>-1*($G55-N55)*VLOOKUP($A295,Assumptions!$A$18:$N$29,COLUMNS(Assumptions!$A$18:I$29)+1)/1000</f>
        <v>-5.1749517799999971</v>
      </c>
      <c r="O295" s="203">
        <f>-1*($G55-O55)*VLOOKUP($A295,Assumptions!$A$18:$N$29,COLUMNS(Assumptions!$A$18:J$29)+1)/1000</f>
        <v>-5.1749517799999971</v>
      </c>
      <c r="P295" s="203">
        <f>-1*($G55-P55)*VLOOKUP($A295,Assumptions!$A$18:$N$29,COLUMNS(Assumptions!$A$18:K$29)+1)/1000</f>
        <v>-58.098271449999999</v>
      </c>
      <c r="Q295" s="203">
        <f>-1*($G55-Q55)*VLOOKUP($A295,Assumptions!$A$18:$N$29,COLUMNS(Assumptions!$A$18:L$29)+1)/1000</f>
        <v>-58.098271449999999</v>
      </c>
      <c r="R295" s="203">
        <f>-1*($G55-R55)*VLOOKUP($A295,Assumptions!$A$18:$N$29,COLUMNS(Assumptions!$A$18:M$29)+1)/1000</f>
        <v>-58.098271449999999</v>
      </c>
      <c r="S295" s="204">
        <f t="shared" si="26"/>
        <v>-200.16957324999998</v>
      </c>
    </row>
    <row r="296" spans="1:19" ht="13" thickTop="1">
      <c r="G296" s="261">
        <f t="shared" ref="G296:P296" si="27">SUBTOTAL(109,G273:G295)</f>
        <v>0</v>
      </c>
      <c r="H296" s="261">
        <f t="shared" si="27"/>
        <v>-36.671232306599329</v>
      </c>
      <c r="I296" s="261">
        <f t="shared" si="27"/>
        <v>-36.671232306599329</v>
      </c>
      <c r="J296" s="261">
        <f t="shared" si="27"/>
        <v>-96.16782009403893</v>
      </c>
      <c r="K296" s="261">
        <f t="shared" si="27"/>
        <v>-143.76226787403894</v>
      </c>
      <c r="L296" s="261">
        <f t="shared" si="27"/>
        <v>-200.60019382477606</v>
      </c>
      <c r="M296" s="261">
        <f t="shared" si="27"/>
        <v>-319.40581629651513</v>
      </c>
      <c r="N296" s="261">
        <f t="shared" si="27"/>
        <v>-524.75286629651509</v>
      </c>
      <c r="O296" s="261">
        <f t="shared" si="27"/>
        <v>-656.02189021761001</v>
      </c>
      <c r="P296" s="261">
        <f t="shared" si="27"/>
        <v>-732.13370988760994</v>
      </c>
      <c r="Q296" s="261">
        <f>SUBTOTAL(109,Q273:Q295)</f>
        <v>-790.20801988760991</v>
      </c>
      <c r="R296" s="261">
        <f>SUBTOTAL(109,R273:R295)</f>
        <v>-819.92381917907528</v>
      </c>
      <c r="S296" s="261">
        <f>SUBTOTAL(109,S273:S295)</f>
        <v>-4356.318868170988</v>
      </c>
    </row>
    <row r="300" spans="1:19" ht="18" thickBot="1">
      <c r="A300" s="196" t="s">
        <v>226</v>
      </c>
    </row>
    <row r="301" spans="1:19" ht="15" thickTop="1" thickBot="1">
      <c r="A301" s="184" t="s">
        <v>6</v>
      </c>
      <c r="B301" s="184" t="s">
        <v>7</v>
      </c>
      <c r="C301" s="184" t="s">
        <v>9</v>
      </c>
      <c r="D301" s="184" t="s">
        <v>10</v>
      </c>
      <c r="E301" s="184" t="s">
        <v>11</v>
      </c>
      <c r="F301" s="184" t="s">
        <v>12</v>
      </c>
      <c r="G301" s="184" t="s">
        <v>188</v>
      </c>
      <c r="H301" s="184" t="s">
        <v>189</v>
      </c>
      <c r="I301" s="184" t="s">
        <v>190</v>
      </c>
      <c r="J301" s="184" t="s">
        <v>191</v>
      </c>
      <c r="K301" s="184" t="s">
        <v>192</v>
      </c>
      <c r="L301" s="184" t="s">
        <v>193</v>
      </c>
      <c r="M301" s="184" t="s">
        <v>194</v>
      </c>
      <c r="N301" s="184" t="s">
        <v>195</v>
      </c>
      <c r="O301" s="184" t="s">
        <v>196</v>
      </c>
      <c r="P301" s="184" t="s">
        <v>197</v>
      </c>
      <c r="Q301" s="184" t="s">
        <v>198</v>
      </c>
      <c r="R301" s="184" t="s">
        <v>199</v>
      </c>
      <c r="S301" s="200" t="s">
        <v>84</v>
      </c>
    </row>
    <row r="302" spans="1:19" ht="14.5" thickTop="1">
      <c r="A302" s="185" t="s">
        <v>30</v>
      </c>
      <c r="B302" s="198" t="s">
        <v>31</v>
      </c>
      <c r="C302" s="228">
        <v>29166</v>
      </c>
      <c r="D302" s="211">
        <v>1</v>
      </c>
      <c r="E302" s="199"/>
      <c r="F302" s="211">
        <v>1</v>
      </c>
      <c r="G302" s="203">
        <f>(G4)*((VLOOKUP($A302,Assumptions!$A$4:$N$14,COLUMNS(Assumptions!$A$4:B14)+1,0))-(VLOOKUP($A244,Assumptions!$A$4:$N$14,COLUMNS(Assumptions!$A$4:B14)+1,0)))</f>
        <v>0</v>
      </c>
      <c r="H302" s="203">
        <f>(H4)*((VLOOKUP($A302,Assumptions!$A$4:$N$14,COLUMNS(Assumptions!$A$4:C$14)+1,0))-(VLOOKUP($A244,Assumptions!$A$4:$N$14,COLUMNS(Assumptions!$A$4:C$14)+1,0)))</f>
        <v>-1339.16902</v>
      </c>
      <c r="I302" s="203">
        <f>(I4)*((VLOOKUP($A302,Assumptions!$A$4:$N$14,COLUMNS(Assumptions!$A$4:D$14)+1,0))-(VLOOKUP($A244,Assumptions!$A$4:$N$14,COLUMNS(Assumptions!$A$4:D$14)+1,0)))</f>
        <v>-1317.5112999999999</v>
      </c>
      <c r="J302" s="203">
        <f>(J4)*((VLOOKUP($A302,Assumptions!$A$4:$N$14,COLUMNS(Assumptions!$A$4:E$14)+1,0))-(VLOOKUP($A244,Assumptions!$A$4:$N$14,COLUMNS(Assumptions!$A$4:E$14)+1,0)))</f>
        <v>-837.30421999999999</v>
      </c>
      <c r="K302" s="203">
        <f>(K4)*((VLOOKUP($A302,Assumptions!$A$4:$N$14,COLUMNS(Assumptions!$A$4:F$14)+1,0))-(VLOOKUP($A244,Assumptions!$A$4:$N$14,COLUMNS(Assumptions!$A$4:F$14)+1,0)))</f>
        <v>-758.04143999999997</v>
      </c>
      <c r="L302" s="203">
        <f>(L4)*((VLOOKUP($A302,Assumptions!$A$4:$N$14,COLUMNS(Assumptions!$A$4:G$14)+1,0))-(VLOOKUP($A244,Assumptions!$A$4:$N$14,COLUMNS(Assumptions!$A$4:G$14)+1,0)))</f>
        <v>-653.56106999999997</v>
      </c>
      <c r="M302" s="203">
        <f>(M4)*((VLOOKUP($A302,Assumptions!$A$4:$N$14,COLUMNS(Assumptions!$A$4:H$14)+1,0))-(VLOOKUP($A244,Assumptions!$A$4:$N$14,COLUMNS(Assumptions!$A$4:H$14)+1,0)))</f>
        <v>-549.61260000000004</v>
      </c>
      <c r="N302" s="203">
        <f>(N4)*((VLOOKUP($A302,Assumptions!$A$4:$N$14,COLUMNS(Assumptions!$A$4:I$14)+1,0))-(VLOOKUP($A244,Assumptions!$A$4:$N$14,COLUMNS(Assumptions!$A$4:I$14)+1,0)))</f>
        <v>-453.78222999999997</v>
      </c>
      <c r="O302" s="203">
        <f>(O4)*((VLOOKUP($A302,Assumptions!$A$4:$N$14,COLUMNS(Assumptions!$A$4:J$14)+1,0))-(VLOOKUP($A244,Assumptions!$A$4:$N$14,COLUMNS(Assumptions!$A$4:J$14)+1,0)))</f>
        <v>-339.56324999999998</v>
      </c>
      <c r="P302" s="203">
        <f>(P4)*((VLOOKUP($A302,Assumptions!$A$4:$N$14,COLUMNS(Assumptions!$A$4:K$14)+1,0))-(VLOOKUP($A244,Assumptions!$A$4:$N$14,COLUMNS(Assumptions!$A$4:K$14)+1,0)))</f>
        <v>-300.90527999999995</v>
      </c>
      <c r="Q302" s="203">
        <f>(Q4)*((VLOOKUP($A302,Assumptions!$A$4:$N$14,COLUMNS(Assumptions!$A$4:L$14)+1,0))-(VLOOKUP($A244,Assumptions!$A$4:$N$14,COLUMNS(Assumptions!$A$4:L$14)+1,0)))</f>
        <v>-275.82983999999999</v>
      </c>
      <c r="R302" s="203">
        <f>(R4)*((VLOOKUP($A302,Assumptions!$A$4:$N$14,COLUMNS(Assumptions!$A$4:M$14)+1,0))-(VLOOKUP($A244,Assumptions!$A$4:$N$14,COLUMNS(Assumptions!$A$4:M$14)+1,0)))</f>
        <v>-259.11287999999996</v>
      </c>
      <c r="S302" s="204">
        <f>SUM(G302:R302)</f>
        <v>-7084.3931300000004</v>
      </c>
    </row>
    <row r="303" spans="1:19" ht="14">
      <c r="A303" s="185" t="s">
        <v>37</v>
      </c>
      <c r="B303" s="182" t="s">
        <v>38</v>
      </c>
      <c r="C303" s="228">
        <v>62987</v>
      </c>
      <c r="D303" s="211">
        <v>0.5</v>
      </c>
      <c r="E303" s="199"/>
      <c r="F303" s="211">
        <v>1</v>
      </c>
      <c r="G303" s="203">
        <f>(G5)*((VLOOKUP($A303,Assumptions!$A$4:$N$14,COLUMNS(Assumptions!$A$4:B15)+1,0))-(VLOOKUP($A245,Assumptions!$A$4:$N$14,COLUMNS(Assumptions!$A$4:B15)+1,0)))</f>
        <v>0</v>
      </c>
      <c r="H303" s="203">
        <f>(H5)*((VLOOKUP($A303,Assumptions!$A$4:$N$14,COLUMNS(Assumptions!$A$4:C$14)+1,0))-(VLOOKUP($A245,Assumptions!$A$4:$N$14,COLUMNS(Assumptions!$A$4:C$14)+1,0)))</f>
        <v>-1564.7771034999998</v>
      </c>
      <c r="I303" s="203">
        <f>(I5)*((VLOOKUP($A303,Assumptions!$A$4:$N$14,COLUMNS(Assumptions!$A$4:D$14)+1,0))-(VLOOKUP($A245,Assumptions!$A$4:$N$14,COLUMNS(Assumptions!$A$4:D$14)+1,0)))</f>
        <v>-2736.1447880000001</v>
      </c>
      <c r="J303" s="203">
        <f>(J5)*((VLOOKUP($A303,Assumptions!$A$4:$N$14,COLUMNS(Assumptions!$A$4:E$14)+1,0))-(VLOOKUP($A245,Assumptions!$A$4:$N$14,COLUMNS(Assumptions!$A$4:E$14)+1,0)))</f>
        <v>-2597.9198569999999</v>
      </c>
      <c r="K303" s="203">
        <f>(K5)*((VLOOKUP($A303,Assumptions!$A$4:$N$14,COLUMNS(Assumptions!$A$4:F$14)+1,0))-(VLOOKUP($A245,Assumptions!$A$4:$N$14,COLUMNS(Assumptions!$A$4:F$14)+1,0)))</f>
        <v>-2527.035277</v>
      </c>
      <c r="L303" s="203">
        <f>(L5)*((VLOOKUP($A303,Assumptions!$A$4:$N$14,COLUMNS(Assumptions!$A$4:G$14)+1,0))-(VLOOKUP($A245,Assumptions!$A$4:$N$14,COLUMNS(Assumptions!$A$4:G$14)+1,0)))</f>
        <v>-2477.4160709999996</v>
      </c>
      <c r="M303" s="203">
        <f>(M5)*((VLOOKUP($A303,Assumptions!$A$4:$N$14,COLUMNS(Assumptions!$A$4:H$14)+1,0))-(VLOOKUP($A245,Assumptions!$A$4:$N$14,COLUMNS(Assumptions!$A$4:H$14)+1,0)))</f>
        <v>-2332.1026820000002</v>
      </c>
      <c r="N303" s="203">
        <f>(N5)*((VLOOKUP($A303,Assumptions!$A$4:$N$14,COLUMNS(Assumptions!$A$4:I$14)+1,0))-(VLOOKUP($A245,Assumptions!$A$4:$N$14,COLUMNS(Assumptions!$A$4:I$14)+1,0)))</f>
        <v>-2080.4624229999999</v>
      </c>
      <c r="O303" s="203">
        <f>(O5)*((VLOOKUP($A303,Assumptions!$A$4:$N$14,COLUMNS(Assumptions!$A$4:J$14)+1,0))-(VLOOKUP($A245,Assumptions!$A$4:$N$14,COLUMNS(Assumptions!$A$4:J$14)+1,0)))</f>
        <v>-1828.8221639999999</v>
      </c>
      <c r="P303" s="203">
        <f>(P5)*((VLOOKUP($A303,Assumptions!$A$4:$N$14,COLUMNS(Assumptions!$A$4:K$14)+1,0))-(VLOOKUP($A245,Assumptions!$A$4:$N$14,COLUMNS(Assumptions!$A$4:K$14)+1,0)))</f>
        <v>-1633.8895689999999</v>
      </c>
      <c r="Q303" s="203">
        <f>(Q5)*((VLOOKUP($A303,Assumptions!$A$4:$N$14,COLUMNS(Assumptions!$A$4:L$14)+1,0))-(VLOOKUP($A245,Assumptions!$A$4:$N$14,COLUMNS(Assumptions!$A$4:L$14)+1,0)))</f>
        <v>-1552.372302</v>
      </c>
      <c r="R303" s="203">
        <f>(R5)*((VLOOKUP($A303,Assumptions!$A$4:$N$14,COLUMNS(Assumptions!$A$4:M$14)+1,0))-(VLOOKUP($A245,Assumptions!$A$4:$N$14,COLUMNS(Assumptions!$A$4:M$14)+1,0)))</f>
        <v>-1492.1204089999999</v>
      </c>
      <c r="S303" s="204">
        <f t="shared" ref="S303:S324" si="28">SUM(G303:R303)</f>
        <v>-22823.062645499998</v>
      </c>
    </row>
    <row r="304" spans="1:19" ht="14">
      <c r="A304" s="185" t="s">
        <v>30</v>
      </c>
      <c r="B304" s="182" t="s">
        <v>42</v>
      </c>
      <c r="C304" s="231">
        <v>42132</v>
      </c>
      <c r="D304" s="211">
        <v>0.5</v>
      </c>
      <c r="E304" s="199">
        <v>0.25</v>
      </c>
      <c r="F304" s="211">
        <v>1</v>
      </c>
      <c r="G304" s="203">
        <f>(G6)*((VLOOKUP($A304,Assumptions!$A$4:$N$14,COLUMNS(Assumptions!$A$4:B16)+1,0))-(VLOOKUP($A246,Assumptions!$A$4:$N$14,COLUMNS(Assumptions!$A$4:B16)+1,0)))</f>
        <v>0</v>
      </c>
      <c r="H304" s="203">
        <f>(H6)*((VLOOKUP($A304,Assumptions!$A$4:$N$14,COLUMNS(Assumptions!$A$4:C$14)+1,0))-(VLOOKUP($A246,Assumptions!$A$4:$N$14,COLUMNS(Assumptions!$A$4:C$14)+1,0)))</f>
        <v>-2075.3584179999998</v>
      </c>
      <c r="I304" s="203">
        <f>(I6)*((VLOOKUP($A304,Assumptions!$A$4:$N$14,COLUMNS(Assumptions!$A$4:D$14)+1,0))-(VLOOKUP($A246,Assumptions!$A$4:$N$14,COLUMNS(Assumptions!$A$4:D$14)+1,0)))</f>
        <v>-2041.7946699999998</v>
      </c>
      <c r="J304" s="203">
        <f>(J6)*((VLOOKUP($A304,Assumptions!$A$4:$N$14,COLUMNS(Assumptions!$A$4:E$14)+1,0))-(VLOOKUP($A246,Assumptions!$A$4:$N$14,COLUMNS(Assumptions!$A$4:E$14)+1,0)))</f>
        <v>-1752.3000979999999</v>
      </c>
      <c r="K304" s="203">
        <f>(K6)*((VLOOKUP($A304,Assumptions!$A$4:$N$14,COLUMNS(Assumptions!$A$4:F$14)+1,0))-(VLOOKUP($A246,Assumptions!$A$4:$N$14,COLUMNS(Assumptions!$A$4:F$14)+1,0)))</f>
        <v>-1651.714896</v>
      </c>
      <c r="L304" s="203">
        <f>(L6)*((VLOOKUP($A304,Assumptions!$A$4:$N$14,COLUMNS(Assumptions!$A$4:G$14)+1,0))-(VLOOKUP($A246,Assumptions!$A$4:$N$14,COLUMNS(Assumptions!$A$4:G$14)+1,0)))</f>
        <v>-1415.077513</v>
      </c>
      <c r="M304" s="203">
        <f>(M6)*((VLOOKUP($A304,Assumptions!$A$4:$N$14,COLUMNS(Assumptions!$A$4:H$14)+1,0))-(VLOOKUP($A246,Assumptions!$A$4:$N$14,COLUMNS(Assumptions!$A$4:H$14)+1,0)))</f>
        <v>-1190.01034</v>
      </c>
      <c r="N304" s="203">
        <f>(N6)*((VLOOKUP($A304,Assumptions!$A$4:$N$14,COLUMNS(Assumptions!$A$4:I$14)+1,0))-(VLOOKUP($A246,Assumptions!$A$4:$N$14,COLUMNS(Assumptions!$A$4:I$14)+1,0)))</f>
        <v>-990.81295699999998</v>
      </c>
      <c r="O304" s="203">
        <f>(O6)*((VLOOKUP($A304,Assumptions!$A$4:$N$14,COLUMNS(Assumptions!$A$4:J$14)+1,0))-(VLOOKUP($A246,Assumptions!$A$4:$N$14,COLUMNS(Assumptions!$A$4:J$14)+1,0)))</f>
        <v>-678.26817499999993</v>
      </c>
      <c r="P304" s="203">
        <f>(P6)*((VLOOKUP($A304,Assumptions!$A$4:$N$14,COLUMNS(Assumptions!$A$4:K$14)+1,0))-(VLOOKUP($A246,Assumptions!$A$4:$N$14,COLUMNS(Assumptions!$A$4:K$14)+1,0)))</f>
        <v>-543.44995199999994</v>
      </c>
      <c r="Q304" s="203">
        <f>(Q6)*((VLOOKUP($A304,Assumptions!$A$4:$N$14,COLUMNS(Assumptions!$A$4:L$14)+1,0))-(VLOOKUP($A246,Assumptions!$A$4:$N$14,COLUMNS(Assumptions!$A$4:L$14)+1,0)))</f>
        <v>-498.16245599999996</v>
      </c>
      <c r="R304" s="203">
        <f>(R6)*((VLOOKUP($A304,Assumptions!$A$4:$N$14,COLUMNS(Assumptions!$A$4:M$14)+1,0))-(VLOOKUP($A246,Assumptions!$A$4:$N$14,COLUMNS(Assumptions!$A$4:M$14)+1,0)))</f>
        <v>-467.97079199999996</v>
      </c>
      <c r="S304" s="204">
        <f t="shared" si="28"/>
        <v>-13304.920267</v>
      </c>
    </row>
    <row r="305" spans="1:19" ht="14">
      <c r="A305" s="185" t="s">
        <v>30</v>
      </c>
      <c r="B305" s="182" t="s">
        <v>43</v>
      </c>
      <c r="C305" s="231">
        <v>12509</v>
      </c>
      <c r="D305" s="211">
        <v>1</v>
      </c>
      <c r="E305" s="199"/>
      <c r="F305" s="211">
        <v>1</v>
      </c>
      <c r="G305" s="203">
        <f>(G7)*((VLOOKUP($A305,Assumptions!$A$4:$N$14,COLUMNS(Assumptions!$A$4:B17)+1,0))-(VLOOKUP($A247,Assumptions!$A$4:$N$14,COLUMNS(Assumptions!$A$4:B17)+1,0)))</f>
        <v>0</v>
      </c>
      <c r="H305" s="203">
        <f>(H7)*((VLOOKUP($A305,Assumptions!$A$4:$N$14,COLUMNS(Assumptions!$A$4:C$14)+1,0))-(VLOOKUP($A247,Assumptions!$A$4:$N$14,COLUMNS(Assumptions!$A$4:C$14)+1,0)))</f>
        <v>-450.58098399999994</v>
      </c>
      <c r="I305" s="203">
        <f>(I7)*((VLOOKUP($A305,Assumptions!$A$4:$N$14,COLUMNS(Assumptions!$A$4:D$14)+1,0))-(VLOOKUP($A247,Assumptions!$A$4:$N$14,COLUMNS(Assumptions!$A$4:D$14)+1,0)))</f>
        <v>-443.29395999999997</v>
      </c>
      <c r="J305" s="203">
        <f>(J7)*((VLOOKUP($A305,Assumptions!$A$4:$N$14,COLUMNS(Assumptions!$A$4:E$14)+1,0))-(VLOOKUP($A247,Assumptions!$A$4:$N$14,COLUMNS(Assumptions!$A$4:E$14)+1,0)))</f>
        <v>-402.00082399999997</v>
      </c>
      <c r="K305" s="203">
        <f>(K7)*((VLOOKUP($A305,Assumptions!$A$4:$N$14,COLUMNS(Assumptions!$A$4:F$14)+1,0))-(VLOOKUP($A247,Assumptions!$A$4:$N$14,COLUMNS(Assumptions!$A$4:F$14)+1,0)))</f>
        <v>-378.92524799999995</v>
      </c>
      <c r="L305" s="203">
        <f>(L7)*((VLOOKUP($A305,Assumptions!$A$4:$N$14,COLUMNS(Assumptions!$A$4:G$14)+1,0))-(VLOOKUP($A247,Assumptions!$A$4:$N$14,COLUMNS(Assumptions!$A$4:G$14)+1,0)))</f>
        <v>-332.16684400000003</v>
      </c>
      <c r="M305" s="203">
        <f>(M7)*((VLOOKUP($A305,Assumptions!$A$4:$N$14,COLUMNS(Assumptions!$A$4:H$14)+1,0))-(VLOOKUP($A247,Assumptions!$A$4:$N$14,COLUMNS(Assumptions!$A$4:H$14)+1,0)))</f>
        <v>-279.33591999999999</v>
      </c>
      <c r="N305" s="203">
        <f>(N7)*((VLOOKUP($A305,Assumptions!$A$4:$N$14,COLUMNS(Assumptions!$A$4:I$14)+1,0))-(VLOOKUP($A247,Assumptions!$A$4:$N$14,COLUMNS(Assumptions!$A$4:I$14)+1,0)))</f>
        <v>-232.57751599999997</v>
      </c>
      <c r="O305" s="203">
        <f>(O7)*((VLOOKUP($A305,Assumptions!$A$4:$N$14,COLUMNS(Assumptions!$A$4:J$14)+1,0))-(VLOOKUP($A247,Assumptions!$A$4:$N$14,COLUMNS(Assumptions!$A$4:J$14)+1,0)))</f>
        <v>-197.3569</v>
      </c>
      <c r="P305" s="203">
        <f>(P7)*((VLOOKUP($A305,Assumptions!$A$4:$N$14,COLUMNS(Assumptions!$A$4:K$14)+1,0))-(VLOOKUP($A247,Assumptions!$A$4:$N$14,COLUMNS(Assumptions!$A$4:K$14)+1,0)))</f>
        <v>-174.88857599999997</v>
      </c>
      <c r="Q305" s="203">
        <f>(Q7)*((VLOOKUP($A305,Assumptions!$A$4:$N$14,COLUMNS(Assumptions!$A$4:L$14)+1,0))-(VLOOKUP($A247,Assumptions!$A$4:$N$14,COLUMNS(Assumptions!$A$4:L$14)+1,0)))</f>
        <v>-160.314528</v>
      </c>
      <c r="R305" s="203">
        <f>(R7)*((VLOOKUP($A305,Assumptions!$A$4:$N$14,COLUMNS(Assumptions!$A$4:M$14)+1,0))-(VLOOKUP($A247,Assumptions!$A$4:$N$14,COLUMNS(Assumptions!$A$4:M$14)+1,0)))</f>
        <v>-150.59849599999998</v>
      </c>
      <c r="S305" s="204">
        <f t="shared" si="28"/>
        <v>-3202.039796</v>
      </c>
    </row>
    <row r="306" spans="1:19" ht="14">
      <c r="A306" s="185" t="s">
        <v>30</v>
      </c>
      <c r="B306" s="182" t="s">
        <v>46</v>
      </c>
      <c r="C306" s="231">
        <v>27263</v>
      </c>
      <c r="D306" s="211">
        <v>1</v>
      </c>
      <c r="E306" s="199"/>
      <c r="F306" s="211">
        <v>1</v>
      </c>
      <c r="G306" s="203">
        <f>(G8)*((VLOOKUP($A306,Assumptions!$A$4:$N$14,COLUMNS(Assumptions!$A$4:B18)+1,0))-(VLOOKUP($A248,Assumptions!$A$4:$N$14,COLUMNS(Assumptions!$A$4:B18)+1,0)))</f>
        <v>0</v>
      </c>
      <c r="H306" s="203">
        <f>(H8)*((VLOOKUP($A306,Assumptions!$A$4:$N$14,COLUMNS(Assumptions!$A$4:C$14)+1,0))-(VLOOKUP($A248,Assumptions!$A$4:$N$14,COLUMNS(Assumptions!$A$4:C$14)+1,0)))</f>
        <v>-1050.3700060000001</v>
      </c>
      <c r="I306" s="203">
        <f>(I8)*((VLOOKUP($A306,Assumptions!$A$4:$N$14,COLUMNS(Assumptions!$A$4:D$14)+1,0))-(VLOOKUP($A248,Assumptions!$A$4:$N$14,COLUMNS(Assumptions!$A$4:D$14)+1,0)))</f>
        <v>-1033.3828900000001</v>
      </c>
      <c r="J306" s="203">
        <f>(J8)*((VLOOKUP($A306,Assumptions!$A$4:$N$14,COLUMNS(Assumptions!$A$4:E$14)+1,0))-(VLOOKUP($A248,Assumptions!$A$4:$N$14,COLUMNS(Assumptions!$A$4:E$14)+1,0)))</f>
        <v>-937.12256600000012</v>
      </c>
      <c r="K306" s="203">
        <f>(K8)*((VLOOKUP($A306,Assumptions!$A$4:$N$14,COLUMNS(Assumptions!$A$4:F$14)+1,0))-(VLOOKUP($A248,Assumptions!$A$4:$N$14,COLUMNS(Assumptions!$A$4:F$14)+1,0)))</f>
        <v>-883.33003200000007</v>
      </c>
      <c r="L306" s="203">
        <f>(L8)*((VLOOKUP($A306,Assumptions!$A$4:$N$14,COLUMNS(Assumptions!$A$4:G$14)+1,0))-(VLOOKUP($A248,Assumptions!$A$4:$N$14,COLUMNS(Assumptions!$A$4:G$14)+1,0)))</f>
        <v>-648.51937100000009</v>
      </c>
      <c r="M306" s="203">
        <f>(M8)*((VLOOKUP($A306,Assumptions!$A$4:$N$14,COLUMNS(Assumptions!$A$4:H$14)+1,0))-(VLOOKUP($A248,Assumptions!$A$4:$N$14,COLUMNS(Assumptions!$A$4:H$14)+1,0)))</f>
        <v>-545.37278000000003</v>
      </c>
      <c r="N306" s="203">
        <f>(N8)*((VLOOKUP($A306,Assumptions!$A$4:$N$14,COLUMNS(Assumptions!$A$4:I$14)+1,0))-(VLOOKUP($A248,Assumptions!$A$4:$N$14,COLUMNS(Assumptions!$A$4:I$14)+1,0)))</f>
        <v>-454.08211900000003</v>
      </c>
      <c r="O306" s="203">
        <f>(O8)*((VLOOKUP($A306,Assumptions!$A$4:$N$14,COLUMNS(Assumptions!$A$4:J$14)+1,0))-(VLOOKUP($A248,Assumptions!$A$4:$N$14,COLUMNS(Assumptions!$A$4:J$14)+1,0)))</f>
        <v>-391.81772500000005</v>
      </c>
      <c r="P306" s="203">
        <f>(P8)*((VLOOKUP($A306,Assumptions!$A$4:$N$14,COLUMNS(Assumptions!$A$4:K$14)+1,0))-(VLOOKUP($A248,Assumptions!$A$4:$N$14,COLUMNS(Assumptions!$A$4:K$14)+1,0)))</f>
        <v>-347.21078399999999</v>
      </c>
      <c r="Q306" s="203">
        <f>(Q8)*((VLOOKUP($A306,Assumptions!$A$4:$N$14,COLUMNS(Assumptions!$A$4:L$14)+1,0))-(VLOOKUP($A248,Assumptions!$A$4:$N$14,COLUMNS(Assumptions!$A$4:L$14)+1,0)))</f>
        <v>-318.27655200000004</v>
      </c>
      <c r="R306" s="203">
        <f>(R8)*((VLOOKUP($A306,Assumptions!$A$4:$N$14,COLUMNS(Assumptions!$A$4:M$14)+1,0))-(VLOOKUP($A248,Assumptions!$A$4:$N$14,COLUMNS(Assumptions!$A$4:M$14)+1,0)))</f>
        <v>-298.98706400000003</v>
      </c>
      <c r="S306" s="204">
        <f t="shared" si="28"/>
        <v>-6908.4718889999995</v>
      </c>
    </row>
    <row r="307" spans="1:19" ht="14">
      <c r="A307" s="185" t="s">
        <v>30</v>
      </c>
      <c r="B307" s="182" t="s">
        <v>47</v>
      </c>
      <c r="C307" s="231">
        <v>39057</v>
      </c>
      <c r="D307" s="211">
        <v>1</v>
      </c>
      <c r="E307" s="199"/>
      <c r="F307" s="211">
        <v>1</v>
      </c>
      <c r="G307" s="203">
        <f>(G9)*((VLOOKUP($A307,Assumptions!$A$4:$N$14,COLUMNS(Assumptions!$A$4:B19)+1,0))-(VLOOKUP($A249,Assumptions!$A$4:$N$14,COLUMNS(Assumptions!$A$4:B19)+1,0)))</f>
        <v>0</v>
      </c>
      <c r="H307" s="203">
        <f>(H9)*((VLOOKUP($A307,Assumptions!$A$4:$N$14,COLUMNS(Assumptions!$A$4:C$14)+1,0))-(VLOOKUP($A249,Assumptions!$A$4:$N$14,COLUMNS(Assumptions!$A$4:C$14)+1,0)))</f>
        <v>-1106.8503040000001</v>
      </c>
      <c r="I307" s="203">
        <f>(I9)*((VLOOKUP($A307,Assumptions!$A$4:$N$14,COLUMNS(Assumptions!$A$4:D$14)+1,0))-(VLOOKUP($A249,Assumptions!$A$4:$N$14,COLUMNS(Assumptions!$A$4:D$14)+1,0)))</f>
        <v>-1088.94976</v>
      </c>
      <c r="J307" s="203">
        <f>(J9)*((VLOOKUP($A307,Assumptions!$A$4:$N$14,COLUMNS(Assumptions!$A$4:E$14)+1,0))-(VLOOKUP($A249,Assumptions!$A$4:$N$14,COLUMNS(Assumptions!$A$4:E$14)+1,0)))</f>
        <v>-673.06334400000003</v>
      </c>
      <c r="K307" s="203">
        <f>(K9)*((VLOOKUP($A307,Assumptions!$A$4:$N$14,COLUMNS(Assumptions!$A$4:F$14)+1,0))-(VLOOKUP($A249,Assumptions!$A$4:$N$14,COLUMNS(Assumptions!$A$4:F$14)+1,0)))</f>
        <v>-634.42828799999995</v>
      </c>
      <c r="L307" s="203">
        <f>(L9)*((VLOOKUP($A307,Assumptions!$A$4:$N$14,COLUMNS(Assumptions!$A$4:G$14)+1,0))-(VLOOKUP($A249,Assumptions!$A$4:$N$14,COLUMNS(Assumptions!$A$4:G$14)+1,0)))</f>
        <v>-542.46646400000009</v>
      </c>
      <c r="M307" s="203">
        <f>(M9)*((VLOOKUP($A307,Assumptions!$A$4:$N$14,COLUMNS(Assumptions!$A$4:H$14)+1,0))-(VLOOKUP($A249,Assumptions!$A$4:$N$14,COLUMNS(Assumptions!$A$4:H$14)+1,0)))</f>
        <v>-456.18752000000001</v>
      </c>
      <c r="N307" s="203">
        <f>(N9)*((VLOOKUP($A307,Assumptions!$A$4:$N$14,COLUMNS(Assumptions!$A$4:I$14)+1,0))-(VLOOKUP($A249,Assumptions!$A$4:$N$14,COLUMNS(Assumptions!$A$4:I$14)+1,0)))</f>
        <v>-379.82569599999999</v>
      </c>
      <c r="O307" s="203">
        <f>(O9)*((VLOOKUP($A307,Assumptions!$A$4:$N$14,COLUMNS(Assumptions!$A$4:J$14)+1,0))-(VLOOKUP($A249,Assumptions!$A$4:$N$14,COLUMNS(Assumptions!$A$4:J$14)+1,0)))</f>
        <v>-312.5564</v>
      </c>
      <c r="P307" s="203">
        <f>(P9)*((VLOOKUP($A307,Assumptions!$A$4:$N$14,COLUMNS(Assumptions!$A$4:K$14)+1,0))-(VLOOKUP($A249,Assumptions!$A$4:$N$14,COLUMNS(Assumptions!$A$4:K$14)+1,0)))</f>
        <v>-58.09305599999999</v>
      </c>
      <c r="Q307" s="203">
        <f>(Q9)*((VLOOKUP($A307,Assumptions!$A$4:$N$14,COLUMNS(Assumptions!$A$4:L$14)+1,0))-(VLOOKUP($A249,Assumptions!$A$4:$N$14,COLUMNS(Assumptions!$A$4:L$14)+1,0)))</f>
        <v>-53.251967999999998</v>
      </c>
      <c r="R307" s="203">
        <f>(R9)*((VLOOKUP($A307,Assumptions!$A$4:$N$14,COLUMNS(Assumptions!$A$4:M$14)+1,0))-(VLOOKUP($A249,Assumptions!$A$4:$N$14,COLUMNS(Assumptions!$A$4:M$14)+1,0)))</f>
        <v>-50.024575999999996</v>
      </c>
      <c r="S307" s="204">
        <f t="shared" si="28"/>
        <v>-5355.6973760000001</v>
      </c>
    </row>
    <row r="308" spans="1:19" ht="14">
      <c r="A308" s="185" t="s">
        <v>48</v>
      </c>
      <c r="B308" s="182" t="s">
        <v>49</v>
      </c>
      <c r="C308" s="231">
        <v>24754</v>
      </c>
      <c r="D308" s="211">
        <v>1</v>
      </c>
      <c r="E308" s="199"/>
      <c r="F308" s="211">
        <v>1</v>
      </c>
      <c r="G308" s="203">
        <f>(G10)*((VLOOKUP($A308,Assumptions!$A$4:$N$14,COLUMNS(Assumptions!$A$4:B20)+1,0))-(VLOOKUP($A250,Assumptions!$A$4:$N$14,COLUMNS(Assumptions!$A$4:B20)+1,0)))</f>
        <v>0</v>
      </c>
      <c r="H308" s="203">
        <f>(H10)*((VLOOKUP($A308,Assumptions!$A$4:$N$14,COLUMNS(Assumptions!$A$4:C$14)+1,0))-(VLOOKUP($A250,Assumptions!$A$4:$N$14,COLUMNS(Assumptions!$A$4:C$14)+1,0)))</f>
        <v>-826.80751999999995</v>
      </c>
      <c r="I308" s="203">
        <f>(I10)*((VLOOKUP($A308,Assumptions!$A$4:$N$14,COLUMNS(Assumptions!$A$4:D$14)+1,0))-(VLOOKUP($A250,Assumptions!$A$4:$N$14,COLUMNS(Assumptions!$A$4:D$14)+1,0)))</f>
        <v>-1155.6514199999999</v>
      </c>
      <c r="J308" s="203">
        <f>(J10)*((VLOOKUP($A308,Assumptions!$A$4:$N$14,COLUMNS(Assumptions!$A$4:E$14)+1,0))-(VLOOKUP($A250,Assumptions!$A$4:$N$14,COLUMNS(Assumptions!$A$4:E$14)+1,0)))</f>
        <v>-1022.2347465600001</v>
      </c>
      <c r="K308" s="203">
        <f>(K10)*((VLOOKUP($A308,Assumptions!$A$4:$N$14,COLUMNS(Assumptions!$A$4:F$14)+1,0))-(VLOOKUP($A250,Assumptions!$A$4:$N$14,COLUMNS(Assumptions!$A$4:F$14)+1,0)))</f>
        <v>-960.22418288999995</v>
      </c>
      <c r="L308" s="203">
        <f>(L10)*((VLOOKUP($A308,Assumptions!$A$4:$N$14,COLUMNS(Assumptions!$A$4:G$14)+1,0))-(VLOOKUP($A250,Assumptions!$A$4:$N$14,COLUMNS(Assumptions!$A$4:G$14)+1,0)))</f>
        <v>-820.57125517999987</v>
      </c>
      <c r="M308" s="203">
        <f>(M10)*((VLOOKUP($A308,Assumptions!$A$4:$N$14,COLUMNS(Assumptions!$A$4:H$14)+1,0))-(VLOOKUP($A250,Assumptions!$A$4:$N$14,COLUMNS(Assumptions!$A$4:H$14)+1,0)))</f>
        <v>-774.60564545</v>
      </c>
      <c r="N308" s="203">
        <f>(N10)*((VLOOKUP($A308,Assumptions!$A$4:$N$14,COLUMNS(Assumptions!$A$4:I$14)+1,0))-(VLOOKUP($A250,Assumptions!$A$4:$N$14,COLUMNS(Assumptions!$A$4:I$14)+1,0)))</f>
        <v>-730.34246570999994</v>
      </c>
      <c r="O308" s="203">
        <f>(O10)*((VLOOKUP($A308,Assumptions!$A$4:$N$14,COLUMNS(Assumptions!$A$4:J$14)+1,0))-(VLOOKUP($A250,Assumptions!$A$4:$N$14,COLUMNS(Assumptions!$A$4:J$14)+1,0)))</f>
        <v>-687.78171596000004</v>
      </c>
      <c r="P308" s="203">
        <f>(P10)*((VLOOKUP($A308,Assumptions!$A$4:$N$14,COLUMNS(Assumptions!$A$4:K$14)+1,0))-(VLOOKUP($A250,Assumptions!$A$4:$N$14,COLUMNS(Assumptions!$A$4:K$14)+1,0)))</f>
        <v>-604.34500617999993</v>
      </c>
      <c r="Q308" s="203">
        <f>(Q10)*((VLOOKUP($A308,Assumptions!$A$4:$N$14,COLUMNS(Assumptions!$A$4:L$14)+1,0))-(VLOOKUP($A250,Assumptions!$A$4:$N$14,COLUMNS(Assumptions!$A$4:L$14)+1,0)))</f>
        <v>-582.19623631999991</v>
      </c>
      <c r="R308" s="203">
        <f>(R10)*((VLOOKUP($A308,Assumptions!$A$4:$N$14,COLUMNS(Assumptions!$A$4:M$14)+1,0))-(VLOOKUP($A250,Assumptions!$A$4:$N$14,COLUMNS(Assumptions!$A$4:M$14)+1,0)))</f>
        <v>-555.3013014899999</v>
      </c>
      <c r="S308" s="204">
        <f t="shared" si="28"/>
        <v>-8720.0614957400012</v>
      </c>
    </row>
    <row r="309" spans="1:19" ht="14">
      <c r="A309" s="185" t="s">
        <v>30</v>
      </c>
      <c r="B309" s="182" t="s">
        <v>92</v>
      </c>
      <c r="C309" s="231">
        <v>26819</v>
      </c>
      <c r="D309" s="212">
        <v>0</v>
      </c>
      <c r="E309" s="199">
        <v>1</v>
      </c>
      <c r="F309" s="211">
        <v>1</v>
      </c>
      <c r="G309" s="203">
        <f>(G11)*((VLOOKUP($A309,Assumptions!$A$4:$N$14,COLUMNS(Assumptions!$A$4:B21)+1,0))-(VLOOKUP($A251,Assumptions!$A$4:$N$14,COLUMNS(Assumptions!$A$4:B21)+1,0)))</f>
        <v>0</v>
      </c>
      <c r="H309" s="203">
        <f>(H11)*((VLOOKUP($A309,Assumptions!$A$4:$N$14,COLUMNS(Assumptions!$A$4:C$14)+1,0))-(VLOOKUP($A251,Assumptions!$A$4:$N$14,COLUMNS(Assumptions!$A$4:C$14)+1,0)))</f>
        <v>-1100.9825680000001</v>
      </c>
      <c r="I309" s="203">
        <f>(I11)*((VLOOKUP($A309,Assumptions!$A$4:$N$14,COLUMNS(Assumptions!$A$4:D$14)+1,0))-(VLOOKUP($A251,Assumptions!$A$4:$N$14,COLUMNS(Assumptions!$A$4:D$14)+1,0)))</f>
        <v>-1083.1769200000001</v>
      </c>
      <c r="J309" s="203">
        <f>(J11)*((VLOOKUP($A309,Assumptions!$A$4:$N$14,COLUMNS(Assumptions!$A$4:E$14)+1,0))-(VLOOKUP($A251,Assumptions!$A$4:$N$14,COLUMNS(Assumptions!$A$4:E$14)+1,0)))</f>
        <v>-995.51824800000009</v>
      </c>
      <c r="K309" s="203">
        <f>(K11)*((VLOOKUP($A309,Assumptions!$A$4:$N$14,COLUMNS(Assumptions!$A$4:F$14)+1,0))-(VLOOKUP($A251,Assumptions!$A$4:$N$14,COLUMNS(Assumptions!$A$4:F$14)+1,0)))</f>
        <v>-807.33369600000003</v>
      </c>
      <c r="L309" s="203">
        <f>(L11)*((VLOOKUP($A309,Assumptions!$A$4:$N$14,COLUMNS(Assumptions!$A$4:G$14)+1,0))-(VLOOKUP($A251,Assumptions!$A$4:$N$14,COLUMNS(Assumptions!$A$4:G$14)+1,0)))</f>
        <v>-707.71078800000009</v>
      </c>
      <c r="M309" s="203">
        <f>(M11)*((VLOOKUP($A309,Assumptions!$A$4:$N$14,COLUMNS(Assumptions!$A$4:H$14)+1,0))-(VLOOKUP($A251,Assumptions!$A$4:$N$14,COLUMNS(Assumptions!$A$4:H$14)+1,0)))</f>
        <v>-595.14984000000004</v>
      </c>
      <c r="N309" s="203">
        <f>(N11)*((VLOOKUP($A309,Assumptions!$A$4:$N$14,COLUMNS(Assumptions!$A$4:I$14)+1,0))-(VLOOKUP($A251,Assumptions!$A$4:$N$14,COLUMNS(Assumptions!$A$4:I$14)+1,0)))</f>
        <v>-495.52693200000004</v>
      </c>
      <c r="O309" s="203">
        <f>(O11)*((VLOOKUP($A309,Assumptions!$A$4:$N$14,COLUMNS(Assumptions!$A$4:J$14)+1,0))-(VLOOKUP($A251,Assumptions!$A$4:$N$14,COLUMNS(Assumptions!$A$4:J$14)+1,0)))</f>
        <v>-426.98630000000003</v>
      </c>
      <c r="P309" s="203">
        <f>(P11)*((VLOOKUP($A309,Assumptions!$A$4:$N$14,COLUMNS(Assumptions!$A$4:K$14)+1,0))-(VLOOKUP($A251,Assumptions!$A$4:$N$14,COLUMNS(Assumptions!$A$4:K$14)+1,0)))</f>
        <v>-378.37555199999997</v>
      </c>
      <c r="Q309" s="203">
        <f>(Q11)*((VLOOKUP($A309,Assumptions!$A$4:$N$14,COLUMNS(Assumptions!$A$4:L$14)+1,0))-(VLOOKUP($A251,Assumptions!$A$4:$N$14,COLUMNS(Assumptions!$A$4:L$14)+1,0)))</f>
        <v>-346.84425600000003</v>
      </c>
      <c r="R309" s="203">
        <f>(R11)*((VLOOKUP($A309,Assumptions!$A$4:$N$14,COLUMNS(Assumptions!$A$4:M$14)+1,0))-(VLOOKUP($A251,Assumptions!$A$4:$N$14,COLUMNS(Assumptions!$A$4:M$14)+1,0)))</f>
        <v>-271.26339200000001</v>
      </c>
      <c r="S309" s="204">
        <f t="shared" si="28"/>
        <v>-7208.8684920000005</v>
      </c>
    </row>
    <row r="310" spans="1:19" ht="14">
      <c r="A310" s="185" t="s">
        <v>30</v>
      </c>
      <c r="B310" s="182" t="s">
        <v>52</v>
      </c>
      <c r="C310" s="231">
        <v>28396</v>
      </c>
      <c r="D310" s="211">
        <v>0.75</v>
      </c>
      <c r="E310" s="199"/>
      <c r="F310" s="211">
        <v>1</v>
      </c>
      <c r="G310" s="203">
        <f>(G12)*((VLOOKUP($A310,Assumptions!$A$4:$N$14,COLUMNS(Assumptions!$A$4:B22)+1,0))-(VLOOKUP($A252,Assumptions!$A$4:$N$14,COLUMNS(Assumptions!$A$4:B22)+1,0)))</f>
        <v>0</v>
      </c>
      <c r="H310" s="203">
        <f>(H12)*((VLOOKUP($A310,Assumptions!$A$4:$N$14,COLUMNS(Assumptions!$A$4:C$14)+1,0))-(VLOOKUP($A252,Assumptions!$A$4:$N$14,COLUMNS(Assumptions!$A$4:C$14)+1,0)))</f>
        <v>-920.822</v>
      </c>
      <c r="I310" s="203">
        <f>(I12)*((VLOOKUP($A310,Assumptions!$A$4:$N$14,COLUMNS(Assumptions!$A$4:D$14)+1,0))-(VLOOKUP($A252,Assumptions!$A$4:$N$14,COLUMNS(Assumptions!$A$4:D$14)+1,0)))</f>
        <v>-905.93</v>
      </c>
      <c r="J310" s="203">
        <f>(J12)*((VLOOKUP($A310,Assumptions!$A$4:$N$14,COLUMNS(Assumptions!$A$4:E$14)+1,0))-(VLOOKUP($A252,Assumptions!$A$4:$N$14,COLUMNS(Assumptions!$A$4:E$14)+1,0)))</f>
        <v>-821.54200000000003</v>
      </c>
      <c r="K310" s="203">
        <f>(K12)*((VLOOKUP($A310,Assumptions!$A$4:$N$14,COLUMNS(Assumptions!$A$4:F$14)+1,0))-(VLOOKUP($A252,Assumptions!$A$4:$N$14,COLUMNS(Assumptions!$A$4:F$14)+1,0)))</f>
        <v>-774.38400000000001</v>
      </c>
      <c r="L310" s="203">
        <f>(L12)*((VLOOKUP($A310,Assumptions!$A$4:$N$14,COLUMNS(Assumptions!$A$4:G$14)+1,0))-(VLOOKUP($A252,Assumptions!$A$4:$N$14,COLUMNS(Assumptions!$A$4:G$14)+1,0)))</f>
        <v>-624.12700000000007</v>
      </c>
      <c r="M310" s="203">
        <f>(M12)*((VLOOKUP($A310,Assumptions!$A$4:$N$14,COLUMNS(Assumptions!$A$4:H$14)+1,0))-(VLOOKUP($A252,Assumptions!$A$4:$N$14,COLUMNS(Assumptions!$A$4:H$14)+1,0)))</f>
        <v>-524.86</v>
      </c>
      <c r="N310" s="203">
        <f>(N12)*((VLOOKUP($A310,Assumptions!$A$4:$N$14,COLUMNS(Assumptions!$A$4:I$14)+1,0))-(VLOOKUP($A252,Assumptions!$A$4:$N$14,COLUMNS(Assumptions!$A$4:I$14)+1,0)))</f>
        <v>-437.00299999999999</v>
      </c>
      <c r="O310" s="203">
        <f>(O12)*((VLOOKUP($A310,Assumptions!$A$4:$N$14,COLUMNS(Assumptions!$A$4:J$14)+1,0))-(VLOOKUP($A252,Assumptions!$A$4:$N$14,COLUMNS(Assumptions!$A$4:J$14)+1,0)))</f>
        <v>-377.32499999999999</v>
      </c>
      <c r="P310" s="203">
        <f>(P12)*((VLOOKUP($A310,Assumptions!$A$4:$N$14,COLUMNS(Assumptions!$A$4:K$14)+1,0))-(VLOOKUP($A252,Assumptions!$A$4:$N$14,COLUMNS(Assumptions!$A$4:K$14)+1,0)))</f>
        <v>-334.36799999999999</v>
      </c>
      <c r="Q310" s="203">
        <f>(Q12)*((VLOOKUP($A310,Assumptions!$A$4:$N$14,COLUMNS(Assumptions!$A$4:L$14)+1,0))-(VLOOKUP($A252,Assumptions!$A$4:$N$14,COLUMNS(Assumptions!$A$4:L$14)+1,0)))</f>
        <v>-306.50400000000002</v>
      </c>
      <c r="R310" s="203">
        <f>(R12)*((VLOOKUP($A310,Assumptions!$A$4:$N$14,COLUMNS(Assumptions!$A$4:M$14)+1,0))-(VLOOKUP($A252,Assumptions!$A$4:$N$14,COLUMNS(Assumptions!$A$4:M$14)+1,0)))</f>
        <v>-287.928</v>
      </c>
      <c r="S310" s="204">
        <f t="shared" si="28"/>
        <v>-6314.7929999999997</v>
      </c>
    </row>
    <row r="311" spans="1:19" ht="14">
      <c r="A311" s="185" t="s">
        <v>30</v>
      </c>
      <c r="B311" s="182" t="s">
        <v>54</v>
      </c>
      <c r="C311" s="231">
        <v>37558</v>
      </c>
      <c r="D311" s="211">
        <v>0.75</v>
      </c>
      <c r="E311" s="199"/>
      <c r="F311" s="211">
        <v>1</v>
      </c>
      <c r="G311" s="203">
        <f>(G13)*((VLOOKUP($A311,Assumptions!$A$4:$N$14,COLUMNS(Assumptions!$A$4:B23)+1,0))-(VLOOKUP($A253,Assumptions!$A$4:$N$14,COLUMNS(Assumptions!$A$4:B23)+1,0)))</f>
        <v>0</v>
      </c>
      <c r="H311" s="203">
        <f>(H13)*((VLOOKUP($A311,Assumptions!$A$4:$N$14,COLUMNS(Assumptions!$A$4:C$14)+1,0))-(VLOOKUP($A253,Assumptions!$A$4:$N$14,COLUMNS(Assumptions!$A$4:C$14)+1,0)))</f>
        <v>-1209.7137640000001</v>
      </c>
      <c r="I311" s="203">
        <f>(I13)*((VLOOKUP($A311,Assumptions!$A$4:$N$14,COLUMNS(Assumptions!$A$4:D$14)+1,0))-(VLOOKUP($A253,Assumptions!$A$4:$N$14,COLUMNS(Assumptions!$A$4:D$14)+1,0)))</f>
        <v>-1190.14966</v>
      </c>
      <c r="J311" s="203">
        <f>(J13)*((VLOOKUP($A311,Assumptions!$A$4:$N$14,COLUMNS(Assumptions!$A$4:E$14)+1,0))-(VLOOKUP($A253,Assumptions!$A$4:$N$14,COLUMNS(Assumptions!$A$4:E$14)+1,0)))</f>
        <v>-1079.2864040000002</v>
      </c>
      <c r="K311" s="203">
        <f>(K13)*((VLOOKUP($A311,Assumptions!$A$4:$N$14,COLUMNS(Assumptions!$A$4:F$14)+1,0))-(VLOOKUP($A253,Assumptions!$A$4:$N$14,COLUMNS(Assumptions!$A$4:F$14)+1,0)))</f>
        <v>-1017.3334080000001</v>
      </c>
      <c r="L311" s="203">
        <f>(L13)*((VLOOKUP($A311,Assumptions!$A$4:$N$14,COLUMNS(Assumptions!$A$4:G$14)+1,0))-(VLOOKUP($A253,Assumptions!$A$4:$N$14,COLUMNS(Assumptions!$A$4:G$14)+1,0)))</f>
        <v>-768.72207400000013</v>
      </c>
      <c r="M311" s="203">
        <f>(M13)*((VLOOKUP($A311,Assumptions!$A$4:$N$14,COLUMNS(Assumptions!$A$4:H$14)+1,0))-(VLOOKUP($A253,Assumptions!$A$4:$N$14,COLUMNS(Assumptions!$A$4:H$14)+1,0)))</f>
        <v>-646.4573200000001</v>
      </c>
      <c r="N311" s="203">
        <f>(N13)*((VLOOKUP($A311,Assumptions!$A$4:$N$14,COLUMNS(Assumptions!$A$4:I$14)+1,0))-(VLOOKUP($A253,Assumptions!$A$4:$N$14,COLUMNS(Assumptions!$A$4:I$14)+1,0)))</f>
        <v>-538.24598600000002</v>
      </c>
      <c r="O311" s="203">
        <f>(O13)*((VLOOKUP($A311,Assumptions!$A$4:$N$14,COLUMNS(Assumptions!$A$4:J$14)+1,0))-(VLOOKUP($A253,Assumptions!$A$4:$N$14,COLUMNS(Assumptions!$A$4:J$14)+1,0)))</f>
        <v>-463.23615000000007</v>
      </c>
      <c r="P311" s="203">
        <f>(P13)*((VLOOKUP($A311,Assumptions!$A$4:$N$14,COLUMNS(Assumptions!$A$4:K$14)+1,0))-(VLOOKUP($A253,Assumptions!$A$4:$N$14,COLUMNS(Assumptions!$A$4:K$14)+1,0)))</f>
        <v>-390.33849600000002</v>
      </c>
      <c r="Q311" s="203">
        <f>(Q13)*((VLOOKUP($A311,Assumptions!$A$4:$N$14,COLUMNS(Assumptions!$A$4:L$14)+1,0))-(VLOOKUP($A253,Assumptions!$A$4:$N$14,COLUMNS(Assumptions!$A$4:L$14)+1,0)))</f>
        <v>-357.81028800000007</v>
      </c>
      <c r="R311" s="203">
        <f>(R13)*((VLOOKUP($A311,Assumptions!$A$4:$N$14,COLUMNS(Assumptions!$A$4:M$14)+1,0))-(VLOOKUP($A253,Assumptions!$A$4:$N$14,COLUMNS(Assumptions!$A$4:M$14)+1,0)))</f>
        <v>-336.12481600000001</v>
      </c>
      <c r="S311" s="204">
        <f t="shared" si="28"/>
        <v>-7997.4183660000017</v>
      </c>
    </row>
    <row r="312" spans="1:19" ht="14">
      <c r="A312" s="185" t="s">
        <v>37</v>
      </c>
      <c r="B312" s="182" t="s">
        <v>55</v>
      </c>
      <c r="C312" s="231">
        <v>55051</v>
      </c>
      <c r="D312" s="211">
        <v>0.5</v>
      </c>
      <c r="E312" s="199">
        <v>0.5</v>
      </c>
      <c r="F312" s="211">
        <v>1</v>
      </c>
      <c r="G312" s="203">
        <f>(G14)*((VLOOKUP($A312,Assumptions!$A$4:$N$14,COLUMNS(Assumptions!$A$4:B24)+1,0))-(VLOOKUP($A254,Assumptions!$A$4:$N$14,COLUMNS(Assumptions!$A$4:B24)+1,0)))</f>
        <v>0</v>
      </c>
      <c r="H312" s="203">
        <f>(H14)*((VLOOKUP($A312,Assumptions!$A$4:$N$14,COLUMNS(Assumptions!$A$4:C$14)+1,0))-(VLOOKUP($A254,Assumptions!$A$4:$N$14,COLUMNS(Assumptions!$A$4:C$14)+1,0)))</f>
        <v>-526.3401852500001</v>
      </c>
      <c r="I312" s="203">
        <f>(I14)*((VLOOKUP($A312,Assumptions!$A$4:$N$14,COLUMNS(Assumptions!$A$4:D$14)+1,0))-(VLOOKUP($A254,Assumptions!$A$4:$N$14,COLUMNS(Assumptions!$A$4:D$14)+1,0)))</f>
        <v>-920.35022200000014</v>
      </c>
      <c r="J312" s="203">
        <f>(J14)*((VLOOKUP($A312,Assumptions!$A$4:$N$14,COLUMNS(Assumptions!$A$4:E$14)+1,0))-(VLOOKUP($A254,Assumptions!$A$4:$N$14,COLUMNS(Assumptions!$A$4:E$14)+1,0)))</f>
        <v>-830.09574550000002</v>
      </c>
      <c r="K312" s="203">
        <f>(K14)*((VLOOKUP($A312,Assumptions!$A$4:$N$14,COLUMNS(Assumptions!$A$4:F$14)+1,0))-(VLOOKUP($A254,Assumptions!$A$4:$N$14,COLUMNS(Assumptions!$A$4:F$14)+1,0)))</f>
        <v>-798.17747550000001</v>
      </c>
      <c r="L312" s="203">
        <f>(L14)*((VLOOKUP($A312,Assumptions!$A$4:$N$14,COLUMNS(Assumptions!$A$4:G$14)+1,0))-(VLOOKUP($A254,Assumptions!$A$4:$N$14,COLUMNS(Assumptions!$A$4:G$14)+1,0)))</f>
        <v>-697.78618649999999</v>
      </c>
      <c r="M312" s="203">
        <f>(M14)*((VLOOKUP($A312,Assumptions!$A$4:$N$14,COLUMNS(Assumptions!$A$4:H$14)+1,0))-(VLOOKUP($A254,Assumptions!$A$4:$N$14,COLUMNS(Assumptions!$A$4:H$14)+1,0)))</f>
        <v>-656.85738300000003</v>
      </c>
      <c r="N312" s="203">
        <f>(N14)*((VLOOKUP($A312,Assumptions!$A$4:$N$14,COLUMNS(Assumptions!$A$4:I$14)+1,0))-(VLOOKUP($A254,Assumptions!$A$4:$N$14,COLUMNS(Assumptions!$A$4:I$14)+1,0)))</f>
        <v>-695.74967449999997</v>
      </c>
      <c r="O312" s="203">
        <f>(O14)*((VLOOKUP($A312,Assumptions!$A$4:$N$14,COLUMNS(Assumptions!$A$4:J$14)+1,0))-(VLOOKUP($A254,Assumptions!$A$4:$N$14,COLUMNS(Assumptions!$A$4:J$14)+1,0)))</f>
        <v>-611.59596599999998</v>
      </c>
      <c r="P312" s="203">
        <f>(P14)*((VLOOKUP($A312,Assumptions!$A$4:$N$14,COLUMNS(Assumptions!$A$4:K$14)+1,0))-(VLOOKUP($A254,Assumptions!$A$4:$N$14,COLUMNS(Assumptions!$A$4:K$14)+1,0)))</f>
        <v>-546.40647350000006</v>
      </c>
      <c r="Q312" s="203">
        <f>(Q14)*((VLOOKUP($A312,Assumptions!$A$4:$N$14,COLUMNS(Assumptions!$A$4:L$14)+1,0))-(VLOOKUP($A254,Assumptions!$A$4:$N$14,COLUMNS(Assumptions!$A$4:L$14)+1,0)))</f>
        <v>-519.14541299999996</v>
      </c>
      <c r="R312" s="203">
        <f>(R14)*((VLOOKUP($A312,Assumptions!$A$4:$N$14,COLUMNS(Assumptions!$A$4:M$14)+1,0))-(VLOOKUP($A254,Assumptions!$A$4:$N$14,COLUMNS(Assumptions!$A$4:M$14)+1,0)))</f>
        <v>-498.99593349999998</v>
      </c>
      <c r="S312" s="204">
        <f t="shared" si="28"/>
        <v>-7301.50065825</v>
      </c>
    </row>
    <row r="313" spans="1:19" ht="14">
      <c r="A313" s="185" t="s">
        <v>30</v>
      </c>
      <c r="B313" s="182" t="s">
        <v>56</v>
      </c>
      <c r="C313" s="231">
        <v>39938</v>
      </c>
      <c r="D313" s="211">
        <v>0.5</v>
      </c>
      <c r="E313" s="199"/>
      <c r="F313" s="211">
        <v>1</v>
      </c>
      <c r="G313" s="203">
        <f>(G15)*((VLOOKUP($A313,Assumptions!$A$4:$N$14,COLUMNS(Assumptions!$A$4:B25)+1,0))-(VLOOKUP($A255,Assumptions!$A$4:$N$14,COLUMNS(Assumptions!$A$4:B25)+1,0)))</f>
        <v>0</v>
      </c>
      <c r="H313" s="203">
        <f>(H15)*((VLOOKUP($A313,Assumptions!$A$4:$N$14,COLUMNS(Assumptions!$A$4:C$14)+1,0))-(VLOOKUP($A255,Assumptions!$A$4:$N$14,COLUMNS(Assumptions!$A$4:C$14)+1,0)))</f>
        <v>-1925.480354</v>
      </c>
      <c r="I313" s="203">
        <f>(I15)*((VLOOKUP($A313,Assumptions!$A$4:$N$14,COLUMNS(Assumptions!$A$4:D$14)+1,0))-(VLOOKUP($A255,Assumptions!$A$4:$N$14,COLUMNS(Assumptions!$A$4:D$14)+1,0)))</f>
        <v>-1894.34051</v>
      </c>
      <c r="J313" s="203">
        <f>(J15)*((VLOOKUP($A313,Assumptions!$A$4:$N$14,COLUMNS(Assumptions!$A$4:E$14)+1,0))-(VLOOKUP($A255,Assumptions!$A$4:$N$14,COLUMNS(Assumptions!$A$4:E$14)+1,0)))</f>
        <v>-1717.8813940000002</v>
      </c>
      <c r="K313" s="203">
        <f>(K15)*((VLOOKUP($A313,Assumptions!$A$4:$N$14,COLUMNS(Assumptions!$A$4:F$14)+1,0))-(VLOOKUP($A255,Assumptions!$A$4:$N$14,COLUMNS(Assumptions!$A$4:F$14)+1,0)))</f>
        <v>-1619.271888</v>
      </c>
      <c r="L313" s="203">
        <f>(L15)*((VLOOKUP($A313,Assumptions!$A$4:$N$14,COLUMNS(Assumptions!$A$4:G$14)+1,0))-(VLOOKUP($A255,Assumptions!$A$4:$N$14,COLUMNS(Assumptions!$A$4:G$14)+1,0)))</f>
        <v>-1419.4578890000003</v>
      </c>
      <c r="M313" s="203">
        <f>(M15)*((VLOOKUP($A313,Assumptions!$A$4:$N$14,COLUMNS(Assumptions!$A$4:H$14)+1,0))-(VLOOKUP($A255,Assumptions!$A$4:$N$14,COLUMNS(Assumptions!$A$4:H$14)+1,0)))</f>
        <v>-1193.6940200000001</v>
      </c>
      <c r="N313" s="203">
        <f>(N15)*((VLOOKUP($A313,Assumptions!$A$4:$N$14,COLUMNS(Assumptions!$A$4:I$14)+1,0))-(VLOOKUP($A255,Assumptions!$A$4:$N$14,COLUMNS(Assumptions!$A$4:I$14)+1,0)))</f>
        <v>-993.88002100000006</v>
      </c>
      <c r="O313" s="203">
        <f>(O15)*((VLOOKUP($A313,Assumptions!$A$4:$N$14,COLUMNS(Assumptions!$A$4:J$14)+1,0))-(VLOOKUP($A255,Assumptions!$A$4:$N$14,COLUMNS(Assumptions!$A$4:J$14)+1,0)))</f>
        <v>-843.37077500000009</v>
      </c>
      <c r="P313" s="203">
        <f>(P15)*((VLOOKUP($A313,Assumptions!$A$4:$N$14,COLUMNS(Assumptions!$A$4:K$14)+1,0))-(VLOOKUP($A255,Assumptions!$A$4:$N$14,COLUMNS(Assumptions!$A$4:K$14)+1,0)))</f>
        <v>-747.35625599999992</v>
      </c>
      <c r="Q313" s="203">
        <f>(Q15)*((VLOOKUP($A313,Assumptions!$A$4:$N$14,COLUMNS(Assumptions!$A$4:L$14)+1,0))-(VLOOKUP($A255,Assumptions!$A$4:$N$14,COLUMNS(Assumptions!$A$4:L$14)+1,0)))</f>
        <v>-685.07656800000007</v>
      </c>
      <c r="R313" s="203">
        <f>(R15)*((VLOOKUP($A313,Assumptions!$A$4:$N$14,COLUMNS(Assumptions!$A$4:M$14)+1,0))-(VLOOKUP($A255,Assumptions!$A$4:$N$14,COLUMNS(Assumptions!$A$4:M$14)+1,0)))</f>
        <v>-643.55677600000001</v>
      </c>
      <c r="S313" s="204">
        <f t="shared" si="28"/>
        <v>-13683.366451000002</v>
      </c>
    </row>
    <row r="314" spans="1:19" ht="14">
      <c r="A314" s="185" t="s">
        <v>30</v>
      </c>
      <c r="B314" s="182" t="s">
        <v>93</v>
      </c>
      <c r="C314" s="231">
        <v>20404</v>
      </c>
      <c r="D314" s="212">
        <v>0</v>
      </c>
      <c r="E314" s="199">
        <v>1</v>
      </c>
      <c r="F314" s="211">
        <v>1</v>
      </c>
      <c r="G314" s="203">
        <f>(G16)*((VLOOKUP($A314,Assumptions!$A$4:$N$14,COLUMNS(Assumptions!$A$4:B26)+1,0))-(VLOOKUP($A256,Assumptions!$A$4:$N$14,COLUMNS(Assumptions!$A$4:B26)+1,0)))</f>
        <v>0</v>
      </c>
      <c r="H314" s="203">
        <f>(H16)*((VLOOKUP($A314,Assumptions!$A$4:$N$14,COLUMNS(Assumptions!$A$4:C$14)+1,0))-(VLOOKUP($A256,Assumptions!$A$4:$N$14,COLUMNS(Assumptions!$A$4:C$14)+1,0)))</f>
        <v>-785.97611400000005</v>
      </c>
      <c r="I314" s="203">
        <f>(I16)*((VLOOKUP($A314,Assumptions!$A$4:$N$14,COLUMNS(Assumptions!$A$4:D$14)+1,0))-(VLOOKUP($A256,Assumptions!$A$4:$N$14,COLUMNS(Assumptions!$A$4:D$14)+1,0)))</f>
        <v>-773.26490999999999</v>
      </c>
      <c r="J314" s="203">
        <f>(J16)*((VLOOKUP($A314,Assumptions!$A$4:$N$14,COLUMNS(Assumptions!$A$4:E$14)+1,0))-(VLOOKUP($A256,Assumptions!$A$4:$N$14,COLUMNS(Assumptions!$A$4:E$14)+1,0)))</f>
        <v>-701.23475400000007</v>
      </c>
      <c r="K314" s="203">
        <f>(K16)*((VLOOKUP($A314,Assumptions!$A$4:$N$14,COLUMNS(Assumptions!$A$4:F$14)+1,0))-(VLOOKUP($A256,Assumptions!$A$4:$N$14,COLUMNS(Assumptions!$A$4:F$14)+1,0)))</f>
        <v>-660.98260800000003</v>
      </c>
      <c r="L314" s="203">
        <f>(L16)*((VLOOKUP($A314,Assumptions!$A$4:$N$14,COLUMNS(Assumptions!$A$4:G$14)+1,0))-(VLOOKUP($A256,Assumptions!$A$4:$N$14,COLUMNS(Assumptions!$A$4:G$14)+1,0)))</f>
        <v>-579.41904900000009</v>
      </c>
      <c r="M314" s="203">
        <f>(M16)*((VLOOKUP($A314,Assumptions!$A$4:$N$14,COLUMNS(Assumptions!$A$4:H$14)+1,0))-(VLOOKUP($A256,Assumptions!$A$4:$N$14,COLUMNS(Assumptions!$A$4:H$14)+1,0)))</f>
        <v>-487.26282000000003</v>
      </c>
      <c r="N314" s="203">
        <f>(N16)*((VLOOKUP($A314,Assumptions!$A$4:$N$14,COLUMNS(Assumptions!$A$4:I$14)+1,0))-(VLOOKUP($A256,Assumptions!$A$4:$N$14,COLUMNS(Assumptions!$A$4:I$14)+1,0)))</f>
        <v>-405.69926100000004</v>
      </c>
      <c r="O314" s="203">
        <f>(O16)*((VLOOKUP($A314,Assumptions!$A$4:$N$14,COLUMNS(Assumptions!$A$4:J$14)+1,0))-(VLOOKUP($A256,Assumptions!$A$4:$N$14,COLUMNS(Assumptions!$A$4:J$14)+1,0)))</f>
        <v>-344.26177500000006</v>
      </c>
      <c r="P314" s="203">
        <f>(P16)*((VLOOKUP($A314,Assumptions!$A$4:$N$14,COLUMNS(Assumptions!$A$4:K$14)+1,0))-(VLOOKUP($A256,Assumptions!$A$4:$N$14,COLUMNS(Assumptions!$A$4:K$14)+1,0)))</f>
        <v>-339.628896</v>
      </c>
      <c r="Q314" s="203">
        <f>(Q16)*((VLOOKUP($A314,Assumptions!$A$4:$N$14,COLUMNS(Assumptions!$A$4:L$14)+1,0))-(VLOOKUP($A256,Assumptions!$A$4:$N$14,COLUMNS(Assumptions!$A$4:L$14)+1,0)))</f>
        <v>-311.32648800000004</v>
      </c>
      <c r="R314" s="203">
        <f>(R16)*((VLOOKUP($A314,Assumptions!$A$4:$N$14,COLUMNS(Assumptions!$A$4:M$14)+1,0))-(VLOOKUP($A256,Assumptions!$A$4:$N$14,COLUMNS(Assumptions!$A$4:M$14)+1,0)))</f>
        <v>-292.45821599999999</v>
      </c>
      <c r="S314" s="204">
        <f t="shared" si="28"/>
        <v>-5681.5148909999998</v>
      </c>
    </row>
    <row r="315" spans="1:19" ht="14">
      <c r="A315" s="185" t="s">
        <v>37</v>
      </c>
      <c r="B315" s="182" t="s">
        <v>60</v>
      </c>
      <c r="C315" s="231">
        <v>1422</v>
      </c>
      <c r="D315" s="211">
        <v>1</v>
      </c>
      <c r="E315" s="199"/>
      <c r="F315" s="211">
        <v>1</v>
      </c>
      <c r="G315" s="203">
        <f>(G17)*((VLOOKUP($A315,Assumptions!$A$4:$N$14,COLUMNS(Assumptions!$A$4:B27)+1,0))-(VLOOKUP($A257,Assumptions!$A$4:$N$14,COLUMNS(Assumptions!$A$4:B27)+1,0)))</f>
        <v>0</v>
      </c>
      <c r="H315" s="203">
        <f>(H17)*((VLOOKUP($A315,Assumptions!$A$4:$N$14,COLUMNS(Assumptions!$A$4:C$14)+1,0))-(VLOOKUP($A257,Assumptions!$A$4:$N$14,COLUMNS(Assumptions!$A$4:C$14)+1,0)))</f>
        <v>0</v>
      </c>
      <c r="I315" s="203">
        <f>(I17)*((VLOOKUP($A315,Assumptions!$A$4:$N$14,COLUMNS(Assumptions!$A$4:D$14)+1,0))-(VLOOKUP($A257,Assumptions!$A$4:$N$14,COLUMNS(Assumptions!$A$4:D$14)+1,0)))</f>
        <v>0</v>
      </c>
      <c r="J315" s="203">
        <f>(J17)*((VLOOKUP($A315,Assumptions!$A$4:$N$14,COLUMNS(Assumptions!$A$4:E$14)+1,0))-(VLOOKUP($A257,Assumptions!$A$4:$N$14,COLUMNS(Assumptions!$A$4:E$14)+1,0)))</f>
        <v>0</v>
      </c>
      <c r="K315" s="203">
        <f>(K17)*((VLOOKUP($A315,Assumptions!$A$4:$N$14,COLUMNS(Assumptions!$A$4:F$14)+1,0))-(VLOOKUP($A257,Assumptions!$A$4:$N$14,COLUMNS(Assumptions!$A$4:F$14)+1,0)))</f>
        <v>0</v>
      </c>
      <c r="L315" s="203">
        <f>(L17)*((VLOOKUP($A315,Assumptions!$A$4:$N$14,COLUMNS(Assumptions!$A$4:G$14)+1,0))-(VLOOKUP($A257,Assumptions!$A$4:$N$14,COLUMNS(Assumptions!$A$4:G$14)+1,0)))</f>
        <v>0</v>
      </c>
      <c r="M315" s="203">
        <f>(M17)*((VLOOKUP($A315,Assumptions!$A$4:$N$14,COLUMNS(Assumptions!$A$4:H$14)+1,0))-(VLOOKUP($A257,Assumptions!$A$4:$N$14,COLUMNS(Assumptions!$A$4:H$14)+1,0)))</f>
        <v>0</v>
      </c>
      <c r="N315" s="203">
        <f>(N17)*((VLOOKUP($A315,Assumptions!$A$4:$N$14,COLUMNS(Assumptions!$A$4:I$14)+1,0))-(VLOOKUP($A257,Assumptions!$A$4:$N$14,COLUMNS(Assumptions!$A$4:I$14)+1,0)))</f>
        <v>0</v>
      </c>
      <c r="O315" s="203">
        <f>(O17)*((VLOOKUP($A315,Assumptions!$A$4:$N$14,COLUMNS(Assumptions!$A$4:J$14)+1,0))-(VLOOKUP($A257,Assumptions!$A$4:$N$14,COLUMNS(Assumptions!$A$4:J$14)+1,0)))</f>
        <v>0</v>
      </c>
      <c r="P315" s="203">
        <f>(P17)*((VLOOKUP($A315,Assumptions!$A$4:$N$14,COLUMNS(Assumptions!$A$4:K$14)+1,0))-(VLOOKUP($A257,Assumptions!$A$4:$N$14,COLUMNS(Assumptions!$A$4:K$14)+1,0)))</f>
        <v>0</v>
      </c>
      <c r="Q315" s="203">
        <f>(Q17)*((VLOOKUP($A315,Assumptions!$A$4:$N$14,COLUMNS(Assumptions!$A$4:L$14)+1,0))-(VLOOKUP($A257,Assumptions!$A$4:$N$14,COLUMNS(Assumptions!$A$4:L$14)+1,0)))</f>
        <v>0</v>
      </c>
      <c r="R315" s="203">
        <f>(R17)*((VLOOKUP($A315,Assumptions!$A$4:$N$14,COLUMNS(Assumptions!$A$4:M$14)+1,0))-(VLOOKUP($A257,Assumptions!$A$4:$N$14,COLUMNS(Assumptions!$A$4:M$14)+1,0)))</f>
        <v>0</v>
      </c>
      <c r="S315" s="204">
        <f t="shared" si="28"/>
        <v>0</v>
      </c>
    </row>
    <row r="316" spans="1:19" ht="14">
      <c r="A316" s="185" t="s">
        <v>66</v>
      </c>
      <c r="B316" s="182" t="s">
        <v>170</v>
      </c>
      <c r="C316" s="231">
        <v>17363.8</v>
      </c>
      <c r="D316" s="212">
        <v>0</v>
      </c>
      <c r="E316" s="199"/>
      <c r="F316" s="211">
        <v>1</v>
      </c>
      <c r="G316" s="203">
        <f>(G18)*((VLOOKUP($A316,Assumptions!$A$4:$N$14,COLUMNS(Assumptions!$A$4:B28)+1,0))-(VLOOKUP($A258,Assumptions!$A$4:$N$14,COLUMNS(Assumptions!$A$4:B28)+1,0)))</f>
        <v>0</v>
      </c>
      <c r="H316" s="203">
        <f>(H18)*((VLOOKUP($A316,Assumptions!$A$4:$N$14,COLUMNS(Assumptions!$A$4:C$14)+1,0))-(VLOOKUP($A258,Assumptions!$A$4:$N$14,COLUMNS(Assumptions!$A$4:C$14)+1,0)))</f>
        <v>-581.93167900000003</v>
      </c>
      <c r="I316" s="203">
        <f>(I18)*((VLOOKUP($A316,Assumptions!$A$4:$N$14,COLUMNS(Assumptions!$A$4:D$14)+1,0))-(VLOOKUP($A258,Assumptions!$A$4:$N$14,COLUMNS(Assumptions!$A$4:D$14)+1,0)))</f>
        <v>-1145.0407700000001</v>
      </c>
      <c r="J316" s="203">
        <f>(J18)*((VLOOKUP($A316,Assumptions!$A$4:$N$14,COLUMNS(Assumptions!$A$4:E$14)+1,0))-(VLOOKUP($A258,Assumptions!$A$4:$N$14,COLUMNS(Assumptions!$A$4:E$14)+1,0)))</f>
        <v>-1038.3794379999999</v>
      </c>
      <c r="K316" s="203">
        <f>(K18)*((VLOOKUP($A316,Assumptions!$A$4:$N$14,COLUMNS(Assumptions!$A$4:F$14)+1,0))-(VLOOKUP($A258,Assumptions!$A$4:$N$14,COLUMNS(Assumptions!$A$4:F$14)+1,0)))</f>
        <v>-963.174576</v>
      </c>
      <c r="L316" s="203">
        <f>(L18)*((VLOOKUP($A316,Assumptions!$A$4:$N$14,COLUMNS(Assumptions!$A$4:G$14)+1,0))-(VLOOKUP($A258,Assumptions!$A$4:$N$14,COLUMNS(Assumptions!$A$4:G$14)+1,0)))</f>
        <v>-827.91130300000009</v>
      </c>
      <c r="M316" s="203">
        <f>(M18)*((VLOOKUP($A316,Assumptions!$A$4:$N$14,COLUMNS(Assumptions!$A$4:H$14)+1,0))-(VLOOKUP($A258,Assumptions!$A$4:$N$14,COLUMNS(Assumptions!$A$4:H$14)+1,0)))</f>
        <v>-696.23253999999997</v>
      </c>
      <c r="N316" s="203">
        <f>(N18)*((VLOOKUP($A316,Assumptions!$A$4:$N$14,COLUMNS(Assumptions!$A$4:I$14)+1,0))-(VLOOKUP($A258,Assumptions!$A$4:$N$14,COLUMNS(Assumptions!$A$4:I$14)+1,0)))</f>
        <v>-579.68926699999997</v>
      </c>
      <c r="O316" s="203">
        <f>(O18)*((VLOOKUP($A316,Assumptions!$A$4:$N$14,COLUMNS(Assumptions!$A$4:J$14)+1,0))-(VLOOKUP($A258,Assumptions!$A$4:$N$14,COLUMNS(Assumptions!$A$4:J$14)+1,0)))</f>
        <v>-365.15342500000003</v>
      </c>
      <c r="P316" s="203">
        <f>(P18)*((VLOOKUP($A316,Assumptions!$A$4:$N$14,COLUMNS(Assumptions!$A$4:K$14)+1,0))-(VLOOKUP($A258,Assumptions!$A$4:$N$14,COLUMNS(Assumptions!$A$4:K$14)+1,0)))</f>
        <v>-323.582112</v>
      </c>
      <c r="Q316" s="203">
        <f>(Q18)*((VLOOKUP($A316,Assumptions!$A$4:$N$14,COLUMNS(Assumptions!$A$4:L$14)+1,0))-(VLOOKUP($A258,Assumptions!$A$4:$N$14,COLUMNS(Assumptions!$A$4:L$14)+1,0)))</f>
        <v>-296.61693600000001</v>
      </c>
      <c r="R316" s="203">
        <f>(R18)*((VLOOKUP($A316,Assumptions!$A$4:$N$14,COLUMNS(Assumptions!$A$4:M$14)+1,0))-(VLOOKUP($A258,Assumptions!$A$4:$N$14,COLUMNS(Assumptions!$A$4:M$14)+1,0)))</f>
        <v>-278.640152</v>
      </c>
      <c r="S316" s="204">
        <f t="shared" si="28"/>
        <v>-7096.3521980000005</v>
      </c>
    </row>
    <row r="317" spans="1:19" ht="14">
      <c r="A317" s="185" t="s">
        <v>48</v>
      </c>
      <c r="B317" s="182" t="s">
        <v>168</v>
      </c>
      <c r="C317" s="231">
        <v>24784</v>
      </c>
      <c r="D317" s="212">
        <v>0</v>
      </c>
      <c r="E317" s="199"/>
      <c r="F317" s="211">
        <v>1</v>
      </c>
      <c r="G317" s="203">
        <f>(G19)*((VLOOKUP($A317,Assumptions!$A$4:$N$14,COLUMNS(Assumptions!$A$4:B29)+1,0))-(VLOOKUP($A259,Assumptions!$A$4:$N$14,COLUMNS(Assumptions!$A$4:B29)+1,0)))</f>
        <v>0</v>
      </c>
      <c r="H317" s="203">
        <f>(H19)*((VLOOKUP($A317,Assumptions!$A$4:$N$14,COLUMNS(Assumptions!$A$4:C$14)+1,0))-(VLOOKUP($A259,Assumptions!$A$4:$N$14,COLUMNS(Assumptions!$A$4:C$14)+1,0)))</f>
        <v>-393.71508</v>
      </c>
      <c r="I317" s="203">
        <f>(I19)*((VLOOKUP($A317,Assumptions!$A$4:$N$14,COLUMNS(Assumptions!$A$4:D$14)+1,0))-(VLOOKUP($A259,Assumptions!$A$4:$N$14,COLUMNS(Assumptions!$A$4:D$14)+1,0)))</f>
        <v>-550.30630499999995</v>
      </c>
      <c r="J317" s="203">
        <f>(J19)*((VLOOKUP($A317,Assumptions!$A$4:$N$14,COLUMNS(Assumptions!$A$4:E$14)+1,0))-(VLOOKUP($A259,Assumptions!$A$4:$N$14,COLUMNS(Assumptions!$A$4:E$14)+1,0)))</f>
        <v>-486.77500800000007</v>
      </c>
      <c r="K317" s="203">
        <f>(K19)*((VLOOKUP($A317,Assumptions!$A$4:$N$14,COLUMNS(Assumptions!$A$4:F$14)+1,0))-(VLOOKUP($A259,Assumptions!$A$4:$N$14,COLUMNS(Assumptions!$A$4:F$14)+1,0)))</f>
        <v>-457.246377</v>
      </c>
      <c r="L317" s="203">
        <f>(L19)*((VLOOKUP($A317,Assumptions!$A$4:$N$14,COLUMNS(Assumptions!$A$4:G$14)+1,0))-(VLOOKUP($A259,Assumptions!$A$4:$N$14,COLUMNS(Assumptions!$A$4:G$14)+1,0)))</f>
        <v>-411.53497399999998</v>
      </c>
      <c r="M317" s="203">
        <f>(M19)*((VLOOKUP($A317,Assumptions!$A$4:$N$14,COLUMNS(Assumptions!$A$4:H$14)+1,0))-(VLOOKUP($A259,Assumptions!$A$4:$N$14,COLUMNS(Assumptions!$A$4:H$14)+1,0)))</f>
        <v>-388.48218500000002</v>
      </c>
      <c r="N317" s="203">
        <f>(N19)*((VLOOKUP($A317,Assumptions!$A$4:$N$14,COLUMNS(Assumptions!$A$4:I$14)+1,0))-(VLOOKUP($A259,Assumptions!$A$4:$N$14,COLUMNS(Assumptions!$A$4:I$14)+1,0)))</f>
        <v>-366.28320300000001</v>
      </c>
      <c r="O317" s="203">
        <f>(O19)*((VLOOKUP($A317,Assumptions!$A$4:$N$14,COLUMNS(Assumptions!$A$4:J$14)+1,0))-(VLOOKUP($A259,Assumptions!$A$4:$N$14,COLUMNS(Assumptions!$A$4:J$14)+1,0)))</f>
        <v>-344.93802800000003</v>
      </c>
      <c r="P317" s="203">
        <f>(P19)*((VLOOKUP($A317,Assumptions!$A$4:$N$14,COLUMNS(Assumptions!$A$4:K$14)+1,0))-(VLOOKUP($A259,Assumptions!$A$4:$N$14,COLUMNS(Assumptions!$A$4:K$14)+1,0)))</f>
        <v>-326.15427399999999</v>
      </c>
      <c r="Q317" s="203">
        <f>(Q19)*((VLOOKUP($A317,Assumptions!$A$4:$N$14,COLUMNS(Assumptions!$A$4:L$14)+1,0))-(VLOOKUP($A259,Assumptions!$A$4:$N$14,COLUMNS(Assumptions!$A$4:L$14)+1,0)))</f>
        <v>-314.20097600000003</v>
      </c>
      <c r="R317" s="203">
        <f>(R19)*((VLOOKUP($A317,Assumptions!$A$4:$N$14,COLUMNS(Assumptions!$A$4:M$14)+1,0))-(VLOOKUP($A259,Assumptions!$A$4:$N$14,COLUMNS(Assumptions!$A$4:M$14)+1,0)))</f>
        <v>-299.68625700000001</v>
      </c>
      <c r="S317" s="204">
        <f t="shared" si="28"/>
        <v>-4339.3226670000004</v>
      </c>
    </row>
    <row r="318" spans="1:19" ht="14">
      <c r="A318" s="185" t="s">
        <v>30</v>
      </c>
      <c r="B318" s="182" t="s">
        <v>123</v>
      </c>
      <c r="C318" s="231">
        <v>23555.5</v>
      </c>
      <c r="D318" s="211">
        <v>0</v>
      </c>
      <c r="E318" s="199"/>
      <c r="F318" s="211">
        <v>1</v>
      </c>
      <c r="G318" s="203">
        <f>(G20)*((VLOOKUP($A318,Assumptions!$A$4:$N$14,COLUMNS(Assumptions!$A$4:B30)+1,0))-(VLOOKUP($A260,Assumptions!$A$4:$N$14,COLUMNS(Assumptions!$A$4:B30)+1,0)))</f>
        <v>0</v>
      </c>
      <c r="H318" s="203">
        <f>(H20)*((VLOOKUP($A318,Assumptions!$A$4:$N$14,COLUMNS(Assumptions!$A$4:C$14)+1,0))-(VLOOKUP($A260,Assumptions!$A$4:$N$14,COLUMNS(Assumptions!$A$4:C$14)+1,0)))</f>
        <v>-686.13853000000006</v>
      </c>
      <c r="I318" s="203">
        <f>(I20)*((VLOOKUP($A318,Assumptions!$A$4:$N$14,COLUMNS(Assumptions!$A$4:D$14)+1,0))-(VLOOKUP($A260,Assumptions!$A$4:$N$14,COLUMNS(Assumptions!$A$4:D$14)+1,0)))</f>
        <v>-675.04195000000004</v>
      </c>
      <c r="J318" s="203">
        <f>(J20)*((VLOOKUP($A318,Assumptions!$A$4:$N$14,COLUMNS(Assumptions!$A$4:E$14)+1,0))-(VLOOKUP($A260,Assumptions!$A$4:$N$14,COLUMNS(Assumptions!$A$4:E$14)+1,0)))</f>
        <v>-612.16133000000002</v>
      </c>
      <c r="K318" s="203">
        <f>(K20)*((VLOOKUP($A318,Assumptions!$A$4:$N$14,COLUMNS(Assumptions!$A$4:F$14)+1,0))-(VLOOKUP($A260,Assumptions!$A$4:$N$14,COLUMNS(Assumptions!$A$4:F$14)+1,0)))</f>
        <v>-577.02215999999999</v>
      </c>
      <c r="L318" s="203">
        <f>(L20)*((VLOOKUP($A318,Assumptions!$A$4:$N$14,COLUMNS(Assumptions!$A$4:G$14)+1,0))-(VLOOKUP($A260,Assumptions!$A$4:$N$14,COLUMNS(Assumptions!$A$4:G$14)+1,0)))</f>
        <v>-505.81910500000004</v>
      </c>
      <c r="M318" s="203">
        <f>(M20)*((VLOOKUP($A318,Assumptions!$A$4:$N$14,COLUMNS(Assumptions!$A$4:H$14)+1,0))-(VLOOKUP($A260,Assumptions!$A$4:$N$14,COLUMNS(Assumptions!$A$4:H$14)+1,0)))</f>
        <v>-425.36890000000005</v>
      </c>
      <c r="N318" s="203">
        <f>(N20)*((VLOOKUP($A318,Assumptions!$A$4:$N$14,COLUMNS(Assumptions!$A$4:I$14)+1,0))-(VLOOKUP($A260,Assumptions!$A$4:$N$14,COLUMNS(Assumptions!$A$4:I$14)+1,0)))</f>
        <v>-354.16584500000005</v>
      </c>
      <c r="O318" s="203">
        <f>(O20)*((VLOOKUP($A318,Assumptions!$A$4:$N$14,COLUMNS(Assumptions!$A$4:J$14)+1,0))-(VLOOKUP($A260,Assumptions!$A$4:$N$14,COLUMNS(Assumptions!$A$4:J$14)+1,0)))</f>
        <v>-300.532375</v>
      </c>
      <c r="P318" s="203">
        <f>(P20)*((VLOOKUP($A318,Assumptions!$A$4:$N$14,COLUMNS(Assumptions!$A$4:K$14)+1,0))-(VLOOKUP($A260,Assumptions!$A$4:$N$14,COLUMNS(Assumptions!$A$4:K$14)+1,0)))</f>
        <v>-266.31792000000002</v>
      </c>
      <c r="Q318" s="203">
        <f>(Q20)*((VLOOKUP($A318,Assumptions!$A$4:$N$14,COLUMNS(Assumptions!$A$4:L$14)+1,0))-(VLOOKUP($A260,Assumptions!$A$4:$N$14,COLUMNS(Assumptions!$A$4:L$14)+1,0)))</f>
        <v>-244.12476000000001</v>
      </c>
      <c r="R318" s="203">
        <f>(R20)*((VLOOKUP($A318,Assumptions!$A$4:$N$14,COLUMNS(Assumptions!$A$4:M$14)+1,0))-(VLOOKUP($A260,Assumptions!$A$4:$N$14,COLUMNS(Assumptions!$A$4:M$14)+1,0)))</f>
        <v>-229.32932</v>
      </c>
      <c r="S318" s="204">
        <f t="shared" si="28"/>
        <v>-4876.0221949999996</v>
      </c>
    </row>
    <row r="319" spans="1:19" ht="14">
      <c r="A319" s="185" t="s">
        <v>63</v>
      </c>
      <c r="B319" s="182" t="s">
        <v>64</v>
      </c>
      <c r="C319" s="231">
        <v>61127</v>
      </c>
      <c r="D319" s="211">
        <v>0.5</v>
      </c>
      <c r="E319" s="199"/>
      <c r="F319" s="211"/>
      <c r="G319" s="203">
        <f>(G21)*((VLOOKUP($A319,Assumptions!$A$4:$N$14,COLUMNS(Assumptions!$A$4:B31)+1,0))-(VLOOKUP($A261,Assumptions!$A$4:$N$14,COLUMNS(Assumptions!$A$4:B31)+1,0)))</f>
        <v>0</v>
      </c>
      <c r="H319" s="203">
        <f>(H21)*((VLOOKUP($A319,Assumptions!$A$4:$N$14,COLUMNS(Assumptions!$A$4:C$14)+1,0))-(VLOOKUP($A261,Assumptions!$A$4:$N$14,COLUMNS(Assumptions!$A$4:C$14)+1,0)))</f>
        <v>-1642.1247899999998</v>
      </c>
      <c r="I319" s="203">
        <f>(I21)*((VLOOKUP($A319,Assumptions!$A$4:$N$14,COLUMNS(Assumptions!$A$4:D$14)+1,0))-(VLOOKUP($A261,Assumptions!$A$4:$N$14,COLUMNS(Assumptions!$A$4:D$14)+1,0)))</f>
        <v>-1597.3192022783082</v>
      </c>
      <c r="J319" s="203">
        <f>(J21)*((VLOOKUP($A319,Assumptions!$A$4:$N$14,COLUMNS(Assumptions!$A$4:E$14)+1,0))-(VLOOKUP($A261,Assumptions!$A$4:$N$14,COLUMNS(Assumptions!$A$4:E$14)+1,0)))</f>
        <v>-1517.4532421643928</v>
      </c>
      <c r="K319" s="203">
        <f>(K21)*((VLOOKUP($A319,Assumptions!$A$4:$N$14,COLUMNS(Assumptions!$A$4:F$14)+1,0))-(VLOOKUP($A261,Assumptions!$A$4:$N$14,COLUMNS(Assumptions!$A$4:F$14)+1,0)))</f>
        <v>-1365.7079179479535</v>
      </c>
      <c r="L319" s="203">
        <f>(L21)*((VLOOKUP($A319,Assumptions!$A$4:$N$14,COLUMNS(Assumptions!$A$4:G$14)+1,0))-(VLOOKUP($A261,Assumptions!$A$4:$N$14,COLUMNS(Assumptions!$A$4:G$14)+1,0)))</f>
        <v>-1396.3026397553101</v>
      </c>
      <c r="M319" s="203">
        <f>(M21)*((VLOOKUP($A319,Assumptions!$A$4:$N$14,COLUMNS(Assumptions!$A$4:H$14)+1,0))-(VLOOKUP($A261,Assumptions!$A$4:$N$14,COLUMNS(Assumptions!$A$4:H$14)+1,0)))</f>
        <v>-1298.5614549724385</v>
      </c>
      <c r="N319" s="203">
        <f>(N21)*((VLOOKUP($A319,Assumptions!$A$4:$N$14,COLUMNS(Assumptions!$A$4:I$14)+1,0))-(VLOOKUP($A261,Assumptions!$A$4:$N$14,COLUMNS(Assumptions!$A$4:I$14)+1,0)))</f>
        <v>-1233.6333822238166</v>
      </c>
      <c r="O319" s="203">
        <f>(O21)*((VLOOKUP($A319,Assumptions!$A$4:$N$14,COLUMNS(Assumptions!$A$4:J$14)+1,0))-(VLOOKUP($A261,Assumptions!$A$4:$N$14,COLUMNS(Assumptions!$A$4:J$14)+1,0)))</f>
        <v>-1171.9517131126258</v>
      </c>
      <c r="P319" s="203">
        <f>(P21)*((VLOOKUP($A319,Assumptions!$A$4:$N$14,COLUMNS(Assumptions!$A$4:K$14)+1,0))-(VLOOKUP($A261,Assumptions!$A$4:$N$14,COLUMNS(Assumptions!$A$4:K$14)+1,0)))</f>
        <v>-1113.3541274569943</v>
      </c>
      <c r="Q319" s="203">
        <f>(Q21)*((VLOOKUP($A319,Assumptions!$A$4:$N$14,COLUMNS(Assumptions!$A$4:L$14)+1,0))-(VLOOKUP($A261,Assumptions!$A$4:$N$14,COLUMNS(Assumptions!$A$4:L$14)+1,0)))</f>
        <v>-1057.6864210841447</v>
      </c>
      <c r="R319" s="203">
        <f>(R21)*((VLOOKUP($A319,Assumptions!$A$4:$N$14,COLUMNS(Assumptions!$A$4:M$14)+1,0))-(VLOOKUP($A261,Assumptions!$A$4:$N$14,COLUMNS(Assumptions!$A$4:M$14)+1,0)))</f>
        <v>-1004.8021000299375</v>
      </c>
      <c r="S319" s="204">
        <f t="shared" si="28"/>
        <v>-14398.896991025922</v>
      </c>
    </row>
    <row r="320" spans="1:19" ht="14">
      <c r="A320" s="185" t="s">
        <v>66</v>
      </c>
      <c r="B320" s="182" t="s">
        <v>95</v>
      </c>
      <c r="C320" s="231">
        <v>41253</v>
      </c>
      <c r="D320" s="212">
        <v>0</v>
      </c>
      <c r="E320" s="199">
        <v>0.5</v>
      </c>
      <c r="F320" s="211"/>
      <c r="G320" s="203">
        <f>(G22)*((VLOOKUP($A320,Assumptions!$A$4:$N$14,COLUMNS(Assumptions!$A$4:B32)+1,0))-(VLOOKUP($A262,Assumptions!$A$4:$N$14,COLUMNS(Assumptions!$A$4:B32)+1,0)))</f>
        <v>0</v>
      </c>
      <c r="H320" s="203">
        <f>(H22)*((VLOOKUP($A320,Assumptions!$A$4:$N$14,COLUMNS(Assumptions!$A$4:C$14)+1,0))-(VLOOKUP($A262,Assumptions!$A$4:$N$14,COLUMNS(Assumptions!$A$4:C$14)+1,0)))</f>
        <v>-880.34181899999999</v>
      </c>
      <c r="I320" s="203">
        <f>(I22)*((VLOOKUP($A320,Assumptions!$A$4:$N$14,COLUMNS(Assumptions!$A$4:D$14)+1,0))-(VLOOKUP($A262,Assumptions!$A$4:$N$14,COLUMNS(Assumptions!$A$4:D$14)+1,0)))</f>
        <v>-1732.2089700000001</v>
      </c>
      <c r="J320" s="203">
        <f>(J22)*((VLOOKUP($A320,Assumptions!$A$4:$N$14,COLUMNS(Assumptions!$A$4:E$14)+1,0))-(VLOOKUP($A262,Assumptions!$A$4:$N$14,COLUMNS(Assumptions!$A$4:E$14)+1,0)))</f>
        <v>-1570.8525180000001</v>
      </c>
      <c r="K320" s="203">
        <f>(K22)*((VLOOKUP($A320,Assumptions!$A$4:$N$14,COLUMNS(Assumptions!$A$4:F$14)+1,0))-(VLOOKUP($A262,Assumptions!$A$4:$N$14,COLUMNS(Assumptions!$A$4:F$14)+1,0)))</f>
        <v>-1480.682736</v>
      </c>
      <c r="L320" s="203">
        <f>(L22)*((VLOOKUP($A320,Assumptions!$A$4:$N$14,COLUMNS(Assumptions!$A$4:G$14)+1,0))-(VLOOKUP($A262,Assumptions!$A$4:$N$14,COLUMNS(Assumptions!$A$4:G$14)+1,0)))</f>
        <v>-1297.9702830000001</v>
      </c>
      <c r="M320" s="203">
        <f>(M22)*((VLOOKUP($A320,Assumptions!$A$4:$N$14,COLUMNS(Assumptions!$A$4:H$14)+1,0))-(VLOOKUP($A262,Assumptions!$A$4:$N$14,COLUMNS(Assumptions!$A$4:H$14)+1,0)))</f>
        <v>-1091.5289400000001</v>
      </c>
      <c r="N320" s="203">
        <f>(N22)*((VLOOKUP($A320,Assumptions!$A$4:$N$14,COLUMNS(Assumptions!$A$4:I$14)+1,0))-(VLOOKUP($A262,Assumptions!$A$4:$N$14,COLUMNS(Assumptions!$A$4:I$14)+1,0)))</f>
        <v>-908.81648700000005</v>
      </c>
      <c r="O320" s="203">
        <f>(O22)*((VLOOKUP($A320,Assumptions!$A$4:$N$14,COLUMNS(Assumptions!$A$4:J$14)+1,0))-(VLOOKUP($A262,Assumptions!$A$4:$N$14,COLUMNS(Assumptions!$A$4:J$14)+1,0)))</f>
        <v>-771.18892500000004</v>
      </c>
      <c r="P320" s="203">
        <f>(P22)*((VLOOKUP($A320,Assumptions!$A$4:$N$14,COLUMNS(Assumptions!$A$4:K$14)+1,0))-(VLOOKUP($A262,Assumptions!$A$4:$N$14,COLUMNS(Assumptions!$A$4:K$14)+1,0)))</f>
        <v>-683.39203199999997</v>
      </c>
      <c r="Q320" s="203">
        <f>(Q22)*((VLOOKUP($A320,Assumptions!$A$4:$N$14,COLUMNS(Assumptions!$A$4:L$14)+1,0))-(VLOOKUP($A262,Assumptions!$A$4:$N$14,COLUMNS(Assumptions!$A$4:L$14)+1,0)))</f>
        <v>-626.44269600000007</v>
      </c>
      <c r="R320" s="203">
        <f>(R22)*((VLOOKUP($A320,Assumptions!$A$4:$N$14,COLUMNS(Assumptions!$A$4:M$14)+1,0))-(VLOOKUP($A262,Assumptions!$A$4:$N$14,COLUMNS(Assumptions!$A$4:M$14)+1,0)))</f>
        <v>-588.47647200000006</v>
      </c>
      <c r="S320" s="204">
        <f t="shared" si="28"/>
        <v>-11631.901878000001</v>
      </c>
    </row>
    <row r="321" spans="1:19" ht="14">
      <c r="A321" s="185" t="s">
        <v>66</v>
      </c>
      <c r="B321" s="198" t="s">
        <v>133</v>
      </c>
      <c r="C321" s="231">
        <v>8227.2000000000007</v>
      </c>
      <c r="D321" s="212">
        <v>0</v>
      </c>
      <c r="E321" s="199"/>
      <c r="F321" s="211">
        <v>1</v>
      </c>
      <c r="G321" s="203">
        <f>(G23)*((VLOOKUP($A321,Assumptions!$A$4:$N$14,COLUMNS(Assumptions!$A$4:B33)+1,0))-(VLOOKUP($A263,Assumptions!$A$4:$N$14,COLUMNS(Assumptions!$A$4:B33)+1,0)))</f>
        <v>0</v>
      </c>
      <c r="H321" s="203">
        <f>(H23)*((VLOOKUP($A321,Assumptions!$A$4:$N$14,COLUMNS(Assumptions!$A$4:C$14)+1,0))-(VLOOKUP($A263,Assumptions!$A$4:$N$14,COLUMNS(Assumptions!$A$4:C$14)+1,0)))</f>
        <v>-203.29991219999999</v>
      </c>
      <c r="I321" s="203">
        <f>(I23)*((VLOOKUP($A321,Assumptions!$A$4:$N$14,COLUMNS(Assumptions!$A$4:D$14)+1,0))-(VLOOKUP($A263,Assumptions!$A$4:$N$14,COLUMNS(Assumptions!$A$4:D$14)+1,0)))</f>
        <v>-400.02408600000001</v>
      </c>
      <c r="J321" s="203">
        <f>(J23)*((VLOOKUP($A321,Assumptions!$A$4:$N$14,COLUMNS(Assumptions!$A$4:E$14)+1,0))-(VLOOKUP($A263,Assumptions!$A$4:$N$14,COLUMNS(Assumptions!$A$4:E$14)+1,0)))</f>
        <v>-362.76156840000004</v>
      </c>
      <c r="K321" s="203">
        <f>(K23)*((VLOOKUP($A321,Assumptions!$A$4:$N$14,COLUMNS(Assumptions!$A$4:F$14)+1,0))-(VLOOKUP($A263,Assumptions!$A$4:$N$14,COLUMNS(Assumptions!$A$4:F$14)+1,0)))</f>
        <v>-341.93839680000002</v>
      </c>
      <c r="L321" s="203">
        <f>(L23)*((VLOOKUP($A321,Assumptions!$A$4:$N$14,COLUMNS(Assumptions!$A$4:G$14)+1,0))-(VLOOKUP($A263,Assumptions!$A$4:$N$14,COLUMNS(Assumptions!$A$4:G$14)+1,0)))</f>
        <v>-299.74407540000004</v>
      </c>
      <c r="M321" s="203">
        <f>(M23)*((VLOOKUP($A321,Assumptions!$A$4:$N$14,COLUMNS(Assumptions!$A$4:H$14)+1,0))-(VLOOKUP($A263,Assumptions!$A$4:$N$14,COLUMNS(Assumptions!$A$4:H$14)+1,0)))</f>
        <v>-252.06997200000001</v>
      </c>
      <c r="N321" s="203">
        <f>(N23)*((VLOOKUP($A321,Assumptions!$A$4:$N$14,COLUMNS(Assumptions!$A$4:I$14)+1,0))-(VLOOKUP($A263,Assumptions!$A$4:$N$14,COLUMNS(Assumptions!$A$4:I$14)+1,0)))</f>
        <v>-209.8756506</v>
      </c>
      <c r="O321" s="203">
        <f>(O23)*((VLOOKUP($A321,Assumptions!$A$4:$N$14,COLUMNS(Assumptions!$A$4:J$14)+1,0))-(VLOOKUP($A263,Assumptions!$A$4:$N$14,COLUMNS(Assumptions!$A$4:J$14)+1,0)))</f>
        <v>-178.092915</v>
      </c>
      <c r="P321" s="203">
        <f>(P23)*((VLOOKUP($A321,Assumptions!$A$4:$N$14,COLUMNS(Assumptions!$A$4:K$14)+1,0))-(VLOOKUP($A263,Assumptions!$A$4:$N$14,COLUMNS(Assumptions!$A$4:K$14)+1,0)))</f>
        <v>-157.8177216</v>
      </c>
      <c r="Q321" s="203">
        <f>(Q23)*((VLOOKUP($A321,Assumptions!$A$4:$N$14,COLUMNS(Assumptions!$A$4:L$14)+1,0))-(VLOOKUP($A263,Assumptions!$A$4:$N$14,COLUMNS(Assumptions!$A$4:L$14)+1,0)))</f>
        <v>-144.66624480000002</v>
      </c>
      <c r="R321" s="203">
        <f>(R23)*((VLOOKUP($A321,Assumptions!$A$4:$N$14,COLUMNS(Assumptions!$A$4:M$14)+1,0))-(VLOOKUP($A263,Assumptions!$A$4:$N$14,COLUMNS(Assumptions!$A$4:M$14)+1,0)))</f>
        <v>-135.8985936</v>
      </c>
      <c r="S321" s="204">
        <f t="shared" si="28"/>
        <v>-2686.1891364000003</v>
      </c>
    </row>
    <row r="322" spans="1:19" ht="14">
      <c r="A322" s="185" t="s">
        <v>178</v>
      </c>
      <c r="B322" s="198" t="s">
        <v>140</v>
      </c>
      <c r="C322" s="231">
        <v>20861</v>
      </c>
      <c r="D322" s="212">
        <v>1</v>
      </c>
      <c r="E322" s="199"/>
      <c r="F322" s="211">
        <v>0</v>
      </c>
      <c r="G322" s="203">
        <f>(G24)*((VLOOKUP($A322,Assumptions!$A$4:$N$14,COLUMNS(Assumptions!$A$4:B34)+1,0))-(VLOOKUP($A264,Assumptions!$A$4:$N$14,COLUMNS(Assumptions!$A$4:B34)+1,0)))</f>
        <v>0</v>
      </c>
      <c r="H322" s="203">
        <f>(H24)*((VLOOKUP($A322,Assumptions!$A$4:$N$14,COLUMNS(Assumptions!$A$4:C$14)+1,0))-(VLOOKUP($A264,Assumptions!$A$4:$N$14,COLUMNS(Assumptions!$A$4:C$14)+1,0)))</f>
        <v>-825.06541600000003</v>
      </c>
      <c r="I322" s="203">
        <f>(I24)*((VLOOKUP($A322,Assumptions!$A$4:$N$14,COLUMNS(Assumptions!$A$4:D$14)+1,0))-(VLOOKUP($A264,Assumptions!$A$4:$N$14,COLUMNS(Assumptions!$A$4:D$14)+1,0)))</f>
        <v>-811.72203999999999</v>
      </c>
      <c r="J322" s="203">
        <f>(J24)*((VLOOKUP($A322,Assumptions!$A$4:$N$14,COLUMNS(Assumptions!$A$4:E$14)+1,0))-(VLOOKUP($A264,Assumptions!$A$4:$N$14,COLUMNS(Assumptions!$A$4:E$14)+1,0)))</f>
        <v>-736.10957600000006</v>
      </c>
      <c r="K322" s="203">
        <f>(K24)*((VLOOKUP($A322,Assumptions!$A$4:$N$14,COLUMNS(Assumptions!$A$4:F$14)+1,0))-(VLOOKUP($A264,Assumptions!$A$4:$N$14,COLUMNS(Assumptions!$A$4:F$14)+1,0)))</f>
        <v>-693.8555520000001</v>
      </c>
      <c r="L322" s="203">
        <f>(L24)*((VLOOKUP($A322,Assumptions!$A$4:$N$14,COLUMNS(Assumptions!$A$4:G$14)+1,0))-(VLOOKUP($A264,Assumptions!$A$4:$N$14,COLUMNS(Assumptions!$A$4:G$14)+1,0)))</f>
        <v>-608.23555600000009</v>
      </c>
      <c r="M322" s="203">
        <f>(M24)*((VLOOKUP($A322,Assumptions!$A$4:$N$14,COLUMNS(Assumptions!$A$4:H$14)+1,0))-(VLOOKUP($A264,Assumptions!$A$4:$N$14,COLUMNS(Assumptions!$A$4:H$14)+1,0)))</f>
        <v>-511.49608000000006</v>
      </c>
      <c r="N322" s="203">
        <f>(N24)*((VLOOKUP($A322,Assumptions!$A$4:$N$14,COLUMNS(Assumptions!$A$4:I$14)+1,0))-(VLOOKUP($A264,Assumptions!$A$4:$N$14,COLUMNS(Assumptions!$A$4:I$14)+1,0)))</f>
        <v>-425.87608400000005</v>
      </c>
      <c r="O322" s="203">
        <f>(O24)*((VLOOKUP($A322,Assumptions!$A$4:$N$14,COLUMNS(Assumptions!$A$4:J$14)+1,0))-(VLOOKUP($A264,Assumptions!$A$4:$N$14,COLUMNS(Assumptions!$A$4:J$14)+1,0)))</f>
        <v>-361.38310000000007</v>
      </c>
      <c r="P322" s="203">
        <f>(P24)*((VLOOKUP($A322,Assumptions!$A$4:$N$14,COLUMNS(Assumptions!$A$4:K$14)+1,0))-(VLOOKUP($A264,Assumptions!$A$4:$N$14,COLUMNS(Assumptions!$A$4:K$14)+1,0)))</f>
        <v>-320.24102399999998</v>
      </c>
      <c r="Q322" s="203">
        <f>(Q24)*((VLOOKUP($A322,Assumptions!$A$4:$N$14,COLUMNS(Assumptions!$A$4:L$14)+1,0))-(VLOOKUP($A264,Assumptions!$A$4:$N$14,COLUMNS(Assumptions!$A$4:L$14)+1,0)))</f>
        <v>-293.55427200000003</v>
      </c>
      <c r="R322" s="203">
        <f>(R24)*((VLOOKUP($A322,Assumptions!$A$4:$N$14,COLUMNS(Assumptions!$A$4:M$14)+1,0))-(VLOOKUP($A264,Assumptions!$A$4:$N$14,COLUMNS(Assumptions!$A$4:M$14)+1,0)))</f>
        <v>-275.763104</v>
      </c>
      <c r="S322" s="204">
        <f t="shared" si="28"/>
        <v>-5863.3018040000006</v>
      </c>
    </row>
    <row r="323" spans="1:19" ht="14">
      <c r="A323" s="185" t="s">
        <v>37</v>
      </c>
      <c r="B323" s="182" t="s">
        <v>166</v>
      </c>
      <c r="C323" s="231">
        <v>15723.1</v>
      </c>
      <c r="D323" s="212">
        <v>0</v>
      </c>
      <c r="E323" s="199"/>
      <c r="F323" s="211">
        <v>1</v>
      </c>
      <c r="G323" s="203">
        <f>(G25)*((VLOOKUP($A323,Assumptions!$A$4:$N$14,COLUMNS(Assumptions!$A$4:B35)+1,0))-(VLOOKUP($A265,Assumptions!$A$4:$N$14,COLUMNS(Assumptions!$A$4:B35)+1,0)))</f>
        <v>0</v>
      </c>
      <c r="H323" s="203">
        <f>(H25)*((VLOOKUP($A323,Assumptions!$A$4:$N$14,COLUMNS(Assumptions!$A$4:C$14)+1,0))-(VLOOKUP($A265,Assumptions!$A$4:$N$14,COLUMNS(Assumptions!$A$4:C$14)+1,0)))</f>
        <v>-235.39270070000001</v>
      </c>
      <c r="I323" s="203">
        <f>(I25)*((VLOOKUP($A323,Assumptions!$A$4:$N$14,COLUMNS(Assumptions!$A$4:D$14)+1,0))-(VLOOKUP($A265,Assumptions!$A$4:$N$14,COLUMNS(Assumptions!$A$4:D$14)+1,0)))</f>
        <v>-411.60399760000001</v>
      </c>
      <c r="J323" s="203">
        <f>(J25)*((VLOOKUP($A323,Assumptions!$A$4:$N$14,COLUMNS(Assumptions!$A$4:E$14)+1,0))-(VLOOKUP($A265,Assumptions!$A$4:$N$14,COLUMNS(Assumptions!$A$4:E$14)+1,0)))</f>
        <v>-317.36393140000001</v>
      </c>
      <c r="K323" s="203">
        <f>(K25)*((VLOOKUP($A323,Assumptions!$A$4:$N$14,COLUMNS(Assumptions!$A$4:F$14)+1,0))-(VLOOKUP($A265,Assumptions!$A$4:$N$14,COLUMNS(Assumptions!$A$4:F$14)+1,0)))</f>
        <v>-275.76401540000006</v>
      </c>
      <c r="L323" s="203">
        <f>(L25)*((VLOOKUP($A323,Assumptions!$A$4:$N$14,COLUMNS(Assumptions!$A$4:G$14)+1,0))-(VLOOKUP($A265,Assumptions!$A$4:$N$14,COLUMNS(Assumptions!$A$4:G$14)+1,0)))</f>
        <v>-248.12109420000002</v>
      </c>
      <c r="M323" s="203">
        <f>(M25)*((VLOOKUP($A323,Assumptions!$A$4:$N$14,COLUMNS(Assumptions!$A$4:H$14)+1,0))-(VLOOKUP($A265,Assumptions!$A$4:$N$14,COLUMNS(Assumptions!$A$4:H$14)+1,0)))</f>
        <v>-233.56749640000004</v>
      </c>
      <c r="N323" s="203">
        <f>(N25)*((VLOOKUP($A323,Assumptions!$A$4:$N$14,COLUMNS(Assumptions!$A$4:I$14)+1,0))-(VLOOKUP($A265,Assumptions!$A$4:$N$14,COLUMNS(Assumptions!$A$4:I$14)+1,0)))</f>
        <v>-208.36492460000002</v>
      </c>
      <c r="O323" s="203">
        <f>(O25)*((VLOOKUP($A323,Assumptions!$A$4:$N$14,COLUMNS(Assumptions!$A$4:J$14)+1,0))-(VLOOKUP($A265,Assumptions!$A$4:$N$14,COLUMNS(Assumptions!$A$4:J$14)+1,0)))</f>
        <v>-178.93115280000004</v>
      </c>
      <c r="P323" s="203">
        <f>(P25)*((VLOOKUP($A323,Assumptions!$A$4:$N$14,COLUMNS(Assumptions!$A$4:K$14)+1,0))-(VLOOKUP($A265,Assumptions!$A$4:$N$14,COLUMNS(Assumptions!$A$4:K$14)+1,0)))</f>
        <v>-159.85903380000005</v>
      </c>
      <c r="Q323" s="203">
        <f>(Q25)*((VLOOKUP($A323,Assumptions!$A$4:$N$14,COLUMNS(Assumptions!$A$4:L$14)+1,0))-(VLOOKUP($A265,Assumptions!$A$4:$N$14,COLUMNS(Assumptions!$A$4:L$14)+1,0)))</f>
        <v>-151.88342040000003</v>
      </c>
      <c r="R323" s="203">
        <f>(R25)*((VLOOKUP($A323,Assumptions!$A$4:$N$14,COLUMNS(Assumptions!$A$4:M$14)+1,0))-(VLOOKUP($A265,Assumptions!$A$4:$N$14,COLUMNS(Assumptions!$A$4:M$14)+1,0)))</f>
        <v>-145.98840180000002</v>
      </c>
      <c r="S323" s="204">
        <f t="shared" si="28"/>
        <v>-2566.8401690999999</v>
      </c>
    </row>
    <row r="324" spans="1:19" ht="14.5" thickBot="1">
      <c r="A324" s="185" t="s">
        <v>66</v>
      </c>
      <c r="B324" s="182" t="s">
        <v>67</v>
      </c>
      <c r="C324" s="231">
        <v>12837.7</v>
      </c>
      <c r="D324" s="211">
        <v>0</v>
      </c>
      <c r="E324" s="199"/>
      <c r="F324" s="211">
        <v>1</v>
      </c>
      <c r="G324" s="203">
        <f>(G26)*((VLOOKUP($A324,Assumptions!$A$4:$N$14,COLUMNS(Assumptions!$A$4:B36)+1,0))-(VLOOKUP($A266,Assumptions!$A$4:$N$14,COLUMNS(Assumptions!$A$4:B36)+1,0)))</f>
        <v>0</v>
      </c>
      <c r="H324" s="203">
        <f>(H26)*((VLOOKUP($A324,Assumptions!$A$4:$N$14,COLUMNS(Assumptions!$A$4:C$14)+1,0))-(VLOOKUP($A266,Assumptions!$A$4:$N$14,COLUMNS(Assumptions!$A$4:C$14)+1,0)))</f>
        <v>-364.00108499999999</v>
      </c>
      <c r="I324" s="203">
        <f>(I26)*((VLOOKUP($A324,Assumptions!$A$4:$N$14,COLUMNS(Assumptions!$A$4:D$14)+1,0))-(VLOOKUP($A266,Assumptions!$A$4:$N$14,COLUMNS(Assumptions!$A$4:D$14)+1,0)))</f>
        <v>-716.22854999999993</v>
      </c>
      <c r="J324" s="203">
        <f>(J26)*((VLOOKUP($A324,Assumptions!$A$4:$N$14,COLUMNS(Assumptions!$A$4:E$14)+1,0))-(VLOOKUP($A266,Assumptions!$A$4:$N$14,COLUMNS(Assumptions!$A$4:E$14)+1,0)))</f>
        <v>-649.51137000000006</v>
      </c>
      <c r="K324" s="203">
        <f>(K26)*((VLOOKUP($A324,Assumptions!$A$4:$N$14,COLUMNS(Assumptions!$A$4:F$14)+1,0))-(VLOOKUP($A266,Assumptions!$A$4:$N$14,COLUMNS(Assumptions!$A$4:F$14)+1,0)))</f>
        <v>-351.217152</v>
      </c>
      <c r="L324" s="203">
        <f>(L26)*((VLOOKUP($A324,Assumptions!$A$4:$N$14,COLUMNS(Assumptions!$A$4:G$14)+1,0))-(VLOOKUP($A266,Assumptions!$A$4:$N$14,COLUMNS(Assumptions!$A$4:G$14)+1,0)))</f>
        <v>-307.87785600000001</v>
      </c>
      <c r="M324" s="203">
        <f>(M26)*((VLOOKUP($A324,Assumptions!$A$4:$N$14,COLUMNS(Assumptions!$A$4:H$14)+1,0))-(VLOOKUP($A266,Assumptions!$A$4:$N$14,COLUMNS(Assumptions!$A$4:H$14)+1,0)))</f>
        <v>-258.91007999999999</v>
      </c>
      <c r="N324" s="203">
        <f>(N26)*((VLOOKUP($A324,Assumptions!$A$4:$N$14,COLUMNS(Assumptions!$A$4:I$14)+1,0))-(VLOOKUP($A266,Assumptions!$A$4:$N$14,COLUMNS(Assumptions!$A$4:I$14)+1,0)))</f>
        <v>-215.57078399999997</v>
      </c>
      <c r="O324" s="203">
        <f>(O26)*((VLOOKUP($A324,Assumptions!$A$4:$N$14,COLUMNS(Assumptions!$A$4:J$14)+1,0))-(VLOOKUP($A266,Assumptions!$A$4:$N$14,COLUMNS(Assumptions!$A$4:J$14)+1,0)))</f>
        <v>-182.9256</v>
      </c>
      <c r="P324" s="203">
        <f>(P26)*((VLOOKUP($A324,Assumptions!$A$4:$N$14,COLUMNS(Assumptions!$A$4:K$14)+1,0))-(VLOOKUP($A266,Assumptions!$A$4:$N$14,COLUMNS(Assumptions!$A$4:K$14)+1,0)))</f>
        <v>-137.72447999999997</v>
      </c>
      <c r="Q324" s="203">
        <f>(Q26)*((VLOOKUP($A324,Assumptions!$A$4:$N$14,COLUMNS(Assumptions!$A$4:L$14)+1,0))-(VLOOKUP($A266,Assumptions!$A$4:$N$14,COLUMNS(Assumptions!$A$4:L$14)+1,0)))</f>
        <v>-126.24743999999998</v>
      </c>
      <c r="R324" s="203">
        <f>(R26)*((VLOOKUP($A324,Assumptions!$A$4:$N$14,COLUMNS(Assumptions!$A$4:M$14)+1,0))-(VLOOKUP($A266,Assumptions!$A$4:$N$14,COLUMNS(Assumptions!$A$4:M$14)+1,0)))</f>
        <v>-118.59607999999999</v>
      </c>
      <c r="S324" s="204">
        <f t="shared" si="28"/>
        <v>-3428.810477</v>
      </c>
    </row>
    <row r="325" spans="1:19" ht="13" thickTop="1">
      <c r="G325" s="261">
        <f t="shared" ref="G325:P325" si="29">SUBTOTAL(109,G302:G324)</f>
        <v>0</v>
      </c>
      <c r="H325" s="261">
        <f t="shared" si="29"/>
        <v>-20695.239352650002</v>
      </c>
      <c r="I325" s="261">
        <f t="shared" si="29"/>
        <v>-24623.436880878304</v>
      </c>
      <c r="J325" s="261">
        <f t="shared" si="29"/>
        <v>-21658.872183024392</v>
      </c>
      <c r="K325" s="261">
        <f t="shared" si="29"/>
        <v>-19977.791322537953</v>
      </c>
      <c r="L325" s="261">
        <f t="shared" si="29"/>
        <v>-17590.51846103531</v>
      </c>
      <c r="M325" s="261">
        <f t="shared" si="29"/>
        <v>-15387.726518822441</v>
      </c>
      <c r="N325" s="261">
        <f t="shared" si="29"/>
        <v>-13390.265908633817</v>
      </c>
      <c r="O325" s="261">
        <f t="shared" si="29"/>
        <v>-11358.039529872625</v>
      </c>
      <c r="P325" s="261">
        <f t="shared" si="29"/>
        <v>-9887.6986215369961</v>
      </c>
      <c r="Q325" s="261">
        <f>SUBTOTAL(109,Q302:Q324)</f>
        <v>-9222.5340616041449</v>
      </c>
      <c r="R325" s="261">
        <f>SUBTOTAL(109,R302:R324)</f>
        <v>-8681.6231324199362</v>
      </c>
      <c r="S325" s="261">
        <f>SUBTOTAL(109,S302:S324)</f>
        <v>-172473.7459730159</v>
      </c>
    </row>
    <row r="328" spans="1:19">
      <c r="A328" s="185" t="s">
        <v>37</v>
      </c>
      <c r="G328" s="501">
        <f>1*(VLOOKUP($A328,Assumptions!$A$4:$N$14,COLUMNS(Assumptions!$A$4:B14)+1))</f>
        <v>0.88</v>
      </c>
      <c r="H328" s="185" t="s">
        <v>227</v>
      </c>
    </row>
    <row r="329" spans="1:19">
      <c r="A329" s="185" t="s">
        <v>228</v>
      </c>
      <c r="G329" s="501">
        <f>(1)*((VLOOKUP($A329,Assumptions!$A$4:$N$14,COLUMNS(Assumptions!$A$4:B14)+1)))</f>
        <v>0.88</v>
      </c>
    </row>
  </sheetData>
  <autoFilter ref="D32:F56" xr:uid="{232EEFB4-F010-4417-AF3E-589023EEF001}"/>
  <customSheetViews>
    <customSheetView guid="{0FAFE012-8D9E-4ED0-86A4-A997E430971B}" scale="115" showAutoFilter="1" topLeftCell="A147">
      <selection activeCell="F168" sqref="F168"/>
      <pageMargins left="0.7" right="0.7" top="0.75" bottom="0.75" header="0.3" footer="0.3"/>
      <pageSetup paperSize="9" orientation="portrait" horizontalDpi="300" verticalDpi="300" r:id="rId1"/>
      <autoFilter ref="D32:F56" xr:uid="{3910BF62-84AA-44E3-86B0-A13EE551A5EB}"/>
    </customSheetView>
  </customSheetViews>
  <phoneticPr fontId="61" type="noConversion"/>
  <pageMargins left="0.7" right="0.7" top="0.75" bottom="0.75" header="0.3" footer="0.3"/>
  <pageSetup paperSize="9" orientation="portrait" horizontalDpi="300" verticalDpi="300" r:id="rId2"/>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1B4B0-6356-4DFC-94ED-0231505F62E9}">
  <sheetPr codeName="Sheet74">
    <tabColor theme="3" tint="-0.499984740745262"/>
  </sheetPr>
  <dimension ref="A1:U264"/>
  <sheetViews>
    <sheetView zoomScale="115" zoomScaleNormal="115" workbookViewId="0">
      <selection activeCell="H5" sqref="H5"/>
    </sheetView>
  </sheetViews>
  <sheetFormatPr defaultRowHeight="12.5"/>
  <cols>
    <col min="2" max="2" width="28" bestFit="1" customWidth="1"/>
    <col min="3" max="3" width="14.54296875" customWidth="1"/>
    <col min="4" max="4" width="13.26953125" customWidth="1"/>
    <col min="5" max="5" width="13.7265625" customWidth="1"/>
    <col min="6" max="6" width="14.453125" customWidth="1"/>
    <col min="7" max="8" width="13.1796875" customWidth="1"/>
    <col min="9" max="9" width="12.1796875" customWidth="1"/>
    <col min="10" max="18" width="12" customWidth="1"/>
    <col min="19" max="19" width="15.1796875" customWidth="1"/>
  </cols>
  <sheetData>
    <row r="1" spans="1:19">
      <c r="H1">
        <f>(H6-G6)/G6</f>
        <v>0.21578591191994007</v>
      </c>
    </row>
    <row r="2" spans="1:19" ht="23.25" customHeight="1" thickBot="1">
      <c r="A2" s="196" t="s">
        <v>229</v>
      </c>
      <c r="G2" s="238" t="s">
        <v>230</v>
      </c>
      <c r="H2" s="289"/>
      <c r="I2" s="289"/>
      <c r="J2" s="289"/>
      <c r="K2" s="289"/>
      <c r="L2" s="289"/>
      <c r="M2" s="289"/>
      <c r="N2" s="289"/>
      <c r="O2" s="289"/>
      <c r="P2" s="289"/>
      <c r="Q2" s="289"/>
      <c r="R2" s="289"/>
    </row>
    <row r="3" spans="1:19" ht="15" thickTop="1" thickBot="1">
      <c r="A3" s="184" t="s">
        <v>6</v>
      </c>
      <c r="B3" s="184" t="s">
        <v>7</v>
      </c>
      <c r="C3" s="184" t="s">
        <v>9</v>
      </c>
      <c r="D3" s="184" t="s">
        <v>10</v>
      </c>
      <c r="E3" s="184" t="s">
        <v>11</v>
      </c>
      <c r="F3" s="184" t="s">
        <v>12</v>
      </c>
      <c r="G3" s="184" t="s">
        <v>188</v>
      </c>
      <c r="H3" s="184" t="s">
        <v>189</v>
      </c>
      <c r="I3" s="184" t="s">
        <v>190</v>
      </c>
      <c r="J3" s="184" t="s">
        <v>191</v>
      </c>
      <c r="K3" s="184" t="s">
        <v>192</v>
      </c>
      <c r="L3" s="184" t="s">
        <v>193</v>
      </c>
      <c r="M3" s="184" t="s">
        <v>194</v>
      </c>
      <c r="N3" s="184" t="s">
        <v>195</v>
      </c>
      <c r="O3" s="184" t="s">
        <v>196</v>
      </c>
      <c r="P3" s="184" t="s">
        <v>197</v>
      </c>
      <c r="Q3" s="184" t="s">
        <v>198</v>
      </c>
      <c r="R3" s="184" t="s">
        <v>199</v>
      </c>
      <c r="S3" s="200" t="s">
        <v>231</v>
      </c>
    </row>
    <row r="4" spans="1:19" ht="14.5" thickTop="1">
      <c r="A4" s="185" t="s">
        <v>30</v>
      </c>
      <c r="B4" s="198" t="s">
        <v>31</v>
      </c>
      <c r="C4" s="228">
        <v>29166</v>
      </c>
      <c r="D4" s="211">
        <v>1</v>
      </c>
      <c r="E4" s="199"/>
      <c r="F4" s="211">
        <v>1</v>
      </c>
      <c r="G4" s="308">
        <f>'Historic Utility Costs'!D35</f>
        <v>469437.38000000006</v>
      </c>
      <c r="H4" s="308">
        <f>'Footprint Summary'!H4*Assumptions!D41</f>
        <v>575803.96667712519</v>
      </c>
      <c r="I4" s="309">
        <f>'Footprint Summary'!I4*Assumptions!E41</f>
        <v>595957.10551082448</v>
      </c>
      <c r="J4" s="309">
        <f>'Footprint Summary'!J4*Assumptions!F41</f>
        <v>432264.08561171871</v>
      </c>
      <c r="K4" s="309">
        <f>'Footprint Summary'!K4*Assumptions!G41</f>
        <v>429707.14140973031</v>
      </c>
      <c r="L4" s="309">
        <f>'Footprint Summary'!L4*Assumptions!H41</f>
        <v>437424.80985893379</v>
      </c>
      <c r="M4" s="309">
        <f>'Footprint Summary'!M4*Assumptions!I41</f>
        <v>452734.67820399645</v>
      </c>
      <c r="N4" s="309">
        <f>'Footprint Summary'!N4*Assumptions!J41</f>
        <v>464658.59356364422</v>
      </c>
      <c r="O4" s="309">
        <f>'Footprint Summary'!O4*Assumptions!K41</f>
        <v>491704.09953450534</v>
      </c>
      <c r="P4" s="309">
        <f>'Footprint Summary'!P4*Assumptions!L41</f>
        <v>508913.74301821296</v>
      </c>
      <c r="Q4" s="309">
        <f>'Footprint Summary'!Q4*Assumptions!M41</f>
        <v>526725.7240238504</v>
      </c>
      <c r="R4" s="309">
        <f>'Footprint Summary'!R4*Assumptions!N41</f>
        <v>545161.12436468503</v>
      </c>
      <c r="S4" s="314">
        <f>SUM(I4:R4)</f>
        <v>4885251.1051001027</v>
      </c>
    </row>
    <row r="5" spans="1:19" ht="14">
      <c r="A5" s="185" t="s">
        <v>37</v>
      </c>
      <c r="B5" s="182" t="s">
        <v>38</v>
      </c>
      <c r="C5" s="228">
        <v>62987</v>
      </c>
      <c r="D5" s="211">
        <v>0.5</v>
      </c>
      <c r="E5" s="199"/>
      <c r="F5" s="211">
        <v>1</v>
      </c>
      <c r="G5" s="308">
        <f>'Historic Utility Costs'!D36</f>
        <v>771830.21999999986</v>
      </c>
      <c r="H5" s="308">
        <f>'Footprint Summary'!H5*Assumptions!D42</f>
        <v>986451.15031854413</v>
      </c>
      <c r="I5" s="309">
        <f>'Footprint Summary'!I5*Assumptions!E42</f>
        <v>1020976.9405796931</v>
      </c>
      <c r="J5" s="309">
        <f>'Footprint Summary'!J5*Assumptions!F42</f>
        <v>1056711.1334999823</v>
      </c>
      <c r="K5" s="309">
        <f>'Footprint Summary'!K5*Assumptions!G42</f>
        <v>1093696.0231724817</v>
      </c>
      <c r="L5" s="309">
        <f>'Footprint Summary'!L5*Assumptions!H42</f>
        <v>1131975.3839835185</v>
      </c>
      <c r="M5" s="309">
        <f>'Footprint Summary'!M5*Assumptions!I42</f>
        <v>1171594.5224229414</v>
      </c>
      <c r="N5" s="309">
        <f>'Footprint Summary'!N5*Assumptions!J42</f>
        <v>1212600.3307077442</v>
      </c>
      <c r="O5" s="309">
        <f>'Footprint Summary'!O5*Assumptions!K42</f>
        <v>1455120.396849293</v>
      </c>
      <c r="P5" s="309">
        <f>'Footprint Summary'!P5*Assumptions!L42</f>
        <v>1506049.6107390181</v>
      </c>
      <c r="Q5" s="309">
        <f>'Footprint Summary'!Q5*Assumptions!M42</f>
        <v>1558761.3471148836</v>
      </c>
      <c r="R5" s="309">
        <f>'Footprint Summary'!R5*Assumptions!N42</f>
        <v>1613317.9942639044</v>
      </c>
      <c r="S5" s="314">
        <f t="shared" ref="S5:S26" si="0">SUM(I5:R5)</f>
        <v>12820803.68333346</v>
      </c>
    </row>
    <row r="6" spans="1:19" ht="14">
      <c r="A6" s="185" t="s">
        <v>30</v>
      </c>
      <c r="B6" s="182" t="s">
        <v>42</v>
      </c>
      <c r="C6" s="231">
        <v>42132</v>
      </c>
      <c r="D6" s="211">
        <v>0.5</v>
      </c>
      <c r="E6" s="199">
        <v>0.25</v>
      </c>
      <c r="F6" s="211">
        <v>1</v>
      </c>
      <c r="G6" s="308">
        <f>'Historic Utility Costs'!D37</f>
        <v>624255.87</v>
      </c>
      <c r="H6" s="308">
        <f>'Footprint Summary'!H6*Assumptions!D43</f>
        <v>758961.49217932555</v>
      </c>
      <c r="I6" s="309">
        <f>'Footprint Summary'!I6*Assumptions!E43</f>
        <v>785525.1444056019</v>
      </c>
      <c r="J6" s="309">
        <f>'Footprint Summary'!J6*Assumptions!F43</f>
        <v>769416.91763008293</v>
      </c>
      <c r="K6" s="309">
        <f>'Footprint Summary'!K6*Assumptions!G43</f>
        <v>796346.50974713569</v>
      </c>
      <c r="L6" s="309">
        <f>'Footprint Summary'!L6*Assumptions!H43</f>
        <v>805535.78507782076</v>
      </c>
      <c r="M6" s="309">
        <f>'Footprint Summary'!M6*Assumptions!I43</f>
        <v>833729.5375555444</v>
      </c>
      <c r="N6" s="309">
        <f>'Footprint Summary'!N6*Assumptions!J43</f>
        <v>862910.07136998838</v>
      </c>
      <c r="O6" s="309">
        <f>'Footprint Summary'!O6*Assumptions!K43</f>
        <v>835356.69883876154</v>
      </c>
      <c r="P6" s="309">
        <f>'Footprint Summary'!P6*Assumptions!L43</f>
        <v>781738.13316075515</v>
      </c>
      <c r="Q6" s="309">
        <f>'Footprint Summary'!Q6*Assumptions!M43</f>
        <v>809098.96782138152</v>
      </c>
      <c r="R6" s="309">
        <f>'Footprint Summary'!R6*Assumptions!N43</f>
        <v>837417.43169512972</v>
      </c>
      <c r="S6" s="314">
        <f t="shared" si="0"/>
        <v>8117075.1973022018</v>
      </c>
    </row>
    <row r="7" spans="1:19" ht="14">
      <c r="A7" s="185" t="s">
        <v>232</v>
      </c>
      <c r="B7" s="182" t="s">
        <v>43</v>
      </c>
      <c r="C7" s="231">
        <v>12509</v>
      </c>
      <c r="D7" s="211">
        <v>1</v>
      </c>
      <c r="E7" s="199"/>
      <c r="F7" s="211">
        <v>1</v>
      </c>
      <c r="G7" s="308">
        <f>'Historic Utility Costs'!D38</f>
        <v>151295.30000000002</v>
      </c>
      <c r="H7" s="308">
        <f>'Footprint Summary'!H7*Assumptions!D44</f>
        <v>184961.71031574765</v>
      </c>
      <c r="I7" s="309">
        <f>'Footprint Summary'!I7*Assumptions!E44</f>
        <v>191435.37017679878</v>
      </c>
      <c r="J7" s="309">
        <f>'Footprint Summary'!J7*Assumptions!F44</f>
        <v>198135.60813298676</v>
      </c>
      <c r="K7" s="309">
        <f>'Footprint Summary'!K7*Assumptions!G44</f>
        <v>205070.35441764127</v>
      </c>
      <c r="L7" s="309">
        <f>'Footprint Summary'!L7*Assumptions!H44</f>
        <v>212247.8168222587</v>
      </c>
      <c r="M7" s="309">
        <f>'Footprint Summary'!M7*Assumptions!I44</f>
        <v>219676.49041103775</v>
      </c>
      <c r="N7" s="309">
        <f>'Footprint Summary'!N7*Assumptions!J44</f>
        <v>227365.16757542407</v>
      </c>
      <c r="O7" s="309">
        <f>'Footprint Summary'!O7*Assumptions!K44</f>
        <v>272838.2010905089</v>
      </c>
      <c r="P7" s="309">
        <f>'Footprint Summary'!P7*Assumptions!L44</f>
        <v>282387.53812867671</v>
      </c>
      <c r="Q7" s="309">
        <f>'Footprint Summary'!Q7*Assumptions!M44</f>
        <v>292271.10196318035</v>
      </c>
      <c r="R7" s="309">
        <f>'Footprint Summary'!R7*Assumptions!N44</f>
        <v>302500.59053189162</v>
      </c>
      <c r="S7" s="314">
        <f t="shared" si="0"/>
        <v>2403928.2392504052</v>
      </c>
    </row>
    <row r="8" spans="1:19" ht="14">
      <c r="A8" s="185" t="s">
        <v>30</v>
      </c>
      <c r="B8" s="182" t="s">
        <v>46</v>
      </c>
      <c r="C8" s="231">
        <v>27263</v>
      </c>
      <c r="D8" s="211">
        <v>1</v>
      </c>
      <c r="E8" s="199"/>
      <c r="F8" s="211">
        <v>1</v>
      </c>
      <c r="G8" s="308">
        <f>'Historic Utility Costs'!D39</f>
        <v>297195.53999999998</v>
      </c>
      <c r="H8" s="308">
        <f>'Footprint Summary'!H8*Assumptions!D45</f>
        <v>418666.11844491982</v>
      </c>
      <c r="I8" s="309">
        <f>'Footprint Summary'!I8*Assumptions!E45</f>
        <v>433319.43259049201</v>
      </c>
      <c r="J8" s="309">
        <f>'Footprint Summary'!J8*Assumptions!F45</f>
        <v>448485.6127311592</v>
      </c>
      <c r="K8" s="309">
        <f>'Footprint Summary'!K8*Assumptions!G45</f>
        <v>464182.60917674971</v>
      </c>
      <c r="L8" s="309">
        <f>'Footprint Summary'!L8*Assumptions!H45</f>
        <v>402370.78029302869</v>
      </c>
      <c r="M8" s="309">
        <f>'Footprint Summary'!M8*Assumptions!I45</f>
        <v>416453.75760328467</v>
      </c>
      <c r="N8" s="309">
        <f>'Footprint Summary'!N8*Assumptions!J45</f>
        <v>431029.6391193996</v>
      </c>
      <c r="O8" s="309">
        <f>'Footprint Summary'!O8*Assumptions!K45</f>
        <v>525960.91479778406</v>
      </c>
      <c r="P8" s="309">
        <f>'Footprint Summary'!P8*Assumptions!L45</f>
        <v>544369.54681570642</v>
      </c>
      <c r="Q8" s="309">
        <f>'Footprint Summary'!Q8*Assumptions!M45</f>
        <v>563422.48095425614</v>
      </c>
      <c r="R8" s="309">
        <f>'Footprint Summary'!R8*Assumptions!N45</f>
        <v>583142.26778765512</v>
      </c>
      <c r="S8" s="314">
        <f t="shared" si="0"/>
        <v>4812737.0418695156</v>
      </c>
    </row>
    <row r="9" spans="1:19" ht="14">
      <c r="A9" s="185" t="s">
        <v>30</v>
      </c>
      <c r="B9" s="182" t="s">
        <v>47</v>
      </c>
      <c r="C9" s="231">
        <v>39057</v>
      </c>
      <c r="D9" s="211">
        <v>1</v>
      </c>
      <c r="E9" s="199"/>
      <c r="F9" s="211">
        <v>1</v>
      </c>
      <c r="G9" s="308">
        <f>'Historic Utility Costs'!D40</f>
        <v>494912.41000000003</v>
      </c>
      <c r="H9" s="308">
        <f>'Footprint Summary'!H9*Assumptions!D46</f>
        <v>492903.44718282181</v>
      </c>
      <c r="I9" s="309">
        <f>'Footprint Summary'!I9*Assumptions!E46</f>
        <v>510155.06783422054</v>
      </c>
      <c r="J9" s="309">
        <f>'Footprint Summary'!J9*Assumptions!F46</f>
        <v>359878.18466590153</v>
      </c>
      <c r="K9" s="309">
        <f>'Footprint Summary'!K9*Assumptions!G46</f>
        <v>372473.92112920806</v>
      </c>
      <c r="L9" s="309">
        <f>'Footprint Summary'!L9*Assumptions!H46</f>
        <v>376031.16445499827</v>
      </c>
      <c r="M9" s="309">
        <f>'Footprint Summary'!M9*Assumptions!I46</f>
        <v>389192.25521092321</v>
      </c>
      <c r="N9" s="309">
        <f>'Footprint Summary'!N9*Assumptions!J46</f>
        <v>402813.98414330551</v>
      </c>
      <c r="O9" s="309">
        <f>'Footprint Summary'!O9*Assumptions!K46</f>
        <v>468754.28630702454</v>
      </c>
      <c r="P9" s="309">
        <f>'Footprint Summary'!P9*Assumptions!L46</f>
        <v>101758.87621299017</v>
      </c>
      <c r="Q9" s="309">
        <f>'Footprint Summary'!Q9*Assumptions!M46</f>
        <v>105320.43688044483</v>
      </c>
      <c r="R9" s="309">
        <f>'Footprint Summary'!R9*Assumptions!N46</f>
        <v>109006.65217126039</v>
      </c>
      <c r="S9" s="314">
        <f t="shared" si="0"/>
        <v>3195384.8290102766</v>
      </c>
    </row>
    <row r="10" spans="1:19" ht="14">
      <c r="A10" s="185" t="s">
        <v>48</v>
      </c>
      <c r="B10" s="182" t="s">
        <v>49</v>
      </c>
      <c r="C10" s="231">
        <v>24754</v>
      </c>
      <c r="D10" s="211">
        <v>1</v>
      </c>
      <c r="E10" s="199"/>
      <c r="F10" s="211">
        <v>1</v>
      </c>
      <c r="G10" s="308">
        <f>'Historic Utility Costs'!D41</f>
        <v>297705.61000000004</v>
      </c>
      <c r="H10" s="308">
        <f>'Footprint Summary'!H10*Assumptions!D47</f>
        <v>394193.87325785292</v>
      </c>
      <c r="I10" s="309">
        <f>'Footprint Summary'!I10*Assumptions!E47</f>
        <v>407990.65882187773</v>
      </c>
      <c r="J10" s="309">
        <f>'Footprint Summary'!J10*Assumptions!F47</f>
        <v>422270.3296334584</v>
      </c>
      <c r="K10" s="309">
        <f>'Footprint Summary'!K10*Assumptions!G47</f>
        <v>437049.79117062944</v>
      </c>
      <c r="L10" s="309">
        <f>'Footprint Summary'!L10*Assumptions!H47</f>
        <v>409815.88563121419</v>
      </c>
      <c r="M10" s="309">
        <f>'Footprint Summary'!M10*Assumptions!I47</f>
        <v>424159.44162830664</v>
      </c>
      <c r="N10" s="309">
        <f>'Footprint Summary'!N10*Assumptions!J47</f>
        <v>439005.02208529733</v>
      </c>
      <c r="O10" s="309">
        <f>'Footprint Summary'!O10*Assumptions!K47</f>
        <v>526806.02650235675</v>
      </c>
      <c r="P10" s="309">
        <f>'Footprint Summary'!P10*Assumptions!L47</f>
        <v>506691.24231932737</v>
      </c>
      <c r="Q10" s="309">
        <f>'Footprint Summary'!Q10*Assumptions!M47</f>
        <v>524425.43580050382</v>
      </c>
      <c r="R10" s="309">
        <f>'Footprint Summary'!R10*Assumptions!N47</f>
        <v>542780.32605352136</v>
      </c>
      <c r="S10" s="314">
        <f t="shared" si="0"/>
        <v>4640994.1596464934</v>
      </c>
    </row>
    <row r="11" spans="1:19" ht="14">
      <c r="A11" s="185" t="s">
        <v>30</v>
      </c>
      <c r="B11" s="182" t="s">
        <v>92</v>
      </c>
      <c r="C11" s="231">
        <v>26819</v>
      </c>
      <c r="D11" s="212">
        <v>0</v>
      </c>
      <c r="E11" s="199">
        <v>1</v>
      </c>
      <c r="F11" s="211">
        <v>1</v>
      </c>
      <c r="G11" s="308">
        <f>'Historic Utility Costs'!D42</f>
        <v>340263.13999999996</v>
      </c>
      <c r="H11" s="308">
        <f>'Footprint Summary'!H11*Assumptions!D48</f>
        <v>435292.66007713677</v>
      </c>
      <c r="I11" s="309">
        <f>'Footprint Summary'!I11*Assumptions!E48</f>
        <v>450527.90317983646</v>
      </c>
      <c r="J11" s="309">
        <f>'Footprint Summary'!J11*Assumptions!F48</f>
        <v>472581.52769194689</v>
      </c>
      <c r="K11" s="309">
        <f>'Footprint Summary'!K11*Assumptions!G48</f>
        <v>420818.0363490454</v>
      </c>
      <c r="L11" s="309">
        <f>'Footprint Summary'!L11*Assumptions!H48</f>
        <v>435546.66762126196</v>
      </c>
      <c r="M11" s="309">
        <f>'Footprint Summary'!M11*Assumptions!I48</f>
        <v>450790.80098800606</v>
      </c>
      <c r="N11" s="309">
        <f>'Footprint Summary'!N11*Assumptions!J48</f>
        <v>466568.47902258625</v>
      </c>
      <c r="O11" s="309">
        <f>'Footprint Summary'!O11*Assumptions!K48</f>
        <v>568536.99696132331</v>
      </c>
      <c r="P11" s="309">
        <f>'Footprint Summary'!P11*Assumptions!L48</f>
        <v>588435.79185496958</v>
      </c>
      <c r="Q11" s="309">
        <f>'Footprint Summary'!Q11*Assumptions!M48</f>
        <v>609031.04456989339</v>
      </c>
      <c r="R11" s="309">
        <f>'Footprint Summary'!R11*Assumptions!N48</f>
        <v>524793.81507313356</v>
      </c>
      <c r="S11" s="314">
        <f t="shared" si="0"/>
        <v>4987631.0633120025</v>
      </c>
    </row>
    <row r="12" spans="1:19" ht="14">
      <c r="A12" s="185" t="s">
        <v>30</v>
      </c>
      <c r="B12" s="182" t="s">
        <v>52</v>
      </c>
      <c r="C12" s="231">
        <v>28396</v>
      </c>
      <c r="D12" s="211">
        <v>0.75</v>
      </c>
      <c r="E12" s="199"/>
      <c r="F12" s="211">
        <v>1</v>
      </c>
      <c r="G12" s="308">
        <f>'Historic Utility Costs'!D43</f>
        <v>340315.33999999997</v>
      </c>
      <c r="H12" s="308">
        <f>'Footprint Summary'!H12*Assumptions!D49</f>
        <v>343717.25440154207</v>
      </c>
      <c r="I12" s="309">
        <f>'Footprint Summary'!I12*Assumptions!E49</f>
        <v>355747.35830559605</v>
      </c>
      <c r="J12" s="309">
        <f>'Footprint Summary'!J12*Assumptions!F49</f>
        <v>368198.51584629191</v>
      </c>
      <c r="K12" s="309">
        <f>'Footprint Summary'!K12*Assumptions!G49</f>
        <v>381085.46390091209</v>
      </c>
      <c r="L12" s="309">
        <f>'Footprint Summary'!L12*Assumptions!H49</f>
        <v>362640.74320050247</v>
      </c>
      <c r="M12" s="309">
        <f>'Footprint Summary'!M12*Assumptions!I49</f>
        <v>375333.16921252001</v>
      </c>
      <c r="N12" s="309">
        <f>'Footprint Summary'!N12*Assumptions!J49</f>
        <v>388469.8301349582</v>
      </c>
      <c r="O12" s="309">
        <f>'Footprint Summary'!O12*Assumptions!K49</f>
        <v>474334.94070466585</v>
      </c>
      <c r="P12" s="309">
        <f>'Footprint Summary'!P12*Assumptions!L49</f>
        <v>490936.66362932918</v>
      </c>
      <c r="Q12" s="309">
        <f>'Footprint Summary'!Q12*Assumptions!M49</f>
        <v>508119.44685635564</v>
      </c>
      <c r="R12" s="309">
        <f>'Footprint Summary'!R12*Assumptions!N49</f>
        <v>525903.62749632797</v>
      </c>
      <c r="S12" s="314">
        <f t="shared" si="0"/>
        <v>4230769.7592874598</v>
      </c>
    </row>
    <row r="13" spans="1:19" ht="14">
      <c r="A13" s="185" t="s">
        <v>30</v>
      </c>
      <c r="B13" s="182" t="s">
        <v>54</v>
      </c>
      <c r="C13" s="231">
        <v>37558</v>
      </c>
      <c r="D13" s="211">
        <v>0.75</v>
      </c>
      <c r="E13" s="199"/>
      <c r="F13" s="211">
        <v>1</v>
      </c>
      <c r="G13" s="308">
        <f>'Historic Utility Costs'!D44</f>
        <v>393314.14919999999</v>
      </c>
      <c r="H13" s="308">
        <f>'Footprint Summary'!H13*Assumptions!D50</f>
        <v>481580.59112206334</v>
      </c>
      <c r="I13" s="309">
        <f>'Footprint Summary'!I13*Assumptions!E50</f>
        <v>498435.91181133548</v>
      </c>
      <c r="J13" s="309">
        <f>'Footprint Summary'!J13*Assumptions!F50</f>
        <v>515881.16872473224</v>
      </c>
      <c r="K13" s="309">
        <f>'Footprint Summary'!K13*Assumptions!G50</f>
        <v>533937.00963009777</v>
      </c>
      <c r="L13" s="309">
        <f>'Footprint Summary'!L13*Assumptions!H50</f>
        <v>476358.24180579663</v>
      </c>
      <c r="M13" s="309">
        <f>'Footprint Summary'!M13*Assumptions!I50</f>
        <v>493030.78026899952</v>
      </c>
      <c r="N13" s="309">
        <f>'Footprint Summary'!N13*Assumptions!J50</f>
        <v>510286.85757841449</v>
      </c>
      <c r="O13" s="309">
        <f>'Footprint Summary'!O13*Assumptions!K50</f>
        <v>621058.75166716636</v>
      </c>
      <c r="P13" s="309">
        <f>'Footprint Summary'!P13*Assumptions!L50</f>
        <v>611227.44995457469</v>
      </c>
      <c r="Q13" s="309">
        <f>'Footprint Summary'!Q13*Assumptions!M50</f>
        <v>632620.41070298466</v>
      </c>
      <c r="R13" s="309">
        <f>'Footprint Summary'!R13*Assumptions!N50</f>
        <v>654762.12507758918</v>
      </c>
      <c r="S13" s="314">
        <f t="shared" si="0"/>
        <v>5547598.7072216915</v>
      </c>
    </row>
    <row r="14" spans="1:19" ht="14">
      <c r="A14" s="185" t="s">
        <v>37</v>
      </c>
      <c r="B14" s="182" t="s">
        <v>55</v>
      </c>
      <c r="C14" s="231">
        <v>55051</v>
      </c>
      <c r="D14" s="211">
        <v>0.5</v>
      </c>
      <c r="E14" s="199">
        <v>0.5</v>
      </c>
      <c r="F14" s="211">
        <v>1</v>
      </c>
      <c r="G14" s="308">
        <f>'Historic Utility Costs'!D45</f>
        <v>439770.21999999991</v>
      </c>
      <c r="H14" s="308">
        <f>'Footprint Summary'!H14*Assumptions!D51</f>
        <v>474063.41618272383</v>
      </c>
      <c r="I14" s="309">
        <f>'Footprint Summary'!I14*Assumptions!E51</f>
        <v>490655.6357491191</v>
      </c>
      <c r="J14" s="309">
        <f>'Footprint Summary'!J14*Assumptions!F51</f>
        <v>482398.03894734534</v>
      </c>
      <c r="K14" s="309">
        <f>'Footprint Summary'!K14*Assumptions!G51</f>
        <v>493550.51352267963</v>
      </c>
      <c r="L14" s="309">
        <f>'Footprint Summary'!L14*Assumptions!H51</f>
        <v>455519.75054381462</v>
      </c>
      <c r="M14" s="309">
        <f>'Footprint Summary'!M14*Assumptions!I51</f>
        <v>471462.94181284803</v>
      </c>
      <c r="N14" s="309">
        <f>'Footprint Summary'!N14*Assumptions!J51</f>
        <v>579372.1698850668</v>
      </c>
      <c r="O14" s="309">
        <f>'Footprint Summary'!O14*Assumptions!K51</f>
        <v>695246.60386208014</v>
      </c>
      <c r="P14" s="309">
        <f>'Footprint Summary'!P14*Assumptions!L51</f>
        <v>719580.23499725293</v>
      </c>
      <c r="Q14" s="309">
        <f>'Footprint Summary'!Q14*Assumptions!M51</f>
        <v>744765.5432221567</v>
      </c>
      <c r="R14" s="309">
        <f>'Footprint Summary'!R14*Assumptions!N51</f>
        <v>770832.33723493211</v>
      </c>
      <c r="S14" s="314">
        <f t="shared" si="0"/>
        <v>5903383.7697772952</v>
      </c>
    </row>
    <row r="15" spans="1:19" ht="14">
      <c r="A15" s="185" t="s">
        <v>30</v>
      </c>
      <c r="B15" s="182" t="s">
        <v>56</v>
      </c>
      <c r="C15" s="231">
        <v>39938</v>
      </c>
      <c r="D15" s="211">
        <v>0.5</v>
      </c>
      <c r="E15" s="199"/>
      <c r="F15" s="211">
        <v>1</v>
      </c>
      <c r="G15" s="308">
        <f>'Historic Utility Costs'!D46</f>
        <v>539846.99</v>
      </c>
      <c r="H15" s="308">
        <f>'Footprint Summary'!H15*Assumptions!D52</f>
        <v>704242.67718202271</v>
      </c>
      <c r="I15" s="309">
        <f>'Footprint Summary'!I15*Assumptions!E52</f>
        <v>728891.1708833935</v>
      </c>
      <c r="J15" s="309">
        <f>'Footprint Summary'!J15*Assumptions!F52</f>
        <v>754402.3618643122</v>
      </c>
      <c r="K15" s="309">
        <f>'Footprint Summary'!K15*Assumptions!G52</f>
        <v>780806.44452956296</v>
      </c>
      <c r="L15" s="309">
        <f>'Footprint Summary'!L15*Assumptions!H52</f>
        <v>808134.67008809769</v>
      </c>
      <c r="M15" s="309">
        <f>'Footprint Summary'!M15*Assumptions!I52</f>
        <v>836419.3835411811</v>
      </c>
      <c r="N15" s="309">
        <f>'Footprint Summary'!N15*Assumptions!J52</f>
        <v>865694.06196512247</v>
      </c>
      <c r="O15" s="309">
        <f>'Footprint Summary'!O15*Assumptions!K52</f>
        <v>1038832.8743581469</v>
      </c>
      <c r="P15" s="309">
        <f>'Footprint Summary'!P15*Assumptions!L52</f>
        <v>1075192.024960682</v>
      </c>
      <c r="Q15" s="309">
        <f>'Footprint Summary'!Q15*Assumptions!M52</f>
        <v>1112823.7458343059</v>
      </c>
      <c r="R15" s="309">
        <f>'Footprint Summary'!R15*Assumptions!N52</f>
        <v>1151772.5769385064</v>
      </c>
      <c r="S15" s="314">
        <f t="shared" si="0"/>
        <v>9152969.314963311</v>
      </c>
    </row>
    <row r="16" spans="1:19" ht="14">
      <c r="A16" s="185" t="s">
        <v>30</v>
      </c>
      <c r="B16" s="182" t="s">
        <v>93</v>
      </c>
      <c r="C16" s="231">
        <v>20404</v>
      </c>
      <c r="D16" s="212">
        <v>0</v>
      </c>
      <c r="E16" s="199">
        <v>1</v>
      </c>
      <c r="F16" s="211">
        <v>1</v>
      </c>
      <c r="G16" s="308">
        <f>'Historic Utility Costs'!D47</f>
        <v>246004.16</v>
      </c>
      <c r="H16" s="308">
        <f>'Footprint Summary'!H16*Assumptions!D53</f>
        <v>314486.79780902219</v>
      </c>
      <c r="I16" s="309">
        <f>'Footprint Summary'!I16*Assumptions!E53</f>
        <v>325493.83573233796</v>
      </c>
      <c r="J16" s="309">
        <f>'Footprint Summary'!J16*Assumptions!F53</f>
        <v>336886.11998296971</v>
      </c>
      <c r="K16" s="309">
        <f>'Footprint Summary'!K16*Assumptions!G53</f>
        <v>348677.13418237364</v>
      </c>
      <c r="L16" s="309">
        <f>'Footprint Summary'!L16*Assumptions!H53</f>
        <v>360880.83387875673</v>
      </c>
      <c r="M16" s="309">
        <f>'Footprint Summary'!M16*Assumptions!I53</f>
        <v>373511.66306451318</v>
      </c>
      <c r="N16" s="309">
        <f>'Footprint Summary'!N16*Assumptions!J53</f>
        <v>386584.5712717711</v>
      </c>
      <c r="O16" s="309">
        <f>'Footprint Summary'!O16*Assumptions!K53</f>
        <v>463901.48552612535</v>
      </c>
      <c r="P16" s="309">
        <f>'Footprint Summary'!P16*Assumptions!L53</f>
        <v>534530.90022775659</v>
      </c>
      <c r="Q16" s="309">
        <f>'Footprint Summary'!Q16*Assumptions!M53</f>
        <v>553239.48173572798</v>
      </c>
      <c r="R16" s="309">
        <f>'Footprint Summary'!R16*Assumptions!N53</f>
        <v>572602.86359647848</v>
      </c>
      <c r="S16" s="314">
        <f t="shared" si="0"/>
        <v>4256308.8891988108</v>
      </c>
    </row>
    <row r="17" spans="1:19" ht="14">
      <c r="A17" s="185" t="s">
        <v>37</v>
      </c>
      <c r="B17" s="182" t="s">
        <v>60</v>
      </c>
      <c r="C17" s="231">
        <v>1422</v>
      </c>
      <c r="D17" s="211">
        <v>1</v>
      </c>
      <c r="E17" s="199"/>
      <c r="F17" s="211">
        <v>1</v>
      </c>
      <c r="G17" s="308">
        <f>'Historic Utility Costs'!D48</f>
        <v>14074.810000000001</v>
      </c>
      <c r="H17" s="308">
        <f>'Footprint Summary'!H17*Assumptions!D54</f>
        <v>0</v>
      </c>
      <c r="I17" s="309">
        <f>'Footprint Summary'!I17*Assumptions!E54</f>
        <v>0</v>
      </c>
      <c r="J17" s="309">
        <f>'Footprint Summary'!J17*Assumptions!F54</f>
        <v>0</v>
      </c>
      <c r="K17" s="309">
        <f>'Footprint Summary'!K17*Assumptions!G54</f>
        <v>0</v>
      </c>
      <c r="L17" s="309">
        <f>'Footprint Summary'!L17*Assumptions!H54</f>
        <v>0</v>
      </c>
      <c r="M17" s="309">
        <f>'Footprint Summary'!M17*Assumptions!I54</f>
        <v>0</v>
      </c>
      <c r="N17" s="309">
        <f>'Footprint Summary'!N17*Assumptions!J54</f>
        <v>0</v>
      </c>
      <c r="O17" s="309">
        <f>'Footprint Summary'!O17*Assumptions!K54</f>
        <v>0</v>
      </c>
      <c r="P17" s="309">
        <f>'Footprint Summary'!P17*Assumptions!L54</f>
        <v>0</v>
      </c>
      <c r="Q17" s="309">
        <f>'Footprint Summary'!Q17*Assumptions!M54</f>
        <v>0</v>
      </c>
      <c r="R17" s="309">
        <f>'Footprint Summary'!R17*Assumptions!N54</f>
        <v>0</v>
      </c>
      <c r="S17" s="314">
        <f t="shared" si="0"/>
        <v>0</v>
      </c>
    </row>
    <row r="18" spans="1:19" ht="14">
      <c r="A18" s="185" t="s">
        <v>232</v>
      </c>
      <c r="B18" s="182" t="s">
        <v>170</v>
      </c>
      <c r="C18" s="231">
        <v>17363.8</v>
      </c>
      <c r="D18" s="212">
        <v>0</v>
      </c>
      <c r="E18" s="199"/>
      <c r="F18" s="211">
        <v>1</v>
      </c>
      <c r="G18" s="308">
        <f>'Historic Utility Costs'!D49</f>
        <v>277500.96999999997</v>
      </c>
      <c r="H18" s="308">
        <f>'Footprint Summary'!H18*Assumptions!D55</f>
        <v>178930.52962445148</v>
      </c>
      <c r="I18" s="309">
        <f>'Footprint Summary'!I18*Assumptions!E55</f>
        <v>185193.09816130725</v>
      </c>
      <c r="J18" s="309">
        <f>'Footprint Summary'!J18*Assumptions!F55</f>
        <v>191674.856596953</v>
      </c>
      <c r="K18" s="309">
        <f>'Footprint Summary'!K18*Assumptions!G55</f>
        <v>195221.58178562362</v>
      </c>
      <c r="L18" s="309">
        <f>'Footprint Summary'!L18*Assumptions!H55</f>
        <v>198127.26381617982</v>
      </c>
      <c r="M18" s="309">
        <f>'Footprint Summary'!M18*Assumptions!I55</f>
        <v>205061.71804974609</v>
      </c>
      <c r="N18" s="309">
        <f>'Footprint Summary'!N18*Assumptions!J55</f>
        <v>212238.87818148721</v>
      </c>
      <c r="O18" s="309">
        <f>'Footprint Summary'!O18*Assumptions!K55</f>
        <v>189060.89938965844</v>
      </c>
      <c r="P18" s="309">
        <f>'Footprint Summary'!P18*Assumptions!L55</f>
        <v>195678.03086829645</v>
      </c>
      <c r="Q18" s="309">
        <f>'Footprint Summary'!Q18*Assumptions!M55</f>
        <v>202526.76194868679</v>
      </c>
      <c r="R18" s="309">
        <f>'Footprint Summary'!R18*Assumptions!N55</f>
        <v>209615.19861689082</v>
      </c>
      <c r="S18" s="314">
        <f t="shared" si="0"/>
        <v>1984398.2874148292</v>
      </c>
    </row>
    <row r="19" spans="1:19" ht="14">
      <c r="A19" s="185" t="s">
        <v>48</v>
      </c>
      <c r="B19" s="182" t="s">
        <v>168</v>
      </c>
      <c r="C19" s="231">
        <v>24784</v>
      </c>
      <c r="D19" s="212">
        <v>0</v>
      </c>
      <c r="E19" s="199"/>
      <c r="F19" s="211">
        <v>1</v>
      </c>
      <c r="G19" s="308">
        <f>'Historic Utility Costs'!D50</f>
        <v>141048.53000000003</v>
      </c>
      <c r="H19" s="308">
        <f>'Footprint Summary'!H19*Assumptions!D56</f>
        <v>167872.86074834148</v>
      </c>
      <c r="I19" s="309">
        <f>'Footprint Summary'!I19*Assumptions!E56</f>
        <v>173748.41087453341</v>
      </c>
      <c r="J19" s="309">
        <f>'Footprint Summary'!J19*Assumptions!F56</f>
        <v>179829.60525514206</v>
      </c>
      <c r="K19" s="309">
        <f>'Footprint Summary'!K19*Assumptions!G56</f>
        <v>186123.641439072</v>
      </c>
      <c r="L19" s="309">
        <f>'Footprint Summary'!L19*Assumptions!H56</f>
        <v>183811.30937016103</v>
      </c>
      <c r="M19" s="309">
        <f>'Footprint Summary'!M19*Assumptions!I56</f>
        <v>190244.70519811666</v>
      </c>
      <c r="N19" s="309">
        <f>'Footprint Summary'!N19*Assumptions!J56</f>
        <v>196903.26988005074</v>
      </c>
      <c r="O19" s="309">
        <f>'Footprint Summary'!O19*Assumptions!K56</f>
        <v>236283.92385606086</v>
      </c>
      <c r="P19" s="309">
        <f>'Footprint Summary'!P19*Assumptions!L56</f>
        <v>244553.861191023</v>
      </c>
      <c r="Q19" s="309">
        <f>'Footprint Summary'!Q19*Assumptions!M56</f>
        <v>253113.24633270878</v>
      </c>
      <c r="R19" s="309">
        <f>'Footprint Summary'!R19*Assumptions!N56</f>
        <v>261972.20995435354</v>
      </c>
      <c r="S19" s="314">
        <f t="shared" si="0"/>
        <v>2106584.183351222</v>
      </c>
    </row>
    <row r="20" spans="1:19" ht="14">
      <c r="A20" s="185" t="s">
        <v>30</v>
      </c>
      <c r="B20" s="182" t="s">
        <v>123</v>
      </c>
      <c r="C20" s="231">
        <v>23555.5</v>
      </c>
      <c r="D20" s="211">
        <v>0</v>
      </c>
      <c r="E20" s="199"/>
      <c r="F20" s="211">
        <v>1</v>
      </c>
      <c r="G20" s="308">
        <f>'Historic Utility Costs'!D51</f>
        <v>248866.22999999998</v>
      </c>
      <c r="H20" s="308">
        <f>'Footprint Summary'!H20*Assumptions!D57</f>
        <v>399024.71235318371</v>
      </c>
      <c r="I20" s="309">
        <f>'Footprint Summary'!I20*Assumptions!E57</f>
        <v>412990.57728554512</v>
      </c>
      <c r="J20" s="309">
        <f>'Footprint Summary'!J20*Assumptions!F57</f>
        <v>427445.24749053916</v>
      </c>
      <c r="K20" s="309">
        <f>'Footprint Summary'!K20*Assumptions!G57</f>
        <v>442405.83115270798</v>
      </c>
      <c r="L20" s="309">
        <f>'Footprint Summary'!L20*Assumptions!H57</f>
        <v>457890.03524305276</v>
      </c>
      <c r="M20" s="309">
        <f>'Footprint Summary'!M20*Assumptions!I57</f>
        <v>473916.18647655955</v>
      </c>
      <c r="N20" s="309">
        <f>'Footprint Summary'!N20*Assumptions!J57</f>
        <v>490503.25300323905</v>
      </c>
      <c r="O20" s="309">
        <f>'Footprint Summary'!O20*Assumptions!K57</f>
        <v>588603.90360388684</v>
      </c>
      <c r="P20" s="309">
        <f>'Footprint Summary'!P20*Assumptions!L57</f>
        <v>609205.04023002286</v>
      </c>
      <c r="Q20" s="309">
        <f>'Footprint Summary'!Q20*Assumptions!M57</f>
        <v>630527.21663807367</v>
      </c>
      <c r="R20" s="309">
        <f>'Footprint Summary'!R20*Assumptions!N57</f>
        <v>652595.66922040621</v>
      </c>
      <c r="S20" s="314">
        <f t="shared" si="0"/>
        <v>5186082.9603440333</v>
      </c>
    </row>
    <row r="21" spans="1:19" ht="14">
      <c r="A21" s="185" t="s">
        <v>63</v>
      </c>
      <c r="B21" s="182" t="s">
        <v>64</v>
      </c>
      <c r="C21" s="231">
        <v>61127</v>
      </c>
      <c r="D21" s="211">
        <v>0.5</v>
      </c>
      <c r="E21" s="199"/>
      <c r="F21" s="211">
        <v>0</v>
      </c>
      <c r="G21" s="308">
        <f>'Historic Utility Costs'!D52</f>
        <v>0</v>
      </c>
      <c r="H21" s="308">
        <f>'Footprint Summary'!H21*Assumptions!D58</f>
        <v>0</v>
      </c>
      <c r="I21" s="309">
        <f>'Footprint Summary'!I21*Assumptions!E58</f>
        <v>0</v>
      </c>
      <c r="J21" s="309">
        <f>'Footprint Summary'!J21*Assumptions!F58</f>
        <v>0</v>
      </c>
      <c r="K21" s="309">
        <f>'Footprint Summary'!K21*Assumptions!G58</f>
        <v>0</v>
      </c>
      <c r="L21" s="309">
        <f>'Footprint Summary'!L21*Assumptions!H58</f>
        <v>0</v>
      </c>
      <c r="M21" s="309">
        <f>'Footprint Summary'!M21*Assumptions!I58</f>
        <v>0</v>
      </c>
      <c r="N21" s="309">
        <f>'Footprint Summary'!N21*Assumptions!J58</f>
        <v>0</v>
      </c>
      <c r="O21" s="309">
        <f>'Footprint Summary'!O21*Assumptions!K58</f>
        <v>0</v>
      </c>
      <c r="P21" s="309">
        <f>'Footprint Summary'!P21*Assumptions!L58</f>
        <v>0</v>
      </c>
      <c r="Q21" s="309">
        <f>'Footprint Summary'!Q21*Assumptions!M58</f>
        <v>0</v>
      </c>
      <c r="R21" s="309">
        <f>'Footprint Summary'!R21*Assumptions!N58</f>
        <v>0</v>
      </c>
      <c r="S21" s="314">
        <f t="shared" si="0"/>
        <v>0</v>
      </c>
    </row>
    <row r="22" spans="1:19" ht="14">
      <c r="A22" s="185" t="s">
        <v>232</v>
      </c>
      <c r="B22" s="182" t="s">
        <v>95</v>
      </c>
      <c r="C22" s="231">
        <v>41253</v>
      </c>
      <c r="D22" s="212">
        <v>0</v>
      </c>
      <c r="E22" s="199">
        <v>0.5</v>
      </c>
      <c r="F22" s="211">
        <v>0</v>
      </c>
      <c r="G22" s="308">
        <f>'Historic Utility Costs'!D53</f>
        <v>432699.87000000005</v>
      </c>
      <c r="H22" s="308">
        <f>'Footprint Summary'!H22*Assumptions!D59</f>
        <v>257500.19403797167</v>
      </c>
      <c r="I22" s="309">
        <f>'Footprint Summary'!I22*Assumptions!E59</f>
        <v>266512.70082930068</v>
      </c>
      <c r="J22" s="309">
        <f>'Footprint Summary'!J22*Assumptions!F59</f>
        <v>275840.64535832615</v>
      </c>
      <c r="K22" s="309">
        <f>'Footprint Summary'!K22*Assumptions!G59</f>
        <v>285495.06794586754</v>
      </c>
      <c r="L22" s="309">
        <f>'Footprint Summary'!L22*Assumptions!H59</f>
        <v>295487.39532397292</v>
      </c>
      <c r="M22" s="309">
        <f>'Footprint Summary'!M22*Assumptions!I59</f>
        <v>305829.45416031196</v>
      </c>
      <c r="N22" s="309">
        <f>'Footprint Summary'!N22*Assumptions!J59</f>
        <v>316533.48505592288</v>
      </c>
      <c r="O22" s="309">
        <f>'Footprint Summary'!O22*Assumptions!K59</f>
        <v>379840.18206710741</v>
      </c>
      <c r="P22" s="309">
        <f>'Footprint Summary'!P22*Assumptions!L59</f>
        <v>393134.58843945619</v>
      </c>
      <c r="Q22" s="309">
        <f>'Footprint Summary'!Q22*Assumptions!M59</f>
        <v>406894.29903483711</v>
      </c>
      <c r="R22" s="309">
        <f>'Footprint Summary'!R22*Assumptions!N59</f>
        <v>421135.59950105642</v>
      </c>
      <c r="S22" s="314">
        <f t="shared" si="0"/>
        <v>3346703.4177161595</v>
      </c>
    </row>
    <row r="23" spans="1:19" ht="14">
      <c r="A23" s="185" t="s">
        <v>232</v>
      </c>
      <c r="B23" s="198" t="s">
        <v>133</v>
      </c>
      <c r="C23" s="231">
        <v>8227.2000000000007</v>
      </c>
      <c r="D23" s="212">
        <v>0</v>
      </c>
      <c r="E23" s="199"/>
      <c r="F23" s="211">
        <v>0</v>
      </c>
      <c r="G23" s="308">
        <f>'Historic Utility Costs'!D54</f>
        <v>103108.41</v>
      </c>
      <c r="H23" s="308">
        <f>'Footprint Summary'!H23*Assumptions!D60</f>
        <v>321590.61461715016</v>
      </c>
      <c r="I23" s="309">
        <f>'Footprint Summary'!I23*Assumptions!E60</f>
        <v>332846.28612875036</v>
      </c>
      <c r="J23" s="309">
        <f>'Footprint Summary'!J23*Assumptions!F60</f>
        <v>344495.90614325664</v>
      </c>
      <c r="K23" s="309">
        <f>'Footprint Summary'!K23*Assumptions!G60</f>
        <v>356553.26285827055</v>
      </c>
      <c r="L23" s="309">
        <f>'Footprint Summary'!L23*Assumptions!H60</f>
        <v>369032.62705831003</v>
      </c>
      <c r="M23" s="309">
        <f>'Footprint Summary'!M23*Assumptions!I60</f>
        <v>381948.76900535083</v>
      </c>
      <c r="N23" s="309">
        <f>'Footprint Summary'!N23*Assumptions!J60</f>
        <v>395316.97592053807</v>
      </c>
      <c r="O23" s="309">
        <f>'Footprint Summary'!O23*Assumptions!K60</f>
        <v>474380.37110464566</v>
      </c>
      <c r="P23" s="309">
        <f>'Footprint Summary'!P23*Assumptions!L60</f>
        <v>490983.68409330823</v>
      </c>
      <c r="Q23" s="309">
        <f>'Footprint Summary'!Q23*Assumptions!M60</f>
        <v>508168.11303657398</v>
      </c>
      <c r="R23" s="309">
        <f>'Footprint Summary'!R23*Assumptions!N60</f>
        <v>525953.99699285394</v>
      </c>
      <c r="S23" s="314">
        <f t="shared" si="0"/>
        <v>4179679.9923418579</v>
      </c>
    </row>
    <row r="24" spans="1:19" ht="14">
      <c r="A24" s="185" t="s">
        <v>178</v>
      </c>
      <c r="B24" s="198" t="s">
        <v>140</v>
      </c>
      <c r="C24" s="231">
        <v>20861</v>
      </c>
      <c r="D24" s="212">
        <v>1</v>
      </c>
      <c r="E24" s="199"/>
      <c r="F24" s="211">
        <v>0</v>
      </c>
      <c r="G24" s="308">
        <f>'Historic Utility Costs'!D55</f>
        <v>0</v>
      </c>
      <c r="H24" s="308">
        <f>'Footprint Summary'!H24*Assumptions!D61</f>
        <v>307556.17172791134</v>
      </c>
      <c r="I24" s="309">
        <f>'Footprint Summary'!I24*Assumptions!E61</f>
        <v>318320.63773838821</v>
      </c>
      <c r="J24" s="309">
        <f>'Footprint Summary'!J24*Assumptions!F61</f>
        <v>329461.86005923175</v>
      </c>
      <c r="K24" s="309">
        <f>'Footprint Summary'!K24*Assumptions!G61</f>
        <v>340993.02516130486</v>
      </c>
      <c r="L24" s="309">
        <f>'Footprint Summary'!L24*Assumptions!H61</f>
        <v>352927.78104195051</v>
      </c>
      <c r="M24" s="309">
        <f>'Footprint Summary'!M24*Assumptions!I61</f>
        <v>365280.25337841874</v>
      </c>
      <c r="N24" s="309">
        <f>'Footprint Summary'!N24*Assumptions!J61</f>
        <v>378065.06224666338</v>
      </c>
      <c r="O24" s="309">
        <f>'Footprint Summary'!O24*Assumptions!K61</f>
        <v>453678.07469599601</v>
      </c>
      <c r="P24" s="309">
        <f>'Footprint Summary'!P24*Assumptions!L61</f>
        <v>469556.80731035583</v>
      </c>
      <c r="Q24" s="309">
        <f>'Footprint Summary'!Q24*Assumptions!M61</f>
        <v>485991.29556621826</v>
      </c>
      <c r="R24" s="309">
        <f>'Footprint Summary'!R24*Assumptions!N61</f>
        <v>503000.99091103591</v>
      </c>
      <c r="S24" s="314">
        <f t="shared" si="0"/>
        <v>3997275.7881095638</v>
      </c>
    </row>
    <row r="25" spans="1:19" ht="14">
      <c r="A25" s="185" t="s">
        <v>37</v>
      </c>
      <c r="B25" s="182" t="s">
        <v>166</v>
      </c>
      <c r="C25" s="231">
        <v>15723.1</v>
      </c>
      <c r="D25" s="212">
        <v>0</v>
      </c>
      <c r="E25" s="199"/>
      <c r="F25" s="211">
        <v>1</v>
      </c>
      <c r="G25" s="308">
        <f>'Historic Utility Costs'!D56</f>
        <v>201250.68</v>
      </c>
      <c r="H25" s="308">
        <f>'Footprint Summary'!H25*Assumptions!D62</f>
        <v>200868.12528585931</v>
      </c>
      <c r="I25" s="309">
        <f>'Footprint Summary'!I25*Assumptions!E62</f>
        <v>207898.50967086435</v>
      </c>
      <c r="J25" s="309">
        <f>'Footprint Summary'!J25*Assumptions!F62</f>
        <v>174736.25956128354</v>
      </c>
      <c r="K25" s="309">
        <f>'Footprint Summary'!K25*Assumptions!G62</f>
        <v>161554.05240059478</v>
      </c>
      <c r="L25" s="309">
        <f>'Footprint Summary'!L25*Assumptions!H62</f>
        <v>153460.51583282626</v>
      </c>
      <c r="M25" s="309">
        <f>'Footprint Summary'!M25*Assumptions!I62</f>
        <v>158831.63388697518</v>
      </c>
      <c r="N25" s="309">
        <f>'Footprint Summary'!N25*Assumptions!J62</f>
        <v>164390.74107301928</v>
      </c>
      <c r="O25" s="309">
        <f>'Footprint Summary'!O25*Assumptions!K62</f>
        <v>192711.81676920445</v>
      </c>
      <c r="P25" s="309">
        <f>'Footprint Summary'!P25*Assumptions!L62</f>
        <v>199456.73035612659</v>
      </c>
      <c r="Q25" s="309">
        <f>'Footprint Summary'!Q25*Assumptions!M62</f>
        <v>206437.71591859101</v>
      </c>
      <c r="R25" s="309">
        <f>'Footprint Summary'!R25*Assumptions!N62</f>
        <v>213663.03597574166</v>
      </c>
      <c r="S25" s="314">
        <f t="shared" si="0"/>
        <v>1833141.0114452273</v>
      </c>
    </row>
    <row r="26" spans="1:19" ht="14.5" thickBot="1">
      <c r="A26" s="185" t="s">
        <v>66</v>
      </c>
      <c r="B26" s="182" t="s">
        <v>67</v>
      </c>
      <c r="C26" s="231">
        <v>12837.7</v>
      </c>
      <c r="D26" s="211">
        <v>0</v>
      </c>
      <c r="E26" s="199"/>
      <c r="F26" s="211">
        <v>1</v>
      </c>
      <c r="G26" s="308">
        <f>'Historic Utility Costs'!D57</f>
        <v>219478.54</v>
      </c>
      <c r="H26" s="308">
        <f>'Footprint Summary'!H26*Assumptions!D63</f>
        <v>297626.37506886834</v>
      </c>
      <c r="I26" s="309">
        <f>'Footprint Summary'!I26*Assumptions!E63</f>
        <v>308043.29819627869</v>
      </c>
      <c r="J26" s="309">
        <f>'Footprint Summary'!J26*Assumptions!F63</f>
        <v>318824.81363314844</v>
      </c>
      <c r="K26" s="309">
        <f>'Footprint Summary'!K26*Assumptions!G63</f>
        <v>189301.83461850099</v>
      </c>
      <c r="L26" s="309">
        <f>'Footprint Summary'!L26*Assumptions!H63</f>
        <v>195927.39883014851</v>
      </c>
      <c r="M26" s="309">
        <f>'Footprint Summary'!M26*Assumptions!I63</f>
        <v>202784.85778920367</v>
      </c>
      <c r="N26" s="309">
        <f>'Footprint Summary'!N26*Assumptions!J63</f>
        <v>209882.32781182579</v>
      </c>
      <c r="O26" s="309">
        <f>'Footprint Summary'!O26*Assumptions!K63</f>
        <v>251858.79337419095</v>
      </c>
      <c r="P26" s="309">
        <f>'Footprint Summary'!P26*Assumptions!L63</f>
        <v>221475.14489658549</v>
      </c>
      <c r="Q26" s="309">
        <f>'Footprint Summary'!Q26*Assumptions!M63</f>
        <v>229226.77496796596</v>
      </c>
      <c r="R26" s="309">
        <f>'Footprint Summary'!R26*Assumptions!N63</f>
        <v>237249.71209184476</v>
      </c>
      <c r="S26" s="314">
        <f t="shared" si="0"/>
        <v>2364574.9562096931</v>
      </c>
    </row>
    <row r="27" spans="1:19" ht="13" thickTop="1">
      <c r="G27" s="310">
        <f>SUBTOTAL(109,G4:G26)</f>
        <v>7044174.3691999987</v>
      </c>
      <c r="H27" s="310">
        <f t="shared" ref="H27:R27" si="1">SUBTOTAL(109,H4:H26)</f>
        <v>8696294.7386145871</v>
      </c>
      <c r="I27" s="310">
        <f t="shared" si="1"/>
        <v>9000665.0544660967</v>
      </c>
      <c r="J27" s="310">
        <f t="shared" si="1"/>
        <v>8859818.7990607694</v>
      </c>
      <c r="K27" s="310">
        <f t="shared" si="1"/>
        <v>8915049.2497001924</v>
      </c>
      <c r="L27" s="310">
        <f t="shared" si="1"/>
        <v>8881146.8597766068</v>
      </c>
      <c r="M27" s="310">
        <f t="shared" si="1"/>
        <v>9191986.9998687841</v>
      </c>
      <c r="N27" s="310">
        <f t="shared" si="1"/>
        <v>9601192.7715954687</v>
      </c>
      <c r="O27" s="310">
        <f t="shared" si="1"/>
        <v>11204870.241860496</v>
      </c>
      <c r="P27" s="310">
        <f t="shared" si="1"/>
        <v>11075855.643404426</v>
      </c>
      <c r="Q27" s="310">
        <f t="shared" si="1"/>
        <v>11463510.590923581</v>
      </c>
      <c r="R27" s="310">
        <f t="shared" si="1"/>
        <v>11759180.145549199</v>
      </c>
      <c r="S27" s="311">
        <f>SUBTOTAL(109,(S4:S26))</f>
        <v>99953276.356205627</v>
      </c>
    </row>
    <row r="28" spans="1:19">
      <c r="N28" s="316">
        <f>SUM(I27:N27)</f>
        <v>54449859.734467916</v>
      </c>
    </row>
    <row r="29" spans="1:19">
      <c r="G29" s="273"/>
      <c r="H29" s="237"/>
      <c r="I29" s="237"/>
      <c r="J29" s="237"/>
    </row>
    <row r="30" spans="1:19">
      <c r="G30" s="185"/>
      <c r="H30" s="237"/>
      <c r="I30" s="237"/>
      <c r="J30" s="237"/>
    </row>
    <row r="31" spans="1:19" ht="23.25" customHeight="1" thickBot="1">
      <c r="A31" s="196" t="s">
        <v>233</v>
      </c>
    </row>
    <row r="32" spans="1:19" ht="15" thickTop="1" thickBot="1">
      <c r="A32" s="184" t="s">
        <v>6</v>
      </c>
      <c r="B32" s="184" t="s">
        <v>7</v>
      </c>
      <c r="C32" s="184" t="s">
        <v>9</v>
      </c>
      <c r="D32" s="184" t="s">
        <v>10</v>
      </c>
      <c r="E32" s="184" t="s">
        <v>11</v>
      </c>
      <c r="F32" s="184" t="s">
        <v>12</v>
      </c>
      <c r="G32" s="184" t="s">
        <v>188</v>
      </c>
      <c r="H32" s="184" t="s">
        <v>189</v>
      </c>
      <c r="I32" s="184" t="s">
        <v>190</v>
      </c>
      <c r="J32" s="184" t="s">
        <v>191</v>
      </c>
      <c r="K32" s="184" t="s">
        <v>192</v>
      </c>
      <c r="L32" s="184" t="s">
        <v>193</v>
      </c>
      <c r="M32" s="184" t="s">
        <v>194</v>
      </c>
      <c r="N32" s="184" t="s">
        <v>195</v>
      </c>
      <c r="O32" s="184" t="s">
        <v>196</v>
      </c>
      <c r="P32" s="184" t="s">
        <v>197</v>
      </c>
      <c r="Q32" s="184" t="s">
        <v>198</v>
      </c>
      <c r="R32" s="184" t="s">
        <v>199</v>
      </c>
      <c r="S32" s="200" t="s">
        <v>231</v>
      </c>
    </row>
    <row r="33" spans="1:19" ht="14.5" thickTop="1">
      <c r="A33" s="185" t="s">
        <v>30</v>
      </c>
      <c r="B33" s="198" t="s">
        <v>31</v>
      </c>
      <c r="C33" s="228">
        <v>29166</v>
      </c>
      <c r="D33" s="211">
        <v>1</v>
      </c>
      <c r="E33" s="199"/>
      <c r="F33" s="211">
        <v>1</v>
      </c>
      <c r="G33" s="312">
        <v>41724.339299999992</v>
      </c>
      <c r="H33" s="312">
        <f>'Footprint Summary'!H33*Assumptions!D69</f>
        <v>48668.834703157998</v>
      </c>
      <c r="I33" s="309">
        <f>'Footprint Summary'!I33*Assumptions!E69</f>
        <v>50128.899744252732</v>
      </c>
      <c r="J33" s="309">
        <f>'Footprint Summary'!J33*Assumptions!F69</f>
        <v>51632.766736580314</v>
      </c>
      <c r="K33" s="309">
        <f>'Footprint Summary'!K33*Assumptions!G69</f>
        <v>37109.890363393417</v>
      </c>
      <c r="L33" s="309">
        <f>'Footprint Summary'!L33*Assumptions!H69</f>
        <v>36934.144910466064</v>
      </c>
      <c r="M33" s="309">
        <f>'Footprint Summary'!M33*Assumptions!I69</f>
        <v>36714.455829036022</v>
      </c>
      <c r="N33" s="309">
        <f>'Footprint Summary'!N33*Assumptions!J69</f>
        <v>36448.344672300751</v>
      </c>
      <c r="O33" s="309">
        <f>'Footprint Summary'!O33*Assumptions!K69</f>
        <v>17599.39256546073</v>
      </c>
      <c r="P33" s="309">
        <f>'Footprint Summary'!P33*Assumptions!L69</f>
        <v>18127.374342424548</v>
      </c>
      <c r="Q33" s="309">
        <f>'Footprint Summary'!Q33*Assumptions!M69</f>
        <v>18671.195572697288</v>
      </c>
      <c r="R33" s="309">
        <f>'Footprint Summary'!R33*Assumptions!N69</f>
        <v>19231.331439878206</v>
      </c>
      <c r="S33" s="314">
        <f>SUM(I33:R33)</f>
        <v>322597.79617649008</v>
      </c>
    </row>
    <row r="34" spans="1:19" ht="14">
      <c r="A34" s="185" t="s">
        <v>37</v>
      </c>
      <c r="B34" s="182" t="s">
        <v>38</v>
      </c>
      <c r="C34" s="228">
        <v>62987</v>
      </c>
      <c r="D34" s="211">
        <v>0.5</v>
      </c>
      <c r="E34" s="199"/>
      <c r="F34" s="211">
        <v>1</v>
      </c>
      <c r="G34" s="312">
        <v>159548.62910000002</v>
      </c>
      <c r="H34" s="312">
        <f>'Footprint Summary'!H34*Assumptions!D70</f>
        <v>163610.67867683328</v>
      </c>
      <c r="I34" s="309">
        <f>'Footprint Summary'!I34*Assumptions!E70</f>
        <v>168518.9990371383</v>
      </c>
      <c r="J34" s="309">
        <f>'Footprint Summary'!J34*Assumptions!F70</f>
        <v>173574.56900825244</v>
      </c>
      <c r="K34" s="309">
        <f>'Footprint Summary'!K34*Assumptions!G70</f>
        <v>178781.8060785</v>
      </c>
      <c r="L34" s="309">
        <f>'Footprint Summary'!L34*Assumptions!H70</f>
        <v>184145.26026085499</v>
      </c>
      <c r="M34" s="309">
        <f>'Footprint Summary'!M34*Assumptions!I70</f>
        <v>189669.61806868066</v>
      </c>
      <c r="N34" s="309">
        <f>'Footprint Summary'!N34*Assumptions!J70</f>
        <v>195359.70661074109</v>
      </c>
      <c r="O34" s="309">
        <f>'Footprint Summary'!O34*Assumptions!K70</f>
        <v>201220.49780906332</v>
      </c>
      <c r="P34" s="309">
        <f>'Footprint Summary'!P34*Assumptions!L70</f>
        <v>207257.11274333525</v>
      </c>
      <c r="Q34" s="309">
        <f>'Footprint Summary'!Q34*Assumptions!M70</f>
        <v>213474.8261256353</v>
      </c>
      <c r="R34" s="309">
        <f>'Footprint Summary'!R34*Assumptions!N70</f>
        <v>219879.07090940434</v>
      </c>
      <c r="S34" s="314">
        <f t="shared" ref="S34:S55" si="2">SUM(I34:R34)</f>
        <v>1931881.4666516059</v>
      </c>
    </row>
    <row r="35" spans="1:19" ht="14">
      <c r="A35" s="185" t="s">
        <v>30</v>
      </c>
      <c r="B35" s="182" t="s">
        <v>42</v>
      </c>
      <c r="C35" s="231">
        <v>42132</v>
      </c>
      <c r="D35" s="211">
        <v>0.5</v>
      </c>
      <c r="E35" s="199">
        <v>0.25</v>
      </c>
      <c r="F35" s="211">
        <v>1</v>
      </c>
      <c r="G35" s="312">
        <v>98408.675099999993</v>
      </c>
      <c r="H35" s="312">
        <f>'Footprint Summary'!H35*Assumptions!D71</f>
        <v>129382.62436418589</v>
      </c>
      <c r="I35" s="309">
        <f>'Footprint Summary'!I35*Assumptions!E71</f>
        <v>133264.10309511147</v>
      </c>
      <c r="J35" s="309">
        <f>'Footprint Summary'!J35*Assumptions!F71</f>
        <v>137262.02618796483</v>
      </c>
      <c r="K35" s="309">
        <f>'Footprint Summary'!K35*Assumptions!G71</f>
        <v>141379.88697360377</v>
      </c>
      <c r="L35" s="309">
        <f>'Footprint Summary'!L35*Assumptions!H71</f>
        <v>145621.28358281188</v>
      </c>
      <c r="M35" s="309">
        <f>'Footprint Summary'!M35*Assumptions!I71</f>
        <v>140016.59751806437</v>
      </c>
      <c r="N35" s="309">
        <f>'Footprint Summary'!N35*Assumptions!J71</f>
        <v>144217.09544360632</v>
      </c>
      <c r="O35" s="309">
        <f>'Footprint Summary'!O35*Assumptions!K71</f>
        <v>110999.18881482145</v>
      </c>
      <c r="P35" s="309">
        <f>'Footprint Summary'!P35*Assumptions!L71</f>
        <v>114329.1644792661</v>
      </c>
      <c r="Q35" s="309">
        <f>'Footprint Summary'!Q35*Assumptions!M71</f>
        <v>117759.03941364409</v>
      </c>
      <c r="R35" s="309">
        <f>'Footprint Summary'!R35*Assumptions!N71</f>
        <v>121291.81059605342</v>
      </c>
      <c r="S35" s="314">
        <f t="shared" si="2"/>
        <v>1306140.1961049477</v>
      </c>
    </row>
    <row r="36" spans="1:19" ht="14">
      <c r="A36" s="185" t="s">
        <v>30</v>
      </c>
      <c r="B36" s="182" t="s">
        <v>43</v>
      </c>
      <c r="C36" s="231">
        <v>12509</v>
      </c>
      <c r="D36" s="211">
        <v>1</v>
      </c>
      <c r="E36" s="199"/>
      <c r="F36" s="211">
        <v>1</v>
      </c>
      <c r="G36" s="312">
        <v>23598.6558</v>
      </c>
      <c r="H36" s="312">
        <f>'Footprint Summary'!H36*Assumptions!D72</f>
        <v>24532.118596672721</v>
      </c>
      <c r="I36" s="309">
        <f>'Footprint Summary'!I36*Assumptions!E72</f>
        <v>25268.082154572905</v>
      </c>
      <c r="J36" s="309">
        <f>'Footprint Summary'!J36*Assumptions!F72</f>
        <v>26026.124619210092</v>
      </c>
      <c r="K36" s="309">
        <f>'Footprint Summary'!K36*Assumptions!G72</f>
        <v>26806.908357786397</v>
      </c>
      <c r="L36" s="309">
        <f>'Footprint Summary'!L36*Assumptions!H72</f>
        <v>27611.115608519987</v>
      </c>
      <c r="M36" s="309">
        <f>'Footprint Summary'!M36*Assumptions!I72</f>
        <v>28439.449076775585</v>
      </c>
      <c r="N36" s="309">
        <f>'Footprint Summary'!N36*Assumptions!J72</f>
        <v>29292.632549078855</v>
      </c>
      <c r="O36" s="309">
        <f>'Footprint Summary'!O36*Assumptions!K72</f>
        <v>30171.411525551222</v>
      </c>
      <c r="P36" s="309">
        <f>'Footprint Summary'!P36*Assumptions!L72</f>
        <v>31076.553871317759</v>
      </c>
      <c r="Q36" s="309">
        <f>'Footprint Summary'!Q36*Assumptions!M72</f>
        <v>32008.85048745729</v>
      </c>
      <c r="R36" s="309">
        <f>'Footprint Summary'!R36*Assumptions!N72</f>
        <v>32969.116002081013</v>
      </c>
      <c r="S36" s="314">
        <f t="shared" si="2"/>
        <v>289670.24425235111</v>
      </c>
    </row>
    <row r="37" spans="1:19" ht="14">
      <c r="A37" s="185" t="s">
        <v>30</v>
      </c>
      <c r="B37" s="182" t="s">
        <v>46</v>
      </c>
      <c r="C37" s="231">
        <v>27263</v>
      </c>
      <c r="D37" s="211">
        <v>1</v>
      </c>
      <c r="E37" s="199"/>
      <c r="F37" s="211">
        <v>1</v>
      </c>
      <c r="G37" s="312">
        <v>39476.285300000003</v>
      </c>
      <c r="H37" s="312">
        <f>'Footprint Summary'!H37*Assumptions!D73</f>
        <v>27327.375401130532</v>
      </c>
      <c r="I37" s="309">
        <f>'Footprint Summary'!I37*Assumptions!E73</f>
        <v>28147.19666316445</v>
      </c>
      <c r="J37" s="309">
        <f>'Footprint Summary'!J37*Assumptions!F73</f>
        <v>28991.612563059385</v>
      </c>
      <c r="K37" s="309">
        <f>'Footprint Summary'!K37*Assumptions!G73</f>
        <v>29861.36093995117</v>
      </c>
      <c r="L37" s="309">
        <f>'Footprint Summary'!L37*Assumptions!H73</f>
        <v>16873.525704254742</v>
      </c>
      <c r="M37" s="309">
        <f>'Footprint Summary'!M37*Assumptions!I73</f>
        <v>17379.731475382385</v>
      </c>
      <c r="N37" s="309">
        <f>'Footprint Summary'!N37*Assumptions!J73</f>
        <v>17901.123419643856</v>
      </c>
      <c r="O37" s="309">
        <f>'Footprint Summary'!O37*Assumptions!K73</f>
        <v>16270.861737337209</v>
      </c>
      <c r="P37" s="309">
        <f>'Footprint Summary'!P37*Assumptions!L73</f>
        <v>16758.987589457327</v>
      </c>
      <c r="Q37" s="309">
        <f>'Footprint Summary'!Q37*Assumptions!M73</f>
        <v>17261.757217141043</v>
      </c>
      <c r="R37" s="309">
        <f>'Footprint Summary'!R37*Assumptions!N73</f>
        <v>17779.609933655276</v>
      </c>
      <c r="S37" s="314">
        <f t="shared" si="2"/>
        <v>207225.76724304684</v>
      </c>
    </row>
    <row r="38" spans="1:19" ht="14">
      <c r="A38" s="185" t="s">
        <v>30</v>
      </c>
      <c r="B38" s="182" t="s">
        <v>47</v>
      </c>
      <c r="C38" s="231">
        <v>39057</v>
      </c>
      <c r="D38" s="211">
        <v>1</v>
      </c>
      <c r="E38" s="199"/>
      <c r="F38" s="211">
        <v>1</v>
      </c>
      <c r="G38" s="312">
        <v>33772.9948</v>
      </c>
      <c r="H38" s="312">
        <f>'Footprint Summary'!H38*Assumptions!D74</f>
        <v>37524.341272977486</v>
      </c>
      <c r="I38" s="309">
        <f>'Footprint Summary'!I38*Assumptions!E74</f>
        <v>38650.071511166811</v>
      </c>
      <c r="J38" s="309">
        <f>'Footprint Summary'!J38*Assumptions!F74</f>
        <v>30246.114184767463</v>
      </c>
      <c r="K38" s="309">
        <f>'Footprint Summary'!K38*Assumptions!G74</f>
        <v>31153.497610310485</v>
      </c>
      <c r="L38" s="309">
        <f>'Footprint Summary'!L38*Assumptions!H74</f>
        <v>32088.102538619798</v>
      </c>
      <c r="M38" s="309">
        <f>'Footprint Summary'!M38*Assumptions!I74</f>
        <v>33050.745614778396</v>
      </c>
      <c r="N38" s="309">
        <f>'Footprint Summary'!N38*Assumptions!J74</f>
        <v>34042.267983221747</v>
      </c>
      <c r="O38" s="309">
        <f>'Footprint Summary'!O38*Assumptions!K74</f>
        <v>22745.013104717938</v>
      </c>
      <c r="P38" s="309">
        <f>'Footprint Summary'!P38*Assumptions!L74</f>
        <v>23427.363497859478</v>
      </c>
      <c r="Q38" s="309">
        <f>'Footprint Summary'!Q38*Assumptions!M74</f>
        <v>12368.335535459242</v>
      </c>
      <c r="R38" s="309">
        <f>'Footprint Summary'!R38*Assumptions!N74</f>
        <v>12739.385601523021</v>
      </c>
      <c r="S38" s="314">
        <f t="shared" si="2"/>
        <v>270510.89718242438</v>
      </c>
    </row>
    <row r="39" spans="1:19" ht="14">
      <c r="A39" s="185" t="s">
        <v>48</v>
      </c>
      <c r="B39" s="182" t="s">
        <v>49</v>
      </c>
      <c r="C39" s="231">
        <v>24754</v>
      </c>
      <c r="D39" s="211">
        <v>1</v>
      </c>
      <c r="E39" s="199"/>
      <c r="F39" s="211">
        <v>1</v>
      </c>
      <c r="G39" s="312"/>
      <c r="H39" s="312">
        <f>'Footprint Summary'!H39*Assumptions!D75</f>
        <v>0</v>
      </c>
      <c r="I39" s="309">
        <f>'Footprint Summary'!I39*Assumptions!E75</f>
        <v>0</v>
      </c>
      <c r="J39" s="309">
        <f>'Footprint Summary'!J39*Assumptions!F75</f>
        <v>0</v>
      </c>
      <c r="K39" s="309">
        <f>'Footprint Summary'!K39*Assumptions!G75</f>
        <v>0</v>
      </c>
      <c r="L39" s="309">
        <f>'Footprint Summary'!L39*Assumptions!H75</f>
        <v>0</v>
      </c>
      <c r="M39" s="309">
        <f>'Footprint Summary'!M39*Assumptions!I75</f>
        <v>0</v>
      </c>
      <c r="N39" s="309">
        <f>'Footprint Summary'!N39*Assumptions!J75</f>
        <v>0</v>
      </c>
      <c r="O39" s="309">
        <f>'Footprint Summary'!O39*Assumptions!K75</f>
        <v>0</v>
      </c>
      <c r="P39" s="309">
        <f>'Footprint Summary'!P39*Assumptions!L75</f>
        <v>0</v>
      </c>
      <c r="Q39" s="309">
        <f>'Footprint Summary'!Q39*Assumptions!M75</f>
        <v>0</v>
      </c>
      <c r="R39" s="309">
        <f>'Footprint Summary'!R39*Assumptions!N75</f>
        <v>0</v>
      </c>
      <c r="S39" s="314">
        <f t="shared" si="2"/>
        <v>0</v>
      </c>
    </row>
    <row r="40" spans="1:19" ht="14">
      <c r="A40" s="185" t="s">
        <v>30</v>
      </c>
      <c r="B40" s="182" t="s">
        <v>92</v>
      </c>
      <c r="C40" s="231">
        <v>26819</v>
      </c>
      <c r="D40" s="212">
        <v>0</v>
      </c>
      <c r="E40" s="199">
        <v>1</v>
      </c>
      <c r="F40" s="211">
        <v>1</v>
      </c>
      <c r="G40" s="312">
        <v>24102.018800000005</v>
      </c>
      <c r="H40" s="312">
        <f>'Footprint Summary'!H40*Assumptions!D76</f>
        <v>29898.455295701391</v>
      </c>
      <c r="I40" s="309">
        <f>'Footprint Summary'!I40*Assumptions!E76</f>
        <v>30795.408954572435</v>
      </c>
      <c r="J40" s="309">
        <f>'Footprint Summary'!J40*Assumptions!F76</f>
        <v>17543.973346367642</v>
      </c>
      <c r="K40" s="309">
        <f>'Footprint Summary'!K40*Assumptions!G76</f>
        <v>18070.292546758672</v>
      </c>
      <c r="L40" s="309">
        <f>'Footprint Summary'!L40*Assumptions!H76</f>
        <v>18612.40132316143</v>
      </c>
      <c r="M40" s="309">
        <f>'Footprint Summary'!M40*Assumptions!I76</f>
        <v>19170.773362856275</v>
      </c>
      <c r="N40" s="309">
        <f>'Footprint Summary'!N40*Assumptions!J76</f>
        <v>19745.896563741961</v>
      </c>
      <c r="O40" s="309">
        <f>'Footprint Summary'!O40*Assumptions!K76</f>
        <v>17999.15387398014</v>
      </c>
      <c r="P40" s="309">
        <f>'Footprint Summary'!P40*Assumptions!L76</f>
        <v>18539.128490199546</v>
      </c>
      <c r="Q40" s="309">
        <f>'Footprint Summary'!Q40*Assumptions!M76</f>
        <v>19095.302344905529</v>
      </c>
      <c r="R40" s="309">
        <f>'Footprint Summary'!R40*Assumptions!N76</f>
        <v>-3.4794731177739116</v>
      </c>
      <c r="S40" s="314">
        <f t="shared" si="2"/>
        <v>179568.85133342585</v>
      </c>
    </row>
    <row r="41" spans="1:19" ht="14">
      <c r="A41" s="185" t="s">
        <v>30</v>
      </c>
      <c r="B41" s="182" t="s">
        <v>52</v>
      </c>
      <c r="C41" s="231">
        <v>28396</v>
      </c>
      <c r="D41" s="211">
        <v>0.75</v>
      </c>
      <c r="E41" s="199"/>
      <c r="F41" s="211">
        <v>1</v>
      </c>
      <c r="G41" s="312">
        <v>51540.50069999999</v>
      </c>
      <c r="H41" s="312">
        <f>'Footprint Summary'!H41*Assumptions!D77</f>
        <v>60856.89534331204</v>
      </c>
      <c r="I41" s="309">
        <f>'Footprint Summary'!I41*Assumptions!E77</f>
        <v>62682.602203611401</v>
      </c>
      <c r="J41" s="309">
        <f>'Footprint Summary'!J41*Assumptions!F77</f>
        <v>64563.080269719743</v>
      </c>
      <c r="K41" s="309">
        <f>'Footprint Summary'!K41*Assumptions!G77</f>
        <v>66499.97267781134</v>
      </c>
      <c r="L41" s="309">
        <f>'Footprint Summary'!L41*Assumptions!H77</f>
        <v>68494.971858145698</v>
      </c>
      <c r="M41" s="309">
        <f>'Footprint Summary'!M41*Assumptions!I77</f>
        <v>70549.821013890061</v>
      </c>
      <c r="N41" s="309">
        <f>'Footprint Summary'!N41*Assumptions!J77</f>
        <v>72666.315644306771</v>
      </c>
      <c r="O41" s="309">
        <f>'Footprint Summary'!O41*Assumptions!K77</f>
        <v>71919.983409944936</v>
      </c>
      <c r="P41" s="309">
        <f>'Footprint Summary'!P41*Assumptions!L77</f>
        <v>74077.582912243277</v>
      </c>
      <c r="Q41" s="309">
        <f>'Footprint Summary'!Q41*Assumptions!M77</f>
        <v>76299.910399610584</v>
      </c>
      <c r="R41" s="309">
        <f>'Footprint Summary'!R41*Assumptions!N77</f>
        <v>78588.907711598906</v>
      </c>
      <c r="S41" s="314">
        <f t="shared" si="2"/>
        <v>706343.14810088265</v>
      </c>
    </row>
    <row r="42" spans="1:19" ht="14">
      <c r="A42" s="185" t="s">
        <v>30</v>
      </c>
      <c r="B42" s="182" t="s">
        <v>54</v>
      </c>
      <c r="C42" s="231">
        <v>37558</v>
      </c>
      <c r="D42" s="211">
        <v>0.75</v>
      </c>
      <c r="E42" s="199"/>
      <c r="F42" s="211">
        <v>1</v>
      </c>
      <c r="G42" s="312">
        <v>37983.914000000012</v>
      </c>
      <c r="H42" s="312">
        <f>'Footprint Summary'!H42*Assumptions!D78</f>
        <v>25418.782996381691</v>
      </c>
      <c r="I42" s="309">
        <f>'Footprint Summary'!I42*Assumptions!E78</f>
        <v>26181.346486273142</v>
      </c>
      <c r="J42" s="309">
        <f>'Footprint Summary'!J42*Assumptions!F78</f>
        <v>26966.786880861335</v>
      </c>
      <c r="K42" s="309">
        <f>'Footprint Summary'!K42*Assumptions!G78</f>
        <v>27775.790487287173</v>
      </c>
      <c r="L42" s="309">
        <f>'Footprint Summary'!L42*Assumptions!H78</f>
        <v>28609.064201905792</v>
      </c>
      <c r="M42" s="309">
        <f>'Footprint Summary'!M42*Assumptions!I78</f>
        <v>29467.336127962968</v>
      </c>
      <c r="N42" s="309">
        <f>'Footprint Summary'!N42*Assumptions!J78</f>
        <v>30351.356211801856</v>
      </c>
      <c r="O42" s="309">
        <f>'Footprint Summary'!O42*Assumptions!K78</f>
        <v>26558.065765655268</v>
      </c>
      <c r="P42" s="309">
        <f>'Footprint Summary'!P42*Assumptions!L78</f>
        <v>11781.766810667434</v>
      </c>
      <c r="Q42" s="309">
        <f>'Footprint Summary'!Q42*Assumptions!M78</f>
        <v>12135.219814987457</v>
      </c>
      <c r="R42" s="309">
        <f>'Footprint Summary'!R42*Assumptions!N78</f>
        <v>12499.276409437081</v>
      </c>
      <c r="S42" s="314">
        <f t="shared" si="2"/>
        <v>232326.00919683953</v>
      </c>
    </row>
    <row r="43" spans="1:19" ht="14">
      <c r="A43" s="185" t="s">
        <v>37</v>
      </c>
      <c r="B43" s="182" t="s">
        <v>55</v>
      </c>
      <c r="C43" s="231">
        <v>55051</v>
      </c>
      <c r="D43" s="211">
        <v>0.5</v>
      </c>
      <c r="E43" s="199">
        <v>0.5</v>
      </c>
      <c r="F43" s="211">
        <v>1</v>
      </c>
      <c r="G43" s="312">
        <v>162815.5</v>
      </c>
      <c r="H43" s="312">
        <f>'Footprint Summary'!H43*Assumptions!D79</f>
        <v>165875.67844519994</v>
      </c>
      <c r="I43" s="309">
        <f>'Footprint Summary'!I43*Assumptions!E79</f>
        <v>170851.94879855594</v>
      </c>
      <c r="J43" s="309">
        <f>'Footprint Summary'!J43*Assumptions!F79</f>
        <v>175977.50726251263</v>
      </c>
      <c r="K43" s="309">
        <f>'Footprint Summary'!K43*Assumptions!G79</f>
        <v>181256.83248038805</v>
      </c>
      <c r="L43" s="309">
        <f>'Footprint Summary'!L43*Assumptions!H79</f>
        <v>168182.93251229031</v>
      </c>
      <c r="M43" s="309">
        <f>'Footprint Summary'!M43*Assumptions!I79</f>
        <v>164331.99923310769</v>
      </c>
      <c r="N43" s="309">
        <f>'Footprint Summary'!N43*Assumptions!J79</f>
        <v>20767.68017991892</v>
      </c>
      <c r="O43" s="309">
        <f>'Footprint Summary'!O43*Assumptions!K79</f>
        <v>21390.710585316487</v>
      </c>
      <c r="P43" s="309">
        <f>'Footprint Summary'!P43*Assumptions!L79</f>
        <v>22032.431902875982</v>
      </c>
      <c r="Q43" s="309">
        <f>'Footprint Summary'!Q43*Assumptions!M79</f>
        <v>22693.404859962262</v>
      </c>
      <c r="R43" s="309">
        <f>'Footprint Summary'!R43*Assumptions!N79</f>
        <v>23374.207005761131</v>
      </c>
      <c r="S43" s="314">
        <f t="shared" si="2"/>
        <v>970859.65482068947</v>
      </c>
    </row>
    <row r="44" spans="1:19" ht="14">
      <c r="A44" s="185" t="s">
        <v>30</v>
      </c>
      <c r="B44" s="182" t="s">
        <v>56</v>
      </c>
      <c r="C44" s="231">
        <v>39938</v>
      </c>
      <c r="D44" s="211">
        <v>0.5</v>
      </c>
      <c r="E44" s="199"/>
      <c r="F44" s="211">
        <v>1</v>
      </c>
      <c r="G44" s="312">
        <v>120058.64659999998</v>
      </c>
      <c r="H44" s="312">
        <f>'Footprint Summary'!H44*Assumptions!D80</f>
        <v>110182.70018815105</v>
      </c>
      <c r="I44" s="309">
        <f>'Footprint Summary'!I44*Assumptions!E80</f>
        <v>113488.18119379559</v>
      </c>
      <c r="J44" s="309">
        <f>'Footprint Summary'!J44*Assumptions!F80</f>
        <v>116892.82662960945</v>
      </c>
      <c r="K44" s="309">
        <f>'Footprint Summary'!K44*Assumptions!G80</f>
        <v>120399.61142849775</v>
      </c>
      <c r="L44" s="309">
        <f>'Footprint Summary'!L44*Assumptions!H80</f>
        <v>124011.59977135269</v>
      </c>
      <c r="M44" s="309">
        <f>'Footprint Summary'!M44*Assumptions!I80</f>
        <v>127731.94776449328</v>
      </c>
      <c r="N44" s="309">
        <f>'Footprint Summary'!N44*Assumptions!J80</f>
        <v>131563.90619742809</v>
      </c>
      <c r="O44" s="309">
        <f>'Footprint Summary'!O44*Assumptions!K80</f>
        <v>135510.82338335091</v>
      </c>
      <c r="P44" s="309">
        <f>'Footprint Summary'!P44*Assumptions!L80</f>
        <v>139576.14808485145</v>
      </c>
      <c r="Q44" s="309">
        <f>'Footprint Summary'!Q44*Assumptions!M80</f>
        <v>143763.432527397</v>
      </c>
      <c r="R44" s="309">
        <f>'Footprint Summary'!R44*Assumptions!N80</f>
        <v>148076.3355032189</v>
      </c>
      <c r="S44" s="314">
        <f t="shared" si="2"/>
        <v>1301014.8124839952</v>
      </c>
    </row>
    <row r="45" spans="1:19" ht="14">
      <c r="A45" s="185" t="s">
        <v>30</v>
      </c>
      <c r="B45" s="182" t="s">
        <v>93</v>
      </c>
      <c r="C45" s="231">
        <v>20404</v>
      </c>
      <c r="D45" s="212">
        <v>0</v>
      </c>
      <c r="E45" s="199">
        <v>1</v>
      </c>
      <c r="F45" s="211">
        <v>1</v>
      </c>
      <c r="G45" s="312">
        <v>18383.104800000001</v>
      </c>
      <c r="H45" s="312">
        <f>'Footprint Summary'!H45*Assumptions!D81</f>
        <v>23768.93470195412</v>
      </c>
      <c r="I45" s="309">
        <f>'Footprint Summary'!I45*Assumptions!E81</f>
        <v>24482.002743012745</v>
      </c>
      <c r="J45" s="309">
        <f>'Footprint Summary'!J45*Assumptions!F81</f>
        <v>25216.46282530313</v>
      </c>
      <c r="K45" s="309">
        <f>'Footprint Summary'!K45*Assumptions!G81</f>
        <v>25972.956710062223</v>
      </c>
      <c r="L45" s="309">
        <f>'Footprint Summary'!L45*Assumptions!H81</f>
        <v>26752.14541136409</v>
      </c>
      <c r="M45" s="309">
        <f>'Footprint Summary'!M45*Assumptions!I81</f>
        <v>27554.709773705014</v>
      </c>
      <c r="N45" s="309">
        <f>'Footprint Summary'!N45*Assumptions!J81</f>
        <v>28381.35106691617</v>
      </c>
      <c r="O45" s="309">
        <f>'Footprint Summary'!O45*Assumptions!K81</f>
        <v>29232.791598923654</v>
      </c>
      <c r="P45" s="309">
        <f>'Footprint Summary'!P45*Assumptions!L81</f>
        <v>30109.775346891365</v>
      </c>
      <c r="Q45" s="309">
        <f>'Footprint Summary'!Q45*Assumptions!M81</f>
        <v>3580.5356855261889</v>
      </c>
      <c r="R45" s="309">
        <f>'Footprint Summary'!R45*Assumptions!N81</f>
        <v>3687.9517560919749</v>
      </c>
      <c r="S45" s="314">
        <f t="shared" si="2"/>
        <v>224970.68291779654</v>
      </c>
    </row>
    <row r="46" spans="1:19" ht="14">
      <c r="A46" s="185" t="s">
        <v>37</v>
      </c>
      <c r="B46" s="182" t="s">
        <v>60</v>
      </c>
      <c r="C46" s="231">
        <v>1422</v>
      </c>
      <c r="D46" s="211">
        <v>1</v>
      </c>
      <c r="E46" s="199"/>
      <c r="F46" s="211">
        <v>1</v>
      </c>
      <c r="G46" s="312">
        <v>15433.9792</v>
      </c>
      <c r="H46" s="312">
        <f>'Footprint Summary'!H46*Assumptions!D82</f>
        <v>0</v>
      </c>
      <c r="I46" s="309">
        <f>'Footprint Summary'!I46*Assumptions!E82</f>
        <v>0</v>
      </c>
      <c r="J46" s="309">
        <f>'Footprint Summary'!J46*Assumptions!F82</f>
        <v>0</v>
      </c>
      <c r="K46" s="309">
        <f>'Footprint Summary'!K46*Assumptions!G82</f>
        <v>0</v>
      </c>
      <c r="L46" s="309">
        <f>'Footprint Summary'!L46*Assumptions!H82</f>
        <v>0</v>
      </c>
      <c r="M46" s="309">
        <f>'Footprint Summary'!M46*Assumptions!I82</f>
        <v>0</v>
      </c>
      <c r="N46" s="309">
        <f>'Footprint Summary'!N46*Assumptions!J82</f>
        <v>0</v>
      </c>
      <c r="O46" s="309">
        <f>'Footprint Summary'!O46*Assumptions!K82</f>
        <v>0</v>
      </c>
      <c r="P46" s="309">
        <f>'Footprint Summary'!P46*Assumptions!L82</f>
        <v>0</v>
      </c>
      <c r="Q46" s="309">
        <f>'Footprint Summary'!Q46*Assumptions!M82</f>
        <v>0</v>
      </c>
      <c r="R46" s="309">
        <f>'Footprint Summary'!R46*Assumptions!N82</f>
        <v>0</v>
      </c>
      <c r="S46" s="314">
        <f t="shared" si="2"/>
        <v>0</v>
      </c>
    </row>
    <row r="47" spans="1:19" ht="14">
      <c r="A47" s="185" t="s">
        <v>66</v>
      </c>
      <c r="B47" s="182" t="s">
        <v>170</v>
      </c>
      <c r="C47" s="231">
        <v>17363.8</v>
      </c>
      <c r="D47" s="212">
        <v>0</v>
      </c>
      <c r="E47" s="199"/>
      <c r="F47" s="211">
        <v>1</v>
      </c>
      <c r="G47" s="312">
        <v>11872.099999999999</v>
      </c>
      <c r="H47" s="312">
        <f>'Footprint Summary'!H47*Assumptions!D83</f>
        <v>5618.2339425443979</v>
      </c>
      <c r="I47" s="309">
        <f>'Footprint Summary'!I47*Assumptions!E83</f>
        <v>5786.7809608207299</v>
      </c>
      <c r="J47" s="309">
        <f>'Footprint Summary'!J47*Assumptions!F83</f>
        <v>5960.3843896453518</v>
      </c>
      <c r="K47" s="309">
        <f>'Footprint Summary'!K47*Assumptions!G83</f>
        <v>6139.1959213347127</v>
      </c>
      <c r="L47" s="309">
        <f>'Footprint Summary'!L47*Assumptions!H83</f>
        <v>3318.9769609465839</v>
      </c>
      <c r="M47" s="309">
        <f>'Footprint Summary'!M47*Assumptions!I83</f>
        <v>3418.5462697749813</v>
      </c>
      <c r="N47" s="309">
        <f>'Footprint Summary'!N47*Assumptions!J83</f>
        <v>3521.1026578682308</v>
      </c>
      <c r="O47" s="309">
        <f>'Footprint Summary'!O47*Assumptions!K83</f>
        <v>343.75237943026923</v>
      </c>
      <c r="P47" s="309">
        <f>'Footprint Summary'!P47*Assumptions!L83</f>
        <v>354.06495081317735</v>
      </c>
      <c r="Q47" s="309">
        <f>'Footprint Summary'!Q47*Assumptions!M83</f>
        <v>364.6868993375727</v>
      </c>
      <c r="R47" s="309">
        <f>'Footprint Summary'!R47*Assumptions!N83</f>
        <v>375.6275063176999</v>
      </c>
      <c r="S47" s="314">
        <f t="shared" si="2"/>
        <v>29583.118896289307</v>
      </c>
    </row>
    <row r="48" spans="1:19" ht="14">
      <c r="A48" s="185" t="s">
        <v>48</v>
      </c>
      <c r="B48" s="182" t="s">
        <v>168</v>
      </c>
      <c r="C48" s="231">
        <v>24784</v>
      </c>
      <c r="D48" s="212">
        <v>0</v>
      </c>
      <c r="E48" s="199"/>
      <c r="F48" s="211">
        <v>1</v>
      </c>
      <c r="G48" s="312"/>
      <c r="H48" s="312">
        <f>'Footprint Summary'!H48*Assumptions!D84</f>
        <v>0</v>
      </c>
      <c r="I48" s="309">
        <f>'Footprint Summary'!I48*Assumptions!E84</f>
        <v>0</v>
      </c>
      <c r="J48" s="309">
        <f>'Footprint Summary'!J48*Assumptions!F84</f>
        <v>0</v>
      </c>
      <c r="K48" s="309">
        <f>'Footprint Summary'!K48*Assumptions!G84</f>
        <v>0</v>
      </c>
      <c r="L48" s="309">
        <f>'Footprint Summary'!L48*Assumptions!H84</f>
        <v>0</v>
      </c>
      <c r="M48" s="309">
        <f>'Footprint Summary'!M48*Assumptions!I84</f>
        <v>0</v>
      </c>
      <c r="N48" s="309">
        <f>'Footprint Summary'!N48*Assumptions!J84</f>
        <v>0</v>
      </c>
      <c r="O48" s="309">
        <f>'Footprint Summary'!O48*Assumptions!K84</f>
        <v>0</v>
      </c>
      <c r="P48" s="309">
        <f>'Footprint Summary'!P48*Assumptions!L84</f>
        <v>0</v>
      </c>
      <c r="Q48" s="309">
        <f>'Footprint Summary'!Q48*Assumptions!M84</f>
        <v>0</v>
      </c>
      <c r="R48" s="309">
        <f>'Footprint Summary'!R48*Assumptions!N84</f>
        <v>0</v>
      </c>
      <c r="S48" s="314">
        <f t="shared" si="2"/>
        <v>0</v>
      </c>
    </row>
    <row r="49" spans="1:19" ht="14">
      <c r="A49" s="185" t="s">
        <v>30</v>
      </c>
      <c r="B49" s="182" t="s">
        <v>123</v>
      </c>
      <c r="C49" s="231">
        <v>23555.5</v>
      </c>
      <c r="D49" s="211">
        <v>0</v>
      </c>
      <c r="E49" s="199"/>
      <c r="F49" s="211">
        <v>1</v>
      </c>
      <c r="G49" s="312">
        <v>42887.902300000002</v>
      </c>
      <c r="H49" s="312">
        <f>'Footprint Summary'!H49*Assumptions!D85</f>
        <v>70408.86781973399</v>
      </c>
      <c r="I49" s="309">
        <f>'Footprint Summary'!I49*Assumptions!E85</f>
        <v>72521.133854326006</v>
      </c>
      <c r="J49" s="309">
        <f>'Footprint Summary'!J49*Assumptions!F85</f>
        <v>74696.767869955787</v>
      </c>
      <c r="K49" s="309">
        <f>'Footprint Summary'!K49*Assumptions!G85</f>
        <v>76937.670906054467</v>
      </c>
      <c r="L49" s="309">
        <f>'Footprint Summary'!L49*Assumptions!H85</f>
        <v>79245.801033236115</v>
      </c>
      <c r="M49" s="309">
        <f>'Footprint Summary'!M49*Assumptions!I85</f>
        <v>81623.175064233204</v>
      </c>
      <c r="N49" s="309">
        <f>'Footprint Summary'!N49*Assumptions!J85</f>
        <v>84071.870316160217</v>
      </c>
      <c r="O49" s="309">
        <f>'Footprint Summary'!O49*Assumptions!K85</f>
        <v>86594.026425645017</v>
      </c>
      <c r="P49" s="309">
        <f>'Footprint Summary'!P49*Assumptions!L85</f>
        <v>89191.847218414361</v>
      </c>
      <c r="Q49" s="309">
        <f>'Footprint Summary'!Q49*Assumptions!M85</f>
        <v>91867.602634966795</v>
      </c>
      <c r="R49" s="309">
        <f>'Footprint Summary'!R49*Assumptions!N85</f>
        <v>94623.630714015788</v>
      </c>
      <c r="S49" s="314">
        <f t="shared" si="2"/>
        <v>831373.5260370078</v>
      </c>
    </row>
    <row r="50" spans="1:19" ht="14">
      <c r="A50" s="185" t="s">
        <v>63</v>
      </c>
      <c r="B50" s="182" t="s">
        <v>64</v>
      </c>
      <c r="C50" s="231">
        <v>61127</v>
      </c>
      <c r="D50" s="211">
        <v>0.5</v>
      </c>
      <c r="E50" s="199"/>
      <c r="F50" s="211"/>
      <c r="G50" s="312">
        <v>0</v>
      </c>
      <c r="H50" s="312">
        <f>'Footprint Summary'!H50*Assumptions!D86</f>
        <v>0</v>
      </c>
      <c r="I50" s="309">
        <f>'Footprint Summary'!I50*Assumptions!E86</f>
        <v>0</v>
      </c>
      <c r="J50" s="309">
        <f>'Footprint Summary'!J50*Assumptions!F86</f>
        <v>0</v>
      </c>
      <c r="K50" s="309">
        <f>'Footprint Summary'!K50*Assumptions!G86</f>
        <v>0</v>
      </c>
      <c r="L50" s="309">
        <f>'Footprint Summary'!L50*Assumptions!H86</f>
        <v>0</v>
      </c>
      <c r="M50" s="309">
        <f>'Footprint Summary'!M50*Assumptions!I86</f>
        <v>0</v>
      </c>
      <c r="N50" s="309">
        <f>'Footprint Summary'!N50*Assumptions!J86</f>
        <v>0</v>
      </c>
      <c r="O50" s="309">
        <f>'Footprint Summary'!O50*Assumptions!K86</f>
        <v>0</v>
      </c>
      <c r="P50" s="309">
        <f>'Footprint Summary'!P50*Assumptions!L86</f>
        <v>0</v>
      </c>
      <c r="Q50" s="309">
        <f>'Footprint Summary'!Q50*Assumptions!M86</f>
        <v>0</v>
      </c>
      <c r="R50" s="309">
        <f>'Footprint Summary'!R50*Assumptions!N86</f>
        <v>0</v>
      </c>
      <c r="S50" s="314">
        <f t="shared" si="2"/>
        <v>0</v>
      </c>
    </row>
    <row r="51" spans="1:19" ht="14">
      <c r="A51" s="185" t="s">
        <v>66</v>
      </c>
      <c r="B51" s="182" t="s">
        <v>95</v>
      </c>
      <c r="C51" s="231">
        <v>41253</v>
      </c>
      <c r="D51" s="212">
        <v>0</v>
      </c>
      <c r="E51" s="199">
        <v>0.5</v>
      </c>
      <c r="F51" s="211"/>
      <c r="G51" s="312">
        <v>64459.194799999997</v>
      </c>
      <c r="H51" s="312">
        <f>'Footprint Summary'!H51*Assumptions!D87</f>
        <v>86338.297580362618</v>
      </c>
      <c r="I51" s="309">
        <f>'Footprint Summary'!I51*Assumptions!E87</f>
        <v>88928.446507773508</v>
      </c>
      <c r="J51" s="309">
        <f>'Footprint Summary'!J51*Assumptions!F87</f>
        <v>91596.299903006715</v>
      </c>
      <c r="K51" s="309">
        <f>'Footprint Summary'!K51*Assumptions!G87</f>
        <v>94344.188900096924</v>
      </c>
      <c r="L51" s="309">
        <f>'Footprint Summary'!L51*Assumptions!H87</f>
        <v>97174.514567099832</v>
      </c>
      <c r="M51" s="309">
        <f>'Footprint Summary'!M51*Assumptions!I87</f>
        <v>100089.75000411282</v>
      </c>
      <c r="N51" s="309">
        <f>'Footprint Summary'!N51*Assumptions!J87</f>
        <v>103092.44250423621</v>
      </c>
      <c r="O51" s="309">
        <f>'Footprint Summary'!O51*Assumptions!K87</f>
        <v>106185.21577936331</v>
      </c>
      <c r="P51" s="309">
        <f>'Footprint Summary'!P51*Assumptions!L87</f>
        <v>109370.77225274421</v>
      </c>
      <c r="Q51" s="309">
        <f>'Footprint Summary'!Q51*Assumptions!M87</f>
        <v>112651.89542032653</v>
      </c>
      <c r="R51" s="309">
        <f>'Footprint Summary'!R51*Assumptions!N87</f>
        <v>116031.45228293633</v>
      </c>
      <c r="S51" s="314">
        <f t="shared" si="2"/>
        <v>1019464.9781216964</v>
      </c>
    </row>
    <row r="52" spans="1:19" ht="14">
      <c r="A52" s="185" t="s">
        <v>66</v>
      </c>
      <c r="B52" s="198" t="s">
        <v>133</v>
      </c>
      <c r="C52" s="231">
        <v>8227.2000000000007</v>
      </c>
      <c r="D52" s="212">
        <v>0</v>
      </c>
      <c r="E52" s="199"/>
      <c r="F52" s="211">
        <v>1</v>
      </c>
      <c r="G52" s="312"/>
      <c r="H52" s="312">
        <f>'Footprint Summary'!H52*Assumptions!D88</f>
        <v>0</v>
      </c>
      <c r="I52" s="309">
        <f>'Footprint Summary'!I52*Assumptions!E88</f>
        <v>0</v>
      </c>
      <c r="J52" s="309">
        <f>'Footprint Summary'!J52*Assumptions!F88</f>
        <v>0</v>
      </c>
      <c r="K52" s="309">
        <f>'Footprint Summary'!K52*Assumptions!G88</f>
        <v>0</v>
      </c>
      <c r="L52" s="309">
        <f>'Footprint Summary'!L52*Assumptions!H88</f>
        <v>0</v>
      </c>
      <c r="M52" s="309">
        <f>'Footprint Summary'!M52*Assumptions!I88</f>
        <v>0</v>
      </c>
      <c r="N52" s="309">
        <f>'Footprint Summary'!N52*Assumptions!J88</f>
        <v>0</v>
      </c>
      <c r="O52" s="309">
        <f>'Footprint Summary'!O52*Assumptions!K88</f>
        <v>0</v>
      </c>
      <c r="P52" s="309">
        <f>'Footprint Summary'!P52*Assumptions!L88</f>
        <v>0</v>
      </c>
      <c r="Q52" s="309">
        <f>'Footprint Summary'!Q52*Assumptions!M88</f>
        <v>0</v>
      </c>
      <c r="R52" s="309">
        <f>'Footprint Summary'!R52*Assumptions!N88</f>
        <v>0</v>
      </c>
      <c r="S52" s="314">
        <f t="shared" si="2"/>
        <v>0</v>
      </c>
    </row>
    <row r="53" spans="1:19" ht="14">
      <c r="A53" s="185" t="s">
        <v>178</v>
      </c>
      <c r="B53" s="198" t="s">
        <v>140</v>
      </c>
      <c r="C53" s="231">
        <v>20861</v>
      </c>
      <c r="D53" s="212">
        <v>1</v>
      </c>
      <c r="E53" s="199"/>
      <c r="F53" s="211">
        <v>0</v>
      </c>
      <c r="G53" s="312">
        <v>40614.412500000006</v>
      </c>
      <c r="H53" s="312">
        <f>'Footprint Summary'!H53*Assumptions!D89</f>
        <v>91470.335116709975</v>
      </c>
      <c r="I53" s="309">
        <f>'Footprint Summary'!I53*Assumptions!E89</f>
        <v>94214.445170211286</v>
      </c>
      <c r="J53" s="309">
        <f>'Footprint Summary'!J53*Assumptions!F89</f>
        <v>97040.878525317617</v>
      </c>
      <c r="K53" s="309">
        <f>'Footprint Summary'!K53*Assumptions!G89</f>
        <v>99952.104881077146</v>
      </c>
      <c r="L53" s="309">
        <f>'Footprint Summary'!L53*Assumptions!H89</f>
        <v>102950.66802750948</v>
      </c>
      <c r="M53" s="309">
        <f>'Footprint Summary'!M53*Assumptions!I89</f>
        <v>106039.18806833477</v>
      </c>
      <c r="N53" s="309">
        <f>'Footprint Summary'!N53*Assumptions!J89</f>
        <v>109220.36371038482</v>
      </c>
      <c r="O53" s="309">
        <f>'Footprint Summary'!O53*Assumptions!K89</f>
        <v>112496.97462169637</v>
      </c>
      <c r="P53" s="309">
        <f>'Footprint Summary'!P53*Assumptions!L89</f>
        <v>115871.88386034727</v>
      </c>
      <c r="Q53" s="309">
        <f>'Footprint Summary'!Q53*Assumptions!M89</f>
        <v>119348.0403761577</v>
      </c>
      <c r="R53" s="309">
        <f>'Footprint Summary'!R53*Assumptions!N89</f>
        <v>122928.48158744244</v>
      </c>
      <c r="S53" s="314">
        <f t="shared" si="2"/>
        <v>1080063.0288284789</v>
      </c>
    </row>
    <row r="54" spans="1:19" ht="14">
      <c r="A54" s="185" t="s">
        <v>37</v>
      </c>
      <c r="B54" s="182" t="s">
        <v>166</v>
      </c>
      <c r="C54" s="231">
        <v>15723.1</v>
      </c>
      <c r="D54" s="212">
        <v>0</v>
      </c>
      <c r="E54" s="199"/>
      <c r="F54" s="211">
        <v>1</v>
      </c>
      <c r="G54" s="312">
        <v>30753.603199999998</v>
      </c>
      <c r="H54" s="312">
        <f>'Footprint Summary'!H54*Assumptions!D90</f>
        <v>29805.263990921321</v>
      </c>
      <c r="I54" s="309">
        <f>'Footprint Summary'!I54*Assumptions!E90</f>
        <v>30699.421910648962</v>
      </c>
      <c r="J54" s="309">
        <f>'Footprint Summary'!J54*Assumptions!F90</f>
        <v>26245.085506676249</v>
      </c>
      <c r="K54" s="309">
        <f>'Footprint Summary'!K54*Assumptions!G90</f>
        <v>20112.746953958951</v>
      </c>
      <c r="L54" s="309">
        <f>'Footprint Summary'!L54*Assumptions!H90</f>
        <v>20716.129362577722</v>
      </c>
      <c r="M54" s="309">
        <f>'Footprint Summary'!M54*Assumptions!I90</f>
        <v>21337.613243455053</v>
      </c>
      <c r="N54" s="309">
        <f>'Footprint Summary'!N54*Assumptions!J90</f>
        <v>21977.741640758704</v>
      </c>
      <c r="O54" s="309">
        <f>'Footprint Summary'!O54*Assumptions!K90</f>
        <v>21858.721246557296</v>
      </c>
      <c r="P54" s="309">
        <f>'Footprint Summary'!P54*Assumptions!L90</f>
        <v>22514.482883954017</v>
      </c>
      <c r="Q54" s="309">
        <f>'Footprint Summary'!Q54*Assumptions!M90</f>
        <v>23189.917370472638</v>
      </c>
      <c r="R54" s="309">
        <f>'Footprint Summary'!R54*Assumptions!N90</f>
        <v>23885.614891586818</v>
      </c>
      <c r="S54" s="314">
        <f t="shared" si="2"/>
        <v>232537.47501064639</v>
      </c>
    </row>
    <row r="55" spans="1:19" ht="14.5" thickBot="1">
      <c r="A55" s="185" t="s">
        <v>66</v>
      </c>
      <c r="B55" s="182" t="s">
        <v>67</v>
      </c>
      <c r="C55" s="231">
        <v>12837.7</v>
      </c>
      <c r="D55" s="211">
        <v>0</v>
      </c>
      <c r="E55" s="199"/>
      <c r="F55" s="211">
        <v>1</v>
      </c>
      <c r="G55" s="312">
        <v>59093.701700000005</v>
      </c>
      <c r="H55" s="312">
        <f>'Footprint Summary'!H55*Assumptions!D91</f>
        <v>85406.61040976354</v>
      </c>
      <c r="I55" s="309">
        <f>'Footprint Summary'!I55*Assumptions!E91</f>
        <v>87968.808722056448</v>
      </c>
      <c r="J55" s="309">
        <f>'Footprint Summary'!J55*Assumptions!F91</f>
        <v>90607.872983718145</v>
      </c>
      <c r="K55" s="309">
        <f>'Footprint Summary'!K55*Assumptions!G91</f>
        <v>90086.380066508529</v>
      </c>
      <c r="L55" s="309">
        <f>'Footprint Summary'!L55*Assumptions!H91</f>
        <v>92788.971468503791</v>
      </c>
      <c r="M55" s="309">
        <f>'Footprint Summary'!M55*Assumptions!I91</f>
        <v>95572.640612558898</v>
      </c>
      <c r="N55" s="309">
        <f>'Footprint Summary'!N55*Assumptions!J91</f>
        <v>98439.819830935667</v>
      </c>
      <c r="O55" s="309">
        <f>'Footprint Summary'!O55*Assumptions!K91</f>
        <v>101393.01442586373</v>
      </c>
      <c r="P55" s="309">
        <f>'Footprint Summary'!P55*Assumptions!L91</f>
        <v>66025.575657504465</v>
      </c>
      <c r="Q55" s="309">
        <f>'Footprint Summary'!Q55*Assumptions!M91</f>
        <v>68006.342927229605</v>
      </c>
      <c r="R55" s="309">
        <f>'Footprint Summary'!R55*Assumptions!N91</f>
        <v>70046.533215046496</v>
      </c>
      <c r="S55" s="314">
        <f t="shared" si="2"/>
        <v>860935.95990992582</v>
      </c>
    </row>
    <row r="56" spans="1:19" ht="13" thickTop="1">
      <c r="G56" s="313">
        <f>SUBTOTAL(109,G33:G55)</f>
        <v>1076528.1579999998</v>
      </c>
      <c r="H56" s="313">
        <f t="shared" ref="H56:S56" si="3">SUBTOTAL(109,H33:H55)</f>
        <v>1216095.0288456944</v>
      </c>
      <c r="I56" s="313">
        <f t="shared" si="3"/>
        <v>1252577.879711065</v>
      </c>
      <c r="J56" s="313">
        <f t="shared" si="3"/>
        <v>1261041.1396925282</v>
      </c>
      <c r="K56" s="313">
        <f t="shared" si="3"/>
        <v>1272641.0942833808</v>
      </c>
      <c r="L56" s="313">
        <f t="shared" si="3"/>
        <v>1274131.609103621</v>
      </c>
      <c r="M56" s="313">
        <f t="shared" si="3"/>
        <v>1292158.0981212023</v>
      </c>
      <c r="N56" s="313">
        <f t="shared" si="3"/>
        <v>1181061.0172030502</v>
      </c>
      <c r="O56" s="313">
        <f t="shared" si="3"/>
        <v>1130489.5990526793</v>
      </c>
      <c r="P56" s="313">
        <f t="shared" si="3"/>
        <v>1110422.0168951671</v>
      </c>
      <c r="Q56" s="313">
        <f t="shared" si="3"/>
        <v>1104540.2956129143</v>
      </c>
      <c r="R56" s="313">
        <f t="shared" si="3"/>
        <v>1118004.8635929311</v>
      </c>
      <c r="S56" s="315">
        <f t="shared" si="3"/>
        <v>11997067.613268539</v>
      </c>
    </row>
    <row r="58" spans="1:19">
      <c r="E58" s="185"/>
    </row>
    <row r="60" spans="1:19" ht="18" thickBot="1">
      <c r="A60" s="196" t="s">
        <v>234</v>
      </c>
    </row>
    <row r="61" spans="1:19" ht="15" thickTop="1" thickBot="1">
      <c r="A61" s="184" t="s">
        <v>6</v>
      </c>
      <c r="B61" s="184" t="s">
        <v>7</v>
      </c>
      <c r="C61" s="184" t="s">
        <v>9</v>
      </c>
      <c r="D61" s="184" t="s">
        <v>10</v>
      </c>
      <c r="E61" s="184" t="s">
        <v>11</v>
      </c>
      <c r="F61" s="184" t="s">
        <v>12</v>
      </c>
      <c r="G61" s="184" t="s">
        <v>188</v>
      </c>
      <c r="H61" s="184" t="s">
        <v>189</v>
      </c>
      <c r="I61" s="184" t="s">
        <v>190</v>
      </c>
      <c r="J61" s="184" t="s">
        <v>191</v>
      </c>
      <c r="K61" s="184" t="s">
        <v>192</v>
      </c>
      <c r="L61" s="184" t="s">
        <v>193</v>
      </c>
      <c r="M61" s="184" t="s">
        <v>194</v>
      </c>
      <c r="N61" s="184" t="s">
        <v>195</v>
      </c>
      <c r="O61" s="184" t="s">
        <v>196</v>
      </c>
      <c r="P61" s="184" t="s">
        <v>197</v>
      </c>
      <c r="Q61" s="184" t="s">
        <v>198</v>
      </c>
      <c r="R61" s="184" t="s">
        <v>199</v>
      </c>
      <c r="S61" s="200" t="s">
        <v>84</v>
      </c>
    </row>
    <row r="62" spans="1:19" ht="14.5" thickTop="1">
      <c r="A62" s="185" t="s">
        <v>30</v>
      </c>
      <c r="B62" s="198" t="s">
        <v>31</v>
      </c>
      <c r="C62" s="228">
        <v>29166</v>
      </c>
      <c r="D62" s="211">
        <v>1</v>
      </c>
      <c r="E62" s="199"/>
      <c r="F62" s="211">
        <v>1</v>
      </c>
      <c r="G62" s="316"/>
      <c r="H62" s="316">
        <f>IF('1M-NR'!G115=0,"",'1M-NR'!G115)</f>
        <v>173896</v>
      </c>
      <c r="I62" s="316">
        <f>IF('1M-NR'!H115=0,"",'1M-NR'!H115)</f>
        <v>2346400</v>
      </c>
      <c r="J62" s="316">
        <f>IF('1M-NR'!I115=0,"",'1M-NR'!I115)</f>
        <v>2430800</v>
      </c>
      <c r="K62" s="316">
        <f>IF('1M-NR'!J115=0,"",'1M-NR'!J115)</f>
        <v>1100000</v>
      </c>
      <c r="L62" s="316">
        <f>IF('1M-NR'!K115=0,"",'1M-NR'!K115)</f>
        <v>1100000</v>
      </c>
      <c r="M62" s="316">
        <f>IF('1M-NR'!L115=0,"",'1M-NR'!L115)</f>
        <v>1100000</v>
      </c>
      <c r="N62" s="316">
        <f>IF('1M-NR'!M115=0,"",'1M-NR'!M115)</f>
        <v>2642000</v>
      </c>
      <c r="O62" s="316" t="str">
        <f>IF('1M-NR'!N115=0,"",'1M-NR'!N115)</f>
        <v/>
      </c>
      <c r="P62" s="316" t="str">
        <f>IF('1M-NR'!O115=0,"",'1M-NR'!O115)</f>
        <v/>
      </c>
      <c r="Q62" s="316" t="str">
        <f>IF('1M-NR'!P115=0,"",'1M-NR'!P115)</f>
        <v/>
      </c>
      <c r="R62" s="316" t="str">
        <f>IF('1M-NR'!Q115=0,"",'1M-NR'!Q115)</f>
        <v/>
      </c>
      <c r="S62" s="318">
        <f>IF(SUM(H62:R62)=0,"",SUM(H62:R62))</f>
        <v>10893096</v>
      </c>
    </row>
    <row r="63" spans="1:19" ht="14">
      <c r="A63" s="185" t="s">
        <v>37</v>
      </c>
      <c r="B63" s="182" t="s">
        <v>38</v>
      </c>
      <c r="C63" s="228">
        <v>62987</v>
      </c>
      <c r="D63" s="211">
        <v>0.5</v>
      </c>
      <c r="E63" s="199"/>
      <c r="F63" s="211">
        <v>1</v>
      </c>
      <c r="G63" s="316"/>
      <c r="H63" s="316" t="str">
        <f>IF('120C-NR'!G115=0,"",'120C-NR'!G115)</f>
        <v/>
      </c>
      <c r="I63" s="316">
        <f>IF('120C-NR'!H115=0,"",'120C-NR'!H115)</f>
        <v>85000</v>
      </c>
      <c r="J63" s="316">
        <f>IF('120C-NR'!I115=0,"",'120C-NR'!I115)</f>
        <v>1187500</v>
      </c>
      <c r="K63" s="316">
        <f>IF('120C-NR'!J115=0,"",'120C-NR'!J115)</f>
        <v>882500</v>
      </c>
      <c r="L63" s="316">
        <f>IF('120C-NR'!K115=0,"",'120C-NR'!K115)</f>
        <v>650000</v>
      </c>
      <c r="M63" s="316" t="str">
        <f>IF('120C-NR'!L115=0,"",'120C-NR'!L115)</f>
        <v/>
      </c>
      <c r="N63" s="316" t="str">
        <f>IF('120C-NR'!M115=0,"",'120C-NR'!M115)</f>
        <v/>
      </c>
      <c r="O63" s="316" t="str">
        <f>IF('120C-NR'!N115=0,"",'120C-NR'!N115)</f>
        <v/>
      </c>
      <c r="P63" s="316" t="str">
        <f>IF('120C-NR'!O115=0,"",'120C-NR'!O115)</f>
        <v/>
      </c>
      <c r="Q63" s="316" t="str">
        <f>IF('120C-NR'!P115=0,"",'120C-NR'!P115)</f>
        <v/>
      </c>
      <c r="R63" s="316" t="str">
        <f>IF('120C-NR'!Q115=0,"",'120C-NR'!Q115)</f>
        <v/>
      </c>
      <c r="S63" s="318">
        <f t="shared" ref="S63:S84" si="4">IF(SUM(H63:R63)=0,"",SUM(H63:R63))</f>
        <v>2805000</v>
      </c>
    </row>
    <row r="64" spans="1:19" ht="14">
      <c r="A64" s="185" t="s">
        <v>30</v>
      </c>
      <c r="B64" s="182" t="s">
        <v>42</v>
      </c>
      <c r="C64" s="231">
        <v>42132</v>
      </c>
      <c r="D64" s="211">
        <v>0.5</v>
      </c>
      <c r="E64" s="199">
        <v>0.25</v>
      </c>
      <c r="F64" s="211">
        <v>1</v>
      </c>
      <c r="G64" s="316"/>
      <c r="H64" s="317">
        <f>IF('126P-NR'!G115=0,"",'126P-NR'!G115)</f>
        <v>117000</v>
      </c>
      <c r="I64" s="317">
        <f>IF('126P-NR'!H115=0,"",'126P-NR'!H115)</f>
        <v>334394</v>
      </c>
      <c r="J64" s="317" t="str">
        <f>IF('126P-NR'!I115=0,"",'126P-NR'!I115)</f>
        <v/>
      </c>
      <c r="K64" s="317" t="str">
        <f>IF('126P-NR'!J115=0,"",'126P-NR'!J115)</f>
        <v/>
      </c>
      <c r="L64" s="317">
        <f>IF('126P-NR'!K115=0,"",'126P-NR'!K115)</f>
        <v>1336000</v>
      </c>
      <c r="M64" s="317" t="str">
        <f>IF('126P-NR'!L115=0,"",'126P-NR'!L115)</f>
        <v/>
      </c>
      <c r="N64" s="317">
        <f>IF('126P-NR'!M115=0,"",'126P-NR'!M115)</f>
        <v>4324000</v>
      </c>
      <c r="O64" s="317" t="str">
        <f>IF('126P-NR'!N115=0,"",'126P-NR'!N115)</f>
        <v/>
      </c>
      <c r="P64" s="317">
        <f>IF('126P-NR'!O115=0,"",'126P-NR'!O115)</f>
        <v>3500000</v>
      </c>
      <c r="Q64" s="317" t="str">
        <f>IF('126P-NR'!P115=0,"",'126P-NR'!P115)</f>
        <v/>
      </c>
      <c r="R64" s="317" t="str">
        <f>IF('126P-NR'!Q115=0,"",'126P-NR'!Q115)</f>
        <v/>
      </c>
      <c r="S64" s="318">
        <f t="shared" si="4"/>
        <v>9611394</v>
      </c>
    </row>
    <row r="65" spans="1:19" ht="14">
      <c r="A65" s="185" t="s">
        <v>30</v>
      </c>
      <c r="B65" s="182" t="s">
        <v>43</v>
      </c>
      <c r="C65" s="231">
        <v>12509</v>
      </c>
      <c r="D65" s="211">
        <v>1</v>
      </c>
      <c r="E65" s="199"/>
      <c r="F65" s="211">
        <v>1</v>
      </c>
      <c r="G65" s="316"/>
      <c r="H65" s="317" t="str">
        <f>IF('117C-NR'!G115=0,"",'117C-NR'!G115)</f>
        <v/>
      </c>
      <c r="I65" s="317" t="str">
        <f>IF('117C-NR'!H115=0,"",'117C-NR'!H115)</f>
        <v/>
      </c>
      <c r="J65" s="317" t="str">
        <f>IF('117C-NR'!I115=0,"",'117C-NR'!I115)</f>
        <v/>
      </c>
      <c r="K65" s="317" t="str">
        <f>IF('117C-NR'!J115=0,"",'117C-NR'!J115)</f>
        <v/>
      </c>
      <c r="L65" s="317" t="str">
        <f>IF('117C-NR'!K115=0,"",'117C-NR'!K115)</f>
        <v/>
      </c>
      <c r="M65" s="317" t="str">
        <f>IF('117C-NR'!L115=0,"",'117C-NR'!L115)</f>
        <v/>
      </c>
      <c r="N65" s="317" t="str">
        <f>IF('117C-NR'!M115=0,"",'117C-NR'!M115)</f>
        <v/>
      </c>
      <c r="O65" s="317" t="str">
        <f>IF('117C-NR'!N115=0,"",'117C-NR'!N115)</f>
        <v/>
      </c>
      <c r="P65" s="317" t="str">
        <f>IF('117C-NR'!O115=0,"",'117C-NR'!O115)</f>
        <v/>
      </c>
      <c r="Q65" s="317" t="str">
        <f>IF('117C-NR'!P115=0,"",'117C-NR'!P115)</f>
        <v/>
      </c>
      <c r="R65" s="317" t="str">
        <f>IF('117C-NR'!Q115=0,"",'117C-NR'!Q115)</f>
        <v/>
      </c>
      <c r="S65" s="318" t="str">
        <f t="shared" si="4"/>
        <v/>
      </c>
    </row>
    <row r="66" spans="1:19" ht="14">
      <c r="A66" s="185" t="s">
        <v>30</v>
      </c>
      <c r="B66" s="182" t="s">
        <v>46</v>
      </c>
      <c r="C66" s="231">
        <v>27263</v>
      </c>
      <c r="D66" s="211">
        <v>1</v>
      </c>
      <c r="E66" s="199"/>
      <c r="F66" s="211">
        <v>1</v>
      </c>
      <c r="G66" s="316"/>
      <c r="H66" s="317" t="str">
        <f>IF('135K-NR'!G116=0,"",'135K-NR'!G116)</f>
        <v/>
      </c>
      <c r="I66" s="317">
        <f>IF('135K-NR'!H116=0,"",'135K-NR'!H116)</f>
        <v>25000</v>
      </c>
      <c r="J66" s="317" t="str">
        <f>IF('135K-NR'!I116=0,"",'135K-NR'!I116)</f>
        <v/>
      </c>
      <c r="K66" s="317">
        <f>IF('135K-NR'!J116=0,"",'135K-NR'!J116)</f>
        <v>3465459</v>
      </c>
      <c r="L66" s="317">
        <f>IF('135K-NR'!K116=0,"",'135K-NR'!K116)</f>
        <v>364200</v>
      </c>
      <c r="M66" s="317" t="str">
        <f>IF('135K-NR'!L116=0,"",'135K-NR'!L116)</f>
        <v/>
      </c>
      <c r="N66" s="317">
        <f>IF('135K-NR'!M116=0,"",'135K-NR'!M116)</f>
        <v>466100</v>
      </c>
      <c r="O66" s="317" t="str">
        <f>IF('135K-NR'!N116=0,"",'135K-NR'!N116)</f>
        <v/>
      </c>
      <c r="P66" s="317">
        <f>IF('135K-NR'!O116=0,"",'135K-NR'!O116)</f>
        <v>484900</v>
      </c>
      <c r="Q66" s="317" t="str">
        <f>IF('135K-NR'!P116=0,"",'135K-NR'!P116)</f>
        <v/>
      </c>
      <c r="R66" s="317" t="str">
        <f>IF('135K-NR'!Q116=0,"",'135K-NR'!Q116)</f>
        <v/>
      </c>
      <c r="S66" s="318">
        <f t="shared" si="4"/>
        <v>4805659</v>
      </c>
    </row>
    <row r="67" spans="1:19" ht="14">
      <c r="A67" s="185" t="s">
        <v>30</v>
      </c>
      <c r="B67" s="182" t="s">
        <v>47</v>
      </c>
      <c r="C67" s="231">
        <v>39057</v>
      </c>
      <c r="D67" s="211">
        <v>1</v>
      </c>
      <c r="E67" s="199"/>
      <c r="F67" s="211">
        <v>1</v>
      </c>
      <c r="G67" s="316"/>
      <c r="H67" s="317">
        <f>IF('201K-NR'!G115=0,"",'201K-NR'!G115)</f>
        <v>256340</v>
      </c>
      <c r="I67" s="317">
        <f>IF('201K-NR'!H115=0,"",'201K-NR'!H115)</f>
        <v>5211700</v>
      </c>
      <c r="J67" s="317" t="str">
        <f>IF('201K-NR'!I115=0,"",'201K-NR'!I115)</f>
        <v/>
      </c>
      <c r="K67" s="317">
        <f>IF('201K-NR'!J115=0,"",'201K-NR'!J115)</f>
        <v>819000</v>
      </c>
      <c r="L67" s="317" t="str">
        <f>IF('201K-NR'!K115=0,"",'201K-NR'!K115)</f>
        <v/>
      </c>
      <c r="M67" s="317" t="str">
        <f>IF('201K-NR'!L115=0,"",'201K-NR'!L115)</f>
        <v/>
      </c>
      <c r="N67" s="317">
        <f>IF('201K-NR'!M115=0,"",'201K-NR'!M115)</f>
        <v>624000</v>
      </c>
      <c r="O67" s="317">
        <f>IF('201K-NR'!N115=0,"",'201K-NR'!N115)</f>
        <v>2645000</v>
      </c>
      <c r="P67" s="317">
        <f>IF('201K-NR'!O115=0,"",'201K-NR'!O115)</f>
        <v>3162000</v>
      </c>
      <c r="Q67" s="317" t="str">
        <f>IF('201K-NR'!P115=0,"",'201K-NR'!P115)</f>
        <v/>
      </c>
      <c r="R67" s="317" t="str">
        <f>IF('201K-NR'!Q115=0,"",'201K-NR'!Q115)</f>
        <v/>
      </c>
      <c r="S67" s="318">
        <f t="shared" si="4"/>
        <v>12718040</v>
      </c>
    </row>
    <row r="68" spans="1:19" ht="14">
      <c r="A68" s="185" t="s">
        <v>48</v>
      </c>
      <c r="B68" s="182" t="s">
        <v>49</v>
      </c>
      <c r="C68" s="231">
        <v>24754</v>
      </c>
      <c r="D68" s="211">
        <v>1</v>
      </c>
      <c r="E68" s="199"/>
      <c r="F68" s="211">
        <v>1</v>
      </c>
      <c r="G68" s="316"/>
      <c r="H68" s="317" t="str">
        <f>IF('259Q-NR'!G115=0,"",'259Q-NR'!G115)</f>
        <v/>
      </c>
      <c r="I68" s="317">
        <f>IF('259Q-NR'!H115=0,"",'259Q-NR'!H115)</f>
        <v>25000</v>
      </c>
      <c r="J68" s="317" t="str">
        <f>IF('259Q-NR'!I115=0,"",'259Q-NR'!I115)</f>
        <v/>
      </c>
      <c r="K68" s="317">
        <f>IF('259Q-NR'!J115=0,"",'259Q-NR'!J115)</f>
        <v>180937.5</v>
      </c>
      <c r="L68" s="317" t="str">
        <f>IF('259Q-NR'!K115=0,"",'259Q-NR'!K115)</f>
        <v/>
      </c>
      <c r="M68" s="317" t="str">
        <f>IF('259Q-NR'!L115=0,"",'259Q-NR'!L115)</f>
        <v/>
      </c>
      <c r="N68" s="317" t="str">
        <f>IF('259Q-NR'!M115=0,"",'259Q-NR'!M115)</f>
        <v/>
      </c>
      <c r="O68" s="317">
        <f>IF('259Q-NR'!N115=0,"",'259Q-NR'!N115)</f>
        <v>1603125</v>
      </c>
      <c r="P68" s="317" t="str">
        <f>IF('259Q-NR'!O115=0,"",'259Q-NR'!O115)</f>
        <v/>
      </c>
      <c r="Q68" s="317" t="str">
        <f>IF('259Q-NR'!P115=0,"",'259Q-NR'!P115)</f>
        <v/>
      </c>
      <c r="R68" s="317">
        <f>IF('259Q-NR'!Q115=0,"",'259Q-NR'!Q115)</f>
        <v>75000</v>
      </c>
      <c r="S68" s="318">
        <f t="shared" si="4"/>
        <v>1884062.5</v>
      </c>
    </row>
    <row r="69" spans="1:19" ht="14">
      <c r="A69" s="185" t="s">
        <v>30</v>
      </c>
      <c r="B69" s="182" t="s">
        <v>92</v>
      </c>
      <c r="C69" s="231">
        <v>26819</v>
      </c>
      <c r="D69" s="212">
        <v>0</v>
      </c>
      <c r="E69" s="199">
        <v>1</v>
      </c>
      <c r="F69" s="211">
        <v>1</v>
      </c>
      <c r="G69" s="316"/>
      <c r="H69" s="317" t="str">
        <f>IF('347K-NR'!G115=0,"",'347K-NR'!G115)</f>
        <v/>
      </c>
      <c r="I69" s="317">
        <f>IF('347K-NR'!H115=0,"",'347K-NR'!H115)</f>
        <v>601335</v>
      </c>
      <c r="J69" s="317">
        <f>IF('347K-NR'!I115=0,"",'347K-NR'!I115)</f>
        <v>1807053.4</v>
      </c>
      <c r="K69" s="317" t="str">
        <f>IF('347K-NR'!J115=0,"",'347K-NR'!J115)</f>
        <v/>
      </c>
      <c r="L69" s="317" t="str">
        <f>IF('347K-NR'!K115=0,"",'347K-NR'!K115)</f>
        <v/>
      </c>
      <c r="M69" s="317" t="str">
        <f>IF('347K-NR'!L115=0,"",'347K-NR'!L115)</f>
        <v/>
      </c>
      <c r="N69" s="317">
        <f>IF('347K-NR'!M115=0,"",'347K-NR'!M115)</f>
        <v>483314</v>
      </c>
      <c r="O69" s="317" t="str">
        <f>IF('347K-NR'!N115=0,"",'347K-NR'!N115)</f>
        <v/>
      </c>
      <c r="P69" s="317" t="str">
        <f>IF('347K-NR'!O115=0,"",'347K-NR'!O115)</f>
        <v/>
      </c>
      <c r="Q69" s="317">
        <f>IF('347K-NR'!P115=0,"",'347K-NR'!P115)</f>
        <v>1876001</v>
      </c>
      <c r="R69" s="317" t="str">
        <f>IF('347K-NR'!Q115=0,"",'347K-NR'!Q115)</f>
        <v/>
      </c>
      <c r="S69" s="318">
        <f t="shared" si="4"/>
        <v>4767703.4000000004</v>
      </c>
    </row>
    <row r="70" spans="1:19" ht="14">
      <c r="A70" s="185" t="s">
        <v>30</v>
      </c>
      <c r="B70" s="182" t="s">
        <v>52</v>
      </c>
      <c r="C70" s="231">
        <v>28396</v>
      </c>
      <c r="D70" s="211">
        <v>0.75</v>
      </c>
      <c r="E70" s="199"/>
      <c r="F70" s="211">
        <v>1</v>
      </c>
      <c r="G70" s="316"/>
      <c r="H70" s="317">
        <f>IF('40M-NR'!G115=0,"",'40M-NR'!G115)</f>
        <v>598000</v>
      </c>
      <c r="I70" s="317" t="str">
        <f>IF('40M-NR'!H115=0,"",'40M-NR'!H115)</f>
        <v/>
      </c>
      <c r="J70" s="317" t="str">
        <f>IF('40M-NR'!I115=0,"",'40M-NR'!I115)</f>
        <v/>
      </c>
      <c r="K70" s="317">
        <f>IF('40M-NR'!J115=0,"",'40M-NR'!J115)</f>
        <v>1518000</v>
      </c>
      <c r="L70" s="317">
        <f>IF('40M-NR'!K115=0,"",'40M-NR'!K115)</f>
        <v>409200</v>
      </c>
      <c r="M70" s="317" t="str">
        <f>IF('40M-NR'!L115=0,"",'40M-NR'!L115)</f>
        <v/>
      </c>
      <c r="N70" s="317">
        <f>IF('40M-NR'!M115=0,"",'40M-NR'!M115)</f>
        <v>388000</v>
      </c>
      <c r="O70" s="317" t="str">
        <f>IF('40M-NR'!N115=0,"",'40M-NR'!N115)</f>
        <v/>
      </c>
      <c r="P70" s="317" t="str">
        <f>IF('40M-NR'!O115=0,"",'40M-NR'!O115)</f>
        <v/>
      </c>
      <c r="Q70" s="317" t="str">
        <f>IF('40M-NR'!P115=0,"",'40M-NR'!P115)</f>
        <v/>
      </c>
      <c r="R70" s="317" t="str">
        <f>IF('40M-NR'!Q115=0,"",'40M-NR'!Q115)</f>
        <v/>
      </c>
      <c r="S70" s="318">
        <f t="shared" si="4"/>
        <v>2913200</v>
      </c>
    </row>
    <row r="71" spans="1:19" ht="14">
      <c r="A71" s="185" t="s">
        <v>30</v>
      </c>
      <c r="B71" s="182" t="s">
        <v>54</v>
      </c>
      <c r="C71" s="231">
        <v>37558</v>
      </c>
      <c r="D71" s="211">
        <v>0.75</v>
      </c>
      <c r="E71" s="199"/>
      <c r="F71" s="211">
        <v>1</v>
      </c>
      <c r="G71" s="316"/>
      <c r="H71" s="317">
        <f>IF('420G-NR'!G115=0,"",'420G-NR'!G115)</f>
        <v>126100</v>
      </c>
      <c r="I71" s="317" t="str">
        <f>IF('420G-NR'!H115=0,"",'420G-NR'!H115)</f>
        <v/>
      </c>
      <c r="J71" s="317" t="str">
        <f>IF('420G-NR'!I115=0,"",'420G-NR'!I115)</f>
        <v/>
      </c>
      <c r="K71" s="317">
        <f>IF('420G-NR'!J115=0,"",'420G-NR'!J115)</f>
        <v>1491000</v>
      </c>
      <c r="L71" s="317">
        <f>IF('420G-NR'!K115=0,"",'420G-NR'!K115)</f>
        <v>180000</v>
      </c>
      <c r="M71" s="317" t="str">
        <f>IF('420G-NR'!L115=0,"",'420G-NR'!L115)</f>
        <v/>
      </c>
      <c r="N71" s="317">
        <f>IF('420G-NR'!M115=0,"",'420G-NR'!M115)</f>
        <v>2300000</v>
      </c>
      <c r="O71" s="317">
        <f>IF('420G-NR'!N115=0,"",'420G-NR'!N115)</f>
        <v>2316000</v>
      </c>
      <c r="P71" s="317">
        <f>IF('420G-NR'!O115=0,"",'420G-NR'!O115)</f>
        <v>78000</v>
      </c>
      <c r="Q71" s="317" t="str">
        <f>IF('420G-NR'!P115=0,"",'420G-NR'!P115)</f>
        <v/>
      </c>
      <c r="R71" s="317" t="str">
        <f>IF('420G-NR'!Q115=0,"",'420G-NR'!Q115)</f>
        <v/>
      </c>
      <c r="S71" s="318">
        <f t="shared" si="4"/>
        <v>6491100</v>
      </c>
    </row>
    <row r="72" spans="1:19" ht="14">
      <c r="A72" s="185" t="s">
        <v>37</v>
      </c>
      <c r="B72" s="182" t="s">
        <v>55</v>
      </c>
      <c r="C72" s="231">
        <v>55051</v>
      </c>
      <c r="D72" s="211">
        <v>0.5</v>
      </c>
      <c r="E72" s="199">
        <v>0.5</v>
      </c>
      <c r="F72" s="211">
        <v>1</v>
      </c>
      <c r="G72" s="316"/>
      <c r="H72" s="317">
        <f>IF('567C-NR'!G115=0,"",'567C-NR'!G115)</f>
        <v>9500</v>
      </c>
      <c r="I72" s="317">
        <f>IF('567C-NR'!H115=0,"",'567C-NR'!H115)</f>
        <v>5000</v>
      </c>
      <c r="J72" s="317">
        <f>IF('567C-NR'!I115=0,"",'567C-NR'!I115)</f>
        <v>5000</v>
      </c>
      <c r="K72" s="317">
        <f>IF('567C-NR'!J115=0,"",'567C-NR'!J115)</f>
        <v>127700</v>
      </c>
      <c r="L72" s="317">
        <f>IF('567C-NR'!K115=0,"",'567C-NR'!K115)</f>
        <v>10000</v>
      </c>
      <c r="M72" s="317">
        <f>IF('567C-NR'!L115=0,"",'567C-NR'!L115)</f>
        <v>4500000</v>
      </c>
      <c r="N72" s="317" t="str">
        <f>IF('567C-NR'!M115=0,"",'567C-NR'!M115)</f>
        <v/>
      </c>
      <c r="O72" s="317" t="str">
        <f>IF('567C-NR'!N115=0,"",'567C-NR'!N115)</f>
        <v/>
      </c>
      <c r="P72" s="317" t="str">
        <f>IF('567C-NR'!O115=0,"",'567C-NR'!O115)</f>
        <v/>
      </c>
      <c r="Q72" s="317" t="str">
        <f>IF('567C-NR'!P115=0,"",'567C-NR'!P115)</f>
        <v/>
      </c>
      <c r="R72" s="317">
        <f>IF('567C-NR'!Q115=0,"",'567C-NR'!Q115)</f>
        <v>275500</v>
      </c>
      <c r="S72" s="318">
        <f t="shared" si="4"/>
        <v>4932700</v>
      </c>
    </row>
    <row r="73" spans="1:19" ht="14">
      <c r="A73" s="185" t="s">
        <v>30</v>
      </c>
      <c r="B73" s="182" t="s">
        <v>56</v>
      </c>
      <c r="C73" s="231">
        <v>39938</v>
      </c>
      <c r="D73" s="211">
        <v>0.5</v>
      </c>
      <c r="E73" s="199"/>
      <c r="F73" s="211">
        <v>1</v>
      </c>
      <c r="G73" s="316"/>
      <c r="H73" s="317" t="str">
        <f>IF('60MP-NR'!G115=0,"",'60MP-NR'!G115)</f>
        <v/>
      </c>
      <c r="I73" s="317" t="str">
        <f>IF('60MP-NR'!H115=0,"",'60MP-NR'!H115)</f>
        <v/>
      </c>
      <c r="J73" s="317" t="str">
        <f>IF('60MP-NR'!I115=0,"",'60MP-NR'!I115)</f>
        <v/>
      </c>
      <c r="K73" s="317" t="str">
        <f>IF('60MP-NR'!J115=0,"",'60MP-NR'!J115)</f>
        <v/>
      </c>
      <c r="L73" s="317" t="str">
        <f>IF('60MP-NR'!K115=0,"",'60MP-NR'!K115)</f>
        <v/>
      </c>
      <c r="M73" s="317" t="str">
        <f>IF('60MP-NR'!L115=0,"",'60MP-NR'!L115)</f>
        <v/>
      </c>
      <c r="N73" s="317" t="str">
        <f>IF('60MP-NR'!M115=0,"",'60MP-NR'!M115)</f>
        <v/>
      </c>
      <c r="O73" s="317" t="str">
        <f>IF('60MP-NR'!N115=0,"",'60MP-NR'!N115)</f>
        <v/>
      </c>
      <c r="P73" s="317" t="str">
        <f>IF('60MP-NR'!O115=0,"",'60MP-NR'!O115)</f>
        <v/>
      </c>
      <c r="Q73" s="317" t="str">
        <f>IF('60MP-NR'!P115=0,"",'60MP-NR'!P115)</f>
        <v/>
      </c>
      <c r="R73" s="317" t="str">
        <f>IF('60MP-NR'!Q115=0,"",'60MP-NR'!Q115)</f>
        <v/>
      </c>
      <c r="S73" s="318" t="str">
        <f t="shared" si="4"/>
        <v/>
      </c>
    </row>
    <row r="74" spans="1:19" ht="14">
      <c r="A74" s="185" t="s">
        <v>30</v>
      </c>
      <c r="B74" s="182" t="s">
        <v>93</v>
      </c>
      <c r="C74" s="231">
        <v>20404</v>
      </c>
      <c r="D74" s="212">
        <v>0</v>
      </c>
      <c r="E74" s="199">
        <v>1</v>
      </c>
      <c r="F74" s="211">
        <v>1</v>
      </c>
      <c r="G74" s="316"/>
      <c r="H74" s="317" t="str">
        <f>IF('151C-NR'!G115=0,"",'151C-NR'!G115)</f>
        <v/>
      </c>
      <c r="I74" s="317" t="str">
        <f>IF('151C-NR'!H115=0,"",'151C-NR'!H115)</f>
        <v/>
      </c>
      <c r="J74" s="317" t="str">
        <f>IF('151C-NR'!I115=0,"",'151C-NR'!I115)</f>
        <v/>
      </c>
      <c r="K74" s="317" t="str">
        <f>IF('151C-NR'!J115=0,"",'151C-NR'!J115)</f>
        <v/>
      </c>
      <c r="L74" s="317" t="str">
        <f>IF('151C-NR'!K115=0,"",'151C-NR'!K115)</f>
        <v/>
      </c>
      <c r="M74" s="317" t="str">
        <f>IF('151C-NR'!L115=0,"",'151C-NR'!L115)</f>
        <v/>
      </c>
      <c r="N74" s="317" t="str">
        <f>IF('151C-NR'!M115=0,"",'151C-NR'!M115)</f>
        <v/>
      </c>
      <c r="O74" s="317" t="str">
        <f>IF('151C-NR'!N115=0,"",'151C-NR'!N115)</f>
        <v/>
      </c>
      <c r="P74" s="317">
        <f>IF('151C-NR'!O115=0,"",'151C-NR'!O115)</f>
        <v>1287500</v>
      </c>
      <c r="Q74" s="317" t="str">
        <f>IF('151C-NR'!P115=0,"",'151C-NR'!P115)</f>
        <v/>
      </c>
      <c r="R74" s="317" t="str">
        <f>IF('151C-NR'!Q115=0,"",'151C-NR'!Q115)</f>
        <v/>
      </c>
      <c r="S74" s="318">
        <f t="shared" si="4"/>
        <v>1287500</v>
      </c>
    </row>
    <row r="75" spans="1:19" ht="14">
      <c r="A75" s="185" t="s">
        <v>37</v>
      </c>
      <c r="B75" s="182" t="s">
        <v>60</v>
      </c>
      <c r="C75" s="231">
        <v>1422</v>
      </c>
      <c r="D75" s="211">
        <v>1</v>
      </c>
      <c r="E75" s="199"/>
      <c r="F75" s="211">
        <v>1</v>
      </c>
      <c r="G75" s="316"/>
      <c r="H75" s="317"/>
      <c r="I75" s="317"/>
      <c r="J75" s="317"/>
      <c r="K75" s="317"/>
      <c r="L75" s="317"/>
      <c r="M75" s="317"/>
      <c r="N75" s="317"/>
      <c r="O75" s="317"/>
      <c r="P75" s="317"/>
      <c r="Q75" s="317"/>
      <c r="R75" s="317"/>
      <c r="S75" s="318" t="str">
        <f t="shared" si="4"/>
        <v/>
      </c>
    </row>
    <row r="76" spans="1:19" ht="14">
      <c r="A76" s="185" t="s">
        <v>66</v>
      </c>
      <c r="B76" s="182" t="s">
        <v>170</v>
      </c>
      <c r="C76" s="231">
        <v>17363.8</v>
      </c>
      <c r="D76" s="212">
        <v>0</v>
      </c>
      <c r="E76" s="199"/>
      <c r="F76" s="211">
        <v>1</v>
      </c>
      <c r="G76" s="316"/>
      <c r="H76" s="317">
        <f>IF('20B-NR'!G115=0,"",'20B-NR'!G115)</f>
        <v>226200</v>
      </c>
      <c r="I76" s="317" t="str">
        <f>IF('20B-NR'!H115=0,"",'20B-NR'!H115)</f>
        <v/>
      </c>
      <c r="J76" s="317">
        <f>IF('20B-NR'!I115=0,"",'20B-NR'!I115)</f>
        <v>221000</v>
      </c>
      <c r="K76" s="317">
        <f>IF('20B-NR'!J115=0,"",'20B-NR'!J115)</f>
        <v>2151500</v>
      </c>
      <c r="L76" s="317" t="str">
        <f>IF('20B-NR'!K115=0,"",'20B-NR'!K115)</f>
        <v/>
      </c>
      <c r="M76" s="317" t="str">
        <f>IF('20B-NR'!L115=0,"",'20B-NR'!L115)</f>
        <v/>
      </c>
      <c r="N76" s="317">
        <f>IF('20B-NR'!M115=0,"",'20B-NR'!M115)</f>
        <v>2489500</v>
      </c>
      <c r="O76" s="317" t="str">
        <f>IF('20B-NR'!N115=0,"",'20B-NR'!N115)</f>
        <v/>
      </c>
      <c r="P76" s="317" t="str">
        <f>IF('20B-NR'!O115=0,"",'20B-NR'!O115)</f>
        <v/>
      </c>
      <c r="Q76" s="317" t="str">
        <f>IF('20B-NR'!P115=0,"",'20B-NR'!P115)</f>
        <v/>
      </c>
      <c r="R76" s="317" t="str">
        <f>IF('20B-NR'!Q115=0,"",'20B-NR'!Q115)</f>
        <v/>
      </c>
      <c r="S76" s="318">
        <f t="shared" si="4"/>
        <v>5088200</v>
      </c>
    </row>
    <row r="77" spans="1:19" ht="14">
      <c r="A77" s="185" t="s">
        <v>48</v>
      </c>
      <c r="B77" s="182" t="s">
        <v>168</v>
      </c>
      <c r="C77" s="231">
        <v>24784</v>
      </c>
      <c r="D77" s="212">
        <v>0</v>
      </c>
      <c r="E77" s="199"/>
      <c r="F77" s="211">
        <v>1</v>
      </c>
      <c r="G77" s="316"/>
      <c r="H77" s="317">
        <f>IF('179T-NR'!G115=0,"",'179T-NR'!G115)</f>
        <v>25000</v>
      </c>
      <c r="I77" s="317" t="str">
        <f>IF('179T-NR'!H115=0,"",'179T-NR'!H115)</f>
        <v/>
      </c>
      <c r="J77" s="317" t="str">
        <f>IF('179T-NR'!I115=0,"",'179T-NR'!I115)</f>
        <v/>
      </c>
      <c r="K77" s="317">
        <f>IF('179T-NR'!J115=0,"",'179T-NR'!J115)</f>
        <v>111550</v>
      </c>
      <c r="L77" s="317" t="str">
        <f>IF('179T-NR'!K115=0,"",'179T-NR'!K115)</f>
        <v/>
      </c>
      <c r="M77" s="317" t="str">
        <f>IF('179T-NR'!L115=0,"",'179T-NR'!L115)</f>
        <v/>
      </c>
      <c r="N77" s="317" t="str">
        <f>IF('179T-NR'!M115=0,"",'179T-NR'!M115)</f>
        <v/>
      </c>
      <c r="O77" s="317" t="str">
        <f>IF('179T-NR'!N115=0,"",'179T-NR'!N115)</f>
        <v/>
      </c>
      <c r="P77" s="317" t="str">
        <f>IF('179T-NR'!O115=0,"",'179T-NR'!O115)</f>
        <v/>
      </c>
      <c r="Q77" s="317" t="str">
        <f>IF('179T-NR'!P115=0,"",'179T-NR'!P115)</f>
        <v/>
      </c>
      <c r="R77" s="317" t="str">
        <f>IF('179T-NR'!Q115=0,"",'179T-NR'!Q115)</f>
        <v/>
      </c>
      <c r="S77" s="318">
        <f t="shared" si="4"/>
        <v>136550</v>
      </c>
    </row>
    <row r="78" spans="1:19" ht="14">
      <c r="A78" s="185" t="s">
        <v>30</v>
      </c>
      <c r="B78" s="182" t="s">
        <v>123</v>
      </c>
      <c r="C78" s="231">
        <v>23555.5</v>
      </c>
      <c r="D78" s="211">
        <v>0</v>
      </c>
      <c r="E78" s="199"/>
      <c r="F78" s="211">
        <v>1</v>
      </c>
      <c r="G78" s="316"/>
      <c r="H78" s="317" t="str">
        <f>IF('105M-NR'!G115=0,"",'105M-NR'!G115)</f>
        <v/>
      </c>
      <c r="I78" s="317" t="str">
        <f>IF('105M-NR'!H115=0,"",'105M-NR'!H115)</f>
        <v/>
      </c>
      <c r="J78" s="317" t="str">
        <f>IF('105M-NR'!I115=0,"",'105M-NR'!I115)</f>
        <v/>
      </c>
      <c r="K78" s="317" t="str">
        <f>IF('105M-NR'!J115=0,"",'105M-NR'!J115)</f>
        <v/>
      </c>
      <c r="L78" s="317" t="str">
        <f>IF('105M-NR'!K115=0,"",'105M-NR'!K115)</f>
        <v/>
      </c>
      <c r="M78" s="317" t="str">
        <f>IF('105M-NR'!L115=0,"",'105M-NR'!L115)</f>
        <v/>
      </c>
      <c r="N78" s="317" t="str">
        <f>IF('105M-NR'!M115=0,"",'105M-NR'!M115)</f>
        <v/>
      </c>
      <c r="O78" s="317" t="str">
        <f>IF('105M-NR'!N115=0,"",'105M-NR'!N115)</f>
        <v/>
      </c>
      <c r="P78" s="317" t="str">
        <f>IF('105M-NR'!O115=0,"",'105M-NR'!O115)</f>
        <v/>
      </c>
      <c r="Q78" s="317" t="str">
        <f>IF('105M-NR'!P115=0,"",'105M-NR'!P115)</f>
        <v/>
      </c>
      <c r="R78" s="317" t="str">
        <f>IF('105M-NR'!Q115=0,"",'105M-NR'!Q115)</f>
        <v/>
      </c>
      <c r="S78" s="318" t="str">
        <f t="shared" si="4"/>
        <v/>
      </c>
    </row>
    <row r="79" spans="1:19" ht="14">
      <c r="A79" s="185" t="s">
        <v>63</v>
      </c>
      <c r="B79" s="182" t="s">
        <v>64</v>
      </c>
      <c r="C79" s="231">
        <v>61127</v>
      </c>
      <c r="D79" s="211">
        <v>0.5</v>
      </c>
      <c r="E79" s="199"/>
      <c r="F79" s="211"/>
      <c r="G79" s="316"/>
      <c r="H79" s="317" t="str">
        <f>IF('QV1-NR'!G115=0,"",'QV1-NR'!G115)</f>
        <v/>
      </c>
      <c r="I79" s="317" t="str">
        <f>IF('QV1-NR'!H115=0,"",'QV1-NR'!H115)</f>
        <v/>
      </c>
      <c r="J79" s="317" t="str">
        <f>IF('QV1-NR'!I115=0,"",'QV1-NR'!I115)</f>
        <v/>
      </c>
      <c r="K79" s="317" t="str">
        <f>IF('QV1-NR'!J115=0,"",'QV1-NR'!J115)</f>
        <v/>
      </c>
      <c r="L79" s="317">
        <f>IF('QV1-NR'!K115=0,"",'QV1-NR'!K115)</f>
        <v>3000000</v>
      </c>
      <c r="M79" s="317" t="str">
        <f>IF('QV1-NR'!L115=0,"",'QV1-NR'!L115)</f>
        <v/>
      </c>
      <c r="N79" s="317" t="str">
        <f>IF('QV1-NR'!M115=0,"",'QV1-NR'!M115)</f>
        <v/>
      </c>
      <c r="O79" s="317" t="str">
        <f>IF('QV1-NR'!N115=0,"",'QV1-NR'!N115)</f>
        <v/>
      </c>
      <c r="P79" s="317" t="str">
        <f>IF('QV1-NR'!O115=0,"",'QV1-NR'!O115)</f>
        <v/>
      </c>
      <c r="Q79" s="317" t="str">
        <f>IF('QV1-NR'!P115=0,"",'QV1-NR'!P115)</f>
        <v/>
      </c>
      <c r="R79" s="317">
        <f>IF('QV1-NR'!Q115=0,"",'QV1-NR'!Q115)</f>
        <v>1950000</v>
      </c>
      <c r="S79" s="318">
        <f t="shared" si="4"/>
        <v>4950000</v>
      </c>
    </row>
    <row r="80" spans="1:19" ht="14">
      <c r="A80" s="185" t="s">
        <v>66</v>
      </c>
      <c r="B80" s="182" t="s">
        <v>95</v>
      </c>
      <c r="C80" s="231">
        <v>41253</v>
      </c>
      <c r="D80" s="212">
        <v>0</v>
      </c>
      <c r="E80" s="199">
        <v>0.5</v>
      </c>
      <c r="F80" s="211"/>
      <c r="G80" s="316"/>
      <c r="H80" s="317" t="e">
        <f>IF(#REF!=0,"",#REF!)</f>
        <v>#REF!</v>
      </c>
      <c r="I80" s="317" t="e">
        <f>IF(#REF!=0,"",#REF!)</f>
        <v>#REF!</v>
      </c>
      <c r="J80" s="317" t="e">
        <f>IF(#REF!=0,"",#REF!)</f>
        <v>#REF!</v>
      </c>
      <c r="K80" s="317" t="e">
        <f>IF(#REF!=0,"",#REF!)</f>
        <v>#REF!</v>
      </c>
      <c r="L80" s="317" t="e">
        <f>IF(#REF!=0,"",#REF!)</f>
        <v>#REF!</v>
      </c>
      <c r="M80" s="317" t="e">
        <f>IF(#REF!=0,"",#REF!)</f>
        <v>#REF!</v>
      </c>
      <c r="N80" s="317" t="e">
        <f>IF(#REF!=0,"",#REF!)</f>
        <v>#REF!</v>
      </c>
      <c r="O80" s="317" t="e">
        <f>IF(#REF!=0,"",#REF!)</f>
        <v>#REF!</v>
      </c>
      <c r="P80" s="317" t="e">
        <f>IF(#REF!=0,"",#REF!)</f>
        <v>#REF!</v>
      </c>
      <c r="Q80" s="317" t="e">
        <f>IF(#REF!=0,"",#REF!)</f>
        <v>#REF!</v>
      </c>
      <c r="R80" s="317" t="e">
        <f>IF(#REF!=0,"",#REF!)</f>
        <v>#REF!</v>
      </c>
      <c r="S80" s="318" t="e">
        <f t="shared" si="4"/>
        <v>#REF!</v>
      </c>
    </row>
    <row r="81" spans="1:19" ht="14">
      <c r="A81" s="185" t="s">
        <v>66</v>
      </c>
      <c r="B81" s="198" t="s">
        <v>133</v>
      </c>
      <c r="C81" s="231">
        <v>8227.2000000000007</v>
      </c>
      <c r="D81" s="212">
        <v>0</v>
      </c>
      <c r="E81" s="199"/>
      <c r="F81" s="211">
        <v>1</v>
      </c>
      <c r="G81" s="316"/>
      <c r="H81" s="317" t="str">
        <f>IF('130P-NR'!G115=0,"",'130P-NR'!G115)</f>
        <v/>
      </c>
      <c r="I81" s="317" t="str">
        <f>IF('130P-NR'!H115=0,"",'130P-NR'!H115)</f>
        <v/>
      </c>
      <c r="J81" s="317" t="str">
        <f>IF('130P-NR'!I115=0,"",'130P-NR'!I115)</f>
        <v/>
      </c>
      <c r="K81" s="317" t="str">
        <f>IF('130P-NR'!J115=0,"",'130P-NR'!J115)</f>
        <v/>
      </c>
      <c r="L81" s="317" t="str">
        <f>IF('130P-NR'!K115=0,"",'130P-NR'!K115)</f>
        <v/>
      </c>
      <c r="M81" s="317" t="str">
        <f>IF('130P-NR'!L115=0,"",'130P-NR'!L115)</f>
        <v/>
      </c>
      <c r="N81" s="317" t="str">
        <f>IF('130P-NR'!M115=0,"",'130P-NR'!M115)</f>
        <v/>
      </c>
      <c r="O81" s="317" t="str">
        <f>IF('130P-NR'!N115=0,"",'130P-NR'!N115)</f>
        <v/>
      </c>
      <c r="P81" s="317" t="str">
        <f>IF('130P-NR'!O115=0,"",'130P-NR'!O115)</f>
        <v/>
      </c>
      <c r="Q81" s="317" t="str">
        <f>IF('130P-NR'!P115=0,"",'130P-NR'!P115)</f>
        <v/>
      </c>
      <c r="R81" s="317" t="str">
        <f>IF('130P-NR'!Q115=0,"",'130P-NR'!Q115)</f>
        <v/>
      </c>
      <c r="S81" s="318" t="str">
        <f t="shared" si="4"/>
        <v/>
      </c>
    </row>
    <row r="82" spans="1:19" ht="14">
      <c r="A82" s="185" t="s">
        <v>178</v>
      </c>
      <c r="B82" s="198" t="s">
        <v>140</v>
      </c>
      <c r="C82" s="231">
        <v>20861</v>
      </c>
      <c r="D82" s="212">
        <v>1</v>
      </c>
      <c r="E82" s="199"/>
      <c r="F82" s="211">
        <v>0</v>
      </c>
      <c r="G82" s="316"/>
      <c r="H82" s="317" t="str">
        <f>IF('220L-NR'!G115=0,"",'220L-NR'!G115)</f>
        <v/>
      </c>
      <c r="I82" s="317" t="str">
        <f>IF('220L-NR'!H115=0,"",'220L-NR'!H115)</f>
        <v/>
      </c>
      <c r="J82" s="317" t="str">
        <f>IF('220L-NR'!I115=0,"",'220L-NR'!I115)</f>
        <v/>
      </c>
      <c r="K82" s="317" t="str">
        <f>IF('220L-NR'!J115=0,"",'220L-NR'!J115)</f>
        <v/>
      </c>
      <c r="L82" s="317" t="str">
        <f>IF('220L-NR'!K115=0,"",'220L-NR'!K115)</f>
        <v/>
      </c>
      <c r="M82" s="317" t="str">
        <f>IF('220L-NR'!L115=0,"",'220L-NR'!L115)</f>
        <v/>
      </c>
      <c r="N82" s="317" t="str">
        <f>IF('220L-NR'!M115=0,"",'220L-NR'!M115)</f>
        <v/>
      </c>
      <c r="O82" s="317" t="str">
        <f>IF('220L-NR'!N115=0,"",'220L-NR'!N115)</f>
        <v/>
      </c>
      <c r="P82" s="317" t="str">
        <f>IF('220L-NR'!O115=0,"",'220L-NR'!O115)</f>
        <v/>
      </c>
      <c r="Q82" s="317" t="str">
        <f>IF('220L-NR'!P115=0,"",'220L-NR'!P115)</f>
        <v/>
      </c>
      <c r="R82" s="317" t="str">
        <f>IF('220L-NR'!Q115=0,"",'220L-NR'!Q115)</f>
        <v/>
      </c>
      <c r="S82" s="318" t="str">
        <f t="shared" si="4"/>
        <v/>
      </c>
    </row>
    <row r="83" spans="1:19" ht="14">
      <c r="A83" s="185" t="s">
        <v>37</v>
      </c>
      <c r="B83" s="182" t="s">
        <v>166</v>
      </c>
      <c r="C83" s="231">
        <v>15723.1</v>
      </c>
      <c r="D83" s="212">
        <v>0</v>
      </c>
      <c r="E83" s="199"/>
      <c r="F83" s="211">
        <v>1</v>
      </c>
      <c r="G83" s="316"/>
      <c r="H83" s="317">
        <f>IF('850C-NR'!G115=0,"",'850C-NR'!G115)</f>
        <v>1365500</v>
      </c>
      <c r="I83" s="317">
        <f>IF('850C-NR'!H115=0,"",'850C-NR'!H115)</f>
        <v>260000</v>
      </c>
      <c r="J83" s="317">
        <f>IF('850C-NR'!I115=0,"",'850C-NR'!I115)</f>
        <v>70000</v>
      </c>
      <c r="K83" s="317">
        <f>IF('850C-NR'!J115=0,"",'850C-NR'!J115)</f>
        <v>80000</v>
      </c>
      <c r="L83" s="317">
        <f>IF('850C-NR'!K115=0,"",'850C-NR'!K115)</f>
        <v>1400</v>
      </c>
      <c r="M83" s="317" t="str">
        <f>IF('850C-NR'!L115=0,"",'850C-NR'!L115)</f>
        <v/>
      </c>
      <c r="N83" s="317">
        <f>IF('850C-NR'!M115=0,"",'850C-NR'!M115)</f>
        <v>7500</v>
      </c>
      <c r="O83" s="317" t="str">
        <f>IF('850C-NR'!N115=0,"",'850C-NR'!N115)</f>
        <v/>
      </c>
      <c r="P83" s="317" t="str">
        <f>IF('850C-NR'!O115=0,"",'850C-NR'!O115)</f>
        <v/>
      </c>
      <c r="Q83" s="317" t="str">
        <f>IF('850C-NR'!P115=0,"",'850C-NR'!P115)</f>
        <v/>
      </c>
      <c r="R83" s="317" t="str">
        <f>IF('850C-NR'!Q115=0,"",'850C-NR'!Q115)</f>
        <v/>
      </c>
      <c r="S83" s="318">
        <f t="shared" si="4"/>
        <v>1784400</v>
      </c>
    </row>
    <row r="84" spans="1:19" ht="14.5" thickBot="1">
      <c r="A84" s="185" t="s">
        <v>66</v>
      </c>
      <c r="B84" s="182" t="s">
        <v>67</v>
      </c>
      <c r="C84" s="231">
        <v>12837.7</v>
      </c>
      <c r="D84" s="211">
        <v>0</v>
      </c>
      <c r="E84" s="199"/>
      <c r="F84" s="211">
        <v>1</v>
      </c>
      <c r="G84" s="316"/>
      <c r="H84" s="317" t="str">
        <f>IF('6OC-NR'!G115=0,"",'6OC-NR'!G115)</f>
        <v/>
      </c>
      <c r="I84" s="317">
        <f>IF('6OC-NR'!H115=0,"",'6OC-NR'!H115)</f>
        <v>983750</v>
      </c>
      <c r="J84" s="317" t="str">
        <f>IF('6OC-NR'!I115=0,"",'6OC-NR'!I115)</f>
        <v/>
      </c>
      <c r="K84" s="317" t="str">
        <f>IF('6OC-NR'!J115=0,"",'6OC-NR'!J115)</f>
        <v/>
      </c>
      <c r="L84" s="317" t="str">
        <f>IF('6OC-NR'!K115=0,"",'6OC-NR'!K115)</f>
        <v/>
      </c>
      <c r="M84" s="317" t="str">
        <f>IF('6OC-NR'!L115=0,"",'6OC-NR'!L115)</f>
        <v/>
      </c>
      <c r="N84" s="317">
        <f>IF('6OC-NR'!M115=0,"",'6OC-NR'!M115)</f>
        <v>1166625</v>
      </c>
      <c r="O84" s="317" t="str">
        <f>IF('6OC-NR'!N115=0,"",'6OC-NR'!N115)</f>
        <v/>
      </c>
      <c r="P84" s="317" t="str">
        <f>IF('6OC-NR'!O115=0,"",'6OC-NR'!O115)</f>
        <v/>
      </c>
      <c r="Q84" s="317" t="str">
        <f>IF('6OC-NR'!P115=0,"",'6OC-NR'!P115)</f>
        <v/>
      </c>
      <c r="R84" s="317" t="str">
        <f>IF('6OC-NR'!Q115=0,"",'6OC-NR'!Q115)</f>
        <v/>
      </c>
      <c r="S84" s="318">
        <f t="shared" si="4"/>
        <v>2150375</v>
      </c>
    </row>
    <row r="85" spans="1:19" ht="13" thickTop="1">
      <c r="G85" s="201"/>
      <c r="H85" s="201" t="e">
        <f>SUBTOTAL(109,H62:H84)</f>
        <v>#REF!</v>
      </c>
      <c r="I85" s="201" t="e">
        <f t="shared" ref="I85:R85" si="5">SUBTOTAL(109,I62:I84)</f>
        <v>#REF!</v>
      </c>
      <c r="J85" s="201" t="e">
        <f t="shared" si="5"/>
        <v>#REF!</v>
      </c>
      <c r="K85" s="201" t="e">
        <f t="shared" si="5"/>
        <v>#REF!</v>
      </c>
      <c r="L85" s="201" t="e">
        <f t="shared" si="5"/>
        <v>#REF!</v>
      </c>
      <c r="M85" s="201" t="e">
        <f t="shared" si="5"/>
        <v>#REF!</v>
      </c>
      <c r="N85" s="201" t="e">
        <f t="shared" si="5"/>
        <v>#REF!</v>
      </c>
      <c r="O85" s="201" t="e">
        <f t="shared" si="5"/>
        <v>#REF!</v>
      </c>
      <c r="P85" s="201" t="e">
        <f t="shared" si="5"/>
        <v>#REF!</v>
      </c>
      <c r="Q85" s="201" t="e">
        <f t="shared" si="5"/>
        <v>#REF!</v>
      </c>
      <c r="R85" s="201" t="e">
        <f t="shared" si="5"/>
        <v>#REF!</v>
      </c>
      <c r="S85" s="261" t="e">
        <f>SUBTOTAL(109,S62:S84)</f>
        <v>#REF!</v>
      </c>
    </row>
    <row r="86" spans="1:19">
      <c r="E86" s="238"/>
      <c r="F86" s="237"/>
    </row>
    <row r="87" spans="1:19" ht="13" thickBot="1">
      <c r="F87" s="238"/>
      <c r="G87" s="240"/>
      <c r="H87" s="241" t="e">
        <f>H85</f>
        <v>#REF!</v>
      </c>
      <c r="I87" s="241" t="e">
        <f t="shared" ref="I87:R87" si="6">I85</f>
        <v>#REF!</v>
      </c>
      <c r="J87" s="241" t="e">
        <f t="shared" si="6"/>
        <v>#REF!</v>
      </c>
      <c r="K87" s="241" t="e">
        <f t="shared" si="6"/>
        <v>#REF!</v>
      </c>
      <c r="L87" s="241" t="e">
        <f t="shared" si="6"/>
        <v>#REF!</v>
      </c>
      <c r="M87" s="241" t="e">
        <f t="shared" si="6"/>
        <v>#REF!</v>
      </c>
      <c r="N87" s="241" t="e">
        <f t="shared" si="6"/>
        <v>#REF!</v>
      </c>
      <c r="O87" s="241" t="e">
        <f t="shared" si="6"/>
        <v>#REF!</v>
      </c>
      <c r="P87" s="241" t="e">
        <f t="shared" si="6"/>
        <v>#REF!</v>
      </c>
      <c r="Q87" s="241" t="e">
        <f t="shared" si="6"/>
        <v>#REF!</v>
      </c>
      <c r="R87" s="241" t="e">
        <f t="shared" si="6"/>
        <v>#REF!</v>
      </c>
      <c r="S87" s="203" t="e">
        <f>SUM(H87:R87)</f>
        <v>#REF!</v>
      </c>
    </row>
    <row r="88" spans="1:19" ht="13" thickTop="1"/>
    <row r="89" spans="1:19" ht="18" thickBot="1">
      <c r="A89" s="196" t="s">
        <v>204</v>
      </c>
    </row>
    <row r="90" spans="1:19" ht="15" thickTop="1" thickBot="1">
      <c r="A90" s="184" t="s">
        <v>6</v>
      </c>
      <c r="B90" s="184" t="s">
        <v>7</v>
      </c>
      <c r="C90" s="184" t="s">
        <v>9</v>
      </c>
      <c r="D90" s="184" t="s">
        <v>10</v>
      </c>
      <c r="E90" s="184" t="s">
        <v>11</v>
      </c>
      <c r="F90" s="184" t="s">
        <v>12</v>
      </c>
      <c r="G90" s="184" t="s">
        <v>188</v>
      </c>
      <c r="H90" s="184" t="s">
        <v>189</v>
      </c>
      <c r="I90" s="184" t="s">
        <v>190</v>
      </c>
      <c r="J90" s="184" t="s">
        <v>191</v>
      </c>
      <c r="K90" s="184" t="s">
        <v>192</v>
      </c>
      <c r="L90" s="184" t="s">
        <v>193</v>
      </c>
      <c r="M90" s="184" t="s">
        <v>194</v>
      </c>
      <c r="N90" s="184" t="s">
        <v>195</v>
      </c>
      <c r="O90" s="184" t="s">
        <v>196</v>
      </c>
      <c r="P90" s="184" t="s">
        <v>197</v>
      </c>
      <c r="Q90" s="184" t="s">
        <v>198</v>
      </c>
      <c r="R90" s="184" t="s">
        <v>199</v>
      </c>
      <c r="S90" s="200" t="s">
        <v>235</v>
      </c>
    </row>
    <row r="91" spans="1:19" ht="14.5" thickTop="1">
      <c r="A91" s="185" t="s">
        <v>30</v>
      </c>
      <c r="B91" s="198" t="s">
        <v>31</v>
      </c>
      <c r="C91" s="228">
        <v>29166</v>
      </c>
      <c r="D91" s="211">
        <v>1</v>
      </c>
      <c r="E91" s="199"/>
      <c r="F91" s="211">
        <v>1</v>
      </c>
      <c r="G91" s="193">
        <f>'1M-NR'!F272</f>
        <v>5.1606552665612879</v>
      </c>
      <c r="H91" s="193">
        <f>'1M-NR'!G272</f>
        <v>5.1606552665612879</v>
      </c>
      <c r="I91" s="193">
        <f>'1M-NR'!H272</f>
        <v>5.1749719079986978</v>
      </c>
      <c r="J91" s="193">
        <f>'1M-NR'!I272</f>
        <v>5.5615212268087628</v>
      </c>
      <c r="K91" s="193">
        <f>'1M-NR'!J272</f>
        <v>5.6194497516387898</v>
      </c>
      <c r="L91" s="193">
        <f>'1M-NR'!K272</f>
        <v>5.6283318490111567</v>
      </c>
      <c r="M91" s="193">
        <f>'1M-NR'!L272</f>
        <v>5.6372139463835236</v>
      </c>
      <c r="N91" s="193">
        <f>'1M-NR'!M272</f>
        <v>5.6460960437558905</v>
      </c>
      <c r="O91" s="193">
        <f>'1M-NR'!N272</f>
        <v>5.7707175822301329</v>
      </c>
      <c r="P91" s="193">
        <f>'1M-NR'!O272</f>
        <v>5.7707175822301329</v>
      </c>
      <c r="Q91" s="193">
        <f>'1M-NR'!P272</f>
        <v>5.7707175822301329</v>
      </c>
      <c r="R91" s="193">
        <f>'1M-NR'!Q272</f>
        <v>5.7707175822301329</v>
      </c>
      <c r="S91" s="546">
        <f>R91-G91</f>
        <v>0.61006231566884495</v>
      </c>
    </row>
    <row r="92" spans="1:19" ht="14">
      <c r="A92" s="185" t="s">
        <v>37</v>
      </c>
      <c r="B92" s="182" t="s">
        <v>38</v>
      </c>
      <c r="C92" s="228">
        <v>62987</v>
      </c>
      <c r="D92" s="211">
        <v>0.5</v>
      </c>
      <c r="E92" s="199"/>
      <c r="F92" s="211">
        <v>1</v>
      </c>
      <c r="G92" s="193">
        <f>'120C-NR'!F272</f>
        <v>4.2064719358533793</v>
      </c>
      <c r="H92" s="193">
        <f>'120C-NR'!G272</f>
        <v>4.2064719358533793</v>
      </c>
      <c r="I92" s="193">
        <f>'120C-NR'!H272</f>
        <v>4.2064719358533793</v>
      </c>
      <c r="J92" s="193">
        <f>'120C-NR'!I272</f>
        <v>4.2064719358533793</v>
      </c>
      <c r="K92" s="193">
        <f>'120C-NR'!J272</f>
        <v>4.2064719358533793</v>
      </c>
      <c r="L92" s="193">
        <f>'120C-NR'!K272</f>
        <v>4.2064719358533793</v>
      </c>
      <c r="M92" s="193">
        <f>'120C-NR'!L272</f>
        <v>4.2064719358533793</v>
      </c>
      <c r="N92" s="193">
        <f>'120C-NR'!M272</f>
        <v>4.2064719358533793</v>
      </c>
      <c r="O92" s="193">
        <f>'120C-NR'!N272</f>
        <v>4.2064719358533793</v>
      </c>
      <c r="P92" s="193">
        <f>'120C-NR'!O272</f>
        <v>4.2064719358533793</v>
      </c>
      <c r="Q92" s="193">
        <f>'120C-NR'!P272</f>
        <v>4.2064719358533793</v>
      </c>
      <c r="R92" s="193">
        <f>'120C-NR'!Q272</f>
        <v>4.2064719358533793</v>
      </c>
      <c r="S92" s="546">
        <f t="shared" ref="S92:S113" si="7">R92-G92</f>
        <v>0</v>
      </c>
    </row>
    <row r="93" spans="1:19" ht="14">
      <c r="A93" s="185" t="s">
        <v>30</v>
      </c>
      <c r="B93" s="182" t="s">
        <v>42</v>
      </c>
      <c r="C93" s="231">
        <v>42132</v>
      </c>
      <c r="D93" s="211">
        <v>0.5</v>
      </c>
      <c r="E93" s="199">
        <v>0.25</v>
      </c>
      <c r="F93" s="211">
        <v>1</v>
      </c>
      <c r="G93" s="193">
        <f>'126P-NR'!F272</f>
        <v>5.1893950280212673</v>
      </c>
      <c r="H93" s="193">
        <f>'126P-NR'!G272</f>
        <v>5.1893950280212673</v>
      </c>
      <c r="I93" s="193">
        <f>'126P-NR'!H272</f>
        <v>5.1981210607315385</v>
      </c>
      <c r="J93" s="193">
        <f>'126P-NR'!I272</f>
        <v>5.2635663060585705</v>
      </c>
      <c r="K93" s="193">
        <f>'126P-NR'!J272</f>
        <v>5.2635663060585705</v>
      </c>
      <c r="L93" s="193">
        <f>'126P-NR'!K272</f>
        <v>5.2635663060585705</v>
      </c>
      <c r="M93" s="193">
        <f>'126P-NR'!L272</f>
        <v>5.2983154690224481</v>
      </c>
      <c r="N93" s="193">
        <f>'126P-NR'!M272</f>
        <v>5.2983154690224481</v>
      </c>
      <c r="O93" s="193">
        <f>'126P-NR'!N272</f>
        <v>5.5468797426384837</v>
      </c>
      <c r="P93" s="193">
        <f>'126P-NR'!O272</f>
        <v>5.5468797426384837</v>
      </c>
      <c r="Q93" s="193">
        <f>'126P-NR'!P272</f>
        <v>5.6341400697411936</v>
      </c>
      <c r="R93" s="193">
        <f>'126P-NR'!Q272</f>
        <v>5.6341400697411936</v>
      </c>
      <c r="S93" s="546">
        <f t="shared" si="7"/>
        <v>0.44474504171992635</v>
      </c>
    </row>
    <row r="94" spans="1:19" ht="14">
      <c r="A94" s="185" t="s">
        <v>30</v>
      </c>
      <c r="B94" s="182" t="s">
        <v>43</v>
      </c>
      <c r="C94" s="231">
        <v>12509</v>
      </c>
      <c r="D94" s="211">
        <v>1</v>
      </c>
      <c r="E94" s="199"/>
      <c r="F94" s="211">
        <v>1</v>
      </c>
      <c r="G94" s="193">
        <f>'117C-NR'!F272</f>
        <v>5.3187239545911771</v>
      </c>
      <c r="H94" s="193">
        <f>'117C-NR'!G272</f>
        <v>5.3187239545911771</v>
      </c>
      <c r="I94" s="193">
        <f>'117C-NR'!H272</f>
        <v>5.3187239545911771</v>
      </c>
      <c r="J94" s="193">
        <f>'117C-NR'!I272</f>
        <v>5.3187239545911771</v>
      </c>
      <c r="K94" s="193">
        <f>'117C-NR'!J272</f>
        <v>5.3187239545911771</v>
      </c>
      <c r="L94" s="193">
        <f>'117C-NR'!K272</f>
        <v>5.3187239545911771</v>
      </c>
      <c r="M94" s="193">
        <f>'117C-NR'!L272</f>
        <v>5.3187239545911771</v>
      </c>
      <c r="N94" s="193">
        <f>'117C-NR'!M272</f>
        <v>5.3187239545911771</v>
      </c>
      <c r="O94" s="193">
        <f>'117C-NR'!N272</f>
        <v>5.3187239545911771</v>
      </c>
      <c r="P94" s="193">
        <f>'117C-NR'!O272</f>
        <v>5.3187239545911771</v>
      </c>
      <c r="Q94" s="193">
        <f>'117C-NR'!P272</f>
        <v>5.3187239545911771</v>
      </c>
      <c r="R94" s="193">
        <f>'117C-NR'!Q272</f>
        <v>5.3187239545911771</v>
      </c>
      <c r="S94" s="546">
        <f t="shared" si="7"/>
        <v>0</v>
      </c>
    </row>
    <row r="95" spans="1:19" ht="14">
      <c r="A95" s="185" t="s">
        <v>30</v>
      </c>
      <c r="B95" s="182" t="s">
        <v>46</v>
      </c>
      <c r="C95" s="231">
        <v>27263</v>
      </c>
      <c r="D95" s="211">
        <v>1</v>
      </c>
      <c r="E95" s="199"/>
      <c r="F95" s="211">
        <v>1</v>
      </c>
      <c r="G95" s="193">
        <f>'135K-NR'!F273</f>
        <v>5.5572639747090102</v>
      </c>
      <c r="H95" s="193">
        <f>'135K-NR'!G273</f>
        <v>5.5572639747090102</v>
      </c>
      <c r="I95" s="193">
        <f>'135K-NR'!H273</f>
        <v>5.5572639747090102</v>
      </c>
      <c r="J95" s="193">
        <f>'135K-NR'!I273</f>
        <v>5.5572639747090102</v>
      </c>
      <c r="K95" s="193">
        <f>'135K-NR'!J273</f>
        <v>5.5572639747090102</v>
      </c>
      <c r="L95" s="193">
        <f>'135K-NR'!K273</f>
        <v>5.65751459975733</v>
      </c>
      <c r="M95" s="193">
        <f>'135K-NR'!L273</f>
        <v>5.7455724710361702</v>
      </c>
      <c r="N95" s="193">
        <f>'135K-NR'!M273</f>
        <v>5.7455724710361702</v>
      </c>
      <c r="O95" s="193">
        <f>'135K-NR'!N273</f>
        <v>5.7336862891148463</v>
      </c>
      <c r="P95" s="193">
        <f>'135K-NR'!O273</f>
        <v>5.7336862891148463</v>
      </c>
      <c r="Q95" s="193">
        <f>'135K-NR'!P273</f>
        <v>5.7336862891148463</v>
      </c>
      <c r="R95" s="193">
        <f>'135K-NR'!Q273</f>
        <v>5.7336862891148463</v>
      </c>
      <c r="S95" s="546">
        <f t="shared" si="7"/>
        <v>0.17642231440583611</v>
      </c>
    </row>
    <row r="96" spans="1:19" ht="14">
      <c r="A96" s="185" t="s">
        <v>30</v>
      </c>
      <c r="B96" s="182" t="s">
        <v>47</v>
      </c>
      <c r="C96" s="231">
        <v>39057</v>
      </c>
      <c r="D96" s="211">
        <v>1</v>
      </c>
      <c r="E96" s="199"/>
      <c r="F96" s="211">
        <v>1</v>
      </c>
      <c r="G96" s="193">
        <f>'201K-NR'!F272</f>
        <v>5.5342721655410259</v>
      </c>
      <c r="H96" s="193">
        <f>'201K-NR'!G272</f>
        <v>5.5342721655410259</v>
      </c>
      <c r="I96" s="193">
        <f>'201K-NR'!H272</f>
        <v>5.5546713464728459</v>
      </c>
      <c r="J96" s="193">
        <f>'201K-NR'!I272</f>
        <v>5.8931708217041399</v>
      </c>
      <c r="K96" s="193">
        <f>'201K-NR'!J272</f>
        <v>5.8931708217041399</v>
      </c>
      <c r="L96" s="193">
        <f>'201K-NR'!K272</f>
        <v>5.910170139147322</v>
      </c>
      <c r="M96" s="193">
        <f>'201K-NR'!L272</f>
        <v>5.910170139147322</v>
      </c>
      <c r="N96" s="193">
        <f>'201K-NR'!M272</f>
        <v>5.910170139147322</v>
      </c>
      <c r="O96" s="193">
        <f>'201K-NR'!N272</f>
        <v>5.9478053687578303</v>
      </c>
      <c r="P96" s="193">
        <f>'201K-NR'!O272</f>
        <v>6.1177985431896591</v>
      </c>
      <c r="Q96" s="193">
        <f>'201K-NR'!P272</f>
        <v>6.4800970628414092</v>
      </c>
      <c r="R96" s="193">
        <f>'201K-NR'!Q272</f>
        <v>6.4800970628414092</v>
      </c>
      <c r="S96" s="546">
        <f t="shared" si="7"/>
        <v>0.94582489730038333</v>
      </c>
    </row>
    <row r="97" spans="1:19" ht="14">
      <c r="A97" s="185" t="s">
        <v>48</v>
      </c>
      <c r="B97" s="182" t="s">
        <v>49</v>
      </c>
      <c r="C97" s="231">
        <v>24754</v>
      </c>
      <c r="D97" s="211">
        <v>1</v>
      </c>
      <c r="E97" s="199"/>
      <c r="F97" s="211">
        <v>1</v>
      </c>
      <c r="G97" s="193">
        <f>'259Q-NR'!F272</f>
        <v>5.4825066741604607</v>
      </c>
      <c r="H97" s="193">
        <f>'259Q-NR'!G272</f>
        <v>5.4825066741604607</v>
      </c>
      <c r="I97" s="193">
        <f>'259Q-NR'!H272</f>
        <v>5.4825066741604607</v>
      </c>
      <c r="J97" s="193">
        <f>'259Q-NR'!I272</f>
        <v>5.4825066802171643</v>
      </c>
      <c r="K97" s="193">
        <f>'259Q-NR'!J272</f>
        <v>5.4825066802171643</v>
      </c>
      <c r="L97" s="193">
        <f>'259Q-NR'!K272</f>
        <v>5.5895153057815321</v>
      </c>
      <c r="M97" s="193">
        <f>'259Q-NR'!L272</f>
        <v>5.5895153057815321</v>
      </c>
      <c r="N97" s="193">
        <f>'259Q-NR'!M272</f>
        <v>5.5895153057815321</v>
      </c>
      <c r="O97" s="193">
        <f>'259Q-NR'!N272</f>
        <v>5.5895153057815321</v>
      </c>
      <c r="P97" s="193">
        <f>'259Q-NR'!O272</f>
        <v>5.6624228737996827</v>
      </c>
      <c r="Q97" s="193">
        <f>'259Q-NR'!P272</f>
        <v>5.6624228737996827</v>
      </c>
      <c r="R97" s="193">
        <f>'259Q-NR'!Q272</f>
        <v>5.6624228737996827</v>
      </c>
      <c r="S97" s="546">
        <f t="shared" si="7"/>
        <v>0.17991619963922201</v>
      </c>
    </row>
    <row r="98" spans="1:19" ht="14">
      <c r="A98" s="185" t="s">
        <v>30</v>
      </c>
      <c r="B98" s="182" t="s">
        <v>92</v>
      </c>
      <c r="C98" s="231">
        <v>26819</v>
      </c>
      <c r="D98" s="212">
        <v>0</v>
      </c>
      <c r="E98" s="199">
        <v>1</v>
      </c>
      <c r="F98" s="211">
        <v>1</v>
      </c>
      <c r="G98" s="193">
        <f>'347K-NR'!F272</f>
        <v>5.1319155051013077</v>
      </c>
      <c r="H98" s="193">
        <f>'347K-NR'!G272</f>
        <v>5.1319155051013077</v>
      </c>
      <c r="I98" s="193">
        <f>'347K-NR'!H272</f>
        <v>5.1319155051013077</v>
      </c>
      <c r="J98" s="193">
        <f>'347K-NR'!I272</f>
        <v>5.1439247095331417</v>
      </c>
      <c r="K98" s="193">
        <f>'347K-NR'!J272</f>
        <v>5.3327172387454072</v>
      </c>
      <c r="L98" s="193">
        <f>'347K-NR'!K272</f>
        <v>5.3327172387454072</v>
      </c>
      <c r="M98" s="193">
        <f>'347K-NR'!L272</f>
        <v>5.3327172387454072</v>
      </c>
      <c r="N98" s="193">
        <f>'347K-NR'!M272</f>
        <v>5.3327172387454072</v>
      </c>
      <c r="O98" s="193">
        <f>'347K-NR'!N272</f>
        <v>5.3190057657589067</v>
      </c>
      <c r="P98" s="193">
        <f>'347K-NR'!O272</f>
        <v>5.3190057657589067</v>
      </c>
      <c r="Q98" s="193">
        <f>'347K-NR'!P272</f>
        <v>5.3190057657589067</v>
      </c>
      <c r="R98" s="193">
        <f>'347K-NR'!Q272</f>
        <v>5.5496417176584805</v>
      </c>
      <c r="S98" s="546">
        <f t="shared" si="7"/>
        <v>0.41772621255717279</v>
      </c>
    </row>
    <row r="99" spans="1:19" ht="14">
      <c r="A99" s="185" t="s">
        <v>30</v>
      </c>
      <c r="B99" s="182" t="s">
        <v>52</v>
      </c>
      <c r="C99" s="231">
        <v>28396</v>
      </c>
      <c r="D99" s="211">
        <v>0.75</v>
      </c>
      <c r="E99" s="199"/>
      <c r="F99" s="211">
        <v>1</v>
      </c>
      <c r="G99" s="193">
        <f>'40M-NR'!F272</f>
        <v>5.8216697801408248</v>
      </c>
      <c r="H99" s="193">
        <f>'40M-NR'!G272</f>
        <v>5.8216697801408248</v>
      </c>
      <c r="I99" s="193">
        <f>'40M-NR'!H272</f>
        <v>5.8107065289353068</v>
      </c>
      <c r="J99" s="193">
        <f>'40M-NR'!I272</f>
        <v>5.8107065289353068</v>
      </c>
      <c r="K99" s="193">
        <f>'40M-NR'!J272</f>
        <v>5.8107065289353068</v>
      </c>
      <c r="L99" s="193">
        <f>'40M-NR'!K272</f>
        <v>5.8499647687555969</v>
      </c>
      <c r="M99" s="193">
        <f>'40M-NR'!L272</f>
        <v>5.8761369286357903</v>
      </c>
      <c r="N99" s="193">
        <f>'40M-NR'!M272</f>
        <v>5.8761369286357903</v>
      </c>
      <c r="O99" s="193">
        <f>'40M-NR'!N272</f>
        <v>5.8662850006524447</v>
      </c>
      <c r="P99" s="193">
        <f>'40M-NR'!O272</f>
        <v>5.8662850006524447</v>
      </c>
      <c r="Q99" s="193">
        <f>'40M-NR'!P272</f>
        <v>5.8662850006524447</v>
      </c>
      <c r="R99" s="193">
        <f>'40M-NR'!Q272</f>
        <v>5.8662850006524447</v>
      </c>
      <c r="S99" s="546">
        <f t="shared" si="7"/>
        <v>4.4615220511619924E-2</v>
      </c>
    </row>
    <row r="100" spans="1:19" ht="14">
      <c r="A100" s="185" t="s">
        <v>30</v>
      </c>
      <c r="B100" s="182" t="s">
        <v>54</v>
      </c>
      <c r="C100" s="231">
        <v>37558</v>
      </c>
      <c r="D100" s="211">
        <v>0.75</v>
      </c>
      <c r="E100" s="199"/>
      <c r="F100" s="211">
        <v>1</v>
      </c>
      <c r="G100" s="193">
        <f>'420G-NR'!F272</f>
        <v>5.448052881161086</v>
      </c>
      <c r="H100" s="193">
        <f>'420G-NR'!G272</f>
        <v>5.448052881161086</v>
      </c>
      <c r="I100" s="193">
        <f>'420G-NR'!H272</f>
        <v>5.5006819299584313</v>
      </c>
      <c r="J100" s="193">
        <f>'420G-NR'!I272</f>
        <v>5.5006819299584313</v>
      </c>
      <c r="K100" s="193">
        <f>'420G-NR'!J272</f>
        <v>5.5006819299584313</v>
      </c>
      <c r="L100" s="193">
        <f>'420G-NR'!K272</f>
        <v>5.632254551951795</v>
      </c>
      <c r="M100" s="193">
        <f>'420G-NR'!L272</f>
        <v>5.6487011297009655</v>
      </c>
      <c r="N100" s="193">
        <f>'420G-NR'!M272</f>
        <v>5.6487011297009655</v>
      </c>
      <c r="O100" s="193">
        <f>'420G-NR'!N272</f>
        <v>5.6413803315520532</v>
      </c>
      <c r="P100" s="193">
        <f>'420G-NR'!O272</f>
        <v>5.6864549189699458</v>
      </c>
      <c r="Q100" s="193">
        <f>'420G-NR'!P272</f>
        <v>5.7061908122689511</v>
      </c>
      <c r="R100" s="193">
        <f>'420G-NR'!Q272</f>
        <v>5.7061908122689511</v>
      </c>
      <c r="S100" s="546">
        <f t="shared" si="7"/>
        <v>0.25813793110786509</v>
      </c>
    </row>
    <row r="101" spans="1:19" ht="14">
      <c r="A101" s="185" t="s">
        <v>37</v>
      </c>
      <c r="B101" s="182" t="s">
        <v>55</v>
      </c>
      <c r="C101" s="231">
        <v>55051</v>
      </c>
      <c r="D101" s="211">
        <v>0.5</v>
      </c>
      <c r="E101" s="199">
        <v>0.5</v>
      </c>
      <c r="F101" s="211">
        <v>1</v>
      </c>
      <c r="G101" s="193">
        <f>'567C-NR'!F272</f>
        <v>5.7139636967611818</v>
      </c>
      <c r="H101" s="193">
        <f>'567C-NR'!G272</f>
        <v>5.7617711039606681</v>
      </c>
      <c r="I101" s="193">
        <f>'567C-NR'!H272</f>
        <v>5.7937039159584529</v>
      </c>
      <c r="J101" s="193">
        <f>'567C-NR'!I272</f>
        <v>5.8427640888844419</v>
      </c>
      <c r="K101" s="193">
        <f>'567C-NR'!J272</f>
        <v>5.8534472086170686</v>
      </c>
      <c r="L101" s="193">
        <f>'567C-NR'!K272</f>
        <v>5.9377135394345757</v>
      </c>
      <c r="M101" s="193">
        <f>'567C-NR'!L272</f>
        <v>5.9859989346342308</v>
      </c>
      <c r="N101" s="193">
        <f>'567C-NR'!M272</f>
        <v>6.0022160697127509</v>
      </c>
      <c r="O101" s="193">
        <f>'567C-NR'!N272</f>
        <v>6.0022160697127509</v>
      </c>
      <c r="P101" s="193">
        <f>'567C-NR'!O272</f>
        <v>6.0022160697127509</v>
      </c>
      <c r="Q101" s="193">
        <f>'567C-NR'!P272</f>
        <v>6.0022160697127509</v>
      </c>
      <c r="R101" s="193">
        <f>'567C-NR'!Q272</f>
        <v>6.0022160697127509</v>
      </c>
      <c r="S101" s="546">
        <f t="shared" si="7"/>
        <v>0.28825237295156914</v>
      </c>
    </row>
    <row r="102" spans="1:19" ht="14">
      <c r="A102" s="185" t="s">
        <v>30</v>
      </c>
      <c r="B102" s="182" t="s">
        <v>56</v>
      </c>
      <c r="C102" s="231">
        <v>39938</v>
      </c>
      <c r="D102" s="211">
        <v>0.5</v>
      </c>
      <c r="E102" s="199"/>
      <c r="F102" s="211">
        <v>1</v>
      </c>
      <c r="G102" s="193">
        <f>'60MP-NR'!F272</f>
        <v>5.2669923839632133</v>
      </c>
      <c r="H102" s="193">
        <f>'60MP-NR'!G272</f>
        <v>5.2669923839632133</v>
      </c>
      <c r="I102" s="193">
        <f>'60MP-NR'!H272</f>
        <v>5.2669923839632133</v>
      </c>
      <c r="J102" s="193">
        <f>'60MP-NR'!I272</f>
        <v>5.2669923839632133</v>
      </c>
      <c r="K102" s="193">
        <f>'60MP-NR'!J272</f>
        <v>5.2669923839632133</v>
      </c>
      <c r="L102" s="193">
        <f>'60MP-NR'!K272</f>
        <v>5.2669923839632133</v>
      </c>
      <c r="M102" s="193">
        <f>'60MP-NR'!L272</f>
        <v>5.2669923839632133</v>
      </c>
      <c r="N102" s="193">
        <f>'60MP-NR'!M272</f>
        <v>5.2669923839632133</v>
      </c>
      <c r="O102" s="193">
        <f>'60MP-NR'!N272</f>
        <v>5.2669923839632133</v>
      </c>
      <c r="P102" s="193">
        <f>'60MP-NR'!O272</f>
        <v>5.2669923839632133</v>
      </c>
      <c r="Q102" s="193">
        <f>'60MP-NR'!P272</f>
        <v>5.2669923839632133</v>
      </c>
      <c r="R102" s="193">
        <f>'60MP-NR'!Q272</f>
        <v>5.2669923839632133</v>
      </c>
      <c r="S102" s="546">
        <f t="shared" si="7"/>
        <v>0</v>
      </c>
    </row>
    <row r="103" spans="1:19" ht="14">
      <c r="A103" s="185" t="s">
        <v>30</v>
      </c>
      <c r="B103" s="182" t="s">
        <v>93</v>
      </c>
      <c r="C103" s="231">
        <v>20404</v>
      </c>
      <c r="D103" s="212">
        <v>0</v>
      </c>
      <c r="E103" s="199">
        <v>1</v>
      </c>
      <c r="F103" s="211">
        <v>1</v>
      </c>
      <c r="G103" s="193">
        <f>'151C-NR'!F272</f>
        <v>5.6779709728409253</v>
      </c>
      <c r="H103" s="193">
        <f>'151C-NR'!G272</f>
        <v>5.6779709728409253</v>
      </c>
      <c r="I103" s="193">
        <f>'151C-NR'!H272</f>
        <v>5.6779709728409253</v>
      </c>
      <c r="J103" s="193">
        <f>'151C-NR'!I272</f>
        <v>5.6779709728409253</v>
      </c>
      <c r="K103" s="193">
        <f>'151C-NR'!J272</f>
        <v>5.6779709728409253</v>
      </c>
      <c r="L103" s="193">
        <f>'151C-NR'!K272</f>
        <v>5.6779709728409253</v>
      </c>
      <c r="M103" s="193">
        <f>'151C-NR'!L272</f>
        <v>5.6779709728409253</v>
      </c>
      <c r="N103" s="193">
        <f>'151C-NR'!M272</f>
        <v>5.6779709728409253</v>
      </c>
      <c r="O103" s="193">
        <f>'151C-NR'!N272</f>
        <v>5.6779709728409253</v>
      </c>
      <c r="P103" s="193">
        <f>'151C-NR'!O272</f>
        <v>5.6779709728409253</v>
      </c>
      <c r="Q103" s="193">
        <f>'151C-NR'!P272</f>
        <v>5.6144378534554962</v>
      </c>
      <c r="R103" s="193">
        <f>'151C-NR'!Q272</f>
        <v>5.6144378534554962</v>
      </c>
      <c r="S103" s="546">
        <f t="shared" si="7"/>
        <v>-6.353311938542916E-2</v>
      </c>
    </row>
    <row r="104" spans="1:19" ht="14">
      <c r="A104" s="185" t="s">
        <v>37</v>
      </c>
      <c r="B104" s="182" t="s">
        <v>60</v>
      </c>
      <c r="C104" s="231">
        <v>1422</v>
      </c>
      <c r="D104" s="211">
        <v>1</v>
      </c>
      <c r="E104" s="199"/>
      <c r="F104" s="211">
        <v>1</v>
      </c>
      <c r="G104" s="193"/>
      <c r="H104" s="193"/>
      <c r="I104" s="193"/>
      <c r="J104" s="193"/>
      <c r="K104" s="193"/>
      <c r="L104" s="193"/>
      <c r="M104" s="193"/>
      <c r="N104" s="193"/>
      <c r="O104" s="193"/>
      <c r="P104" s="193"/>
      <c r="Q104" s="193"/>
      <c r="R104" s="193"/>
      <c r="S104" s="546">
        <f t="shared" si="7"/>
        <v>0</v>
      </c>
    </row>
    <row r="105" spans="1:19" ht="14">
      <c r="A105" s="185" t="s">
        <v>66</v>
      </c>
      <c r="B105" s="182" t="s">
        <v>170</v>
      </c>
      <c r="C105" s="231">
        <v>17363.8</v>
      </c>
      <c r="D105" s="212">
        <v>0</v>
      </c>
      <c r="E105" s="199"/>
      <c r="F105" s="211">
        <v>1</v>
      </c>
      <c r="G105" s="193">
        <f>'20B-NR'!F272</f>
        <v>4.7257012393998696</v>
      </c>
      <c r="H105" s="193">
        <f>'20B-NR'!G272</f>
        <v>4.7257012393998696</v>
      </c>
      <c r="I105" s="193">
        <f>'20B-NR'!H272</f>
        <v>4.7003145304979235</v>
      </c>
      <c r="J105" s="193">
        <f>'20B-NR'!I272</f>
        <v>4.7003145304979235</v>
      </c>
      <c r="K105" s="193">
        <f>'20B-NR'!J272</f>
        <v>4.7308108394982238</v>
      </c>
      <c r="L105" s="193">
        <f>'20B-NR'!K272</f>
        <v>4.7769146172882726</v>
      </c>
      <c r="M105" s="193">
        <f>'20B-NR'!L272</f>
        <v>4.7769146172882726</v>
      </c>
      <c r="N105" s="193">
        <f>'20B-NR'!M272</f>
        <v>4.7769146172882726</v>
      </c>
      <c r="O105" s="193">
        <f>'20B-NR'!N272</f>
        <v>5.2621652446826381</v>
      </c>
      <c r="P105" s="193">
        <f>'20B-NR'!O272</f>
        <v>5.2621652446826381</v>
      </c>
      <c r="Q105" s="193">
        <f>'20B-NR'!P272</f>
        <v>5.2621652446826381</v>
      </c>
      <c r="R105" s="193">
        <f>'20B-NR'!Q272</f>
        <v>5.2621652446826381</v>
      </c>
      <c r="S105" s="546">
        <f t="shared" si="7"/>
        <v>0.5364640052827685</v>
      </c>
    </row>
    <row r="106" spans="1:19" ht="14">
      <c r="A106" s="185" t="s">
        <v>48</v>
      </c>
      <c r="B106" s="182" t="s">
        <v>168</v>
      </c>
      <c r="C106" s="231">
        <v>24784</v>
      </c>
      <c r="D106" s="212">
        <v>0</v>
      </c>
      <c r="E106" s="199"/>
      <c r="F106" s="211">
        <v>1</v>
      </c>
      <c r="G106" s="193">
        <f>'179T-NR'!F272</f>
        <v>5.1171842068287203</v>
      </c>
      <c r="H106" s="193">
        <f>'179T-NR'!G272</f>
        <v>5.1171842068287203</v>
      </c>
      <c r="I106" s="193">
        <f>'179T-NR'!H272</f>
        <v>5.1171842068287203</v>
      </c>
      <c r="J106" s="193">
        <f>'179T-NR'!I272</f>
        <v>5.1171842068287203</v>
      </c>
      <c r="K106" s="193">
        <f>'179T-NR'!J272</f>
        <v>5.1171842068287203</v>
      </c>
      <c r="L106" s="193">
        <f>'179T-NR'!K272</f>
        <v>5.1818870820185845</v>
      </c>
      <c r="M106" s="193">
        <f>'179T-NR'!L272</f>
        <v>5.1818870820185845</v>
      </c>
      <c r="N106" s="193">
        <f>'179T-NR'!M272</f>
        <v>5.1818870820185845</v>
      </c>
      <c r="O106" s="193">
        <f>'179T-NR'!N272</f>
        <v>5.1818870820185845</v>
      </c>
      <c r="P106" s="193">
        <f>'179T-NR'!O272</f>
        <v>5.1818870820185845</v>
      </c>
      <c r="Q106" s="193">
        <f>'179T-NR'!P272</f>
        <v>5.1818870820185845</v>
      </c>
      <c r="R106" s="193">
        <f>'179T-NR'!Q272</f>
        <v>5.1818870820185845</v>
      </c>
      <c r="S106" s="546">
        <f t="shared" si="7"/>
        <v>6.4702875189864173E-2</v>
      </c>
    </row>
    <row r="107" spans="1:19" ht="14">
      <c r="A107" s="185" t="s">
        <v>30</v>
      </c>
      <c r="B107" s="182" t="s">
        <v>123</v>
      </c>
      <c r="C107" s="231">
        <v>23555.5</v>
      </c>
      <c r="D107" s="211">
        <v>0</v>
      </c>
      <c r="E107" s="199"/>
      <c r="F107" s="211">
        <v>1</v>
      </c>
      <c r="G107" s="193">
        <f>'105M-NR'!F272</f>
        <v>5.8446615893088083</v>
      </c>
      <c r="H107" s="193">
        <f>'105M-NR'!G272</f>
        <v>5.8446615893088083</v>
      </c>
      <c r="I107" s="193">
        <f>'105M-NR'!H272</f>
        <v>5.8446615893088083</v>
      </c>
      <c r="J107" s="193">
        <f>'105M-NR'!I272</f>
        <v>5.8446615893088083</v>
      </c>
      <c r="K107" s="193">
        <f>'105M-NR'!J272</f>
        <v>5.8446615893088083</v>
      </c>
      <c r="L107" s="193">
        <f>'105M-NR'!K272</f>
        <v>5.8446615893088083</v>
      </c>
      <c r="M107" s="193">
        <f>'105M-NR'!L272</f>
        <v>5.8446615893088083</v>
      </c>
      <c r="N107" s="193">
        <f>'105M-NR'!M272</f>
        <v>5.8446615893088083</v>
      </c>
      <c r="O107" s="193">
        <f>'105M-NR'!N272</f>
        <v>5.8446615893088083</v>
      </c>
      <c r="P107" s="193">
        <f>'105M-NR'!O272</f>
        <v>5.8446615893088083</v>
      </c>
      <c r="Q107" s="193">
        <f>'105M-NR'!P272</f>
        <v>5.8446615893088083</v>
      </c>
      <c r="R107" s="193">
        <f>'105M-NR'!Q272</f>
        <v>5.8446615893088083</v>
      </c>
      <c r="S107" s="546">
        <f t="shared" si="7"/>
        <v>0</v>
      </c>
    </row>
    <row r="108" spans="1:19" ht="14">
      <c r="A108" s="185" t="s">
        <v>63</v>
      </c>
      <c r="B108" s="182" t="s">
        <v>64</v>
      </c>
      <c r="C108" s="231">
        <v>61127</v>
      </c>
      <c r="D108" s="211">
        <v>0.5</v>
      </c>
      <c r="E108" s="199"/>
      <c r="F108" s="211"/>
      <c r="G108" s="193">
        <f>'105M-NR'!F272</f>
        <v>5.8446615893088083</v>
      </c>
      <c r="H108" s="193">
        <f>'105M-NR'!G272</f>
        <v>5.8446615893088083</v>
      </c>
      <c r="I108" s="193">
        <f>'105M-NR'!H272</f>
        <v>5.8446615893088083</v>
      </c>
      <c r="J108" s="193">
        <f>'105M-NR'!I272</f>
        <v>5.8446615893088083</v>
      </c>
      <c r="K108" s="193">
        <f>'105M-NR'!J272</f>
        <v>5.8446615893088083</v>
      </c>
      <c r="L108" s="193">
        <f>'105M-NR'!K272</f>
        <v>5.8446615893088083</v>
      </c>
      <c r="M108" s="193">
        <f>'105M-NR'!L272</f>
        <v>5.8446615893088083</v>
      </c>
      <c r="N108" s="193">
        <f>'105M-NR'!M272</f>
        <v>5.8446615893088083</v>
      </c>
      <c r="O108" s="193">
        <f>'105M-NR'!N272</f>
        <v>5.8446615893088083</v>
      </c>
      <c r="P108" s="193">
        <f>'105M-NR'!O272</f>
        <v>5.8446615893088083</v>
      </c>
      <c r="Q108" s="193">
        <f>'105M-NR'!P272</f>
        <v>5.8446615893088083</v>
      </c>
      <c r="R108" s="193">
        <f>'105M-NR'!Q272</f>
        <v>5.8446615893088083</v>
      </c>
      <c r="S108" s="546">
        <f t="shared" si="7"/>
        <v>0</v>
      </c>
    </row>
    <row r="109" spans="1:19" ht="14">
      <c r="A109" s="185" t="s">
        <v>66</v>
      </c>
      <c r="B109" s="182" t="s">
        <v>95</v>
      </c>
      <c r="C109" s="231">
        <v>41253</v>
      </c>
      <c r="D109" s="212">
        <v>0</v>
      </c>
      <c r="E109" s="199">
        <v>0.5</v>
      </c>
      <c r="F109" s="211"/>
      <c r="G109" s="193">
        <f>'105M-NR'!F272</f>
        <v>5.8446615893088083</v>
      </c>
      <c r="H109" s="193">
        <f>'105M-NR'!G272</f>
        <v>5.8446615893088083</v>
      </c>
      <c r="I109" s="193">
        <f>'105M-NR'!H272</f>
        <v>5.8446615893088083</v>
      </c>
      <c r="J109" s="193">
        <f>'105M-NR'!I272</f>
        <v>5.8446615893088083</v>
      </c>
      <c r="K109" s="193">
        <f>'105M-NR'!J272</f>
        <v>5.8446615893088083</v>
      </c>
      <c r="L109" s="193">
        <f>'105M-NR'!K272</f>
        <v>5.8446615893088083</v>
      </c>
      <c r="M109" s="193">
        <f>'105M-NR'!L272</f>
        <v>5.8446615893088083</v>
      </c>
      <c r="N109" s="193">
        <f>'105M-NR'!M272</f>
        <v>5.8446615893088083</v>
      </c>
      <c r="O109" s="193">
        <f>'105M-NR'!N272</f>
        <v>5.8446615893088083</v>
      </c>
      <c r="P109" s="193">
        <f>'105M-NR'!O272</f>
        <v>5.8446615893088083</v>
      </c>
      <c r="Q109" s="193">
        <f>'105M-NR'!P272</f>
        <v>5.8446615893088083</v>
      </c>
      <c r="R109" s="193">
        <f>'105M-NR'!Q272</f>
        <v>5.8446615893088083</v>
      </c>
      <c r="S109" s="546">
        <f t="shared" si="7"/>
        <v>0</v>
      </c>
    </row>
    <row r="110" spans="1:19" ht="14">
      <c r="A110" s="185" t="s">
        <v>66</v>
      </c>
      <c r="B110" s="198" t="s">
        <v>133</v>
      </c>
      <c r="C110" s="231">
        <v>8227.2000000000007</v>
      </c>
      <c r="D110" s="212">
        <v>0</v>
      </c>
      <c r="E110" s="199"/>
      <c r="F110" s="211">
        <v>1</v>
      </c>
      <c r="G110" s="193">
        <f>'130P-NR'!F272</f>
        <v>4.5300065231572084</v>
      </c>
      <c r="H110" s="193">
        <f>'130P-NR'!G272</f>
        <v>4.5300065231572084</v>
      </c>
      <c r="I110" s="193">
        <f>'130P-NR'!H272</f>
        <v>4.5300065231572084</v>
      </c>
      <c r="J110" s="193">
        <f>'130P-NR'!I272</f>
        <v>4.5300065231572084</v>
      </c>
      <c r="K110" s="193">
        <f>'130P-NR'!J272</f>
        <v>4.5300065231572084</v>
      </c>
      <c r="L110" s="193">
        <f>'130P-NR'!K272</f>
        <v>4.5300065231572084</v>
      </c>
      <c r="M110" s="193">
        <f>'130P-NR'!L272</f>
        <v>4.5300065231572084</v>
      </c>
      <c r="N110" s="193">
        <f>'130P-NR'!M272</f>
        <v>4.5300065231572084</v>
      </c>
      <c r="O110" s="193">
        <f>'130P-NR'!N272</f>
        <v>4.5300065231572084</v>
      </c>
      <c r="P110" s="193">
        <f>'130P-NR'!O272</f>
        <v>4.5300065231572084</v>
      </c>
      <c r="Q110" s="193">
        <f>'130P-NR'!P272</f>
        <v>4.5300065231572084</v>
      </c>
      <c r="R110" s="193">
        <f>'130P-NR'!Q272</f>
        <v>4.5300065231572084</v>
      </c>
      <c r="S110" s="546">
        <f t="shared" si="7"/>
        <v>0</v>
      </c>
    </row>
    <row r="111" spans="1:19" ht="14">
      <c r="A111" s="185" t="s">
        <v>178</v>
      </c>
      <c r="B111" s="198" t="s">
        <v>140</v>
      </c>
      <c r="C111" s="231">
        <v>20861</v>
      </c>
      <c r="D111" s="212">
        <v>1</v>
      </c>
      <c r="E111" s="199"/>
      <c r="F111" s="211">
        <v>0</v>
      </c>
      <c r="G111" s="193">
        <f>'220L-NR'!F272</f>
        <v>4.790932811480757</v>
      </c>
      <c r="H111" s="193">
        <f>'220L-NR'!G272</f>
        <v>4.790932811480757</v>
      </c>
      <c r="I111" s="193">
        <f>'220L-NR'!H272</f>
        <v>4.790932811480757</v>
      </c>
      <c r="J111" s="193">
        <f>'220L-NR'!I272</f>
        <v>4.790932811480757</v>
      </c>
      <c r="K111" s="193">
        <f>'220L-NR'!J272</f>
        <v>4.790932811480757</v>
      </c>
      <c r="L111" s="193">
        <f>'220L-NR'!K272</f>
        <v>4.790932811480757</v>
      </c>
      <c r="M111" s="193">
        <f>'220L-NR'!L272</f>
        <v>4.790932811480757</v>
      </c>
      <c r="N111" s="193">
        <f>'220L-NR'!M272</f>
        <v>4.790932811480757</v>
      </c>
      <c r="O111" s="193">
        <f>'220L-NR'!N272</f>
        <v>4.790932811480757</v>
      </c>
      <c r="P111" s="193">
        <f>'220L-NR'!O272</f>
        <v>4.790932811480757</v>
      </c>
      <c r="Q111" s="193">
        <f>'220L-NR'!P272</f>
        <v>4.790932811480757</v>
      </c>
      <c r="R111" s="193">
        <f>'220L-NR'!Q272</f>
        <v>4.790932811480757</v>
      </c>
      <c r="S111" s="546">
        <f t="shared" si="7"/>
        <v>0</v>
      </c>
    </row>
    <row r="112" spans="1:19" ht="14">
      <c r="A112" s="185" t="s">
        <v>37</v>
      </c>
      <c r="B112" s="182" t="s">
        <v>166</v>
      </c>
      <c r="C112" s="231">
        <v>15723.1</v>
      </c>
      <c r="D112" s="212">
        <v>0</v>
      </c>
      <c r="E112" s="199"/>
      <c r="F112" s="211">
        <v>1</v>
      </c>
      <c r="G112" s="193">
        <f>'850C-NR'!F272</f>
        <v>4.8364833906071016</v>
      </c>
      <c r="H112" s="193">
        <f>'850C-NR'!G272</f>
        <v>4.8364833906071016</v>
      </c>
      <c r="I112" s="193">
        <f>'850C-NR'!H272</f>
        <v>5.5062620397952138</v>
      </c>
      <c r="J112" s="193">
        <f>'850C-NR'!I272</f>
        <v>5.6730837782371895</v>
      </c>
      <c r="K112" s="193">
        <f>'850C-NR'!J272</f>
        <v>5.8146138550476181</v>
      </c>
      <c r="L112" s="193">
        <f>'850C-NR'!K272</f>
        <v>5.8638942464992319</v>
      </c>
      <c r="M112" s="193">
        <f>'850C-NR'!L272</f>
        <v>5.8852046860458751</v>
      </c>
      <c r="N112" s="193">
        <f>'850C-NR'!M272</f>
        <v>5.8852046860458751</v>
      </c>
      <c r="O112" s="193">
        <f>'850C-NR'!N272</f>
        <v>5.907302386414865</v>
      </c>
      <c r="P112" s="193">
        <f>'850C-NR'!O272</f>
        <v>5.907302386414865</v>
      </c>
      <c r="Q112" s="193">
        <f>'850C-NR'!P272</f>
        <v>5.907302386414865</v>
      </c>
      <c r="R112" s="193">
        <f>'850C-NR'!Q272</f>
        <v>5.907302386414865</v>
      </c>
      <c r="S112" s="546">
        <f t="shared" si="7"/>
        <v>1.0708189958077634</v>
      </c>
    </row>
    <row r="113" spans="1:19" ht="14.5" thickBot="1">
      <c r="A113" s="185" t="s">
        <v>66</v>
      </c>
      <c r="B113" s="182" t="s">
        <v>67</v>
      </c>
      <c r="C113" s="231">
        <v>12837.7</v>
      </c>
      <c r="D113" s="211">
        <v>0</v>
      </c>
      <c r="E113" s="199"/>
      <c r="F113" s="211">
        <v>1</v>
      </c>
      <c r="G113" s="193">
        <f>'6OC-NR'!F272</f>
        <v>4.7628832354859751</v>
      </c>
      <c r="H113" s="193">
        <f>'6OC-NR'!G272</f>
        <v>4.7628832354859751</v>
      </c>
      <c r="I113" s="193">
        <f>'6OC-NR'!H272</f>
        <v>4.7628832354859751</v>
      </c>
      <c r="J113" s="193">
        <f>'6OC-NR'!I272</f>
        <v>5.3353020390224728</v>
      </c>
      <c r="K113" s="193">
        <f>'6OC-NR'!J272</f>
        <v>5.5160533147163555</v>
      </c>
      <c r="L113" s="193">
        <f>'6OC-NR'!K272</f>
        <v>5.5160533147163555</v>
      </c>
      <c r="M113" s="193">
        <f>'6OC-NR'!L272</f>
        <v>5.5160533147163555</v>
      </c>
      <c r="N113" s="193">
        <f>'6OC-NR'!M272</f>
        <v>5.5160533147163555</v>
      </c>
      <c r="O113" s="193">
        <f>'6OC-NR'!N272</f>
        <v>5.7079394155118459</v>
      </c>
      <c r="P113" s="193">
        <f>'6OC-NR'!O272</f>
        <v>5.7716680110315162</v>
      </c>
      <c r="Q113" s="193">
        <f>'6OC-NR'!P272</f>
        <v>5.7716680110315162</v>
      </c>
      <c r="R113" s="193">
        <f>'6OC-NR'!Q272</f>
        <v>5.7716680110315162</v>
      </c>
      <c r="S113" s="546">
        <f t="shared" si="7"/>
        <v>1.008784775545541</v>
      </c>
    </row>
    <row r="114" spans="1:19" ht="13" thickTop="1">
      <c r="B114" s="182" t="s">
        <v>236</v>
      </c>
      <c r="G114" s="208">
        <f t="shared" ref="G114:R114" si="8">SUMPRODUCT(G91:G113,$C91:$C113)/SUM($C91:$C113)</f>
        <v>5.3056113422834388</v>
      </c>
      <c r="H114" s="208">
        <f t="shared" si="8"/>
        <v>5.3095208659245055</v>
      </c>
      <c r="I114" s="208">
        <f t="shared" si="8"/>
        <v>5.3319445840636552</v>
      </c>
      <c r="J114" s="208">
        <f t="shared" si="8"/>
        <v>5.3917296291184078</v>
      </c>
      <c r="K114" s="208">
        <f t="shared" si="8"/>
        <v>5.4101734146586944</v>
      </c>
      <c r="L114" s="208">
        <f t="shared" si="8"/>
        <v>5.4401491622350866</v>
      </c>
      <c r="M114" s="208">
        <f t="shared" si="8"/>
        <v>5.4527428739987416</v>
      </c>
      <c r="N114" s="208">
        <f t="shared" si="8"/>
        <v>5.4544538733657397</v>
      </c>
      <c r="O114" s="208">
        <f t="shared" si="8"/>
        <v>5.4924332403083831</v>
      </c>
      <c r="P114" s="208">
        <f t="shared" si="8"/>
        <v>5.508706870283012</v>
      </c>
      <c r="Q114" s="208">
        <f t="shared" si="8"/>
        <v>5.5343633712889169</v>
      </c>
      <c r="R114" s="208">
        <f t="shared" si="8"/>
        <v>5.5435516260372459</v>
      </c>
      <c r="S114" s="547">
        <f>R114-G114</f>
        <v>0.23794028375380716</v>
      </c>
    </row>
    <row r="115" spans="1:19" ht="13" thickBot="1"/>
    <row r="116" spans="1:19" ht="15" thickTop="1" thickBot="1">
      <c r="A116" s="559">
        <f>COUNTIF(A91:A113,"NSW2")</f>
        <v>11</v>
      </c>
      <c r="F116" s="185" t="s">
        <v>205</v>
      </c>
      <c r="G116" s="184" t="s">
        <v>188</v>
      </c>
      <c r="H116" s="184" t="s">
        <v>189</v>
      </c>
      <c r="I116" s="184" t="s">
        <v>190</v>
      </c>
      <c r="J116" s="184" t="s">
        <v>191</v>
      </c>
      <c r="K116" s="184" t="s">
        <v>192</v>
      </c>
      <c r="L116" s="184" t="s">
        <v>193</v>
      </c>
      <c r="M116" s="184" t="s">
        <v>194</v>
      </c>
      <c r="N116" s="184" t="s">
        <v>195</v>
      </c>
      <c r="O116" s="184" t="s">
        <v>196</v>
      </c>
      <c r="P116" s="184" t="s">
        <v>197</v>
      </c>
      <c r="Q116" s="184" t="s">
        <v>198</v>
      </c>
      <c r="R116" s="184" t="s">
        <v>199</v>
      </c>
    </row>
    <row r="117" spans="1:19" ht="13.5" thickTop="1">
      <c r="A117" s="559">
        <f>COUNTA(A91:A113)</f>
        <v>23</v>
      </c>
      <c r="F117" s="185" t="s">
        <v>10</v>
      </c>
      <c r="G117" s="213">
        <f>SUMPRODUCT(G91:G113,$C91:$C113,$D91:$D113)/SUMPRODUCT($C91:$C113,$D91:$D113)</f>
        <v>5.3136936763652587</v>
      </c>
      <c r="H117" s="213">
        <f>SUMPRODUCT(H91:H113,$C91:$C113,$D91:$D113)/SUMPRODUCT($C91:$C113,$D91:$D113)</f>
        <v>5.3176204560882487</v>
      </c>
      <c r="I117" s="213">
        <f t="shared" ref="I117:Q117" si="9">SUMPRODUCT(I91:I113,$C91:$C113,$D91:$D113)/SUMPRODUCT($C91:$C113,$D91:$D113)</f>
        <v>5.3281424446463896</v>
      </c>
      <c r="J117" s="213">
        <f t="shared" si="9"/>
        <v>5.4093800702805277</v>
      </c>
      <c r="K117" s="213">
        <f t="shared" si="9"/>
        <v>5.4152992370363968</v>
      </c>
      <c r="L117" s="213">
        <f t="shared" si="9"/>
        <v>5.4545895729695646</v>
      </c>
      <c r="M117" s="213">
        <f t="shared" si="9"/>
        <v>5.4717226360180655</v>
      </c>
      <c r="N117" s="213">
        <f t="shared" si="9"/>
        <v>5.4738277044380599</v>
      </c>
      <c r="O117" s="213">
        <f t="shared" si="9"/>
        <v>5.5024769757371459</v>
      </c>
      <c r="P117" s="213">
        <f t="shared" si="9"/>
        <v>5.5314636247029805</v>
      </c>
      <c r="Q117" s="213">
        <f t="shared" si="9"/>
        <v>5.5808330944168913</v>
      </c>
      <c r="R117" s="209"/>
      <c r="S117" s="210"/>
    </row>
    <row r="118" spans="1:19" ht="13">
      <c r="A118" s="560">
        <f>(A117-A116)/A117</f>
        <v>0.52173913043478259</v>
      </c>
      <c r="F118" s="185" t="s">
        <v>11</v>
      </c>
      <c r="G118" s="213">
        <f t="shared" ref="G118" si="10">SUMPRODUCT(G91:G113,$C91:$C113,$E91:$E113)/SUMPRODUCT($C91:$C113,$E91:$E113)</f>
        <v>5.5329217764322278</v>
      </c>
      <c r="H118" s="213">
        <f t="shared" ref="H118:Q118" si="11">SUMPRODUCT(H91:H113,$C91:$C113,$E91:$E113)/SUMPRODUCT($C91:$C113,$E91:$E113)</f>
        <v>5.5453469264385484</v>
      </c>
      <c r="I118" s="213">
        <f t="shared" si="11"/>
        <v>5.5545141085133904</v>
      </c>
      <c r="J118" s="213">
        <f t="shared" si="11"/>
        <v>5.5768147412565376</v>
      </c>
      <c r="K118" s="213">
        <f t="shared" si="11"/>
        <v>5.6273990696655734</v>
      </c>
      <c r="L118" s="213">
        <f t="shared" si="11"/>
        <v>5.6492998976381275</v>
      </c>
      <c r="M118" s="213">
        <f t="shared" si="11"/>
        <v>5.6653052284825076</v>
      </c>
      <c r="N118" s="213">
        <f t="shared" si="11"/>
        <v>5.6695200635431631</v>
      </c>
      <c r="O118" s="213">
        <f t="shared" si="11"/>
        <v>5.6907686897090111</v>
      </c>
      <c r="P118" s="213">
        <f t="shared" si="11"/>
        <v>5.6907686897090111</v>
      </c>
      <c r="Q118" s="213">
        <f t="shared" si="11"/>
        <v>5.6872069498728566</v>
      </c>
    </row>
    <row r="119" spans="1:19">
      <c r="F119" s="185" t="s">
        <v>12</v>
      </c>
      <c r="G119" s="213">
        <f t="shared" ref="G119" si="12">SUMPRODUCT(G91:G113,$C91:$C113,$F91:$F113)/SUMPRODUCT($C91:$C113,$F91:$F113)</f>
        <v>5.2247831329997805</v>
      </c>
      <c r="H119" s="213">
        <f t="shared" ref="H119:Q119" si="13">SUMPRODUCT(H91:H113,$C91:$C113,$F91:$F113)/SUMPRODUCT($C91:$C113,$F91:$F113)</f>
        <v>5.2295687653208027</v>
      </c>
      <c r="I119" s="213">
        <f t="shared" si="13"/>
        <v>5.2570175494020654</v>
      </c>
      <c r="J119" s="213">
        <f t="shared" si="13"/>
        <v>5.3302001849852072</v>
      </c>
      <c r="K119" s="213">
        <f t="shared" si="13"/>
        <v>5.3527771494205814</v>
      </c>
      <c r="L119" s="213">
        <f t="shared" si="13"/>
        <v>5.3894703426632438</v>
      </c>
      <c r="M119" s="213">
        <f t="shared" si="13"/>
        <v>5.4048862550840608</v>
      </c>
      <c r="N119" s="213">
        <f t="shared" si="13"/>
        <v>5.4069806825958802</v>
      </c>
      <c r="O119" s="213">
        <f t="shared" si="13"/>
        <v>5.4534710744337787</v>
      </c>
      <c r="P119" s="213">
        <f t="shared" si="13"/>
        <v>5.4733915600829484</v>
      </c>
      <c r="Q119" s="213">
        <f t="shared" si="13"/>
        <v>5.5047975807982308</v>
      </c>
    </row>
    <row r="120" spans="1:19">
      <c r="G120" s="561">
        <f>COUNTIF(G91:G113,"&lt;5")-1</f>
        <v>5</v>
      </c>
    </row>
    <row r="121" spans="1:19">
      <c r="G121" s="561">
        <f>COUNTA(B91:B113)-1</f>
        <v>22</v>
      </c>
    </row>
    <row r="122" spans="1:19">
      <c r="G122" s="558">
        <f>(G121-G120)/G121</f>
        <v>0.77272727272727271</v>
      </c>
    </row>
    <row r="123" spans="1:19" ht="18" thickBot="1">
      <c r="A123" s="196" t="s">
        <v>237</v>
      </c>
    </row>
    <row r="124" spans="1:19" ht="15" thickTop="1" thickBot="1">
      <c r="A124" s="184" t="s">
        <v>6</v>
      </c>
      <c r="B124" s="184" t="s">
        <v>7</v>
      </c>
      <c r="C124" s="184" t="s">
        <v>9</v>
      </c>
      <c r="D124" s="184" t="s">
        <v>10</v>
      </c>
      <c r="E124" s="184" t="s">
        <v>11</v>
      </c>
      <c r="F124" s="184" t="s">
        <v>12</v>
      </c>
      <c r="G124" s="184" t="s">
        <v>188</v>
      </c>
      <c r="H124" s="184" t="s">
        <v>189</v>
      </c>
      <c r="I124" s="184" t="s">
        <v>190</v>
      </c>
      <c r="J124" s="184" t="s">
        <v>191</v>
      </c>
      <c r="K124" s="184" t="s">
        <v>192</v>
      </c>
      <c r="L124" s="184" t="s">
        <v>193</v>
      </c>
      <c r="M124" s="184" t="s">
        <v>194</v>
      </c>
      <c r="N124" s="184" t="s">
        <v>195</v>
      </c>
      <c r="O124" s="184" t="s">
        <v>196</v>
      </c>
      <c r="P124" s="184" t="s">
        <v>197</v>
      </c>
      <c r="Q124" s="184" t="s">
        <v>198</v>
      </c>
      <c r="R124" s="184" t="s">
        <v>199</v>
      </c>
      <c r="S124" s="200" t="s">
        <v>84</v>
      </c>
    </row>
    <row r="125" spans="1:19" ht="14.5" thickTop="1">
      <c r="A125" s="185" t="s">
        <v>30</v>
      </c>
      <c r="B125" s="198" t="s">
        <v>31</v>
      </c>
      <c r="C125" s="228">
        <v>29166</v>
      </c>
      <c r="D125" s="211">
        <v>1</v>
      </c>
      <c r="E125" s="199"/>
      <c r="F125" s="211">
        <v>1</v>
      </c>
      <c r="G125" s="203"/>
      <c r="H125" s="203">
        <f>('Footprint Summary'!H62)*Assumptions!D$35</f>
        <v>4992.6108138</v>
      </c>
      <c r="I125" s="203">
        <f>('Footprint Summary'!I62)*Assumptions!E$35</f>
        <v>4992.6108138</v>
      </c>
      <c r="J125" s="203">
        <f>('Footprint Summary'!J62)*Assumptions!F$35</f>
        <v>4992.6108138</v>
      </c>
      <c r="K125" s="203">
        <f>('Footprint Summary'!K62)*Assumptions!G$35</f>
        <v>3483.8124138000003</v>
      </c>
      <c r="L125" s="203">
        <f>('Footprint Summary'!L62)*Assumptions!H$35</f>
        <v>3366.3240138000001</v>
      </c>
      <c r="M125" s="203">
        <f>('Footprint Summary'!M62)*Assumptions!I$35</f>
        <v>3248.8356137999999</v>
      </c>
      <c r="N125" s="203">
        <f>('Footprint Summary'!N62)*Assumptions!J$35</f>
        <v>3131.3472138000002</v>
      </c>
      <c r="O125" s="203">
        <f>('Footprint Summary'!O62)*Assumptions!K$35</f>
        <v>1467.9588137999997</v>
      </c>
      <c r="P125" s="203">
        <f>('Footprint Summary'!P62)*Assumptions!L$35</f>
        <v>1467.9588137999997</v>
      </c>
      <c r="Q125" s="203">
        <f>('Footprint Summary'!Q62)*Assumptions!M$35</f>
        <v>1467.9588137999997</v>
      </c>
      <c r="R125" s="203">
        <f>('Footprint Summary'!R62)*Assumptions!N$35</f>
        <v>1467.9588137999997</v>
      </c>
      <c r="S125" s="204">
        <f>SUM(I125:R125)</f>
        <v>29087.376138</v>
      </c>
    </row>
    <row r="126" spans="1:19" ht="14">
      <c r="A126" s="185" t="s">
        <v>37</v>
      </c>
      <c r="B126" s="182" t="s">
        <v>38</v>
      </c>
      <c r="C126" s="228">
        <v>62987</v>
      </c>
      <c r="D126" s="211">
        <v>0.5</v>
      </c>
      <c r="E126" s="199"/>
      <c r="F126" s="211">
        <v>1</v>
      </c>
      <c r="G126" s="203"/>
      <c r="H126" s="203"/>
      <c r="I126" s="203">
        <f>('Footprint Summary'!I63)*Assumptions!E$35</f>
        <v>26197.325363400003</v>
      </c>
      <c r="J126" s="203">
        <f>('Footprint Summary'!J63)*Assumptions!F$35</f>
        <v>26197.325363400003</v>
      </c>
      <c r="K126" s="203">
        <f>('Footprint Summary'!K63)*Assumptions!G$35</f>
        <v>26197.325363400003</v>
      </c>
      <c r="L126" s="203">
        <f>('Footprint Summary'!L63)*Assumptions!H$35</f>
        <v>26197.325363400003</v>
      </c>
      <c r="M126" s="203">
        <f>('Footprint Summary'!M63)*Assumptions!I$35</f>
        <v>26197.325363400003</v>
      </c>
      <c r="N126" s="203">
        <f>('Footprint Summary'!N63)*Assumptions!J$35</f>
        <v>26197.325363400003</v>
      </c>
      <c r="O126" s="203">
        <f>('Footprint Summary'!O63)*Assumptions!K$35</f>
        <v>26197.325363400003</v>
      </c>
      <c r="P126" s="203">
        <f>('Footprint Summary'!P63)*Assumptions!L$35</f>
        <v>26197.325363400003</v>
      </c>
      <c r="Q126" s="203">
        <f>('Footprint Summary'!Q63)*Assumptions!M$35</f>
        <v>26197.325363400003</v>
      </c>
      <c r="R126" s="203">
        <f>('Footprint Summary'!R63)*Assumptions!N$35</f>
        <v>26197.325363400003</v>
      </c>
      <c r="S126" s="204">
        <f t="shared" ref="S126:S147" si="14">SUM(I126:R126)</f>
        <v>261973.25363400008</v>
      </c>
    </row>
    <row r="127" spans="1:19" ht="14">
      <c r="A127" s="185" t="s">
        <v>30</v>
      </c>
      <c r="B127" s="182" t="s">
        <v>42</v>
      </c>
      <c r="C127" s="231">
        <v>42132</v>
      </c>
      <c r="D127" s="211">
        <v>0.5</v>
      </c>
      <c r="E127" s="199">
        <v>0.25</v>
      </c>
      <c r="F127" s="211">
        <v>1</v>
      </c>
      <c r="G127" s="203"/>
      <c r="H127" s="203"/>
      <c r="I127" s="203">
        <f>('Footprint Summary'!I64)*Assumptions!E$35</f>
        <v>14414.354983200001</v>
      </c>
      <c r="J127" s="203">
        <f>('Footprint Summary'!J64)*Assumptions!F$35</f>
        <v>14414.354983200001</v>
      </c>
      <c r="K127" s="203">
        <f>('Footprint Summary'!K64)*Assumptions!G$35</f>
        <v>14414.354983200001</v>
      </c>
      <c r="L127" s="203">
        <f>('Footprint Summary'!L64)*Assumptions!H$35</f>
        <v>14414.354983200001</v>
      </c>
      <c r="M127" s="203">
        <f>('Footprint Summary'!M64)*Assumptions!I$35</f>
        <v>13455.8969832</v>
      </c>
      <c r="N127" s="203">
        <f>('Footprint Summary'!N64)*Assumptions!J$35</f>
        <v>13455.8969832</v>
      </c>
      <c r="O127" s="203">
        <f>('Footprint Summary'!O64)*Assumptions!K$35</f>
        <v>10054.916983200001</v>
      </c>
      <c r="P127" s="203">
        <f>('Footprint Summary'!P64)*Assumptions!L$35</f>
        <v>10054.916983200001</v>
      </c>
      <c r="Q127" s="203">
        <f>('Footprint Summary'!Q64)*Assumptions!M$35</f>
        <v>10054.916983200001</v>
      </c>
      <c r="R127" s="203">
        <f>('Footprint Summary'!R64)*Assumptions!N$35</f>
        <v>10054.916983200001</v>
      </c>
      <c r="S127" s="204">
        <f t="shared" si="14"/>
        <v>124788.88183200003</v>
      </c>
    </row>
    <row r="128" spans="1:19" ht="14">
      <c r="A128" s="185" t="s">
        <v>30</v>
      </c>
      <c r="B128" s="182" t="s">
        <v>43</v>
      </c>
      <c r="C128" s="231">
        <v>12509</v>
      </c>
      <c r="D128" s="211">
        <v>1</v>
      </c>
      <c r="E128" s="199"/>
      <c r="F128" s="211">
        <v>1</v>
      </c>
      <c r="G128" s="203"/>
      <c r="H128" s="203"/>
      <c r="I128" s="203">
        <f>('Footprint Summary'!I65)*Assumptions!E$35</f>
        <v>2927.6965313999999</v>
      </c>
      <c r="J128" s="203">
        <f>('Footprint Summary'!J65)*Assumptions!F$35</f>
        <v>2927.6965313999999</v>
      </c>
      <c r="K128" s="203">
        <f>('Footprint Summary'!K65)*Assumptions!G$35</f>
        <v>2927.6965313999999</v>
      </c>
      <c r="L128" s="203">
        <f>('Footprint Summary'!L65)*Assumptions!H$35</f>
        <v>2927.6965313999999</v>
      </c>
      <c r="M128" s="203">
        <f>('Footprint Summary'!M65)*Assumptions!I$35</f>
        <v>2927.6965313999999</v>
      </c>
      <c r="N128" s="203">
        <f>('Footprint Summary'!N65)*Assumptions!J$35</f>
        <v>2927.6965313999999</v>
      </c>
      <c r="O128" s="203">
        <f>('Footprint Summary'!O65)*Assumptions!K$35</f>
        <v>2927.6965313999999</v>
      </c>
      <c r="P128" s="203">
        <f>('Footprint Summary'!P65)*Assumptions!L$35</f>
        <v>2927.6965313999999</v>
      </c>
      <c r="Q128" s="203">
        <f>('Footprint Summary'!Q65)*Assumptions!M$35</f>
        <v>2927.6965313999999</v>
      </c>
      <c r="R128" s="203">
        <f>('Footprint Summary'!R65)*Assumptions!N$35</f>
        <v>2927.6965313999999</v>
      </c>
      <c r="S128" s="204">
        <f t="shared" si="14"/>
        <v>29276.965314000005</v>
      </c>
    </row>
    <row r="129" spans="1:19" ht="14">
      <c r="A129" s="185" t="s">
        <v>30</v>
      </c>
      <c r="B129" s="182" t="s">
        <v>46</v>
      </c>
      <c r="C129" s="231">
        <v>27263</v>
      </c>
      <c r="D129" s="211">
        <v>1</v>
      </c>
      <c r="E129" s="199"/>
      <c r="F129" s="211">
        <v>1</v>
      </c>
      <c r="G129" s="203"/>
      <c r="H129" s="203"/>
      <c r="I129" s="203">
        <f>('Footprint Summary'!I66)*Assumptions!E$35</f>
        <v>2876.7560346</v>
      </c>
      <c r="J129" s="203">
        <f>('Footprint Summary'!J66)*Assumptions!F$35</f>
        <v>2876.7560346</v>
      </c>
      <c r="K129" s="203">
        <f>('Footprint Summary'!K66)*Assumptions!G$35</f>
        <v>2876.7560346</v>
      </c>
      <c r="L129" s="203">
        <f>('Footprint Summary'!L66)*Assumptions!H$35</f>
        <v>1578.2000346000002</v>
      </c>
      <c r="M129" s="203">
        <f>('Footprint Summary'!M66)*Assumptions!I$35</f>
        <v>1578.2000346000002</v>
      </c>
      <c r="N129" s="203">
        <f>('Footprint Summary'!N66)*Assumptions!J$35</f>
        <v>1578.2000346000002</v>
      </c>
      <c r="O129" s="203">
        <f>('Footprint Summary'!O66)*Assumptions!K$35</f>
        <v>1392.6920346000002</v>
      </c>
      <c r="P129" s="203">
        <f>('Footprint Summary'!P66)*Assumptions!L$35</f>
        <v>1392.6920346000002</v>
      </c>
      <c r="Q129" s="203">
        <f>('Footprint Summary'!Q66)*Assumptions!M$35</f>
        <v>1392.6920346000002</v>
      </c>
      <c r="R129" s="203">
        <f>('Footprint Summary'!R66)*Assumptions!N$35</f>
        <v>1392.6920346000002</v>
      </c>
      <c r="S129" s="204">
        <f t="shared" si="14"/>
        <v>18935.636346000003</v>
      </c>
    </row>
    <row r="130" spans="1:19" ht="14">
      <c r="A130" s="185" t="s">
        <v>30</v>
      </c>
      <c r="B130" s="182" t="s">
        <v>47</v>
      </c>
      <c r="C130" s="231">
        <v>39057</v>
      </c>
      <c r="D130" s="211">
        <v>1</v>
      </c>
      <c r="E130" s="199"/>
      <c r="F130" s="211">
        <v>1</v>
      </c>
      <c r="G130" s="203"/>
      <c r="H130" s="203"/>
      <c r="I130" s="203">
        <f>('Footprint Summary'!I67)*Assumptions!E$35</f>
        <v>4633.2570833999998</v>
      </c>
      <c r="J130" s="203">
        <f>('Footprint Summary'!J67)*Assumptions!F$35</f>
        <v>3520.2090834000005</v>
      </c>
      <c r="K130" s="203">
        <f>('Footprint Summary'!K67)*Assumptions!G$35</f>
        <v>3520.2090834000005</v>
      </c>
      <c r="L130" s="203">
        <f>('Footprint Summary'!L67)*Assumptions!H$35</f>
        <v>3520.2090834000005</v>
      </c>
      <c r="M130" s="203">
        <f>('Footprint Summary'!M67)*Assumptions!I$35</f>
        <v>3520.2090834000005</v>
      </c>
      <c r="N130" s="203">
        <f>('Footprint Summary'!N67)*Assumptions!J$35</f>
        <v>3520.2090834000005</v>
      </c>
      <c r="O130" s="203">
        <f>('Footprint Summary'!O67)*Assumptions!K$35</f>
        <v>2283.4890834000003</v>
      </c>
      <c r="P130" s="203">
        <f>('Footprint Summary'!P67)*Assumptions!L$35</f>
        <v>2283.4890834000003</v>
      </c>
      <c r="Q130" s="203">
        <f>('Footprint Summary'!Q67)*Assumptions!M$35</f>
        <v>1170.4410834000005</v>
      </c>
      <c r="R130" s="203">
        <f>('Footprint Summary'!R67)*Assumptions!N$35</f>
        <v>1170.4410834000005</v>
      </c>
      <c r="S130" s="204">
        <f t="shared" si="14"/>
        <v>29142.162834000006</v>
      </c>
    </row>
    <row r="131" spans="1:19" ht="14">
      <c r="A131" s="185" t="s">
        <v>48</v>
      </c>
      <c r="B131" s="182" t="s">
        <v>49</v>
      </c>
      <c r="C131" s="231">
        <v>24754</v>
      </c>
      <c r="D131" s="211">
        <v>1</v>
      </c>
      <c r="E131" s="199"/>
      <c r="F131" s="211">
        <v>1</v>
      </c>
      <c r="G131" s="203"/>
      <c r="H131" s="203"/>
      <c r="I131" s="203">
        <f>('Footprint Summary'!I68)*Assumptions!E$35</f>
        <v>0</v>
      </c>
      <c r="J131" s="203">
        <f>('Footprint Summary'!J68)*Assumptions!F$35</f>
        <v>0</v>
      </c>
      <c r="K131" s="203">
        <f>('Footprint Summary'!K68)*Assumptions!G$35</f>
        <v>0</v>
      </c>
      <c r="L131" s="203">
        <f>('Footprint Summary'!L68)*Assumptions!H$35</f>
        <v>0</v>
      </c>
      <c r="M131" s="203">
        <f>('Footprint Summary'!M68)*Assumptions!I$35</f>
        <v>0</v>
      </c>
      <c r="N131" s="203">
        <f>('Footprint Summary'!N68)*Assumptions!J$35</f>
        <v>0</v>
      </c>
      <c r="O131" s="203">
        <f>('Footprint Summary'!O68)*Assumptions!K$35</f>
        <v>0</v>
      </c>
      <c r="P131" s="203">
        <f>('Footprint Summary'!P68)*Assumptions!L$35</f>
        <v>0</v>
      </c>
      <c r="Q131" s="203">
        <f>('Footprint Summary'!Q68)*Assumptions!M$35</f>
        <v>0</v>
      </c>
      <c r="R131" s="203">
        <f>('Footprint Summary'!R68)*Assumptions!N$35</f>
        <v>0</v>
      </c>
      <c r="S131" s="204">
        <f t="shared" si="14"/>
        <v>0</v>
      </c>
    </row>
    <row r="132" spans="1:19" ht="14">
      <c r="A132" s="185" t="s">
        <v>30</v>
      </c>
      <c r="B132" s="182" t="s">
        <v>92</v>
      </c>
      <c r="C132" s="231">
        <v>26819</v>
      </c>
      <c r="D132" s="212">
        <v>0</v>
      </c>
      <c r="E132" s="199">
        <v>1</v>
      </c>
      <c r="F132" s="211">
        <v>1</v>
      </c>
      <c r="G132" s="203"/>
      <c r="H132" s="203"/>
      <c r="I132" s="203">
        <f>('Footprint Summary'!I69)*Assumptions!E$35</f>
        <v>3641.8250364</v>
      </c>
      <c r="J132" s="203">
        <f>('Footprint Summary'!J69)*Assumptions!F$35</f>
        <v>2014.2985291536231</v>
      </c>
      <c r="K132" s="203">
        <f>('Footprint Summary'!K69)*Assumptions!G$35</f>
        <v>2014.2985291536231</v>
      </c>
      <c r="L132" s="203">
        <f>('Footprint Summary'!L69)*Assumptions!H$35</f>
        <v>2014.2985291536231</v>
      </c>
      <c r="M132" s="203">
        <f>('Footprint Summary'!M69)*Assumptions!I$35</f>
        <v>2014.2985291536231</v>
      </c>
      <c r="N132" s="203">
        <f>('Footprint Summary'!N69)*Assumptions!J$35</f>
        <v>2014.2985291536231</v>
      </c>
      <c r="O132" s="203">
        <f>('Footprint Summary'!O69)*Assumptions!K$35</f>
        <v>1782.6325938879227</v>
      </c>
      <c r="P132" s="203">
        <f>('Footprint Summary'!P69)*Assumptions!L$35</f>
        <v>1782.6325938879227</v>
      </c>
      <c r="Q132" s="203">
        <f>('Footprint Summary'!Q69)*Assumptions!M$35</f>
        <v>1782.6325938879227</v>
      </c>
      <c r="R132" s="203">
        <f>('Footprint Summary'!R69)*Assumptions!N$35</f>
        <v>-0.31536360000027563</v>
      </c>
      <c r="S132" s="204">
        <f t="shared" si="14"/>
        <v>19060.900100231884</v>
      </c>
    </row>
    <row r="133" spans="1:19" ht="14">
      <c r="A133" s="185" t="s">
        <v>30</v>
      </c>
      <c r="B133" s="182" t="s">
        <v>52</v>
      </c>
      <c r="C133" s="231">
        <v>28396</v>
      </c>
      <c r="D133" s="211">
        <v>0.75</v>
      </c>
      <c r="E133" s="199"/>
      <c r="F133" s="211">
        <v>1</v>
      </c>
      <c r="G133" s="203"/>
      <c r="H133" s="203"/>
      <c r="I133" s="203">
        <f>('Footprint Summary'!I70)*Assumptions!E$35</f>
        <v>6168.1410000000005</v>
      </c>
      <c r="J133" s="203">
        <f>('Footprint Summary'!J70)*Assumptions!F$35</f>
        <v>6168.1410000000005</v>
      </c>
      <c r="K133" s="203">
        <f>('Footprint Summary'!K70)*Assumptions!G$35</f>
        <v>6168.1410000000005</v>
      </c>
      <c r="L133" s="203">
        <f>('Footprint Summary'!L70)*Assumptions!H$35</f>
        <v>6168.1410000000005</v>
      </c>
      <c r="M133" s="203">
        <f>('Footprint Summary'!M70)*Assumptions!I$35</f>
        <v>6168.1410000000005</v>
      </c>
      <c r="N133" s="203">
        <f>('Footprint Summary'!N70)*Assumptions!J$35</f>
        <v>6168.1410000000005</v>
      </c>
      <c r="O133" s="203">
        <f>('Footprint Summary'!O70)*Assumptions!K$35</f>
        <v>5926.9805999999999</v>
      </c>
      <c r="P133" s="203">
        <f>('Footprint Summary'!P70)*Assumptions!L$35</f>
        <v>5926.9805999999999</v>
      </c>
      <c r="Q133" s="203">
        <f>('Footprint Summary'!Q70)*Assumptions!M$35</f>
        <v>5926.9805999999999</v>
      </c>
      <c r="R133" s="203">
        <f>('Footprint Summary'!R70)*Assumptions!N$35</f>
        <v>5926.9805999999999</v>
      </c>
      <c r="S133" s="204">
        <f t="shared" si="14"/>
        <v>60716.768400000015</v>
      </c>
    </row>
    <row r="134" spans="1:19" ht="14">
      <c r="A134" s="185" t="s">
        <v>30</v>
      </c>
      <c r="B134" s="182" t="s">
        <v>54</v>
      </c>
      <c r="C134" s="231">
        <v>37558</v>
      </c>
      <c r="D134" s="211">
        <v>0.75</v>
      </c>
      <c r="E134" s="199"/>
      <c r="F134" s="211">
        <v>1</v>
      </c>
      <c r="G134" s="203"/>
      <c r="H134" s="203"/>
      <c r="I134" s="203">
        <f>('Footprint Summary'!I71)*Assumptions!E$35</f>
        <v>2876.7560346</v>
      </c>
      <c r="J134" s="203">
        <f>('Footprint Summary'!J71)*Assumptions!F$35</f>
        <v>2876.7560346</v>
      </c>
      <c r="K134" s="203">
        <f>('Footprint Summary'!K71)*Assumptions!G$35</f>
        <v>2876.7560346</v>
      </c>
      <c r="L134" s="203">
        <f>('Footprint Summary'!L71)*Assumptions!H$35</f>
        <v>2876.7560346</v>
      </c>
      <c r="M134" s="203">
        <f>('Footprint Summary'!M71)*Assumptions!I$35</f>
        <v>2876.7560346</v>
      </c>
      <c r="N134" s="203">
        <f>('Footprint Summary'!N71)*Assumptions!J$35</f>
        <v>2876.7560346</v>
      </c>
      <c r="O134" s="203">
        <f>('Footprint Summary'!O71)*Assumptions!K$35</f>
        <v>2443.9040346000002</v>
      </c>
      <c r="P134" s="203">
        <f>('Footprint Summary'!P71)*Assumptions!L$35</f>
        <v>1052.5940345999998</v>
      </c>
      <c r="Q134" s="203">
        <f>('Footprint Summary'!Q71)*Assumptions!M$35</f>
        <v>1052.5940345999998</v>
      </c>
      <c r="R134" s="203">
        <f>('Footprint Summary'!R71)*Assumptions!N$35</f>
        <v>1052.5940345999998</v>
      </c>
      <c r="S134" s="204">
        <f t="shared" si="14"/>
        <v>22862.222345999995</v>
      </c>
    </row>
    <row r="135" spans="1:19" ht="14">
      <c r="A135" s="185" t="s">
        <v>37</v>
      </c>
      <c r="B135" s="182" t="s">
        <v>55</v>
      </c>
      <c r="C135" s="231">
        <v>55051</v>
      </c>
      <c r="D135" s="211">
        <v>0.5</v>
      </c>
      <c r="E135" s="199">
        <v>0.5</v>
      </c>
      <c r="F135" s="211">
        <v>1</v>
      </c>
      <c r="G135" s="203"/>
      <c r="H135" s="203"/>
      <c r="I135" s="203">
        <f>('Footprint Summary'!I72)*Assumptions!E$35</f>
        <v>16277.018516604039</v>
      </c>
      <c r="J135" s="203">
        <f>('Footprint Summary'!J72)*Assumptions!F$35</f>
        <v>16277.018516604039</v>
      </c>
      <c r="K135" s="203">
        <f>('Footprint Summary'!K72)*Assumptions!G$35</f>
        <v>16277.018516604039</v>
      </c>
      <c r="L135" s="203">
        <f>('Footprint Summary'!L72)*Assumptions!H$35</f>
        <v>14663.078759559814</v>
      </c>
      <c r="M135" s="203">
        <f>('Footprint Summary'!M72)*Assumptions!I$35</f>
        <v>13910.033011255475</v>
      </c>
      <c r="N135" s="203">
        <f>('Footprint Summary'!N72)*Assumptions!J$35</f>
        <v>1706.6984112554744</v>
      </c>
      <c r="O135" s="203">
        <f>('Footprint Summary'!O72)*Assumptions!K$35</f>
        <v>1706.6984112554744</v>
      </c>
      <c r="P135" s="203">
        <f>('Footprint Summary'!P72)*Assumptions!L$35</f>
        <v>1706.6984112554744</v>
      </c>
      <c r="Q135" s="203">
        <f>('Footprint Summary'!Q72)*Assumptions!M$35</f>
        <v>1706.6984112554744</v>
      </c>
      <c r="R135" s="203">
        <f>('Footprint Summary'!R72)*Assumptions!N$35</f>
        <v>1706.6984112554744</v>
      </c>
      <c r="S135" s="204">
        <f t="shared" si="14"/>
        <v>85937.659376904805</v>
      </c>
    </row>
    <row r="136" spans="1:19" ht="14">
      <c r="A136" s="185" t="s">
        <v>30</v>
      </c>
      <c r="B136" s="182" t="s">
        <v>56</v>
      </c>
      <c r="C136" s="231">
        <v>39938</v>
      </c>
      <c r="D136" s="211">
        <v>0.5</v>
      </c>
      <c r="E136" s="199"/>
      <c r="F136" s="211">
        <v>1</v>
      </c>
      <c r="G136" s="203"/>
      <c r="H136" s="203"/>
      <c r="I136" s="203">
        <f>('Footprint Summary'!I73)*Assumptions!E$35</f>
        <v>14850.0792654</v>
      </c>
      <c r="J136" s="203">
        <f>('Footprint Summary'!J73)*Assumptions!F$35</f>
        <v>14850.0792654</v>
      </c>
      <c r="K136" s="203">
        <f>('Footprint Summary'!K73)*Assumptions!G$35</f>
        <v>14850.0792654</v>
      </c>
      <c r="L136" s="203">
        <f>('Footprint Summary'!L73)*Assumptions!H$35</f>
        <v>14850.0792654</v>
      </c>
      <c r="M136" s="203">
        <f>('Footprint Summary'!M73)*Assumptions!I$35</f>
        <v>14850.0792654</v>
      </c>
      <c r="N136" s="203">
        <f>('Footprint Summary'!N73)*Assumptions!J$35</f>
        <v>14850.0792654</v>
      </c>
      <c r="O136" s="203">
        <f>('Footprint Summary'!O73)*Assumptions!K$35</f>
        <v>14850.0792654</v>
      </c>
      <c r="P136" s="203">
        <f>('Footprint Summary'!P73)*Assumptions!L$35</f>
        <v>14850.0792654</v>
      </c>
      <c r="Q136" s="203">
        <f>('Footprint Summary'!Q73)*Assumptions!M$35</f>
        <v>14850.0792654</v>
      </c>
      <c r="R136" s="203">
        <f>('Footprint Summary'!R73)*Assumptions!N$35</f>
        <v>14850.0792654</v>
      </c>
      <c r="S136" s="204">
        <f t="shared" si="14"/>
        <v>148500.79265399999</v>
      </c>
    </row>
    <row r="137" spans="1:19" ht="14">
      <c r="A137" s="185" t="s">
        <v>30</v>
      </c>
      <c r="B137" s="182" t="s">
        <v>93</v>
      </c>
      <c r="C137" s="231">
        <v>20404</v>
      </c>
      <c r="D137" s="212">
        <v>0</v>
      </c>
      <c r="E137" s="199">
        <v>1</v>
      </c>
      <c r="F137" s="211">
        <v>1</v>
      </c>
      <c r="G137" s="203"/>
      <c r="H137" s="203"/>
      <c r="I137" s="203">
        <f>('Footprint Summary'!I74)*Assumptions!E$35</f>
        <v>2680.9306979999997</v>
      </c>
      <c r="J137" s="203">
        <f>('Footprint Summary'!J74)*Assumptions!F$35</f>
        <v>2680.9306979999997</v>
      </c>
      <c r="K137" s="203">
        <f>('Footprint Summary'!K74)*Assumptions!G$35</f>
        <v>2680.9306979999997</v>
      </c>
      <c r="L137" s="203">
        <f>('Footprint Summary'!L74)*Assumptions!H$35</f>
        <v>2680.9306979999997</v>
      </c>
      <c r="M137" s="203">
        <f>('Footprint Summary'!M74)*Assumptions!I$35</f>
        <v>2680.9306979999997</v>
      </c>
      <c r="N137" s="203">
        <f>('Footprint Summary'!N74)*Assumptions!J$35</f>
        <v>2680.9306979999997</v>
      </c>
      <c r="O137" s="203">
        <f>('Footprint Summary'!O74)*Assumptions!K$35</f>
        <v>2680.9306979999997</v>
      </c>
      <c r="P137" s="203">
        <f>('Footprint Summary'!P74)*Assumptions!L$35</f>
        <v>2680.9306979999997</v>
      </c>
      <c r="Q137" s="203">
        <f>('Footprint Summary'!Q74)*Assumptions!M$35</f>
        <v>309.52009800000008</v>
      </c>
      <c r="R137" s="203">
        <f>('Footprint Summary'!R74)*Assumptions!N$35</f>
        <v>309.52009800000008</v>
      </c>
      <c r="S137" s="204">
        <f t="shared" si="14"/>
        <v>22066.485779999999</v>
      </c>
    </row>
    <row r="138" spans="1:19" ht="14">
      <c r="A138" s="185" t="s">
        <v>37</v>
      </c>
      <c r="B138" s="182" t="s">
        <v>60</v>
      </c>
      <c r="C138" s="231">
        <v>1422</v>
      </c>
      <c r="D138" s="211">
        <v>1</v>
      </c>
      <c r="E138" s="199"/>
      <c r="F138" s="211">
        <v>1</v>
      </c>
      <c r="G138" s="203"/>
      <c r="H138" s="203"/>
      <c r="I138" s="203">
        <f>('Footprint Summary'!I75)*Assumptions!E$35</f>
        <v>0</v>
      </c>
      <c r="J138" s="203">
        <f>('Footprint Summary'!J75)*Assumptions!F$35</f>
        <v>0</v>
      </c>
      <c r="K138" s="203">
        <f>('Footprint Summary'!K75)*Assumptions!G$35</f>
        <v>0</v>
      </c>
      <c r="L138" s="203">
        <f>('Footprint Summary'!L75)*Assumptions!H$35</f>
        <v>0</v>
      </c>
      <c r="M138" s="203">
        <f>('Footprint Summary'!M75)*Assumptions!I$35</f>
        <v>0</v>
      </c>
      <c r="N138" s="203">
        <f>('Footprint Summary'!N75)*Assumptions!J$35</f>
        <v>0</v>
      </c>
      <c r="O138" s="203">
        <f>('Footprint Summary'!O75)*Assumptions!K$35</f>
        <v>0</v>
      </c>
      <c r="P138" s="203">
        <f>('Footprint Summary'!P75)*Assumptions!L$35</f>
        <v>0</v>
      </c>
      <c r="Q138" s="203">
        <f>('Footprint Summary'!Q75)*Assumptions!M$35</f>
        <v>0</v>
      </c>
      <c r="R138" s="203">
        <f>('Footprint Summary'!R75)*Assumptions!N$35</f>
        <v>0</v>
      </c>
      <c r="S138" s="204">
        <f t="shared" si="14"/>
        <v>0</v>
      </c>
    </row>
    <row r="139" spans="1:19" ht="14">
      <c r="A139" s="185" t="s">
        <v>66</v>
      </c>
      <c r="B139" s="182" t="s">
        <v>170</v>
      </c>
      <c r="C139" s="231">
        <v>17363.8</v>
      </c>
      <c r="D139" s="212">
        <v>0</v>
      </c>
      <c r="E139" s="199"/>
      <c r="F139" s="211">
        <v>1</v>
      </c>
      <c r="G139" s="203"/>
      <c r="H139" s="203"/>
      <c r="I139" s="203">
        <f>('Footprint Summary'!I76)*Assumptions!E$35</f>
        <v>800.40209220000008</v>
      </c>
      <c r="J139" s="203">
        <f>('Footprint Summary'!J76)*Assumptions!F$35</f>
        <v>800.40209220000008</v>
      </c>
      <c r="K139" s="203">
        <f>('Footprint Summary'!K76)*Assumptions!G$35</f>
        <v>800.40209220000008</v>
      </c>
      <c r="L139" s="203">
        <f>('Footprint Summary'!L76)*Assumptions!H$35</f>
        <v>420.11069220000007</v>
      </c>
      <c r="M139" s="203">
        <f>('Footprint Summary'!M76)*Assumptions!I$35</f>
        <v>420.11069220000007</v>
      </c>
      <c r="N139" s="203">
        <f>('Footprint Summary'!N76)*Assumptions!J$35</f>
        <v>420.11069220000007</v>
      </c>
      <c r="O139" s="203">
        <f>('Footprint Summary'!O76)*Assumptions!K$35</f>
        <v>39.819292200000064</v>
      </c>
      <c r="P139" s="203">
        <f>('Footprint Summary'!P76)*Assumptions!L$35</f>
        <v>39.819292200000064</v>
      </c>
      <c r="Q139" s="203">
        <f>('Footprint Summary'!Q76)*Assumptions!M$35</f>
        <v>39.819292200000064</v>
      </c>
      <c r="R139" s="203">
        <f>('Footprint Summary'!R76)*Assumptions!N$35</f>
        <v>39.819292200000064</v>
      </c>
      <c r="S139" s="204">
        <f t="shared" si="14"/>
        <v>3820.8155219999999</v>
      </c>
    </row>
    <row r="140" spans="1:19" ht="14">
      <c r="A140" s="185" t="s">
        <v>48</v>
      </c>
      <c r="B140" s="182" t="s">
        <v>168</v>
      </c>
      <c r="C140" s="231">
        <v>24784</v>
      </c>
      <c r="D140" s="212">
        <v>0</v>
      </c>
      <c r="E140" s="199"/>
      <c r="F140" s="211">
        <v>1</v>
      </c>
      <c r="G140" s="203"/>
      <c r="H140" s="203"/>
      <c r="I140" s="203">
        <f>('Footprint Summary'!I77)*Assumptions!E$35</f>
        <v>0</v>
      </c>
      <c r="J140" s="203">
        <f>('Footprint Summary'!J77)*Assumptions!F$35</f>
        <v>0</v>
      </c>
      <c r="K140" s="203">
        <f>('Footprint Summary'!K77)*Assumptions!G$35</f>
        <v>0</v>
      </c>
      <c r="L140" s="203">
        <f>('Footprint Summary'!L77)*Assumptions!H$35</f>
        <v>0</v>
      </c>
      <c r="M140" s="203">
        <f>('Footprint Summary'!M77)*Assumptions!I$35</f>
        <v>0</v>
      </c>
      <c r="N140" s="203">
        <f>('Footprint Summary'!N77)*Assumptions!J$35</f>
        <v>0</v>
      </c>
      <c r="O140" s="203">
        <f>('Footprint Summary'!O77)*Assumptions!K$35</f>
        <v>0</v>
      </c>
      <c r="P140" s="203">
        <f>('Footprint Summary'!P77)*Assumptions!L$35</f>
        <v>0</v>
      </c>
      <c r="Q140" s="203">
        <f>('Footprint Summary'!Q77)*Assumptions!M$35</f>
        <v>0</v>
      </c>
      <c r="R140" s="203">
        <f>('Footprint Summary'!R77)*Assumptions!N$35</f>
        <v>0</v>
      </c>
      <c r="S140" s="204">
        <f t="shared" si="14"/>
        <v>0</v>
      </c>
    </row>
    <row r="141" spans="1:19" ht="14">
      <c r="A141" s="185" t="s">
        <v>30</v>
      </c>
      <c r="B141" s="182" t="s">
        <v>123</v>
      </c>
      <c r="C141" s="231">
        <v>23555.5</v>
      </c>
      <c r="D141" s="211">
        <v>0</v>
      </c>
      <c r="E141" s="199"/>
      <c r="F141" s="211">
        <v>1</v>
      </c>
      <c r="G141" s="203"/>
      <c r="H141" s="203"/>
      <c r="I141" s="203">
        <f>('Footprint Summary'!I78)*Assumptions!E$35</f>
        <v>7402.5761597999999</v>
      </c>
      <c r="J141" s="203">
        <f>('Footprint Summary'!J78)*Assumptions!F$35</f>
        <v>7402.5761597999999</v>
      </c>
      <c r="K141" s="203">
        <f>('Footprint Summary'!K78)*Assumptions!G$35</f>
        <v>7402.5761597999999</v>
      </c>
      <c r="L141" s="203">
        <f>('Footprint Summary'!L78)*Assumptions!H$35</f>
        <v>7402.5761597999999</v>
      </c>
      <c r="M141" s="203">
        <f>('Footprint Summary'!M78)*Assumptions!I$35</f>
        <v>7402.5761597999999</v>
      </c>
      <c r="N141" s="203">
        <f>('Footprint Summary'!N78)*Assumptions!J$35</f>
        <v>7402.5761597999999</v>
      </c>
      <c r="O141" s="203">
        <f>('Footprint Summary'!O78)*Assumptions!K$35</f>
        <v>7402.5761597999999</v>
      </c>
      <c r="P141" s="203">
        <f>('Footprint Summary'!P78)*Assumptions!L$35</f>
        <v>7402.5761597999999</v>
      </c>
      <c r="Q141" s="203">
        <f>('Footprint Summary'!Q78)*Assumptions!M$35</f>
        <v>7402.5761597999999</v>
      </c>
      <c r="R141" s="203">
        <f>('Footprint Summary'!R78)*Assumptions!N$35</f>
        <v>7402.5761597999999</v>
      </c>
      <c r="S141" s="204">
        <f t="shared" si="14"/>
        <v>74025.761597999997</v>
      </c>
    </row>
    <row r="142" spans="1:19" ht="14">
      <c r="A142" s="185" t="s">
        <v>63</v>
      </c>
      <c r="B142" s="182" t="s">
        <v>64</v>
      </c>
      <c r="C142" s="231">
        <v>61127</v>
      </c>
      <c r="D142" s="211">
        <v>0.5</v>
      </c>
      <c r="E142" s="199"/>
      <c r="F142" s="211"/>
      <c r="G142" s="203"/>
      <c r="H142" s="203"/>
      <c r="I142" s="203">
        <f>('Footprint Summary'!I79)*Assumptions!E$35</f>
        <v>6695.6441284800012</v>
      </c>
      <c r="J142" s="203">
        <f>('Footprint Summary'!J79)*Assumptions!F$35</f>
        <v>6695.6441284800012</v>
      </c>
      <c r="K142" s="203">
        <f>('Footprint Summary'!K79)*Assumptions!G$35</f>
        <v>6695.6441284800012</v>
      </c>
      <c r="L142" s="203">
        <f>('Footprint Summary'!L79)*Assumptions!H$35</f>
        <v>6695.6441284800012</v>
      </c>
      <c r="M142" s="203">
        <f>('Footprint Summary'!M79)*Assumptions!I$35</f>
        <v>1396.2989284800005</v>
      </c>
      <c r="N142" s="203">
        <f>('Footprint Summary'!N79)*Assumptions!J$35</f>
        <v>1396.2989284800005</v>
      </c>
      <c r="O142" s="203">
        <f>('Footprint Summary'!O79)*Assumptions!K$35</f>
        <v>1396.2989284800005</v>
      </c>
      <c r="P142" s="203">
        <f>('Footprint Summary'!P79)*Assumptions!L$35</f>
        <v>1396.2989284800005</v>
      </c>
      <c r="Q142" s="203">
        <f>('Footprint Summary'!Q79)*Assumptions!M$35</f>
        <v>1396.2989284800005</v>
      </c>
      <c r="R142" s="203">
        <f>('Footprint Summary'!R79)*Assumptions!N$35</f>
        <v>1396.2989284800005</v>
      </c>
      <c r="S142" s="204">
        <f t="shared" si="14"/>
        <v>35160.370084800001</v>
      </c>
    </row>
    <row r="143" spans="1:19" ht="14">
      <c r="A143" s="185" t="s">
        <v>66</v>
      </c>
      <c r="B143" s="182" t="s">
        <v>95</v>
      </c>
      <c r="C143" s="231">
        <v>41253</v>
      </c>
      <c r="D143" s="212">
        <v>0</v>
      </c>
      <c r="E143" s="199">
        <v>0.5</v>
      </c>
      <c r="F143" s="211"/>
      <c r="G143" s="203"/>
      <c r="H143" s="203"/>
      <c r="I143" s="203">
        <f>('Footprint Summary'!I80)*Assumptions!E$35</f>
        <v>11801.400600000001</v>
      </c>
      <c r="J143" s="203">
        <f>('Footprint Summary'!J80)*Assumptions!F$35</f>
        <v>11801.400600000001</v>
      </c>
      <c r="K143" s="203">
        <f>('Footprint Summary'!K80)*Assumptions!G$35</f>
        <v>11801.400600000001</v>
      </c>
      <c r="L143" s="203">
        <f>('Footprint Summary'!L80)*Assumptions!H$35</f>
        <v>11801.400600000001</v>
      </c>
      <c r="M143" s="203">
        <f>('Footprint Summary'!M80)*Assumptions!I$35</f>
        <v>11801.400600000001</v>
      </c>
      <c r="N143" s="203">
        <f>('Footprint Summary'!N80)*Assumptions!J$35</f>
        <v>11801.400600000001</v>
      </c>
      <c r="O143" s="203">
        <f>('Footprint Summary'!O80)*Assumptions!K$35</f>
        <v>11801.400600000001</v>
      </c>
      <c r="P143" s="203">
        <f>('Footprint Summary'!P80)*Assumptions!L$35</f>
        <v>11801.400600000001</v>
      </c>
      <c r="Q143" s="203">
        <f>('Footprint Summary'!Q80)*Assumptions!M$35</f>
        <v>11801.400600000001</v>
      </c>
      <c r="R143" s="203">
        <f>('Footprint Summary'!R80)*Assumptions!N$35</f>
        <v>11801.400600000001</v>
      </c>
      <c r="S143" s="204">
        <f t="shared" si="14"/>
        <v>118014.00599999999</v>
      </c>
    </row>
    <row r="144" spans="1:19" ht="14">
      <c r="A144" s="185" t="s">
        <v>66</v>
      </c>
      <c r="B144" s="198" t="s">
        <v>133</v>
      </c>
      <c r="C144" s="231">
        <v>8227.2000000000007</v>
      </c>
      <c r="D144" s="212">
        <v>0</v>
      </c>
      <c r="E144" s="199"/>
      <c r="F144" s="211">
        <v>1</v>
      </c>
      <c r="G144" s="203"/>
      <c r="H144" s="203"/>
      <c r="I144" s="203">
        <f>('Footprint Summary'!I81)*Assumptions!E$35</f>
        <v>0</v>
      </c>
      <c r="J144" s="203">
        <f>('Footprint Summary'!J81)*Assumptions!F$35</f>
        <v>0</v>
      </c>
      <c r="K144" s="203">
        <f>('Footprint Summary'!K81)*Assumptions!G$35</f>
        <v>0</v>
      </c>
      <c r="L144" s="203">
        <f>('Footprint Summary'!L81)*Assumptions!H$35</f>
        <v>0</v>
      </c>
      <c r="M144" s="203">
        <f>('Footprint Summary'!M81)*Assumptions!I$35</f>
        <v>0</v>
      </c>
      <c r="N144" s="203">
        <f>('Footprint Summary'!N81)*Assumptions!J$35</f>
        <v>0</v>
      </c>
      <c r="O144" s="203">
        <f>('Footprint Summary'!O81)*Assumptions!K$35</f>
        <v>0</v>
      </c>
      <c r="P144" s="203">
        <f>('Footprint Summary'!P81)*Assumptions!L$35</f>
        <v>0</v>
      </c>
      <c r="Q144" s="203">
        <f>('Footprint Summary'!Q81)*Assumptions!M$35</f>
        <v>0</v>
      </c>
      <c r="R144" s="203">
        <f>('Footprint Summary'!R81)*Assumptions!N$35</f>
        <v>0</v>
      </c>
      <c r="S144" s="204">
        <f t="shared" si="14"/>
        <v>0</v>
      </c>
    </row>
    <row r="145" spans="1:19" ht="14">
      <c r="A145" s="185" t="s">
        <v>178</v>
      </c>
      <c r="B145" s="198" t="s">
        <v>140</v>
      </c>
      <c r="C145" s="231">
        <v>20861</v>
      </c>
      <c r="D145" s="212">
        <v>1</v>
      </c>
      <c r="E145" s="199"/>
      <c r="F145" s="211">
        <v>0</v>
      </c>
      <c r="G145" s="203"/>
      <c r="H145" s="203"/>
      <c r="I145" s="203">
        <f>('Footprint Summary'!I82)*Assumptions!E$35</f>
        <v>15257.726911799999</v>
      </c>
      <c r="J145" s="203">
        <f>('Footprint Summary'!J82)*Assumptions!F$35</f>
        <v>15257.726911799999</v>
      </c>
      <c r="K145" s="203">
        <f>('Footprint Summary'!K82)*Assumptions!G$35</f>
        <v>15257.726911799999</v>
      </c>
      <c r="L145" s="203">
        <f>('Footprint Summary'!L82)*Assumptions!H$35</f>
        <v>15257.726911799999</v>
      </c>
      <c r="M145" s="203">
        <f>('Footprint Summary'!M82)*Assumptions!I$35</f>
        <v>15257.726911799999</v>
      </c>
      <c r="N145" s="203">
        <f>('Footprint Summary'!N82)*Assumptions!J$35</f>
        <v>15257.726911799999</v>
      </c>
      <c r="O145" s="203">
        <f>('Footprint Summary'!O82)*Assumptions!K$35</f>
        <v>15257.726911799999</v>
      </c>
      <c r="P145" s="203">
        <f>('Footprint Summary'!P82)*Assumptions!L$35</f>
        <v>15257.726911799999</v>
      </c>
      <c r="Q145" s="203">
        <f>('Footprint Summary'!Q82)*Assumptions!M$35</f>
        <v>15257.726911799999</v>
      </c>
      <c r="R145" s="203">
        <f>('Footprint Summary'!R82)*Assumptions!N$35</f>
        <v>15257.726911799999</v>
      </c>
      <c r="S145" s="204">
        <f t="shared" si="14"/>
        <v>152577.269118</v>
      </c>
    </row>
    <row r="146" spans="1:19" ht="14">
      <c r="A146" s="185" t="s">
        <v>37</v>
      </c>
      <c r="B146" s="182" t="s">
        <v>166</v>
      </c>
      <c r="C146" s="231">
        <v>15723.1</v>
      </c>
      <c r="D146" s="212">
        <v>0</v>
      </c>
      <c r="E146" s="199"/>
      <c r="F146" s="211">
        <v>1</v>
      </c>
      <c r="G146" s="203"/>
      <c r="H146" s="203"/>
      <c r="I146" s="203">
        <f>('Footprint Summary'!I83)*Assumptions!E$35</f>
        <v>4877.9050337999997</v>
      </c>
      <c r="J146" s="203">
        <f>('Footprint Summary'!J83)*Assumptions!F$35</f>
        <v>4048.6842738</v>
      </c>
      <c r="K146" s="203">
        <f>('Footprint Summary'!K83)*Assumptions!G$35</f>
        <v>3012.3129137999999</v>
      </c>
      <c r="L146" s="203">
        <f>('Footprint Summary'!L83)*Assumptions!H$35</f>
        <v>3012.3129137999999</v>
      </c>
      <c r="M146" s="203">
        <f>('Footprint Summary'!M83)*Assumptions!I$35</f>
        <v>3012.3129137999999</v>
      </c>
      <c r="N146" s="203">
        <f>('Footprint Summary'!N83)*Assumptions!J$35</f>
        <v>3012.3129137999999</v>
      </c>
      <c r="O146" s="203">
        <f>('Footprint Summary'!O83)*Assumptions!K$35</f>
        <v>2908.7376138</v>
      </c>
      <c r="P146" s="203">
        <f>('Footprint Summary'!P83)*Assumptions!L$35</f>
        <v>2908.7376138</v>
      </c>
      <c r="Q146" s="203">
        <f>('Footprint Summary'!Q83)*Assumptions!M$35</f>
        <v>2908.7376138</v>
      </c>
      <c r="R146" s="203">
        <f>('Footprint Summary'!R83)*Assumptions!N$35</f>
        <v>2908.7376138</v>
      </c>
      <c r="S146" s="204">
        <f t="shared" si="14"/>
        <v>32610.791418000001</v>
      </c>
    </row>
    <row r="147" spans="1:19" ht="14.5" thickBot="1">
      <c r="A147" s="185" t="s">
        <v>66</v>
      </c>
      <c r="B147" s="182" t="s">
        <v>67</v>
      </c>
      <c r="C147" s="231">
        <v>12837.7</v>
      </c>
      <c r="D147" s="211">
        <v>0</v>
      </c>
      <c r="E147" s="199"/>
      <c r="F147" s="211">
        <v>1</v>
      </c>
      <c r="G147" s="203"/>
      <c r="H147" s="203"/>
      <c r="I147" s="203">
        <f>('Footprint Summary'!I84)*Assumptions!E$35</f>
        <v>8944.4166263999996</v>
      </c>
      <c r="J147" s="203">
        <f>('Footprint Summary'!J84)*Assumptions!F$35</f>
        <v>8944.4166263999996</v>
      </c>
      <c r="K147" s="203">
        <f>('Footprint Summary'!K84)*Assumptions!G$35</f>
        <v>8633.9195196000001</v>
      </c>
      <c r="L147" s="203">
        <f>('Footprint Summary'!L84)*Assumptions!H$35</f>
        <v>8633.9195196000001</v>
      </c>
      <c r="M147" s="203">
        <f>('Footprint Summary'!M84)*Assumptions!I$35</f>
        <v>8633.9195196000001</v>
      </c>
      <c r="N147" s="203">
        <f>('Footprint Summary'!N84)*Assumptions!J$35</f>
        <v>8633.9195196000001</v>
      </c>
      <c r="O147" s="203">
        <f>('Footprint Summary'!O84)*Assumptions!K$35</f>
        <v>8633.9195196000001</v>
      </c>
      <c r="P147" s="203">
        <f>('Footprint Summary'!P84)*Assumptions!L$35</f>
        <v>5458.5203394</v>
      </c>
      <c r="Q147" s="203">
        <f>('Footprint Summary'!Q84)*Assumptions!M$35</f>
        <v>5458.5203394</v>
      </c>
      <c r="R147" s="203">
        <f>('Footprint Summary'!R84)*Assumptions!N$35</f>
        <v>5458.5203394</v>
      </c>
      <c r="S147" s="204">
        <f t="shared" si="14"/>
        <v>77433.991869000005</v>
      </c>
    </row>
    <row r="148" spans="1:19" ht="13" thickTop="1">
      <c r="G148" s="261"/>
      <c r="H148" s="261"/>
      <c r="I148" s="261">
        <f t="shared" ref="I148:R148" si="15">SUBTOTAL(109,I125:I147)</f>
        <v>158316.82291328401</v>
      </c>
      <c r="J148" s="261">
        <f t="shared" si="15"/>
        <v>154747.02764603766</v>
      </c>
      <c r="K148" s="261">
        <f t="shared" si="15"/>
        <v>151891.36077923767</v>
      </c>
      <c r="L148" s="261">
        <f t="shared" si="15"/>
        <v>148481.08522219345</v>
      </c>
      <c r="M148" s="261">
        <f t="shared" si="15"/>
        <v>141352.74787388908</v>
      </c>
      <c r="N148" s="261">
        <f t="shared" si="15"/>
        <v>129031.92487388907</v>
      </c>
      <c r="O148" s="261">
        <f t="shared" si="15"/>
        <v>121155.78343862339</v>
      </c>
      <c r="P148" s="261">
        <f t="shared" si="15"/>
        <v>116589.07425842337</v>
      </c>
      <c r="Q148" s="261">
        <f t="shared" si="15"/>
        <v>113104.61565842338</v>
      </c>
      <c r="R148" s="261">
        <f t="shared" si="15"/>
        <v>111321.66770093546</v>
      </c>
      <c r="S148" s="261">
        <f>SUBTOTAL(109,S125:S147)</f>
        <v>1345992.1103649368</v>
      </c>
    </row>
    <row r="149" spans="1:19">
      <c r="H149" s="203"/>
    </row>
    <row r="152" spans="1:19" ht="18" thickBot="1">
      <c r="A152" s="196" t="s">
        <v>238</v>
      </c>
      <c r="G152" s="238" t="s">
        <v>230</v>
      </c>
      <c r="H152" s="289">
        <v>0.05</v>
      </c>
      <c r="I152" s="289">
        <v>0.3</v>
      </c>
      <c r="J152" s="289">
        <v>0.05</v>
      </c>
      <c r="K152" s="289">
        <v>0.05</v>
      </c>
      <c r="L152" s="289">
        <v>0.05</v>
      </c>
      <c r="M152" s="289">
        <v>0.05</v>
      </c>
      <c r="N152" s="289">
        <v>0.05</v>
      </c>
      <c r="O152" s="289">
        <v>0.05</v>
      </c>
      <c r="P152" s="289">
        <v>0.05</v>
      </c>
      <c r="Q152" s="289">
        <v>0.05</v>
      </c>
      <c r="R152" s="289">
        <v>0.05</v>
      </c>
    </row>
    <row r="153" spans="1:19" ht="15" thickTop="1" thickBot="1">
      <c r="A153" s="184" t="s">
        <v>6</v>
      </c>
      <c r="B153" s="184" t="s">
        <v>7</v>
      </c>
      <c r="C153" s="184" t="s">
        <v>9</v>
      </c>
      <c r="D153" s="184" t="s">
        <v>10</v>
      </c>
      <c r="E153" s="184" t="s">
        <v>11</v>
      </c>
      <c r="F153" s="184" t="s">
        <v>12</v>
      </c>
      <c r="G153" s="184" t="s">
        <v>188</v>
      </c>
      <c r="H153" s="184" t="s">
        <v>189</v>
      </c>
      <c r="I153" s="184" t="s">
        <v>190</v>
      </c>
      <c r="J153" s="184" t="s">
        <v>191</v>
      </c>
      <c r="K153" s="184" t="s">
        <v>192</v>
      </c>
      <c r="L153" s="184" t="s">
        <v>193</v>
      </c>
      <c r="M153" s="184" t="s">
        <v>194</v>
      </c>
      <c r="N153" s="184" t="s">
        <v>195</v>
      </c>
      <c r="O153" s="184" t="s">
        <v>196</v>
      </c>
      <c r="P153" s="184" t="s">
        <v>197</v>
      </c>
      <c r="Q153" s="184" t="s">
        <v>198</v>
      </c>
      <c r="R153" s="184" t="s">
        <v>199</v>
      </c>
      <c r="S153" s="200" t="s">
        <v>231</v>
      </c>
    </row>
    <row r="154" spans="1:19" ht="14.5" thickTop="1">
      <c r="A154" s="185" t="s">
        <v>30</v>
      </c>
      <c r="B154" s="198" t="s">
        <v>31</v>
      </c>
      <c r="C154" s="228">
        <v>29166</v>
      </c>
      <c r="D154" s="211">
        <v>1</v>
      </c>
      <c r="E154" s="199"/>
      <c r="F154" s="211">
        <v>1</v>
      </c>
      <c r="G154" s="308">
        <f>'Historic Utility Costs'!D35</f>
        <v>469437.38000000006</v>
      </c>
      <c r="H154" s="308">
        <f>'Footprint Summary'!$G4*Assumptions!D41</f>
        <v>582184.7376909951</v>
      </c>
      <c r="I154" s="308">
        <f>'Footprint Summary'!$G4*Assumptions!E41</f>
        <v>602561.20351017988</v>
      </c>
      <c r="J154" s="308">
        <f>'Footprint Summary'!$G4*Assumptions!F41</f>
        <v>623650.84563303611</v>
      </c>
      <c r="K154" s="308">
        <f>'Footprint Summary'!$G4*Assumptions!G41</f>
        <v>645478.62523019232</v>
      </c>
      <c r="L154" s="308">
        <f>'Footprint Summary'!$G4*Assumptions!H41</f>
        <v>668070.37711324904</v>
      </c>
      <c r="M154" s="308">
        <f>'Footprint Summary'!$G4*Assumptions!I41</f>
        <v>691452.84031221271</v>
      </c>
      <c r="N154" s="308">
        <f>'Footprint Summary'!$G4*Assumptions!J41</f>
        <v>715653.68972314009</v>
      </c>
      <c r="O154" s="308">
        <f>'Footprint Summary'!$G4*Assumptions!K41</f>
        <v>858784.42766776797</v>
      </c>
      <c r="P154" s="308">
        <f>'Footprint Summary'!$G4*Assumptions!L41</f>
        <v>888841.88263613987</v>
      </c>
      <c r="Q154" s="308">
        <f>'Footprint Summary'!$G4*Assumptions!M41</f>
        <v>919951.3485284046</v>
      </c>
      <c r="R154" s="308">
        <f>'Footprint Summary'!$G4*Assumptions!N41</f>
        <v>952149.64572689869</v>
      </c>
      <c r="S154" s="314">
        <f>SUM(I154:R154)</f>
        <v>7566594.8860812215</v>
      </c>
    </row>
    <row r="155" spans="1:19" ht="14">
      <c r="A155" s="185" t="s">
        <v>37</v>
      </c>
      <c r="B155" s="182" t="s">
        <v>38</v>
      </c>
      <c r="C155" s="228">
        <v>62987</v>
      </c>
      <c r="D155" s="211">
        <v>0.5</v>
      </c>
      <c r="E155" s="199"/>
      <c r="F155" s="211">
        <v>1</v>
      </c>
      <c r="G155" s="308">
        <f>'Historic Utility Costs'!D36</f>
        <v>771830.21999999986</v>
      </c>
      <c r="H155" s="308">
        <f>'Footprint Summary'!$G5*Assumptions!D42</f>
        <v>986451.15031854413</v>
      </c>
      <c r="I155" s="308">
        <f>'Footprint Summary'!$G5*Assumptions!E42</f>
        <v>1020976.9405796931</v>
      </c>
      <c r="J155" s="308">
        <f>'Footprint Summary'!$G5*Assumptions!F42</f>
        <v>1056711.1334999823</v>
      </c>
      <c r="K155" s="308">
        <f>'Footprint Summary'!$G5*Assumptions!G42</f>
        <v>1093696.0231724817</v>
      </c>
      <c r="L155" s="308">
        <f>'Footprint Summary'!$G5*Assumptions!H42</f>
        <v>1131975.3839835185</v>
      </c>
      <c r="M155" s="308">
        <f>'Footprint Summary'!$G5*Assumptions!I42</f>
        <v>1171594.5224229414</v>
      </c>
      <c r="N155" s="308">
        <f>'Footprint Summary'!$G5*Assumptions!J42</f>
        <v>1212600.3307077442</v>
      </c>
      <c r="O155" s="308">
        <f>'Footprint Summary'!$G5*Assumptions!K42</f>
        <v>1455120.396849293</v>
      </c>
      <c r="P155" s="308">
        <f>'Footprint Summary'!$G5*Assumptions!L42</f>
        <v>1506049.6107390181</v>
      </c>
      <c r="Q155" s="308">
        <f>'Footprint Summary'!$G5*Assumptions!M42</f>
        <v>1558761.3471148836</v>
      </c>
      <c r="R155" s="308">
        <f>'Footprint Summary'!$G5*Assumptions!N42</f>
        <v>1613317.9942639044</v>
      </c>
      <c r="S155" s="314">
        <f t="shared" ref="S155:S176" si="16">SUM(I155:R155)</f>
        <v>12820803.68333346</v>
      </c>
    </row>
    <row r="156" spans="1:19" ht="14">
      <c r="A156" s="185" t="s">
        <v>30</v>
      </c>
      <c r="B156" s="182" t="s">
        <v>42</v>
      </c>
      <c r="C156" s="231">
        <v>42132</v>
      </c>
      <c r="D156" s="211">
        <v>0.5</v>
      </c>
      <c r="E156" s="199">
        <v>0.25</v>
      </c>
      <c r="F156" s="211">
        <v>1</v>
      </c>
      <c r="G156" s="308">
        <f>'Historic Utility Costs'!D37</f>
        <v>624255.87</v>
      </c>
      <c r="H156" s="308">
        <f>'Footprint Summary'!$G6*Assumptions!D43</f>
        <v>764388.50104981987</v>
      </c>
      <c r="I156" s="308">
        <f>'Footprint Summary'!$G6*Assumptions!E43</f>
        <v>791142.0985865636</v>
      </c>
      <c r="J156" s="308">
        <f>'Footprint Summary'!$G6*Assumptions!F43</f>
        <v>818832.07203709334</v>
      </c>
      <c r="K156" s="308">
        <f>'Footprint Summary'!$G6*Assumptions!G43</f>
        <v>847491.19455839158</v>
      </c>
      <c r="L156" s="308">
        <f>'Footprint Summary'!$G6*Assumptions!H43</f>
        <v>877153.38636793522</v>
      </c>
      <c r="M156" s="308">
        <f>'Footprint Summary'!$G6*Assumptions!I43</f>
        <v>907853.75489081279</v>
      </c>
      <c r="N156" s="308">
        <f>'Footprint Summary'!$G6*Assumptions!J43</f>
        <v>939628.63631199114</v>
      </c>
      <c r="O156" s="308">
        <f>'Footprint Summary'!$G6*Assumptions!K43</f>
        <v>1127554.3635743894</v>
      </c>
      <c r="P156" s="308">
        <f>'Footprint Summary'!$G6*Assumptions!L43</f>
        <v>1167018.7662994929</v>
      </c>
      <c r="Q156" s="308">
        <f>'Footprint Summary'!$G6*Assumptions!M43</f>
        <v>1207864.423119975</v>
      </c>
      <c r="R156" s="308">
        <f>'Footprint Summary'!$G6*Assumptions!N43</f>
        <v>1250139.6779291742</v>
      </c>
      <c r="S156" s="314">
        <f t="shared" si="16"/>
        <v>9934678.3736758195</v>
      </c>
    </row>
    <row r="157" spans="1:19" ht="14">
      <c r="A157" s="185" t="s">
        <v>30</v>
      </c>
      <c r="B157" s="182" t="s">
        <v>43</v>
      </c>
      <c r="C157" s="231">
        <v>12509</v>
      </c>
      <c r="D157" s="211">
        <v>1</v>
      </c>
      <c r="E157" s="199"/>
      <c r="F157" s="211">
        <v>1</v>
      </c>
      <c r="G157" s="308">
        <f>'Historic Utility Costs'!D38</f>
        <v>151295.30000000002</v>
      </c>
      <c r="H157" s="308">
        <f>'Footprint Summary'!$G7*Assumptions!D44</f>
        <v>184961.71031574765</v>
      </c>
      <c r="I157" s="308">
        <f>'Footprint Summary'!$G7*Assumptions!E44</f>
        <v>191435.37017679878</v>
      </c>
      <c r="J157" s="308">
        <f>'Footprint Summary'!$G7*Assumptions!F44</f>
        <v>198135.60813298676</v>
      </c>
      <c r="K157" s="308">
        <f>'Footprint Summary'!$G7*Assumptions!G44</f>
        <v>205070.35441764127</v>
      </c>
      <c r="L157" s="308">
        <f>'Footprint Summary'!$G7*Assumptions!H44</f>
        <v>212247.8168222587</v>
      </c>
      <c r="M157" s="308">
        <f>'Footprint Summary'!$G7*Assumptions!I44</f>
        <v>219676.49041103775</v>
      </c>
      <c r="N157" s="308">
        <f>'Footprint Summary'!$G7*Assumptions!J44</f>
        <v>227365.16757542407</v>
      </c>
      <c r="O157" s="308">
        <f>'Footprint Summary'!$G7*Assumptions!K44</f>
        <v>272838.2010905089</v>
      </c>
      <c r="P157" s="308">
        <f>'Footprint Summary'!$G7*Assumptions!L44</f>
        <v>282387.53812867671</v>
      </c>
      <c r="Q157" s="308">
        <f>'Footprint Summary'!$G7*Assumptions!M44</f>
        <v>292271.10196318035</v>
      </c>
      <c r="R157" s="308">
        <f>'Footprint Summary'!$G7*Assumptions!N44</f>
        <v>302500.59053189162</v>
      </c>
      <c r="S157" s="314">
        <f t="shared" si="16"/>
        <v>2403928.2392504052</v>
      </c>
    </row>
    <row r="158" spans="1:19" ht="14">
      <c r="A158" s="185" t="s">
        <v>30</v>
      </c>
      <c r="B158" s="182" t="s">
        <v>46</v>
      </c>
      <c r="C158" s="231">
        <v>27263</v>
      </c>
      <c r="D158" s="211">
        <v>1</v>
      </c>
      <c r="E158" s="199"/>
      <c r="F158" s="211">
        <v>1</v>
      </c>
      <c r="G158" s="308">
        <f>'Historic Utility Costs'!D39</f>
        <v>297195.53999999998</v>
      </c>
      <c r="H158" s="308">
        <f>'Footprint Summary'!$G8*Assumptions!D45</f>
        <v>418666.11844491982</v>
      </c>
      <c r="I158" s="308">
        <f>'Footprint Summary'!$G8*Assumptions!E45</f>
        <v>433319.43259049201</v>
      </c>
      <c r="J158" s="308">
        <f>'Footprint Summary'!$G8*Assumptions!F45</f>
        <v>448485.6127311592</v>
      </c>
      <c r="K158" s="308">
        <f>'Footprint Summary'!$G8*Assumptions!G45</f>
        <v>464182.60917674971</v>
      </c>
      <c r="L158" s="308">
        <f>'Footprint Summary'!$G8*Assumptions!H45</f>
        <v>480429.00049793592</v>
      </c>
      <c r="M158" s="308">
        <f>'Footprint Summary'!$G8*Assumptions!I45</f>
        <v>497244.01551536366</v>
      </c>
      <c r="N158" s="308">
        <f>'Footprint Summary'!$G8*Assumptions!J45</f>
        <v>514647.55605840136</v>
      </c>
      <c r="O158" s="308">
        <f>'Footprint Summary'!$G8*Assumptions!K45</f>
        <v>617577.06727008172</v>
      </c>
      <c r="P158" s="308">
        <f>'Footprint Summary'!$G8*Assumptions!L45</f>
        <v>639192.26462453441</v>
      </c>
      <c r="Q158" s="308">
        <f>'Footprint Summary'!$G8*Assumptions!M45</f>
        <v>661563.99388639315</v>
      </c>
      <c r="R158" s="308">
        <f>'Footprint Summary'!$G8*Assumptions!N45</f>
        <v>684718.73367241689</v>
      </c>
      <c r="S158" s="314">
        <f t="shared" si="16"/>
        <v>5441360.2860235283</v>
      </c>
    </row>
    <row r="159" spans="1:19" ht="14">
      <c r="A159" s="185" t="s">
        <v>30</v>
      </c>
      <c r="B159" s="182" t="s">
        <v>47</v>
      </c>
      <c r="C159" s="231">
        <v>39057</v>
      </c>
      <c r="D159" s="211">
        <v>1</v>
      </c>
      <c r="E159" s="199"/>
      <c r="F159" s="211">
        <v>1</v>
      </c>
      <c r="G159" s="308">
        <f>'Historic Utility Costs'!D40</f>
        <v>494912.41000000003</v>
      </c>
      <c r="H159" s="308">
        <f>'Footprint Summary'!$G9*Assumptions!D46</f>
        <v>502816.28787558601</v>
      </c>
      <c r="I159" s="308">
        <f>'Footprint Summary'!$G9*Assumptions!E46</f>
        <v>520414.85795123148</v>
      </c>
      <c r="J159" s="308">
        <f>'Footprint Summary'!$G9*Assumptions!F46</f>
        <v>538629.37797952455</v>
      </c>
      <c r="K159" s="308">
        <f>'Footprint Summary'!$G9*Assumptions!G46</f>
        <v>557481.40620880784</v>
      </c>
      <c r="L159" s="308">
        <f>'Footprint Summary'!$G9*Assumptions!H46</f>
        <v>576993.25542611605</v>
      </c>
      <c r="M159" s="308">
        <f>'Footprint Summary'!$G9*Assumptions!I46</f>
        <v>597188.01936603</v>
      </c>
      <c r="N159" s="308">
        <f>'Footprint Summary'!$G9*Assumptions!J46</f>
        <v>618089.60004384106</v>
      </c>
      <c r="O159" s="308">
        <f>'Footprint Summary'!$G9*Assumptions!K46</f>
        <v>741707.52005260927</v>
      </c>
      <c r="P159" s="308">
        <f>'Footprint Summary'!$G9*Assumptions!L46</f>
        <v>767667.28325445054</v>
      </c>
      <c r="Q159" s="308">
        <f>'Footprint Summary'!$G9*Assumptions!M46</f>
        <v>794535.63816835626</v>
      </c>
      <c r="R159" s="308">
        <f>'Footprint Summary'!$G9*Assumptions!N46</f>
        <v>822344.38550424855</v>
      </c>
      <c r="S159" s="314">
        <f t="shared" si="16"/>
        <v>6535051.3439552151</v>
      </c>
    </row>
    <row r="160" spans="1:19" ht="14">
      <c r="A160" s="185" t="s">
        <v>48</v>
      </c>
      <c r="B160" s="182" t="s">
        <v>49</v>
      </c>
      <c r="C160" s="231">
        <v>24754</v>
      </c>
      <c r="D160" s="211">
        <v>1</v>
      </c>
      <c r="E160" s="199"/>
      <c r="F160" s="211">
        <v>1</v>
      </c>
      <c r="G160" s="308">
        <f>'Historic Utility Costs'!D41</f>
        <v>297705.61000000004</v>
      </c>
      <c r="H160" s="308">
        <f>'Footprint Summary'!$G10*Assumptions!D47</f>
        <v>394193.87325785292</v>
      </c>
      <c r="I160" s="308">
        <f>'Footprint Summary'!$G10*Assumptions!E47</f>
        <v>407990.65882187773</v>
      </c>
      <c r="J160" s="308">
        <f>'Footprint Summary'!$G10*Assumptions!F47</f>
        <v>422270.33188064338</v>
      </c>
      <c r="K160" s="308">
        <f>'Footprint Summary'!$G10*Assumptions!G47</f>
        <v>437049.79349646589</v>
      </c>
      <c r="L160" s="308">
        <f>'Footprint Summary'!$G10*Assumptions!H47</f>
        <v>452346.53626884217</v>
      </c>
      <c r="M160" s="308">
        <f>'Footprint Summary'!$G10*Assumptions!I47</f>
        <v>468178.66503825161</v>
      </c>
      <c r="N160" s="308">
        <f>'Footprint Summary'!$G10*Assumptions!J47</f>
        <v>484564.91831459041</v>
      </c>
      <c r="O160" s="308">
        <f>'Footprint Summary'!$G10*Assumptions!K47</f>
        <v>581477.90197750845</v>
      </c>
      <c r="P160" s="308">
        <f>'Footprint Summary'!$G10*Assumptions!L47</f>
        <v>601829.62854672119</v>
      </c>
      <c r="Q160" s="308">
        <f>'Footprint Summary'!$G10*Assumptions!M47</f>
        <v>622893.66554585635</v>
      </c>
      <c r="R160" s="308">
        <f>'Footprint Summary'!$G10*Assumptions!N47</f>
        <v>644694.94383996131</v>
      </c>
      <c r="S160" s="314">
        <f t="shared" si="16"/>
        <v>5123297.043730719</v>
      </c>
    </row>
    <row r="161" spans="1:19" ht="14">
      <c r="A161" s="185" t="s">
        <v>30</v>
      </c>
      <c r="B161" s="182" t="s">
        <v>92</v>
      </c>
      <c r="C161" s="231">
        <v>26819</v>
      </c>
      <c r="D161" s="212">
        <v>0</v>
      </c>
      <c r="E161" s="199">
        <v>1</v>
      </c>
      <c r="F161" s="211">
        <v>1</v>
      </c>
      <c r="G161" s="308">
        <f>'Historic Utility Costs'!D42</f>
        <v>340263.13999999996</v>
      </c>
      <c r="H161" s="308">
        <f>'Footprint Summary'!$G11*Assumptions!D48</f>
        <v>435292.66007713677</v>
      </c>
      <c r="I161" s="308">
        <f>'Footprint Summary'!$G11*Assumptions!E48</f>
        <v>450527.90317983646</v>
      </c>
      <c r="J161" s="308">
        <f>'Footprint Summary'!$G11*Assumptions!F48</f>
        <v>466296.37979113072</v>
      </c>
      <c r="K161" s="308">
        <f>'Footprint Summary'!$G11*Assumptions!G48</f>
        <v>482616.75308382022</v>
      </c>
      <c r="L161" s="308">
        <f>'Footprint Summary'!$G11*Assumptions!H48</f>
        <v>499508.33944175392</v>
      </c>
      <c r="M161" s="308">
        <f>'Footprint Summary'!$G11*Assumptions!I48</f>
        <v>516991.13132221525</v>
      </c>
      <c r="N161" s="308">
        <f>'Footprint Summary'!$G11*Assumptions!J48</f>
        <v>535085.82091849274</v>
      </c>
      <c r="O161" s="308">
        <f>'Footprint Summary'!$G11*Assumptions!K48</f>
        <v>642102.98510219133</v>
      </c>
      <c r="P161" s="308">
        <f>'Footprint Summary'!$G11*Assumptions!L48</f>
        <v>664576.5895807679</v>
      </c>
      <c r="Q161" s="308">
        <f>'Footprint Summary'!$G11*Assumptions!M48</f>
        <v>687836.7702160948</v>
      </c>
      <c r="R161" s="308">
        <f>'Footprint Summary'!$G11*Assumptions!N48</f>
        <v>711911.05717365805</v>
      </c>
      <c r="S161" s="314">
        <f t="shared" si="16"/>
        <v>5657453.7298099622</v>
      </c>
    </row>
    <row r="162" spans="1:19" ht="14">
      <c r="A162" s="185" t="s">
        <v>30</v>
      </c>
      <c r="B162" s="182" t="s">
        <v>52</v>
      </c>
      <c r="C162" s="231">
        <v>28396</v>
      </c>
      <c r="D162" s="211">
        <v>0.75</v>
      </c>
      <c r="E162" s="199"/>
      <c r="F162" s="211">
        <v>1</v>
      </c>
      <c r="G162" s="308">
        <f>'Historic Utility Costs'!D43</f>
        <v>340315.33999999997</v>
      </c>
      <c r="H162" s="308">
        <f>'Footprint Summary'!$G12*Assumptions!D49</f>
        <v>335408.21521375299</v>
      </c>
      <c r="I162" s="308">
        <f>'Footprint Summary'!$G12*Assumptions!E49</f>
        <v>347147.5027462343</v>
      </c>
      <c r="J162" s="308">
        <f>'Footprint Summary'!$G12*Assumptions!F49</f>
        <v>359297.66534235253</v>
      </c>
      <c r="K162" s="308">
        <f>'Footprint Summary'!$G12*Assumptions!G49</f>
        <v>371873.08362933481</v>
      </c>
      <c r="L162" s="308">
        <f>'Footprint Summary'!$G12*Assumptions!H49</f>
        <v>384888.64155636152</v>
      </c>
      <c r="M162" s="308">
        <f>'Footprint Summary'!$G12*Assumptions!I49</f>
        <v>398359.74401083414</v>
      </c>
      <c r="N162" s="308">
        <f>'Footprint Summary'!$G12*Assumptions!J49</f>
        <v>412302.33505121327</v>
      </c>
      <c r="O162" s="308">
        <f>'Footprint Summary'!$G12*Assumptions!K49</f>
        <v>494762.80206145596</v>
      </c>
      <c r="P162" s="308">
        <f>'Footprint Summary'!$G12*Assumptions!L49</f>
        <v>512079.5001336069</v>
      </c>
      <c r="Q162" s="308">
        <f>'Footprint Summary'!$G12*Assumptions!M49</f>
        <v>530002.2826382831</v>
      </c>
      <c r="R162" s="308">
        <f>'Footprint Summary'!$G12*Assumptions!N49</f>
        <v>548552.36253062298</v>
      </c>
      <c r="S162" s="314">
        <f t="shared" si="16"/>
        <v>4359265.9197002994</v>
      </c>
    </row>
    <row r="163" spans="1:19" ht="14">
      <c r="A163" s="185" t="s">
        <v>30</v>
      </c>
      <c r="B163" s="182" t="s">
        <v>54</v>
      </c>
      <c r="C163" s="231">
        <v>37558</v>
      </c>
      <c r="D163" s="211">
        <v>0.75</v>
      </c>
      <c r="E163" s="199"/>
      <c r="F163" s="211">
        <v>1</v>
      </c>
      <c r="G163" s="308">
        <f>'Historic Utility Costs'!D44</f>
        <v>393314.14919999999</v>
      </c>
      <c r="H163" s="308">
        <f>'Footprint Summary'!$G13*Assumptions!D50</f>
        <v>505211.49021548365</v>
      </c>
      <c r="I163" s="308">
        <f>'Footprint Summary'!$G13*Assumptions!E50</f>
        <v>522893.89237302553</v>
      </c>
      <c r="J163" s="308">
        <f>'Footprint Summary'!$G13*Assumptions!F50</f>
        <v>541195.1786060814</v>
      </c>
      <c r="K163" s="308">
        <f>'Footprint Summary'!$G13*Assumptions!G50</f>
        <v>560137.00985729415</v>
      </c>
      <c r="L163" s="308">
        <f>'Footprint Summary'!$G13*Assumptions!H50</f>
        <v>579741.80520229938</v>
      </c>
      <c r="M163" s="308">
        <f>'Footprint Summary'!$G13*Assumptions!I50</f>
        <v>600032.7683843798</v>
      </c>
      <c r="N163" s="308">
        <f>'Footprint Summary'!$G13*Assumptions!J50</f>
        <v>621033.91527783312</v>
      </c>
      <c r="O163" s="308">
        <f>'Footprint Summary'!$G13*Assumptions!K50</f>
        <v>745240.69833339972</v>
      </c>
      <c r="P163" s="308">
        <f>'Footprint Summary'!$G13*Assumptions!L50</f>
        <v>771324.12277506874</v>
      </c>
      <c r="Q163" s="308">
        <f>'Footprint Summary'!$G13*Assumptions!M50</f>
        <v>798320.46707219596</v>
      </c>
      <c r="R163" s="308">
        <f>'Footprint Summary'!$G13*Assumptions!N50</f>
        <v>826261.68341972283</v>
      </c>
      <c r="S163" s="314">
        <f t="shared" si="16"/>
        <v>6566181.5413013017</v>
      </c>
    </row>
    <row r="164" spans="1:19" ht="14">
      <c r="A164" s="185" t="s">
        <v>37</v>
      </c>
      <c r="B164" s="182" t="s">
        <v>55</v>
      </c>
      <c r="C164" s="231">
        <v>55051</v>
      </c>
      <c r="D164" s="211">
        <v>0.5</v>
      </c>
      <c r="E164" s="199">
        <v>0.5</v>
      </c>
      <c r="F164" s="211">
        <v>1</v>
      </c>
      <c r="G164" s="308">
        <f>'Historic Utility Costs'!D45</f>
        <v>439770.21999999991</v>
      </c>
      <c r="H164" s="308">
        <f>'Footprint Summary'!$G14*Assumptions!D51</f>
        <v>508301.05232351529</v>
      </c>
      <c r="I164" s="308">
        <f>'Footprint Summary'!$G14*Assumptions!E51</f>
        <v>526091.58915483835</v>
      </c>
      <c r="J164" s="308">
        <f>'Footprint Summary'!$G14*Assumptions!F51</f>
        <v>544504.79477525759</v>
      </c>
      <c r="K164" s="308">
        <f>'Footprint Summary'!$G14*Assumptions!G51</f>
        <v>563562.46259239153</v>
      </c>
      <c r="L164" s="308">
        <f>'Footprint Summary'!$G14*Assumptions!H51</f>
        <v>583287.14878312522</v>
      </c>
      <c r="M164" s="308">
        <f>'Footprint Summary'!$G14*Assumptions!I51</f>
        <v>603702.19899053453</v>
      </c>
      <c r="N164" s="308">
        <f>'Footprint Summary'!$G14*Assumptions!J51</f>
        <v>624831.77595520322</v>
      </c>
      <c r="O164" s="308">
        <f>'Footprint Summary'!$G14*Assumptions!K51</f>
        <v>749798.13114624389</v>
      </c>
      <c r="P164" s="308">
        <f>'Footprint Summary'!$G14*Assumptions!L51</f>
        <v>776041.06573636236</v>
      </c>
      <c r="Q164" s="308">
        <f>'Footprint Summary'!$G14*Assumptions!M51</f>
        <v>803202.503037135</v>
      </c>
      <c r="R164" s="308">
        <f>'Footprint Summary'!$G14*Assumptions!N51</f>
        <v>831314.59064343467</v>
      </c>
      <c r="S164" s="314">
        <f t="shared" si="16"/>
        <v>6606336.260814527</v>
      </c>
    </row>
    <row r="165" spans="1:19" ht="14">
      <c r="A165" s="185" t="s">
        <v>30</v>
      </c>
      <c r="B165" s="182" t="s">
        <v>56</v>
      </c>
      <c r="C165" s="231">
        <v>39938</v>
      </c>
      <c r="D165" s="211">
        <v>0.5</v>
      </c>
      <c r="E165" s="199"/>
      <c r="F165" s="211">
        <v>1</v>
      </c>
      <c r="G165" s="308">
        <f>'Historic Utility Costs'!D46</f>
        <v>539846.99</v>
      </c>
      <c r="H165" s="308">
        <f>'Footprint Summary'!$G15*Assumptions!D52</f>
        <v>704242.67718202271</v>
      </c>
      <c r="I165" s="308">
        <f>'Footprint Summary'!$G15*Assumptions!E52</f>
        <v>728891.1708833935</v>
      </c>
      <c r="J165" s="308">
        <f>'Footprint Summary'!$G15*Assumptions!F52</f>
        <v>754402.3618643122</v>
      </c>
      <c r="K165" s="308">
        <f>'Footprint Summary'!$G15*Assumptions!G52</f>
        <v>780806.44452956296</v>
      </c>
      <c r="L165" s="308">
        <f>'Footprint Summary'!$G15*Assumptions!H52</f>
        <v>808134.67008809769</v>
      </c>
      <c r="M165" s="308">
        <f>'Footprint Summary'!$G15*Assumptions!I52</f>
        <v>836419.3835411811</v>
      </c>
      <c r="N165" s="308">
        <f>'Footprint Summary'!$G15*Assumptions!J52</f>
        <v>865694.06196512247</v>
      </c>
      <c r="O165" s="308">
        <f>'Footprint Summary'!$G15*Assumptions!K52</f>
        <v>1038832.8743581469</v>
      </c>
      <c r="P165" s="308">
        <f>'Footprint Summary'!$G15*Assumptions!L52</f>
        <v>1075192.024960682</v>
      </c>
      <c r="Q165" s="308">
        <f>'Footprint Summary'!$G15*Assumptions!M52</f>
        <v>1112823.7458343059</v>
      </c>
      <c r="R165" s="308">
        <f>'Footprint Summary'!$G15*Assumptions!N52</f>
        <v>1151772.5769385064</v>
      </c>
      <c r="S165" s="314">
        <f t="shared" si="16"/>
        <v>9152969.314963311</v>
      </c>
    </row>
    <row r="166" spans="1:19" ht="14">
      <c r="A166" s="185" t="s">
        <v>30</v>
      </c>
      <c r="B166" s="182" t="s">
        <v>93</v>
      </c>
      <c r="C166" s="231">
        <v>20404</v>
      </c>
      <c r="D166" s="212">
        <v>0</v>
      </c>
      <c r="E166" s="199">
        <v>1</v>
      </c>
      <c r="F166" s="211">
        <v>1</v>
      </c>
      <c r="G166" s="308">
        <f>'Historic Utility Costs'!D47</f>
        <v>246004.16</v>
      </c>
      <c r="H166" s="308">
        <f>'Footprint Summary'!$G16*Assumptions!D53</f>
        <v>314486.79780902219</v>
      </c>
      <c r="I166" s="308">
        <f>'Footprint Summary'!$G16*Assumptions!E53</f>
        <v>325493.83573233796</v>
      </c>
      <c r="J166" s="308">
        <f>'Footprint Summary'!$G16*Assumptions!F53</f>
        <v>336886.11998296971</v>
      </c>
      <c r="K166" s="308">
        <f>'Footprint Summary'!$G16*Assumptions!G53</f>
        <v>348677.13418237364</v>
      </c>
      <c r="L166" s="308">
        <f>'Footprint Summary'!$G16*Assumptions!H53</f>
        <v>360880.83387875673</v>
      </c>
      <c r="M166" s="308">
        <f>'Footprint Summary'!$G16*Assumptions!I53</f>
        <v>373511.66306451318</v>
      </c>
      <c r="N166" s="308">
        <f>'Footprint Summary'!$G16*Assumptions!J53</f>
        <v>386584.5712717711</v>
      </c>
      <c r="O166" s="308">
        <f>'Footprint Summary'!$G16*Assumptions!K53</f>
        <v>463901.48552612535</v>
      </c>
      <c r="P166" s="308">
        <f>'Footprint Summary'!$G16*Assumptions!L53</f>
        <v>480138.03751953971</v>
      </c>
      <c r="Q166" s="308">
        <f>'Footprint Summary'!$G16*Assumptions!M53</f>
        <v>496942.86883272353</v>
      </c>
      <c r="R166" s="308">
        <f>'Footprint Summary'!$G16*Assumptions!N53</f>
        <v>514335.86924186884</v>
      </c>
      <c r="S166" s="314">
        <f t="shared" si="16"/>
        <v>4087352.4192329803</v>
      </c>
    </row>
    <row r="167" spans="1:19" ht="14">
      <c r="A167" s="185" t="s">
        <v>37</v>
      </c>
      <c r="B167" s="182" t="s">
        <v>60</v>
      </c>
      <c r="C167" s="231">
        <v>1422</v>
      </c>
      <c r="D167" s="211">
        <v>1</v>
      </c>
      <c r="E167" s="199"/>
      <c r="F167" s="211">
        <v>1</v>
      </c>
      <c r="G167" s="308">
        <f>'Historic Utility Costs'!D48</f>
        <v>14074.810000000001</v>
      </c>
      <c r="H167" s="308">
        <f>'Footprint Summary'!$G17*Assumptions!D54</f>
        <v>0</v>
      </c>
      <c r="I167" s="308">
        <f>'Footprint Summary'!$G17*Assumptions!E54</f>
        <v>0</v>
      </c>
      <c r="J167" s="308">
        <f>'Footprint Summary'!$G17*Assumptions!F54</f>
        <v>0</v>
      </c>
      <c r="K167" s="308">
        <f>'Footprint Summary'!$G17*Assumptions!G54</f>
        <v>0</v>
      </c>
      <c r="L167" s="308">
        <f>'Footprint Summary'!$G17*Assumptions!H54</f>
        <v>0</v>
      </c>
      <c r="M167" s="308">
        <f>'Footprint Summary'!$G17*Assumptions!I54</f>
        <v>0</v>
      </c>
      <c r="N167" s="308">
        <f>'Footprint Summary'!$G17*Assumptions!J54</f>
        <v>0</v>
      </c>
      <c r="O167" s="308">
        <f>'Footprint Summary'!$G17*Assumptions!K54</f>
        <v>0</v>
      </c>
      <c r="P167" s="308">
        <f>'Footprint Summary'!$G17*Assumptions!L54</f>
        <v>0</v>
      </c>
      <c r="Q167" s="308">
        <f>'Footprint Summary'!$G17*Assumptions!M54</f>
        <v>0</v>
      </c>
      <c r="R167" s="308">
        <f>'Footprint Summary'!$G17*Assumptions!N54</f>
        <v>0</v>
      </c>
      <c r="S167" s="314">
        <f t="shared" si="16"/>
        <v>0</v>
      </c>
    </row>
    <row r="168" spans="1:19" ht="14">
      <c r="A168" s="185" t="s">
        <v>66</v>
      </c>
      <c r="B168" s="182" t="s">
        <v>170</v>
      </c>
      <c r="C168" s="231">
        <v>17363.8</v>
      </c>
      <c r="D168" s="212">
        <v>0</v>
      </c>
      <c r="E168" s="199"/>
      <c r="F168" s="211">
        <v>1</v>
      </c>
      <c r="G168" s="308">
        <f>'Historic Utility Costs'!D49</f>
        <v>277500.96999999997</v>
      </c>
      <c r="H168" s="308">
        <f>'Footprint Summary'!$G18*Assumptions!D55</f>
        <v>175508.31209172949</v>
      </c>
      <c r="I168" s="308">
        <f>'Footprint Summary'!$G18*Assumptions!E55</f>
        <v>181651.10301493999</v>
      </c>
      <c r="J168" s="308">
        <f>'Footprint Summary'!$G18*Assumptions!F55</f>
        <v>188008.89162046288</v>
      </c>
      <c r="K168" s="308">
        <f>'Footprint Summary'!$G18*Assumptions!G55</f>
        <v>194589.20282717908</v>
      </c>
      <c r="L168" s="308">
        <f>'Footprint Summary'!$G18*Assumptions!H55</f>
        <v>201399.82492613033</v>
      </c>
      <c r="M168" s="308">
        <f>'Footprint Summary'!$G18*Assumptions!I55</f>
        <v>208448.8187985449</v>
      </c>
      <c r="N168" s="308">
        <f>'Footprint Summary'!$G18*Assumptions!J55</f>
        <v>215744.52745649396</v>
      </c>
      <c r="O168" s="308">
        <f>'Footprint Summary'!$G18*Assumptions!K55</f>
        <v>258893.43294779275</v>
      </c>
      <c r="P168" s="308">
        <f>'Footprint Summary'!$G18*Assumptions!L55</f>
        <v>267954.70310096547</v>
      </c>
      <c r="Q168" s="308">
        <f>'Footprint Summary'!$G18*Assumptions!M55</f>
        <v>277333.1177094992</v>
      </c>
      <c r="R168" s="308">
        <f>'Footprint Summary'!$G18*Assumptions!N55</f>
        <v>287039.77682933165</v>
      </c>
      <c r="S168" s="314">
        <f t="shared" si="16"/>
        <v>2281063.3992313403</v>
      </c>
    </row>
    <row r="169" spans="1:19" ht="14">
      <c r="A169" s="185" t="s">
        <v>48</v>
      </c>
      <c r="B169" s="182" t="s">
        <v>168</v>
      </c>
      <c r="C169" s="231">
        <v>24784</v>
      </c>
      <c r="D169" s="212">
        <v>0</v>
      </c>
      <c r="E169" s="199"/>
      <c r="F169" s="211">
        <v>1</v>
      </c>
      <c r="G169" s="308">
        <f>'Historic Utility Costs'!D50</f>
        <v>141048.53000000003</v>
      </c>
      <c r="H169" s="308">
        <f>'Footprint Summary'!$G19*Assumptions!D56</f>
        <v>167872.86074834148</v>
      </c>
      <c r="I169" s="308">
        <f>'Footprint Summary'!$G19*Assumptions!E56</f>
        <v>173748.41087453341</v>
      </c>
      <c r="J169" s="308">
        <f>'Footprint Summary'!$G19*Assumptions!F56</f>
        <v>179829.60525514206</v>
      </c>
      <c r="K169" s="308">
        <f>'Footprint Summary'!$G19*Assumptions!G56</f>
        <v>186123.641439072</v>
      </c>
      <c r="L169" s="308">
        <f>'Footprint Summary'!$G19*Assumptions!H56</f>
        <v>192637.96888943951</v>
      </c>
      <c r="M169" s="308">
        <f>'Footprint Summary'!$G19*Assumptions!I56</f>
        <v>199380.29780056988</v>
      </c>
      <c r="N169" s="308">
        <f>'Footprint Summary'!$G19*Assumptions!J56</f>
        <v>206358.60822358981</v>
      </c>
      <c r="O169" s="308">
        <f>'Footprint Summary'!$G19*Assumptions!K56</f>
        <v>247630.32986830777</v>
      </c>
      <c r="P169" s="308">
        <f>'Footprint Summary'!$G19*Assumptions!L56</f>
        <v>256297.39141369853</v>
      </c>
      <c r="Q169" s="308">
        <f>'Footprint Summary'!$G19*Assumptions!M56</f>
        <v>265267.80011317797</v>
      </c>
      <c r="R169" s="308">
        <f>'Footprint Summary'!$G19*Assumptions!N56</f>
        <v>274552.17311713914</v>
      </c>
      <c r="S169" s="314">
        <f t="shared" si="16"/>
        <v>2181826.22699467</v>
      </c>
    </row>
    <row r="170" spans="1:19" ht="14">
      <c r="A170" s="185" t="s">
        <v>30</v>
      </c>
      <c r="B170" s="182" t="s">
        <v>123</v>
      </c>
      <c r="C170" s="231">
        <v>23555.5</v>
      </c>
      <c r="D170" s="211">
        <v>0</v>
      </c>
      <c r="E170" s="199"/>
      <c r="F170" s="211">
        <v>1</v>
      </c>
      <c r="G170" s="308">
        <f>'Historic Utility Costs'!D51</f>
        <v>248866.22999999998</v>
      </c>
      <c r="H170" s="308">
        <f>'Footprint Summary'!$G20*Assumptions!D57</f>
        <v>399024.71235318371</v>
      </c>
      <c r="I170" s="308">
        <f>'Footprint Summary'!$G20*Assumptions!E57</f>
        <v>412990.57728554512</v>
      </c>
      <c r="J170" s="308">
        <f>'Footprint Summary'!$G20*Assumptions!F57</f>
        <v>427445.24749053916</v>
      </c>
      <c r="K170" s="308">
        <f>'Footprint Summary'!$G20*Assumptions!G57</f>
        <v>442405.83115270798</v>
      </c>
      <c r="L170" s="308">
        <f>'Footprint Summary'!$G20*Assumptions!H57</f>
        <v>457890.03524305276</v>
      </c>
      <c r="M170" s="308">
        <f>'Footprint Summary'!$G20*Assumptions!I57</f>
        <v>473916.18647655955</v>
      </c>
      <c r="N170" s="308">
        <f>'Footprint Summary'!$G20*Assumptions!J57</f>
        <v>490503.25300323905</v>
      </c>
      <c r="O170" s="308">
        <f>'Footprint Summary'!$G20*Assumptions!K57</f>
        <v>588603.90360388684</v>
      </c>
      <c r="P170" s="308">
        <f>'Footprint Summary'!$G20*Assumptions!L57</f>
        <v>609205.04023002286</v>
      </c>
      <c r="Q170" s="308">
        <f>'Footprint Summary'!$G20*Assumptions!M57</f>
        <v>630527.21663807367</v>
      </c>
      <c r="R170" s="308">
        <f>'Footprint Summary'!$G20*Assumptions!N57</f>
        <v>652595.66922040621</v>
      </c>
      <c r="S170" s="314">
        <f t="shared" si="16"/>
        <v>5186082.9603440333</v>
      </c>
    </row>
    <row r="171" spans="1:19" ht="14">
      <c r="A171" s="185" t="s">
        <v>63</v>
      </c>
      <c r="B171" s="182" t="s">
        <v>64</v>
      </c>
      <c r="C171" s="231">
        <v>61127</v>
      </c>
      <c r="D171" s="211">
        <v>0.5</v>
      </c>
      <c r="E171" s="199"/>
      <c r="F171" s="211"/>
      <c r="G171" s="308">
        <f>'Historic Utility Costs'!D52</f>
        <v>0</v>
      </c>
      <c r="H171" s="308">
        <f>'Footprint Summary'!$G21*Assumptions!D58</f>
        <v>0</v>
      </c>
      <c r="I171" s="308">
        <f>'Footprint Summary'!$G21*Assumptions!E58</f>
        <v>0</v>
      </c>
      <c r="J171" s="308">
        <f>'Footprint Summary'!$G21*Assumptions!F58</f>
        <v>0</v>
      </c>
      <c r="K171" s="308">
        <f>'Footprint Summary'!$G21*Assumptions!G58</f>
        <v>0</v>
      </c>
      <c r="L171" s="308">
        <f>'Footprint Summary'!$G21*Assumptions!H58</f>
        <v>0</v>
      </c>
      <c r="M171" s="308">
        <f>'Footprint Summary'!$G21*Assumptions!I58</f>
        <v>0</v>
      </c>
      <c r="N171" s="308">
        <f>'Footprint Summary'!$G21*Assumptions!J58</f>
        <v>0</v>
      </c>
      <c r="O171" s="308">
        <f>'Footprint Summary'!$G21*Assumptions!K58</f>
        <v>0</v>
      </c>
      <c r="P171" s="308">
        <f>'Footprint Summary'!$G21*Assumptions!L58</f>
        <v>0</v>
      </c>
      <c r="Q171" s="308">
        <f>'Footprint Summary'!$G21*Assumptions!M58</f>
        <v>0</v>
      </c>
      <c r="R171" s="308">
        <f>'Footprint Summary'!$G21*Assumptions!N58</f>
        <v>0</v>
      </c>
      <c r="S171" s="314">
        <f t="shared" si="16"/>
        <v>0</v>
      </c>
    </row>
    <row r="172" spans="1:19" ht="14">
      <c r="A172" s="185" t="s">
        <v>66</v>
      </c>
      <c r="B172" s="182" t="s">
        <v>95</v>
      </c>
      <c r="C172" s="231">
        <v>41253</v>
      </c>
      <c r="D172" s="212">
        <v>0</v>
      </c>
      <c r="E172" s="199">
        <v>0.5</v>
      </c>
      <c r="F172" s="211"/>
      <c r="G172" s="308">
        <f>'Historic Utility Costs'!D53</f>
        <v>432699.87000000005</v>
      </c>
      <c r="H172" s="308">
        <f>'Footprint Summary'!$G22*Assumptions!D59</f>
        <v>257500.19403797167</v>
      </c>
      <c r="I172" s="308">
        <f>'Footprint Summary'!$G22*Assumptions!E59</f>
        <v>266512.70082930068</v>
      </c>
      <c r="J172" s="308">
        <f>'Footprint Summary'!$G22*Assumptions!F59</f>
        <v>275840.64535832615</v>
      </c>
      <c r="K172" s="308">
        <f>'Footprint Summary'!$G22*Assumptions!G59</f>
        <v>285495.06794586754</v>
      </c>
      <c r="L172" s="308">
        <f>'Footprint Summary'!$G22*Assumptions!H59</f>
        <v>295487.39532397292</v>
      </c>
      <c r="M172" s="308">
        <f>'Footprint Summary'!$G22*Assumptions!I59</f>
        <v>305829.45416031196</v>
      </c>
      <c r="N172" s="308">
        <f>'Footprint Summary'!$G22*Assumptions!J59</f>
        <v>316533.48505592288</v>
      </c>
      <c r="O172" s="308">
        <f>'Footprint Summary'!$G22*Assumptions!K59</f>
        <v>379840.18206710741</v>
      </c>
      <c r="P172" s="308">
        <f>'Footprint Summary'!$G22*Assumptions!L59</f>
        <v>393134.58843945619</v>
      </c>
      <c r="Q172" s="308">
        <f>'Footprint Summary'!$G22*Assumptions!M59</f>
        <v>406894.29903483711</v>
      </c>
      <c r="R172" s="308">
        <f>'Footprint Summary'!$G22*Assumptions!N59</f>
        <v>421135.59950105642</v>
      </c>
      <c r="S172" s="314">
        <f t="shared" si="16"/>
        <v>3346703.4177161595</v>
      </c>
    </row>
    <row r="173" spans="1:19" ht="14">
      <c r="A173" s="185" t="s">
        <v>66</v>
      </c>
      <c r="B173" s="198" t="s">
        <v>133</v>
      </c>
      <c r="C173" s="231">
        <v>8227.2000000000007</v>
      </c>
      <c r="D173" s="212">
        <v>0</v>
      </c>
      <c r="E173" s="199"/>
      <c r="F173" s="211">
        <v>1</v>
      </c>
      <c r="G173" s="308">
        <f>'Historic Utility Costs'!D54</f>
        <v>103108.41</v>
      </c>
      <c r="H173" s="308">
        <f>'Footprint Summary'!$G23*Assumptions!D60</f>
        <v>321590.61461715016</v>
      </c>
      <c r="I173" s="308">
        <f>'Footprint Summary'!$G23*Assumptions!E60</f>
        <v>332846.28612875036</v>
      </c>
      <c r="J173" s="308">
        <f>'Footprint Summary'!$G23*Assumptions!F60</f>
        <v>344495.90614325664</v>
      </c>
      <c r="K173" s="308">
        <f>'Footprint Summary'!$G23*Assumptions!G60</f>
        <v>356553.26285827055</v>
      </c>
      <c r="L173" s="308">
        <f>'Footprint Summary'!$G23*Assumptions!H60</f>
        <v>369032.62705831003</v>
      </c>
      <c r="M173" s="308">
        <f>'Footprint Summary'!$G23*Assumptions!I60</f>
        <v>381948.76900535083</v>
      </c>
      <c r="N173" s="308">
        <f>'Footprint Summary'!$G23*Assumptions!J60</f>
        <v>395316.97592053807</v>
      </c>
      <c r="O173" s="308">
        <f>'Footprint Summary'!$G23*Assumptions!K60</f>
        <v>474380.37110464566</v>
      </c>
      <c r="P173" s="308">
        <f>'Footprint Summary'!$G23*Assumptions!L60</f>
        <v>490983.68409330823</v>
      </c>
      <c r="Q173" s="308">
        <f>'Footprint Summary'!$G23*Assumptions!M60</f>
        <v>508168.11303657398</v>
      </c>
      <c r="R173" s="308">
        <f>'Footprint Summary'!$G23*Assumptions!N60</f>
        <v>525953.99699285394</v>
      </c>
      <c r="S173" s="314">
        <f t="shared" si="16"/>
        <v>4179679.9923418579</v>
      </c>
    </row>
    <row r="174" spans="1:19" ht="14">
      <c r="A174" s="185" t="s">
        <v>178</v>
      </c>
      <c r="B174" s="198" t="s">
        <v>140</v>
      </c>
      <c r="C174" s="231">
        <v>20861</v>
      </c>
      <c r="D174" s="212">
        <v>1</v>
      </c>
      <c r="E174" s="199"/>
      <c r="F174" s="211">
        <v>0</v>
      </c>
      <c r="G174" s="308">
        <f>'Historic Utility Costs'!D55</f>
        <v>0</v>
      </c>
      <c r="H174" s="308">
        <f>'Footprint Summary'!$G24*Assumptions!D61</f>
        <v>307556.17172791134</v>
      </c>
      <c r="I174" s="308">
        <f>'Footprint Summary'!$G24*Assumptions!E61</f>
        <v>318320.63773838821</v>
      </c>
      <c r="J174" s="308">
        <f>'Footprint Summary'!$G24*Assumptions!F61</f>
        <v>329461.86005923175</v>
      </c>
      <c r="K174" s="308">
        <f>'Footprint Summary'!$G24*Assumptions!G61</f>
        <v>340993.02516130486</v>
      </c>
      <c r="L174" s="308">
        <f>'Footprint Summary'!$G24*Assumptions!H61</f>
        <v>352927.78104195051</v>
      </c>
      <c r="M174" s="308">
        <f>'Footprint Summary'!$G24*Assumptions!I61</f>
        <v>365280.25337841874</v>
      </c>
      <c r="N174" s="308">
        <f>'Footprint Summary'!$G24*Assumptions!J61</f>
        <v>378065.06224666338</v>
      </c>
      <c r="O174" s="308">
        <f>'Footprint Summary'!$G24*Assumptions!K61</f>
        <v>453678.07469599601</v>
      </c>
      <c r="P174" s="308">
        <f>'Footprint Summary'!$G24*Assumptions!L61</f>
        <v>469556.80731035583</v>
      </c>
      <c r="Q174" s="308">
        <f>'Footprint Summary'!$G24*Assumptions!M61</f>
        <v>485991.29556621826</v>
      </c>
      <c r="R174" s="308">
        <f>'Footprint Summary'!$G24*Assumptions!N61</f>
        <v>503000.99091103591</v>
      </c>
      <c r="S174" s="314">
        <f t="shared" si="16"/>
        <v>3997275.7881095638</v>
      </c>
    </row>
    <row r="175" spans="1:19" ht="14">
      <c r="A175" s="185" t="s">
        <v>37</v>
      </c>
      <c r="B175" s="182" t="s">
        <v>166</v>
      </c>
      <c r="C175" s="231">
        <v>15723.1</v>
      </c>
      <c r="D175" s="212">
        <v>0</v>
      </c>
      <c r="E175" s="199"/>
      <c r="F175" s="211">
        <v>1</v>
      </c>
      <c r="G175" s="308">
        <f>'Historic Utility Costs'!D56</f>
        <v>201250.68</v>
      </c>
      <c r="H175" s="308">
        <f>'Footprint Summary'!$G25*Assumptions!D62</f>
        <v>292116.0259280894</v>
      </c>
      <c r="I175" s="308">
        <f>'Footprint Summary'!$G25*Assumptions!E62</f>
        <v>302340.0868355725</v>
      </c>
      <c r="J175" s="308">
        <f>'Footprint Summary'!$G25*Assumptions!F62</f>
        <v>312921.98987481749</v>
      </c>
      <c r="K175" s="308">
        <f>'Footprint Summary'!$G25*Assumptions!G62</f>
        <v>323874.25952043611</v>
      </c>
      <c r="L175" s="308">
        <f>'Footprint Summary'!$G25*Assumptions!H62</f>
        <v>335209.85860365134</v>
      </c>
      <c r="M175" s="308">
        <f>'Footprint Summary'!$G25*Assumptions!I62</f>
        <v>346942.20365477912</v>
      </c>
      <c r="N175" s="308">
        <f>'Footprint Summary'!$G25*Assumptions!J62</f>
        <v>359085.18078269635</v>
      </c>
      <c r="O175" s="308">
        <f>'Footprint Summary'!$G25*Assumptions!K62</f>
        <v>430902.21693923563</v>
      </c>
      <c r="P175" s="308">
        <f>'Footprint Summary'!$G25*Assumptions!L62</f>
        <v>445983.79453210882</v>
      </c>
      <c r="Q175" s="308">
        <f>'Footprint Summary'!$G25*Assumptions!M62</f>
        <v>461593.22734073264</v>
      </c>
      <c r="R175" s="308">
        <f>'Footprint Summary'!$G25*Assumptions!N62</f>
        <v>477748.99029765819</v>
      </c>
      <c r="S175" s="314">
        <f t="shared" si="16"/>
        <v>3796601.8083816888</v>
      </c>
    </row>
    <row r="176" spans="1:19" ht="14.5" thickBot="1">
      <c r="A176" s="185" t="s">
        <v>66</v>
      </c>
      <c r="B176" s="182" t="s">
        <v>67</v>
      </c>
      <c r="C176" s="231">
        <v>12837.7</v>
      </c>
      <c r="D176" s="211">
        <v>0</v>
      </c>
      <c r="E176" s="199"/>
      <c r="F176" s="211">
        <v>1</v>
      </c>
      <c r="G176" s="308">
        <f>'Historic Utility Costs'!D57</f>
        <v>219478.54</v>
      </c>
      <c r="H176" s="308">
        <f>'Footprint Summary'!$G26*Assumptions!D63</f>
        <v>297626.37506886834</v>
      </c>
      <c r="I176" s="308">
        <f>'Footprint Summary'!$G26*Assumptions!E63</f>
        <v>308043.29819627869</v>
      </c>
      <c r="J176" s="308">
        <f>'Footprint Summary'!$G26*Assumptions!F63</f>
        <v>318824.81363314844</v>
      </c>
      <c r="K176" s="308">
        <f>'Footprint Summary'!$G26*Assumptions!G63</f>
        <v>329983.68211030861</v>
      </c>
      <c r="L176" s="308">
        <f>'Footprint Summary'!$G26*Assumptions!H63</f>
        <v>341533.11098416935</v>
      </c>
      <c r="M176" s="308">
        <f>'Footprint Summary'!$G26*Assumptions!I63</f>
        <v>353486.76986861526</v>
      </c>
      <c r="N176" s="308">
        <f>'Footprint Summary'!$G26*Assumptions!J63</f>
        <v>365858.80681401677</v>
      </c>
      <c r="O176" s="308">
        <f>'Footprint Summary'!$G26*Assumptions!K63</f>
        <v>439030.56817682012</v>
      </c>
      <c r="P176" s="308">
        <f>'Footprint Summary'!$G26*Assumptions!L63</f>
        <v>454396.63806300878</v>
      </c>
      <c r="Q176" s="308">
        <f>'Footprint Summary'!$G26*Assumptions!M63</f>
        <v>470300.52039521409</v>
      </c>
      <c r="R176" s="308">
        <f>'Footprint Summary'!$G26*Assumptions!N63</f>
        <v>486761.03860904655</v>
      </c>
      <c r="S176" s="314">
        <f t="shared" si="16"/>
        <v>3868219.246850627</v>
      </c>
    </row>
    <row r="177" spans="1:21" ht="13" thickTop="1">
      <c r="G177" s="310">
        <f>SUBTOTAL(109,G154:G176)</f>
        <v>7044174.3691999987</v>
      </c>
      <c r="H177" s="310">
        <f t="shared" ref="H177:R177" si="17">SUM(H154:H176)</f>
        <v>8855400.5383476466</v>
      </c>
      <c r="I177" s="310">
        <f t="shared" si="17"/>
        <v>9165339.5571898129</v>
      </c>
      <c r="J177" s="310">
        <f t="shared" si="17"/>
        <v>9486126.4416914545</v>
      </c>
      <c r="K177" s="310">
        <f t="shared" si="17"/>
        <v>9818140.8671506532</v>
      </c>
      <c r="L177" s="310">
        <f t="shared" si="17"/>
        <v>10161775.797500925</v>
      </c>
      <c r="M177" s="310">
        <f t="shared" si="17"/>
        <v>10517437.95041346</v>
      </c>
      <c r="N177" s="310">
        <f t="shared" si="17"/>
        <v>10885548.278677929</v>
      </c>
      <c r="O177" s="310">
        <f t="shared" si="17"/>
        <v>13062657.934413513</v>
      </c>
      <c r="P177" s="310">
        <f t="shared" si="17"/>
        <v>13519850.962117981</v>
      </c>
      <c r="Q177" s="310">
        <f t="shared" si="17"/>
        <v>13993045.745792115</v>
      </c>
      <c r="R177" s="310">
        <f t="shared" si="17"/>
        <v>14482802.34689484</v>
      </c>
      <c r="S177" s="311">
        <f>SUBTOTAL(109,(S154:S176))</f>
        <v>115092725.8818427</v>
      </c>
    </row>
    <row r="181" spans="1:21" ht="18" thickBot="1">
      <c r="A181" s="196" t="s">
        <v>239</v>
      </c>
    </row>
    <row r="182" spans="1:21" ht="15" thickTop="1" thickBot="1">
      <c r="A182" s="184" t="s">
        <v>6</v>
      </c>
      <c r="B182" s="184" t="s">
        <v>7</v>
      </c>
      <c r="C182" s="184" t="s">
        <v>9</v>
      </c>
      <c r="D182" s="184" t="s">
        <v>10</v>
      </c>
      <c r="E182" s="184" t="s">
        <v>11</v>
      </c>
      <c r="F182" s="184" t="s">
        <v>12</v>
      </c>
      <c r="G182" s="184" t="s">
        <v>188</v>
      </c>
      <c r="H182" s="184" t="s">
        <v>189</v>
      </c>
      <c r="I182" s="184" t="s">
        <v>190</v>
      </c>
      <c r="J182" s="184" t="s">
        <v>191</v>
      </c>
      <c r="K182" s="184" t="s">
        <v>192</v>
      </c>
      <c r="L182" s="184" t="s">
        <v>193</v>
      </c>
      <c r="M182" s="184" t="s">
        <v>194</v>
      </c>
      <c r="N182" s="184" t="s">
        <v>195</v>
      </c>
      <c r="O182" s="184" t="s">
        <v>196</v>
      </c>
      <c r="P182" s="184" t="s">
        <v>197</v>
      </c>
      <c r="Q182" s="184" t="s">
        <v>198</v>
      </c>
      <c r="R182" s="184" t="s">
        <v>199</v>
      </c>
    </row>
    <row r="183" spans="1:21" ht="14.5" thickTop="1">
      <c r="A183" s="185" t="s">
        <v>30</v>
      </c>
      <c r="B183" s="198" t="s">
        <v>31</v>
      </c>
      <c r="C183" s="228">
        <v>29166</v>
      </c>
      <c r="D183" s="211">
        <v>1</v>
      </c>
      <c r="E183" s="199"/>
      <c r="F183" s="211">
        <v>1</v>
      </c>
      <c r="G183" s="309">
        <f>'Historic Utility Costs'!D89</f>
        <v>41724.339299999992</v>
      </c>
      <c r="H183" s="309">
        <f>'Footprint Summary'!$G33*Assumptions!D69</f>
        <v>48668.834703157998</v>
      </c>
      <c r="I183" s="309">
        <f>'Footprint Summary'!$G33*Assumptions!E69</f>
        <v>50128.899744252732</v>
      </c>
      <c r="J183" s="309">
        <f>'Footprint Summary'!$G33*Assumptions!F69</f>
        <v>51632.766736580314</v>
      </c>
      <c r="K183" s="309">
        <f>'Footprint Summary'!$G33*Assumptions!G69</f>
        <v>53181.749738677732</v>
      </c>
      <c r="L183" s="309">
        <f>'Footprint Summary'!$G33*Assumptions!H69</f>
        <v>54777.202230838069</v>
      </c>
      <c r="M183" s="309">
        <f>'Footprint Summary'!$G33*Assumptions!I69</f>
        <v>56420.518297763214</v>
      </c>
      <c r="N183" s="309">
        <f>'Footprint Summary'!$G33*Assumptions!J69</f>
        <v>58113.133846696117</v>
      </c>
      <c r="O183" s="309">
        <f>'Footprint Summary'!$G33*Assumptions!K69</f>
        <v>59856.527862097006</v>
      </c>
      <c r="P183" s="309">
        <f>'Footprint Summary'!$G33*Assumptions!L69</f>
        <v>61652.223697959911</v>
      </c>
      <c r="Q183" s="309">
        <f>'Footprint Summary'!$G33*Assumptions!M69</f>
        <v>63501.790408898712</v>
      </c>
      <c r="R183" s="309">
        <f>'Footprint Summary'!$G33*Assumptions!N69</f>
        <v>65406.844121165675</v>
      </c>
      <c r="S183" s="316">
        <f>SUM(H183:R183)</f>
        <v>623340.49138808751</v>
      </c>
      <c r="U183" s="293" t="s">
        <v>240</v>
      </c>
    </row>
    <row r="184" spans="1:21" ht="14">
      <c r="A184" s="185" t="s">
        <v>37</v>
      </c>
      <c r="B184" s="182" t="s">
        <v>38</v>
      </c>
      <c r="C184" s="228">
        <v>62987</v>
      </c>
      <c r="D184" s="211">
        <v>0.5</v>
      </c>
      <c r="E184" s="199"/>
      <c r="F184" s="211">
        <v>1</v>
      </c>
      <c r="G184" s="309">
        <f>'Historic Utility Costs'!D90</f>
        <v>159548.62910000002</v>
      </c>
      <c r="H184" s="309">
        <f>'Footprint Summary'!$G34*Assumptions!D70</f>
        <v>163610.67867683328</v>
      </c>
      <c r="I184" s="309">
        <f>'Footprint Summary'!$G34*Assumptions!E70</f>
        <v>168518.9990371383</v>
      </c>
      <c r="J184" s="309">
        <f>'Footprint Summary'!$G34*Assumptions!F70</f>
        <v>173574.56900825244</v>
      </c>
      <c r="K184" s="309">
        <f>'Footprint Summary'!$G34*Assumptions!G70</f>
        <v>178781.8060785</v>
      </c>
      <c r="L184" s="309">
        <f>'Footprint Summary'!$G34*Assumptions!H70</f>
        <v>184145.26026085499</v>
      </c>
      <c r="M184" s="309">
        <f>'Footprint Summary'!$G34*Assumptions!I70</f>
        <v>189669.61806868066</v>
      </c>
      <c r="N184" s="309">
        <f>'Footprint Summary'!$G34*Assumptions!J70</f>
        <v>195359.70661074109</v>
      </c>
      <c r="O184" s="309">
        <f>'Footprint Summary'!$G34*Assumptions!K70</f>
        <v>201220.49780906332</v>
      </c>
      <c r="P184" s="309">
        <f>'Footprint Summary'!$G34*Assumptions!L70</f>
        <v>207257.11274333525</v>
      </c>
      <c r="Q184" s="309">
        <f>'Footprint Summary'!$G34*Assumptions!M70</f>
        <v>213474.8261256353</v>
      </c>
      <c r="R184" s="309">
        <f>'Footprint Summary'!$G34*Assumptions!N70</f>
        <v>219879.07090940434</v>
      </c>
      <c r="S184" s="316">
        <f t="shared" ref="S184:S205" si="18">SUM(H184:R184)</f>
        <v>2095492.1453284393</v>
      </c>
      <c r="U184" s="293" t="s">
        <v>241</v>
      </c>
    </row>
    <row r="185" spans="1:21" ht="14">
      <c r="A185" s="185" t="s">
        <v>30</v>
      </c>
      <c r="B185" s="182" t="s">
        <v>42</v>
      </c>
      <c r="C185" s="231">
        <v>42132</v>
      </c>
      <c r="D185" s="211">
        <v>0.5</v>
      </c>
      <c r="E185" s="199">
        <v>0.25</v>
      </c>
      <c r="F185" s="211">
        <v>1</v>
      </c>
      <c r="G185" s="309">
        <f>'Historic Utility Costs'!D91</f>
        <v>98408.675099999993</v>
      </c>
      <c r="H185" s="309">
        <f>'Footprint Summary'!$G35*Assumptions!D71</f>
        <v>129382.62436418589</v>
      </c>
      <c r="I185" s="309">
        <f>'Footprint Summary'!$G35*Assumptions!E71</f>
        <v>133264.10309511147</v>
      </c>
      <c r="J185" s="309">
        <f>'Footprint Summary'!$G35*Assumptions!F71</f>
        <v>137262.02618796483</v>
      </c>
      <c r="K185" s="309">
        <f>'Footprint Summary'!$G35*Assumptions!G71</f>
        <v>141379.88697360377</v>
      </c>
      <c r="L185" s="309">
        <f>'Footprint Summary'!$G35*Assumptions!H71</f>
        <v>145621.28358281188</v>
      </c>
      <c r="M185" s="309">
        <f>'Footprint Summary'!$G35*Assumptions!I71</f>
        <v>149989.92209029623</v>
      </c>
      <c r="N185" s="309">
        <f>'Footprint Summary'!$G35*Assumptions!J71</f>
        <v>154489.61975300513</v>
      </c>
      <c r="O185" s="309">
        <f>'Footprint Summary'!$G35*Assumptions!K71</f>
        <v>159124.30834559526</v>
      </c>
      <c r="P185" s="309">
        <f>'Footprint Summary'!$G35*Assumptions!L71</f>
        <v>163898.03759596313</v>
      </c>
      <c r="Q185" s="309">
        <f>'Footprint Summary'!$G35*Assumptions!M71</f>
        <v>168814.97872384204</v>
      </c>
      <c r="R185" s="309">
        <f>'Footprint Summary'!$G35*Assumptions!N71</f>
        <v>173879.4280855573</v>
      </c>
      <c r="S185" s="316">
        <f t="shared" si="18"/>
        <v>1657106.2187979366</v>
      </c>
      <c r="U185" s="293" t="s">
        <v>242</v>
      </c>
    </row>
    <row r="186" spans="1:21" ht="14">
      <c r="A186" s="185" t="s">
        <v>30</v>
      </c>
      <c r="B186" s="182" t="s">
        <v>43</v>
      </c>
      <c r="C186" s="231">
        <v>12509</v>
      </c>
      <c r="D186" s="211">
        <v>1</v>
      </c>
      <c r="E186" s="199"/>
      <c r="F186" s="211">
        <v>1</v>
      </c>
      <c r="G186" s="309">
        <f>'Historic Utility Costs'!D92</f>
        <v>23598.6558</v>
      </c>
      <c r="H186" s="309">
        <f>'Footprint Summary'!$G36*Assumptions!D72</f>
        <v>24532.118596672721</v>
      </c>
      <c r="I186" s="309">
        <f>'Footprint Summary'!$G36*Assumptions!E72</f>
        <v>25268.082154572905</v>
      </c>
      <c r="J186" s="309">
        <f>'Footprint Summary'!$G36*Assumptions!F72</f>
        <v>26026.124619210092</v>
      </c>
      <c r="K186" s="309">
        <f>'Footprint Summary'!$G36*Assumptions!G72</f>
        <v>26806.908357786397</v>
      </c>
      <c r="L186" s="309">
        <f>'Footprint Summary'!$G36*Assumptions!H72</f>
        <v>27611.115608519987</v>
      </c>
      <c r="M186" s="309">
        <f>'Footprint Summary'!$G36*Assumptions!I72</f>
        <v>28439.449076775585</v>
      </c>
      <c r="N186" s="309">
        <f>'Footprint Summary'!$G36*Assumptions!J72</f>
        <v>29292.632549078855</v>
      </c>
      <c r="O186" s="309">
        <f>'Footprint Summary'!$G36*Assumptions!K72</f>
        <v>30171.411525551222</v>
      </c>
      <c r="P186" s="309">
        <f>'Footprint Summary'!$G36*Assumptions!L72</f>
        <v>31076.553871317759</v>
      </c>
      <c r="Q186" s="309">
        <f>'Footprint Summary'!$G36*Assumptions!M72</f>
        <v>32008.85048745729</v>
      </c>
      <c r="R186" s="309">
        <f>'Footprint Summary'!$G36*Assumptions!N72</f>
        <v>32969.116002081013</v>
      </c>
      <c r="S186" s="316">
        <f t="shared" si="18"/>
        <v>314202.36284902383</v>
      </c>
      <c r="U186" s="293" t="s">
        <v>243</v>
      </c>
    </row>
    <row r="187" spans="1:21" ht="14">
      <c r="A187" s="185" t="s">
        <v>30</v>
      </c>
      <c r="B187" s="182" t="s">
        <v>46</v>
      </c>
      <c r="C187" s="231">
        <v>27263</v>
      </c>
      <c r="D187" s="211">
        <v>1</v>
      </c>
      <c r="E187" s="199"/>
      <c r="F187" s="211">
        <v>1</v>
      </c>
      <c r="G187" s="309">
        <f>'Historic Utility Costs'!D93</f>
        <v>39476.285300000003</v>
      </c>
      <c r="H187" s="309">
        <f>'Footprint Summary'!$G37*Assumptions!D73</f>
        <v>27327.375401130532</v>
      </c>
      <c r="I187" s="309">
        <f>'Footprint Summary'!$G37*Assumptions!E73</f>
        <v>28147.19666316445</v>
      </c>
      <c r="J187" s="309">
        <f>'Footprint Summary'!$G37*Assumptions!F73</f>
        <v>28991.612563059385</v>
      </c>
      <c r="K187" s="309">
        <f>'Footprint Summary'!$G37*Assumptions!G73</f>
        <v>29861.36093995117</v>
      </c>
      <c r="L187" s="309">
        <f>'Footprint Summary'!$G37*Assumptions!H73</f>
        <v>30757.201768149705</v>
      </c>
      <c r="M187" s="309">
        <f>'Footprint Summary'!$G37*Assumptions!I73</f>
        <v>31679.917821194198</v>
      </c>
      <c r="N187" s="309">
        <f>'Footprint Summary'!$G37*Assumptions!J73</f>
        <v>32630.315355830022</v>
      </c>
      <c r="O187" s="309">
        <f>'Footprint Summary'!$G37*Assumptions!K73</f>
        <v>33609.224816504924</v>
      </c>
      <c r="P187" s="309">
        <f>'Footprint Summary'!$G37*Assumptions!L73</f>
        <v>34617.50156100007</v>
      </c>
      <c r="Q187" s="309">
        <f>'Footprint Summary'!$G37*Assumptions!M73</f>
        <v>35656.02660783007</v>
      </c>
      <c r="R187" s="309">
        <f>'Footprint Summary'!$G37*Assumptions!N73</f>
        <v>36725.707406064976</v>
      </c>
      <c r="S187" s="316">
        <f t="shared" si="18"/>
        <v>350003.44090387947</v>
      </c>
      <c r="U187" s="293" t="s">
        <v>244</v>
      </c>
    </row>
    <row r="188" spans="1:21" ht="14">
      <c r="A188" s="185" t="s">
        <v>30</v>
      </c>
      <c r="B188" s="182" t="s">
        <v>47</v>
      </c>
      <c r="C188" s="231">
        <v>39057</v>
      </c>
      <c r="D188" s="211">
        <v>1</v>
      </c>
      <c r="E188" s="199"/>
      <c r="F188" s="211">
        <v>1</v>
      </c>
      <c r="G188" s="309">
        <f>'Historic Utility Costs'!D94</f>
        <v>33772.9948</v>
      </c>
      <c r="H188" s="309">
        <f>'Footprint Summary'!$G38*Assumptions!D74</f>
        <v>37524.341272977486</v>
      </c>
      <c r="I188" s="309">
        <f>'Footprint Summary'!$G38*Assumptions!E74</f>
        <v>38650.071511166811</v>
      </c>
      <c r="J188" s="309">
        <f>'Footprint Summary'!$G38*Assumptions!F74</f>
        <v>39809.573656501816</v>
      </c>
      <c r="K188" s="309">
        <f>'Footprint Summary'!$G38*Assumptions!G74</f>
        <v>41003.860866196876</v>
      </c>
      <c r="L188" s="309">
        <f>'Footprint Summary'!$G38*Assumptions!H74</f>
        <v>42233.976692182776</v>
      </c>
      <c r="M188" s="309">
        <f>'Footprint Summary'!$G38*Assumptions!I74</f>
        <v>43500.995992948265</v>
      </c>
      <c r="N188" s="309">
        <f>'Footprint Summary'!$G38*Assumptions!J74</f>
        <v>44806.025872736711</v>
      </c>
      <c r="O188" s="309">
        <f>'Footprint Summary'!$G38*Assumptions!K74</f>
        <v>46150.206648918815</v>
      </c>
      <c r="P188" s="309">
        <f>'Footprint Summary'!$G38*Assumptions!L74</f>
        <v>47534.712848386385</v>
      </c>
      <c r="Q188" s="309">
        <f>'Footprint Summary'!$G38*Assumptions!M74</f>
        <v>48960.754233837972</v>
      </c>
      <c r="R188" s="309">
        <f>'Footprint Summary'!$G38*Assumptions!N74</f>
        <v>50429.576860853122</v>
      </c>
      <c r="S188" s="316">
        <f t="shared" si="18"/>
        <v>480604.09645670699</v>
      </c>
      <c r="U188" s="293" t="s">
        <v>245</v>
      </c>
    </row>
    <row r="189" spans="1:21" ht="14">
      <c r="A189" s="185" t="s">
        <v>48</v>
      </c>
      <c r="B189" s="182" t="s">
        <v>49</v>
      </c>
      <c r="C189" s="231">
        <v>24754</v>
      </c>
      <c r="D189" s="211">
        <v>1</v>
      </c>
      <c r="E189" s="199"/>
      <c r="F189" s="211">
        <v>1</v>
      </c>
      <c r="G189" s="309">
        <f>'Historic Utility Costs'!D95</f>
        <v>0</v>
      </c>
      <c r="H189" s="309">
        <f>'Footprint Summary'!$G39*Assumptions!D75</f>
        <v>0</v>
      </c>
      <c r="I189" s="309">
        <f>'Footprint Summary'!$G39*Assumptions!E75</f>
        <v>0</v>
      </c>
      <c r="J189" s="309">
        <f>'Footprint Summary'!$G39*Assumptions!F75</f>
        <v>0</v>
      </c>
      <c r="K189" s="309">
        <f>'Footprint Summary'!$G39*Assumptions!G75</f>
        <v>0</v>
      </c>
      <c r="L189" s="309">
        <f>'Footprint Summary'!$G39*Assumptions!H75</f>
        <v>0</v>
      </c>
      <c r="M189" s="309">
        <f>'Footprint Summary'!$G39*Assumptions!I75</f>
        <v>0</v>
      </c>
      <c r="N189" s="309">
        <f>'Footprint Summary'!$G39*Assumptions!J75</f>
        <v>0</v>
      </c>
      <c r="O189" s="309">
        <f>'Footprint Summary'!$G39*Assumptions!K75</f>
        <v>0</v>
      </c>
      <c r="P189" s="309">
        <f>'Footprint Summary'!$G39*Assumptions!L75</f>
        <v>0</v>
      </c>
      <c r="Q189" s="309">
        <f>'Footprint Summary'!$G39*Assumptions!M75</f>
        <v>0</v>
      </c>
      <c r="R189" s="309">
        <f>'Footprint Summary'!$G39*Assumptions!N75</f>
        <v>0</v>
      </c>
      <c r="S189" s="316">
        <f t="shared" si="18"/>
        <v>0</v>
      </c>
      <c r="U189" s="293" t="s">
        <v>246</v>
      </c>
    </row>
    <row r="190" spans="1:21" ht="14">
      <c r="A190" s="185" t="s">
        <v>30</v>
      </c>
      <c r="B190" s="182" t="s">
        <v>92</v>
      </c>
      <c r="C190" s="231">
        <v>26819</v>
      </c>
      <c r="D190" s="212">
        <v>0</v>
      </c>
      <c r="E190" s="199">
        <v>1</v>
      </c>
      <c r="F190" s="211">
        <v>1</v>
      </c>
      <c r="G190" s="309">
        <f>'Historic Utility Costs'!D96</f>
        <v>24102.018800000005</v>
      </c>
      <c r="H190" s="309">
        <f>'Footprint Summary'!$G40*Assumptions!D76</f>
        <v>29898.455295701391</v>
      </c>
      <c r="I190" s="309">
        <f>'Footprint Summary'!$G40*Assumptions!E76</f>
        <v>30795.408954572435</v>
      </c>
      <c r="J190" s="309">
        <f>'Footprint Summary'!$G40*Assumptions!F76</f>
        <v>31719.271223209609</v>
      </c>
      <c r="K190" s="309">
        <f>'Footprint Summary'!$G40*Assumptions!G76</f>
        <v>32670.8493599059</v>
      </c>
      <c r="L190" s="309">
        <f>'Footprint Summary'!$G40*Assumptions!H76</f>
        <v>33650.974840703078</v>
      </c>
      <c r="M190" s="309">
        <f>'Footprint Summary'!$G40*Assumptions!I76</f>
        <v>34660.504085924171</v>
      </c>
      <c r="N190" s="309">
        <f>'Footprint Summary'!$G40*Assumptions!J76</f>
        <v>35700.319208501896</v>
      </c>
      <c r="O190" s="309">
        <f>'Footprint Summary'!$G40*Assumptions!K76</f>
        <v>36771.328784756952</v>
      </c>
      <c r="P190" s="309">
        <f>'Footprint Summary'!$G40*Assumptions!L76</f>
        <v>37874.468648299662</v>
      </c>
      <c r="Q190" s="309">
        <f>'Footprint Summary'!$G40*Assumptions!M76</f>
        <v>39010.702707748649</v>
      </c>
      <c r="R190" s="309">
        <f>'Footprint Summary'!$G40*Assumptions!N76</f>
        <v>40181.023788981111</v>
      </c>
      <c r="S190" s="316">
        <f t="shared" si="18"/>
        <v>382933.30689830484</v>
      </c>
      <c r="U190" s="293" t="s">
        <v>247</v>
      </c>
    </row>
    <row r="191" spans="1:21" ht="14">
      <c r="A191" s="185" t="s">
        <v>30</v>
      </c>
      <c r="B191" s="182" t="s">
        <v>52</v>
      </c>
      <c r="C191" s="231">
        <v>28396</v>
      </c>
      <c r="D191" s="211">
        <v>0.75</v>
      </c>
      <c r="E191" s="199"/>
      <c r="F191" s="211">
        <v>1</v>
      </c>
      <c r="G191" s="309">
        <f>'Historic Utility Costs'!D97</f>
        <v>51540.50069999999</v>
      </c>
      <c r="H191" s="309">
        <f>'Footprint Summary'!$G41*Assumptions!D77</f>
        <v>67232.379617373299</v>
      </c>
      <c r="I191" s="309">
        <f>'Footprint Summary'!$G41*Assumptions!E77</f>
        <v>69249.351005894496</v>
      </c>
      <c r="J191" s="309">
        <f>'Footprint Summary'!$G41*Assumptions!F77</f>
        <v>71326.831536071331</v>
      </c>
      <c r="K191" s="309">
        <f>'Footprint Summary'!$G41*Assumptions!G77</f>
        <v>73466.636482153481</v>
      </c>
      <c r="L191" s="309">
        <f>'Footprint Summary'!$G41*Assumptions!H77</f>
        <v>75670.635576618093</v>
      </c>
      <c r="M191" s="309">
        <f>'Footprint Summary'!$G41*Assumptions!I77</f>
        <v>77940.754643916633</v>
      </c>
      <c r="N191" s="309">
        <f>'Footprint Summary'!$G41*Assumptions!J77</f>
        <v>80278.97728323414</v>
      </c>
      <c r="O191" s="309">
        <f>'Footprint Summary'!$G41*Assumptions!K77</f>
        <v>82687.346601731158</v>
      </c>
      <c r="P191" s="309">
        <f>'Footprint Summary'!$G41*Assumptions!L77</f>
        <v>85167.966999783093</v>
      </c>
      <c r="Q191" s="309">
        <f>'Footprint Summary'!$G41*Assumptions!M77</f>
        <v>87723.006009776596</v>
      </c>
      <c r="R191" s="309">
        <f>'Footprint Summary'!$G41*Assumptions!N77</f>
        <v>90354.696190069895</v>
      </c>
      <c r="S191" s="316">
        <f t="shared" si="18"/>
        <v>861098.58194662223</v>
      </c>
      <c r="U191" s="293" t="s">
        <v>248</v>
      </c>
    </row>
    <row r="192" spans="1:21" ht="14">
      <c r="A192" s="185" t="s">
        <v>30</v>
      </c>
      <c r="B192" s="182" t="s">
        <v>54</v>
      </c>
      <c r="C192" s="231">
        <v>37558</v>
      </c>
      <c r="D192" s="211">
        <v>0.75</v>
      </c>
      <c r="E192" s="199"/>
      <c r="F192" s="211">
        <v>1</v>
      </c>
      <c r="G192" s="309">
        <f>'Historic Utility Costs'!D98</f>
        <v>37983.914000000012</v>
      </c>
      <c r="H192" s="309">
        <f>'Footprint Summary'!$G42*Assumptions!D78</f>
        <v>25418.782996381691</v>
      </c>
      <c r="I192" s="309">
        <f>'Footprint Summary'!$G42*Assumptions!E78</f>
        <v>26181.346486273142</v>
      </c>
      <c r="J192" s="309">
        <f>'Footprint Summary'!$G42*Assumptions!F78</f>
        <v>26966.786880861335</v>
      </c>
      <c r="K192" s="309">
        <f>'Footprint Summary'!$G42*Assumptions!G78</f>
        <v>27775.790487287173</v>
      </c>
      <c r="L192" s="309">
        <f>'Footprint Summary'!$G42*Assumptions!H78</f>
        <v>28609.064201905792</v>
      </c>
      <c r="M192" s="309">
        <f>'Footprint Summary'!$G42*Assumptions!I78</f>
        <v>29467.336127962968</v>
      </c>
      <c r="N192" s="309">
        <f>'Footprint Summary'!$G42*Assumptions!J78</f>
        <v>30351.356211801856</v>
      </c>
      <c r="O192" s="309">
        <f>'Footprint Summary'!$G42*Assumptions!K78</f>
        <v>31261.896898155912</v>
      </c>
      <c r="P192" s="309">
        <f>'Footprint Summary'!$G42*Assumptions!L78</f>
        <v>32199.753805100594</v>
      </c>
      <c r="Q192" s="309">
        <f>'Footprint Summary'!$G42*Assumptions!M78</f>
        <v>33165.746419253614</v>
      </c>
      <c r="R192" s="309">
        <f>'Footprint Summary'!$G42*Assumptions!N78</f>
        <v>34160.718811831219</v>
      </c>
      <c r="S192" s="316">
        <f t="shared" si="18"/>
        <v>325558.57932681532</v>
      </c>
      <c r="U192" s="293" t="s">
        <v>249</v>
      </c>
    </row>
    <row r="193" spans="1:21" ht="14">
      <c r="A193" s="185" t="s">
        <v>37</v>
      </c>
      <c r="B193" s="182" t="s">
        <v>55</v>
      </c>
      <c r="C193" s="231">
        <v>55051</v>
      </c>
      <c r="D193" s="211">
        <v>0.5</v>
      </c>
      <c r="E193" s="199">
        <v>0.5</v>
      </c>
      <c r="F193" s="211">
        <v>1</v>
      </c>
      <c r="G193" s="309">
        <f>'Historic Utility Costs'!D99</f>
        <v>162815.5</v>
      </c>
      <c r="H193" s="309">
        <f>'Footprint Summary'!$G43*Assumptions!D79</f>
        <v>172452.89300408796</v>
      </c>
      <c r="I193" s="309">
        <f>'Footprint Summary'!$G43*Assumptions!E79</f>
        <v>177626.47979421064</v>
      </c>
      <c r="J193" s="309">
        <f>'Footprint Summary'!$G43*Assumptions!F79</f>
        <v>182955.27418803697</v>
      </c>
      <c r="K193" s="309">
        <f>'Footprint Summary'!$G43*Assumptions!G79</f>
        <v>188443.93241367809</v>
      </c>
      <c r="L193" s="309">
        <f>'Footprint Summary'!$G43*Assumptions!H79</f>
        <v>194097.25038608842</v>
      </c>
      <c r="M193" s="309">
        <f>'Footprint Summary'!$G43*Assumptions!I79</f>
        <v>199920.16789767108</v>
      </c>
      <c r="N193" s="309">
        <f>'Footprint Summary'!$G43*Assumptions!J79</f>
        <v>205917.77293460121</v>
      </c>
      <c r="O193" s="309">
        <f>'Footprint Summary'!$G43*Assumptions!K79</f>
        <v>212095.30612263925</v>
      </c>
      <c r="P193" s="309">
        <f>'Footprint Summary'!$G43*Assumptions!L79</f>
        <v>218458.16530631843</v>
      </c>
      <c r="Q193" s="309">
        <f>'Footprint Summary'!$G43*Assumptions!M79</f>
        <v>225011.91026550799</v>
      </c>
      <c r="R193" s="309">
        <f>'Footprint Summary'!$G43*Assumptions!N79</f>
        <v>231762.26757347325</v>
      </c>
      <c r="S193" s="316">
        <f t="shared" si="18"/>
        <v>2208741.4198863129</v>
      </c>
      <c r="U193" s="293" t="s">
        <v>250</v>
      </c>
    </row>
    <row r="194" spans="1:21" ht="14">
      <c r="A194" s="185" t="s">
        <v>30</v>
      </c>
      <c r="B194" s="182" t="s">
        <v>56</v>
      </c>
      <c r="C194" s="231">
        <v>39938</v>
      </c>
      <c r="D194" s="211">
        <v>0.5</v>
      </c>
      <c r="E194" s="199"/>
      <c r="F194" s="211">
        <v>1</v>
      </c>
      <c r="G194" s="309">
        <f>'Historic Utility Costs'!D100</f>
        <v>120058.64659999998</v>
      </c>
      <c r="H194" s="309">
        <f>'Footprint Summary'!$G44*Assumptions!D80</f>
        <v>110182.70018815105</v>
      </c>
      <c r="I194" s="309">
        <f>'Footprint Summary'!$G44*Assumptions!E80</f>
        <v>113488.18119379559</v>
      </c>
      <c r="J194" s="309">
        <f>'Footprint Summary'!$G44*Assumptions!F80</f>
        <v>116892.82662960945</v>
      </c>
      <c r="K194" s="309">
        <f>'Footprint Summary'!$G44*Assumptions!G80</f>
        <v>120399.61142849775</v>
      </c>
      <c r="L194" s="309">
        <f>'Footprint Summary'!$G44*Assumptions!H80</f>
        <v>124011.59977135269</v>
      </c>
      <c r="M194" s="309">
        <f>'Footprint Summary'!$G44*Assumptions!I80</f>
        <v>127731.94776449328</v>
      </c>
      <c r="N194" s="309">
        <f>'Footprint Summary'!$G44*Assumptions!J80</f>
        <v>131563.90619742809</v>
      </c>
      <c r="O194" s="309">
        <f>'Footprint Summary'!$G44*Assumptions!K80</f>
        <v>135510.82338335091</v>
      </c>
      <c r="P194" s="309">
        <f>'Footprint Summary'!$G44*Assumptions!L80</f>
        <v>139576.14808485145</v>
      </c>
      <c r="Q194" s="309">
        <f>'Footprint Summary'!$G44*Assumptions!M80</f>
        <v>143763.432527397</v>
      </c>
      <c r="R194" s="309">
        <f>'Footprint Summary'!$G44*Assumptions!N80</f>
        <v>148076.3355032189</v>
      </c>
      <c r="S194" s="316">
        <f t="shared" si="18"/>
        <v>1411197.5126721463</v>
      </c>
      <c r="U194" s="293" t="s">
        <v>251</v>
      </c>
    </row>
    <row r="195" spans="1:21" ht="14">
      <c r="A195" s="185" t="s">
        <v>30</v>
      </c>
      <c r="B195" s="182" t="s">
        <v>93</v>
      </c>
      <c r="C195" s="231">
        <v>20404</v>
      </c>
      <c r="D195" s="212">
        <v>0</v>
      </c>
      <c r="E195" s="199">
        <v>1</v>
      </c>
      <c r="F195" s="211">
        <v>1</v>
      </c>
      <c r="G195" s="309">
        <f>'Historic Utility Costs'!D101</f>
        <v>18383.104800000001</v>
      </c>
      <c r="H195" s="309">
        <f>'Footprint Summary'!$G45*Assumptions!D81</f>
        <v>23768.93470195412</v>
      </c>
      <c r="I195" s="309">
        <f>'Footprint Summary'!$G45*Assumptions!E81</f>
        <v>24482.002743012745</v>
      </c>
      <c r="J195" s="309">
        <f>'Footprint Summary'!$G45*Assumptions!F81</f>
        <v>25216.46282530313</v>
      </c>
      <c r="K195" s="309">
        <f>'Footprint Summary'!$G45*Assumptions!G81</f>
        <v>25972.956710062223</v>
      </c>
      <c r="L195" s="309">
        <f>'Footprint Summary'!$G45*Assumptions!H81</f>
        <v>26752.14541136409</v>
      </c>
      <c r="M195" s="309">
        <f>'Footprint Summary'!$G45*Assumptions!I81</f>
        <v>27554.709773705014</v>
      </c>
      <c r="N195" s="309">
        <f>'Footprint Summary'!$G45*Assumptions!J81</f>
        <v>28381.35106691617</v>
      </c>
      <c r="O195" s="309">
        <f>'Footprint Summary'!$G45*Assumptions!K81</f>
        <v>29232.791598923654</v>
      </c>
      <c r="P195" s="309">
        <f>'Footprint Summary'!$G45*Assumptions!L81</f>
        <v>30109.775346891365</v>
      </c>
      <c r="Q195" s="309">
        <f>'Footprint Summary'!$G45*Assumptions!M81</f>
        <v>31013.068607298104</v>
      </c>
      <c r="R195" s="309">
        <f>'Footprint Summary'!$G45*Assumptions!N81</f>
        <v>31943.46066551705</v>
      </c>
      <c r="S195" s="316">
        <f t="shared" si="18"/>
        <v>304427.65945094766</v>
      </c>
      <c r="U195" s="293" t="s">
        <v>252</v>
      </c>
    </row>
    <row r="196" spans="1:21" ht="14">
      <c r="A196" s="185" t="s">
        <v>37</v>
      </c>
      <c r="B196" s="182" t="s">
        <v>60</v>
      </c>
      <c r="C196" s="231">
        <v>1422</v>
      </c>
      <c r="D196" s="211">
        <v>1</v>
      </c>
      <c r="E196" s="199"/>
      <c r="F196" s="211">
        <v>1</v>
      </c>
      <c r="G196" s="309">
        <f>'Historic Utility Costs'!D102</f>
        <v>15433.9792</v>
      </c>
      <c r="H196" s="309">
        <f>'Footprint Summary'!$G46*Assumptions!D82</f>
        <v>0</v>
      </c>
      <c r="I196" s="309">
        <f>'Footprint Summary'!$G46*Assumptions!E82</f>
        <v>0</v>
      </c>
      <c r="J196" s="309">
        <f>'Footprint Summary'!$G46*Assumptions!F82</f>
        <v>0</v>
      </c>
      <c r="K196" s="309">
        <f>'Footprint Summary'!$G46*Assumptions!G82</f>
        <v>0</v>
      </c>
      <c r="L196" s="309">
        <f>'Footprint Summary'!$G46*Assumptions!H82</f>
        <v>0</v>
      </c>
      <c r="M196" s="309">
        <f>'Footprint Summary'!$G46*Assumptions!I82</f>
        <v>0</v>
      </c>
      <c r="N196" s="309">
        <f>'Footprint Summary'!$G46*Assumptions!J82</f>
        <v>0</v>
      </c>
      <c r="O196" s="309">
        <f>'Footprint Summary'!$G46*Assumptions!K82</f>
        <v>0</v>
      </c>
      <c r="P196" s="309">
        <f>'Footprint Summary'!$G46*Assumptions!L82</f>
        <v>0</v>
      </c>
      <c r="Q196" s="309">
        <f>'Footprint Summary'!$G46*Assumptions!M82</f>
        <v>0</v>
      </c>
      <c r="R196" s="309">
        <f>'Footprint Summary'!$G46*Assumptions!N82</f>
        <v>0</v>
      </c>
      <c r="S196" s="316">
        <f t="shared" si="18"/>
        <v>0</v>
      </c>
      <c r="U196" s="293" t="s">
        <v>253</v>
      </c>
    </row>
    <row r="197" spans="1:21" ht="14">
      <c r="A197" s="185" t="s">
        <v>66</v>
      </c>
      <c r="B197" s="182" t="s">
        <v>170</v>
      </c>
      <c r="C197" s="231">
        <v>17363.8</v>
      </c>
      <c r="D197" s="212">
        <v>0</v>
      </c>
      <c r="E197" s="199"/>
      <c r="F197" s="211">
        <v>1</v>
      </c>
      <c r="G197" s="309">
        <f>'Historic Utility Costs'!D103</f>
        <v>11872.099999999999</v>
      </c>
      <c r="H197" s="309">
        <f>'Footprint Summary'!$G47*Assumptions!D83</f>
        <v>8765.0474023806055</v>
      </c>
      <c r="I197" s="309">
        <f>'Footprint Summary'!$G47*Assumptions!E83</f>
        <v>9027.9988244520246</v>
      </c>
      <c r="J197" s="309">
        <f>'Footprint Summary'!$G47*Assumptions!F83</f>
        <v>9298.8387891855855</v>
      </c>
      <c r="K197" s="309">
        <f>'Footprint Summary'!$G47*Assumptions!G83</f>
        <v>9577.8039528611516</v>
      </c>
      <c r="L197" s="309">
        <f>'Footprint Summary'!$G47*Assumptions!H83</f>
        <v>9865.1380714469869</v>
      </c>
      <c r="M197" s="309">
        <f>'Footprint Summary'!$G47*Assumptions!I83</f>
        <v>10161.092213590397</v>
      </c>
      <c r="N197" s="309">
        <f>'Footprint Summary'!$G47*Assumptions!J83</f>
        <v>10465.924979998108</v>
      </c>
      <c r="O197" s="309">
        <f>'Footprint Summary'!$G47*Assumptions!K83</f>
        <v>10779.902729398053</v>
      </c>
      <c r="P197" s="309">
        <f>'Footprint Summary'!$G47*Assumptions!L83</f>
        <v>11103.299811279994</v>
      </c>
      <c r="Q197" s="309">
        <f>'Footprint Summary'!$G47*Assumptions!M83</f>
        <v>11436.398805618395</v>
      </c>
      <c r="R197" s="309">
        <f>'Footprint Summary'!$G47*Assumptions!N83</f>
        <v>11779.490769786948</v>
      </c>
      <c r="S197" s="316">
        <f t="shared" si="18"/>
        <v>112260.93634999824</v>
      </c>
      <c r="U197" s="293" t="s">
        <v>254</v>
      </c>
    </row>
    <row r="198" spans="1:21" ht="14">
      <c r="A198" s="185" t="s">
        <v>48</v>
      </c>
      <c r="B198" s="182" t="s">
        <v>168</v>
      </c>
      <c r="C198" s="231">
        <v>24784</v>
      </c>
      <c r="D198" s="212">
        <v>0</v>
      </c>
      <c r="E198" s="199"/>
      <c r="F198" s="211">
        <v>1</v>
      </c>
      <c r="G198" s="309">
        <f>'Historic Utility Costs'!D104</f>
        <v>0</v>
      </c>
      <c r="H198" s="309">
        <f>'Footprint Summary'!$G48*Assumptions!D84</f>
        <v>0</v>
      </c>
      <c r="I198" s="309">
        <f>'Footprint Summary'!$G48*Assumptions!E84</f>
        <v>0</v>
      </c>
      <c r="J198" s="309">
        <f>'Footprint Summary'!$G48*Assumptions!F84</f>
        <v>0</v>
      </c>
      <c r="K198" s="309">
        <f>'Footprint Summary'!$G48*Assumptions!G84</f>
        <v>0</v>
      </c>
      <c r="L198" s="309">
        <f>'Footprint Summary'!$G48*Assumptions!H84</f>
        <v>0</v>
      </c>
      <c r="M198" s="309">
        <f>'Footprint Summary'!$G48*Assumptions!I84</f>
        <v>0</v>
      </c>
      <c r="N198" s="309">
        <f>'Footprint Summary'!$G48*Assumptions!J84</f>
        <v>0</v>
      </c>
      <c r="O198" s="309">
        <f>'Footprint Summary'!$G48*Assumptions!K84</f>
        <v>0</v>
      </c>
      <c r="P198" s="309">
        <f>'Footprint Summary'!$G48*Assumptions!L84</f>
        <v>0</v>
      </c>
      <c r="Q198" s="309">
        <f>'Footprint Summary'!$G48*Assumptions!M84</f>
        <v>0</v>
      </c>
      <c r="R198" s="309">
        <f>'Footprint Summary'!$G48*Assumptions!N84</f>
        <v>0</v>
      </c>
      <c r="S198" s="316">
        <f t="shared" si="18"/>
        <v>0</v>
      </c>
      <c r="U198" s="293" t="s">
        <v>255</v>
      </c>
    </row>
    <row r="199" spans="1:21" ht="14">
      <c r="A199" s="185" t="s">
        <v>30</v>
      </c>
      <c r="B199" s="182" t="s">
        <v>123</v>
      </c>
      <c r="C199" s="231">
        <v>23555.5</v>
      </c>
      <c r="D199" s="211">
        <v>0</v>
      </c>
      <c r="E199" s="199"/>
      <c r="F199" s="211">
        <v>1</v>
      </c>
      <c r="G199" s="309">
        <f>'Historic Utility Costs'!D105</f>
        <v>42887.902300000002</v>
      </c>
      <c r="H199" s="309">
        <f>'Footprint Summary'!$G49*Assumptions!D85</f>
        <v>70408.86781973399</v>
      </c>
      <c r="I199" s="309">
        <f>'Footprint Summary'!$G49*Assumptions!E85</f>
        <v>72521.133854326006</v>
      </c>
      <c r="J199" s="309">
        <f>'Footprint Summary'!$G49*Assumptions!F85</f>
        <v>74696.767869955787</v>
      </c>
      <c r="K199" s="309">
        <f>'Footprint Summary'!$G49*Assumptions!G85</f>
        <v>76937.670906054467</v>
      </c>
      <c r="L199" s="309">
        <f>'Footprint Summary'!$G49*Assumptions!H85</f>
        <v>79245.801033236115</v>
      </c>
      <c r="M199" s="309">
        <f>'Footprint Summary'!$G49*Assumptions!I85</f>
        <v>81623.175064233204</v>
      </c>
      <c r="N199" s="309">
        <f>'Footprint Summary'!$G49*Assumptions!J85</f>
        <v>84071.870316160217</v>
      </c>
      <c r="O199" s="309">
        <f>'Footprint Summary'!$G49*Assumptions!K85</f>
        <v>86594.026425645017</v>
      </c>
      <c r="P199" s="309">
        <f>'Footprint Summary'!$G49*Assumptions!L85</f>
        <v>89191.847218414361</v>
      </c>
      <c r="Q199" s="309">
        <f>'Footprint Summary'!$G49*Assumptions!M85</f>
        <v>91867.602634966795</v>
      </c>
      <c r="R199" s="309">
        <f>'Footprint Summary'!$G49*Assumptions!N85</f>
        <v>94623.630714015788</v>
      </c>
      <c r="S199" s="316">
        <f t="shared" si="18"/>
        <v>901782.39385674172</v>
      </c>
      <c r="U199" s="293" t="s">
        <v>256</v>
      </c>
    </row>
    <row r="200" spans="1:21" ht="14">
      <c r="A200" s="185" t="s">
        <v>63</v>
      </c>
      <c r="B200" s="182" t="s">
        <v>64</v>
      </c>
      <c r="C200" s="231">
        <v>61127</v>
      </c>
      <c r="D200" s="211">
        <v>0.5</v>
      </c>
      <c r="E200" s="199"/>
      <c r="F200" s="211"/>
      <c r="G200" s="309">
        <f>'Historic Utility Costs'!D106</f>
        <v>0</v>
      </c>
      <c r="H200" s="309">
        <f>'Footprint Summary'!$G50*Assumptions!D86</f>
        <v>0</v>
      </c>
      <c r="I200" s="309">
        <f>'Footprint Summary'!$G50*Assumptions!E86</f>
        <v>0</v>
      </c>
      <c r="J200" s="309">
        <f>'Footprint Summary'!$G50*Assumptions!F86</f>
        <v>0</v>
      </c>
      <c r="K200" s="309">
        <f>'Footprint Summary'!$G50*Assumptions!G86</f>
        <v>0</v>
      </c>
      <c r="L200" s="309">
        <f>'Footprint Summary'!$G50*Assumptions!H86</f>
        <v>0</v>
      </c>
      <c r="M200" s="309">
        <f>'Footprint Summary'!$G50*Assumptions!I86</f>
        <v>0</v>
      </c>
      <c r="N200" s="309">
        <f>'Footprint Summary'!$G50*Assumptions!J86</f>
        <v>0</v>
      </c>
      <c r="O200" s="309">
        <f>'Footprint Summary'!$G50*Assumptions!K86</f>
        <v>0</v>
      </c>
      <c r="P200" s="309">
        <f>'Footprint Summary'!$G50*Assumptions!L86</f>
        <v>0</v>
      </c>
      <c r="Q200" s="309">
        <f>'Footprint Summary'!$G50*Assumptions!M86</f>
        <v>0</v>
      </c>
      <c r="R200" s="309">
        <f>'Footprint Summary'!$G50*Assumptions!N86</f>
        <v>0</v>
      </c>
      <c r="S200" s="316">
        <f t="shared" si="18"/>
        <v>0</v>
      </c>
      <c r="U200" s="293" t="s">
        <v>257</v>
      </c>
    </row>
    <row r="201" spans="1:21" ht="14">
      <c r="A201" s="185" t="s">
        <v>66</v>
      </c>
      <c r="B201" s="182" t="s">
        <v>95</v>
      </c>
      <c r="C201" s="231">
        <v>41253</v>
      </c>
      <c r="D201" s="212">
        <v>0</v>
      </c>
      <c r="E201" s="199">
        <v>0.5</v>
      </c>
      <c r="F201" s="211"/>
      <c r="G201" s="309">
        <f>'Historic Utility Costs'!D107</f>
        <v>64459.194799999997</v>
      </c>
      <c r="H201" s="309">
        <f>'Footprint Summary'!$G51*Assumptions!D87</f>
        <v>86338.297580362618</v>
      </c>
      <c r="I201" s="309">
        <f>'Footprint Summary'!$G51*Assumptions!E87</f>
        <v>88928.446507773508</v>
      </c>
      <c r="J201" s="309">
        <f>'Footprint Summary'!$G51*Assumptions!F87</f>
        <v>91596.299903006715</v>
      </c>
      <c r="K201" s="309">
        <f>'Footprint Summary'!$G51*Assumptions!G87</f>
        <v>94344.188900096924</v>
      </c>
      <c r="L201" s="309">
        <f>'Footprint Summary'!$G51*Assumptions!H87</f>
        <v>97174.514567099832</v>
      </c>
      <c r="M201" s="309">
        <f>'Footprint Summary'!$G51*Assumptions!I87</f>
        <v>100089.75000411282</v>
      </c>
      <c r="N201" s="309">
        <f>'Footprint Summary'!$G51*Assumptions!J87</f>
        <v>103092.44250423621</v>
      </c>
      <c r="O201" s="309">
        <f>'Footprint Summary'!$G51*Assumptions!K87</f>
        <v>106185.21577936331</v>
      </c>
      <c r="P201" s="309">
        <f>'Footprint Summary'!$G51*Assumptions!L87</f>
        <v>109370.77225274421</v>
      </c>
      <c r="Q201" s="309">
        <f>'Footprint Summary'!$G51*Assumptions!M87</f>
        <v>112651.89542032653</v>
      </c>
      <c r="R201" s="309">
        <f>'Footprint Summary'!$G51*Assumptions!N87</f>
        <v>116031.45228293633</v>
      </c>
      <c r="S201" s="316">
        <f t="shared" si="18"/>
        <v>1105803.275702059</v>
      </c>
      <c r="U201" s="293" t="s">
        <v>258</v>
      </c>
    </row>
    <row r="202" spans="1:21" ht="14">
      <c r="A202" s="185" t="s">
        <v>66</v>
      </c>
      <c r="B202" s="198" t="s">
        <v>133</v>
      </c>
      <c r="C202" s="231">
        <v>8227.2000000000007</v>
      </c>
      <c r="D202" s="212">
        <v>0</v>
      </c>
      <c r="E202" s="199"/>
      <c r="F202" s="211">
        <v>1</v>
      </c>
      <c r="G202" s="309">
        <f>'Historic Utility Costs'!D108</f>
        <v>0</v>
      </c>
      <c r="H202" s="309">
        <f>'Footprint Summary'!$G52*Assumptions!D88</f>
        <v>0</v>
      </c>
      <c r="I202" s="309">
        <f>'Footprint Summary'!$G52*Assumptions!E88</f>
        <v>0</v>
      </c>
      <c r="J202" s="309">
        <f>'Footprint Summary'!$G52*Assumptions!F88</f>
        <v>0</v>
      </c>
      <c r="K202" s="309">
        <f>'Footprint Summary'!$G52*Assumptions!G88</f>
        <v>0</v>
      </c>
      <c r="L202" s="309">
        <f>'Footprint Summary'!$G52*Assumptions!H88</f>
        <v>0</v>
      </c>
      <c r="M202" s="309">
        <f>'Footprint Summary'!$G52*Assumptions!I88</f>
        <v>0</v>
      </c>
      <c r="N202" s="309">
        <f>'Footprint Summary'!$G52*Assumptions!J88</f>
        <v>0</v>
      </c>
      <c r="O202" s="309">
        <f>'Footprint Summary'!$G52*Assumptions!K88</f>
        <v>0</v>
      </c>
      <c r="P202" s="309">
        <f>'Footprint Summary'!$G52*Assumptions!L88</f>
        <v>0</v>
      </c>
      <c r="Q202" s="309">
        <f>'Footprint Summary'!$G52*Assumptions!M88</f>
        <v>0</v>
      </c>
      <c r="R202" s="309">
        <f>'Footprint Summary'!$G52*Assumptions!N88</f>
        <v>0</v>
      </c>
      <c r="S202" s="316">
        <f t="shared" si="18"/>
        <v>0</v>
      </c>
      <c r="U202" s="293" t="s">
        <v>259</v>
      </c>
    </row>
    <row r="203" spans="1:21" ht="14">
      <c r="A203" s="185" t="s">
        <v>178</v>
      </c>
      <c r="B203" s="198" t="s">
        <v>140</v>
      </c>
      <c r="C203" s="231">
        <v>20861</v>
      </c>
      <c r="D203" s="212">
        <v>1</v>
      </c>
      <c r="E203" s="199"/>
      <c r="F203" s="211">
        <v>0</v>
      </c>
      <c r="G203" s="309">
        <f>'Historic Utility Costs'!D109</f>
        <v>218766.34715634456</v>
      </c>
      <c r="H203" s="309">
        <f>'Footprint Summary'!$G53*Assumptions!D89</f>
        <v>91470.335116709975</v>
      </c>
      <c r="I203" s="309">
        <f>'Footprint Summary'!$G53*Assumptions!E89</f>
        <v>94214.445170211286</v>
      </c>
      <c r="J203" s="309">
        <f>'Footprint Summary'!$G53*Assumptions!F89</f>
        <v>97040.878525317617</v>
      </c>
      <c r="K203" s="309">
        <f>'Footprint Summary'!$G53*Assumptions!G89</f>
        <v>99952.104881077146</v>
      </c>
      <c r="L203" s="309">
        <f>'Footprint Summary'!$G53*Assumptions!H89</f>
        <v>102950.66802750948</v>
      </c>
      <c r="M203" s="309">
        <f>'Footprint Summary'!$G53*Assumptions!I89</f>
        <v>106039.18806833477</v>
      </c>
      <c r="N203" s="309">
        <f>'Footprint Summary'!$G53*Assumptions!J89</f>
        <v>109220.36371038482</v>
      </c>
      <c r="O203" s="309">
        <f>'Footprint Summary'!$G53*Assumptions!K89</f>
        <v>112496.97462169637</v>
      </c>
      <c r="P203" s="309">
        <f>'Footprint Summary'!$G53*Assumptions!L89</f>
        <v>115871.88386034727</v>
      </c>
      <c r="Q203" s="309">
        <f>'Footprint Summary'!$G53*Assumptions!M89</f>
        <v>119348.0403761577</v>
      </c>
      <c r="R203" s="309">
        <f>'Footprint Summary'!$G53*Assumptions!N89</f>
        <v>122928.48158744244</v>
      </c>
      <c r="S203" s="316">
        <f t="shared" si="18"/>
        <v>1171533.3639451887</v>
      </c>
      <c r="U203" s="293" t="s">
        <v>260</v>
      </c>
    </row>
    <row r="204" spans="1:21" ht="14">
      <c r="A204" s="185" t="s">
        <v>37</v>
      </c>
      <c r="B204" s="182" t="s">
        <v>166</v>
      </c>
      <c r="C204" s="231">
        <v>15723.1</v>
      </c>
      <c r="D204" s="212">
        <v>0</v>
      </c>
      <c r="E204" s="199"/>
      <c r="F204" s="211">
        <v>1</v>
      </c>
      <c r="G204" s="309">
        <f>'Historic Utility Costs'!D110</f>
        <v>30753.603199999998</v>
      </c>
      <c r="H204" s="309">
        <f>'Footprint Summary'!$G54*Assumptions!D90</f>
        <v>32618.238019579778</v>
      </c>
      <c r="I204" s="309">
        <f>'Footprint Summary'!$G54*Assumptions!E90</f>
        <v>33596.785160167172</v>
      </c>
      <c r="J204" s="309">
        <f>'Footprint Summary'!$G54*Assumptions!F90</f>
        <v>34604.688714972188</v>
      </c>
      <c r="K204" s="309">
        <f>'Footprint Summary'!$G54*Assumptions!G90</f>
        <v>35642.829376421359</v>
      </c>
      <c r="L204" s="309">
        <f>'Footprint Summary'!$G54*Assumptions!H90</f>
        <v>36712.114257713998</v>
      </c>
      <c r="M204" s="309">
        <f>'Footprint Summary'!$G54*Assumptions!I90</f>
        <v>37813.477685445418</v>
      </c>
      <c r="N204" s="309">
        <f>'Footprint Summary'!$G54*Assumptions!J90</f>
        <v>38947.882016008785</v>
      </c>
      <c r="O204" s="309">
        <f>'Footprint Summary'!$G54*Assumptions!K90</f>
        <v>40116.318476489047</v>
      </c>
      <c r="P204" s="309">
        <f>'Footprint Summary'!$G54*Assumptions!L90</f>
        <v>41319.808030783723</v>
      </c>
      <c r="Q204" s="309">
        <f>'Footprint Summary'!$G54*Assumptions!M90</f>
        <v>42559.402271707237</v>
      </c>
      <c r="R204" s="309">
        <f>'Footprint Summary'!$G54*Assumptions!N90</f>
        <v>43836.184339858453</v>
      </c>
      <c r="S204" s="316">
        <f t="shared" si="18"/>
        <v>417767.72834914725</v>
      </c>
      <c r="U204" s="293" t="s">
        <v>261</v>
      </c>
    </row>
    <row r="205" spans="1:21" ht="14.5" thickBot="1">
      <c r="A205" s="185" t="s">
        <v>66</v>
      </c>
      <c r="B205" s="182" t="s">
        <v>67</v>
      </c>
      <c r="C205" s="231">
        <v>12837.7</v>
      </c>
      <c r="D205" s="211">
        <v>0</v>
      </c>
      <c r="E205" s="199"/>
      <c r="F205" s="211">
        <v>1</v>
      </c>
      <c r="G205" s="309">
        <f>'Historic Utility Costs'!D111</f>
        <v>59093.701700000005</v>
      </c>
      <c r="H205" s="309">
        <f>'Footprint Summary'!$G55*Assumptions!D91</f>
        <v>85406.61040976354</v>
      </c>
      <c r="I205" s="309">
        <f>'Footprint Summary'!$G55*Assumptions!E91</f>
        <v>87968.808722056448</v>
      </c>
      <c r="J205" s="309">
        <f>'Footprint Summary'!$G55*Assumptions!F91</f>
        <v>90607.872983718145</v>
      </c>
      <c r="K205" s="309">
        <f>'Footprint Summary'!$G55*Assumptions!G91</f>
        <v>93326.109173229692</v>
      </c>
      <c r="L205" s="309">
        <f>'Footprint Summary'!$G55*Assumptions!H91</f>
        <v>96125.892448426574</v>
      </c>
      <c r="M205" s="309">
        <f>'Footprint Summary'!$G55*Assumptions!I91</f>
        <v>99009.669221879376</v>
      </c>
      <c r="N205" s="309">
        <f>'Footprint Summary'!$G55*Assumptions!J91</f>
        <v>101979.95929853576</v>
      </c>
      <c r="O205" s="309">
        <f>'Footprint Summary'!$G55*Assumptions!K91</f>
        <v>105039.35807749182</v>
      </c>
      <c r="P205" s="309">
        <f>'Footprint Summary'!$G55*Assumptions!L91</f>
        <v>108190.53881981659</v>
      </c>
      <c r="Q205" s="309">
        <f>'Footprint Summary'!$G55*Assumptions!M91</f>
        <v>111436.25498441108</v>
      </c>
      <c r="R205" s="309">
        <f>'Footprint Summary'!$G55*Assumptions!N91</f>
        <v>114779.34263394342</v>
      </c>
      <c r="S205" s="316">
        <f t="shared" si="18"/>
        <v>1093870.4167732722</v>
      </c>
      <c r="U205" s="293" t="s">
        <v>262</v>
      </c>
    </row>
    <row r="206" spans="1:21" ht="13" thickTop="1">
      <c r="G206" s="313">
        <f>SUBTOTAL(109,G183:G205)</f>
        <v>1254680.0926563444</v>
      </c>
      <c r="H206" s="313">
        <f t="shared" ref="H206:S206" si="19">SUBTOTAL(109,H183:H205)</f>
        <v>1235007.5151671383</v>
      </c>
      <c r="I206" s="313">
        <f t="shared" si="19"/>
        <v>1272057.7406221523</v>
      </c>
      <c r="J206" s="313">
        <f t="shared" si="19"/>
        <v>1310219.4728408167</v>
      </c>
      <c r="K206" s="313">
        <f t="shared" si="19"/>
        <v>1349526.057026041</v>
      </c>
      <c r="L206" s="313">
        <f t="shared" si="19"/>
        <v>1390011.8387368224</v>
      </c>
      <c r="M206" s="313">
        <f t="shared" si="19"/>
        <v>1431712.1938989272</v>
      </c>
      <c r="N206" s="313">
        <f t="shared" si="19"/>
        <v>1474663.559715895</v>
      </c>
      <c r="O206" s="313">
        <f t="shared" si="19"/>
        <v>1518903.4665073722</v>
      </c>
      <c r="P206" s="313">
        <f t="shared" si="19"/>
        <v>1564470.5705025934</v>
      </c>
      <c r="Q206" s="313">
        <f t="shared" si="19"/>
        <v>1611404.6876176714</v>
      </c>
      <c r="R206" s="313">
        <f t="shared" si="19"/>
        <v>1659746.8282462009</v>
      </c>
      <c r="S206" s="313">
        <f t="shared" si="19"/>
        <v>15817723.930881632</v>
      </c>
    </row>
    <row r="210" spans="1:19" ht="18" thickBot="1">
      <c r="A210" s="196" t="s">
        <v>263</v>
      </c>
    </row>
    <row r="211" spans="1:19" ht="15" thickTop="1" thickBot="1">
      <c r="A211" s="184" t="s">
        <v>6</v>
      </c>
      <c r="B211" s="184" t="s">
        <v>7</v>
      </c>
      <c r="C211" s="184" t="s">
        <v>9</v>
      </c>
      <c r="D211" s="184" t="s">
        <v>10</v>
      </c>
      <c r="E211" s="184" t="s">
        <v>11</v>
      </c>
      <c r="F211" s="184" t="s">
        <v>12</v>
      </c>
      <c r="G211" s="184" t="s">
        <v>188</v>
      </c>
      <c r="H211" s="184" t="s">
        <v>189</v>
      </c>
      <c r="I211" s="184" t="s">
        <v>190</v>
      </c>
      <c r="J211" s="184" t="s">
        <v>191</v>
      </c>
      <c r="K211" s="184" t="s">
        <v>192</v>
      </c>
      <c r="L211" s="184" t="s">
        <v>193</v>
      </c>
      <c r="M211" s="184" t="s">
        <v>194</v>
      </c>
      <c r="N211" s="184" t="s">
        <v>195</v>
      </c>
      <c r="O211" s="184" t="s">
        <v>196</v>
      </c>
      <c r="P211" s="184" t="s">
        <v>197</v>
      </c>
      <c r="Q211" s="184" t="s">
        <v>198</v>
      </c>
      <c r="R211" s="184" t="s">
        <v>199</v>
      </c>
      <c r="S211" s="200" t="s">
        <v>84</v>
      </c>
    </row>
    <row r="212" spans="1:19" ht="14.5" thickTop="1">
      <c r="A212" s="185" t="s">
        <v>30</v>
      </c>
      <c r="B212" s="198" t="s">
        <v>31</v>
      </c>
      <c r="C212" s="228">
        <v>29166</v>
      </c>
      <c r="D212" s="211">
        <v>1</v>
      </c>
      <c r="E212" s="199"/>
      <c r="F212" s="211">
        <v>1</v>
      </c>
      <c r="G212" s="203">
        <f>'Footprint Summary'!G216*Assumptions!C$35</f>
        <v>0</v>
      </c>
      <c r="H212" s="203">
        <f>'Footprint Summary'!H216*Assumptions!D$35</f>
        <v>4227.1629300933655</v>
      </c>
      <c r="I212" s="203">
        <f>'Footprint Summary'!I216*Assumptions!E$35</f>
        <v>3823.5537144816944</v>
      </c>
      <c r="J212" s="203">
        <f>'Footprint Summary'!J216*Assumptions!F$35</f>
        <v>3419.9444988700234</v>
      </c>
      <c r="K212" s="203">
        <f>'Footprint Summary'!K216*Assumptions!G$35</f>
        <v>3016.3352832583523</v>
      </c>
      <c r="L212" s="203">
        <f>'Footprint Summary'!L216*Assumptions!H$35</f>
        <v>2612.7260676466822</v>
      </c>
      <c r="M212" s="203">
        <f>'Footprint Summary'!M216*Assumptions!I$35</f>
        <v>2209.1168520350116</v>
      </c>
      <c r="N212" s="203">
        <f>'Footprint Summary'!N216*Assumptions!J$35</f>
        <v>1805.5076364233405</v>
      </c>
      <c r="O212" s="203">
        <f>'Footprint Summary'!O216*Assumptions!K$35</f>
        <v>1401.8984208116699</v>
      </c>
      <c r="P212" s="203">
        <f>'Footprint Summary'!P216*Assumptions!L$35</f>
        <v>998.28920519999929</v>
      </c>
      <c r="Q212" s="203">
        <f>'Footprint Summary'!Q216*Assumptions!M$35</f>
        <v>998.28920519999986</v>
      </c>
      <c r="R212" s="203">
        <f>'Footprint Summary'!R216*Assumptions!N$35</f>
        <v>998.28920519999986</v>
      </c>
      <c r="S212" s="204">
        <f>SUM(G212:R212)</f>
        <v>25511.113019220134</v>
      </c>
    </row>
    <row r="213" spans="1:19" ht="14">
      <c r="A213" s="185" t="s">
        <v>37</v>
      </c>
      <c r="B213" s="182" t="s">
        <v>38</v>
      </c>
      <c r="C213" s="228">
        <v>62987</v>
      </c>
      <c r="D213" s="211">
        <v>0.5</v>
      </c>
      <c r="E213" s="199"/>
      <c r="F213" s="211">
        <v>1</v>
      </c>
      <c r="G213" s="203">
        <f>'Footprint Summary'!G217*Assumptions!C$35</f>
        <v>0</v>
      </c>
      <c r="H213" s="203">
        <f>'Footprint Summary'!H217*Assumptions!D$35</f>
        <v>8037.8257278440542</v>
      </c>
      <c r="I213" s="203">
        <f>'Footprint Summary'!I217*Assumptions!E$35</f>
        <v>7433.7392618635467</v>
      </c>
      <c r="J213" s="203">
        <f>'Footprint Summary'!J217*Assumptions!F$35</f>
        <v>6829.6527958830402</v>
      </c>
      <c r="K213" s="203">
        <f>'Footprint Summary'!K217*Assumptions!G$35</f>
        <v>6225.5663299025327</v>
      </c>
      <c r="L213" s="203">
        <f>'Footprint Summary'!L217*Assumptions!H$35</f>
        <v>5621.4798639220262</v>
      </c>
      <c r="M213" s="203">
        <f>'Footprint Summary'!M217*Assumptions!I$35</f>
        <v>5017.3933979415187</v>
      </c>
      <c r="N213" s="203">
        <f>'Footprint Summary'!N217*Assumptions!J$35</f>
        <v>4413.3069319610131</v>
      </c>
      <c r="O213" s="203">
        <f>'Footprint Summary'!O217*Assumptions!K$35</f>
        <v>3809.2204659805052</v>
      </c>
      <c r="P213" s="203">
        <f>'Footprint Summary'!P217*Assumptions!L$35</f>
        <v>3205.1339999999987</v>
      </c>
      <c r="Q213" s="203">
        <f>'Footprint Summary'!Q217*Assumptions!M$35</f>
        <v>3205.134</v>
      </c>
      <c r="R213" s="203">
        <f>'Footprint Summary'!R217*Assumptions!N$35</f>
        <v>3205.134</v>
      </c>
      <c r="S213" s="204">
        <f t="shared" ref="S213:S234" si="20">SUM(G213:R213)</f>
        <v>57003.58677529823</v>
      </c>
    </row>
    <row r="214" spans="1:19" ht="14">
      <c r="A214" s="185" t="s">
        <v>30</v>
      </c>
      <c r="B214" s="182" t="s">
        <v>42</v>
      </c>
      <c r="C214" s="231">
        <v>42132</v>
      </c>
      <c r="D214" s="211">
        <v>0.5</v>
      </c>
      <c r="E214" s="199">
        <v>0.25</v>
      </c>
      <c r="F214" s="211">
        <v>1</v>
      </c>
      <c r="G214" s="203">
        <f>'Footprint Summary'!G218*Assumptions!C$35</f>
        <v>0</v>
      </c>
      <c r="H214" s="203">
        <f>'Footprint Summary'!H218*Assumptions!D$35</f>
        <v>8181.8671451166902</v>
      </c>
      <c r="I214" s="203">
        <f>'Footprint Summary'!I218*Assumptions!E$35</f>
        <v>7393.5661155021053</v>
      </c>
      <c r="J214" s="203">
        <f>'Footprint Summary'!J218*Assumptions!F$35</f>
        <v>6605.2650858875186</v>
      </c>
      <c r="K214" s="203">
        <f>'Footprint Summary'!K218*Assumptions!G$35</f>
        <v>5816.9640562729319</v>
      </c>
      <c r="L214" s="203">
        <f>'Footprint Summary'!L218*Assumptions!H$35</f>
        <v>5028.6630266583461</v>
      </c>
      <c r="M214" s="203">
        <f>'Footprint Summary'!M218*Assumptions!I$35</f>
        <v>4240.3619970437594</v>
      </c>
      <c r="N214" s="203">
        <f>'Footprint Summary'!N218*Assumptions!J$35</f>
        <v>3452.0609674291732</v>
      </c>
      <c r="O214" s="203">
        <f>'Footprint Summary'!O218*Assumptions!K$35</f>
        <v>2663.7599378145869</v>
      </c>
      <c r="P214" s="203">
        <f>'Footprint Summary'!P218*Assumptions!L$35</f>
        <v>1875.4589082000002</v>
      </c>
      <c r="Q214" s="203">
        <f>'Footprint Summary'!Q218*Assumptions!M$35</f>
        <v>1875.4589082000002</v>
      </c>
      <c r="R214" s="203">
        <f>'Footprint Summary'!R218*Assumptions!N$35</f>
        <v>1875.4589082000002</v>
      </c>
      <c r="S214" s="204">
        <f t="shared" si="20"/>
        <v>49008.885056325118</v>
      </c>
    </row>
    <row r="215" spans="1:19" ht="14">
      <c r="A215" s="185" t="s">
        <v>30</v>
      </c>
      <c r="B215" s="182" t="s">
        <v>43</v>
      </c>
      <c r="C215" s="231">
        <v>12509</v>
      </c>
      <c r="D215" s="211">
        <v>1</v>
      </c>
      <c r="E215" s="199"/>
      <c r="F215" s="211">
        <v>1</v>
      </c>
      <c r="G215" s="203">
        <f>'Footprint Summary'!G219*Assumptions!C$35</f>
        <v>0</v>
      </c>
      <c r="H215" s="203">
        <f>'Footprint Summary'!H219*Assumptions!D$35</f>
        <v>2007.45756648816</v>
      </c>
      <c r="I215" s="203">
        <f>'Footprint Summary'!I219*Assumptions!E$35</f>
        <v>1838.0683467521399</v>
      </c>
      <c r="J215" s="203">
        <f>'Footprint Summary'!J219*Assumptions!F$35</f>
        <v>1668.6791270161198</v>
      </c>
      <c r="K215" s="203">
        <f>'Footprint Summary'!K219*Assumptions!G$35</f>
        <v>1499.2899072800999</v>
      </c>
      <c r="L215" s="203">
        <f>'Footprint Summary'!L219*Assumptions!H$35</f>
        <v>1329.9006875440798</v>
      </c>
      <c r="M215" s="203">
        <f>'Footprint Summary'!M219*Assumptions!I$35</f>
        <v>1160.5114678080599</v>
      </c>
      <c r="N215" s="203">
        <f>'Footprint Summary'!N219*Assumptions!J$35</f>
        <v>991.12224807203984</v>
      </c>
      <c r="O215" s="203">
        <f>'Footprint Summary'!O219*Assumptions!K$35</f>
        <v>821.73302833601986</v>
      </c>
      <c r="P215" s="203">
        <f>'Footprint Summary'!P219*Assumptions!L$35</f>
        <v>652.34380859999987</v>
      </c>
      <c r="Q215" s="203">
        <f>'Footprint Summary'!Q219*Assumptions!M$35</f>
        <v>652.34380859999987</v>
      </c>
      <c r="R215" s="203">
        <f>'Footprint Summary'!R219*Assumptions!N$35</f>
        <v>652.34380859999987</v>
      </c>
      <c r="S215" s="204">
        <f t="shared" si="20"/>
        <v>13273.793805096722</v>
      </c>
    </row>
    <row r="216" spans="1:19" ht="14">
      <c r="A216" s="185" t="s">
        <v>30</v>
      </c>
      <c r="B216" s="182" t="s">
        <v>46</v>
      </c>
      <c r="C216" s="231">
        <v>27263</v>
      </c>
      <c r="D216" s="211">
        <v>1</v>
      </c>
      <c r="E216" s="199"/>
      <c r="F216" s="211">
        <v>1</v>
      </c>
      <c r="G216" s="203">
        <f>'Footprint Summary'!G220*Assumptions!C$35</f>
        <v>0</v>
      </c>
      <c r="H216" s="203">
        <f>'Footprint Summary'!H220*Assumptions!D$35</f>
        <v>3144.3103376264289</v>
      </c>
      <c r="I216" s="203">
        <f>'Footprint Summary'!I220*Assumptions!E$35</f>
        <v>2878.6156978606255</v>
      </c>
      <c r="J216" s="203">
        <f>'Footprint Summary'!J220*Assumptions!F$35</f>
        <v>2612.921058094822</v>
      </c>
      <c r="K216" s="203">
        <f>'Footprint Summary'!K220*Assumptions!G$35</f>
        <v>2347.2264183290185</v>
      </c>
      <c r="L216" s="203">
        <f>'Footprint Summary'!L220*Assumptions!H$35</f>
        <v>2081.5317785632151</v>
      </c>
      <c r="M216" s="203">
        <f>'Footprint Summary'!M220*Assumptions!I$35</f>
        <v>1815.8371387974114</v>
      </c>
      <c r="N216" s="203">
        <f>'Footprint Summary'!N220*Assumptions!J$35</f>
        <v>1550.1424990316077</v>
      </c>
      <c r="O216" s="203">
        <f>'Footprint Summary'!O220*Assumptions!K$35</f>
        <v>1284.447859265804</v>
      </c>
      <c r="P216" s="203">
        <f>'Footprint Summary'!P220*Assumptions!L$35</f>
        <v>1018.7532195000005</v>
      </c>
      <c r="Q216" s="203">
        <f>'Footprint Summary'!Q220*Assumptions!M$35</f>
        <v>1018.7532195</v>
      </c>
      <c r="R216" s="203">
        <f>'Footprint Summary'!R220*Assumptions!N$35</f>
        <v>1018.7532195</v>
      </c>
      <c r="S216" s="204">
        <f t="shared" si="20"/>
        <v>20771.292446068936</v>
      </c>
    </row>
    <row r="217" spans="1:19" ht="14">
      <c r="A217" s="185" t="s">
        <v>30</v>
      </c>
      <c r="B217" s="182" t="s">
        <v>47</v>
      </c>
      <c r="C217" s="231">
        <v>39057</v>
      </c>
      <c r="D217" s="211">
        <v>1</v>
      </c>
      <c r="E217" s="199"/>
      <c r="F217" s="211">
        <v>1</v>
      </c>
      <c r="G217" s="203">
        <f>'Footprint Summary'!G221*Assumptions!C$35</f>
        <v>0</v>
      </c>
      <c r="H217" s="203">
        <f>'Footprint Summary'!H221*Assumptions!D$35</f>
        <v>5334.0475913603759</v>
      </c>
      <c r="I217" s="203">
        <f>'Footprint Summary'!I221*Assumptions!E$35</f>
        <v>4919.984510627829</v>
      </c>
      <c r="J217" s="203">
        <f>'Footprint Summary'!J221*Assumptions!F$35</f>
        <v>4505.9214298952829</v>
      </c>
      <c r="K217" s="203">
        <f>'Footprint Summary'!K221*Assumptions!G$35</f>
        <v>4091.8583491627355</v>
      </c>
      <c r="L217" s="203">
        <f>'Footprint Summary'!L221*Assumptions!H$35</f>
        <v>3677.7952684301886</v>
      </c>
      <c r="M217" s="203">
        <f>'Footprint Summary'!M221*Assumptions!I$35</f>
        <v>3263.7321876976416</v>
      </c>
      <c r="N217" s="203">
        <f>'Footprint Summary'!N221*Assumptions!J$35</f>
        <v>2849.6691069650947</v>
      </c>
      <c r="O217" s="203">
        <f>'Footprint Summary'!O221*Assumptions!K$35</f>
        <v>2435.6060262325477</v>
      </c>
      <c r="P217" s="203">
        <f>'Footprint Summary'!P221*Assumptions!L$35</f>
        <v>2021.5429455000003</v>
      </c>
      <c r="Q217" s="203">
        <f>'Footprint Summary'!Q221*Assumptions!M$35</f>
        <v>2021.5429454999999</v>
      </c>
      <c r="R217" s="203">
        <f>'Footprint Summary'!R221*Assumptions!N$35</f>
        <v>2021.5429454999999</v>
      </c>
      <c r="S217" s="204">
        <f t="shared" si="20"/>
        <v>37143.243306871693</v>
      </c>
    </row>
    <row r="218" spans="1:19" ht="14">
      <c r="A218" s="185" t="s">
        <v>48</v>
      </c>
      <c r="B218" s="182" t="s">
        <v>49</v>
      </c>
      <c r="C218" s="231">
        <v>24754</v>
      </c>
      <c r="D218" s="211">
        <v>1</v>
      </c>
      <c r="E218" s="199"/>
      <c r="F218" s="211">
        <v>1</v>
      </c>
      <c r="G218" s="203">
        <f>'Footprint Summary'!G222*Assumptions!C$35</f>
        <v>0</v>
      </c>
      <c r="H218" s="203">
        <f>'Footprint Summary'!H222*Assumptions!D$35</f>
        <v>8501.567979552603</v>
      </c>
      <c r="I218" s="203">
        <f>'Footprint Summary'!I222*Assumptions!E$35</f>
        <v>7584.1737629210274</v>
      </c>
      <c r="J218" s="203">
        <f>'Footprint Summary'!J222*Assumptions!F$35</f>
        <v>6666.779546289451</v>
      </c>
      <c r="K218" s="203">
        <f>'Footprint Summary'!K222*Assumptions!G$35</f>
        <v>5749.3853296578754</v>
      </c>
      <c r="L218" s="203">
        <f>'Footprint Summary'!L222*Assumptions!H$35</f>
        <v>4831.991113026299</v>
      </c>
      <c r="M218" s="203">
        <f>'Footprint Summary'!M222*Assumptions!I$35</f>
        <v>3914.5968963947239</v>
      </c>
      <c r="N218" s="203">
        <f>'Footprint Summary'!N222*Assumptions!J$35</f>
        <v>2997.2026797631479</v>
      </c>
      <c r="O218" s="203">
        <f>'Footprint Summary'!O222*Assumptions!K$35</f>
        <v>2079.8084631315728</v>
      </c>
      <c r="P218" s="203">
        <f>'Footprint Summary'!P222*Assumptions!L$35</f>
        <v>1162.414246499997</v>
      </c>
      <c r="Q218" s="203">
        <f>'Footprint Summary'!Q222*Assumptions!M$35</f>
        <v>1162.4142465</v>
      </c>
      <c r="R218" s="203">
        <f>'Footprint Summary'!R222*Assumptions!N$35</f>
        <v>1162.4142465</v>
      </c>
      <c r="S218" s="204">
        <f t="shared" si="20"/>
        <v>45812.748510236692</v>
      </c>
    </row>
    <row r="219" spans="1:19" ht="14">
      <c r="A219" s="185" t="s">
        <v>30</v>
      </c>
      <c r="B219" s="182" t="s">
        <v>92</v>
      </c>
      <c r="C219" s="231">
        <v>26819</v>
      </c>
      <c r="D219" s="212">
        <v>0</v>
      </c>
      <c r="E219" s="199">
        <v>1</v>
      </c>
      <c r="F219" s="211">
        <v>1</v>
      </c>
      <c r="G219" s="203">
        <f>'Footprint Summary'!G223*Assumptions!C$35</f>
        <v>0</v>
      </c>
      <c r="H219" s="203">
        <f>'Footprint Summary'!H223*Assumptions!D$35</f>
        <v>2103.3002089931761</v>
      </c>
      <c r="I219" s="203">
        <f>'Footprint Summary'!I223*Assumptions!E$35</f>
        <v>1957.1250025690288</v>
      </c>
      <c r="J219" s="203">
        <f>'Footprint Summary'!J223*Assumptions!F$35</f>
        <v>1810.9497961448819</v>
      </c>
      <c r="K219" s="203">
        <f>'Footprint Summary'!K223*Assumptions!G$35</f>
        <v>1664.7745897207349</v>
      </c>
      <c r="L219" s="203">
        <f>'Footprint Summary'!L223*Assumptions!H$35</f>
        <v>1518.5993832965878</v>
      </c>
      <c r="M219" s="203">
        <f>'Footprint Summary'!M223*Assumptions!I$35</f>
        <v>1372.4241768724405</v>
      </c>
      <c r="N219" s="203">
        <f>'Footprint Summary'!N223*Assumptions!J$35</f>
        <v>1226.2489704482937</v>
      </c>
      <c r="O219" s="203">
        <f>'Footprint Summary'!O223*Assumptions!K$35</f>
        <v>1080.0737640241466</v>
      </c>
      <c r="P219" s="203">
        <f>'Footprint Summary'!P223*Assumptions!L$35</f>
        <v>933.89855759999944</v>
      </c>
      <c r="Q219" s="203">
        <f>'Footprint Summary'!Q223*Assumptions!M$35</f>
        <v>933.8985576</v>
      </c>
      <c r="R219" s="203">
        <f>'Footprint Summary'!R223*Assumptions!N$35</f>
        <v>933.8985576</v>
      </c>
      <c r="S219" s="204">
        <f t="shared" si="20"/>
        <v>15535.191564869288</v>
      </c>
    </row>
    <row r="220" spans="1:19" ht="14">
      <c r="A220" s="185" t="s">
        <v>30</v>
      </c>
      <c r="B220" s="182" t="s">
        <v>52</v>
      </c>
      <c r="C220" s="231">
        <v>28396</v>
      </c>
      <c r="D220" s="211">
        <v>0.75</v>
      </c>
      <c r="E220" s="199"/>
      <c r="F220" s="211">
        <v>1</v>
      </c>
      <c r="G220" s="203">
        <f>'Footprint Summary'!G224*Assumptions!C$35</f>
        <v>0</v>
      </c>
      <c r="H220" s="203">
        <f>'Footprint Summary'!H224*Assumptions!D$35</f>
        <v>3025.1948592301933</v>
      </c>
      <c r="I220" s="203">
        <f>'Footprint Summary'!I224*Assumptions!E$35</f>
        <v>2730.5136908139193</v>
      </c>
      <c r="J220" s="203">
        <f>'Footprint Summary'!J224*Assumptions!F$35</f>
        <v>2435.8325223976449</v>
      </c>
      <c r="K220" s="203">
        <f>'Footprint Summary'!K224*Assumptions!G$35</f>
        <v>2141.1513539813704</v>
      </c>
      <c r="L220" s="203">
        <f>'Footprint Summary'!L224*Assumptions!H$35</f>
        <v>1846.470185565096</v>
      </c>
      <c r="M220" s="203">
        <f>'Footprint Summary'!M224*Assumptions!I$35</f>
        <v>1551.7890171488218</v>
      </c>
      <c r="N220" s="203">
        <f>'Footprint Summary'!N224*Assumptions!J$35</f>
        <v>1257.1078487325476</v>
      </c>
      <c r="O220" s="203">
        <f>'Footprint Summary'!O224*Assumptions!K$35</f>
        <v>962.4266803162734</v>
      </c>
      <c r="P220" s="203">
        <f>'Footprint Summary'!P224*Assumptions!L$35</f>
        <v>667.74551189999909</v>
      </c>
      <c r="Q220" s="203">
        <f>'Footprint Summary'!Q224*Assumptions!M$35</f>
        <v>667.7455119</v>
      </c>
      <c r="R220" s="203">
        <f>'Footprint Summary'!R224*Assumptions!N$35</f>
        <v>667.7455119</v>
      </c>
      <c r="S220" s="204">
        <f t="shared" si="20"/>
        <v>17953.722693885866</v>
      </c>
    </row>
    <row r="221" spans="1:19" ht="14">
      <c r="A221" s="185" t="s">
        <v>30</v>
      </c>
      <c r="B221" s="182" t="s">
        <v>54</v>
      </c>
      <c r="C221" s="231">
        <v>37558</v>
      </c>
      <c r="D221" s="211">
        <v>0.75</v>
      </c>
      <c r="E221" s="199"/>
      <c r="F221" s="211">
        <v>1</v>
      </c>
      <c r="G221" s="203">
        <f>'Footprint Summary'!G225*Assumptions!C$35</f>
        <v>0</v>
      </c>
      <c r="H221" s="203">
        <f>'Footprint Summary'!H225*Assumptions!D$35</f>
        <v>4429.4809882613181</v>
      </c>
      <c r="I221" s="203">
        <f>'Footprint Summary'!I225*Assumptions!E$35</f>
        <v>4055.5959132661533</v>
      </c>
      <c r="J221" s="203">
        <f>'Footprint Summary'!J225*Assumptions!F$35</f>
        <v>3681.7108382709885</v>
      </c>
      <c r="K221" s="203">
        <f>'Footprint Summary'!K225*Assumptions!G$35</f>
        <v>3307.8257632758236</v>
      </c>
      <c r="L221" s="203">
        <f>'Footprint Summary'!L225*Assumptions!H$35</f>
        <v>2933.9406882806584</v>
      </c>
      <c r="M221" s="203">
        <f>'Footprint Summary'!M225*Assumptions!I$35</f>
        <v>2560.0556132854936</v>
      </c>
      <c r="N221" s="203">
        <f>'Footprint Summary'!N225*Assumptions!J$35</f>
        <v>2186.1705382903288</v>
      </c>
      <c r="O221" s="203">
        <f>'Footprint Summary'!O225*Assumptions!K$35</f>
        <v>1812.2854632951639</v>
      </c>
      <c r="P221" s="203">
        <f>'Footprint Summary'!P225*Assumptions!L$35</f>
        <v>1438.4003882999993</v>
      </c>
      <c r="Q221" s="203">
        <f>'Footprint Summary'!Q225*Assumptions!M$35</f>
        <v>1438.4003882999998</v>
      </c>
      <c r="R221" s="203">
        <f>'Footprint Summary'!R225*Assumptions!N$35</f>
        <v>1438.4003882999998</v>
      </c>
      <c r="S221" s="204">
        <f t="shared" si="20"/>
        <v>29282.26697112593</v>
      </c>
    </row>
    <row r="222" spans="1:19" ht="14">
      <c r="A222" s="185" t="s">
        <v>37</v>
      </c>
      <c r="B222" s="182" t="s">
        <v>55</v>
      </c>
      <c r="C222" s="231">
        <v>55051</v>
      </c>
      <c r="D222" s="211">
        <v>0.5</v>
      </c>
      <c r="E222" s="199">
        <v>0.5</v>
      </c>
      <c r="F222" s="211">
        <v>1</v>
      </c>
      <c r="G222" s="203">
        <f>'Footprint Summary'!G226*Assumptions!C$35</f>
        <v>0</v>
      </c>
      <c r="H222" s="203">
        <f>'Footprint Summary'!H226*Assumptions!D$35</f>
        <v>5973.941632080001</v>
      </c>
      <c r="I222" s="203">
        <f>'Footprint Summary'!I226*Assumptions!E$35</f>
        <v>5569.0049011199999</v>
      </c>
      <c r="J222" s="203">
        <f>'Footprint Summary'!J226*Assumptions!F$35</f>
        <v>5164.0681701599997</v>
      </c>
      <c r="K222" s="203">
        <f>'Footprint Summary'!K226*Assumptions!G$35</f>
        <v>4759.1314392000004</v>
      </c>
      <c r="L222" s="203">
        <f>'Footprint Summary'!L226*Assumptions!H$35</f>
        <v>4354.1947082400011</v>
      </c>
      <c r="M222" s="203">
        <f>'Footprint Summary'!M226*Assumptions!I$35</f>
        <v>3949.2579772800004</v>
      </c>
      <c r="N222" s="203">
        <f>'Footprint Summary'!N226*Assumptions!J$35</f>
        <v>3544.3212463200007</v>
      </c>
      <c r="O222" s="203">
        <f>'Footprint Summary'!O226*Assumptions!K$35</f>
        <v>3139.3845153600005</v>
      </c>
      <c r="P222" s="203">
        <f>'Footprint Summary'!P226*Assumptions!L$35</f>
        <v>2734.4477844000003</v>
      </c>
      <c r="Q222" s="203">
        <f>'Footprint Summary'!Q226*Assumptions!M$35</f>
        <v>2734.4477843999998</v>
      </c>
      <c r="R222" s="203">
        <f>'Footprint Summary'!R226*Assumptions!N$35</f>
        <v>2734.4477843999998</v>
      </c>
      <c r="S222" s="204">
        <f t="shared" si="20"/>
        <v>44656.64794296</v>
      </c>
    </row>
    <row r="223" spans="1:19" ht="14">
      <c r="A223" s="185" t="s">
        <v>30</v>
      </c>
      <c r="B223" s="182" t="s">
        <v>56</v>
      </c>
      <c r="C223" s="231">
        <v>39938</v>
      </c>
      <c r="D223" s="211">
        <v>0.5</v>
      </c>
      <c r="E223" s="199"/>
      <c r="F223" s="211">
        <v>1</v>
      </c>
      <c r="G223" s="203">
        <f>'Footprint Summary'!G227*Assumptions!C$35</f>
        <v>0</v>
      </c>
      <c r="H223" s="203">
        <f>'Footprint Summary'!H227*Assumptions!D$35</f>
        <v>8871.6563806383547</v>
      </c>
      <c r="I223" s="203">
        <f>'Footprint Summary'!I227*Assumptions!E$35</f>
        <v>7983.0107830585603</v>
      </c>
      <c r="J223" s="203">
        <f>'Footprint Summary'!J227*Assumptions!F$35</f>
        <v>7094.365185478764</v>
      </c>
      <c r="K223" s="203">
        <f>'Footprint Summary'!K227*Assumptions!G$35</f>
        <v>6205.7195878989696</v>
      </c>
      <c r="L223" s="203">
        <f>'Footprint Summary'!L227*Assumptions!H$35</f>
        <v>5317.0739903191761</v>
      </c>
      <c r="M223" s="203">
        <f>'Footprint Summary'!M227*Assumptions!I$35</f>
        <v>4428.4283927393808</v>
      </c>
      <c r="N223" s="203">
        <f>'Footprint Summary'!N227*Assumptions!J$35</f>
        <v>3539.7827951595873</v>
      </c>
      <c r="O223" s="203">
        <f>'Footprint Summary'!O227*Assumptions!K$35</f>
        <v>2651.1371975797929</v>
      </c>
      <c r="P223" s="203">
        <f>'Footprint Summary'!P227*Assumptions!L$35</f>
        <v>1762.4915999999987</v>
      </c>
      <c r="Q223" s="203">
        <f>'Footprint Summary'!Q227*Assumptions!M$35</f>
        <v>1762.4916000000001</v>
      </c>
      <c r="R223" s="203">
        <f>'Footprint Summary'!R227*Assumptions!N$35</f>
        <v>1762.4916000000001</v>
      </c>
      <c r="S223" s="204">
        <f t="shared" si="20"/>
        <v>51378.64911287259</v>
      </c>
    </row>
    <row r="224" spans="1:19" ht="14">
      <c r="A224" s="185" t="s">
        <v>30</v>
      </c>
      <c r="B224" s="182" t="s">
        <v>93</v>
      </c>
      <c r="C224" s="231">
        <v>20404</v>
      </c>
      <c r="D224" s="212">
        <v>0</v>
      </c>
      <c r="E224" s="199">
        <v>1</v>
      </c>
      <c r="F224" s="211">
        <v>1</v>
      </c>
      <c r="G224" s="203">
        <f>'Footprint Summary'!G228*Assumptions!C$35</f>
        <v>0</v>
      </c>
      <c r="H224" s="203">
        <f>'Footprint Summary'!H228*Assumptions!D$35</f>
        <v>3272.2554128919251</v>
      </c>
      <c r="I224" s="203">
        <f>'Footprint Summary'!I228*Assumptions!E$35</f>
        <v>3056.6306342929342</v>
      </c>
      <c r="J224" s="203">
        <f>'Footprint Summary'!J228*Assumptions!F$35</f>
        <v>2841.0058556939434</v>
      </c>
      <c r="K224" s="203">
        <f>'Footprint Summary'!K228*Assumptions!G$35</f>
        <v>2625.3810770949526</v>
      </c>
      <c r="L224" s="203">
        <f>'Footprint Summary'!L228*Assumptions!H$35</f>
        <v>2409.7562984959623</v>
      </c>
      <c r="M224" s="203">
        <f>'Footprint Summary'!M228*Assumptions!I$35</f>
        <v>2194.1315198969714</v>
      </c>
      <c r="N224" s="203">
        <f>'Footprint Summary'!N228*Assumptions!J$35</f>
        <v>1978.5067412979806</v>
      </c>
      <c r="O224" s="203">
        <f>'Footprint Summary'!O228*Assumptions!K$35</f>
        <v>1762.88196269899</v>
      </c>
      <c r="P224" s="203">
        <f>'Footprint Summary'!P228*Assumptions!L$35</f>
        <v>1547.2571840999994</v>
      </c>
      <c r="Q224" s="203">
        <f>'Footprint Summary'!Q228*Assumptions!M$35</f>
        <v>1547.2571840999994</v>
      </c>
      <c r="R224" s="203">
        <f>'Footprint Summary'!R228*Assumptions!N$35</f>
        <v>1547.2571840999994</v>
      </c>
      <c r="S224" s="204">
        <f t="shared" si="20"/>
        <v>24782.321054663658</v>
      </c>
    </row>
    <row r="225" spans="1:19" ht="14">
      <c r="A225" s="185" t="s">
        <v>37</v>
      </c>
      <c r="B225" s="182" t="s">
        <v>60</v>
      </c>
      <c r="C225" s="231">
        <v>1422</v>
      </c>
      <c r="D225" s="211">
        <v>1</v>
      </c>
      <c r="E225" s="199"/>
      <c r="F225" s="211">
        <v>1</v>
      </c>
      <c r="G225" s="203">
        <f>'Footprint Summary'!G229*Assumptions!C$35</f>
        <v>0</v>
      </c>
      <c r="H225" s="203">
        <f>'Footprint Summary'!H229*Assumptions!D$35</f>
        <v>306.73670135519995</v>
      </c>
      <c r="I225" s="203">
        <f>'Footprint Summary'!I229*Assumptions!E$35</f>
        <v>284.71172542079995</v>
      </c>
      <c r="J225" s="203">
        <f>'Footprint Summary'!J229*Assumptions!F$35</f>
        <v>262.6867494864</v>
      </c>
      <c r="K225" s="203">
        <f>'Footprint Summary'!K229*Assumptions!G$35</f>
        <v>240.661773552</v>
      </c>
      <c r="L225" s="203">
        <f>'Footprint Summary'!L229*Assumptions!H$35</f>
        <v>218.63679761759997</v>
      </c>
      <c r="M225" s="203">
        <f>'Footprint Summary'!M229*Assumptions!I$35</f>
        <v>196.61182168319996</v>
      </c>
      <c r="N225" s="203">
        <f>'Footprint Summary'!N229*Assumptions!J$35</f>
        <v>174.58684574879999</v>
      </c>
      <c r="O225" s="203">
        <f>'Footprint Summary'!O229*Assumptions!K$35</f>
        <v>152.56186981439998</v>
      </c>
      <c r="P225" s="203">
        <f>'Footprint Summary'!P229*Assumptions!L$35</f>
        <v>130.53689387999998</v>
      </c>
      <c r="Q225" s="203">
        <f>'Footprint Summary'!Q229*Assumptions!M$35</f>
        <v>130.53689387999998</v>
      </c>
      <c r="R225" s="203">
        <f>'Footprint Summary'!R229*Assumptions!N$35</f>
        <v>130.53689387999998</v>
      </c>
      <c r="S225" s="204">
        <f t="shared" si="20"/>
        <v>2228.8049663183992</v>
      </c>
    </row>
    <row r="226" spans="1:19" ht="14">
      <c r="A226" s="185" t="s">
        <v>66</v>
      </c>
      <c r="B226" s="182" t="s">
        <v>170</v>
      </c>
      <c r="C226" s="231">
        <v>17363.8</v>
      </c>
      <c r="D226" s="212">
        <v>0</v>
      </c>
      <c r="E226" s="199"/>
      <c r="F226" s="211">
        <v>1</v>
      </c>
      <c r="G226" s="203">
        <f>'Footprint Summary'!G230*Assumptions!C$35</f>
        <v>0</v>
      </c>
      <c r="H226" s="203">
        <f>'Footprint Summary'!H230*Assumptions!D$35</f>
        <v>2955.3472754519994</v>
      </c>
      <c r="I226" s="203">
        <f>'Footprint Summary'!I230*Assumptions!E$35</f>
        <v>2680.5165871079998</v>
      </c>
      <c r="J226" s="203">
        <f>'Footprint Summary'!J230*Assumptions!F$35</f>
        <v>2405.6858987639998</v>
      </c>
      <c r="K226" s="203">
        <f>'Footprint Summary'!K230*Assumptions!G$35</f>
        <v>2130.8552104199998</v>
      </c>
      <c r="L226" s="203">
        <f>'Footprint Summary'!L230*Assumptions!H$35</f>
        <v>1856.024522076</v>
      </c>
      <c r="M226" s="203">
        <f>'Footprint Summary'!M230*Assumptions!I$35</f>
        <v>1581.1938337320003</v>
      </c>
      <c r="N226" s="203">
        <f>'Footprint Summary'!N230*Assumptions!J$35</f>
        <v>1306.3631453880002</v>
      </c>
      <c r="O226" s="203">
        <f>'Footprint Summary'!O230*Assumptions!K$35</f>
        <v>1031.5324570440002</v>
      </c>
      <c r="P226" s="203">
        <f>'Footprint Summary'!P230*Assumptions!L$35</f>
        <v>756.70176870000034</v>
      </c>
      <c r="Q226" s="203">
        <f>'Footprint Summary'!Q230*Assumptions!M$35</f>
        <v>756.70176869999989</v>
      </c>
      <c r="R226" s="203">
        <f>'Footprint Summary'!R230*Assumptions!N$35</f>
        <v>756.70176869999989</v>
      </c>
      <c r="S226" s="204">
        <f t="shared" si="20"/>
        <v>18217.624236084004</v>
      </c>
    </row>
    <row r="227" spans="1:19" ht="14">
      <c r="A227" s="185" t="s">
        <v>48</v>
      </c>
      <c r="B227" s="182" t="s">
        <v>168</v>
      </c>
      <c r="C227" s="231">
        <v>24784</v>
      </c>
      <c r="D227" s="212">
        <v>0</v>
      </c>
      <c r="E227" s="199"/>
      <c r="F227" s="211">
        <v>1</v>
      </c>
      <c r="G227" s="203">
        <f>'Footprint Summary'!G231*Assumptions!C$35</f>
        <v>0</v>
      </c>
      <c r="H227" s="203">
        <f>'Footprint Summary'!H231*Assumptions!D$35</f>
        <v>5374.2577425000009</v>
      </c>
      <c r="I227" s="203">
        <f>'Footprint Summary'!I231*Assumptions!E$35</f>
        <v>4877.7922065000002</v>
      </c>
      <c r="J227" s="203">
        <f>'Footprint Summary'!J231*Assumptions!F$35</f>
        <v>4381.3266705000005</v>
      </c>
      <c r="K227" s="203">
        <f>'Footprint Summary'!K231*Assumptions!G$35</f>
        <v>3884.8611345000004</v>
      </c>
      <c r="L227" s="203">
        <f>'Footprint Summary'!L231*Assumptions!H$35</f>
        <v>3388.3955985000002</v>
      </c>
      <c r="M227" s="203">
        <f>'Footprint Summary'!M231*Assumptions!I$35</f>
        <v>2891.9300625000001</v>
      </c>
      <c r="N227" s="203">
        <f>'Footprint Summary'!N231*Assumptions!J$35</f>
        <v>2395.4645265000004</v>
      </c>
      <c r="O227" s="203">
        <f>'Footprint Summary'!O231*Assumptions!K$35</f>
        <v>1898.9989905</v>
      </c>
      <c r="P227" s="203">
        <f>'Footprint Summary'!P231*Assumptions!L$35</f>
        <v>1402.5334544999998</v>
      </c>
      <c r="Q227" s="203">
        <f>'Footprint Summary'!Q231*Assumptions!M$35</f>
        <v>1402.5334544999998</v>
      </c>
      <c r="R227" s="203">
        <f>'Footprint Summary'!R231*Assumptions!N$35</f>
        <v>1402.5334544999998</v>
      </c>
      <c r="S227" s="204">
        <f t="shared" si="20"/>
        <v>33300.627295500002</v>
      </c>
    </row>
    <row r="228" spans="1:19" ht="14">
      <c r="A228" s="185" t="s">
        <v>30</v>
      </c>
      <c r="B228" s="182" t="s">
        <v>123</v>
      </c>
      <c r="C228" s="231">
        <v>23555.5</v>
      </c>
      <c r="D228" s="211">
        <v>0</v>
      </c>
      <c r="E228" s="199"/>
      <c r="F228" s="211">
        <v>1</v>
      </c>
      <c r="G228" s="203">
        <f>'Footprint Summary'!G232*Assumptions!C$35</f>
        <v>0</v>
      </c>
      <c r="H228" s="203">
        <f>'Footprint Summary'!H232*Assumptions!D$35</f>
        <v>2185.4758385683199</v>
      </c>
      <c r="I228" s="203">
        <f>'Footprint Summary'!I232*Assumptions!E$35</f>
        <v>1983.40576444728</v>
      </c>
      <c r="J228" s="203">
        <f>'Footprint Summary'!J232*Assumptions!F$35</f>
        <v>1781.33569032624</v>
      </c>
      <c r="K228" s="203">
        <f>'Footprint Summary'!K232*Assumptions!G$35</f>
        <v>1579.2656162051999</v>
      </c>
      <c r="L228" s="203">
        <f>'Footprint Summary'!L232*Assumptions!H$35</f>
        <v>1377.19554208416</v>
      </c>
      <c r="M228" s="203">
        <f>'Footprint Summary'!M232*Assumptions!I$35</f>
        <v>1175.1254679631199</v>
      </c>
      <c r="N228" s="203">
        <f>'Footprint Summary'!N232*Assumptions!J$35</f>
        <v>973.05539384208009</v>
      </c>
      <c r="O228" s="203">
        <f>'Footprint Summary'!O232*Assumptions!K$35</f>
        <v>770.98531972104001</v>
      </c>
      <c r="P228" s="203">
        <f>'Footprint Summary'!P232*Assumptions!L$35</f>
        <v>568.91524560000005</v>
      </c>
      <c r="Q228" s="203">
        <f>'Footprint Summary'!Q232*Assumptions!M$35</f>
        <v>568.91524560000005</v>
      </c>
      <c r="R228" s="203">
        <f>'Footprint Summary'!R232*Assumptions!N$35</f>
        <v>568.91524560000005</v>
      </c>
      <c r="S228" s="204">
        <f t="shared" si="20"/>
        <v>13532.590369957437</v>
      </c>
    </row>
    <row r="229" spans="1:19" ht="14">
      <c r="A229" s="185" t="s">
        <v>63</v>
      </c>
      <c r="B229" s="182" t="s">
        <v>64</v>
      </c>
      <c r="C229" s="231">
        <v>61127</v>
      </c>
      <c r="D229" s="211">
        <v>0.5</v>
      </c>
      <c r="E229" s="199"/>
      <c r="F229" s="211"/>
      <c r="G229" s="203">
        <f>'Footprint Summary'!G233*Assumptions!C$35</f>
        <v>0</v>
      </c>
      <c r="H229" s="203">
        <f>'Footprint Summary'!H233*Assumptions!D$35</f>
        <v>6000.4898910912007</v>
      </c>
      <c r="I229" s="203">
        <f>'Footprint Summary'!I233*Assumptions!E$35</f>
        <v>5609.368904704801</v>
      </c>
      <c r="J229" s="203">
        <f>'Footprint Summary'!J233*Assumptions!F$35</f>
        <v>5218.2479183184005</v>
      </c>
      <c r="K229" s="203">
        <f>'Footprint Summary'!K233*Assumptions!G$35</f>
        <v>4827.1269319319999</v>
      </c>
      <c r="L229" s="203">
        <f>'Footprint Summary'!L233*Assumptions!H$35</f>
        <v>4436.0059455456003</v>
      </c>
      <c r="M229" s="203">
        <f>'Footprint Summary'!M233*Assumptions!I$35</f>
        <v>4044.8849591592007</v>
      </c>
      <c r="N229" s="203">
        <f>'Footprint Summary'!N233*Assumptions!J$35</f>
        <v>3653.7639727728001</v>
      </c>
      <c r="O229" s="203">
        <f>'Footprint Summary'!O233*Assumptions!K$35</f>
        <v>3262.6429863864</v>
      </c>
      <c r="P229" s="203">
        <f>'Footprint Summary'!P233*Assumptions!L$35</f>
        <v>2871.5219999999999</v>
      </c>
      <c r="Q229" s="203">
        <f>'Footprint Summary'!Q233*Assumptions!M$35</f>
        <v>2871.5219999999999</v>
      </c>
      <c r="R229" s="203">
        <f>'Footprint Summary'!R233*Assumptions!N$35</f>
        <v>2871.5219999999999</v>
      </c>
      <c r="S229" s="204">
        <f t="shared" si="20"/>
        <v>45667.097509910396</v>
      </c>
    </row>
    <row r="230" spans="1:19" ht="14">
      <c r="A230" s="185" t="s">
        <v>66</v>
      </c>
      <c r="B230" s="182" t="s">
        <v>95</v>
      </c>
      <c r="C230" s="231">
        <v>41253</v>
      </c>
      <c r="D230" s="212">
        <v>0</v>
      </c>
      <c r="E230" s="199">
        <v>0.5</v>
      </c>
      <c r="F230" s="211"/>
      <c r="G230" s="203">
        <f>'Footprint Summary'!G234*Assumptions!C$35</f>
        <v>0</v>
      </c>
      <c r="H230" s="203">
        <f>'Footprint Summary'!H234*Assumptions!D$35</f>
        <v>4776.3368583168003</v>
      </c>
      <c r="I230" s="203">
        <f>'Footprint Summary'!I234*Assumptions!E$35</f>
        <v>4345.1580508646994</v>
      </c>
      <c r="J230" s="203">
        <f>'Footprint Summary'!J234*Assumptions!F$35</f>
        <v>3913.9792434125998</v>
      </c>
      <c r="K230" s="203">
        <f>'Footprint Summary'!K234*Assumptions!G$35</f>
        <v>3482.8004359604993</v>
      </c>
      <c r="L230" s="203">
        <f>'Footprint Summary'!L234*Assumptions!H$35</f>
        <v>3051.6216285084001</v>
      </c>
      <c r="M230" s="203">
        <f>'Footprint Summary'!M234*Assumptions!I$35</f>
        <v>2620.4428210562996</v>
      </c>
      <c r="N230" s="203">
        <f>'Footprint Summary'!N234*Assumptions!J$35</f>
        <v>2189.2640136042</v>
      </c>
      <c r="O230" s="203">
        <f>'Footprint Summary'!O234*Assumptions!K$35</f>
        <v>1758.0852061520995</v>
      </c>
      <c r="P230" s="203">
        <f>'Footprint Summary'!P234*Assumptions!L$35</f>
        <v>1326.9063986999997</v>
      </c>
      <c r="Q230" s="203">
        <f>'Footprint Summary'!Q234*Assumptions!M$35</f>
        <v>1326.9063987</v>
      </c>
      <c r="R230" s="203">
        <f>'Footprint Summary'!R234*Assumptions!N$35</f>
        <v>1326.9063987</v>
      </c>
      <c r="S230" s="204">
        <f t="shared" si="20"/>
        <v>30118.4074539756</v>
      </c>
    </row>
    <row r="231" spans="1:19" ht="14">
      <c r="A231" s="185" t="s">
        <v>66</v>
      </c>
      <c r="B231" s="198" t="s">
        <v>133</v>
      </c>
      <c r="C231" s="231">
        <v>8227.2000000000007</v>
      </c>
      <c r="D231" s="212">
        <v>0</v>
      </c>
      <c r="E231" s="199"/>
      <c r="F231" s="211">
        <v>1</v>
      </c>
      <c r="G231" s="203">
        <f>'Footprint Summary'!G235*Assumptions!C$35</f>
        <v>0</v>
      </c>
      <c r="H231" s="203">
        <f>'Footprint Summary'!H235*Assumptions!D$35</f>
        <v>814.60823460000006</v>
      </c>
      <c r="I231" s="203">
        <f>'Footprint Summary'!I235*Assumptions!E$35</f>
        <v>744.7522146</v>
      </c>
      <c r="J231" s="203">
        <f>'Footprint Summary'!J235*Assumptions!F$35</f>
        <v>674.89619459999994</v>
      </c>
      <c r="K231" s="203">
        <f>'Footprint Summary'!K235*Assumptions!G$35</f>
        <v>605.04017459999989</v>
      </c>
      <c r="L231" s="203">
        <f>'Footprint Summary'!L235*Assumptions!H$35</f>
        <v>535.18415459999994</v>
      </c>
      <c r="M231" s="203">
        <f>'Footprint Summary'!M235*Assumptions!I$35</f>
        <v>465.32813459999988</v>
      </c>
      <c r="N231" s="203">
        <f>'Footprint Summary'!N235*Assumptions!J$35</f>
        <v>395.47211459999983</v>
      </c>
      <c r="O231" s="203">
        <f>'Footprint Summary'!O235*Assumptions!K$35</f>
        <v>325.61609459999977</v>
      </c>
      <c r="P231" s="203">
        <f>'Footprint Summary'!P235*Assumptions!L$35</f>
        <v>255.76007459999974</v>
      </c>
      <c r="Q231" s="203">
        <f>'Footprint Summary'!Q235*Assumptions!M$35</f>
        <v>255.76007459999997</v>
      </c>
      <c r="R231" s="203">
        <f>'Footprint Summary'!R235*Assumptions!N$35</f>
        <v>255.76007459999997</v>
      </c>
      <c r="S231" s="204">
        <f t="shared" si="20"/>
        <v>5328.1775405999988</v>
      </c>
    </row>
    <row r="232" spans="1:19" ht="14">
      <c r="A232" s="185" t="s">
        <v>178</v>
      </c>
      <c r="B232" s="198" t="s">
        <v>140</v>
      </c>
      <c r="C232" s="231">
        <v>20861</v>
      </c>
      <c r="D232" s="212">
        <v>1</v>
      </c>
      <c r="E232" s="199"/>
      <c r="F232" s="211">
        <v>0</v>
      </c>
      <c r="G232" s="203">
        <f>'Footprint Summary'!G236*Assumptions!C$35</f>
        <v>0</v>
      </c>
      <c r="H232" s="203">
        <f>'Footprint Summary'!H236*Assumptions!D$35</f>
        <v>2405.2590942117995</v>
      </c>
      <c r="I232" s="203">
        <f>'Footprint Summary'!I236*Assumptions!E$35</f>
        <v>2194.6701001003244</v>
      </c>
      <c r="J232" s="203">
        <f>'Footprint Summary'!J236*Assumptions!F$35</f>
        <v>1984.0811059888492</v>
      </c>
      <c r="K232" s="203">
        <f>'Footprint Summary'!K236*Assumptions!G$35</f>
        <v>1773.4921118773741</v>
      </c>
      <c r="L232" s="203">
        <f>'Footprint Summary'!L236*Assumptions!H$35</f>
        <v>1562.903117765899</v>
      </c>
      <c r="M232" s="203">
        <f>'Footprint Summary'!M236*Assumptions!I$35</f>
        <v>1352.3141236544238</v>
      </c>
      <c r="N232" s="203">
        <f>'Footprint Summary'!N236*Assumptions!J$35</f>
        <v>1141.7251295429492</v>
      </c>
      <c r="O232" s="203">
        <f>'Footprint Summary'!O236*Assumptions!K$35</f>
        <v>931.13613543147414</v>
      </c>
      <c r="P232" s="203">
        <f>'Footprint Summary'!P236*Assumptions!L$35</f>
        <v>720.54714131999913</v>
      </c>
      <c r="Q232" s="203">
        <f>'Footprint Summary'!Q236*Assumptions!M$35</f>
        <v>720.54714131999992</v>
      </c>
      <c r="R232" s="203">
        <f>'Footprint Summary'!R236*Assumptions!N$35</f>
        <v>720.54714131999992</v>
      </c>
      <c r="S232" s="204">
        <f t="shared" si="20"/>
        <v>15507.222342533092</v>
      </c>
    </row>
    <row r="233" spans="1:19" ht="14">
      <c r="A233" s="185" t="s">
        <v>37</v>
      </c>
      <c r="B233" s="182" t="s">
        <v>166</v>
      </c>
      <c r="C233" s="231">
        <v>15723.1</v>
      </c>
      <c r="D233" s="212">
        <v>0</v>
      </c>
      <c r="E233" s="199"/>
      <c r="F233" s="211">
        <v>1</v>
      </c>
      <c r="G233" s="203">
        <f>'Footprint Summary'!G237*Assumptions!C$35</f>
        <v>0</v>
      </c>
      <c r="H233" s="203">
        <f>'Footprint Summary'!H237*Assumptions!D$35</f>
        <v>5633.7750437355126</v>
      </c>
      <c r="I233" s="203">
        <f>'Footprint Summary'!I237*Assumptions!E$35</f>
        <v>4972.0901124335733</v>
      </c>
      <c r="J233" s="203">
        <f>'Footprint Summary'!J237*Assumptions!F$35</f>
        <v>4310.405181131634</v>
      </c>
      <c r="K233" s="203">
        <f>'Footprint Summary'!K237*Assumptions!G$35</f>
        <v>3648.7202498296947</v>
      </c>
      <c r="L233" s="203">
        <f>'Footprint Summary'!L237*Assumptions!H$35</f>
        <v>2987.0353185277554</v>
      </c>
      <c r="M233" s="203">
        <f>'Footprint Summary'!M237*Assumptions!I$35</f>
        <v>2325.3503872258161</v>
      </c>
      <c r="N233" s="203">
        <f>'Footprint Summary'!N237*Assumptions!J$35</f>
        <v>1663.6654559238773</v>
      </c>
      <c r="O233" s="203">
        <f>'Footprint Summary'!O237*Assumptions!K$35</f>
        <v>1001.9805246219381</v>
      </c>
      <c r="P233" s="203">
        <f>'Footprint Summary'!P237*Assumptions!L$35</f>
        <v>340.29559331999917</v>
      </c>
      <c r="Q233" s="203">
        <f>'Footprint Summary'!Q237*Assumptions!M$35</f>
        <v>340.29559331999997</v>
      </c>
      <c r="R233" s="203">
        <f>'Footprint Summary'!R237*Assumptions!N$35</f>
        <v>340.29559331999997</v>
      </c>
      <c r="S233" s="204">
        <f t="shared" si="20"/>
        <v>27563.909053389798</v>
      </c>
    </row>
    <row r="234" spans="1:19" ht="14.5" thickBot="1">
      <c r="A234" s="185" t="s">
        <v>66</v>
      </c>
      <c r="B234" s="182" t="s">
        <v>67</v>
      </c>
      <c r="C234" s="231">
        <v>12837.7</v>
      </c>
      <c r="D234" s="211">
        <v>0</v>
      </c>
      <c r="E234" s="199"/>
      <c r="F234" s="211">
        <v>1</v>
      </c>
      <c r="G234" s="203">
        <f>'Footprint Summary'!G238*Assumptions!C$35</f>
        <v>0</v>
      </c>
      <c r="H234" s="203">
        <f>'Footprint Summary'!H238*Assumptions!D$35</f>
        <v>4205.4584218708796</v>
      </c>
      <c r="I234" s="203">
        <f>'Footprint Summary'!I238*Assumptions!E$35</f>
        <v>3880.11646657452</v>
      </c>
      <c r="J234" s="203">
        <f>'Footprint Summary'!J238*Assumptions!F$35</f>
        <v>3554.7745112781599</v>
      </c>
      <c r="K234" s="203">
        <f>'Footprint Summary'!K238*Assumptions!G$35</f>
        <v>3229.4325559817999</v>
      </c>
      <c r="L234" s="203">
        <f>'Footprint Summary'!L238*Assumptions!H$35</f>
        <v>2904.0906006854398</v>
      </c>
      <c r="M234" s="203">
        <f>'Footprint Summary'!M238*Assumptions!I$35</f>
        <v>2578.7486453890797</v>
      </c>
      <c r="N234" s="203">
        <f>'Footprint Summary'!N238*Assumptions!J$35</f>
        <v>2253.4066900927196</v>
      </c>
      <c r="O234" s="203">
        <f>'Footprint Summary'!O238*Assumptions!K$35</f>
        <v>1928.0647347963595</v>
      </c>
      <c r="P234" s="203">
        <f>'Footprint Summary'!P238*Assumptions!L$35</f>
        <v>1602.7227794999994</v>
      </c>
      <c r="Q234" s="203">
        <f>'Footprint Summary'!Q238*Assumptions!M$35</f>
        <v>1602.7227794999999</v>
      </c>
      <c r="R234" s="203">
        <f>'Footprint Summary'!R238*Assumptions!N$35</f>
        <v>1602.7227794999999</v>
      </c>
      <c r="S234" s="204">
        <f t="shared" si="20"/>
        <v>29342.260965168956</v>
      </c>
    </row>
    <row r="235" spans="1:19" ht="13" thickTop="1">
      <c r="G235" s="261">
        <f t="shared" ref="G235:S235" si="21">SUBTOTAL(109,G212:G234)</f>
        <v>0</v>
      </c>
      <c r="H235" s="261">
        <f t="shared" si="21"/>
        <v>101767.81386187839</v>
      </c>
      <c r="I235" s="261">
        <f t="shared" si="21"/>
        <v>92796.164467883558</v>
      </c>
      <c r="J235" s="261">
        <f t="shared" si="21"/>
        <v>83824.515073888746</v>
      </c>
      <c r="K235" s="261">
        <f t="shared" si="21"/>
        <v>74852.865679893963</v>
      </c>
      <c r="L235" s="261">
        <f t="shared" si="21"/>
        <v>65881.216285899165</v>
      </c>
      <c r="M235" s="261">
        <f t="shared" si="21"/>
        <v>56909.566891904367</v>
      </c>
      <c r="N235" s="261">
        <f t="shared" si="21"/>
        <v>47937.917497909584</v>
      </c>
      <c r="O235" s="261">
        <f t="shared" si="21"/>
        <v>38966.268103914786</v>
      </c>
      <c r="P235" s="261">
        <f t="shared" si="21"/>
        <v>29994.618709919989</v>
      </c>
      <c r="Q235" s="261">
        <f t="shared" si="21"/>
        <v>29994.61870992</v>
      </c>
      <c r="R235" s="261">
        <f t="shared" si="21"/>
        <v>29994.61870992</v>
      </c>
      <c r="S235" s="261">
        <f t="shared" si="21"/>
        <v>652920.18399293243</v>
      </c>
    </row>
    <row r="239" spans="1:19" ht="18" thickBot="1">
      <c r="A239" s="196" t="s">
        <v>264</v>
      </c>
    </row>
    <row r="240" spans="1:19" ht="15" thickTop="1" thickBot="1">
      <c r="A240" s="184" t="s">
        <v>6</v>
      </c>
      <c r="B240" s="184" t="s">
        <v>7</v>
      </c>
      <c r="C240" s="184" t="s">
        <v>9</v>
      </c>
      <c r="D240" s="184" t="s">
        <v>10</v>
      </c>
      <c r="E240" s="184" t="s">
        <v>11</v>
      </c>
      <c r="F240" s="184" t="s">
        <v>12</v>
      </c>
      <c r="G240" s="184" t="s">
        <v>188</v>
      </c>
      <c r="H240" s="184" t="s">
        <v>189</v>
      </c>
      <c r="I240" s="184" t="s">
        <v>190</v>
      </c>
      <c r="J240" s="184" t="s">
        <v>191</v>
      </c>
      <c r="K240" s="184" t="s">
        <v>192</v>
      </c>
      <c r="L240" s="184" t="s">
        <v>193</v>
      </c>
      <c r="M240" s="184" t="s">
        <v>194</v>
      </c>
      <c r="N240" s="184" t="s">
        <v>195</v>
      </c>
      <c r="O240" s="184" t="s">
        <v>196</v>
      </c>
      <c r="P240" s="184" t="s">
        <v>197</v>
      </c>
      <c r="Q240" s="184" t="s">
        <v>198</v>
      </c>
      <c r="R240" s="184" t="s">
        <v>199</v>
      </c>
      <c r="S240" s="200" t="s">
        <v>84</v>
      </c>
    </row>
    <row r="241" spans="1:19" ht="14.5" thickTop="1">
      <c r="A241" s="185" t="s">
        <v>30</v>
      </c>
      <c r="B241" s="198" t="s">
        <v>31</v>
      </c>
      <c r="C241" s="228">
        <v>29166</v>
      </c>
      <c r="D241" s="211">
        <v>1</v>
      </c>
      <c r="E241" s="199"/>
      <c r="F241" s="211">
        <v>1</v>
      </c>
      <c r="G241" s="203"/>
      <c r="H241" s="203"/>
      <c r="I241" s="203">
        <f>'Footprint Summary'!$I62*Assumptions!E$35</f>
        <v>4992.6108138</v>
      </c>
      <c r="J241" s="203">
        <f>'Footprint Summary'!$I62*Assumptions!F$35</f>
        <v>4992.6108138</v>
      </c>
      <c r="K241" s="203">
        <f>'Footprint Summary'!$I62*Assumptions!G$35</f>
        <v>4992.6108138</v>
      </c>
      <c r="L241" s="203">
        <f>'Footprint Summary'!$I62*Assumptions!H$35</f>
        <v>4992.6108138</v>
      </c>
      <c r="M241" s="203">
        <f>'Footprint Summary'!$I62*Assumptions!I$35</f>
        <v>4992.6108138</v>
      </c>
      <c r="N241" s="203">
        <f>'Footprint Summary'!$I62*Assumptions!J$35</f>
        <v>4992.6108138</v>
      </c>
      <c r="O241" s="203">
        <f>'Footprint Summary'!$I62*Assumptions!K$35</f>
        <v>4992.6108138</v>
      </c>
      <c r="P241" s="203">
        <f>'Footprint Summary'!$I62*Assumptions!L$35</f>
        <v>4992.6108138</v>
      </c>
      <c r="Q241" s="203">
        <f>'Footprint Summary'!$I62*Assumptions!M$35</f>
        <v>4992.6108138</v>
      </c>
      <c r="R241" s="203">
        <f>'Footprint Summary'!$I62*Assumptions!N$35</f>
        <v>4992.6108138</v>
      </c>
      <c r="S241" s="204">
        <f>SUM(I241:R241)</f>
        <v>49926.108137999989</v>
      </c>
    </row>
    <row r="242" spans="1:19" ht="14">
      <c r="A242" s="185" t="s">
        <v>37</v>
      </c>
      <c r="B242" s="182" t="s">
        <v>38</v>
      </c>
      <c r="C242" s="228">
        <v>62987</v>
      </c>
      <c r="D242" s="211">
        <v>0.5</v>
      </c>
      <c r="E242" s="199"/>
      <c r="F242" s="211">
        <v>1</v>
      </c>
      <c r="G242" s="203"/>
      <c r="H242" s="203"/>
      <c r="I242" s="203">
        <f>'Footprint Summary'!$I63*Assumptions!E$35</f>
        <v>26197.325363400003</v>
      </c>
      <c r="J242" s="203">
        <f>'Footprint Summary'!$I63*Assumptions!F$35</f>
        <v>26197.325363400003</v>
      </c>
      <c r="K242" s="203">
        <f>'Footprint Summary'!$I63*Assumptions!G$35</f>
        <v>26197.325363400003</v>
      </c>
      <c r="L242" s="203">
        <f>'Footprint Summary'!$I63*Assumptions!H$35</f>
        <v>26197.325363400003</v>
      </c>
      <c r="M242" s="203">
        <f>'Footprint Summary'!$I63*Assumptions!I$35</f>
        <v>26197.325363400003</v>
      </c>
      <c r="N242" s="203">
        <f>'Footprint Summary'!$I63*Assumptions!J$35</f>
        <v>26197.325363400003</v>
      </c>
      <c r="O242" s="203">
        <f>'Footprint Summary'!$I63*Assumptions!K$35</f>
        <v>26197.325363400003</v>
      </c>
      <c r="P242" s="203">
        <f>'Footprint Summary'!$I63*Assumptions!L$35</f>
        <v>26197.325363400003</v>
      </c>
      <c r="Q242" s="203">
        <f>'Footprint Summary'!$I63*Assumptions!M$35</f>
        <v>26197.325363400003</v>
      </c>
      <c r="R242" s="203">
        <f>'Footprint Summary'!$I63*Assumptions!N$35</f>
        <v>26197.325363400003</v>
      </c>
      <c r="S242" s="204">
        <f t="shared" ref="S242:S263" si="22">SUM(I242:R242)</f>
        <v>261973.25363400008</v>
      </c>
    </row>
    <row r="243" spans="1:19" ht="14">
      <c r="A243" s="185" t="s">
        <v>30</v>
      </c>
      <c r="B243" s="182" t="s">
        <v>42</v>
      </c>
      <c r="C243" s="231">
        <v>42132</v>
      </c>
      <c r="D243" s="211">
        <v>0.5</v>
      </c>
      <c r="E243" s="199">
        <v>0.25</v>
      </c>
      <c r="F243" s="211">
        <v>1</v>
      </c>
      <c r="G243" s="203"/>
      <c r="H243" s="203"/>
      <c r="I243" s="203">
        <f>'Footprint Summary'!$I64*Assumptions!E$35</f>
        <v>14414.354983200001</v>
      </c>
      <c r="J243" s="203">
        <f>'Footprint Summary'!$I64*Assumptions!F$35</f>
        <v>14414.354983200001</v>
      </c>
      <c r="K243" s="203">
        <f>'Footprint Summary'!$I64*Assumptions!G$35</f>
        <v>14414.354983200001</v>
      </c>
      <c r="L243" s="203">
        <f>'Footprint Summary'!$I64*Assumptions!H$35</f>
        <v>14414.354983200001</v>
      </c>
      <c r="M243" s="203">
        <f>'Footprint Summary'!$I64*Assumptions!I$35</f>
        <v>14414.354983200001</v>
      </c>
      <c r="N243" s="203">
        <f>'Footprint Summary'!$I64*Assumptions!J$35</f>
        <v>14414.354983200001</v>
      </c>
      <c r="O243" s="203">
        <f>'Footprint Summary'!$I64*Assumptions!K$35</f>
        <v>14414.354983200001</v>
      </c>
      <c r="P243" s="203">
        <f>'Footprint Summary'!$I64*Assumptions!L$35</f>
        <v>14414.354983200001</v>
      </c>
      <c r="Q243" s="203">
        <f>'Footprint Summary'!$I64*Assumptions!M$35</f>
        <v>14414.354983200001</v>
      </c>
      <c r="R243" s="203">
        <f>'Footprint Summary'!$I64*Assumptions!N$35</f>
        <v>14414.354983200001</v>
      </c>
      <c r="S243" s="204">
        <f t="shared" si="22"/>
        <v>144143.54983200002</v>
      </c>
    </row>
    <row r="244" spans="1:19" ht="14">
      <c r="A244" s="185" t="s">
        <v>30</v>
      </c>
      <c r="B244" s="182" t="s">
        <v>43</v>
      </c>
      <c r="C244" s="231">
        <v>12509</v>
      </c>
      <c r="D244" s="211">
        <v>1</v>
      </c>
      <c r="E244" s="199"/>
      <c r="F244" s="211">
        <v>1</v>
      </c>
      <c r="G244" s="203"/>
      <c r="H244" s="203"/>
      <c r="I244" s="203">
        <f>'Footprint Summary'!$I65*Assumptions!E$35</f>
        <v>2927.6965313999999</v>
      </c>
      <c r="J244" s="203">
        <f>'Footprint Summary'!$I65*Assumptions!F$35</f>
        <v>2927.6965313999999</v>
      </c>
      <c r="K244" s="203">
        <f>'Footprint Summary'!$I65*Assumptions!G$35</f>
        <v>2927.6965313999999</v>
      </c>
      <c r="L244" s="203">
        <f>'Footprint Summary'!$I65*Assumptions!H$35</f>
        <v>2927.6965313999999</v>
      </c>
      <c r="M244" s="203">
        <f>'Footprint Summary'!$I65*Assumptions!I$35</f>
        <v>2927.6965313999999</v>
      </c>
      <c r="N244" s="203">
        <f>'Footprint Summary'!$I65*Assumptions!J$35</f>
        <v>2927.6965313999999</v>
      </c>
      <c r="O244" s="203">
        <f>'Footprint Summary'!$I65*Assumptions!K$35</f>
        <v>2927.6965313999999</v>
      </c>
      <c r="P244" s="203">
        <f>'Footprint Summary'!$I65*Assumptions!L$35</f>
        <v>2927.6965313999999</v>
      </c>
      <c r="Q244" s="203">
        <f>'Footprint Summary'!$I65*Assumptions!M$35</f>
        <v>2927.6965313999999</v>
      </c>
      <c r="R244" s="203">
        <f>'Footprint Summary'!$I65*Assumptions!N$35</f>
        <v>2927.6965313999999</v>
      </c>
      <c r="S244" s="204">
        <f t="shared" si="22"/>
        <v>29276.965314000005</v>
      </c>
    </row>
    <row r="245" spans="1:19" ht="14">
      <c r="A245" s="185" t="s">
        <v>30</v>
      </c>
      <c r="B245" s="182" t="s">
        <v>46</v>
      </c>
      <c r="C245" s="231">
        <v>27263</v>
      </c>
      <c r="D245" s="211">
        <v>1</v>
      </c>
      <c r="E245" s="199"/>
      <c r="F245" s="211">
        <v>1</v>
      </c>
      <c r="G245" s="203"/>
      <c r="H245" s="203"/>
      <c r="I245" s="203">
        <f>'Footprint Summary'!$I66*Assumptions!E$35</f>
        <v>2876.7560346</v>
      </c>
      <c r="J245" s="203">
        <f>'Footprint Summary'!$I66*Assumptions!F$35</f>
        <v>2876.7560346</v>
      </c>
      <c r="K245" s="203">
        <f>'Footprint Summary'!$I66*Assumptions!G$35</f>
        <v>2876.7560346</v>
      </c>
      <c r="L245" s="203">
        <f>'Footprint Summary'!$I66*Assumptions!H$35</f>
        <v>2876.7560346</v>
      </c>
      <c r="M245" s="203">
        <f>'Footprint Summary'!$I66*Assumptions!I$35</f>
        <v>2876.7560346</v>
      </c>
      <c r="N245" s="203">
        <f>'Footprint Summary'!$I66*Assumptions!J$35</f>
        <v>2876.7560346</v>
      </c>
      <c r="O245" s="203">
        <f>'Footprint Summary'!$I66*Assumptions!K$35</f>
        <v>2876.7560346</v>
      </c>
      <c r="P245" s="203">
        <f>'Footprint Summary'!$I66*Assumptions!L$35</f>
        <v>2876.7560346</v>
      </c>
      <c r="Q245" s="203">
        <f>'Footprint Summary'!$I66*Assumptions!M$35</f>
        <v>2876.7560346</v>
      </c>
      <c r="R245" s="203">
        <f>'Footprint Summary'!$I66*Assumptions!N$35</f>
        <v>2876.7560346</v>
      </c>
      <c r="S245" s="204">
        <f t="shared" si="22"/>
        <v>28767.560345999995</v>
      </c>
    </row>
    <row r="246" spans="1:19" ht="14">
      <c r="A246" s="185" t="s">
        <v>30</v>
      </c>
      <c r="B246" s="182" t="s">
        <v>47</v>
      </c>
      <c r="C246" s="231">
        <v>39057</v>
      </c>
      <c r="D246" s="211">
        <v>1</v>
      </c>
      <c r="E246" s="199"/>
      <c r="F246" s="211">
        <v>1</v>
      </c>
      <c r="G246" s="203"/>
      <c r="H246" s="203"/>
      <c r="I246" s="203">
        <f>'Footprint Summary'!$I67*Assumptions!E$35</f>
        <v>4633.2570833999998</v>
      </c>
      <c r="J246" s="203">
        <f>'Footprint Summary'!$I67*Assumptions!F$35</f>
        <v>4633.2570833999998</v>
      </c>
      <c r="K246" s="203">
        <f>'Footprint Summary'!$I67*Assumptions!G$35</f>
        <v>4633.2570833999998</v>
      </c>
      <c r="L246" s="203">
        <f>'Footprint Summary'!$I67*Assumptions!H$35</f>
        <v>4633.2570833999998</v>
      </c>
      <c r="M246" s="203">
        <f>'Footprint Summary'!$I67*Assumptions!I$35</f>
        <v>4633.2570833999998</v>
      </c>
      <c r="N246" s="203">
        <f>'Footprint Summary'!$I67*Assumptions!J$35</f>
        <v>4633.2570833999998</v>
      </c>
      <c r="O246" s="203">
        <f>'Footprint Summary'!$I67*Assumptions!K$35</f>
        <v>4633.2570833999998</v>
      </c>
      <c r="P246" s="203">
        <f>'Footprint Summary'!$I67*Assumptions!L$35</f>
        <v>4633.2570833999998</v>
      </c>
      <c r="Q246" s="203">
        <f>'Footprint Summary'!$I67*Assumptions!M$35</f>
        <v>4633.2570833999998</v>
      </c>
      <c r="R246" s="203">
        <f>'Footprint Summary'!$I67*Assumptions!N$35</f>
        <v>4633.2570833999998</v>
      </c>
      <c r="S246" s="204">
        <f t="shared" si="22"/>
        <v>46332.570833999998</v>
      </c>
    </row>
    <row r="247" spans="1:19" ht="14">
      <c r="A247" s="185" t="s">
        <v>48</v>
      </c>
      <c r="B247" s="182" t="s">
        <v>49</v>
      </c>
      <c r="C247" s="231">
        <v>24754</v>
      </c>
      <c r="D247" s="211">
        <v>1</v>
      </c>
      <c r="E247" s="199"/>
      <c r="F247" s="211">
        <v>1</v>
      </c>
      <c r="G247" s="203"/>
      <c r="H247" s="203"/>
      <c r="I247" s="203">
        <f>'Footprint Summary'!$I68*Assumptions!E$35</f>
        <v>0</v>
      </c>
      <c r="J247" s="203">
        <f>'Footprint Summary'!$I68*Assumptions!F$35</f>
        <v>0</v>
      </c>
      <c r="K247" s="203">
        <f>'Footprint Summary'!$I68*Assumptions!G$35</f>
        <v>0</v>
      </c>
      <c r="L247" s="203">
        <f>'Footprint Summary'!$I68*Assumptions!H$35</f>
        <v>0</v>
      </c>
      <c r="M247" s="203">
        <f>'Footprint Summary'!$I68*Assumptions!I$35</f>
        <v>0</v>
      </c>
      <c r="N247" s="203">
        <f>'Footprint Summary'!$I68*Assumptions!J$35</f>
        <v>0</v>
      </c>
      <c r="O247" s="203">
        <f>'Footprint Summary'!$I68*Assumptions!K$35</f>
        <v>0</v>
      </c>
      <c r="P247" s="203">
        <f>'Footprint Summary'!$I68*Assumptions!L$35</f>
        <v>0</v>
      </c>
      <c r="Q247" s="203">
        <f>'Footprint Summary'!$I68*Assumptions!M$35</f>
        <v>0</v>
      </c>
      <c r="R247" s="203">
        <f>'Footprint Summary'!$I68*Assumptions!N$35</f>
        <v>0</v>
      </c>
      <c r="S247" s="204">
        <f t="shared" si="22"/>
        <v>0</v>
      </c>
    </row>
    <row r="248" spans="1:19" ht="14">
      <c r="A248" s="185" t="s">
        <v>30</v>
      </c>
      <c r="B248" s="182" t="s">
        <v>92</v>
      </c>
      <c r="C248" s="231">
        <v>26819</v>
      </c>
      <c r="D248" s="212">
        <v>0</v>
      </c>
      <c r="E248" s="199">
        <v>1</v>
      </c>
      <c r="F248" s="211">
        <v>1</v>
      </c>
      <c r="G248" s="203"/>
      <c r="H248" s="203"/>
      <c r="I248" s="203">
        <f>'Footprint Summary'!$I69*Assumptions!E$35</f>
        <v>3641.8250364</v>
      </c>
      <c r="J248" s="203">
        <f>'Footprint Summary'!$I69*Assumptions!F$35</f>
        <v>3641.8250364</v>
      </c>
      <c r="K248" s="203">
        <f>'Footprint Summary'!$I69*Assumptions!G$35</f>
        <v>3641.8250364</v>
      </c>
      <c r="L248" s="203">
        <f>'Footprint Summary'!$I69*Assumptions!H$35</f>
        <v>3641.8250364</v>
      </c>
      <c r="M248" s="203">
        <f>'Footprint Summary'!$I69*Assumptions!I$35</f>
        <v>3641.8250364</v>
      </c>
      <c r="N248" s="203">
        <f>'Footprint Summary'!$I69*Assumptions!J$35</f>
        <v>3641.8250364</v>
      </c>
      <c r="O248" s="203">
        <f>'Footprint Summary'!$I69*Assumptions!K$35</f>
        <v>3641.8250364</v>
      </c>
      <c r="P248" s="203">
        <f>'Footprint Summary'!$I69*Assumptions!L$35</f>
        <v>3641.8250364</v>
      </c>
      <c r="Q248" s="203">
        <f>'Footprint Summary'!$I69*Assumptions!M$35</f>
        <v>3641.8250364</v>
      </c>
      <c r="R248" s="203">
        <f>'Footprint Summary'!$I69*Assumptions!N$35</f>
        <v>3641.8250364</v>
      </c>
      <c r="S248" s="204">
        <f t="shared" si="22"/>
        <v>36418.250364</v>
      </c>
    </row>
    <row r="249" spans="1:19" ht="14">
      <c r="A249" s="185" t="s">
        <v>30</v>
      </c>
      <c r="B249" s="182" t="s">
        <v>52</v>
      </c>
      <c r="C249" s="231">
        <v>28396</v>
      </c>
      <c r="D249" s="211">
        <v>0.75</v>
      </c>
      <c r="E249" s="199"/>
      <c r="F249" s="211">
        <v>1</v>
      </c>
      <c r="G249" s="203"/>
      <c r="H249" s="203"/>
      <c r="I249" s="203">
        <f>'Footprint Summary'!$I70*Assumptions!E$35</f>
        <v>6168.1410000000005</v>
      </c>
      <c r="J249" s="203">
        <f>'Footprint Summary'!$I70*Assumptions!F$35</f>
        <v>6168.1410000000005</v>
      </c>
      <c r="K249" s="203">
        <f>'Footprint Summary'!$I70*Assumptions!G$35</f>
        <v>6168.1410000000005</v>
      </c>
      <c r="L249" s="203">
        <f>'Footprint Summary'!$I70*Assumptions!H$35</f>
        <v>6168.1410000000005</v>
      </c>
      <c r="M249" s="203">
        <f>'Footprint Summary'!$I70*Assumptions!I$35</f>
        <v>6168.1410000000005</v>
      </c>
      <c r="N249" s="203">
        <f>'Footprint Summary'!$I70*Assumptions!J$35</f>
        <v>6168.1410000000005</v>
      </c>
      <c r="O249" s="203">
        <f>'Footprint Summary'!$I70*Assumptions!K$35</f>
        <v>6168.1410000000005</v>
      </c>
      <c r="P249" s="203">
        <f>'Footprint Summary'!$I70*Assumptions!L$35</f>
        <v>6168.1410000000005</v>
      </c>
      <c r="Q249" s="203">
        <f>'Footprint Summary'!$I70*Assumptions!M$35</f>
        <v>6168.1410000000005</v>
      </c>
      <c r="R249" s="203">
        <f>'Footprint Summary'!$I70*Assumptions!N$35</f>
        <v>6168.1410000000005</v>
      </c>
      <c r="S249" s="204">
        <f t="shared" si="22"/>
        <v>61681.410000000018</v>
      </c>
    </row>
    <row r="250" spans="1:19" ht="14">
      <c r="A250" s="185" t="s">
        <v>30</v>
      </c>
      <c r="B250" s="182" t="s">
        <v>54</v>
      </c>
      <c r="C250" s="231">
        <v>37558</v>
      </c>
      <c r="D250" s="211">
        <v>0.75</v>
      </c>
      <c r="E250" s="199"/>
      <c r="F250" s="211">
        <v>1</v>
      </c>
      <c r="G250" s="203"/>
      <c r="H250" s="203"/>
      <c r="I250" s="203">
        <f>'Footprint Summary'!$I71*Assumptions!E$35</f>
        <v>2876.7560346</v>
      </c>
      <c r="J250" s="203">
        <f>'Footprint Summary'!$I71*Assumptions!F$35</f>
        <v>2876.7560346</v>
      </c>
      <c r="K250" s="203">
        <f>'Footprint Summary'!$I71*Assumptions!G$35</f>
        <v>2876.7560346</v>
      </c>
      <c r="L250" s="203">
        <f>'Footprint Summary'!$I71*Assumptions!H$35</f>
        <v>2876.7560346</v>
      </c>
      <c r="M250" s="203">
        <f>'Footprint Summary'!$I71*Assumptions!I$35</f>
        <v>2876.7560346</v>
      </c>
      <c r="N250" s="203">
        <f>'Footprint Summary'!$I71*Assumptions!J$35</f>
        <v>2876.7560346</v>
      </c>
      <c r="O250" s="203">
        <f>'Footprint Summary'!$I71*Assumptions!K$35</f>
        <v>2876.7560346</v>
      </c>
      <c r="P250" s="203">
        <f>'Footprint Summary'!$I71*Assumptions!L$35</f>
        <v>2876.7560346</v>
      </c>
      <c r="Q250" s="203">
        <f>'Footprint Summary'!$I71*Assumptions!M$35</f>
        <v>2876.7560346</v>
      </c>
      <c r="R250" s="203">
        <f>'Footprint Summary'!$I71*Assumptions!N$35</f>
        <v>2876.7560346</v>
      </c>
      <c r="S250" s="204">
        <f t="shared" si="22"/>
        <v>28767.560345999995</v>
      </c>
    </row>
    <row r="251" spans="1:19" ht="14">
      <c r="A251" s="185" t="s">
        <v>37</v>
      </c>
      <c r="B251" s="182" t="s">
        <v>55</v>
      </c>
      <c r="C251" s="231">
        <v>55051</v>
      </c>
      <c r="D251" s="211">
        <v>0.5</v>
      </c>
      <c r="E251" s="199">
        <v>0.5</v>
      </c>
      <c r="F251" s="211">
        <v>1</v>
      </c>
      <c r="G251" s="203"/>
      <c r="H251" s="203"/>
      <c r="I251" s="203">
        <f>'Footprint Summary'!$I72*Assumptions!E$35</f>
        <v>16277.018516604039</v>
      </c>
      <c r="J251" s="203">
        <f>'Footprint Summary'!$I72*Assumptions!F$35</f>
        <v>16277.018516604039</v>
      </c>
      <c r="K251" s="203">
        <f>'Footprint Summary'!$I72*Assumptions!G$35</f>
        <v>16277.018516604039</v>
      </c>
      <c r="L251" s="203">
        <f>'Footprint Summary'!$I72*Assumptions!H$35</f>
        <v>16277.018516604039</v>
      </c>
      <c r="M251" s="203">
        <f>'Footprint Summary'!$I72*Assumptions!I$35</f>
        <v>16277.018516604039</v>
      </c>
      <c r="N251" s="203">
        <f>'Footprint Summary'!$I72*Assumptions!J$35</f>
        <v>16277.018516604039</v>
      </c>
      <c r="O251" s="203">
        <f>'Footprint Summary'!$I72*Assumptions!K$35</f>
        <v>16277.018516604039</v>
      </c>
      <c r="P251" s="203">
        <f>'Footprint Summary'!$I72*Assumptions!L$35</f>
        <v>16277.018516604039</v>
      </c>
      <c r="Q251" s="203">
        <f>'Footprint Summary'!$I72*Assumptions!M$35</f>
        <v>16277.018516604039</v>
      </c>
      <c r="R251" s="203">
        <f>'Footprint Summary'!$I72*Assumptions!N$35</f>
        <v>16277.018516604039</v>
      </c>
      <c r="S251" s="204">
        <f t="shared" si="22"/>
        <v>162770.18516604035</v>
      </c>
    </row>
    <row r="252" spans="1:19" ht="14">
      <c r="A252" s="185" t="s">
        <v>30</v>
      </c>
      <c r="B252" s="182" t="s">
        <v>56</v>
      </c>
      <c r="C252" s="231">
        <v>39938</v>
      </c>
      <c r="D252" s="211">
        <v>0.5</v>
      </c>
      <c r="E252" s="199"/>
      <c r="F252" s="211">
        <v>1</v>
      </c>
      <c r="G252" s="203"/>
      <c r="H252" s="203"/>
      <c r="I252" s="203">
        <f>'Footprint Summary'!$I73*Assumptions!E$35</f>
        <v>14850.0792654</v>
      </c>
      <c r="J252" s="203">
        <f>'Footprint Summary'!$I73*Assumptions!F$35</f>
        <v>14850.0792654</v>
      </c>
      <c r="K252" s="203">
        <f>'Footprint Summary'!$I73*Assumptions!G$35</f>
        <v>14850.0792654</v>
      </c>
      <c r="L252" s="203">
        <f>'Footprint Summary'!$I73*Assumptions!H$35</f>
        <v>14850.0792654</v>
      </c>
      <c r="M252" s="203">
        <f>'Footprint Summary'!$I73*Assumptions!I$35</f>
        <v>14850.0792654</v>
      </c>
      <c r="N252" s="203">
        <f>'Footprint Summary'!$I73*Assumptions!J$35</f>
        <v>14850.0792654</v>
      </c>
      <c r="O252" s="203">
        <f>'Footprint Summary'!$I73*Assumptions!K$35</f>
        <v>14850.0792654</v>
      </c>
      <c r="P252" s="203">
        <f>'Footprint Summary'!$I73*Assumptions!L$35</f>
        <v>14850.0792654</v>
      </c>
      <c r="Q252" s="203">
        <f>'Footprint Summary'!$I73*Assumptions!M$35</f>
        <v>14850.0792654</v>
      </c>
      <c r="R252" s="203">
        <f>'Footprint Summary'!$I73*Assumptions!N$35</f>
        <v>14850.0792654</v>
      </c>
      <c r="S252" s="204">
        <f t="shared" si="22"/>
        <v>148500.79265399999</v>
      </c>
    </row>
    <row r="253" spans="1:19" ht="14">
      <c r="A253" s="185" t="s">
        <v>30</v>
      </c>
      <c r="B253" s="182" t="s">
        <v>93</v>
      </c>
      <c r="C253" s="231">
        <v>20404</v>
      </c>
      <c r="D253" s="212">
        <v>0</v>
      </c>
      <c r="E253" s="199">
        <v>1</v>
      </c>
      <c r="F253" s="211">
        <v>1</v>
      </c>
      <c r="G253" s="203"/>
      <c r="H253" s="203"/>
      <c r="I253" s="203">
        <f>'Footprint Summary'!$I74*Assumptions!E$35</f>
        <v>2680.9306979999997</v>
      </c>
      <c r="J253" s="203">
        <f>'Footprint Summary'!$I74*Assumptions!F$35</f>
        <v>2680.9306979999997</v>
      </c>
      <c r="K253" s="203">
        <f>'Footprint Summary'!$I74*Assumptions!G$35</f>
        <v>2680.9306979999997</v>
      </c>
      <c r="L253" s="203">
        <f>'Footprint Summary'!$I74*Assumptions!H$35</f>
        <v>2680.9306979999997</v>
      </c>
      <c r="M253" s="203">
        <f>'Footprint Summary'!$I74*Assumptions!I$35</f>
        <v>2680.9306979999997</v>
      </c>
      <c r="N253" s="203">
        <f>'Footprint Summary'!$I74*Assumptions!J$35</f>
        <v>2680.9306979999997</v>
      </c>
      <c r="O253" s="203">
        <f>'Footprint Summary'!$I74*Assumptions!K$35</f>
        <v>2680.9306979999997</v>
      </c>
      <c r="P253" s="203">
        <f>'Footprint Summary'!$I74*Assumptions!L$35</f>
        <v>2680.9306979999997</v>
      </c>
      <c r="Q253" s="203">
        <f>'Footprint Summary'!$I74*Assumptions!M$35</f>
        <v>2680.9306979999997</v>
      </c>
      <c r="R253" s="203">
        <f>'Footprint Summary'!$I74*Assumptions!N$35</f>
        <v>2680.9306979999997</v>
      </c>
      <c r="S253" s="204">
        <f t="shared" si="22"/>
        <v>26809.306979999998</v>
      </c>
    </row>
    <row r="254" spans="1:19" ht="14">
      <c r="A254" s="185" t="s">
        <v>37</v>
      </c>
      <c r="B254" s="182" t="s">
        <v>60</v>
      </c>
      <c r="C254" s="231">
        <v>1422</v>
      </c>
      <c r="D254" s="211">
        <v>1</v>
      </c>
      <c r="E254" s="199"/>
      <c r="F254" s="211">
        <v>1</v>
      </c>
      <c r="G254" s="203"/>
      <c r="H254" s="203"/>
      <c r="I254" s="203">
        <f>'Footprint Summary'!$I75*Assumptions!E$35</f>
        <v>0</v>
      </c>
      <c r="J254" s="203">
        <f>'Footprint Summary'!$I75*Assumptions!F$35</f>
        <v>0</v>
      </c>
      <c r="K254" s="203">
        <f>'Footprint Summary'!$I75*Assumptions!G$35</f>
        <v>0</v>
      </c>
      <c r="L254" s="203">
        <f>'Footprint Summary'!$I75*Assumptions!H$35</f>
        <v>0</v>
      </c>
      <c r="M254" s="203">
        <f>'Footprint Summary'!$I75*Assumptions!I$35</f>
        <v>0</v>
      </c>
      <c r="N254" s="203">
        <f>'Footprint Summary'!$I75*Assumptions!J$35</f>
        <v>0</v>
      </c>
      <c r="O254" s="203">
        <f>'Footprint Summary'!$I75*Assumptions!K$35</f>
        <v>0</v>
      </c>
      <c r="P254" s="203">
        <f>'Footprint Summary'!$I75*Assumptions!L$35</f>
        <v>0</v>
      </c>
      <c r="Q254" s="203">
        <f>'Footprint Summary'!$I75*Assumptions!M$35</f>
        <v>0</v>
      </c>
      <c r="R254" s="203">
        <f>'Footprint Summary'!$I75*Assumptions!N$35</f>
        <v>0</v>
      </c>
      <c r="S254" s="204">
        <f t="shared" si="22"/>
        <v>0</v>
      </c>
    </row>
    <row r="255" spans="1:19" ht="14">
      <c r="A255" s="185" t="s">
        <v>66</v>
      </c>
      <c r="B255" s="182" t="s">
        <v>170</v>
      </c>
      <c r="C255" s="231">
        <v>17363.8</v>
      </c>
      <c r="D255" s="212">
        <v>0</v>
      </c>
      <c r="E255" s="199"/>
      <c r="F255" s="211">
        <v>1</v>
      </c>
      <c r="G255" s="203"/>
      <c r="H255" s="203"/>
      <c r="I255" s="203">
        <f>'Footprint Summary'!$I76*Assumptions!E$35</f>
        <v>800.40209220000008</v>
      </c>
      <c r="J255" s="203">
        <f>'Footprint Summary'!$I76*Assumptions!F$35</f>
        <v>800.40209220000008</v>
      </c>
      <c r="K255" s="203">
        <f>'Footprint Summary'!$I76*Assumptions!G$35</f>
        <v>800.40209220000008</v>
      </c>
      <c r="L255" s="203">
        <f>'Footprint Summary'!$I76*Assumptions!H$35</f>
        <v>800.40209220000008</v>
      </c>
      <c r="M255" s="203">
        <f>'Footprint Summary'!$I76*Assumptions!I$35</f>
        <v>800.40209220000008</v>
      </c>
      <c r="N255" s="203">
        <f>'Footprint Summary'!$I76*Assumptions!J$35</f>
        <v>800.40209220000008</v>
      </c>
      <c r="O255" s="203">
        <f>'Footprint Summary'!$I76*Assumptions!K$35</f>
        <v>800.40209220000008</v>
      </c>
      <c r="P255" s="203">
        <f>'Footprint Summary'!$I76*Assumptions!L$35</f>
        <v>800.40209220000008</v>
      </c>
      <c r="Q255" s="203">
        <f>'Footprint Summary'!$I76*Assumptions!M$35</f>
        <v>800.40209220000008</v>
      </c>
      <c r="R255" s="203">
        <f>'Footprint Summary'!$I76*Assumptions!N$35</f>
        <v>800.40209220000008</v>
      </c>
      <c r="S255" s="204">
        <f t="shared" si="22"/>
        <v>8004.0209220000006</v>
      </c>
    </row>
    <row r="256" spans="1:19" ht="14">
      <c r="A256" s="185" t="s">
        <v>48</v>
      </c>
      <c r="B256" s="182" t="s">
        <v>168</v>
      </c>
      <c r="C256" s="231">
        <v>24784</v>
      </c>
      <c r="D256" s="212">
        <v>0</v>
      </c>
      <c r="E256" s="199"/>
      <c r="F256" s="211">
        <v>1</v>
      </c>
      <c r="G256" s="203"/>
      <c r="H256" s="203"/>
      <c r="I256" s="203">
        <f>'Footprint Summary'!$I77*Assumptions!E$35</f>
        <v>0</v>
      </c>
      <c r="J256" s="203">
        <f>'Footprint Summary'!$I77*Assumptions!F$35</f>
        <v>0</v>
      </c>
      <c r="K256" s="203">
        <f>'Footprint Summary'!$I77*Assumptions!G$35</f>
        <v>0</v>
      </c>
      <c r="L256" s="203">
        <f>'Footprint Summary'!$I77*Assumptions!H$35</f>
        <v>0</v>
      </c>
      <c r="M256" s="203">
        <f>'Footprint Summary'!$I77*Assumptions!I$35</f>
        <v>0</v>
      </c>
      <c r="N256" s="203">
        <f>'Footprint Summary'!$I77*Assumptions!J$35</f>
        <v>0</v>
      </c>
      <c r="O256" s="203">
        <f>'Footprint Summary'!$I77*Assumptions!K$35</f>
        <v>0</v>
      </c>
      <c r="P256" s="203">
        <f>'Footprint Summary'!$I77*Assumptions!L$35</f>
        <v>0</v>
      </c>
      <c r="Q256" s="203">
        <f>'Footprint Summary'!$I77*Assumptions!M$35</f>
        <v>0</v>
      </c>
      <c r="R256" s="203">
        <f>'Footprint Summary'!$I77*Assumptions!N$35</f>
        <v>0</v>
      </c>
      <c r="S256" s="204">
        <f t="shared" si="22"/>
        <v>0</v>
      </c>
    </row>
    <row r="257" spans="1:19" ht="14">
      <c r="A257" s="185" t="s">
        <v>30</v>
      </c>
      <c r="B257" s="182" t="s">
        <v>123</v>
      </c>
      <c r="C257" s="231">
        <v>23555.5</v>
      </c>
      <c r="D257" s="211">
        <v>0</v>
      </c>
      <c r="E257" s="199"/>
      <c r="F257" s="211">
        <v>1</v>
      </c>
      <c r="G257" s="203"/>
      <c r="H257" s="203"/>
      <c r="I257" s="203">
        <f>'Footprint Summary'!$I78*Assumptions!E$35</f>
        <v>7402.5761597999999</v>
      </c>
      <c r="J257" s="203">
        <f>'Footprint Summary'!$I78*Assumptions!F$35</f>
        <v>7402.5761597999999</v>
      </c>
      <c r="K257" s="203">
        <f>'Footprint Summary'!$I78*Assumptions!G$35</f>
        <v>7402.5761597999999</v>
      </c>
      <c r="L257" s="203">
        <f>'Footprint Summary'!$I78*Assumptions!H$35</f>
        <v>7402.5761597999999</v>
      </c>
      <c r="M257" s="203">
        <f>'Footprint Summary'!$I78*Assumptions!I$35</f>
        <v>7402.5761597999999</v>
      </c>
      <c r="N257" s="203">
        <f>'Footprint Summary'!$I78*Assumptions!J$35</f>
        <v>7402.5761597999999</v>
      </c>
      <c r="O257" s="203">
        <f>'Footprint Summary'!$I78*Assumptions!K$35</f>
        <v>7402.5761597999999</v>
      </c>
      <c r="P257" s="203">
        <f>'Footprint Summary'!$I78*Assumptions!L$35</f>
        <v>7402.5761597999999</v>
      </c>
      <c r="Q257" s="203">
        <f>'Footprint Summary'!$I78*Assumptions!M$35</f>
        <v>7402.5761597999999</v>
      </c>
      <c r="R257" s="203">
        <f>'Footprint Summary'!$I78*Assumptions!N$35</f>
        <v>7402.5761597999999</v>
      </c>
      <c r="S257" s="204">
        <f t="shared" si="22"/>
        <v>74025.761597999997</v>
      </c>
    </row>
    <row r="258" spans="1:19" ht="14">
      <c r="A258" s="185" t="s">
        <v>63</v>
      </c>
      <c r="B258" s="182" t="s">
        <v>64</v>
      </c>
      <c r="C258" s="231">
        <v>61127</v>
      </c>
      <c r="D258" s="211">
        <v>0.5</v>
      </c>
      <c r="E258" s="199"/>
      <c r="F258" s="211"/>
      <c r="G258" s="203"/>
      <c r="H258" s="203"/>
      <c r="I258" s="203">
        <f>'Footprint Summary'!$I79*Assumptions!E$35</f>
        <v>6695.6441284800012</v>
      </c>
      <c r="J258" s="203">
        <f>'Footprint Summary'!$I79*Assumptions!F$35</f>
        <v>6695.6441284800012</v>
      </c>
      <c r="K258" s="203">
        <f>'Footprint Summary'!$I79*Assumptions!G$35</f>
        <v>6695.6441284800012</v>
      </c>
      <c r="L258" s="203">
        <f>'Footprint Summary'!$I79*Assumptions!H$35</f>
        <v>6695.6441284800012</v>
      </c>
      <c r="M258" s="203">
        <f>'Footprint Summary'!$I79*Assumptions!I$35</f>
        <v>6695.6441284800012</v>
      </c>
      <c r="N258" s="203">
        <f>'Footprint Summary'!$I79*Assumptions!J$35</f>
        <v>6695.6441284800012</v>
      </c>
      <c r="O258" s="203">
        <f>'Footprint Summary'!$I79*Assumptions!K$35</f>
        <v>6695.6441284800012</v>
      </c>
      <c r="P258" s="203">
        <f>'Footprint Summary'!$I79*Assumptions!L$35</f>
        <v>6695.6441284800012</v>
      </c>
      <c r="Q258" s="203">
        <f>'Footprint Summary'!$I79*Assumptions!M$35</f>
        <v>6695.6441284800012</v>
      </c>
      <c r="R258" s="203">
        <f>'Footprint Summary'!$I79*Assumptions!N$35</f>
        <v>6695.6441284800012</v>
      </c>
      <c r="S258" s="204">
        <f t="shared" si="22"/>
        <v>66956.441284800007</v>
      </c>
    </row>
    <row r="259" spans="1:19" ht="14">
      <c r="A259" s="185" t="s">
        <v>66</v>
      </c>
      <c r="B259" s="182" t="s">
        <v>95</v>
      </c>
      <c r="C259" s="231">
        <v>41253</v>
      </c>
      <c r="D259" s="212">
        <v>0</v>
      </c>
      <c r="E259" s="199">
        <v>0.5</v>
      </c>
      <c r="F259" s="211"/>
      <c r="G259" s="203"/>
      <c r="H259" s="203"/>
      <c r="I259" s="203">
        <f>'Footprint Summary'!$I80*Assumptions!E$35</f>
        <v>11801.400600000001</v>
      </c>
      <c r="J259" s="203">
        <f>'Footprint Summary'!$I80*Assumptions!F$35</f>
        <v>11801.400600000001</v>
      </c>
      <c r="K259" s="203">
        <f>'Footprint Summary'!$I80*Assumptions!G$35</f>
        <v>11801.400600000001</v>
      </c>
      <c r="L259" s="203">
        <f>'Footprint Summary'!$I80*Assumptions!H$35</f>
        <v>11801.400600000001</v>
      </c>
      <c r="M259" s="203">
        <f>'Footprint Summary'!$I80*Assumptions!I$35</f>
        <v>11801.400600000001</v>
      </c>
      <c r="N259" s="203">
        <f>'Footprint Summary'!$I80*Assumptions!J$35</f>
        <v>11801.400600000001</v>
      </c>
      <c r="O259" s="203">
        <f>'Footprint Summary'!$I80*Assumptions!K$35</f>
        <v>11801.400600000001</v>
      </c>
      <c r="P259" s="203">
        <f>'Footprint Summary'!$I80*Assumptions!L$35</f>
        <v>11801.400600000001</v>
      </c>
      <c r="Q259" s="203">
        <f>'Footprint Summary'!$I80*Assumptions!M$35</f>
        <v>11801.400600000001</v>
      </c>
      <c r="R259" s="203">
        <f>'Footprint Summary'!$I80*Assumptions!N$35</f>
        <v>11801.400600000001</v>
      </c>
      <c r="S259" s="204">
        <f t="shared" si="22"/>
        <v>118014.00599999999</v>
      </c>
    </row>
    <row r="260" spans="1:19" ht="14">
      <c r="A260" s="185" t="s">
        <v>66</v>
      </c>
      <c r="B260" s="198" t="s">
        <v>133</v>
      </c>
      <c r="C260" s="231">
        <v>8227.2000000000007</v>
      </c>
      <c r="D260" s="212">
        <v>0</v>
      </c>
      <c r="E260" s="199"/>
      <c r="F260" s="211">
        <v>1</v>
      </c>
      <c r="G260" s="203"/>
      <c r="H260" s="203"/>
      <c r="I260" s="203">
        <f>'Footprint Summary'!$I81*Assumptions!E$35</f>
        <v>0</v>
      </c>
      <c r="J260" s="203">
        <f>'Footprint Summary'!$I81*Assumptions!F$35</f>
        <v>0</v>
      </c>
      <c r="K260" s="203">
        <f>'Footprint Summary'!$I81*Assumptions!G$35</f>
        <v>0</v>
      </c>
      <c r="L260" s="203">
        <f>'Footprint Summary'!$I81*Assumptions!H$35</f>
        <v>0</v>
      </c>
      <c r="M260" s="203">
        <f>'Footprint Summary'!$I81*Assumptions!I$35</f>
        <v>0</v>
      </c>
      <c r="N260" s="203">
        <f>'Footprint Summary'!$I81*Assumptions!J$35</f>
        <v>0</v>
      </c>
      <c r="O260" s="203">
        <f>'Footprint Summary'!$I81*Assumptions!K$35</f>
        <v>0</v>
      </c>
      <c r="P260" s="203">
        <f>'Footprint Summary'!$I81*Assumptions!L$35</f>
        <v>0</v>
      </c>
      <c r="Q260" s="203">
        <f>'Footprint Summary'!$I81*Assumptions!M$35</f>
        <v>0</v>
      </c>
      <c r="R260" s="203">
        <f>'Footprint Summary'!$I81*Assumptions!N$35</f>
        <v>0</v>
      </c>
      <c r="S260" s="204">
        <f t="shared" si="22"/>
        <v>0</v>
      </c>
    </row>
    <row r="261" spans="1:19" ht="14">
      <c r="A261" s="185" t="s">
        <v>178</v>
      </c>
      <c r="B261" s="198" t="s">
        <v>140</v>
      </c>
      <c r="C261" s="231">
        <v>20861</v>
      </c>
      <c r="D261" s="212">
        <v>1</v>
      </c>
      <c r="E261" s="199"/>
      <c r="F261" s="211">
        <v>0</v>
      </c>
      <c r="G261" s="203"/>
      <c r="H261" s="203"/>
      <c r="I261" s="203">
        <f>'Footprint Summary'!$I82*Assumptions!E$35</f>
        <v>15257.726911799999</v>
      </c>
      <c r="J261" s="203">
        <f>'Footprint Summary'!$I82*Assumptions!F$35</f>
        <v>15257.726911799999</v>
      </c>
      <c r="K261" s="203">
        <f>'Footprint Summary'!$I82*Assumptions!G$35</f>
        <v>15257.726911799999</v>
      </c>
      <c r="L261" s="203">
        <f>'Footprint Summary'!$I82*Assumptions!H$35</f>
        <v>15257.726911799999</v>
      </c>
      <c r="M261" s="203">
        <f>'Footprint Summary'!$I82*Assumptions!I$35</f>
        <v>15257.726911799999</v>
      </c>
      <c r="N261" s="203">
        <f>'Footprint Summary'!$I82*Assumptions!J$35</f>
        <v>15257.726911799999</v>
      </c>
      <c r="O261" s="203">
        <f>'Footprint Summary'!$I82*Assumptions!K$35</f>
        <v>15257.726911799999</v>
      </c>
      <c r="P261" s="203">
        <f>'Footprint Summary'!$I82*Assumptions!L$35</f>
        <v>15257.726911799999</v>
      </c>
      <c r="Q261" s="203">
        <f>'Footprint Summary'!$I82*Assumptions!M$35</f>
        <v>15257.726911799999</v>
      </c>
      <c r="R261" s="203">
        <f>'Footprint Summary'!$I82*Assumptions!N$35</f>
        <v>15257.726911799999</v>
      </c>
      <c r="S261" s="204">
        <f t="shared" si="22"/>
        <v>152577.269118</v>
      </c>
    </row>
    <row r="262" spans="1:19" ht="14">
      <c r="A262" s="185" t="s">
        <v>37</v>
      </c>
      <c r="B262" s="182" t="s">
        <v>166</v>
      </c>
      <c r="C262" s="231">
        <v>15723.1</v>
      </c>
      <c r="D262" s="212">
        <v>0</v>
      </c>
      <c r="E262" s="199"/>
      <c r="F262" s="211">
        <v>1</v>
      </c>
      <c r="G262" s="203"/>
      <c r="H262" s="203"/>
      <c r="I262" s="203">
        <f>'Footprint Summary'!$I83*Assumptions!E$35</f>
        <v>4877.9050337999997</v>
      </c>
      <c r="J262" s="203">
        <f>'Footprint Summary'!$I83*Assumptions!F$35</f>
        <v>4877.9050337999997</v>
      </c>
      <c r="K262" s="203">
        <f>'Footprint Summary'!$I83*Assumptions!G$35</f>
        <v>4877.9050337999997</v>
      </c>
      <c r="L262" s="203">
        <f>'Footprint Summary'!$I83*Assumptions!H$35</f>
        <v>4877.9050337999997</v>
      </c>
      <c r="M262" s="203">
        <f>'Footprint Summary'!$I83*Assumptions!I$35</f>
        <v>4877.9050337999997</v>
      </c>
      <c r="N262" s="203">
        <f>'Footprint Summary'!$I83*Assumptions!J$35</f>
        <v>4877.9050337999997</v>
      </c>
      <c r="O262" s="203">
        <f>'Footprint Summary'!$I83*Assumptions!K$35</f>
        <v>4877.9050337999997</v>
      </c>
      <c r="P262" s="203">
        <f>'Footprint Summary'!$I83*Assumptions!L$35</f>
        <v>4877.9050337999997</v>
      </c>
      <c r="Q262" s="203">
        <f>'Footprint Summary'!$I83*Assumptions!M$35</f>
        <v>4877.9050337999997</v>
      </c>
      <c r="R262" s="203">
        <f>'Footprint Summary'!$I83*Assumptions!N$35</f>
        <v>4877.9050337999997</v>
      </c>
      <c r="S262" s="204">
        <f t="shared" si="22"/>
        <v>48779.050338000008</v>
      </c>
    </row>
    <row r="263" spans="1:19" ht="14.5" thickBot="1">
      <c r="A263" s="185" t="s">
        <v>66</v>
      </c>
      <c r="B263" s="182" t="s">
        <v>67</v>
      </c>
      <c r="C263" s="231">
        <v>12837.7</v>
      </c>
      <c r="D263" s="211">
        <v>0</v>
      </c>
      <c r="E263" s="199"/>
      <c r="F263" s="211">
        <v>1</v>
      </c>
      <c r="G263" s="203"/>
      <c r="H263" s="203"/>
      <c r="I263" s="203">
        <f>'Footprint Summary'!$I84*Assumptions!E$35</f>
        <v>8944.4166263999996</v>
      </c>
      <c r="J263" s="203">
        <f>'Footprint Summary'!$I84*Assumptions!F$35</f>
        <v>8944.4166263999996</v>
      </c>
      <c r="K263" s="203">
        <f>'Footprint Summary'!$I84*Assumptions!G$35</f>
        <v>8944.4166263999996</v>
      </c>
      <c r="L263" s="203">
        <f>'Footprint Summary'!$I84*Assumptions!H$35</f>
        <v>8944.4166263999996</v>
      </c>
      <c r="M263" s="203">
        <f>'Footprint Summary'!$I84*Assumptions!I$35</f>
        <v>8944.4166263999996</v>
      </c>
      <c r="N263" s="203">
        <f>'Footprint Summary'!$I84*Assumptions!J$35</f>
        <v>8944.4166263999996</v>
      </c>
      <c r="O263" s="203">
        <f>'Footprint Summary'!$I84*Assumptions!K$35</f>
        <v>8944.4166263999996</v>
      </c>
      <c r="P263" s="203">
        <f>'Footprint Summary'!$I84*Assumptions!L$35</f>
        <v>8944.4166263999996</v>
      </c>
      <c r="Q263" s="203">
        <f>'Footprint Summary'!$I84*Assumptions!M$35</f>
        <v>8944.4166263999996</v>
      </c>
      <c r="R263" s="203">
        <f>'Footprint Summary'!$I84*Assumptions!N$35</f>
        <v>8944.4166263999996</v>
      </c>
      <c r="S263" s="204">
        <f t="shared" si="22"/>
        <v>89444.166263999985</v>
      </c>
    </row>
    <row r="264" spans="1:19" ht="13" thickTop="1">
      <c r="G264" s="261"/>
      <c r="H264" s="261"/>
      <c r="I264" s="261">
        <f t="shared" ref="I264:R264" si="23">SUBTOTAL(109,I241:I263)</f>
        <v>158316.82291328401</v>
      </c>
      <c r="J264" s="261">
        <f t="shared" si="23"/>
        <v>158316.82291328401</v>
      </c>
      <c r="K264" s="261">
        <f t="shared" si="23"/>
        <v>158316.82291328401</v>
      </c>
      <c r="L264" s="261">
        <f t="shared" si="23"/>
        <v>158316.82291328401</v>
      </c>
      <c r="M264" s="261">
        <f t="shared" si="23"/>
        <v>158316.82291328401</v>
      </c>
      <c r="N264" s="261">
        <f t="shared" si="23"/>
        <v>158316.82291328401</v>
      </c>
      <c r="O264" s="261">
        <f t="shared" si="23"/>
        <v>158316.82291328401</v>
      </c>
      <c r="P264" s="261">
        <f t="shared" si="23"/>
        <v>158316.82291328401</v>
      </c>
      <c r="Q264" s="261">
        <f t="shared" si="23"/>
        <v>158316.82291328401</v>
      </c>
      <c r="R264" s="261">
        <f t="shared" si="23"/>
        <v>158316.82291328401</v>
      </c>
      <c r="S264" s="261">
        <f>SUBTOTAL(109,S241:S263)</f>
        <v>1583168.2291328406</v>
      </c>
    </row>
  </sheetData>
  <autoFilter ref="A3:F28" xr:uid="{1251B4B0-6356-4DFC-94ED-0231505F62E9}"/>
  <customSheetViews>
    <customSheetView guid="{0FAFE012-8D9E-4ED0-86A4-A997E430971B}" scale="115" showAutoFilter="1">
      <selection activeCell="H5" sqref="H5"/>
      <pageMargins left="0.7" right="0.7" top="0.75" bottom="0.75" header="0.3" footer="0.3"/>
      <pageSetup paperSize="9" orientation="portrait" horizontalDpi="300" verticalDpi="300" r:id="rId1"/>
      <autoFilter ref="A3:F28" xr:uid="{13C96131-AC47-4C98-B3B3-44F77740F120}"/>
    </customSheetView>
  </customSheetViews>
  <phoneticPr fontId="71" type="noConversion"/>
  <conditionalFormatting sqref="G91:G113">
    <cfRule type="cellIs" dxfId="80" priority="1" operator="lessThan">
      <formula>5</formula>
    </cfRule>
  </conditionalFormatting>
  <pageMargins left="0.7" right="0.7" top="0.75" bottom="0.75" header="0.3" footer="0.3"/>
  <pageSetup paperSize="9" orientation="portrait" horizontalDpi="300" verticalDpi="300" r:id="rId2"/>
  <drawing r:id="rId3"/>
  <legacy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9E522-E383-45DE-9539-49566804E561}">
  <sheetPr codeName="Sheet75">
    <tabColor rgb="FFFFC000"/>
  </sheetPr>
  <dimension ref="A3:BF111"/>
  <sheetViews>
    <sheetView zoomScale="40" zoomScaleNormal="40" workbookViewId="0">
      <pane xSplit="1" topLeftCell="B1" activePane="topRight" state="frozen"/>
      <selection pane="topRight" activeCell="I54" sqref="I54"/>
    </sheetView>
  </sheetViews>
  <sheetFormatPr defaultColWidth="9.1796875" defaultRowHeight="14"/>
  <cols>
    <col min="1" max="1" width="52.54296875" style="266" bestFit="1" customWidth="1"/>
    <col min="2" max="49" width="18.453125" style="266" bestFit="1" customWidth="1"/>
    <col min="50" max="50" width="13.453125" style="266" customWidth="1"/>
    <col min="51" max="58" width="14" style="266" bestFit="1" customWidth="1"/>
    <col min="59" max="70" width="11" style="266" bestFit="1" customWidth="1"/>
    <col min="71" max="16384" width="9.1796875" style="266"/>
  </cols>
  <sheetData>
    <row r="3" spans="1:58">
      <c r="A3" s="747" t="s">
        <v>265</v>
      </c>
    </row>
    <row r="4" spans="1:58">
      <c r="A4" s="265"/>
      <c r="B4" s="265">
        <v>2019</v>
      </c>
      <c r="C4" s="265">
        <v>2019</v>
      </c>
      <c r="D4" s="265">
        <v>2019</v>
      </c>
      <c r="E4" s="265">
        <v>2020</v>
      </c>
      <c r="F4" s="265">
        <v>2020</v>
      </c>
      <c r="G4" s="265">
        <v>2020</v>
      </c>
      <c r="H4" s="265">
        <v>2020</v>
      </c>
      <c r="I4" s="265">
        <v>2020</v>
      </c>
      <c r="J4" s="265">
        <v>2020</v>
      </c>
      <c r="K4" s="265">
        <v>2020</v>
      </c>
      <c r="L4" s="265">
        <v>2020</v>
      </c>
      <c r="M4" s="265">
        <v>2020</v>
      </c>
      <c r="N4" s="265">
        <v>2020</v>
      </c>
      <c r="O4" s="265">
        <v>2020</v>
      </c>
      <c r="P4" s="265">
        <v>2020</v>
      </c>
      <c r="Q4" s="265">
        <v>2021</v>
      </c>
      <c r="R4" s="265">
        <v>2021</v>
      </c>
      <c r="S4" s="265">
        <v>2021</v>
      </c>
      <c r="T4" s="265">
        <v>2021</v>
      </c>
      <c r="U4" s="265">
        <v>2021</v>
      </c>
      <c r="V4" s="265">
        <v>2021</v>
      </c>
      <c r="W4" s="265">
        <v>2021</v>
      </c>
      <c r="X4" s="265">
        <v>2021</v>
      </c>
      <c r="Y4" s="265">
        <v>2021</v>
      </c>
      <c r="Z4" s="265">
        <v>2021</v>
      </c>
      <c r="AA4" s="265">
        <v>2021</v>
      </c>
      <c r="AB4" s="265">
        <v>2021</v>
      </c>
      <c r="AC4" s="265">
        <v>2022</v>
      </c>
      <c r="AD4" s="265">
        <v>2022</v>
      </c>
      <c r="AE4" s="265">
        <v>2022</v>
      </c>
      <c r="AF4" s="265">
        <v>2022</v>
      </c>
      <c r="AG4" s="265">
        <v>2022</v>
      </c>
      <c r="AH4" s="265">
        <v>2022</v>
      </c>
      <c r="AI4" s="265">
        <v>2022</v>
      </c>
      <c r="AJ4" s="265">
        <v>2022</v>
      </c>
      <c r="AK4" s="265">
        <v>2022</v>
      </c>
      <c r="AL4" s="265">
        <v>2022</v>
      </c>
      <c r="AM4" s="265">
        <v>2022</v>
      </c>
      <c r="AN4" s="265">
        <v>2022</v>
      </c>
      <c r="AO4" s="265">
        <v>2023</v>
      </c>
      <c r="AP4" s="265">
        <v>2023</v>
      </c>
      <c r="AQ4" s="265">
        <v>2023</v>
      </c>
      <c r="AR4" s="265">
        <v>2023</v>
      </c>
      <c r="AS4" s="265">
        <v>2023</v>
      </c>
      <c r="AT4" s="265">
        <v>2023</v>
      </c>
      <c r="AU4" s="265">
        <v>2023</v>
      </c>
      <c r="AV4" s="265">
        <v>2023</v>
      </c>
      <c r="AW4" s="265">
        <v>2023</v>
      </c>
    </row>
    <row r="5" spans="1:58">
      <c r="A5" s="265"/>
      <c r="B5" s="265">
        <v>10</v>
      </c>
      <c r="C5" s="265">
        <v>11</v>
      </c>
      <c r="D5" s="265">
        <v>12</v>
      </c>
      <c r="E5" s="265">
        <v>1</v>
      </c>
      <c r="F5" s="265">
        <v>2</v>
      </c>
      <c r="G5" s="265">
        <v>3</v>
      </c>
      <c r="H5" s="265">
        <v>4</v>
      </c>
      <c r="I5" s="265">
        <v>5</v>
      </c>
      <c r="J5" s="265">
        <v>6</v>
      </c>
      <c r="K5" s="265">
        <v>7</v>
      </c>
      <c r="L5" s="265">
        <v>8</v>
      </c>
      <c r="M5" s="265">
        <v>9</v>
      </c>
      <c r="N5" s="265">
        <v>10</v>
      </c>
      <c r="O5" s="265">
        <v>11</v>
      </c>
      <c r="P5" s="265">
        <v>12</v>
      </c>
      <c r="Q5" s="265">
        <v>1</v>
      </c>
      <c r="R5" s="265">
        <v>2</v>
      </c>
      <c r="S5" s="265">
        <v>3</v>
      </c>
      <c r="T5" s="265">
        <v>4</v>
      </c>
      <c r="U5" s="265">
        <v>5</v>
      </c>
      <c r="V5" s="265">
        <v>6</v>
      </c>
      <c r="W5" s="265">
        <v>7</v>
      </c>
      <c r="X5" s="265">
        <v>8</v>
      </c>
      <c r="Y5" s="265">
        <v>9</v>
      </c>
      <c r="Z5" s="265">
        <v>10</v>
      </c>
      <c r="AA5" s="265">
        <v>11</v>
      </c>
      <c r="AB5" s="265">
        <v>12</v>
      </c>
      <c r="AC5" s="265">
        <v>1</v>
      </c>
      <c r="AD5" s="265">
        <v>2</v>
      </c>
      <c r="AE5" s="265">
        <v>3</v>
      </c>
      <c r="AF5" s="265">
        <v>4</v>
      </c>
      <c r="AG5" s="265">
        <v>5</v>
      </c>
      <c r="AH5" s="265">
        <v>6</v>
      </c>
      <c r="AI5" s="265">
        <v>7</v>
      </c>
      <c r="AJ5" s="265">
        <v>8</v>
      </c>
      <c r="AK5" s="265">
        <v>9</v>
      </c>
      <c r="AL5" s="265">
        <v>10</v>
      </c>
      <c r="AM5" s="265">
        <v>11</v>
      </c>
      <c r="AN5" s="265">
        <v>12</v>
      </c>
      <c r="AO5" s="265">
        <v>1</v>
      </c>
      <c r="AP5" s="265">
        <v>2</v>
      </c>
      <c r="AQ5" s="265">
        <v>3</v>
      </c>
      <c r="AR5" s="265">
        <v>4</v>
      </c>
      <c r="AS5" s="265">
        <v>5</v>
      </c>
      <c r="AT5" s="265">
        <v>6</v>
      </c>
      <c r="AU5" s="265">
        <v>7</v>
      </c>
      <c r="AV5" s="265">
        <v>8</v>
      </c>
      <c r="AW5" s="265">
        <v>9</v>
      </c>
    </row>
    <row r="6" spans="1:58">
      <c r="A6" s="267" t="s">
        <v>266</v>
      </c>
      <c r="B6" s="268">
        <v>43466</v>
      </c>
      <c r="C6" s="268">
        <v>43497</v>
      </c>
      <c r="D6" s="268">
        <v>43525</v>
      </c>
      <c r="E6" s="268">
        <v>43556</v>
      </c>
      <c r="F6" s="268">
        <v>43586</v>
      </c>
      <c r="G6" s="268">
        <v>43617</v>
      </c>
      <c r="H6" s="268">
        <v>43647</v>
      </c>
      <c r="I6" s="268">
        <v>43678</v>
      </c>
      <c r="J6" s="268">
        <v>43709</v>
      </c>
      <c r="K6" s="268">
        <v>43739</v>
      </c>
      <c r="L6" s="268">
        <v>43770</v>
      </c>
      <c r="M6" s="268">
        <v>43800</v>
      </c>
      <c r="N6" s="268">
        <v>43831</v>
      </c>
      <c r="O6" s="268">
        <v>43862</v>
      </c>
      <c r="P6" s="268">
        <v>43891</v>
      </c>
      <c r="Q6" s="268">
        <v>43922</v>
      </c>
      <c r="R6" s="268">
        <v>43952</v>
      </c>
      <c r="S6" s="268">
        <v>43983</v>
      </c>
      <c r="T6" s="268">
        <v>44013</v>
      </c>
      <c r="U6" s="268">
        <v>44044</v>
      </c>
      <c r="V6" s="268">
        <v>44075</v>
      </c>
      <c r="W6" s="268">
        <v>44105</v>
      </c>
      <c r="X6" s="268">
        <v>44136</v>
      </c>
      <c r="Y6" s="268">
        <v>44166</v>
      </c>
      <c r="Z6" s="268">
        <v>44197</v>
      </c>
      <c r="AA6" s="268">
        <v>44228</v>
      </c>
      <c r="AB6" s="268">
        <v>44256</v>
      </c>
      <c r="AC6" s="268">
        <v>44287</v>
      </c>
      <c r="AD6" s="268">
        <v>44317</v>
      </c>
      <c r="AE6" s="268">
        <v>44348</v>
      </c>
      <c r="AF6" s="268">
        <v>44378</v>
      </c>
      <c r="AG6" s="268">
        <v>44409</v>
      </c>
      <c r="AH6" s="268">
        <v>44440</v>
      </c>
      <c r="AI6" s="268">
        <v>44470</v>
      </c>
      <c r="AJ6" s="268">
        <v>44501</v>
      </c>
      <c r="AK6" s="268">
        <v>44531</v>
      </c>
      <c r="AL6" s="268">
        <v>44562</v>
      </c>
      <c r="AM6" s="268">
        <v>44593</v>
      </c>
      <c r="AN6" s="268">
        <v>44621</v>
      </c>
      <c r="AO6" s="268">
        <v>44652</v>
      </c>
      <c r="AP6" s="268">
        <v>44682</v>
      </c>
      <c r="AQ6" s="268">
        <v>44713</v>
      </c>
      <c r="AR6" s="268">
        <v>44743</v>
      </c>
      <c r="AS6" s="268">
        <v>44774</v>
      </c>
      <c r="AT6" s="268">
        <v>44805</v>
      </c>
      <c r="AU6" s="268">
        <v>44835</v>
      </c>
      <c r="AV6" s="268">
        <v>44866</v>
      </c>
      <c r="AW6" s="268">
        <v>44896</v>
      </c>
      <c r="AX6" s="268">
        <v>44927</v>
      </c>
      <c r="AY6" s="268">
        <v>44958</v>
      </c>
      <c r="AZ6" s="268">
        <v>44986</v>
      </c>
      <c r="BA6" s="268">
        <v>45017</v>
      </c>
      <c r="BB6" s="268">
        <v>45047</v>
      </c>
      <c r="BC6" s="268">
        <v>45078</v>
      </c>
      <c r="BD6" s="268">
        <v>45108</v>
      </c>
      <c r="BE6" s="268">
        <v>45139</v>
      </c>
      <c r="BF6" s="268">
        <v>45170</v>
      </c>
    </row>
    <row r="7" spans="1:58">
      <c r="A7" s="266" t="s">
        <v>240</v>
      </c>
      <c r="B7" s="269">
        <v>60137.548999999999</v>
      </c>
      <c r="C7" s="269">
        <v>52937.29</v>
      </c>
      <c r="D7" s="269">
        <v>54404.78</v>
      </c>
      <c r="E7" s="269">
        <v>43430.38</v>
      </c>
      <c r="F7" s="269">
        <v>46627.739000000001</v>
      </c>
      <c r="G7" s="269">
        <v>42183.82</v>
      </c>
      <c r="H7" s="269">
        <v>44796.26</v>
      </c>
      <c r="I7" s="269">
        <v>44995.27</v>
      </c>
      <c r="J7" s="269">
        <v>42215.96</v>
      </c>
      <c r="K7" s="269">
        <v>45025.49</v>
      </c>
      <c r="L7" s="269">
        <v>47522.18</v>
      </c>
      <c r="M7" s="269">
        <v>48156.72</v>
      </c>
      <c r="N7" s="269">
        <v>52386.239999999998</v>
      </c>
      <c r="O7" s="269">
        <v>48976.77</v>
      </c>
      <c r="P7" s="269">
        <v>48014.65</v>
      </c>
      <c r="Q7" s="269">
        <v>35862.49</v>
      </c>
      <c r="R7" s="269">
        <v>33533.71</v>
      </c>
      <c r="S7" s="269">
        <v>34018.629999999997</v>
      </c>
      <c r="T7" s="269">
        <v>36857.18</v>
      </c>
      <c r="U7" s="269">
        <v>36003.449999999997</v>
      </c>
      <c r="V7" s="269">
        <v>34842.83</v>
      </c>
      <c r="W7" s="269">
        <v>35868.04</v>
      </c>
      <c r="X7" s="269">
        <v>39720.589999999997</v>
      </c>
      <c r="Y7" s="269">
        <v>41799.370000000003</v>
      </c>
      <c r="Z7" s="269">
        <v>42123.32</v>
      </c>
      <c r="AA7" s="269">
        <v>41907.300000000003</v>
      </c>
      <c r="AB7" s="269">
        <v>46992.52</v>
      </c>
      <c r="AC7" s="269">
        <v>39432.29</v>
      </c>
      <c r="AD7" s="269">
        <v>40556.71</v>
      </c>
      <c r="AE7" s="269">
        <v>39501.74</v>
      </c>
      <c r="AF7" s="269">
        <v>43240.22</v>
      </c>
      <c r="AG7" s="269">
        <v>41657.949999999997</v>
      </c>
      <c r="AH7" s="269">
        <v>38422.31</v>
      </c>
      <c r="AI7" s="269">
        <v>37488.089999999997</v>
      </c>
      <c r="AJ7" s="269">
        <v>39691.64</v>
      </c>
      <c r="AK7" s="269">
        <v>42289.64</v>
      </c>
      <c r="AL7" s="269">
        <v>40915.379999999997</v>
      </c>
      <c r="AM7" s="269">
        <v>40352.629999999997</v>
      </c>
      <c r="AN7" s="269">
        <v>41892.230000000003</v>
      </c>
      <c r="AO7" s="269">
        <v>33186.9</v>
      </c>
      <c r="AP7" s="269">
        <v>34714.589999999997</v>
      </c>
      <c r="AQ7" s="269">
        <v>35585.800000000003</v>
      </c>
      <c r="AR7" s="269">
        <v>38404.410000000003</v>
      </c>
      <c r="AS7" s="269">
        <v>37823.26</v>
      </c>
      <c r="AT7" s="269">
        <v>34723.56</v>
      </c>
      <c r="AU7" s="269">
        <v>36127.39</v>
      </c>
      <c r="AV7" s="682">
        <v>39009.19</v>
      </c>
      <c r="AW7" s="269">
        <v>38054.730000000003</v>
      </c>
      <c r="AX7" s="684">
        <v>40960.36</v>
      </c>
      <c r="AY7" s="684">
        <v>38730.89</v>
      </c>
      <c r="AZ7" s="684">
        <v>43061.18</v>
      </c>
      <c r="BA7" s="684">
        <v>31357.49</v>
      </c>
      <c r="BB7" s="684">
        <v>35579.42</v>
      </c>
      <c r="BC7" s="684">
        <v>33598.54</v>
      </c>
      <c r="BD7" s="684">
        <v>34305.120000000003</v>
      </c>
      <c r="BE7" s="684">
        <v>34721.980000000003</v>
      </c>
      <c r="BF7" s="684">
        <v>32925.57</v>
      </c>
    </row>
    <row r="8" spans="1:58">
      <c r="A8" s="266" t="s">
        <v>241</v>
      </c>
      <c r="B8" s="269">
        <v>95378.213999999993</v>
      </c>
      <c r="C8" s="269">
        <v>83413.760499999989</v>
      </c>
      <c r="D8" s="269">
        <v>89009.162499999991</v>
      </c>
      <c r="E8" s="269">
        <v>79930.73000000001</v>
      </c>
      <c r="F8" s="269">
        <v>85565.430000000008</v>
      </c>
      <c r="G8" s="269">
        <v>81930.249999999985</v>
      </c>
      <c r="H8" s="269">
        <v>88538.17</v>
      </c>
      <c r="I8" s="269">
        <v>87612.51</v>
      </c>
      <c r="J8" s="269">
        <v>80432.930000000008</v>
      </c>
      <c r="K8" s="269">
        <v>85663.83</v>
      </c>
      <c r="L8" s="269">
        <v>80083.87000000001</v>
      </c>
      <c r="M8" s="269">
        <v>81483.72</v>
      </c>
      <c r="N8" s="269">
        <v>85708.81</v>
      </c>
      <c r="O8" s="269">
        <v>83736.790000000008</v>
      </c>
      <c r="P8" s="269">
        <v>78035.78</v>
      </c>
      <c r="Q8" s="269">
        <v>65436.14</v>
      </c>
      <c r="R8" s="269">
        <v>75059.430000000008</v>
      </c>
      <c r="S8" s="269">
        <v>67943.600000000006</v>
      </c>
      <c r="T8" s="269">
        <v>71007.03</v>
      </c>
      <c r="U8" s="269">
        <v>64889.39</v>
      </c>
      <c r="V8" s="269">
        <v>62513.220000000008</v>
      </c>
      <c r="W8" s="269">
        <v>61701.439999999995</v>
      </c>
      <c r="X8" s="269">
        <v>63523.450000000004</v>
      </c>
      <c r="Y8" s="269">
        <v>64794.94999999999</v>
      </c>
      <c r="Z8" s="269">
        <v>56798.63</v>
      </c>
      <c r="AA8" s="269">
        <v>55297.7</v>
      </c>
      <c r="AB8" s="269">
        <v>59990.23</v>
      </c>
      <c r="AC8" s="269">
        <v>58125.240000000005</v>
      </c>
      <c r="AD8" s="269">
        <v>61913.79</v>
      </c>
      <c r="AE8" s="269">
        <v>56849.54</v>
      </c>
      <c r="AF8" s="269">
        <v>66940.430000000008</v>
      </c>
      <c r="AG8" s="269">
        <v>67687.179999999993</v>
      </c>
      <c r="AH8" s="269">
        <v>67449.12000000001</v>
      </c>
      <c r="AI8" s="269">
        <v>64285.55</v>
      </c>
      <c r="AJ8" s="269">
        <v>65644.03</v>
      </c>
      <c r="AK8" s="269">
        <v>63856.37</v>
      </c>
      <c r="AL8" s="269">
        <v>66809.709999999992</v>
      </c>
      <c r="AM8" s="269">
        <v>59237.120000000003</v>
      </c>
      <c r="AN8" s="269">
        <v>63197.360000000008</v>
      </c>
      <c r="AO8" s="269">
        <v>56637.39</v>
      </c>
      <c r="AP8" s="269">
        <v>66377.239999999991</v>
      </c>
      <c r="AQ8" s="269">
        <v>63708.719999999994</v>
      </c>
      <c r="AR8" s="269">
        <v>63811.970000000008</v>
      </c>
      <c r="AS8" s="269">
        <v>63296.679999999993</v>
      </c>
      <c r="AT8" s="269">
        <v>62183.700000000004</v>
      </c>
      <c r="AU8" s="269">
        <v>59924.04</v>
      </c>
      <c r="AV8" s="269">
        <v>61763.020000000004</v>
      </c>
      <c r="AW8" s="269">
        <v>65176.53</v>
      </c>
      <c r="AX8" s="684">
        <v>68460.240000000005</v>
      </c>
      <c r="AY8" s="684">
        <v>64954.01</v>
      </c>
      <c r="AZ8" s="684">
        <v>66612.38</v>
      </c>
      <c r="BA8" s="684">
        <v>57002.53</v>
      </c>
      <c r="BB8" s="684">
        <v>67834.210000000006</v>
      </c>
      <c r="BC8" s="684">
        <v>63864.11</v>
      </c>
      <c r="BD8" s="684">
        <v>62547.73</v>
      </c>
      <c r="BE8" s="684">
        <v>62651.839999999997</v>
      </c>
      <c r="BF8" s="684">
        <v>58703.77</v>
      </c>
    </row>
    <row r="9" spans="1:58">
      <c r="A9" s="266" t="s">
        <v>242</v>
      </c>
      <c r="B9" s="269">
        <v>105091.95000000001</v>
      </c>
      <c r="C9" s="269">
        <v>96226.54</v>
      </c>
      <c r="D9" s="269">
        <v>97474.48</v>
      </c>
      <c r="E9" s="269">
        <v>86529.58</v>
      </c>
      <c r="F9" s="269">
        <v>83751.149999999994</v>
      </c>
      <c r="G9" s="269">
        <v>71347.41</v>
      </c>
      <c r="H9" s="269">
        <v>74308.070000000007</v>
      </c>
      <c r="I9" s="269">
        <v>70306.47</v>
      </c>
      <c r="J9" s="269">
        <v>70211.11</v>
      </c>
      <c r="K9" s="269">
        <v>76182.7</v>
      </c>
      <c r="L9" s="269">
        <v>82059.64</v>
      </c>
      <c r="M9" s="269">
        <v>81411.83</v>
      </c>
      <c r="N9" s="269">
        <v>93894.59</v>
      </c>
      <c r="O9" s="269">
        <v>87420.010000000009</v>
      </c>
      <c r="P9" s="269">
        <v>80584.88</v>
      </c>
      <c r="Q9" s="269">
        <v>62790.36</v>
      </c>
      <c r="R9" s="269">
        <v>61415.41</v>
      </c>
      <c r="S9" s="269">
        <v>64740.880000000005</v>
      </c>
      <c r="T9" s="269">
        <v>63097.009999999995</v>
      </c>
      <c r="U9" s="269">
        <v>58090.46</v>
      </c>
      <c r="V9" s="269">
        <v>61840.639999999999</v>
      </c>
      <c r="W9" s="269">
        <v>64286.01</v>
      </c>
      <c r="X9" s="269">
        <v>69734.179999999993</v>
      </c>
      <c r="Y9" s="269">
        <v>73146.06</v>
      </c>
      <c r="Z9" s="269">
        <v>71108.100000000006</v>
      </c>
      <c r="AA9" s="269">
        <v>70507.829999999987</v>
      </c>
      <c r="AB9" s="269">
        <v>76910.259999999995</v>
      </c>
      <c r="AC9" s="269">
        <v>67103.33</v>
      </c>
      <c r="AD9" s="269">
        <v>64328.770000000004</v>
      </c>
      <c r="AE9" s="269">
        <v>59112.01</v>
      </c>
      <c r="AF9" s="269">
        <v>40522.379999999997</v>
      </c>
      <c r="AG9" s="269">
        <v>45655.25</v>
      </c>
      <c r="AH9" s="269">
        <v>45329.08</v>
      </c>
      <c r="AI9" s="269">
        <v>49494.79</v>
      </c>
      <c r="AJ9" s="269">
        <v>53288.25</v>
      </c>
      <c r="AK9" s="269">
        <v>59572.78</v>
      </c>
      <c r="AL9" s="269">
        <v>60319.42</v>
      </c>
      <c r="AM9" s="269">
        <v>56504.979999999996</v>
      </c>
      <c r="AN9" s="269">
        <v>62287.73</v>
      </c>
      <c r="AO9" s="269">
        <v>50509.919999999998</v>
      </c>
      <c r="AP9" s="269">
        <v>52323.15</v>
      </c>
      <c r="AQ9" s="269">
        <v>48448.14</v>
      </c>
      <c r="AR9" s="269">
        <v>45550.19</v>
      </c>
      <c r="AS9" s="269">
        <v>47650.6</v>
      </c>
      <c r="AT9" s="269">
        <v>43077.78</v>
      </c>
      <c r="AU9" s="269">
        <v>45918.21</v>
      </c>
      <c r="AV9" s="269">
        <v>49780.41</v>
      </c>
      <c r="AW9" s="269">
        <v>48619.64</v>
      </c>
      <c r="AX9" s="684">
        <v>54614.35</v>
      </c>
      <c r="AY9" s="684">
        <v>54174.9</v>
      </c>
      <c r="AZ9" s="684">
        <v>60704.42</v>
      </c>
      <c r="BA9" s="684">
        <v>44014.55</v>
      </c>
      <c r="BB9" s="684">
        <v>45682.6</v>
      </c>
      <c r="BC9" s="684">
        <v>44727.05</v>
      </c>
      <c r="BD9" s="684">
        <v>46733.14</v>
      </c>
      <c r="BE9" s="684">
        <v>49220.26</v>
      </c>
      <c r="BF9" s="684">
        <v>47686.35</v>
      </c>
    </row>
    <row r="10" spans="1:58">
      <c r="A10" s="266" t="s">
        <v>243</v>
      </c>
      <c r="B10" s="269">
        <v>23717.666000000001</v>
      </c>
      <c r="C10" s="269">
        <v>20909.3</v>
      </c>
      <c r="D10" s="269">
        <v>21825.05</v>
      </c>
      <c r="E10" s="269">
        <v>17070.439999999999</v>
      </c>
      <c r="F10" s="269">
        <v>16460.834999999999</v>
      </c>
      <c r="G10" s="269">
        <v>13886.24</v>
      </c>
      <c r="H10" s="269">
        <v>14383.9</v>
      </c>
      <c r="I10" s="269">
        <v>14117.21</v>
      </c>
      <c r="J10" s="269">
        <v>14318.87</v>
      </c>
      <c r="K10" s="269">
        <v>15179.6</v>
      </c>
      <c r="L10" s="269">
        <v>18742.57</v>
      </c>
      <c r="M10" s="269">
        <v>18402.32</v>
      </c>
      <c r="N10" s="269">
        <v>20409.939999999999</v>
      </c>
      <c r="O10" s="269">
        <v>18702.689999999999</v>
      </c>
      <c r="P10" s="269">
        <v>17060.580000000002</v>
      </c>
      <c r="Q10" s="269">
        <v>11920.97</v>
      </c>
      <c r="R10" s="269">
        <v>11704.45</v>
      </c>
      <c r="S10" s="269">
        <v>11747.72</v>
      </c>
      <c r="T10" s="269">
        <v>12030.52</v>
      </c>
      <c r="U10" s="269">
        <v>11990.24</v>
      </c>
      <c r="V10" s="269">
        <v>12157.13</v>
      </c>
      <c r="W10" s="269">
        <v>12208.44</v>
      </c>
      <c r="X10" s="269">
        <v>14187.05</v>
      </c>
      <c r="Y10" s="269">
        <v>14676.39</v>
      </c>
      <c r="Z10" s="269">
        <v>15964.67</v>
      </c>
      <c r="AA10" s="269">
        <v>13769.05</v>
      </c>
      <c r="AB10" s="269">
        <v>15358.88</v>
      </c>
      <c r="AC10" s="269">
        <v>12014.09</v>
      </c>
      <c r="AD10" s="269">
        <v>11824.78</v>
      </c>
      <c r="AE10" s="269">
        <v>11853.22</v>
      </c>
      <c r="AF10" s="269">
        <v>12883.47</v>
      </c>
      <c r="AG10" s="269">
        <v>12545.04</v>
      </c>
      <c r="AH10" s="269">
        <v>11942.51</v>
      </c>
      <c r="AI10" s="269">
        <v>12011.97</v>
      </c>
      <c r="AJ10" s="269">
        <v>12835.58</v>
      </c>
      <c r="AK10" s="269">
        <v>13916.54</v>
      </c>
      <c r="AL10" s="269">
        <v>13535.6</v>
      </c>
      <c r="AM10" s="269">
        <v>13307.36</v>
      </c>
      <c r="AN10" s="269">
        <v>13356.9</v>
      </c>
      <c r="AO10" s="269">
        <v>11021.21</v>
      </c>
      <c r="AP10" s="269">
        <v>11752.07</v>
      </c>
      <c r="AQ10" s="269">
        <v>12187.05</v>
      </c>
      <c r="AR10" s="269">
        <v>12614.45</v>
      </c>
      <c r="AS10" s="269">
        <v>12535.66</v>
      </c>
      <c r="AT10" s="269">
        <v>11522.21</v>
      </c>
      <c r="AU10" s="269">
        <v>12054.05</v>
      </c>
      <c r="AV10" s="269">
        <v>13222.61</v>
      </c>
      <c r="AW10" s="269">
        <v>13088.55</v>
      </c>
      <c r="AX10" s="684">
        <v>14844.16</v>
      </c>
      <c r="AY10" s="684">
        <v>15214.79</v>
      </c>
      <c r="AZ10" s="684">
        <v>18192.580000000002</v>
      </c>
      <c r="BA10" s="684">
        <v>11645.22</v>
      </c>
      <c r="BB10" s="684">
        <v>12783.78</v>
      </c>
      <c r="BC10" s="684">
        <v>12693.71</v>
      </c>
      <c r="BD10" s="684">
        <v>12804.76</v>
      </c>
      <c r="BE10" s="684">
        <v>13378.72</v>
      </c>
      <c r="BF10" s="684">
        <v>12967.02</v>
      </c>
    </row>
    <row r="11" spans="1:58">
      <c r="A11" s="266" t="s">
        <v>244</v>
      </c>
      <c r="B11" s="269">
        <v>43238.93</v>
      </c>
      <c r="C11" s="269">
        <v>37391.760000000002</v>
      </c>
      <c r="D11" s="269">
        <v>39405.230000000003</v>
      </c>
      <c r="E11" s="269">
        <v>32974.129999999997</v>
      </c>
      <c r="F11" s="269">
        <v>31110.575000000001</v>
      </c>
      <c r="G11" s="269">
        <v>27925.919999999998</v>
      </c>
      <c r="H11" s="269">
        <v>30060.98</v>
      </c>
      <c r="I11" s="269">
        <v>29048.57</v>
      </c>
      <c r="J11" s="269">
        <v>27597.89</v>
      </c>
      <c r="K11" s="269">
        <v>30399.9</v>
      </c>
      <c r="L11" s="269">
        <v>34530.519999999997</v>
      </c>
      <c r="M11" s="269">
        <v>34652.120000000003</v>
      </c>
      <c r="N11" s="269">
        <v>38430.65</v>
      </c>
      <c r="O11" s="269">
        <v>35619.129999999997</v>
      </c>
      <c r="P11" s="269">
        <v>36027.19</v>
      </c>
      <c r="Q11" s="269">
        <v>23323.06</v>
      </c>
      <c r="R11" s="269">
        <v>23283.05</v>
      </c>
      <c r="S11" s="269">
        <v>23406.560000000001</v>
      </c>
      <c r="T11" s="269">
        <v>25025.42</v>
      </c>
      <c r="U11" s="269">
        <v>23510.46</v>
      </c>
      <c r="V11" s="269">
        <v>23843.48</v>
      </c>
      <c r="W11" s="269">
        <v>24997.97</v>
      </c>
      <c r="X11" s="269">
        <v>27688.23</v>
      </c>
      <c r="Y11" s="269">
        <v>28247.1</v>
      </c>
      <c r="Z11" s="269">
        <v>28974.44</v>
      </c>
      <c r="AA11" s="269">
        <v>28777.14</v>
      </c>
      <c r="AB11" s="269">
        <v>29766.74</v>
      </c>
      <c r="AC11" s="269">
        <v>24155.87</v>
      </c>
      <c r="AD11" s="269">
        <v>25213.919999999998</v>
      </c>
      <c r="AE11" s="269">
        <v>23878.43</v>
      </c>
      <c r="AF11" s="269">
        <v>22496.5</v>
      </c>
      <c r="AG11" s="269">
        <v>20472.18</v>
      </c>
      <c r="AH11" s="269">
        <v>20300.41</v>
      </c>
      <c r="AI11" s="269">
        <v>24858.95</v>
      </c>
      <c r="AJ11" s="269">
        <v>25802.77</v>
      </c>
      <c r="AK11" s="269">
        <v>27450.36</v>
      </c>
      <c r="AL11" s="269">
        <v>29037.33</v>
      </c>
      <c r="AM11" s="269">
        <v>26969.63</v>
      </c>
      <c r="AN11" s="269">
        <v>28871.119999999999</v>
      </c>
      <c r="AO11" s="269">
        <v>22752.34</v>
      </c>
      <c r="AP11" s="269">
        <v>23787.84</v>
      </c>
      <c r="AQ11" s="269">
        <v>24396.11</v>
      </c>
      <c r="AR11" s="269">
        <v>26470.3</v>
      </c>
      <c r="AS11" s="269">
        <v>26917.72</v>
      </c>
      <c r="AT11" s="269">
        <v>24018.51</v>
      </c>
      <c r="AU11" s="269">
        <v>25303.35</v>
      </c>
      <c r="AV11" s="269">
        <v>27890.65</v>
      </c>
      <c r="AW11" s="269">
        <v>28057.43</v>
      </c>
      <c r="AX11" s="684">
        <v>29424.89</v>
      </c>
      <c r="AY11" s="684">
        <v>29371.360000000001</v>
      </c>
      <c r="AZ11" s="684">
        <v>33114.910000000003</v>
      </c>
      <c r="BA11" s="684">
        <v>23200.41</v>
      </c>
      <c r="BB11" s="684">
        <v>24631.51</v>
      </c>
      <c r="BC11" s="684">
        <v>23645.88</v>
      </c>
      <c r="BD11" s="684">
        <v>24312.48</v>
      </c>
      <c r="BE11" s="684">
        <v>25529.64</v>
      </c>
      <c r="BF11" s="684">
        <v>25049.439999999999</v>
      </c>
    </row>
    <row r="12" spans="1:58">
      <c r="A12" s="266" t="s">
        <v>245</v>
      </c>
      <c r="B12" s="269">
        <v>70354.565000000002</v>
      </c>
      <c r="C12" s="269">
        <v>61036.08</v>
      </c>
      <c r="D12" s="269">
        <v>63418.1</v>
      </c>
      <c r="E12" s="269">
        <v>52202.34</v>
      </c>
      <c r="F12" s="269">
        <v>50930.610999999997</v>
      </c>
      <c r="G12" s="269">
        <v>44958.52</v>
      </c>
      <c r="H12" s="269">
        <v>47658.55</v>
      </c>
      <c r="I12" s="269">
        <v>46205.13</v>
      </c>
      <c r="J12" s="269">
        <v>45358.74</v>
      </c>
      <c r="K12" s="269">
        <v>51117.41</v>
      </c>
      <c r="L12" s="269">
        <v>54022.3</v>
      </c>
      <c r="M12" s="269">
        <v>54721.33</v>
      </c>
      <c r="N12" s="269">
        <v>59862.13</v>
      </c>
      <c r="O12" s="269">
        <v>54179.65</v>
      </c>
      <c r="P12" s="269">
        <v>51667.26</v>
      </c>
      <c r="Q12" s="269">
        <v>37521.370000000003</v>
      </c>
      <c r="R12" s="269">
        <v>34833.9</v>
      </c>
      <c r="S12" s="269">
        <v>36124.019999999997</v>
      </c>
      <c r="T12" s="269">
        <v>38657.050000000003</v>
      </c>
      <c r="U12" s="269">
        <v>38547.949999999997</v>
      </c>
      <c r="V12" s="269">
        <v>39981.74</v>
      </c>
      <c r="W12" s="269">
        <v>42569.61</v>
      </c>
      <c r="X12" s="269">
        <v>44352.61</v>
      </c>
      <c r="Y12" s="269">
        <v>45633.03</v>
      </c>
      <c r="Z12" s="269">
        <v>42770.73</v>
      </c>
      <c r="AA12" s="269">
        <v>42869.08</v>
      </c>
      <c r="AB12" s="269">
        <v>49632.380000000005</v>
      </c>
      <c r="AC12" s="269">
        <v>42394.09</v>
      </c>
      <c r="AD12" s="269">
        <v>39743.629999999997</v>
      </c>
      <c r="AE12" s="269">
        <v>39848.310000000005</v>
      </c>
      <c r="AF12" s="269">
        <v>40048.939999999995</v>
      </c>
      <c r="AG12" s="269">
        <v>39873.590000000004</v>
      </c>
      <c r="AH12" s="269">
        <v>38131.550000000003</v>
      </c>
      <c r="AI12" s="269">
        <v>40442.659999999996</v>
      </c>
      <c r="AJ12" s="269">
        <v>41750.14</v>
      </c>
      <c r="AK12" s="269">
        <v>47349.820000000007</v>
      </c>
      <c r="AL12" s="269">
        <v>44852.160000000003</v>
      </c>
      <c r="AM12" s="269">
        <v>43432.97</v>
      </c>
      <c r="AN12" s="269">
        <v>47472.450000000004</v>
      </c>
      <c r="AO12" s="269">
        <v>35431.379999999997</v>
      </c>
      <c r="AP12" s="269">
        <v>37398.97</v>
      </c>
      <c r="AQ12" s="269">
        <v>38727.78</v>
      </c>
      <c r="AR12" s="269">
        <v>39961.96</v>
      </c>
      <c r="AS12" s="269">
        <v>39270.93</v>
      </c>
      <c r="AT12" s="269">
        <v>37853.060000000005</v>
      </c>
      <c r="AU12" s="269">
        <v>38911.939999999995</v>
      </c>
      <c r="AV12" s="269">
        <v>40179.53</v>
      </c>
      <c r="AW12" s="269">
        <v>38873.61</v>
      </c>
      <c r="AX12" s="684">
        <v>45664.38</v>
      </c>
      <c r="AY12" s="684">
        <v>44531.67</v>
      </c>
      <c r="AZ12" s="684">
        <v>48738.68</v>
      </c>
      <c r="BA12" s="684">
        <v>35173.42</v>
      </c>
      <c r="BB12" s="684">
        <v>38562.71</v>
      </c>
      <c r="BC12" s="684">
        <v>37285.61</v>
      </c>
      <c r="BD12" s="684">
        <v>37361.11</v>
      </c>
      <c r="BE12" s="684">
        <v>38161.56</v>
      </c>
      <c r="BF12" s="684">
        <v>37021.06</v>
      </c>
    </row>
    <row r="13" spans="1:58">
      <c r="A13" s="266" t="s">
        <v>246</v>
      </c>
      <c r="B13" s="269">
        <v>40488.99</v>
      </c>
      <c r="C13" s="269">
        <v>37148.080000000002</v>
      </c>
      <c r="D13" s="269">
        <v>37399.35</v>
      </c>
      <c r="E13" s="269">
        <v>30255.119999999999</v>
      </c>
      <c r="F13" s="269">
        <v>30398.506000000001</v>
      </c>
      <c r="G13" s="269">
        <v>28878.57</v>
      </c>
      <c r="H13" s="269">
        <v>32356.43</v>
      </c>
      <c r="I13" s="269">
        <v>33241.199999999997</v>
      </c>
      <c r="J13" s="269">
        <v>33343.129999999997</v>
      </c>
      <c r="K13" s="269">
        <v>36226.06</v>
      </c>
      <c r="L13" s="269">
        <v>37324.68</v>
      </c>
      <c r="M13" s="269">
        <v>39194.879999999997</v>
      </c>
      <c r="N13" s="269">
        <v>40146.660000000003</v>
      </c>
      <c r="O13" s="269">
        <v>38494.160000000003</v>
      </c>
      <c r="P13" s="269">
        <v>38144.620000000003</v>
      </c>
      <c r="Q13" s="269">
        <v>33126.17</v>
      </c>
      <c r="R13" s="269">
        <v>28162.34</v>
      </c>
      <c r="S13" s="269">
        <v>27180.38</v>
      </c>
      <c r="T13" s="269">
        <v>24981.65</v>
      </c>
      <c r="U13" s="269">
        <v>26115.84</v>
      </c>
      <c r="V13" s="269">
        <v>27409.119999999999</v>
      </c>
      <c r="W13" s="269">
        <v>31216.080000000002</v>
      </c>
      <c r="X13" s="269">
        <v>35993.97</v>
      </c>
      <c r="Y13" s="269">
        <v>37027.01</v>
      </c>
      <c r="Z13" s="269">
        <v>28798.75</v>
      </c>
      <c r="AA13" s="269">
        <v>28636.13</v>
      </c>
      <c r="AB13" s="269">
        <v>31872.5</v>
      </c>
      <c r="AC13" s="269">
        <v>25976.45</v>
      </c>
      <c r="AD13" s="269">
        <v>25072.98</v>
      </c>
      <c r="AE13" s="269">
        <v>22276.58</v>
      </c>
      <c r="AF13" s="269">
        <v>21278.05</v>
      </c>
      <c r="AG13" s="269">
        <v>20419.12</v>
      </c>
      <c r="AH13" s="269">
        <v>22741.05</v>
      </c>
      <c r="AI13" s="269">
        <v>26016.11</v>
      </c>
      <c r="AJ13" s="269">
        <v>28383.11</v>
      </c>
      <c r="AK13" s="269">
        <v>27848.23</v>
      </c>
      <c r="AL13" s="269">
        <v>26767.75</v>
      </c>
      <c r="AM13" s="269">
        <v>27847.56</v>
      </c>
      <c r="AN13" s="269">
        <v>27851.73</v>
      </c>
      <c r="AO13" s="269">
        <v>23339.37</v>
      </c>
      <c r="AP13" s="269">
        <v>23206.7</v>
      </c>
      <c r="AQ13" s="269">
        <v>22006.83</v>
      </c>
      <c r="AR13" s="269">
        <v>21221.39</v>
      </c>
      <c r="AS13" s="269">
        <v>24026.03</v>
      </c>
      <c r="AT13" s="269">
        <v>21074.84</v>
      </c>
      <c r="AU13" s="269">
        <v>24534.9</v>
      </c>
      <c r="AV13" s="269">
        <v>26826.41</v>
      </c>
      <c r="AW13" s="269">
        <v>26946.71</v>
      </c>
      <c r="AX13" s="684">
        <v>26961.4</v>
      </c>
      <c r="AY13" s="684">
        <v>25033.200000000001</v>
      </c>
      <c r="AZ13" s="684">
        <v>27492.61</v>
      </c>
      <c r="BA13" s="684">
        <v>21628.799999999999</v>
      </c>
      <c r="BB13" s="684">
        <v>18258.509999999998</v>
      </c>
      <c r="BC13" s="684">
        <v>17524.099999999999</v>
      </c>
      <c r="BD13" s="684">
        <v>18007.310000000001</v>
      </c>
      <c r="BE13" s="684">
        <v>19314.080000000002</v>
      </c>
      <c r="BF13" s="684">
        <v>20260.66</v>
      </c>
    </row>
    <row r="14" spans="1:58">
      <c r="A14" s="266" t="s">
        <v>247</v>
      </c>
      <c r="B14" s="269">
        <v>52716.391000000003</v>
      </c>
      <c r="C14" s="269">
        <v>46990.34</v>
      </c>
      <c r="D14" s="269">
        <v>49252.11</v>
      </c>
      <c r="E14" s="269">
        <v>37909.64</v>
      </c>
      <c r="F14" s="269">
        <v>41408.089</v>
      </c>
      <c r="G14" s="269">
        <v>37669.61</v>
      </c>
      <c r="H14" s="269">
        <v>30835.78</v>
      </c>
      <c r="I14" s="269">
        <v>29386.97</v>
      </c>
      <c r="J14" s="269">
        <v>29599.16</v>
      </c>
      <c r="K14" s="269">
        <v>36547.56</v>
      </c>
      <c r="L14" s="269">
        <v>40312.5</v>
      </c>
      <c r="M14" s="269">
        <v>37316.83</v>
      </c>
      <c r="N14" s="269">
        <v>43092.99</v>
      </c>
      <c r="O14" s="269">
        <v>42495.31</v>
      </c>
      <c r="P14" s="269">
        <v>42041.7</v>
      </c>
      <c r="Q14" s="269">
        <v>30280.91</v>
      </c>
      <c r="R14" s="269">
        <v>30716.84</v>
      </c>
      <c r="S14" s="269">
        <v>32675.06</v>
      </c>
      <c r="T14" s="269">
        <v>38452.89</v>
      </c>
      <c r="U14" s="269">
        <v>31225.35</v>
      </c>
      <c r="V14" s="269">
        <v>29100.48</v>
      </c>
      <c r="W14" s="269">
        <v>29874.65</v>
      </c>
      <c r="X14" s="269">
        <v>32212.26</v>
      </c>
      <c r="Y14" s="269">
        <v>34475.11</v>
      </c>
      <c r="Z14" s="269">
        <v>33531.26</v>
      </c>
      <c r="AA14" s="269">
        <v>30998.99</v>
      </c>
      <c r="AB14" s="269">
        <v>33932.339999999997</v>
      </c>
      <c r="AC14" s="269">
        <v>28341.58</v>
      </c>
      <c r="AD14" s="269">
        <v>27369.72</v>
      </c>
      <c r="AE14" s="269">
        <v>27814.99</v>
      </c>
      <c r="AF14" s="269">
        <v>30348.44</v>
      </c>
      <c r="AG14" s="269">
        <v>28447.68</v>
      </c>
      <c r="AH14" s="269">
        <v>26150.09</v>
      </c>
      <c r="AI14" s="269">
        <v>26829.7</v>
      </c>
      <c r="AJ14" s="269">
        <v>28782.14</v>
      </c>
      <c r="AK14" s="269">
        <v>31661.62</v>
      </c>
      <c r="AL14" s="269">
        <v>31300.240000000002</v>
      </c>
      <c r="AM14" s="269">
        <v>29371.48</v>
      </c>
      <c r="AN14" s="269">
        <v>30822.77</v>
      </c>
      <c r="AO14" s="269">
        <v>24409.81</v>
      </c>
      <c r="AP14" s="269">
        <v>25890.5</v>
      </c>
      <c r="AQ14" s="269">
        <v>26248.67</v>
      </c>
      <c r="AR14" s="269">
        <v>27273.98</v>
      </c>
      <c r="AS14" s="269">
        <v>27444.66</v>
      </c>
      <c r="AT14" s="269">
        <v>25922</v>
      </c>
      <c r="AU14" s="269">
        <v>26923.22</v>
      </c>
      <c r="AV14" s="269">
        <v>28868.59</v>
      </c>
      <c r="AW14" s="269">
        <v>30364.6</v>
      </c>
      <c r="AX14" s="684">
        <v>32443.18</v>
      </c>
      <c r="AY14" s="684">
        <v>31856.54</v>
      </c>
      <c r="AZ14" s="684">
        <v>35118.97</v>
      </c>
      <c r="BA14" s="684">
        <v>25257.85</v>
      </c>
      <c r="BB14" s="684">
        <v>27234.57</v>
      </c>
      <c r="BC14" s="684">
        <v>26683.599999999999</v>
      </c>
      <c r="BD14" s="684">
        <v>27675.37</v>
      </c>
      <c r="BE14" s="684">
        <v>29200.97</v>
      </c>
      <c r="BF14" s="684">
        <v>28356.81</v>
      </c>
    </row>
    <row r="15" spans="1:58">
      <c r="A15" s="266" t="s">
        <v>248</v>
      </c>
      <c r="B15" s="269">
        <v>73234.52</v>
      </c>
      <c r="C15" s="269">
        <v>60225.18</v>
      </c>
      <c r="D15" s="269">
        <v>62511.01</v>
      </c>
      <c r="E15" s="269">
        <v>49410.65</v>
      </c>
      <c r="F15" s="269">
        <v>46530.87</v>
      </c>
      <c r="G15" s="269">
        <v>36862.949999999997</v>
      </c>
      <c r="H15" s="269">
        <v>37158.07</v>
      </c>
      <c r="I15" s="269">
        <v>34758.480000000003</v>
      </c>
      <c r="J15" s="269">
        <v>37917.5</v>
      </c>
      <c r="K15" s="269">
        <v>49107.3</v>
      </c>
      <c r="L15" s="269">
        <v>54944.37</v>
      </c>
      <c r="M15" s="269">
        <v>53386.65</v>
      </c>
      <c r="N15" s="269">
        <v>64484.33</v>
      </c>
      <c r="O15" s="269">
        <v>56376.75</v>
      </c>
      <c r="P15" s="269">
        <v>53550.74</v>
      </c>
      <c r="Q15" s="269">
        <v>35515.410000000003</v>
      </c>
      <c r="R15" s="269">
        <v>29437.95</v>
      </c>
      <c r="S15" s="269">
        <v>29090.51</v>
      </c>
      <c r="T15" s="269">
        <v>27518.67</v>
      </c>
      <c r="U15" s="269">
        <v>26307.88</v>
      </c>
      <c r="V15" s="269">
        <v>30348.45</v>
      </c>
      <c r="W15" s="269">
        <v>30731.759999999998</v>
      </c>
      <c r="X15" s="269">
        <v>37369.129999999997</v>
      </c>
      <c r="Y15" s="269">
        <v>46231.41</v>
      </c>
      <c r="Z15" s="269">
        <v>47083.54</v>
      </c>
      <c r="AA15" s="269">
        <v>42880.55</v>
      </c>
      <c r="AB15" s="269">
        <v>45976.41</v>
      </c>
      <c r="AC15" s="269">
        <v>36128.519999999997</v>
      </c>
      <c r="AD15" s="269">
        <v>32820.47</v>
      </c>
      <c r="AE15" s="269">
        <v>27775.14</v>
      </c>
      <c r="AF15" s="269">
        <v>20598.509999999998</v>
      </c>
      <c r="AG15" s="269">
        <v>22671.52</v>
      </c>
      <c r="AH15" s="269">
        <v>23078.080000000002</v>
      </c>
      <c r="AI15" s="269">
        <v>25397.09</v>
      </c>
      <c r="AJ15" s="269">
        <v>30943.79</v>
      </c>
      <c r="AK15" s="269">
        <v>33351.800000000003</v>
      </c>
      <c r="AL15" s="269">
        <v>34057.43</v>
      </c>
      <c r="AM15" s="269">
        <v>34745.43</v>
      </c>
      <c r="AN15" s="269">
        <v>36809.74</v>
      </c>
      <c r="AO15" s="269">
        <v>28900.49</v>
      </c>
      <c r="AP15" s="269">
        <v>26659.56</v>
      </c>
      <c r="AQ15" s="269">
        <v>23101.9</v>
      </c>
      <c r="AR15" s="269">
        <v>14566.6</v>
      </c>
      <c r="AS15" s="269">
        <v>19008.39</v>
      </c>
      <c r="AT15" s="269">
        <v>17460.849999999999</v>
      </c>
      <c r="AU15" s="269">
        <v>19182.55</v>
      </c>
      <c r="AV15" s="269">
        <v>21193.58</v>
      </c>
      <c r="AW15" s="269">
        <v>21778.18</v>
      </c>
      <c r="AX15" s="684">
        <v>25736.560000000001</v>
      </c>
      <c r="AY15" s="684">
        <v>24954.74</v>
      </c>
      <c r="AZ15" s="684">
        <v>27299.98</v>
      </c>
      <c r="BA15" s="684">
        <v>19016.16</v>
      </c>
      <c r="BB15" s="684">
        <v>18630.900000000001</v>
      </c>
      <c r="BC15" s="684">
        <v>18139.599999999999</v>
      </c>
      <c r="BD15" s="684">
        <v>19332.490000000002</v>
      </c>
      <c r="BE15" s="684">
        <v>19651.099999999999</v>
      </c>
      <c r="BF15" s="684">
        <v>19624.11</v>
      </c>
    </row>
    <row r="16" spans="1:58">
      <c r="A16" s="266" t="s">
        <v>249</v>
      </c>
      <c r="B16" s="269">
        <v>53867.194000000003</v>
      </c>
      <c r="C16" s="269">
        <v>45829.177500000005</v>
      </c>
      <c r="D16" s="269">
        <v>48604.038</v>
      </c>
      <c r="E16" s="269">
        <v>38872.055500000002</v>
      </c>
      <c r="F16" s="269">
        <v>37833.514000000003</v>
      </c>
      <c r="G16" s="269">
        <v>34845.078999999998</v>
      </c>
      <c r="H16" s="269">
        <v>37896.7258</v>
      </c>
      <c r="I16" s="269">
        <v>37145.061000000002</v>
      </c>
      <c r="J16" s="269">
        <v>35565.858</v>
      </c>
      <c r="K16" s="269">
        <v>40346.4139</v>
      </c>
      <c r="L16" s="269">
        <v>43819.003499999999</v>
      </c>
      <c r="M16" s="269">
        <v>43277.318200000002</v>
      </c>
      <c r="N16" s="269">
        <v>48734.788199999995</v>
      </c>
      <c r="O16" s="269">
        <v>44888.578500000003</v>
      </c>
      <c r="P16" s="269">
        <v>43619.838099999994</v>
      </c>
      <c r="Q16" s="269">
        <v>31733.834500000001</v>
      </c>
      <c r="R16" s="269">
        <v>29393.926200000002</v>
      </c>
      <c r="S16" s="269">
        <v>31238.956900000005</v>
      </c>
      <c r="T16" s="269">
        <v>33426.063699999999</v>
      </c>
      <c r="U16" s="269">
        <v>32396.908799999997</v>
      </c>
      <c r="V16" s="269">
        <v>33684.3724</v>
      </c>
      <c r="W16" s="269">
        <v>35658.090899999996</v>
      </c>
      <c r="X16" s="269">
        <v>38991.39</v>
      </c>
      <c r="Y16" s="269">
        <v>41739.416599999997</v>
      </c>
      <c r="Z16" s="269">
        <v>40070.665699999998</v>
      </c>
      <c r="AA16" s="269">
        <v>39633.4401</v>
      </c>
      <c r="AB16" s="269">
        <v>43501.047099999996</v>
      </c>
      <c r="AC16" s="269">
        <v>35389.775000000001</v>
      </c>
      <c r="AD16" s="269">
        <v>35057.047400000003</v>
      </c>
      <c r="AE16" s="269">
        <v>33017.499799999998</v>
      </c>
      <c r="AF16" s="269">
        <v>30408.825600000004</v>
      </c>
      <c r="AG16" s="269">
        <v>30505.641300000003</v>
      </c>
      <c r="AH16" s="269">
        <v>29042.316999999999</v>
      </c>
      <c r="AI16" s="269">
        <v>32269.484700000001</v>
      </c>
      <c r="AJ16" s="269">
        <v>35858.578600000001</v>
      </c>
      <c r="AK16" s="269">
        <v>36924.242399999996</v>
      </c>
      <c r="AL16" s="269">
        <v>35139.375100000005</v>
      </c>
      <c r="AM16" s="269">
        <v>34790.606299999999</v>
      </c>
      <c r="AN16" s="269">
        <v>36269.033900000002</v>
      </c>
      <c r="AO16" s="269">
        <v>30282.8606</v>
      </c>
      <c r="AP16" s="269">
        <v>30675.048600000002</v>
      </c>
      <c r="AQ16" s="269">
        <v>31148.135100000003</v>
      </c>
      <c r="AR16" s="269">
        <v>33529.195200000002</v>
      </c>
      <c r="AS16" s="269">
        <v>34755.675199999998</v>
      </c>
      <c r="AT16" s="269">
        <v>30388.334799999997</v>
      </c>
      <c r="AU16" s="269">
        <v>29345.66</v>
      </c>
      <c r="AV16" s="269">
        <v>33487.1</v>
      </c>
      <c r="AW16" s="269">
        <v>33258.47</v>
      </c>
      <c r="AX16" s="684">
        <v>35340.94</v>
      </c>
      <c r="AY16" s="684">
        <v>34045.74</v>
      </c>
      <c r="AZ16" s="684">
        <v>37603.83</v>
      </c>
      <c r="BA16" s="684">
        <v>27193.27</v>
      </c>
      <c r="BB16" s="684">
        <v>29433.37</v>
      </c>
      <c r="BC16" s="684">
        <v>28494.78</v>
      </c>
      <c r="BD16" s="684">
        <v>30090.83</v>
      </c>
      <c r="BE16" s="684">
        <v>30819.88</v>
      </c>
      <c r="BF16" s="684">
        <v>17691.96</v>
      </c>
    </row>
    <row r="17" spans="1:58">
      <c r="A17" s="266" t="s">
        <v>250</v>
      </c>
      <c r="B17" s="269">
        <v>55790.716999999997</v>
      </c>
      <c r="C17" s="269">
        <v>44750.18</v>
      </c>
      <c r="D17" s="269">
        <v>47948.35</v>
      </c>
      <c r="E17" s="269">
        <v>38601.730000000003</v>
      </c>
      <c r="F17" s="269">
        <v>39255.601999999999</v>
      </c>
      <c r="G17" s="269">
        <v>35944.86</v>
      </c>
      <c r="H17" s="269">
        <v>38395.919999999998</v>
      </c>
      <c r="I17" s="269">
        <v>37994.36</v>
      </c>
      <c r="J17" s="269">
        <v>36818.01</v>
      </c>
      <c r="K17" s="269">
        <v>41603.29</v>
      </c>
      <c r="L17" s="269">
        <v>41857.9</v>
      </c>
      <c r="M17" s="269">
        <v>43832.850000000006</v>
      </c>
      <c r="N17" s="269">
        <v>47202.98</v>
      </c>
      <c r="O17" s="269">
        <v>42615.439999999995</v>
      </c>
      <c r="P17" s="269">
        <v>40769.14</v>
      </c>
      <c r="Q17" s="269">
        <v>32133.359999999997</v>
      </c>
      <c r="R17" s="269">
        <v>33039.4</v>
      </c>
      <c r="S17" s="269">
        <v>33744.78</v>
      </c>
      <c r="T17" s="269">
        <v>35014.17</v>
      </c>
      <c r="U17" s="269">
        <v>32984.53</v>
      </c>
      <c r="V17" s="269">
        <v>30251.63</v>
      </c>
      <c r="W17" s="269">
        <v>30234.37</v>
      </c>
      <c r="X17" s="269">
        <v>33711.630000000005</v>
      </c>
      <c r="Y17" s="269">
        <v>35016.5</v>
      </c>
      <c r="Z17" s="269">
        <v>31360.58</v>
      </c>
      <c r="AA17" s="269">
        <v>32354.799999999999</v>
      </c>
      <c r="AB17" s="269">
        <v>33235.910000000003</v>
      </c>
      <c r="AC17" s="269">
        <v>29568.12</v>
      </c>
      <c r="AD17" s="269">
        <v>28952.809999999998</v>
      </c>
      <c r="AE17" s="269">
        <v>28776.79</v>
      </c>
      <c r="AF17" s="269">
        <v>36651.699999999997</v>
      </c>
      <c r="AG17" s="269">
        <v>34202.910000000003</v>
      </c>
      <c r="AH17" s="269">
        <v>31951.79</v>
      </c>
      <c r="AI17" s="269">
        <v>30625.39</v>
      </c>
      <c r="AJ17" s="269">
        <v>33004.99</v>
      </c>
      <c r="AK17" s="269">
        <v>36568.410000000003</v>
      </c>
      <c r="AL17" s="269">
        <v>45291.8</v>
      </c>
      <c r="AM17" s="269">
        <v>40425.47</v>
      </c>
      <c r="AN17" s="269">
        <v>41866.42</v>
      </c>
      <c r="AO17" s="269">
        <v>35812.04</v>
      </c>
      <c r="AP17" s="269">
        <v>36691.009999999995</v>
      </c>
      <c r="AQ17" s="269">
        <v>36678.29</v>
      </c>
      <c r="AR17" s="269">
        <v>35990.189999999995</v>
      </c>
      <c r="AS17" s="269">
        <v>36318.039999999994</v>
      </c>
      <c r="AT17" s="269">
        <v>35059.65</v>
      </c>
      <c r="AU17" s="269">
        <v>35134.6</v>
      </c>
      <c r="AV17" s="269">
        <v>36562.18</v>
      </c>
      <c r="AW17" s="269">
        <v>41167.35</v>
      </c>
      <c r="AX17" s="684">
        <v>41579.949999999997</v>
      </c>
      <c r="AY17" s="684">
        <v>33091.89</v>
      </c>
      <c r="AZ17" s="684">
        <v>36680.79</v>
      </c>
      <c r="BA17" s="684">
        <v>36220.080000000002</v>
      </c>
      <c r="BB17" s="684">
        <v>31000.3</v>
      </c>
      <c r="BC17" s="684">
        <v>30692.07</v>
      </c>
      <c r="BD17" s="684">
        <v>29190.76</v>
      </c>
      <c r="BE17" s="684">
        <v>29811.9</v>
      </c>
      <c r="BF17" s="684">
        <v>29007.21</v>
      </c>
    </row>
    <row r="18" spans="1:58">
      <c r="A18" s="266" t="s">
        <v>251</v>
      </c>
      <c r="B18" s="269"/>
      <c r="C18" s="269"/>
      <c r="D18" s="269"/>
      <c r="E18" s="269"/>
      <c r="F18" s="269"/>
      <c r="G18" s="269"/>
      <c r="H18" s="269"/>
      <c r="I18" s="269"/>
      <c r="J18" s="269"/>
      <c r="K18" s="269"/>
      <c r="L18" s="269">
        <v>65550.559999999998</v>
      </c>
      <c r="M18" s="269">
        <v>71814.430000000008</v>
      </c>
      <c r="N18" s="269">
        <v>73165.61</v>
      </c>
      <c r="O18" s="269">
        <v>72915.48</v>
      </c>
      <c r="P18" s="269">
        <v>77896.160000000003</v>
      </c>
      <c r="Q18" s="269">
        <v>57791.03</v>
      </c>
      <c r="R18" s="269">
        <v>37920.79</v>
      </c>
      <c r="S18" s="269">
        <v>37480.479999999996</v>
      </c>
      <c r="T18" s="269">
        <v>41623.35</v>
      </c>
      <c r="U18" s="269">
        <v>41374.46</v>
      </c>
      <c r="V18" s="269">
        <v>42872.27</v>
      </c>
      <c r="W18" s="269">
        <v>46058.48</v>
      </c>
      <c r="X18" s="269">
        <v>50067.07</v>
      </c>
      <c r="Y18" s="269">
        <v>52781.120000000003</v>
      </c>
      <c r="Z18" s="269">
        <v>51316.67</v>
      </c>
      <c r="AA18" s="269">
        <v>51031.01</v>
      </c>
      <c r="AB18" s="269">
        <v>54176.14</v>
      </c>
      <c r="AC18" s="269">
        <v>39399.99</v>
      </c>
      <c r="AD18" s="269">
        <v>31725.65</v>
      </c>
      <c r="AE18" s="269">
        <v>37485.589999999997</v>
      </c>
      <c r="AF18" s="269">
        <v>37695.370000000003</v>
      </c>
      <c r="AG18" s="269">
        <v>38919.89</v>
      </c>
      <c r="AH18" s="269">
        <v>34897.86</v>
      </c>
      <c r="AI18" s="269">
        <v>41573.39</v>
      </c>
      <c r="AJ18" s="269">
        <v>49209.17</v>
      </c>
      <c r="AK18" s="269">
        <v>53981.25</v>
      </c>
      <c r="AL18" s="269">
        <v>50899.66</v>
      </c>
      <c r="AM18" s="269">
        <v>50469.61</v>
      </c>
      <c r="AN18" s="269">
        <v>56028.44</v>
      </c>
      <c r="AO18" s="269">
        <v>43929.78</v>
      </c>
      <c r="AP18" s="269">
        <v>41684.629999999997</v>
      </c>
      <c r="AQ18" s="269">
        <v>40557.94</v>
      </c>
      <c r="AR18" s="269">
        <v>41239.040000000001</v>
      </c>
      <c r="AS18" s="269">
        <v>43319.519999999997</v>
      </c>
      <c r="AT18" s="269">
        <v>42831.45</v>
      </c>
      <c r="AU18" s="269">
        <v>46713.29</v>
      </c>
      <c r="AV18" s="269">
        <v>48566.400000000001</v>
      </c>
      <c r="AW18" s="269">
        <v>46494.55</v>
      </c>
      <c r="AX18" s="684">
        <v>52722.400000000001</v>
      </c>
      <c r="AY18" s="684">
        <v>50420.7</v>
      </c>
      <c r="AZ18" s="684">
        <v>57221.07</v>
      </c>
      <c r="BA18" s="684">
        <v>40968.559999999998</v>
      </c>
      <c r="BB18" s="684">
        <v>40617.79</v>
      </c>
      <c r="BC18" s="684">
        <v>39110.07</v>
      </c>
      <c r="BD18" s="684">
        <v>38638.25</v>
      </c>
      <c r="BE18" s="684">
        <v>42276.45</v>
      </c>
      <c r="BF18" s="684">
        <v>40742.620000000003</v>
      </c>
    </row>
    <row r="19" spans="1:58">
      <c r="A19" s="266" t="s">
        <v>252</v>
      </c>
      <c r="B19" s="269">
        <v>39367.508999999998</v>
      </c>
      <c r="C19" s="269">
        <v>30485.27</v>
      </c>
      <c r="D19" s="269">
        <v>29311.68</v>
      </c>
      <c r="E19" s="269">
        <v>24901.88</v>
      </c>
      <c r="F19" s="269">
        <v>24849.924999999999</v>
      </c>
      <c r="G19" s="269">
        <v>20644.87</v>
      </c>
      <c r="H19" s="269">
        <v>20012.87</v>
      </c>
      <c r="I19" s="269">
        <v>19262.669999999998</v>
      </c>
      <c r="J19" s="269">
        <v>18870.099999999999</v>
      </c>
      <c r="K19" s="269">
        <v>21463.88</v>
      </c>
      <c r="L19" s="269">
        <v>23222.68</v>
      </c>
      <c r="M19" s="269">
        <v>22567.51</v>
      </c>
      <c r="N19" s="269">
        <v>26751.34</v>
      </c>
      <c r="O19" s="269">
        <v>25216.32</v>
      </c>
      <c r="P19" s="269">
        <v>24056.58</v>
      </c>
      <c r="Q19" s="269">
        <v>16925.73</v>
      </c>
      <c r="R19" s="269">
        <v>16357.22</v>
      </c>
      <c r="S19" s="269">
        <v>15598.14</v>
      </c>
      <c r="T19" s="269">
        <v>17749.71</v>
      </c>
      <c r="U19" s="269">
        <v>16993.5</v>
      </c>
      <c r="V19" s="269">
        <v>16938.54</v>
      </c>
      <c r="W19" s="269">
        <v>18499.169999999998</v>
      </c>
      <c r="X19" s="269">
        <v>21261.360000000001</v>
      </c>
      <c r="Y19" s="269">
        <v>22169.94</v>
      </c>
      <c r="Z19" s="269">
        <v>24021.31</v>
      </c>
      <c r="AA19" s="269">
        <v>22458.63</v>
      </c>
      <c r="AB19" s="269">
        <v>25516.34</v>
      </c>
      <c r="AC19" s="269">
        <v>21081.42</v>
      </c>
      <c r="AD19" s="269">
        <v>20567.78</v>
      </c>
      <c r="AE19" s="269">
        <v>18879.23</v>
      </c>
      <c r="AF19" s="269">
        <v>17311.689999999999</v>
      </c>
      <c r="AG19" s="269">
        <v>18871.91</v>
      </c>
      <c r="AH19" s="269">
        <v>19067.39</v>
      </c>
      <c r="AI19" s="269">
        <v>19843.54</v>
      </c>
      <c r="AJ19" s="269">
        <v>27620.82</v>
      </c>
      <c r="AK19" s="269">
        <v>23499.77</v>
      </c>
      <c r="AL19" s="269">
        <v>21781.71</v>
      </c>
      <c r="AM19" s="269">
        <v>21553.49</v>
      </c>
      <c r="AN19" s="269">
        <v>22538.71</v>
      </c>
      <c r="AO19" s="269">
        <v>18118.650000000001</v>
      </c>
      <c r="AP19" s="269">
        <v>18425.099999999999</v>
      </c>
      <c r="AQ19" s="269">
        <v>17371.38</v>
      </c>
      <c r="AR19" s="269">
        <v>17459.27</v>
      </c>
      <c r="AS19" s="269">
        <v>19355.66</v>
      </c>
      <c r="AT19" s="269">
        <v>17995.28</v>
      </c>
      <c r="AU19" s="269">
        <v>19190.3</v>
      </c>
      <c r="AV19" s="269">
        <v>20441.93</v>
      </c>
      <c r="AW19" s="269">
        <v>20208.87</v>
      </c>
      <c r="AX19" s="684">
        <v>22547.67</v>
      </c>
      <c r="AY19" s="684">
        <v>22704.84</v>
      </c>
      <c r="AZ19" s="684">
        <v>25323.9</v>
      </c>
      <c r="BA19" s="684">
        <v>18054.95</v>
      </c>
      <c r="BB19" s="684">
        <v>18744.05</v>
      </c>
      <c r="BC19" s="684">
        <v>17972.07</v>
      </c>
      <c r="BD19" s="684">
        <v>18705.59</v>
      </c>
      <c r="BE19" s="684">
        <v>19968.580000000002</v>
      </c>
      <c r="BF19" s="684">
        <v>19540.47</v>
      </c>
    </row>
    <row r="20" spans="1:58">
      <c r="A20" s="266" t="s">
        <v>253</v>
      </c>
      <c r="B20" s="269"/>
      <c r="C20" s="269"/>
      <c r="D20" s="269"/>
      <c r="E20" s="269"/>
      <c r="F20" s="269"/>
      <c r="G20" s="269"/>
      <c r="H20" s="269"/>
      <c r="I20" s="269"/>
      <c r="J20" s="269"/>
      <c r="K20" s="269">
        <v>520.76</v>
      </c>
      <c r="L20" s="269">
        <v>1573.44</v>
      </c>
      <c r="M20" s="269">
        <v>1602.05</v>
      </c>
      <c r="N20" s="269">
        <v>2137.4</v>
      </c>
      <c r="O20" s="269">
        <v>2082.4699999999998</v>
      </c>
      <c r="P20" s="269">
        <v>1687.99</v>
      </c>
      <c r="Q20" s="269">
        <v>353.11</v>
      </c>
      <c r="R20" s="269">
        <v>763.22</v>
      </c>
      <c r="S20" s="269">
        <v>1168.33</v>
      </c>
      <c r="T20" s="269">
        <v>1214.8399999999999</v>
      </c>
      <c r="U20" s="269">
        <v>1105.53</v>
      </c>
      <c r="V20" s="269">
        <v>1035.07</v>
      </c>
      <c r="W20" s="269">
        <v>1037.1199999999999</v>
      </c>
      <c r="X20" s="269">
        <v>1374.3</v>
      </c>
      <c r="Y20" s="269">
        <v>1847.98</v>
      </c>
      <c r="Z20" s="269">
        <v>1761.25</v>
      </c>
      <c r="AA20" s="269">
        <v>1765.97</v>
      </c>
      <c r="AB20" s="269">
        <v>1292.3699999999999</v>
      </c>
      <c r="AC20" s="269">
        <v>970.89</v>
      </c>
      <c r="AD20" s="269">
        <v>1016.6</v>
      </c>
      <c r="AE20" s="269">
        <v>1146.67</v>
      </c>
      <c r="AF20" s="269">
        <v>1256.8699999999999</v>
      </c>
      <c r="AG20" s="269">
        <v>1132.75</v>
      </c>
      <c r="AH20" s="269">
        <v>1058.5</v>
      </c>
      <c r="AI20" s="269">
        <v>1199.5999999999999</v>
      </c>
      <c r="AJ20" s="269">
        <v>1076.5999999999999</v>
      </c>
      <c r="AK20" s="269">
        <v>1246.2</v>
      </c>
      <c r="AL20" s="269">
        <v>1864.62</v>
      </c>
      <c r="AM20" s="269">
        <v>1208.21</v>
      </c>
      <c r="AN20" s="269">
        <v>1163.79</v>
      </c>
      <c r="AO20" s="269">
        <v>761.53</v>
      </c>
      <c r="AP20" s="269">
        <v>1038.43</v>
      </c>
      <c r="AQ20" s="269">
        <v>1067.71</v>
      </c>
      <c r="AR20" s="269">
        <v>1069.78</v>
      </c>
      <c r="AS20" s="269">
        <v>943.54</v>
      </c>
      <c r="AT20" s="269">
        <v>835.76</v>
      </c>
      <c r="AU20" s="269">
        <v>854.88</v>
      </c>
      <c r="AV20" s="269">
        <v>993.44</v>
      </c>
      <c r="AW20" s="269">
        <v>921.99</v>
      </c>
      <c r="AX20" s="684">
        <v>1273.8599999999999</v>
      </c>
      <c r="AY20" s="684">
        <v>1146.1300000000001</v>
      </c>
      <c r="AZ20" s="684">
        <v>925.28</v>
      </c>
      <c r="BA20" s="684">
        <v>746.73</v>
      </c>
      <c r="BB20" s="684">
        <v>907.18</v>
      </c>
      <c r="BC20" s="684">
        <v>842.91</v>
      </c>
      <c r="BD20" s="684">
        <v>843.03</v>
      </c>
      <c r="BE20" s="684">
        <v>911</v>
      </c>
      <c r="BF20" s="684">
        <v>795.55</v>
      </c>
    </row>
    <row r="21" spans="1:58">
      <c r="A21" s="266" t="s">
        <v>254</v>
      </c>
      <c r="B21" s="269">
        <v>42478.021999999997</v>
      </c>
      <c r="C21" s="269">
        <v>36983.480000000003</v>
      </c>
      <c r="D21" s="269">
        <v>39134.089999999997</v>
      </c>
      <c r="E21" s="269">
        <v>39669.74</v>
      </c>
      <c r="F21" s="269">
        <v>38761.110999999997</v>
      </c>
      <c r="G21" s="269">
        <v>34258.82</v>
      </c>
      <c r="H21" s="269">
        <v>34574.18</v>
      </c>
      <c r="I21" s="269">
        <v>33040.01</v>
      </c>
      <c r="J21" s="269">
        <v>30042.22</v>
      </c>
      <c r="K21" s="269">
        <v>33784.78</v>
      </c>
      <c r="L21" s="269">
        <v>37260.910000000003</v>
      </c>
      <c r="M21" s="269">
        <v>36764.300000000003</v>
      </c>
      <c r="N21" s="269">
        <v>38425.620000000003</v>
      </c>
      <c r="O21" s="269">
        <v>37116.1</v>
      </c>
      <c r="P21" s="269">
        <v>35670.449999999997</v>
      </c>
      <c r="Q21" s="269">
        <v>26698.39</v>
      </c>
      <c r="R21" s="269">
        <v>29516.73</v>
      </c>
      <c r="S21" s="269">
        <v>31481.53</v>
      </c>
      <c r="T21" s="269">
        <v>30682.93</v>
      </c>
      <c r="U21" s="269">
        <v>29992.04</v>
      </c>
      <c r="V21" s="269">
        <v>29886.61</v>
      </c>
      <c r="W21" s="269">
        <v>30668.19</v>
      </c>
      <c r="X21" s="269">
        <v>32698.15</v>
      </c>
      <c r="Y21" s="269">
        <v>36971.19</v>
      </c>
      <c r="Z21" s="269">
        <v>32017.06</v>
      </c>
      <c r="AA21" s="269">
        <v>29382.85</v>
      </c>
      <c r="AB21" s="269">
        <v>34295.53</v>
      </c>
      <c r="AC21" s="269">
        <v>26650.51</v>
      </c>
      <c r="AD21" s="269">
        <v>26247.35</v>
      </c>
      <c r="AE21" s="269">
        <v>27262.959999999999</v>
      </c>
      <c r="AF21" s="269">
        <v>25523.51</v>
      </c>
      <c r="AG21" s="269">
        <v>25451.26</v>
      </c>
      <c r="AH21" s="269">
        <v>22307.34</v>
      </c>
      <c r="AI21" s="269">
        <v>21338.9</v>
      </c>
      <c r="AJ21" s="269">
        <v>25392.799999999999</v>
      </c>
      <c r="AK21" s="269">
        <v>25154.5</v>
      </c>
      <c r="AL21" s="269">
        <v>24375.67</v>
      </c>
      <c r="AM21" s="269">
        <v>23168.25</v>
      </c>
      <c r="AN21" s="269">
        <v>23751.07</v>
      </c>
      <c r="AO21" s="269">
        <v>19793.509999999998</v>
      </c>
      <c r="AP21" s="269">
        <v>20814.71</v>
      </c>
      <c r="AQ21" s="269">
        <v>20429.45</v>
      </c>
      <c r="AR21" s="269">
        <v>21457.89</v>
      </c>
      <c r="AS21" s="269">
        <v>21524.880000000001</v>
      </c>
      <c r="AT21" s="269">
        <v>20122.64</v>
      </c>
      <c r="AU21" s="269">
        <v>20287.439999999999</v>
      </c>
      <c r="AV21" s="269">
        <v>21763.52</v>
      </c>
      <c r="AW21" s="269"/>
      <c r="AX21" s="684"/>
      <c r="AY21" s="684"/>
      <c r="AZ21" s="684"/>
      <c r="BA21" s="684"/>
      <c r="BB21" s="684"/>
      <c r="BC21" s="684"/>
      <c r="BD21" s="684"/>
      <c r="BE21" s="684"/>
      <c r="BF21" s="684"/>
    </row>
    <row r="22" spans="1:58">
      <c r="A22" s="266" t="s">
        <v>255</v>
      </c>
      <c r="B22" s="269">
        <v>29910.991000000002</v>
      </c>
      <c r="C22" s="269">
        <v>26927.302500000002</v>
      </c>
      <c r="D22" s="269">
        <v>27242.95</v>
      </c>
      <c r="E22" s="269">
        <v>23102.98</v>
      </c>
      <c r="F22" s="269">
        <v>19638.080000000002</v>
      </c>
      <c r="G22" s="269">
        <v>16084.23</v>
      </c>
      <c r="H22" s="269">
        <v>17265.39</v>
      </c>
      <c r="I22" s="269">
        <v>17062.62</v>
      </c>
      <c r="J22" s="269">
        <v>19119.900000000001</v>
      </c>
      <c r="K22" s="269">
        <v>21552.39</v>
      </c>
      <c r="L22" s="269">
        <v>22431.16</v>
      </c>
      <c r="M22" s="269">
        <v>24624.97</v>
      </c>
      <c r="N22" s="269">
        <v>25463.15</v>
      </c>
      <c r="O22" s="269">
        <v>22956.560000000001</v>
      </c>
      <c r="P22" s="269">
        <v>22850.29</v>
      </c>
      <c r="Q22" s="269">
        <v>17098.580000000002</v>
      </c>
      <c r="R22" s="269">
        <v>14853.72</v>
      </c>
      <c r="S22" s="269">
        <v>13439.54</v>
      </c>
      <c r="T22" s="269">
        <v>13042.97</v>
      </c>
      <c r="U22" s="269">
        <v>12803</v>
      </c>
      <c r="V22" s="269">
        <v>15103.66</v>
      </c>
      <c r="W22" s="269">
        <v>16677.39</v>
      </c>
      <c r="X22" s="269">
        <v>18773.84</v>
      </c>
      <c r="Y22" s="269">
        <v>20109.45</v>
      </c>
      <c r="Z22" s="269">
        <v>16010.45</v>
      </c>
      <c r="AA22" s="269">
        <v>16640.12</v>
      </c>
      <c r="AB22" s="269">
        <v>18081.73</v>
      </c>
      <c r="AC22" s="269">
        <v>14061.05</v>
      </c>
      <c r="AD22" s="269">
        <v>13283.84</v>
      </c>
      <c r="AE22" s="269">
        <v>10786.36</v>
      </c>
      <c r="AF22" s="269">
        <v>8957.51</v>
      </c>
      <c r="AG22" s="269">
        <v>8585.17</v>
      </c>
      <c r="AH22" s="269">
        <v>9587.0499999999993</v>
      </c>
      <c r="AI22" s="269">
        <v>12252.3</v>
      </c>
      <c r="AJ22" s="269">
        <v>11983.52</v>
      </c>
      <c r="AK22" s="269">
        <v>13551.82</v>
      </c>
      <c r="AL22" s="269">
        <v>13725.42</v>
      </c>
      <c r="AM22" s="269">
        <v>14248.95</v>
      </c>
      <c r="AN22" s="269">
        <v>14784.5</v>
      </c>
      <c r="AO22" s="269">
        <v>12108.09</v>
      </c>
      <c r="AP22" s="269">
        <v>12109.34</v>
      </c>
      <c r="AQ22" s="269">
        <v>9154.86</v>
      </c>
      <c r="AR22" s="269">
        <v>9586.42</v>
      </c>
      <c r="AS22" s="269">
        <v>9252.7000000000007</v>
      </c>
      <c r="AT22" s="269">
        <v>9305.2900000000009</v>
      </c>
      <c r="AU22" s="269">
        <v>10078.620000000001</v>
      </c>
      <c r="AV22" s="269">
        <v>11164.74</v>
      </c>
      <c r="AW22" s="269">
        <v>11457.85</v>
      </c>
      <c r="AX22" s="684">
        <v>11870.02</v>
      </c>
      <c r="AY22" s="684">
        <v>11649.61</v>
      </c>
      <c r="AZ22" s="684">
        <v>14983.33</v>
      </c>
      <c r="BA22" s="684">
        <v>11309.84</v>
      </c>
      <c r="BB22" s="684">
        <v>9994.26</v>
      </c>
      <c r="BC22" s="684">
        <v>6475.05</v>
      </c>
      <c r="BD22" s="684">
        <v>9252.73</v>
      </c>
      <c r="BE22" s="684">
        <v>9252.7000000000007</v>
      </c>
      <c r="BF22" s="684" t="s">
        <v>267</v>
      </c>
    </row>
    <row r="23" spans="1:58">
      <c r="A23" s="266" t="s">
        <v>256</v>
      </c>
      <c r="B23" s="269">
        <v>40985.607000000004</v>
      </c>
      <c r="C23" s="269">
        <v>35171.22</v>
      </c>
      <c r="D23" s="269">
        <v>35077.870000000003</v>
      </c>
      <c r="E23" s="269">
        <v>28054.240000000002</v>
      </c>
      <c r="F23" s="269">
        <v>28098.311000000002</v>
      </c>
      <c r="G23" s="269">
        <v>25835.24</v>
      </c>
      <c r="H23" s="269">
        <v>27060.39</v>
      </c>
      <c r="I23" s="269">
        <v>26196.36</v>
      </c>
      <c r="J23" s="269">
        <v>25110.51</v>
      </c>
      <c r="K23" s="269">
        <v>28596.15</v>
      </c>
      <c r="L23" s="269">
        <v>31149.86</v>
      </c>
      <c r="M23" s="269">
        <v>31247.54</v>
      </c>
      <c r="N23" s="269">
        <v>36902.980000000003</v>
      </c>
      <c r="O23" s="269">
        <v>32761.42</v>
      </c>
      <c r="P23" s="269">
        <v>32613.01</v>
      </c>
      <c r="Q23" s="269">
        <v>25719.43</v>
      </c>
      <c r="R23" s="269">
        <v>24497.37</v>
      </c>
      <c r="S23" s="269">
        <v>24067.919999999998</v>
      </c>
      <c r="T23" s="269">
        <v>25215.32</v>
      </c>
      <c r="U23" s="269">
        <v>24579.97</v>
      </c>
      <c r="V23" s="269">
        <v>24931.35</v>
      </c>
      <c r="W23" s="269">
        <v>26297.22</v>
      </c>
      <c r="X23" s="269">
        <v>30687.19</v>
      </c>
      <c r="Y23" s="269">
        <v>31462.07</v>
      </c>
      <c r="Z23" s="269">
        <v>32670.21</v>
      </c>
      <c r="AA23" s="269">
        <v>31163.38</v>
      </c>
      <c r="AB23" s="269">
        <v>34863.760000000002</v>
      </c>
      <c r="AC23" s="269">
        <v>27604.25</v>
      </c>
      <c r="AD23" s="269">
        <v>25869.55</v>
      </c>
      <c r="AE23" s="269">
        <v>24036.84</v>
      </c>
      <c r="AF23" s="269">
        <v>23940.31</v>
      </c>
      <c r="AG23" s="269">
        <v>24579.95</v>
      </c>
      <c r="AH23" s="269">
        <v>23660.54</v>
      </c>
      <c r="AI23" s="269">
        <v>22744.55</v>
      </c>
      <c r="AJ23" s="269">
        <v>23055.23</v>
      </c>
      <c r="AK23" s="269">
        <v>26105.26</v>
      </c>
      <c r="AL23" s="269">
        <v>24310.1</v>
      </c>
      <c r="AM23" s="269">
        <v>22249.279999999999</v>
      </c>
      <c r="AN23" s="269">
        <v>20156.71</v>
      </c>
      <c r="AO23" s="269">
        <v>13448.37</v>
      </c>
      <c r="AP23" s="269">
        <v>12077.03</v>
      </c>
      <c r="AQ23" s="269">
        <v>12538.9</v>
      </c>
      <c r="AR23" s="269">
        <v>14368.45</v>
      </c>
      <c r="AS23" s="269">
        <v>14580.53</v>
      </c>
      <c r="AT23" s="269">
        <v>13939.15</v>
      </c>
      <c r="AU23" s="269">
        <v>14483.85</v>
      </c>
      <c r="AV23" s="269">
        <v>14413.53</v>
      </c>
      <c r="AW23" s="269">
        <v>14638.29</v>
      </c>
      <c r="AX23" s="684">
        <v>14796.67</v>
      </c>
      <c r="AY23" s="684">
        <v>10317.91</v>
      </c>
      <c r="AZ23" s="684">
        <v>6769.7</v>
      </c>
      <c r="BA23" s="684">
        <v>5785.91</v>
      </c>
      <c r="BB23" s="684">
        <v>6092.25</v>
      </c>
      <c r="BC23" s="684">
        <v>6435.38</v>
      </c>
      <c r="BD23" s="684">
        <v>6634.97</v>
      </c>
      <c r="BE23" s="684">
        <v>6402.03</v>
      </c>
      <c r="BF23" s="684">
        <v>5979.39</v>
      </c>
    </row>
    <row r="24" spans="1:58">
      <c r="A24" s="266" t="s">
        <v>257</v>
      </c>
      <c r="B24" s="269">
        <v>0</v>
      </c>
      <c r="C24" s="269">
        <v>0</v>
      </c>
      <c r="D24" s="269">
        <v>0</v>
      </c>
      <c r="E24" s="269">
        <v>0</v>
      </c>
      <c r="F24" s="269">
        <v>0</v>
      </c>
      <c r="G24" s="269">
        <v>0</v>
      </c>
      <c r="H24" s="269">
        <v>0</v>
      </c>
      <c r="I24" s="269">
        <v>0</v>
      </c>
      <c r="J24" s="269">
        <v>0</v>
      </c>
      <c r="K24" s="269">
        <v>0</v>
      </c>
      <c r="L24" s="269">
        <v>0</v>
      </c>
      <c r="M24" s="269">
        <v>0</v>
      </c>
      <c r="N24" s="269">
        <v>0</v>
      </c>
      <c r="O24" s="269">
        <v>0</v>
      </c>
      <c r="P24" s="269">
        <v>0</v>
      </c>
      <c r="Q24" s="269">
        <v>0</v>
      </c>
      <c r="R24" s="269">
        <v>0</v>
      </c>
      <c r="S24" s="269">
        <v>0</v>
      </c>
      <c r="T24" s="269">
        <v>0</v>
      </c>
      <c r="U24" s="269">
        <v>0</v>
      </c>
      <c r="V24" s="269">
        <v>0</v>
      </c>
      <c r="W24" s="269">
        <v>0</v>
      </c>
      <c r="X24" s="269">
        <v>0</v>
      </c>
      <c r="Y24" s="269">
        <v>0</v>
      </c>
      <c r="Z24" s="269">
        <v>0</v>
      </c>
      <c r="AA24" s="269">
        <v>0</v>
      </c>
      <c r="AB24" s="269">
        <v>0</v>
      </c>
      <c r="AC24" s="269">
        <v>0</v>
      </c>
      <c r="AD24" s="269">
        <v>0</v>
      </c>
      <c r="AE24" s="269">
        <v>0</v>
      </c>
      <c r="AF24" s="269">
        <v>0</v>
      </c>
      <c r="AG24" s="269">
        <v>0</v>
      </c>
      <c r="AH24" s="269">
        <v>0</v>
      </c>
      <c r="AI24" s="269">
        <v>0</v>
      </c>
      <c r="AJ24" s="269">
        <v>0</v>
      </c>
      <c r="AK24" s="269">
        <v>0</v>
      </c>
      <c r="AL24" s="269">
        <v>0</v>
      </c>
      <c r="AM24" s="269">
        <v>0</v>
      </c>
      <c r="AN24" s="269">
        <v>0</v>
      </c>
      <c r="AO24" s="269">
        <v>0</v>
      </c>
      <c r="AP24" s="269">
        <v>0</v>
      </c>
      <c r="AQ24" s="269">
        <v>0</v>
      </c>
      <c r="AR24" s="269">
        <v>0</v>
      </c>
      <c r="AS24" s="269">
        <v>0</v>
      </c>
      <c r="AT24" s="269">
        <v>0</v>
      </c>
      <c r="AU24" s="269">
        <v>0</v>
      </c>
      <c r="AV24" s="269"/>
      <c r="AW24" s="269" t="s">
        <v>267</v>
      </c>
      <c r="AX24" s="684" t="s">
        <v>267</v>
      </c>
      <c r="AY24" s="684" t="s">
        <v>267</v>
      </c>
      <c r="AZ24" s="684" t="s">
        <v>267</v>
      </c>
      <c r="BA24" s="684" t="s">
        <v>267</v>
      </c>
      <c r="BB24" s="684" t="s">
        <v>267</v>
      </c>
      <c r="BC24" s="684" t="s">
        <v>267</v>
      </c>
      <c r="BD24" s="684" t="s">
        <v>267</v>
      </c>
      <c r="BE24" s="684" t="s">
        <v>267</v>
      </c>
      <c r="BF24" s="684" t="s">
        <v>267</v>
      </c>
    </row>
    <row r="25" spans="1:58">
      <c r="A25" s="266" t="s">
        <v>258</v>
      </c>
      <c r="B25" s="269">
        <v>30359.37</v>
      </c>
      <c r="C25" s="269">
        <v>29928.02</v>
      </c>
      <c r="D25" s="269">
        <v>32830.01</v>
      </c>
      <c r="E25" s="269">
        <v>26353.59</v>
      </c>
      <c r="F25" s="269">
        <v>19800.8</v>
      </c>
      <c r="G25" s="269">
        <v>10157.379999999999</v>
      </c>
      <c r="H25" s="269">
        <v>17165.48</v>
      </c>
      <c r="I25" s="269">
        <v>16992.849999999999</v>
      </c>
      <c r="J25" s="269">
        <v>14879.64</v>
      </c>
      <c r="K25" s="269">
        <v>20116.760000000002</v>
      </c>
      <c r="L25" s="269">
        <v>22590.95</v>
      </c>
      <c r="M25" s="269">
        <v>19913.23</v>
      </c>
      <c r="N25" s="269">
        <v>24924.41</v>
      </c>
      <c r="O25" s="269">
        <v>24249.690000000002</v>
      </c>
      <c r="P25" s="269">
        <v>36968.770000000004</v>
      </c>
      <c r="Q25" s="269">
        <v>25770.05</v>
      </c>
      <c r="R25" s="269">
        <v>31517.31</v>
      </c>
      <c r="S25" s="269">
        <v>38378.160000000003</v>
      </c>
      <c r="T25" s="269">
        <v>43619.88</v>
      </c>
      <c r="U25" s="269">
        <v>36509.58</v>
      </c>
      <c r="V25" s="269">
        <v>32631.68</v>
      </c>
      <c r="W25" s="269">
        <v>34412.68</v>
      </c>
      <c r="X25" s="269">
        <v>33788.32</v>
      </c>
      <c r="Y25" s="269">
        <v>40437.22</v>
      </c>
      <c r="Z25" s="269">
        <v>33104.03</v>
      </c>
      <c r="AA25" s="269">
        <v>28767.15</v>
      </c>
      <c r="AB25" s="269">
        <v>39317.17</v>
      </c>
      <c r="AC25" s="269">
        <v>37539.71</v>
      </c>
      <c r="AD25" s="269">
        <v>35271.33</v>
      </c>
      <c r="AE25" s="269">
        <v>34540.46</v>
      </c>
      <c r="AF25" s="269">
        <v>32192.54</v>
      </c>
      <c r="AG25" s="269">
        <v>30873.300000000003</v>
      </c>
      <c r="AH25" s="269">
        <v>30775.230000000003</v>
      </c>
      <c r="AI25" s="269">
        <v>36477.520000000004</v>
      </c>
      <c r="AJ25" s="269">
        <v>39517.86</v>
      </c>
      <c r="AK25" s="269">
        <v>40476.880000000005</v>
      </c>
      <c r="AL25" s="269">
        <v>40860.5</v>
      </c>
      <c r="AM25" s="269">
        <v>38486.990000000005</v>
      </c>
      <c r="AN25" s="269">
        <v>39911.660000000003</v>
      </c>
      <c r="AO25" s="269">
        <v>32412.03</v>
      </c>
      <c r="AP25" s="269">
        <v>34371.020000000004</v>
      </c>
      <c r="AQ25" s="269">
        <v>36344.340000000004</v>
      </c>
      <c r="AR25" s="269">
        <v>38622.400000000001</v>
      </c>
      <c r="AS25" s="269">
        <v>42777.9</v>
      </c>
      <c r="AT25" s="269">
        <v>38165.19</v>
      </c>
      <c r="AU25" s="269">
        <v>40566.350000000006</v>
      </c>
      <c r="AV25" s="269">
        <v>42725.64</v>
      </c>
      <c r="AW25" s="269"/>
      <c r="AX25" s="684"/>
      <c r="AY25" s="684"/>
      <c r="AZ25" s="684"/>
      <c r="BA25" s="684"/>
      <c r="BB25" s="684"/>
      <c r="BC25" s="684"/>
      <c r="BD25" s="684"/>
      <c r="BE25" s="684"/>
      <c r="BF25" s="684"/>
    </row>
    <row r="26" spans="1:58">
      <c r="A26" s="669" t="s">
        <v>259</v>
      </c>
      <c r="B26" s="269">
        <v>17009.915000000001</v>
      </c>
      <c r="C26" s="269">
        <v>15113.07</v>
      </c>
      <c r="D26" s="269">
        <v>16455.740000000002</v>
      </c>
      <c r="E26" s="269">
        <v>12382.24</v>
      </c>
      <c r="F26" s="269">
        <v>12009.004000000001</v>
      </c>
      <c r="G26" s="269">
        <v>12193.2</v>
      </c>
      <c r="H26" s="269">
        <v>13215.93</v>
      </c>
      <c r="I26" s="269">
        <v>11274.62</v>
      </c>
      <c r="J26" s="269">
        <v>10378.620000000001</v>
      </c>
      <c r="K26" s="269">
        <v>12799.94</v>
      </c>
      <c r="L26" s="269">
        <v>15078.28</v>
      </c>
      <c r="M26" s="269">
        <v>15728.79</v>
      </c>
      <c r="N26" s="269">
        <v>16692.169999999998</v>
      </c>
      <c r="O26" s="269">
        <v>15641.29</v>
      </c>
      <c r="P26" s="269">
        <v>15004.17</v>
      </c>
      <c r="Q26" s="269">
        <v>9308.43</v>
      </c>
      <c r="R26" s="269">
        <v>9095.3799999999992</v>
      </c>
      <c r="S26" s="269">
        <v>9609.92</v>
      </c>
      <c r="T26" s="269">
        <v>11295.63</v>
      </c>
      <c r="U26" s="269">
        <v>12524.25</v>
      </c>
      <c r="V26" s="269">
        <v>11272.21</v>
      </c>
      <c r="W26" s="269">
        <v>10988.26</v>
      </c>
      <c r="X26" s="269">
        <v>11899.86</v>
      </c>
      <c r="Y26" s="269">
        <v>12617.78</v>
      </c>
      <c r="Z26" s="269">
        <v>10752.26</v>
      </c>
      <c r="AA26" s="269">
        <v>10183.39</v>
      </c>
      <c r="AB26" s="269">
        <v>11559.63</v>
      </c>
      <c r="AC26" s="269">
        <v>9453.4</v>
      </c>
      <c r="AD26" s="269">
        <v>9802.7800000000007</v>
      </c>
      <c r="AE26" s="269">
        <v>12128.09</v>
      </c>
      <c r="AF26" s="269">
        <v>11529.84</v>
      </c>
      <c r="AG26" s="269">
        <v>9077.42</v>
      </c>
      <c r="AH26" s="269">
        <v>7838.99</v>
      </c>
      <c r="AI26" s="269">
        <v>7384.52</v>
      </c>
      <c r="AJ26" s="269">
        <v>8448.59</v>
      </c>
      <c r="AK26" s="269">
        <v>8697.3700000000008</v>
      </c>
      <c r="AL26" s="269">
        <v>8887.2900000000009</v>
      </c>
      <c r="AM26" s="269">
        <v>8560.39</v>
      </c>
      <c r="AN26" s="269">
        <v>8602.61</v>
      </c>
      <c r="AO26" s="269">
        <v>6981.89</v>
      </c>
      <c r="AP26" s="269">
        <v>7464.96</v>
      </c>
      <c r="AQ26" s="269">
        <v>9634.5400000000009</v>
      </c>
      <c r="AR26" s="269">
        <v>10508.16</v>
      </c>
      <c r="AS26" s="269">
        <v>9548.02</v>
      </c>
      <c r="AT26" s="269">
        <v>7933.85</v>
      </c>
      <c r="AU26" s="269">
        <v>8078.5</v>
      </c>
      <c r="AV26" s="269">
        <v>8630.56</v>
      </c>
      <c r="AW26" s="269">
        <v>8559.52</v>
      </c>
      <c r="AX26" s="684">
        <v>9219.8700000000008</v>
      </c>
      <c r="AY26" s="684">
        <v>9011.66</v>
      </c>
      <c r="AZ26" s="684">
        <v>11094.08</v>
      </c>
      <c r="BA26" s="684">
        <v>7584.15</v>
      </c>
      <c r="BB26" s="684">
        <v>8398.4699999999993</v>
      </c>
      <c r="BC26" s="684"/>
      <c r="BD26" s="684"/>
      <c r="BE26" s="684"/>
      <c r="BF26" s="684"/>
    </row>
    <row r="27" spans="1:58">
      <c r="A27" s="683" t="s">
        <v>268</v>
      </c>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269"/>
      <c r="AQ27" s="269"/>
      <c r="AR27" s="269"/>
      <c r="AS27" s="269"/>
      <c r="AT27" s="269"/>
      <c r="AU27" s="269"/>
      <c r="AV27" s="691">
        <v>25687.931499999999</v>
      </c>
      <c r="AW27" s="269">
        <v>24636.799999999999</v>
      </c>
      <c r="AX27" s="684">
        <v>31480.51</v>
      </c>
      <c r="AY27" s="684">
        <v>27977.63</v>
      </c>
      <c r="AZ27" s="684">
        <v>29067.16</v>
      </c>
      <c r="BA27" s="684">
        <v>24518.41</v>
      </c>
      <c r="BB27" s="684">
        <v>21772.43</v>
      </c>
      <c r="BC27" s="684">
        <v>20729.32</v>
      </c>
      <c r="BD27" s="684">
        <v>15301.17</v>
      </c>
      <c r="BE27" s="684">
        <v>14543.83</v>
      </c>
      <c r="BF27" s="684"/>
    </row>
    <row r="28" spans="1:58">
      <c r="A28" s="266" t="s">
        <v>261</v>
      </c>
      <c r="B28" s="269">
        <v>31429.632000000001</v>
      </c>
      <c r="C28" s="269">
        <v>26794.639999999999</v>
      </c>
      <c r="D28" s="269">
        <v>26393.75</v>
      </c>
      <c r="E28" s="269">
        <v>22312.23</v>
      </c>
      <c r="F28" s="269">
        <v>21560.225999999999</v>
      </c>
      <c r="G28" s="269">
        <v>19653.59</v>
      </c>
      <c r="H28" s="269">
        <v>20673.55</v>
      </c>
      <c r="I28" s="269">
        <v>20760.64</v>
      </c>
      <c r="J28" s="269">
        <v>19797.25</v>
      </c>
      <c r="K28" s="269">
        <v>22469.87</v>
      </c>
      <c r="L28" s="269">
        <v>22728.83</v>
      </c>
      <c r="M28" s="269">
        <v>24458.21</v>
      </c>
      <c r="N28" s="269">
        <v>25353.13</v>
      </c>
      <c r="O28" s="269">
        <v>22768.95</v>
      </c>
      <c r="P28" s="269">
        <v>22243.42</v>
      </c>
      <c r="Q28" s="269">
        <v>24858.04</v>
      </c>
      <c r="R28" s="269">
        <v>25527.97</v>
      </c>
      <c r="S28" s="269">
        <v>24796.36</v>
      </c>
      <c r="T28" s="269">
        <v>25093.18</v>
      </c>
      <c r="U28" s="269">
        <v>24490.1</v>
      </c>
      <c r="V28" s="269">
        <v>23931.84</v>
      </c>
      <c r="W28" s="269">
        <v>23952.98</v>
      </c>
      <c r="X28" s="269">
        <v>26141.25</v>
      </c>
      <c r="Y28" s="269">
        <v>25606.14</v>
      </c>
      <c r="Z28" s="269">
        <v>23451.93</v>
      </c>
      <c r="AA28" s="269">
        <v>23606.14</v>
      </c>
      <c r="AB28" s="269">
        <v>23946.080000000002</v>
      </c>
      <c r="AC28" s="269">
        <v>15322.14</v>
      </c>
      <c r="AD28" s="269">
        <v>14929.58</v>
      </c>
      <c r="AE28" s="269">
        <v>14526.04</v>
      </c>
      <c r="AF28" s="269">
        <v>18426.86</v>
      </c>
      <c r="AG28" s="269">
        <v>18054.53</v>
      </c>
      <c r="AH28" s="269">
        <v>17600.77</v>
      </c>
      <c r="AI28" s="269">
        <v>17563.46</v>
      </c>
      <c r="AJ28" s="269">
        <v>18193.3</v>
      </c>
      <c r="AK28" s="269">
        <v>19759.34</v>
      </c>
      <c r="AL28" s="269">
        <v>18747.73</v>
      </c>
      <c r="AM28" s="269">
        <v>15389.17</v>
      </c>
      <c r="AN28" s="269">
        <v>16147.24</v>
      </c>
      <c r="AO28" s="269">
        <v>13247.61</v>
      </c>
      <c r="AP28" s="269">
        <v>14197.28</v>
      </c>
      <c r="AQ28" s="269">
        <v>13923.39</v>
      </c>
      <c r="AR28" s="269">
        <v>13437.13</v>
      </c>
      <c r="AS28" s="269">
        <v>13440.68</v>
      </c>
      <c r="AT28" s="269">
        <v>12757.27</v>
      </c>
      <c r="AU28" s="269">
        <v>12439.81</v>
      </c>
      <c r="AV28" s="269">
        <v>12727.24</v>
      </c>
      <c r="AW28" s="269">
        <v>12550.95</v>
      </c>
      <c r="AX28" s="684">
        <v>14377.94</v>
      </c>
      <c r="AY28" s="684">
        <v>14376.62</v>
      </c>
      <c r="AZ28" s="684">
        <v>11146.95</v>
      </c>
      <c r="BA28" s="684">
        <v>9321.77</v>
      </c>
      <c r="BB28" s="684">
        <v>9925.99</v>
      </c>
      <c r="BC28" s="684"/>
      <c r="BD28" s="684"/>
      <c r="BE28" s="684"/>
      <c r="BF28" s="684"/>
    </row>
    <row r="29" spans="1:58">
      <c r="A29" s="266" t="s">
        <v>262</v>
      </c>
      <c r="B29" s="269">
        <v>28948.252</v>
      </c>
      <c r="C29" s="269">
        <v>25878.34</v>
      </c>
      <c r="D29" s="269">
        <v>27223.87</v>
      </c>
      <c r="E29" s="269">
        <v>22665.02</v>
      </c>
      <c r="F29" s="269">
        <v>22697.584999999999</v>
      </c>
      <c r="G29" s="269">
        <v>20431.68</v>
      </c>
      <c r="H29" s="269">
        <v>22445.08</v>
      </c>
      <c r="I29" s="269">
        <v>22049.14</v>
      </c>
      <c r="J29" s="269">
        <v>20749.63</v>
      </c>
      <c r="K29" s="269">
        <v>23693.35</v>
      </c>
      <c r="L29" s="269">
        <v>25708.49</v>
      </c>
      <c r="M29" s="269">
        <v>24992.27</v>
      </c>
      <c r="N29" s="269">
        <v>26554.35</v>
      </c>
      <c r="O29" s="269">
        <v>24146.720000000001</v>
      </c>
      <c r="P29" s="269">
        <v>24717.93</v>
      </c>
      <c r="Q29" s="269">
        <v>18914.68</v>
      </c>
      <c r="R29" s="269">
        <v>18997.21</v>
      </c>
      <c r="S29" s="269">
        <v>19689.64</v>
      </c>
      <c r="T29" s="269">
        <v>20442.84</v>
      </c>
      <c r="U29" s="269">
        <v>19794.830000000002</v>
      </c>
      <c r="V29" s="269">
        <v>20262.2</v>
      </c>
      <c r="W29" s="269">
        <v>21101.08</v>
      </c>
      <c r="X29" s="269">
        <v>22854.66</v>
      </c>
      <c r="Y29" s="269">
        <v>24151.38</v>
      </c>
      <c r="Z29" s="269">
        <v>20251.16</v>
      </c>
      <c r="AA29" s="269">
        <v>21227.66</v>
      </c>
      <c r="AB29" s="269">
        <v>23471.14</v>
      </c>
      <c r="AC29" s="269">
        <v>18350.79</v>
      </c>
      <c r="AD29" s="269">
        <v>18564.849999999999</v>
      </c>
      <c r="AE29" s="269">
        <v>17616.96</v>
      </c>
      <c r="AF29" s="269">
        <v>18099.560000000001</v>
      </c>
      <c r="AG29" s="269">
        <v>18076.439999999999</v>
      </c>
      <c r="AH29" s="269">
        <v>17653.86</v>
      </c>
      <c r="AI29" s="269">
        <v>18383.93</v>
      </c>
      <c r="AJ29" s="269">
        <v>21624.43</v>
      </c>
      <c r="AK29" s="269">
        <v>18915.36</v>
      </c>
      <c r="AL29" s="269">
        <v>19686.18</v>
      </c>
      <c r="AM29" s="269">
        <v>19262.830000000002</v>
      </c>
      <c r="AN29" s="269">
        <v>20532.939999999999</v>
      </c>
      <c r="AO29" s="269">
        <v>16712.59</v>
      </c>
      <c r="AP29" s="269">
        <v>16408.400000000001</v>
      </c>
      <c r="AQ29" s="269">
        <v>14122.02</v>
      </c>
      <c r="AR29" s="269">
        <v>16926.89</v>
      </c>
      <c r="AS29" s="269">
        <v>17675.66</v>
      </c>
      <c r="AT29" s="269">
        <v>16728.939999999999</v>
      </c>
      <c r="AU29" s="269">
        <v>17739.96</v>
      </c>
      <c r="AV29" s="269">
        <v>19435.71</v>
      </c>
      <c r="AW29" s="269">
        <v>18586.14</v>
      </c>
      <c r="AX29" s="684">
        <v>21916.59</v>
      </c>
      <c r="AY29" s="684">
        <v>21278.17</v>
      </c>
      <c r="AZ29" s="684">
        <v>23565.33</v>
      </c>
      <c r="BA29" s="684">
        <v>18097.68</v>
      </c>
      <c r="BB29" s="684">
        <v>18866.23</v>
      </c>
      <c r="BC29" s="684">
        <v>18535.68</v>
      </c>
      <c r="BD29" s="684">
        <v>19225.22</v>
      </c>
      <c r="BE29" s="684">
        <v>19837.52</v>
      </c>
      <c r="BF29" s="684">
        <v>19195.650000000001</v>
      </c>
    </row>
    <row r="33" spans="1:50">
      <c r="K33" s="747"/>
      <c r="AX33" s="683" t="s">
        <v>268</v>
      </c>
    </row>
    <row r="34" spans="1:50">
      <c r="B34" s="266" t="s">
        <v>269</v>
      </c>
      <c r="C34" s="266" t="s">
        <v>270</v>
      </c>
      <c r="D34" s="266" t="s">
        <v>271</v>
      </c>
      <c r="E34" s="747" t="s">
        <v>272</v>
      </c>
      <c r="F34" s="747" t="s">
        <v>269</v>
      </c>
      <c r="G34" s="747" t="s">
        <v>270</v>
      </c>
      <c r="H34" s="747" t="s">
        <v>271</v>
      </c>
      <c r="I34" s="747" t="s">
        <v>272</v>
      </c>
      <c r="K34" s="747" t="s">
        <v>272</v>
      </c>
      <c r="L34" s="747" t="s">
        <v>273</v>
      </c>
      <c r="AX34" s="293"/>
    </row>
    <row r="35" spans="1:50">
      <c r="A35" s="266" t="s">
        <v>240</v>
      </c>
      <c r="B35" s="748">
        <f t="shared" ref="B35:B57" si="0">SUM(H7:S7)</f>
        <v>525504.37</v>
      </c>
      <c r="C35" s="748">
        <f>SUM(T7:AE7)</f>
        <v>475605.33999999997</v>
      </c>
      <c r="D35" s="748">
        <f>SUM(AF7:AQ7)</f>
        <v>469437.38000000006</v>
      </c>
      <c r="E35" s="748">
        <f>SUM(AR7:BC7)</f>
        <v>447430.42</v>
      </c>
      <c r="F35" s="307">
        <f>1000*B35/'Historic Consumption'!B35</f>
        <v>236.49678493057718</v>
      </c>
      <c r="G35" s="307">
        <f>1000*C35/'Historic Consumption'!C35</f>
        <v>246.11958485163586</v>
      </c>
      <c r="H35" s="307">
        <f>1000*D35/'Historic Consumption'!D35</f>
        <v>247.99958353757066</v>
      </c>
      <c r="I35" s="307">
        <f>1000*E35/'Historic Consumption'!E35</f>
        <v>245.41426976422628</v>
      </c>
      <c r="K35" s="673">
        <f>SUM(AR7:BC7)</f>
        <v>447430.42</v>
      </c>
      <c r="L35" s="748">
        <f>SUM(B7:M7)</f>
        <v>572433.43800000008</v>
      </c>
      <c r="AX35" s="293"/>
    </row>
    <row r="36" spans="1:50">
      <c r="A36" s="266" t="s">
        <v>241</v>
      </c>
      <c r="B36" s="748">
        <f t="shared" si="0"/>
        <v>959735.58000000019</v>
      </c>
      <c r="C36" s="748">
        <f t="shared" ref="C36:C57" si="1">SUM(T8:AE8)</f>
        <v>737404.6100000001</v>
      </c>
      <c r="D36" s="748">
        <f t="shared" ref="D36:D57" si="2">SUM(AF8:AQ8)</f>
        <v>771830.21999999986</v>
      </c>
      <c r="E36" s="748">
        <f t="shared" ref="E36:E57" si="3">SUM(AR8:BC8)</f>
        <v>764883.42</v>
      </c>
      <c r="F36" s="307">
        <f>1000*B36/'Historic Consumption'!B36</f>
        <v>223.97074275107187</v>
      </c>
      <c r="G36" s="307">
        <f>1000*C36/'Historic Consumption'!C36</f>
        <v>210.75355199369434</v>
      </c>
      <c r="H36" s="307">
        <f>1000*D36/'Historic Consumption'!D36</f>
        <v>213.24209074610494</v>
      </c>
      <c r="I36" s="307">
        <f>1000*E36/'Historic Consumption'!E36</f>
        <v>214.09693819674487</v>
      </c>
      <c r="K36" s="673">
        <f>SUM(AR8:BC8)</f>
        <v>764883.42</v>
      </c>
      <c r="L36" s="748">
        <f>SUM(B8:M8)</f>
        <v>1019042.5769999999</v>
      </c>
      <c r="AX36" s="293"/>
    </row>
    <row r="37" spans="1:50">
      <c r="A37" s="266" t="s">
        <v>242</v>
      </c>
      <c r="B37" s="748">
        <f t="shared" si="0"/>
        <v>905325.95000000007</v>
      </c>
      <c r="C37" s="748">
        <f t="shared" si="1"/>
        <v>799264.65999999992</v>
      </c>
      <c r="D37" s="748">
        <f t="shared" si="2"/>
        <v>624255.87</v>
      </c>
      <c r="E37" s="748">
        <f t="shared" si="3"/>
        <v>584514.70000000007</v>
      </c>
      <c r="F37" s="307">
        <f>1000*B37/'Historic Consumption'!B37</f>
        <v>313.27148959970719</v>
      </c>
      <c r="G37" s="307">
        <f>1000*C37/'Historic Consumption'!C37</f>
        <v>292.21608574619842</v>
      </c>
      <c r="H37" s="307">
        <f>1000*D37/'Historic Consumption'!D37</f>
        <v>242.4799780717037</v>
      </c>
      <c r="I37" s="307">
        <f>1000*E37/'Historic Consumption'!E37</f>
        <v>208.73111040363014</v>
      </c>
      <c r="J37" s="307"/>
      <c r="K37" s="673">
        <f t="shared" ref="K37:K57" si="4">SUM(AR9:BC9)</f>
        <v>584514.70000000007</v>
      </c>
      <c r="L37" s="748">
        <f t="shared" ref="L37:L57" si="5">SUM(B9:M9)</f>
        <v>994900.92999999982</v>
      </c>
      <c r="AX37" s="293"/>
    </row>
    <row r="38" spans="1:50">
      <c r="A38" s="266" t="s">
        <v>243</v>
      </c>
      <c r="B38" s="748">
        <f t="shared" si="0"/>
        <v>186690.82</v>
      </c>
      <c r="C38" s="748">
        <f t="shared" si="1"/>
        <v>158034.46000000002</v>
      </c>
      <c r="D38" s="748">
        <f t="shared" si="2"/>
        <v>151295.30000000002</v>
      </c>
      <c r="E38" s="748">
        <f t="shared" si="3"/>
        <v>160411.76999999999</v>
      </c>
      <c r="F38" s="307">
        <f>1000*B38/'Historic Consumption'!B38</f>
        <v>227.30978799513477</v>
      </c>
      <c r="G38" s="307">
        <f>1000*C38/'Historic Consumption'!C38</f>
        <v>253.73879169461929</v>
      </c>
      <c r="H38" s="307">
        <f>1000*D38/'Historic Consumption'!D38</f>
        <v>251.99306221728435</v>
      </c>
      <c r="I38" s="307">
        <f>1000*E38/'Historic Consumption'!E38</f>
        <v>234.29850985162878</v>
      </c>
      <c r="K38" s="673">
        <f t="shared" si="4"/>
        <v>160411.76999999999</v>
      </c>
      <c r="L38" s="748">
        <f t="shared" si="5"/>
        <v>209014.00100000002</v>
      </c>
      <c r="AX38" s="293"/>
    </row>
    <row r="39" spans="1:50">
      <c r="A39" s="266" t="s">
        <v>244</v>
      </c>
      <c r="B39" s="748">
        <f t="shared" si="0"/>
        <v>366379.61999999994</v>
      </c>
      <c r="C39" s="748">
        <f t="shared" si="1"/>
        <v>314079.19999999995</v>
      </c>
      <c r="D39" s="748">
        <f t="shared" si="2"/>
        <v>297195.53999999998</v>
      </c>
      <c r="E39" s="748">
        <f t="shared" si="3"/>
        <v>322046.92</v>
      </c>
      <c r="F39" s="307">
        <f>1000*B39/'Historic Consumption'!B39</f>
        <v>220.25386631962726</v>
      </c>
      <c r="G39" s="307">
        <f>1000*C39/'Historic Consumption'!C39</f>
        <v>237.16047982643732</v>
      </c>
      <c r="H39" s="307">
        <f>1000*D39/'Historic Consumption'!D39</f>
        <v>233.88525604757018</v>
      </c>
      <c r="I39" s="307">
        <f>1000*E39/'Historic Consumption'!E39</f>
        <v>227.50243914899693</v>
      </c>
      <c r="K39" s="673">
        <f t="shared" si="4"/>
        <v>322046.92</v>
      </c>
      <c r="L39" s="748">
        <f t="shared" si="5"/>
        <v>398336.52500000008</v>
      </c>
      <c r="AX39" s="293"/>
    </row>
    <row r="40" spans="1:50">
      <c r="A40" s="266" t="s">
        <v>245</v>
      </c>
      <c r="B40" s="748">
        <f t="shared" si="0"/>
        <v>573271.79</v>
      </c>
      <c r="C40" s="748">
        <f t="shared" si="1"/>
        <v>507000.21</v>
      </c>
      <c r="D40" s="748">
        <f t="shared" si="2"/>
        <v>494912.41000000003</v>
      </c>
      <c r="E40" s="748">
        <f t="shared" si="3"/>
        <v>485007.5</v>
      </c>
      <c r="F40" s="307">
        <f>1000*B40/'Historic Consumption'!B40</f>
        <v>247.87514969771195</v>
      </c>
      <c r="G40" s="307">
        <f>1000*C40/'Historic Consumption'!C40</f>
        <v>260.30604445192006</v>
      </c>
      <c r="H40" s="307">
        <f>1000*D40/'Historic Consumption'!D40</f>
        <v>277.29177513401964</v>
      </c>
      <c r="I40" s="307">
        <f>1000*E40/'Historic Consumption'!E40</f>
        <v>254.17540237856892</v>
      </c>
      <c r="K40" s="673">
        <f t="shared" si="4"/>
        <v>485007.5</v>
      </c>
      <c r="L40" s="748">
        <f t="shared" si="5"/>
        <v>641983.67599999998</v>
      </c>
      <c r="AX40" s="293"/>
    </row>
    <row r="41" spans="1:50">
      <c r="A41" s="266" t="s">
        <v>246</v>
      </c>
      <c r="B41" s="748">
        <f t="shared" si="0"/>
        <v>416940.71</v>
      </c>
      <c r="C41" s="748">
        <f t="shared" si="1"/>
        <v>345377.06000000006</v>
      </c>
      <c r="D41" s="748">
        <f t="shared" si="2"/>
        <v>297705.61000000004</v>
      </c>
      <c r="E41" s="748">
        <f t="shared" si="3"/>
        <v>281528.89999999997</v>
      </c>
      <c r="F41" s="307">
        <f>1000*B41/'Historic Consumption'!B41</f>
        <v>192.98125670768871</v>
      </c>
      <c r="G41" s="307">
        <f>1000*C41/'Historic Consumption'!C41</f>
        <v>174.4265660153483</v>
      </c>
      <c r="H41" s="307">
        <f>1000*D41/'Historic Consumption'!D41</f>
        <v>171.49493541794681</v>
      </c>
      <c r="I41" s="307">
        <f>1000*E41/'Historic Consumption'!E41</f>
        <v>161.36701900699404</v>
      </c>
      <c r="K41" s="673">
        <f t="shared" si="4"/>
        <v>281528.89999999997</v>
      </c>
      <c r="L41" s="748">
        <f t="shared" si="5"/>
        <v>416254.99599999998</v>
      </c>
      <c r="AX41" s="293"/>
    </row>
    <row r="42" spans="1:50">
      <c r="A42" s="266" t="s">
        <v>247</v>
      </c>
      <c r="B42" s="748">
        <f t="shared" si="0"/>
        <v>425301.61</v>
      </c>
      <c r="C42" s="748">
        <f t="shared" si="1"/>
        <v>377329.62</v>
      </c>
      <c r="D42" s="748">
        <f t="shared" si="2"/>
        <v>340263.13999999996</v>
      </c>
      <c r="E42" s="748">
        <f t="shared" si="3"/>
        <v>345391.75999999995</v>
      </c>
      <c r="F42" s="307">
        <f>1000*B42/'Historic Consumption'!B42</f>
        <v>235.39400271153161</v>
      </c>
      <c r="G42" s="307">
        <f>1000*C42/'Historic Consumption'!C42</f>
        <v>247.31103282854841</v>
      </c>
      <c r="H42" s="307">
        <f>1000*D42/'Historic Consumption'!D42</f>
        <v>236.40915578795781</v>
      </c>
      <c r="I42" s="307">
        <f>1000*E42/'Historic Consumption'!E42</f>
        <v>225.66356995374295</v>
      </c>
      <c r="K42" s="673">
        <f t="shared" si="4"/>
        <v>345391.75999999995</v>
      </c>
      <c r="L42" s="748">
        <f t="shared" si="5"/>
        <v>469944.98000000004</v>
      </c>
      <c r="AX42" s="293"/>
    </row>
    <row r="43" spans="1:50">
      <c r="A43" s="266" t="s">
        <v>248</v>
      </c>
      <c r="B43" s="748">
        <f t="shared" si="0"/>
        <v>535728.05999999994</v>
      </c>
      <c r="C43" s="748">
        <f t="shared" si="1"/>
        <v>431171.93000000005</v>
      </c>
      <c r="D43" s="748">
        <f t="shared" si="2"/>
        <v>340315.33999999997</v>
      </c>
      <c r="E43" s="748">
        <f t="shared" si="3"/>
        <v>246968.09</v>
      </c>
      <c r="F43" s="307">
        <f>1000*B43/'Historic Consumption'!B43</f>
        <v>362.29129907020712</v>
      </c>
      <c r="G43" s="307">
        <f>1000*C43/'Historic Consumption'!C43</f>
        <v>314.90046810314357</v>
      </c>
      <c r="H43" s="307">
        <f>1000*D43/'Historic Consumption'!D43</f>
        <v>264.10906686611082</v>
      </c>
      <c r="I43" s="307">
        <f>1000*E43/'Historic Consumption'!E43</f>
        <v>213.05228686638696</v>
      </c>
      <c r="K43" s="673">
        <f t="shared" si="4"/>
        <v>246968.09</v>
      </c>
      <c r="L43" s="748">
        <f t="shared" si="5"/>
        <v>596047.55000000005</v>
      </c>
      <c r="AX43" s="293"/>
    </row>
    <row r="44" spans="1:50">
      <c r="A44" s="266" t="s">
        <v>249</v>
      </c>
      <c r="B44" s="748">
        <f t="shared" si="0"/>
        <v>467660.30279999995</v>
      </c>
      <c r="C44" s="748">
        <f t="shared" si="1"/>
        <v>442565.71749999997</v>
      </c>
      <c r="D44" s="748">
        <f t="shared" si="2"/>
        <v>393314.14919999999</v>
      </c>
      <c r="E44" s="748">
        <f t="shared" si="3"/>
        <v>386876.3652</v>
      </c>
      <c r="F44" s="307">
        <f>1000*B44/'Historic Consumption'!B44</f>
        <v>243.40291878530539</v>
      </c>
      <c r="G44" s="307">
        <f>1000*C44/'Historic Consumption'!C44</f>
        <v>243.96100641616843</v>
      </c>
      <c r="H44" s="307">
        <f>1000*D44/'Historic Consumption'!D44</f>
        <v>253.56115526670814</v>
      </c>
      <c r="I44" s="307">
        <f>1000*E44/'Historic Consumption'!E44</f>
        <v>227.22018359057992</v>
      </c>
      <c r="K44" s="673">
        <f t="shared" si="4"/>
        <v>386876.3652</v>
      </c>
      <c r="L44" s="748">
        <f t="shared" si="5"/>
        <v>497901.43839999998</v>
      </c>
      <c r="AX44" s="293"/>
    </row>
    <row r="45" spans="1:50">
      <c r="A45" s="266" t="s">
        <v>250</v>
      </c>
      <c r="B45" s="748">
        <f t="shared" si="0"/>
        <v>470007.43000000005</v>
      </c>
      <c r="C45" s="748">
        <f t="shared" si="1"/>
        <v>381461.83999999997</v>
      </c>
      <c r="D45" s="748">
        <f t="shared" si="2"/>
        <v>439770.21999999991</v>
      </c>
      <c r="E45" s="748">
        <f t="shared" si="3"/>
        <v>429497.08999999997</v>
      </c>
      <c r="F45" s="307">
        <f>1000*B45/'Historic Consumption'!B45</f>
        <v>272.72119541349622</v>
      </c>
      <c r="G45" s="307">
        <f>1000*C45/'Historic Consumption'!C45</f>
        <v>271.14489209159183</v>
      </c>
      <c r="H45" s="307">
        <f>1000*D45/'Historic Consumption'!D45</f>
        <v>305.34183034481242</v>
      </c>
      <c r="I45" s="307">
        <f>1000*E45/'Historic Consumption'!E45</f>
        <v>305.88435755196565</v>
      </c>
      <c r="K45" s="673">
        <f t="shared" si="4"/>
        <v>429497.08999999997</v>
      </c>
      <c r="L45" s="748">
        <f t="shared" si="5"/>
        <v>502793.76899999997</v>
      </c>
    </row>
    <row r="46" spans="1:50">
      <c r="A46" s="266" t="s">
        <v>251</v>
      </c>
      <c r="B46" s="748">
        <f t="shared" si="0"/>
        <v>494534.54</v>
      </c>
      <c r="C46" s="748">
        <f t="shared" si="1"/>
        <v>539911.80000000005</v>
      </c>
      <c r="D46" s="748">
        <f t="shared" si="2"/>
        <v>539846.99</v>
      </c>
      <c r="E46" s="748">
        <f t="shared" si="3"/>
        <v>550224.84</v>
      </c>
      <c r="F46" s="307">
        <f>1000*B46/'Historic Consumption'!B46</f>
        <v>201.51872978637329</v>
      </c>
      <c r="G46" s="307">
        <f>1000*C46/'Historic Consumption'!C46</f>
        <v>209.33918503504523</v>
      </c>
      <c r="H46" s="307">
        <f>1000*D46/'Historic Consumption'!D46</f>
        <v>212.08272319679196</v>
      </c>
      <c r="I46" s="307">
        <f>1000*E46/'Historic Consumption'!E46</f>
        <v>208.75832375802409</v>
      </c>
      <c r="K46" s="673">
        <f t="shared" si="4"/>
        <v>550224.84</v>
      </c>
      <c r="L46" s="748">
        <f t="shared" si="5"/>
        <v>137364.99</v>
      </c>
    </row>
    <row r="47" spans="1:50">
      <c r="A47" s="266" t="s">
        <v>252</v>
      </c>
      <c r="B47" s="748">
        <f t="shared" si="0"/>
        <v>250305.04000000004</v>
      </c>
      <c r="C47" s="748">
        <f t="shared" si="1"/>
        <v>246136.93</v>
      </c>
      <c r="D47" s="748">
        <f t="shared" si="2"/>
        <v>246004.16</v>
      </c>
      <c r="E47" s="748">
        <f t="shared" si="3"/>
        <v>239998.78999999998</v>
      </c>
      <c r="F47" s="307">
        <f>1000*B47/'Historic Consumption'!B47</f>
        <v>228.83301989417581</v>
      </c>
      <c r="G47" s="307">
        <f>1000*C47/'Historic Consumption'!C47</f>
        <v>241.09590632479521</v>
      </c>
      <c r="H47" s="307">
        <f>1000*D47/'Historic Consumption'!D47</f>
        <v>230.57247891440966</v>
      </c>
      <c r="I47" s="307">
        <f>1000*E47/'Historic Consumption'!E47</f>
        <v>228.37766246994903</v>
      </c>
      <c r="K47" s="673">
        <f t="shared" si="4"/>
        <v>239998.78999999998</v>
      </c>
      <c r="L47" s="748">
        <f t="shared" si="5"/>
        <v>294960.84400000004</v>
      </c>
    </row>
    <row r="48" spans="1:50">
      <c r="A48" s="266" t="s">
        <v>253</v>
      </c>
      <c r="B48" s="748">
        <f t="shared" si="0"/>
        <v>11888.769999999999</v>
      </c>
      <c r="C48" s="748">
        <f t="shared" si="1"/>
        <v>15568.59</v>
      </c>
      <c r="D48" s="748">
        <f t="shared" si="2"/>
        <v>14074.810000000001</v>
      </c>
      <c r="E48" s="748">
        <f t="shared" si="3"/>
        <v>11461.48</v>
      </c>
      <c r="F48" s="307">
        <f>1000*B48/'Historic Consumption'!B48</f>
        <v>286.5830220488308</v>
      </c>
      <c r="G48" s="307">
        <f>1000*C48/'Historic Consumption'!C48</f>
        <v>250.85058456541074</v>
      </c>
      <c r="H48" s="307">
        <f>1000*D48/'Historic Consumption'!D48</f>
        <v>256.33642137140657</v>
      </c>
      <c r="I48" s="307">
        <f>1000*E48/'Historic Consumption'!E48</f>
        <v>262.96714922784827</v>
      </c>
      <c r="K48" s="673">
        <f t="shared" si="4"/>
        <v>11461.48</v>
      </c>
      <c r="L48" s="748">
        <f t="shared" si="5"/>
        <v>3696.25</v>
      </c>
    </row>
    <row r="49" spans="1:49">
      <c r="A49" s="266" t="s">
        <v>254</v>
      </c>
      <c r="B49" s="748">
        <f t="shared" si="0"/>
        <v>404375.22</v>
      </c>
      <c r="C49" s="748">
        <f t="shared" si="1"/>
        <v>366755.37000000005</v>
      </c>
      <c r="D49" s="748">
        <f t="shared" si="2"/>
        <v>277500.96999999997</v>
      </c>
      <c r="E49" s="748">
        <f t="shared" si="3"/>
        <v>105156.37000000001</v>
      </c>
      <c r="F49" s="307">
        <f>1000*B49/'Historic Consumption'!B49</f>
        <v>190.64216780405235</v>
      </c>
      <c r="G49" s="307">
        <f>1000*C49/'Historic Consumption'!C49</f>
        <v>183.75958887837419</v>
      </c>
      <c r="H49" s="307">
        <f>1000*D49/'Historic Consumption'!D49</f>
        <v>196.60853516965113</v>
      </c>
      <c r="I49" s="307"/>
      <c r="K49" s="673">
        <f t="shared" si="4"/>
        <v>105156.37000000001</v>
      </c>
      <c r="L49" s="748">
        <f t="shared" si="5"/>
        <v>436751.66300000012</v>
      </c>
    </row>
    <row r="50" spans="1:49">
      <c r="A50" s="266" t="s">
        <v>255</v>
      </c>
      <c r="B50" s="748">
        <f t="shared" si="0"/>
        <v>238718.27000000002</v>
      </c>
      <c r="C50" s="748">
        <f t="shared" si="1"/>
        <v>185373.86</v>
      </c>
      <c r="D50" s="748">
        <f t="shared" si="2"/>
        <v>141048.53000000003</v>
      </c>
      <c r="E50" s="748">
        <f>SUM(AR22:BC22)</f>
        <v>127127.73</v>
      </c>
      <c r="F50" s="307">
        <f>1000*B50/'Historic Consumption'!B50</f>
        <v>178.00263814467891</v>
      </c>
      <c r="G50" s="307">
        <f>1000*C50/'Historic Consumption'!C50</f>
        <v>164.99455726002768</v>
      </c>
      <c r="H50" s="307">
        <f>1000*D50/'Historic Consumption'!D50</f>
        <v>164.27983419269106</v>
      </c>
      <c r="I50" s="307">
        <f>1000*E50/'Historic Consumption'!E50</f>
        <v>144.31376800406852</v>
      </c>
      <c r="K50" s="673">
        <f t="shared" si="4"/>
        <v>127127.73</v>
      </c>
      <c r="L50" s="748">
        <f t="shared" si="5"/>
        <v>264962.96349999995</v>
      </c>
    </row>
    <row r="51" spans="1:49">
      <c r="A51" s="266" t="s">
        <v>256</v>
      </c>
      <c r="B51" s="748">
        <f t="shared" si="0"/>
        <v>345922.94</v>
      </c>
      <c r="C51" s="748">
        <f t="shared" si="1"/>
        <v>339381.11</v>
      </c>
      <c r="D51" s="748">
        <f t="shared" si="2"/>
        <v>248866.22999999998</v>
      </c>
      <c r="E51" s="748">
        <f t="shared" si="3"/>
        <v>136621.62000000002</v>
      </c>
      <c r="F51" s="307">
        <f>1000*B51/'Historic Consumption'!B51</f>
        <v>228.59793182484125</v>
      </c>
      <c r="G51" s="307">
        <f>1000*C51/'Historic Consumption'!C51</f>
        <v>239.38442051109655</v>
      </c>
      <c r="H51" s="307">
        <f>1000*D51/'Historic Consumption'!D51</f>
        <v>264.56571847365791</v>
      </c>
      <c r="I51" s="307">
        <f>1000*E51/'Historic Consumption'!E51</f>
        <v>331.93155342513745</v>
      </c>
      <c r="K51" s="673">
        <f t="shared" si="4"/>
        <v>136621.62000000002</v>
      </c>
      <c r="L51" s="748">
        <f t="shared" si="5"/>
        <v>362583.29800000001</v>
      </c>
    </row>
    <row r="52" spans="1:49">
      <c r="A52" s="266" t="s">
        <v>257</v>
      </c>
      <c r="B52" s="748">
        <f t="shared" si="0"/>
        <v>0</v>
      </c>
      <c r="C52" s="748">
        <f t="shared" si="1"/>
        <v>0</v>
      </c>
      <c r="D52" s="748">
        <f t="shared" si="2"/>
        <v>0</v>
      </c>
      <c r="E52" s="748">
        <f t="shared" si="3"/>
        <v>0</v>
      </c>
      <c r="F52" s="307">
        <f>1000*B52/'Historic Consumption'!B52</f>
        <v>0</v>
      </c>
      <c r="G52" s="307">
        <f>1000*C52/'Historic Consumption'!C52</f>
        <v>0</v>
      </c>
      <c r="H52" s="307">
        <f>1000*D52/'Historic Consumption'!D52</f>
        <v>0</v>
      </c>
      <c r="I52" s="307">
        <f>1000*E52/'Historic Consumption'!E52</f>
        <v>0</v>
      </c>
      <c r="K52" s="673">
        <f t="shared" si="4"/>
        <v>0</v>
      </c>
      <c r="L52" s="748">
        <f t="shared" si="5"/>
        <v>0</v>
      </c>
    </row>
    <row r="53" spans="1:49">
      <c r="A53" s="266" t="s">
        <v>258</v>
      </c>
      <c r="B53" s="748">
        <f t="shared" si="0"/>
        <v>293467.30000000005</v>
      </c>
      <c r="C53" s="748">
        <f t="shared" si="1"/>
        <v>429939.21</v>
      </c>
      <c r="D53" s="748">
        <f>SUM(AF25:AQ25)</f>
        <v>432699.87000000005</v>
      </c>
      <c r="E53" s="748">
        <f t="shared" si="3"/>
        <v>202857.48000000004</v>
      </c>
      <c r="F53" s="307">
        <f>1000*B53/'Historic Consumption'!B53</f>
        <v>218.95871478177051</v>
      </c>
      <c r="G53" s="307">
        <f>1000*C53/'Historic Consumption'!C53</f>
        <v>248.96341874410658</v>
      </c>
      <c r="H53" s="307">
        <f>1000*D53/'Historic Consumption'!D53</f>
        <v>222.08214442213546</v>
      </c>
      <c r="I53" s="307">
        <f>1000*E53/'Historic Consumption'!E53</f>
        <v>83.475068718722724</v>
      </c>
      <c r="K53" s="673">
        <f t="shared" si="4"/>
        <v>202857.48000000004</v>
      </c>
      <c r="L53" s="748">
        <f t="shared" si="5"/>
        <v>261088.08000000005</v>
      </c>
    </row>
    <row r="54" spans="1:49">
      <c r="A54" s="266" t="s">
        <v>259</v>
      </c>
      <c r="B54" s="748">
        <f t="shared" si="0"/>
        <v>153827.54000000004</v>
      </c>
      <c r="C54" s="748">
        <f t="shared" si="1"/>
        <v>134477.54</v>
      </c>
      <c r="D54" s="748">
        <f t="shared" si="2"/>
        <v>103108.41</v>
      </c>
      <c r="E54" s="748">
        <f t="shared" si="3"/>
        <v>98566.84</v>
      </c>
      <c r="F54" s="307">
        <f>1000*B54/'Historic Consumption'!B54</f>
        <v>235.9470812374667</v>
      </c>
      <c r="G54" s="307">
        <f>1000*C54/'Historic Consumption'!C54</f>
        <v>215.42388243612854</v>
      </c>
      <c r="H54" s="307">
        <f>1000*D54/'Historic Consumption'!D54</f>
        <v>210.3203380516583</v>
      </c>
      <c r="I54" s="307"/>
      <c r="K54" s="673">
        <f t="shared" si="4"/>
        <v>98566.84</v>
      </c>
      <c r="L54" s="748">
        <f t="shared" si="5"/>
        <v>163639.34900000002</v>
      </c>
    </row>
    <row r="55" spans="1:49">
      <c r="A55" s="683" t="s">
        <v>268</v>
      </c>
      <c r="B55" s="748">
        <f t="shared" si="0"/>
        <v>0</v>
      </c>
      <c r="C55" s="748">
        <f t="shared" si="1"/>
        <v>0</v>
      </c>
      <c r="D55" s="748">
        <f t="shared" si="2"/>
        <v>0</v>
      </c>
      <c r="E55" s="748">
        <f>SUM(AT27:BE27)</f>
        <v>235715.19149999999</v>
      </c>
      <c r="F55" s="307" t="e">
        <f>1000*B55/'Historic Consumption'!B55</f>
        <v>#DIV/0!</v>
      </c>
      <c r="G55" s="307" t="e">
        <f>1000*C55/'Historic Consumption'!C55</f>
        <v>#DIV/0!</v>
      </c>
      <c r="H55" s="307">
        <f>1000*D55/'Historic Consumption'!D55</f>
        <v>0</v>
      </c>
      <c r="I55" s="307">
        <f>1000*E55/'Historic Consumption'!E55</f>
        <v>212.76325022386999</v>
      </c>
      <c r="K55" s="673">
        <f t="shared" si="4"/>
        <v>205870.19149999999</v>
      </c>
      <c r="L55" s="748">
        <f t="shared" si="5"/>
        <v>0</v>
      </c>
    </row>
    <row r="56" spans="1:49">
      <c r="A56" s="266" t="s">
        <v>261</v>
      </c>
      <c r="B56" s="748">
        <f t="shared" si="0"/>
        <v>276436.22000000003</v>
      </c>
      <c r="C56" s="748">
        <f t="shared" si="1"/>
        <v>264997.40000000002</v>
      </c>
      <c r="D56" s="748">
        <f t="shared" si="2"/>
        <v>201250.68</v>
      </c>
      <c r="E56" s="748">
        <f t="shared" si="3"/>
        <v>136502.35</v>
      </c>
      <c r="F56" s="307">
        <f>1000*B56/'Historic Consumption'!B56</f>
        <v>312.71651848206375</v>
      </c>
      <c r="G56" s="307">
        <f>1000*C56/'Historic Consumption'!C56</f>
        <v>346.46658534950762</v>
      </c>
      <c r="H56" s="307">
        <f>1000*D56/'Historic Consumption'!D56</f>
        <v>270.11637057113495</v>
      </c>
      <c r="I56" s="307">
        <f>1000*E56/'Historic Consumption'!E56</f>
        <v>289.80467713342466</v>
      </c>
      <c r="K56" s="673">
        <f t="shared" si="4"/>
        <v>136502.35</v>
      </c>
      <c r="L56" s="748">
        <f t="shared" si="5"/>
        <v>279032.41800000001</v>
      </c>
    </row>
    <row r="57" spans="1:49">
      <c r="A57" s="266" t="s">
        <v>262</v>
      </c>
      <c r="B57" s="748">
        <f t="shared" si="0"/>
        <v>272658.49</v>
      </c>
      <c r="C57" s="748">
        <f t="shared" si="1"/>
        <v>248089.55000000002</v>
      </c>
      <c r="D57" s="748">
        <f t="shared" si="2"/>
        <v>219478.54</v>
      </c>
      <c r="E57" s="748">
        <f t="shared" si="3"/>
        <v>229352.98</v>
      </c>
      <c r="F57" s="307">
        <f>1000*B57/'Historic Consumption'!B57</f>
        <v>245.80790888126401</v>
      </c>
      <c r="G57" s="307">
        <f>1000*C57/'Historic Consumption'!C57</f>
        <v>228.04191963901789</v>
      </c>
      <c r="H57" s="307">
        <f>1000*D57/'Historic Consumption'!D57</f>
        <v>212.8685541706356</v>
      </c>
      <c r="I57" s="307">
        <f>1000*E57/'Historic Consumption'!E57</f>
        <v>233.34542691636833</v>
      </c>
      <c r="K57" s="673">
        <f t="shared" si="4"/>
        <v>229352.98</v>
      </c>
      <c r="L57" s="748">
        <f t="shared" si="5"/>
        <v>287482.70700000005</v>
      </c>
    </row>
    <row r="58" spans="1:49">
      <c r="A58" s="271"/>
      <c r="B58" s="270">
        <f>SUM(B35:B57)</f>
        <v>8574680.5727999993</v>
      </c>
      <c r="C58" s="270">
        <f t="shared" ref="C58:D58" si="6">SUM(C35:C57)</f>
        <v>7739926.0075000012</v>
      </c>
      <c r="D58" s="270">
        <f t="shared" si="6"/>
        <v>7044174.3691999987</v>
      </c>
      <c r="L58" s="689">
        <f>SUM(L35:L57)</f>
        <v>8810216.442900002</v>
      </c>
    </row>
    <row r="59" spans="1:49">
      <c r="A59" s="271"/>
    </row>
    <row r="60" spans="1:49">
      <c r="A60" s="271"/>
    </row>
    <row r="61" spans="1:49">
      <c r="A61" s="271"/>
    </row>
    <row r="62" spans="1:49">
      <c r="A62" s="271"/>
    </row>
    <row r="63" spans="1:49">
      <c r="A63" s="271"/>
    </row>
    <row r="64" spans="1:49" s="293" customFormat="1">
      <c r="A64" s="293" t="s">
        <v>266</v>
      </c>
      <c r="B64" s="295">
        <v>43466</v>
      </c>
      <c r="C64" s="295">
        <v>43497</v>
      </c>
      <c r="D64" s="295">
        <v>43525</v>
      </c>
      <c r="E64" s="295">
        <v>43556</v>
      </c>
      <c r="F64" s="295">
        <v>43586</v>
      </c>
      <c r="G64" s="295">
        <v>43617</v>
      </c>
      <c r="H64" s="295">
        <v>43647</v>
      </c>
      <c r="I64" s="295">
        <v>43678</v>
      </c>
      <c r="J64" s="295">
        <v>43709</v>
      </c>
      <c r="K64" s="295">
        <v>43739</v>
      </c>
      <c r="L64" s="295">
        <v>43770</v>
      </c>
      <c r="M64" s="295">
        <v>43800</v>
      </c>
      <c r="N64" s="295">
        <v>43831</v>
      </c>
      <c r="O64" s="295">
        <v>43862</v>
      </c>
      <c r="P64" s="295">
        <v>43891</v>
      </c>
      <c r="Q64" s="295">
        <v>43922</v>
      </c>
      <c r="R64" s="295">
        <v>43952</v>
      </c>
      <c r="S64" s="295">
        <v>43983</v>
      </c>
      <c r="T64" s="295">
        <v>44013</v>
      </c>
      <c r="U64" s="295">
        <v>44044</v>
      </c>
      <c r="V64" s="295">
        <v>44075</v>
      </c>
      <c r="W64" s="295">
        <v>44105</v>
      </c>
      <c r="X64" s="295">
        <v>44136</v>
      </c>
      <c r="Y64" s="295">
        <v>44166</v>
      </c>
      <c r="Z64" s="295">
        <v>44197</v>
      </c>
      <c r="AA64" s="295">
        <v>44228</v>
      </c>
      <c r="AB64" s="295">
        <v>44256</v>
      </c>
      <c r="AC64" s="295">
        <v>44287</v>
      </c>
      <c r="AD64" s="295">
        <v>44317</v>
      </c>
      <c r="AE64" s="295">
        <v>44348</v>
      </c>
      <c r="AF64" s="295">
        <v>44378</v>
      </c>
      <c r="AG64" s="295">
        <v>44409</v>
      </c>
      <c r="AH64" s="295">
        <v>44440</v>
      </c>
      <c r="AI64" s="295">
        <v>44470</v>
      </c>
      <c r="AJ64" s="295">
        <v>44501</v>
      </c>
      <c r="AK64" s="295">
        <v>44531</v>
      </c>
      <c r="AL64" s="295">
        <v>44562</v>
      </c>
      <c r="AM64" s="295">
        <v>44593</v>
      </c>
      <c r="AN64" s="295">
        <v>44621</v>
      </c>
      <c r="AO64" s="295">
        <v>44652</v>
      </c>
      <c r="AP64" s="295">
        <v>44682</v>
      </c>
      <c r="AQ64" s="295">
        <v>44713</v>
      </c>
      <c r="AR64" s="295">
        <v>44743</v>
      </c>
      <c r="AS64" s="295">
        <v>44774</v>
      </c>
      <c r="AT64" s="295">
        <v>44805</v>
      </c>
      <c r="AU64" s="295">
        <v>44835</v>
      </c>
      <c r="AV64" s="295">
        <v>44866</v>
      </c>
      <c r="AW64" s="295">
        <v>44896</v>
      </c>
    </row>
    <row r="65" spans="1:49" s="293" customFormat="1">
      <c r="A65" s="293" t="s">
        <v>240</v>
      </c>
      <c r="B65" s="296">
        <v>761.67619999999999</v>
      </c>
      <c r="C65" s="296">
        <v>695.45249999999999</v>
      </c>
      <c r="D65" s="296">
        <v>821.053</v>
      </c>
      <c r="E65" s="296">
        <v>1922.1923999999999</v>
      </c>
      <c r="F65" s="296">
        <v>5152.1165000000001</v>
      </c>
      <c r="G65" s="296">
        <v>7883.1140999999998</v>
      </c>
      <c r="H65" s="296">
        <v>8986.1268999999993</v>
      </c>
      <c r="I65" s="296">
        <v>8478.8737999999994</v>
      </c>
      <c r="J65" s="296">
        <v>5483.1967999999997</v>
      </c>
      <c r="K65" s="296">
        <v>1693.4324999999999</v>
      </c>
      <c r="L65" s="296">
        <v>887.71839999999997</v>
      </c>
      <c r="M65" s="296">
        <v>858.37869999999998</v>
      </c>
      <c r="N65" s="296">
        <v>758.5788</v>
      </c>
      <c r="O65" s="296">
        <v>597.32000000000005</v>
      </c>
      <c r="P65" s="296">
        <v>568.89170000000001</v>
      </c>
      <c r="Q65" s="296">
        <v>851.07939999999996</v>
      </c>
      <c r="R65" s="296">
        <v>4553.1478999999999</v>
      </c>
      <c r="S65" s="296">
        <v>7210.5169999999998</v>
      </c>
      <c r="T65" s="296">
        <v>10311.7178</v>
      </c>
      <c r="U65" s="296">
        <v>8768.7952000000005</v>
      </c>
      <c r="V65" s="296">
        <v>2020.2961</v>
      </c>
      <c r="W65" s="296">
        <v>623.13530000000003</v>
      </c>
      <c r="X65" s="296">
        <v>466.15309999999999</v>
      </c>
      <c r="Y65" s="296">
        <v>457.09879999999998</v>
      </c>
      <c r="Z65" s="296">
        <v>348.0924</v>
      </c>
      <c r="AA65" s="296">
        <v>386.55579999999998</v>
      </c>
      <c r="AB65" s="296">
        <v>702.49329999999998</v>
      </c>
      <c r="AC65" s="296">
        <v>767.46730000000002</v>
      </c>
      <c r="AD65" s="296">
        <v>3556.5727000000002</v>
      </c>
      <c r="AE65" s="296">
        <v>9110.7003999999997</v>
      </c>
      <c r="AF65" s="296">
        <v>9145.9195999999993</v>
      </c>
      <c r="AG65" s="296">
        <v>5765.3287</v>
      </c>
      <c r="AH65" s="296">
        <v>5574.7910000000002</v>
      </c>
      <c r="AI65" s="296">
        <v>2533.8200000000002</v>
      </c>
      <c r="AJ65" s="296">
        <v>715.73969999999997</v>
      </c>
      <c r="AK65" s="296">
        <v>719.18060000000003</v>
      </c>
      <c r="AL65" s="296">
        <v>607.29939999999999</v>
      </c>
      <c r="AM65" s="296">
        <v>411.24860000000001</v>
      </c>
      <c r="AN65" s="296">
        <v>617.31169999999997</v>
      </c>
      <c r="AO65" s="296">
        <v>773</v>
      </c>
      <c r="AP65" s="296">
        <v>4501.4255000000003</v>
      </c>
      <c r="AQ65" s="296">
        <v>10359.2745</v>
      </c>
      <c r="AR65" s="296">
        <v>14338.9506</v>
      </c>
      <c r="AS65" s="296">
        <v>9264.9686999999994</v>
      </c>
      <c r="AT65" s="296">
        <v>5446.2996999999996</v>
      </c>
      <c r="AU65" s="296">
        <v>1384.8434</v>
      </c>
      <c r="AV65" s="296">
        <v>790.35029999999995</v>
      </c>
      <c r="AW65" s="296">
        <v>687.52729999999997</v>
      </c>
    </row>
    <row r="66" spans="1:49" s="293" customFormat="1">
      <c r="A66" s="293" t="s">
        <v>256</v>
      </c>
      <c r="B66" s="296">
        <v>2736.5713000000001</v>
      </c>
      <c r="C66" s="296">
        <v>1447.8987</v>
      </c>
      <c r="D66" s="296">
        <v>1634.3975</v>
      </c>
      <c r="E66" s="296">
        <v>2550.6945000000001</v>
      </c>
      <c r="F66" s="296">
        <v>4939.7006000000001</v>
      </c>
      <c r="G66" s="296">
        <v>12707.5767</v>
      </c>
      <c r="H66" s="296">
        <v>11690.449699999999</v>
      </c>
      <c r="I66" s="296">
        <v>12278.9429</v>
      </c>
      <c r="J66" s="296">
        <v>8842.0643999999993</v>
      </c>
      <c r="K66" s="296">
        <v>722.45650000000001</v>
      </c>
      <c r="L66" s="296">
        <v>1540.6386</v>
      </c>
      <c r="M66" s="296">
        <v>1413.7366999999999</v>
      </c>
      <c r="N66" s="296">
        <v>1373.5576000000001</v>
      </c>
      <c r="O66" s="296">
        <v>1389.5893000000001</v>
      </c>
      <c r="P66" s="296">
        <v>1009.0646</v>
      </c>
      <c r="Q66" s="296">
        <v>3496.0046000000002</v>
      </c>
      <c r="R66" s="296">
        <v>11520.194100000001</v>
      </c>
      <c r="S66" s="296">
        <v>13481.4571</v>
      </c>
      <c r="T66" s="296">
        <v>15178.398300000001</v>
      </c>
      <c r="U66" s="296">
        <v>12006.6129</v>
      </c>
      <c r="V66" s="296">
        <v>5107.2476999999999</v>
      </c>
      <c r="W66" s="296">
        <v>3599.2399</v>
      </c>
      <c r="X66" s="296">
        <v>2341.3189000000002</v>
      </c>
      <c r="Y66" s="296">
        <v>539.1019</v>
      </c>
      <c r="Z66" s="296">
        <v>1428.2672</v>
      </c>
      <c r="AA66" s="296">
        <v>1379.7882999999999</v>
      </c>
      <c r="AB66" s="296">
        <v>1162.6935000000001</v>
      </c>
      <c r="AC66" s="296">
        <v>3431.5174999999999</v>
      </c>
      <c r="AD66" s="296">
        <v>9002.6288000000004</v>
      </c>
      <c r="AE66" s="296">
        <v>13660.6237</v>
      </c>
      <c r="AF66" s="296">
        <v>14648.745000000001</v>
      </c>
      <c r="AG66" s="296">
        <v>8800.1296999999995</v>
      </c>
      <c r="AH66" s="296">
        <v>5012.8495999999996</v>
      </c>
      <c r="AI66" s="296">
        <v>4171.0427</v>
      </c>
      <c r="AJ66" s="296">
        <v>1349.6715999999999</v>
      </c>
      <c r="AK66" s="296">
        <v>1221.1023</v>
      </c>
      <c r="AL66" s="296">
        <v>1145.6804999999999</v>
      </c>
      <c r="AM66" s="296">
        <v>1119.4838999999999</v>
      </c>
      <c r="AN66" s="296">
        <v>1354.4780000000001</v>
      </c>
      <c r="AO66" s="296">
        <v>1323.0805</v>
      </c>
      <c r="AP66" s="296">
        <v>1374.7062000000001</v>
      </c>
      <c r="AQ66" s="296">
        <v>1366.9322999999999</v>
      </c>
      <c r="AR66" s="296">
        <v>1468.7132999999999</v>
      </c>
      <c r="AS66" s="296">
        <v>2868.4888000000001</v>
      </c>
      <c r="AT66" s="296">
        <v>2448.7058999999999</v>
      </c>
      <c r="AU66" s="296">
        <v>2217.2618000000002</v>
      </c>
      <c r="AV66" s="296">
        <v>2063.2195999999999</v>
      </c>
      <c r="AW66" s="296">
        <v>1516.3959</v>
      </c>
    </row>
    <row r="67" spans="1:49" s="293" customFormat="1">
      <c r="A67" s="293" t="s">
        <v>243</v>
      </c>
      <c r="B67" s="296"/>
      <c r="C67" s="296"/>
      <c r="D67" s="296"/>
      <c r="E67" s="296"/>
      <c r="F67" s="296">
        <v>1297.4404</v>
      </c>
      <c r="G67" s="296">
        <v>1769.2370000000001</v>
      </c>
      <c r="H67" s="296">
        <v>1828.2114999999999</v>
      </c>
      <c r="I67" s="296">
        <v>1348.3204000000001</v>
      </c>
      <c r="J67" s="296">
        <v>1114.8399999999999</v>
      </c>
      <c r="K67" s="296">
        <v>1152.0012999999999</v>
      </c>
      <c r="L67" s="296">
        <v>806.31539999999995</v>
      </c>
      <c r="M67" s="296">
        <v>736.16390000000001</v>
      </c>
      <c r="N67" s="296">
        <v>736.16390000000001</v>
      </c>
      <c r="O67" s="296">
        <v>779.02089999999998</v>
      </c>
      <c r="P67" s="296">
        <v>852.86789999999996</v>
      </c>
      <c r="Q67" s="296">
        <v>825.35599999999999</v>
      </c>
      <c r="R67" s="296">
        <v>2749.9200999999998</v>
      </c>
      <c r="S67" s="296">
        <v>3101.8186999999998</v>
      </c>
      <c r="T67" s="296">
        <v>3205.2125999999998</v>
      </c>
      <c r="U67" s="296">
        <v>2095.6441</v>
      </c>
      <c r="V67" s="296">
        <v>1821.5473</v>
      </c>
      <c r="W67" s="296">
        <v>1882.2655</v>
      </c>
      <c r="X67" s="296">
        <v>917.14440000000002</v>
      </c>
      <c r="Y67" s="296">
        <v>803.93899999999996</v>
      </c>
      <c r="Z67" s="296">
        <v>803.93899999999996</v>
      </c>
      <c r="AA67" s="296">
        <v>879.51250000000005</v>
      </c>
      <c r="AB67" s="296">
        <v>994.12279999999998</v>
      </c>
      <c r="AC67" s="296">
        <v>962.05430000000001</v>
      </c>
      <c r="AD67" s="296">
        <v>2786.9517000000001</v>
      </c>
      <c r="AE67" s="296">
        <v>3113.4488999999999</v>
      </c>
      <c r="AF67" s="296">
        <v>3217.2305000000001</v>
      </c>
      <c r="AG67" s="296">
        <v>2400.3919999999998</v>
      </c>
      <c r="AH67" s="296">
        <v>2133.2426999999998</v>
      </c>
      <c r="AI67" s="296">
        <v>2204.3508000000002</v>
      </c>
      <c r="AJ67" s="296">
        <v>1633.5608999999999</v>
      </c>
      <c r="AK67" s="296">
        <v>1630.6420000000001</v>
      </c>
      <c r="AL67" s="296">
        <v>1630.6420000000001</v>
      </c>
      <c r="AM67" s="296">
        <v>1094.8050000000001</v>
      </c>
      <c r="AN67" s="296">
        <v>1072.5933</v>
      </c>
      <c r="AO67" s="296">
        <v>1037.9935</v>
      </c>
      <c r="AP67" s="296">
        <v>2445.6397999999999</v>
      </c>
      <c r="AQ67" s="296">
        <v>3097.5632999999998</v>
      </c>
      <c r="AR67" s="296">
        <v>3200.8154</v>
      </c>
      <c r="AS67" s="296">
        <v>2722.4061999999999</v>
      </c>
      <c r="AT67" s="296">
        <v>2445.1871000000001</v>
      </c>
      <c r="AU67" s="296">
        <v>2526.6932999999999</v>
      </c>
      <c r="AV67" s="296">
        <v>815.06240000000003</v>
      </c>
      <c r="AW67" s="296"/>
    </row>
    <row r="68" spans="1:49" s="293" customFormat="1">
      <c r="A68" s="293" t="s">
        <v>241</v>
      </c>
      <c r="B68" s="296">
        <v>2847.16</v>
      </c>
      <c r="C68" s="296">
        <v>2362.36</v>
      </c>
      <c r="D68" s="296">
        <v>3795.4149000000002</v>
      </c>
      <c r="E68" s="296">
        <v>6290.4732999999997</v>
      </c>
      <c r="F68" s="296">
        <v>13684.68</v>
      </c>
      <c r="G68" s="296">
        <v>24050.757900000001</v>
      </c>
      <c r="H68" s="296">
        <v>27608.722099999999</v>
      </c>
      <c r="I68" s="296">
        <v>29019.129400000002</v>
      </c>
      <c r="J68" s="296">
        <v>15821.3806</v>
      </c>
      <c r="K68" s="296">
        <v>12612.61</v>
      </c>
      <c r="L68" s="296">
        <v>8195.5277999999998</v>
      </c>
      <c r="M68" s="296">
        <v>3544.1622000000002</v>
      </c>
      <c r="N68" s="296">
        <v>2599.5100000000002</v>
      </c>
      <c r="O68" s="296">
        <v>2409.98</v>
      </c>
      <c r="P68" s="296">
        <v>4752.92</v>
      </c>
      <c r="Q68" s="296">
        <v>7113.57</v>
      </c>
      <c r="R68" s="296">
        <v>17890.925599999999</v>
      </c>
      <c r="S68" s="296">
        <v>25301.7844</v>
      </c>
      <c r="T68" s="296">
        <v>36740.594100000002</v>
      </c>
      <c r="U68" s="296">
        <v>34189.779499999997</v>
      </c>
      <c r="V68" s="296">
        <v>19913.436399999999</v>
      </c>
      <c r="W68" s="296">
        <v>10479.663200000001</v>
      </c>
      <c r="X68" s="296">
        <v>4724.4141</v>
      </c>
      <c r="Y68" s="296">
        <v>2093.3941</v>
      </c>
      <c r="Z68" s="296">
        <v>2310.9996000000001</v>
      </c>
      <c r="AA68" s="296">
        <v>2179.3035</v>
      </c>
      <c r="AB68" s="296">
        <v>5891.4655000000002</v>
      </c>
      <c r="AC68" s="296">
        <v>9488.6903000000002</v>
      </c>
      <c r="AD68" s="296">
        <v>17150.5131</v>
      </c>
      <c r="AE68" s="296">
        <v>28464.587599999999</v>
      </c>
      <c r="AF68" s="296">
        <v>33459.323400000001</v>
      </c>
      <c r="AG68" s="296">
        <v>25949.353599999999</v>
      </c>
      <c r="AH68" s="296">
        <v>15665.8244</v>
      </c>
      <c r="AI68" s="296">
        <v>14013.218199999999</v>
      </c>
      <c r="AJ68" s="296">
        <v>9476.3626000000004</v>
      </c>
      <c r="AK68" s="296">
        <v>2977.9695999999999</v>
      </c>
      <c r="AL68" s="296">
        <v>1420.3128999999999</v>
      </c>
      <c r="AM68" s="296">
        <v>2218.3854999999999</v>
      </c>
      <c r="AN68" s="296">
        <v>2784.0187999999998</v>
      </c>
      <c r="AO68" s="296">
        <v>5550.8437999999996</v>
      </c>
      <c r="AP68" s="296">
        <v>15489.256299999999</v>
      </c>
      <c r="AQ68" s="296">
        <v>30543.759999999998</v>
      </c>
      <c r="AR68" s="296">
        <v>31886.090899999999</v>
      </c>
      <c r="AS68" s="296">
        <v>26494.629099999998</v>
      </c>
      <c r="AT68" s="296">
        <v>16261.15</v>
      </c>
      <c r="AU68" s="296">
        <v>11368.75</v>
      </c>
      <c r="AV68" s="296">
        <v>11108.41</v>
      </c>
      <c r="AW68" s="296">
        <v>2984.19</v>
      </c>
    </row>
    <row r="69" spans="1:49" s="293" customFormat="1">
      <c r="A69" s="293" t="s">
        <v>242</v>
      </c>
      <c r="B69" s="296">
        <v>4618.0254000000004</v>
      </c>
      <c r="C69" s="296">
        <v>4770.4692999999997</v>
      </c>
      <c r="D69" s="296">
        <v>6095.2235000000001</v>
      </c>
      <c r="E69" s="296">
        <v>5000.5235000000002</v>
      </c>
      <c r="F69" s="296">
        <v>7629.9282000000003</v>
      </c>
      <c r="G69" s="296">
        <v>14199.6818</v>
      </c>
      <c r="H69" s="296">
        <v>13408.5254</v>
      </c>
      <c r="I69" s="296">
        <v>12835.8066</v>
      </c>
      <c r="J69" s="296">
        <v>9201.8498</v>
      </c>
      <c r="K69" s="296">
        <v>7051.2707</v>
      </c>
      <c r="L69" s="296">
        <v>5621.5675000000001</v>
      </c>
      <c r="M69" s="296">
        <v>5098.0682999999999</v>
      </c>
      <c r="N69" s="296">
        <v>5145.91</v>
      </c>
      <c r="O69" s="296">
        <v>4757.7139999999999</v>
      </c>
      <c r="P69" s="296">
        <v>5062.7862999999998</v>
      </c>
      <c r="Q69" s="296">
        <v>5663.3393999999998</v>
      </c>
      <c r="R69" s="296">
        <v>10981.2628</v>
      </c>
      <c r="S69" s="296">
        <v>13741.546200000001</v>
      </c>
      <c r="T69" s="296">
        <v>15833.185799999999</v>
      </c>
      <c r="U69" s="296">
        <v>12269.0352</v>
      </c>
      <c r="V69" s="296">
        <v>6975.6130999999996</v>
      </c>
      <c r="W69" s="296">
        <v>6426.4712</v>
      </c>
      <c r="X69" s="296">
        <v>5744.6710000000003</v>
      </c>
      <c r="Y69" s="296">
        <v>5319.991</v>
      </c>
      <c r="Z69" s="296">
        <v>5117.2664999999997</v>
      </c>
      <c r="AA69" s="296">
        <v>4506.2791999999999</v>
      </c>
      <c r="AB69" s="296">
        <v>5246.5073000000002</v>
      </c>
      <c r="AC69" s="296">
        <v>5807.4748</v>
      </c>
      <c r="AD69" s="296">
        <v>9042.6191999999992</v>
      </c>
      <c r="AE69" s="296">
        <v>14609.174199999999</v>
      </c>
      <c r="AF69" s="296">
        <v>16902.955699999999</v>
      </c>
      <c r="AG69" s="296">
        <v>13296.4241</v>
      </c>
      <c r="AH69" s="296">
        <v>9395.5447999999997</v>
      </c>
      <c r="AI69" s="296">
        <v>6164.8621000000003</v>
      </c>
      <c r="AJ69" s="296">
        <v>4584.9381000000003</v>
      </c>
      <c r="AK69" s="296">
        <v>4589.7897999999996</v>
      </c>
      <c r="AL69" s="296">
        <v>4801.8747999999996</v>
      </c>
      <c r="AM69" s="296">
        <v>4440.8013000000001</v>
      </c>
      <c r="AN69" s="296">
        <v>5035.7254999999996</v>
      </c>
      <c r="AO69" s="296">
        <v>4784.2713999999996</v>
      </c>
      <c r="AP69" s="296">
        <v>8971.4249999999993</v>
      </c>
      <c r="AQ69" s="296">
        <v>15440.0625</v>
      </c>
      <c r="AR69" s="296">
        <v>19387.918699999998</v>
      </c>
      <c r="AS69" s="296">
        <v>19228.495999999999</v>
      </c>
      <c r="AT69" s="296">
        <v>13994.7001</v>
      </c>
      <c r="AU69" s="296">
        <v>9360.2378000000008</v>
      </c>
      <c r="AV69" s="296">
        <v>7316.0973000000004</v>
      </c>
      <c r="AW69" s="296">
        <v>2223.6878999999999</v>
      </c>
    </row>
    <row r="70" spans="1:49" s="293" customFormat="1">
      <c r="A70" s="293" t="s">
        <v>244</v>
      </c>
      <c r="B70" s="296">
        <v>884.05859999999996</v>
      </c>
      <c r="C70" s="296">
        <v>764.59310000000005</v>
      </c>
      <c r="D70" s="296">
        <v>815.59550000000002</v>
      </c>
      <c r="E70" s="296">
        <v>815.38239999999996</v>
      </c>
      <c r="F70" s="296">
        <v>2278.163</v>
      </c>
      <c r="G70" s="296">
        <v>5446.9090999999999</v>
      </c>
      <c r="H70" s="296">
        <v>5148.8672999999999</v>
      </c>
      <c r="I70" s="296">
        <v>5221.3433000000005</v>
      </c>
      <c r="J70" s="296">
        <v>1987</v>
      </c>
      <c r="K70" s="296">
        <v>1080.4591</v>
      </c>
      <c r="L70" s="296">
        <v>722.48289999999997</v>
      </c>
      <c r="M70" s="296">
        <v>739.64020000000005</v>
      </c>
      <c r="N70" s="296">
        <v>657.34140000000002</v>
      </c>
      <c r="O70" s="296">
        <v>702.36310000000003</v>
      </c>
      <c r="P70" s="296">
        <v>906.61749999999995</v>
      </c>
      <c r="Q70" s="296">
        <v>1073.9576999999999</v>
      </c>
      <c r="R70" s="296">
        <v>3889.1248000000001</v>
      </c>
      <c r="S70" s="296">
        <v>5275.9721</v>
      </c>
      <c r="T70" s="296">
        <v>5960.4278999999997</v>
      </c>
      <c r="U70" s="296">
        <v>4372.3500000000004</v>
      </c>
      <c r="V70" s="296">
        <v>1752.4825000000001</v>
      </c>
      <c r="W70" s="296">
        <v>791.90250000000003</v>
      </c>
      <c r="X70" s="296">
        <v>572.59609999999998</v>
      </c>
      <c r="Y70" s="296">
        <v>453.68090000000001</v>
      </c>
      <c r="Z70" s="296">
        <v>431.10399999999998</v>
      </c>
      <c r="AA70" s="296">
        <v>481.55500000000001</v>
      </c>
      <c r="AB70" s="296">
        <v>664.18320000000006</v>
      </c>
      <c r="AC70" s="296">
        <v>1037.6617000000001</v>
      </c>
      <c r="AD70" s="296">
        <v>3551.6093000000001</v>
      </c>
      <c r="AE70" s="296">
        <v>7234.9913999999999</v>
      </c>
      <c r="AF70" s="296">
        <v>8340.8034000000007</v>
      </c>
      <c r="AG70" s="296">
        <v>6513.7690000000002</v>
      </c>
      <c r="AH70" s="296">
        <v>4491.7750999999998</v>
      </c>
      <c r="AI70" s="296">
        <v>2174.3465999999999</v>
      </c>
      <c r="AJ70" s="296">
        <v>721.09960000000001</v>
      </c>
      <c r="AK70" s="296">
        <v>519.37450000000001</v>
      </c>
      <c r="AL70" s="296">
        <v>471.78879999999998</v>
      </c>
      <c r="AM70" s="296">
        <v>436.92230000000001</v>
      </c>
      <c r="AN70" s="296">
        <v>508.3141</v>
      </c>
      <c r="AO70" s="296">
        <v>515.45000000000005</v>
      </c>
      <c r="AP70" s="296">
        <v>4527.5420000000004</v>
      </c>
      <c r="AQ70" s="296">
        <v>10255.099899999999</v>
      </c>
      <c r="AR70" s="296">
        <v>10832.6921</v>
      </c>
      <c r="AS70" s="296">
        <v>7101.2437</v>
      </c>
      <c r="AT70" s="296">
        <v>3306.2143000000001</v>
      </c>
      <c r="AU70" s="296">
        <v>1321.1559</v>
      </c>
      <c r="AV70" s="296">
        <v>720.74069999999995</v>
      </c>
      <c r="AW70" s="296">
        <v>187.67140000000001</v>
      </c>
    </row>
    <row r="71" spans="1:49" s="293" customFormat="1">
      <c r="A71" s="293" t="s">
        <v>252</v>
      </c>
      <c r="B71" s="296">
        <v>2584.2554</v>
      </c>
      <c r="C71" s="296">
        <v>2371.2600000000002</v>
      </c>
      <c r="D71" s="296">
        <v>2639.0129999999999</v>
      </c>
      <c r="E71" s="296">
        <v>2553.8834999999999</v>
      </c>
      <c r="F71" s="296">
        <v>2680.0535</v>
      </c>
      <c r="G71" s="296">
        <v>2609.8478</v>
      </c>
      <c r="H71" s="296">
        <v>2025.0201000000002</v>
      </c>
      <c r="I71" s="296">
        <v>1556.4909</v>
      </c>
      <c r="J71" s="296">
        <v>1675.6732999999999</v>
      </c>
      <c r="K71" s="296">
        <v>1731.5291</v>
      </c>
      <c r="L71" s="296">
        <v>1570.2003999999999</v>
      </c>
      <c r="M71" s="296">
        <v>1589.37</v>
      </c>
      <c r="N71" s="296">
        <v>1589.37</v>
      </c>
      <c r="O71" s="296">
        <v>1505.4992999999999</v>
      </c>
      <c r="P71" s="296">
        <v>1613.4846</v>
      </c>
      <c r="Q71" s="296">
        <v>1561.4367</v>
      </c>
      <c r="R71" s="296">
        <v>1847.1832999999999</v>
      </c>
      <c r="S71" s="296">
        <v>1831.0890999999999</v>
      </c>
      <c r="T71" s="296">
        <v>1892.1253999999999</v>
      </c>
      <c r="U71" s="296">
        <v>1756.8671999999999</v>
      </c>
      <c r="V71" s="296">
        <v>1675.0219999999999</v>
      </c>
      <c r="W71" s="296">
        <v>1730.856</v>
      </c>
      <c r="X71" s="296">
        <v>1461.3933999999999</v>
      </c>
      <c r="Y71" s="296">
        <v>1476.1451</v>
      </c>
      <c r="Z71" s="296">
        <v>1476.1451</v>
      </c>
      <c r="AA71" s="296">
        <v>1365.1760999999999</v>
      </c>
      <c r="AB71" s="296">
        <v>1515.681</v>
      </c>
      <c r="AC71" s="296">
        <v>1466.788</v>
      </c>
      <c r="AD71" s="296">
        <v>1838.4201</v>
      </c>
      <c r="AE71" s="296">
        <v>1854.075</v>
      </c>
      <c r="AF71" s="296">
        <v>1915.8775000000001</v>
      </c>
      <c r="AG71" s="296">
        <v>1701.6070999999999</v>
      </c>
      <c r="AH71" s="296">
        <v>1596.9505999999999</v>
      </c>
      <c r="AI71" s="296">
        <v>1650.1822</v>
      </c>
      <c r="AJ71" s="296">
        <v>1355.0920000000001</v>
      </c>
      <c r="AK71" s="296">
        <v>1372.4927</v>
      </c>
      <c r="AL71" s="296">
        <v>1372.4927</v>
      </c>
      <c r="AM71" s="296">
        <v>1275.0416</v>
      </c>
      <c r="AN71" s="296">
        <v>1424.7067</v>
      </c>
      <c r="AO71" s="296">
        <v>1378.7483999999999</v>
      </c>
      <c r="AP71" s="296">
        <v>1639.29</v>
      </c>
      <c r="AQ71" s="296">
        <v>1700.6233</v>
      </c>
      <c r="AR71" s="296">
        <v>1757.3108</v>
      </c>
      <c r="AS71" s="296">
        <v>1651.133</v>
      </c>
      <c r="AT71" s="296">
        <v>1555.8354999999999</v>
      </c>
      <c r="AU71" s="296">
        <v>1607.6967</v>
      </c>
      <c r="AV71" s="296">
        <v>518.61180000000002</v>
      </c>
      <c r="AW71" s="296"/>
    </row>
    <row r="72" spans="1:49" s="293" customFormat="1">
      <c r="A72" s="293" t="s">
        <v>254</v>
      </c>
      <c r="B72" s="296">
        <v>577.40309999999999</v>
      </c>
      <c r="C72" s="296">
        <v>333.8295</v>
      </c>
      <c r="D72" s="296">
        <v>573.05409999999995</v>
      </c>
      <c r="E72" s="296">
        <v>674.22190000000001</v>
      </c>
      <c r="F72" s="296">
        <v>1062.5216</v>
      </c>
      <c r="G72" s="296">
        <v>1033.2483999999999</v>
      </c>
      <c r="H72" s="296">
        <v>1114.7745</v>
      </c>
      <c r="I72" s="296">
        <v>2386.3186999999998</v>
      </c>
      <c r="J72" s="296">
        <v>1241.4967999999999</v>
      </c>
      <c r="K72" s="296">
        <v>966.69</v>
      </c>
      <c r="L72" s="296">
        <v>0</v>
      </c>
      <c r="M72" s="296">
        <v>673.31579999999997</v>
      </c>
      <c r="N72" s="296">
        <v>713.91290000000004</v>
      </c>
      <c r="O72" s="296">
        <v>1836.8213000000001</v>
      </c>
      <c r="P72" s="296">
        <v>683.30610000000001</v>
      </c>
      <c r="Q72" s="296">
        <v>735.18389999999999</v>
      </c>
      <c r="R72" s="296">
        <v>1062.9676999999999</v>
      </c>
      <c r="S72" s="296">
        <v>1102.4322999999999</v>
      </c>
      <c r="T72" s="296">
        <v>1259.0932</v>
      </c>
      <c r="U72" s="296">
        <v>4804.2773999999999</v>
      </c>
      <c r="V72" s="296">
        <v>1178.4194</v>
      </c>
      <c r="W72" s="296">
        <v>970.42229999999995</v>
      </c>
      <c r="X72" s="296">
        <v>1193.4676999999999</v>
      </c>
      <c r="Y72" s="296">
        <v>777.3877</v>
      </c>
      <c r="Z72" s="296">
        <v>737.55259999999998</v>
      </c>
      <c r="AA72" s="296">
        <v>526.96969999999999</v>
      </c>
      <c r="AB72" s="296">
        <v>710.75289999999995</v>
      </c>
      <c r="AC72" s="296">
        <v>854.48710000000005</v>
      </c>
      <c r="AD72" s="296">
        <v>665.11189999999999</v>
      </c>
      <c r="AE72" s="296">
        <v>1261.5581</v>
      </c>
      <c r="AF72" s="296">
        <v>1392.6587</v>
      </c>
      <c r="AG72" s="296">
        <v>4652.7864</v>
      </c>
      <c r="AH72" s="296">
        <v>228.75489999999999</v>
      </c>
      <c r="AI72" s="296">
        <v>231.1858</v>
      </c>
      <c r="AJ72" s="296">
        <v>223.9742</v>
      </c>
      <c r="AK72" s="296">
        <v>227.1987</v>
      </c>
      <c r="AL72" s="296">
        <v>230.18889999999999</v>
      </c>
      <c r="AM72" s="296">
        <v>289.17239999999998</v>
      </c>
      <c r="AN72" s="296">
        <v>705.86</v>
      </c>
      <c r="AO72" s="296">
        <v>323.10000000000002</v>
      </c>
      <c r="AP72" s="296">
        <v>1962.3877</v>
      </c>
      <c r="AQ72" s="296">
        <v>1404.8323</v>
      </c>
      <c r="AR72" s="296">
        <v>1376.9422999999999</v>
      </c>
      <c r="AS72" s="296">
        <v>2948.5929000000001</v>
      </c>
      <c r="AT72" s="296">
        <v>255.75479999999999</v>
      </c>
      <c r="AU72" s="296">
        <v>349.24549999999999</v>
      </c>
      <c r="AV72" s="296">
        <v>2568.1644999999999</v>
      </c>
      <c r="AW72" s="296">
        <v>268.17</v>
      </c>
    </row>
    <row r="73" spans="1:49" s="293" customFormat="1">
      <c r="A73" s="293" t="s">
        <v>245</v>
      </c>
      <c r="B73" s="296">
        <v>163.49250000000001</v>
      </c>
      <c r="C73" s="296">
        <v>1295.8969</v>
      </c>
      <c r="D73" s="296">
        <v>2036.0612000000001</v>
      </c>
      <c r="E73" s="296">
        <v>2980.5522000000001</v>
      </c>
      <c r="F73" s="296">
        <v>4759.1803</v>
      </c>
      <c r="G73" s="296">
        <v>6717.0589</v>
      </c>
      <c r="H73" s="296">
        <v>7914.9655000000002</v>
      </c>
      <c r="I73" s="296">
        <v>6976.1724999999997</v>
      </c>
      <c r="J73" s="296">
        <v>5044.9035999999996</v>
      </c>
      <c r="K73" s="296">
        <v>3112.9796999999999</v>
      </c>
      <c r="L73" s="296">
        <v>1673.9067</v>
      </c>
      <c r="M73" s="296">
        <v>1212.4255000000001</v>
      </c>
      <c r="N73" s="296">
        <v>1037.9025999999999</v>
      </c>
      <c r="O73" s="296">
        <v>1189.1105</v>
      </c>
      <c r="P73" s="296">
        <v>921.62509999999997</v>
      </c>
      <c r="Q73" s="296">
        <v>1228.4257</v>
      </c>
      <c r="R73" s="296">
        <v>3388.2916</v>
      </c>
      <c r="S73" s="296">
        <v>7523.0212000000001</v>
      </c>
      <c r="T73" s="296">
        <v>9311.1172000000006</v>
      </c>
      <c r="U73" s="296">
        <v>8099.3575000000001</v>
      </c>
      <c r="V73" s="296">
        <v>1901.2025000000001</v>
      </c>
      <c r="W73" s="296">
        <v>760.69349999999997</v>
      </c>
      <c r="X73" s="296">
        <v>795.27260000000001</v>
      </c>
      <c r="Y73" s="296">
        <v>602.48749999999995</v>
      </c>
      <c r="Z73" s="296">
        <v>503.22390000000001</v>
      </c>
      <c r="AA73" s="296">
        <v>701.68849999999998</v>
      </c>
      <c r="AB73" s="296">
        <v>883.45450000000005</v>
      </c>
      <c r="AC73" s="296">
        <v>1066.3059000000001</v>
      </c>
      <c r="AD73" s="296">
        <v>2663.9933999999998</v>
      </c>
      <c r="AE73" s="296">
        <v>8791.7767000000003</v>
      </c>
      <c r="AF73" s="296">
        <v>4787.0439999999999</v>
      </c>
      <c r="AG73" s="296">
        <v>5172.4838</v>
      </c>
      <c r="AH73" s="296">
        <v>5051.0162</v>
      </c>
      <c r="AI73" s="296">
        <v>4894.8369000000002</v>
      </c>
      <c r="AJ73" s="296">
        <v>648.85310000000004</v>
      </c>
      <c r="AK73" s="296">
        <v>455.09</v>
      </c>
      <c r="AL73" s="296">
        <v>146.93029999999999</v>
      </c>
      <c r="AM73" s="296">
        <v>435.86970000000002</v>
      </c>
      <c r="AN73" s="296">
        <v>653.55740000000003</v>
      </c>
      <c r="AO73" s="296">
        <v>761.02059999999994</v>
      </c>
      <c r="AP73" s="296">
        <v>2520.1642000000002</v>
      </c>
      <c r="AQ73" s="296">
        <v>8246.1286</v>
      </c>
      <c r="AR73" s="296">
        <v>11062.6006</v>
      </c>
      <c r="AS73" s="296">
        <v>7661.5843000000004</v>
      </c>
      <c r="AT73" s="296">
        <v>4038.5452</v>
      </c>
      <c r="AU73" s="296">
        <v>1331.6158</v>
      </c>
      <c r="AV73" s="296">
        <v>1288.6605</v>
      </c>
      <c r="AW73" s="296">
        <v>987.97299999999996</v>
      </c>
    </row>
    <row r="74" spans="1:49" s="293" customFormat="1">
      <c r="A74" s="293" t="s">
        <v>257</v>
      </c>
      <c r="B74" s="296">
        <v>0</v>
      </c>
      <c r="C74" s="296">
        <v>0</v>
      </c>
      <c r="D74" s="296">
        <v>0</v>
      </c>
      <c r="E74" s="296">
        <v>0</v>
      </c>
      <c r="F74" s="296">
        <v>0</v>
      </c>
      <c r="G74" s="296">
        <v>0</v>
      </c>
      <c r="H74" s="296">
        <v>0</v>
      </c>
      <c r="I74" s="296">
        <v>0</v>
      </c>
      <c r="J74" s="296">
        <v>0</v>
      </c>
      <c r="K74" s="296">
        <v>0</v>
      </c>
      <c r="L74" s="296">
        <v>0</v>
      </c>
      <c r="M74" s="296">
        <v>0</v>
      </c>
      <c r="N74" s="296">
        <v>0</v>
      </c>
      <c r="O74" s="296">
        <v>0</v>
      </c>
      <c r="P74" s="296">
        <v>0</v>
      </c>
      <c r="Q74" s="296">
        <v>0</v>
      </c>
      <c r="R74" s="296">
        <v>0</v>
      </c>
      <c r="S74" s="296">
        <v>0</v>
      </c>
      <c r="T74" s="296">
        <v>0</v>
      </c>
      <c r="U74" s="296">
        <v>0</v>
      </c>
      <c r="V74" s="296">
        <v>0</v>
      </c>
      <c r="W74" s="296">
        <v>0</v>
      </c>
      <c r="X74" s="296">
        <v>0</v>
      </c>
      <c r="Y74" s="296">
        <v>0</v>
      </c>
      <c r="Z74" s="296">
        <v>0</v>
      </c>
      <c r="AA74" s="296">
        <v>0</v>
      </c>
      <c r="AB74" s="296">
        <v>0</v>
      </c>
      <c r="AC74" s="296">
        <v>0</v>
      </c>
      <c r="AD74" s="296">
        <v>0</v>
      </c>
      <c r="AE74" s="296">
        <v>0</v>
      </c>
      <c r="AF74" s="296">
        <v>0</v>
      </c>
      <c r="AG74" s="296">
        <v>0</v>
      </c>
      <c r="AH74" s="296">
        <v>0</v>
      </c>
      <c r="AI74" s="296">
        <v>0</v>
      </c>
      <c r="AJ74" s="296">
        <v>0</v>
      </c>
      <c r="AK74" s="296">
        <v>0</v>
      </c>
      <c r="AL74" s="296">
        <v>0</v>
      </c>
      <c r="AM74" s="296">
        <v>0</v>
      </c>
      <c r="AN74" s="296">
        <v>0</v>
      </c>
      <c r="AO74" s="296">
        <v>0</v>
      </c>
      <c r="AP74" s="296">
        <v>0</v>
      </c>
      <c r="AQ74" s="296">
        <v>0</v>
      </c>
      <c r="AR74" s="296">
        <v>0</v>
      </c>
      <c r="AS74" s="296">
        <v>0</v>
      </c>
      <c r="AT74" s="296">
        <v>0</v>
      </c>
      <c r="AU74" s="296">
        <v>0</v>
      </c>
      <c r="AV74" s="296">
        <v>0</v>
      </c>
      <c r="AW74" s="296"/>
    </row>
    <row r="75" spans="1:49" s="293" customFormat="1">
      <c r="A75" s="293" t="s">
        <v>247</v>
      </c>
      <c r="B75" s="296">
        <v>25.916</v>
      </c>
      <c r="C75" s="296">
        <v>23.408100000000001</v>
      </c>
      <c r="D75" s="296">
        <v>25.916699999999999</v>
      </c>
      <c r="E75" s="296">
        <v>25.0806</v>
      </c>
      <c r="F75" s="296">
        <v>26.542899999999999</v>
      </c>
      <c r="G75" s="296">
        <v>29.7775</v>
      </c>
      <c r="H75" s="296">
        <v>30.770099999999999</v>
      </c>
      <c r="I75" s="296">
        <v>30.5412</v>
      </c>
      <c r="J75" s="296">
        <v>28.796700000000001</v>
      </c>
      <c r="K75" s="296">
        <v>29.756599999999999</v>
      </c>
      <c r="L75" s="296">
        <v>27.6388</v>
      </c>
      <c r="M75" s="296">
        <v>25.269600000000001</v>
      </c>
      <c r="N75" s="296">
        <v>23.639299999999999</v>
      </c>
      <c r="O75" s="296">
        <v>0</v>
      </c>
      <c r="P75" s="296">
        <v>0</v>
      </c>
      <c r="Q75" s="296">
        <v>1410.1394</v>
      </c>
      <c r="R75" s="296">
        <v>3122.4513999999999</v>
      </c>
      <c r="S75" s="296">
        <v>3021.7271999999998</v>
      </c>
      <c r="T75" s="296">
        <v>3122.4513999999999</v>
      </c>
      <c r="U75" s="296">
        <v>3122.4513999999999</v>
      </c>
      <c r="V75" s="296">
        <v>3021.7271999999998</v>
      </c>
      <c r="W75" s="296">
        <v>3122.4513999999999</v>
      </c>
      <c r="X75" s="296">
        <v>3021.7271999999998</v>
      </c>
      <c r="Y75" s="296">
        <v>3122.4513999999999</v>
      </c>
      <c r="Z75" s="296">
        <v>3122.4513999999999</v>
      </c>
      <c r="AA75" s="296">
        <v>2982.2186999999999</v>
      </c>
      <c r="AB75" s="296">
        <v>3680.2446</v>
      </c>
      <c r="AC75" s="296">
        <v>3561.527</v>
      </c>
      <c r="AD75" s="296">
        <v>3680.2446</v>
      </c>
      <c r="AE75" s="296">
        <v>3561.527</v>
      </c>
      <c r="AF75" s="296">
        <v>3680.2446</v>
      </c>
      <c r="AG75" s="296">
        <v>3585.0171999999998</v>
      </c>
      <c r="AH75" s="296">
        <v>3204.4241000000002</v>
      </c>
      <c r="AI75" s="296">
        <v>3311.2383</v>
      </c>
      <c r="AJ75" s="296">
        <v>1932.5727999999999</v>
      </c>
      <c r="AK75" s="296">
        <v>25.622299999999999</v>
      </c>
      <c r="AL75" s="296">
        <v>25.622299999999999</v>
      </c>
      <c r="AM75" s="296">
        <v>143.83189999999999</v>
      </c>
      <c r="AN75" s="296">
        <v>560.10249999999996</v>
      </c>
      <c r="AO75" s="296">
        <v>542.03470000000004</v>
      </c>
      <c r="AP75" s="296">
        <v>560.10249999999996</v>
      </c>
      <c r="AQ75" s="296">
        <v>6531.2056000000002</v>
      </c>
      <c r="AR75" s="296">
        <v>8774.3078000000005</v>
      </c>
      <c r="AS75" s="296">
        <v>6172.0922</v>
      </c>
      <c r="AT75" s="296">
        <v>3519.3281000000002</v>
      </c>
      <c r="AU75" s="296">
        <v>1856.8418999999999</v>
      </c>
      <c r="AV75" s="296">
        <v>455.19970000000001</v>
      </c>
      <c r="AW75" s="296">
        <v>19.5703</v>
      </c>
    </row>
    <row r="76" spans="1:49" s="293" customFormat="1">
      <c r="A76" s="293" t="s">
        <v>258</v>
      </c>
      <c r="B76" s="296">
        <v>23.2424</v>
      </c>
      <c r="C76" s="296">
        <v>20.993099999999998</v>
      </c>
      <c r="D76" s="296">
        <v>23.436599999999999</v>
      </c>
      <c r="E76" s="296">
        <v>24.434999999999999</v>
      </c>
      <c r="F76" s="296">
        <v>3070.3584999999998</v>
      </c>
      <c r="G76" s="296">
        <v>6368.3091000000004</v>
      </c>
      <c r="H76" s="296">
        <v>424.5539</v>
      </c>
      <c r="I76" s="296"/>
      <c r="J76" s="296"/>
      <c r="K76" s="296"/>
      <c r="L76" s="296"/>
      <c r="M76" s="296"/>
      <c r="N76" s="296"/>
      <c r="O76" s="296"/>
      <c r="P76" s="296"/>
      <c r="Q76" s="296"/>
      <c r="R76" s="296"/>
      <c r="S76" s="296"/>
      <c r="T76" s="296"/>
      <c r="U76" s="296"/>
      <c r="V76" s="296"/>
      <c r="W76" s="296"/>
      <c r="X76" s="296">
        <v>1272.3595</v>
      </c>
      <c r="Y76" s="296">
        <v>3944.3146000000002</v>
      </c>
      <c r="Z76" s="296">
        <v>3944.3146000000002</v>
      </c>
      <c r="AA76" s="296">
        <v>3562.6066999999998</v>
      </c>
      <c r="AB76" s="296">
        <v>3944.3146000000002</v>
      </c>
      <c r="AC76" s="296">
        <v>4925.6293999999998</v>
      </c>
      <c r="AD76" s="296">
        <v>8626.3019999999997</v>
      </c>
      <c r="AE76" s="296">
        <v>11520.633599999999</v>
      </c>
      <c r="AF76" s="296">
        <v>18992.185000000001</v>
      </c>
      <c r="AG76" s="296">
        <v>3573.7093</v>
      </c>
      <c r="AH76" s="296">
        <v>1835.5707</v>
      </c>
      <c r="AI76" s="296">
        <v>2022.4963</v>
      </c>
      <c r="AJ76" s="296">
        <v>3912.5437999999999</v>
      </c>
      <c r="AK76" s="296">
        <v>3583.21</v>
      </c>
      <c r="AL76" s="296">
        <v>3495.1531</v>
      </c>
      <c r="AM76" s="296">
        <v>3358.5668999999998</v>
      </c>
      <c r="AN76" s="296">
        <v>3859.9996999999998</v>
      </c>
      <c r="AO76" s="296">
        <v>3078.4457000000002</v>
      </c>
      <c r="AP76" s="296">
        <v>5780.9177</v>
      </c>
      <c r="AQ76" s="296">
        <v>10966.3966</v>
      </c>
      <c r="AR76" s="296">
        <v>12861.4853</v>
      </c>
      <c r="AS76" s="296">
        <v>9213.1484</v>
      </c>
      <c r="AT76" s="296">
        <v>6721.9659000000001</v>
      </c>
      <c r="AU76" s="296">
        <v>5467.1306999999997</v>
      </c>
      <c r="AV76" s="296"/>
      <c r="AW76" s="296"/>
    </row>
    <row r="77" spans="1:49" s="293" customFormat="1">
      <c r="A77" s="293" t="s">
        <v>248</v>
      </c>
      <c r="B77" s="296">
        <v>2053.2249000000002</v>
      </c>
      <c r="C77" s="296">
        <v>1942.7289999999998</v>
      </c>
      <c r="D77" s="296">
        <v>2150.8786</v>
      </c>
      <c r="E77" s="296">
        <v>4813.3232000000007</v>
      </c>
      <c r="F77" s="296">
        <v>5679.4895000000006</v>
      </c>
      <c r="G77" s="296">
        <v>5496.2802000000001</v>
      </c>
      <c r="H77" s="296">
        <v>7631.4548000000004</v>
      </c>
      <c r="I77" s="296">
        <v>8427.7752999999993</v>
      </c>
      <c r="J77" s="296">
        <v>4804.4863999999998</v>
      </c>
      <c r="K77" s="296">
        <v>2044.5118</v>
      </c>
      <c r="L77" s="296">
        <v>1523.8438000000001</v>
      </c>
      <c r="M77" s="296">
        <v>1412.8868</v>
      </c>
      <c r="N77" s="296">
        <v>1272.6539</v>
      </c>
      <c r="O77" s="296">
        <v>1157.3234</v>
      </c>
      <c r="P77" s="296">
        <v>1343.3013999999998</v>
      </c>
      <c r="Q77" s="296">
        <v>1327.4279999999999</v>
      </c>
      <c r="R77" s="296">
        <v>2326.7847000000002</v>
      </c>
      <c r="S77" s="296">
        <v>6658.96</v>
      </c>
      <c r="T77" s="296">
        <v>9111.5316000000003</v>
      </c>
      <c r="U77" s="296">
        <v>6530.8149000000003</v>
      </c>
      <c r="V77" s="296">
        <v>2666.6504999999997</v>
      </c>
      <c r="W77" s="296">
        <v>1948.4583000000002</v>
      </c>
      <c r="X77" s="296">
        <v>1710.3114</v>
      </c>
      <c r="Y77" s="296">
        <v>1607.5851</v>
      </c>
      <c r="Z77" s="296">
        <v>1383.2602999999999</v>
      </c>
      <c r="AA77" s="296">
        <v>1168.0525</v>
      </c>
      <c r="AB77" s="296">
        <v>1200.0483000000002</v>
      </c>
      <c r="AC77" s="296">
        <v>1277.5333000000001</v>
      </c>
      <c r="AD77" s="296">
        <v>6175.1931999999997</v>
      </c>
      <c r="AE77" s="296">
        <v>12833.5779</v>
      </c>
      <c r="AF77" s="296">
        <v>11440.9722</v>
      </c>
      <c r="AG77" s="296">
        <v>7997.027</v>
      </c>
      <c r="AH77" s="296">
        <v>4298.4214000000002</v>
      </c>
      <c r="AI77" s="296">
        <v>1578.1163999999999</v>
      </c>
      <c r="AJ77" s="296">
        <v>1308.9554000000001</v>
      </c>
      <c r="AK77" s="296">
        <v>1491.0677000000001</v>
      </c>
      <c r="AL77" s="296">
        <v>1533.3083000000001</v>
      </c>
      <c r="AM77" s="296">
        <v>1310.8788</v>
      </c>
      <c r="AN77" s="296">
        <v>1394.9534000000001</v>
      </c>
      <c r="AO77" s="296">
        <v>1610.7771</v>
      </c>
      <c r="AP77" s="296">
        <v>5481.8377</v>
      </c>
      <c r="AQ77" s="296">
        <v>12094.185300000001</v>
      </c>
      <c r="AR77" s="296">
        <v>15639.792100000001</v>
      </c>
      <c r="AS77" s="296">
        <v>13229.524299999999</v>
      </c>
      <c r="AT77" s="296">
        <v>8004.7986000000001</v>
      </c>
      <c r="AU77" s="296">
        <v>3705.9746000000005</v>
      </c>
      <c r="AV77" s="296">
        <v>1488.4569000000001</v>
      </c>
      <c r="AW77" s="296">
        <v>1205.9704000000002</v>
      </c>
    </row>
    <row r="78" spans="1:49" s="293" customFormat="1">
      <c r="A78" s="293" t="s">
        <v>249</v>
      </c>
      <c r="B78" s="296">
        <v>677.42830000000004</v>
      </c>
      <c r="C78" s="296">
        <v>933.29060000000004</v>
      </c>
      <c r="D78" s="296">
        <v>2338.0965000000001</v>
      </c>
      <c r="E78" s="296">
        <v>2262.6741000000002</v>
      </c>
      <c r="F78" s="296">
        <v>3954.4261999999999</v>
      </c>
      <c r="G78" s="296">
        <v>9221.4593000000004</v>
      </c>
      <c r="H78" s="296">
        <v>9528.8413999999993</v>
      </c>
      <c r="I78" s="296">
        <v>7317.8330999999998</v>
      </c>
      <c r="J78" s="296">
        <v>930.17809999999997</v>
      </c>
      <c r="K78" s="296">
        <v>961.18389999999999</v>
      </c>
      <c r="L78" s="296">
        <v>960.29669999999999</v>
      </c>
      <c r="M78" s="296">
        <v>1077.894</v>
      </c>
      <c r="N78" s="296">
        <v>1077.894</v>
      </c>
      <c r="O78" s="296">
        <v>1089.1042</v>
      </c>
      <c r="P78" s="296">
        <v>1356.0388</v>
      </c>
      <c r="Q78" s="296">
        <v>1312.2955999999999</v>
      </c>
      <c r="R78" s="296">
        <v>3000.0820000000003</v>
      </c>
      <c r="S78" s="296">
        <v>6655.8436000000002</v>
      </c>
      <c r="T78" s="296">
        <v>8998.3581999999988</v>
      </c>
      <c r="U78" s="296">
        <v>8032.6527999999998</v>
      </c>
      <c r="V78" s="296">
        <v>1983.5371</v>
      </c>
      <c r="W78" s="296">
        <v>3012.4138000000003</v>
      </c>
      <c r="X78" s="296">
        <v>1212.6647</v>
      </c>
      <c r="Y78" s="296">
        <v>981.4174999999999</v>
      </c>
      <c r="Z78" s="296">
        <v>1024.7447999999999</v>
      </c>
      <c r="AA78" s="296">
        <v>947.57600000000002</v>
      </c>
      <c r="AB78" s="296">
        <v>1120.5907</v>
      </c>
      <c r="AC78" s="296">
        <v>1567.6856000000002</v>
      </c>
      <c r="AD78" s="296">
        <v>3129.9551000000001</v>
      </c>
      <c r="AE78" s="296">
        <v>7895.5895</v>
      </c>
      <c r="AF78" s="296">
        <v>9169.9327000000012</v>
      </c>
      <c r="AG78" s="296">
        <v>2899.3854999999999</v>
      </c>
      <c r="AH78" s="296">
        <v>5251.58</v>
      </c>
      <c r="AI78" s="296">
        <v>1922.7078999999999</v>
      </c>
      <c r="AJ78" s="296">
        <v>1131.6192000000001</v>
      </c>
      <c r="AK78" s="296">
        <v>675.27229999999997</v>
      </c>
      <c r="AL78" s="296">
        <v>645.45420000000001</v>
      </c>
      <c r="AM78" s="296">
        <v>650.73469999999998</v>
      </c>
      <c r="AN78" s="296">
        <v>999.5181</v>
      </c>
      <c r="AO78" s="296">
        <v>1085.1876</v>
      </c>
      <c r="AP78" s="296">
        <v>3641.5472</v>
      </c>
      <c r="AQ78" s="296">
        <v>9910.9745999999996</v>
      </c>
      <c r="AR78" s="296">
        <v>12535.910100000001</v>
      </c>
      <c r="AS78" s="296">
        <v>9400.8425999999999</v>
      </c>
      <c r="AT78" s="296">
        <v>4451.4436999999998</v>
      </c>
      <c r="AU78" s="296">
        <v>2159.6826000000001</v>
      </c>
      <c r="AV78" s="296">
        <v>1443.1370999999999</v>
      </c>
      <c r="AW78" s="296">
        <v>130.61539999999999</v>
      </c>
    </row>
    <row r="79" spans="1:49" s="293" customFormat="1">
      <c r="A79" s="293" t="s">
        <v>253</v>
      </c>
      <c r="B79" s="296"/>
      <c r="C79" s="296"/>
      <c r="D79" s="296"/>
      <c r="E79" s="296"/>
      <c r="F79" s="296"/>
      <c r="G79" s="296"/>
      <c r="H79" s="296"/>
      <c r="I79" s="296"/>
      <c r="J79" s="296"/>
      <c r="K79" s="296"/>
      <c r="L79" s="296"/>
      <c r="M79" s="296"/>
      <c r="N79" s="296">
        <v>35.081800000000001</v>
      </c>
      <c r="O79" s="296">
        <v>1074.0708999999999</v>
      </c>
      <c r="P79" s="296">
        <v>1180.0438999999999</v>
      </c>
      <c r="Q79" s="296">
        <v>955.08010000000002</v>
      </c>
      <c r="R79" s="296">
        <v>904.14700000000005</v>
      </c>
      <c r="S79" s="296">
        <v>1861.6914999999999</v>
      </c>
      <c r="T79" s="296">
        <v>2514.0432000000001</v>
      </c>
      <c r="U79" s="296">
        <v>2186.0291000000002</v>
      </c>
      <c r="V79" s="296">
        <v>1964.3534</v>
      </c>
      <c r="W79" s="296">
        <v>1134.2859000000001</v>
      </c>
      <c r="X79" s="296">
        <v>844.92100000000005</v>
      </c>
      <c r="Y79" s="296">
        <v>483.34</v>
      </c>
      <c r="Z79" s="296">
        <v>347.77640000000002</v>
      </c>
      <c r="AA79" s="296">
        <v>509.89449999999999</v>
      </c>
      <c r="AB79" s="296">
        <v>684.9425</v>
      </c>
      <c r="AC79" s="296">
        <v>1136.1387</v>
      </c>
      <c r="AD79" s="296">
        <v>1601.944</v>
      </c>
      <c r="AE79" s="296">
        <v>2134.3440000000001</v>
      </c>
      <c r="AF79" s="296">
        <v>2507.2611999999999</v>
      </c>
      <c r="AG79" s="296">
        <v>2420.8393000000001</v>
      </c>
      <c r="AH79" s="296">
        <v>1725.2121</v>
      </c>
      <c r="AI79" s="296">
        <v>1188.0337</v>
      </c>
      <c r="AJ79" s="296">
        <v>981.85519999999997</v>
      </c>
      <c r="AK79" s="296">
        <v>635.02110000000005</v>
      </c>
      <c r="AL79" s="296">
        <v>360.89249999999998</v>
      </c>
      <c r="AM79" s="296">
        <v>346.0025</v>
      </c>
      <c r="AN79" s="296">
        <v>395.3974</v>
      </c>
      <c r="AO79" s="296">
        <v>1116.7399</v>
      </c>
      <c r="AP79" s="296">
        <v>1659.6759999999999</v>
      </c>
      <c r="AQ79" s="296">
        <v>2097.0482999999999</v>
      </c>
      <c r="AR79" s="296">
        <v>2610.8146999999999</v>
      </c>
      <c r="AS79" s="296">
        <v>2218.2181</v>
      </c>
      <c r="AT79" s="296">
        <v>1937.7</v>
      </c>
      <c r="AU79" s="296">
        <v>1299.6724999999999</v>
      </c>
      <c r="AV79" s="296">
        <v>883.77369999999996</v>
      </c>
      <c r="AW79" s="296">
        <v>206.2139</v>
      </c>
    </row>
    <row r="80" spans="1:49" s="293" customFormat="1">
      <c r="A80" s="293" t="s">
        <v>250</v>
      </c>
      <c r="B80" s="296">
        <v>5144.7110000000002</v>
      </c>
      <c r="C80" s="296">
        <v>8611.81</v>
      </c>
      <c r="D80" s="296">
        <v>6717.4690000000001</v>
      </c>
      <c r="E80" s="296">
        <v>11269.970000000001</v>
      </c>
      <c r="F80" s="296">
        <v>16064.490000000002</v>
      </c>
      <c r="G80" s="296">
        <v>19750.850000000002</v>
      </c>
      <c r="H80" s="296">
        <v>23633.61</v>
      </c>
      <c r="I80" s="296">
        <v>26492.93</v>
      </c>
      <c r="J80" s="296">
        <v>15196.46</v>
      </c>
      <c r="K80" s="296">
        <v>311.57</v>
      </c>
      <c r="L80" s="296">
        <v>7389.32</v>
      </c>
      <c r="M80" s="296">
        <v>6182.5</v>
      </c>
      <c r="N80" s="296">
        <v>5300.41</v>
      </c>
      <c r="O80" s="296">
        <v>5083.9400000000005</v>
      </c>
      <c r="P80" s="296">
        <v>5736.06</v>
      </c>
      <c r="Q80" s="296">
        <v>9539.0600000000013</v>
      </c>
      <c r="R80" s="296">
        <v>19393.8</v>
      </c>
      <c r="S80" s="296">
        <v>22604.370000000003</v>
      </c>
      <c r="T80" s="296">
        <v>28688.61</v>
      </c>
      <c r="U80" s="296">
        <v>25043.08</v>
      </c>
      <c r="V80" s="296">
        <v>14389.380000000001</v>
      </c>
      <c r="W80" s="296">
        <v>9485.57</v>
      </c>
      <c r="X80" s="296">
        <v>2386.04</v>
      </c>
      <c r="Y80" s="296">
        <v>6463.34</v>
      </c>
      <c r="Z80" s="296">
        <v>4818.53</v>
      </c>
      <c r="AA80" s="296">
        <v>4759.24</v>
      </c>
      <c r="AB80" s="296">
        <v>6167.2</v>
      </c>
      <c r="AC80" s="296">
        <v>8887.15</v>
      </c>
      <c r="AD80" s="296">
        <v>14316.54</v>
      </c>
      <c r="AE80" s="296">
        <v>23038.12</v>
      </c>
      <c r="AF80" s="296">
        <v>27398.080000000002</v>
      </c>
      <c r="AG80" s="296">
        <v>22527.119999999999</v>
      </c>
      <c r="AH80" s="296">
        <v>14331.710000000001</v>
      </c>
      <c r="AI80" s="296">
        <v>8135.36</v>
      </c>
      <c r="AJ80" s="296">
        <v>5415.96</v>
      </c>
      <c r="AK80" s="296">
        <v>2657.17</v>
      </c>
      <c r="AL80" s="296">
        <v>4738.1000000000004</v>
      </c>
      <c r="AM80" s="296">
        <v>2982.7799999999997</v>
      </c>
      <c r="AN80" s="296">
        <v>5242.21</v>
      </c>
      <c r="AO80" s="296">
        <v>6211.26</v>
      </c>
      <c r="AP80" s="296">
        <v>15987.74</v>
      </c>
      <c r="AQ80" s="296">
        <v>47188.01</v>
      </c>
      <c r="AR80" s="296">
        <v>48322.590000000004</v>
      </c>
      <c r="AS80" s="296">
        <v>39359.5</v>
      </c>
      <c r="AT80" s="296">
        <v>27717.42</v>
      </c>
      <c r="AU80" s="296">
        <v>18709.98</v>
      </c>
      <c r="AV80" s="296">
        <v>14388.82</v>
      </c>
      <c r="AW80" s="296">
        <v>0</v>
      </c>
    </row>
    <row r="81" spans="1:49" s="293" customFormat="1">
      <c r="A81" s="670" t="s">
        <v>260</v>
      </c>
      <c r="B81" s="296"/>
      <c r="C81" s="296"/>
      <c r="D81" s="296"/>
      <c r="E81" s="296"/>
      <c r="F81" s="296"/>
      <c r="G81" s="296"/>
      <c r="H81" s="296"/>
      <c r="I81" s="296"/>
      <c r="J81" s="296"/>
      <c r="K81" s="296"/>
      <c r="L81" s="296"/>
      <c r="M81" s="296"/>
      <c r="N81" s="296"/>
      <c r="O81" s="296"/>
      <c r="P81" s="296"/>
      <c r="Q81" s="296"/>
      <c r="R81" s="296"/>
      <c r="S81" s="296"/>
      <c r="T81" s="296"/>
      <c r="U81" s="296"/>
      <c r="V81" s="296"/>
      <c r="W81" s="296"/>
      <c r="X81" s="296"/>
      <c r="Y81" s="296"/>
      <c r="Z81" s="296"/>
      <c r="AA81" s="296"/>
      <c r="AB81" s="296"/>
      <c r="AC81" s="296"/>
      <c r="AD81" s="296"/>
      <c r="AE81" s="296"/>
      <c r="AF81" s="296"/>
      <c r="AG81" s="296"/>
      <c r="AH81" s="296"/>
      <c r="AI81" s="296">
        <v>14543.8341</v>
      </c>
      <c r="AJ81" s="672">
        <v>20427.039078172285</v>
      </c>
      <c r="AK81" s="672">
        <v>20427.039078172285</v>
      </c>
      <c r="AL81" s="672">
        <v>25687.931499999999</v>
      </c>
      <c r="AM81" s="672">
        <v>24636.795600000001</v>
      </c>
      <c r="AN81" s="672">
        <v>31480.5095</v>
      </c>
      <c r="AO81" s="672">
        <v>27977.633300000001</v>
      </c>
      <c r="AP81" s="672">
        <v>29067.157500000001</v>
      </c>
      <c r="AQ81" s="672">
        <v>24518.407500000001</v>
      </c>
      <c r="AR81" s="672">
        <v>21772.433400000002</v>
      </c>
      <c r="AS81" s="672">
        <v>20729.322199999999</v>
      </c>
      <c r="AT81" s="296">
        <v>15301.173699999999</v>
      </c>
      <c r="AU81" s="296">
        <v>14543.8341</v>
      </c>
      <c r="AV81" s="672">
        <v>20427.039078172285</v>
      </c>
      <c r="AW81" s="672">
        <v>20427.039078172285</v>
      </c>
    </row>
    <row r="82" spans="1:49" s="293" customFormat="1">
      <c r="A82" s="293" t="s">
        <v>262</v>
      </c>
      <c r="B82" s="296">
        <v>1025.5563</v>
      </c>
      <c r="C82" s="296">
        <v>922.58069999999998</v>
      </c>
      <c r="D82" s="296">
        <v>1150.9603</v>
      </c>
      <c r="E82" s="296">
        <v>1606.7519</v>
      </c>
      <c r="F82" s="296">
        <v>5201.7374</v>
      </c>
      <c r="G82" s="296">
        <v>11140.603499999999</v>
      </c>
      <c r="H82" s="296">
        <v>10142.565699999999</v>
      </c>
      <c r="I82" s="296">
        <v>11188.956099999999</v>
      </c>
      <c r="J82" s="296">
        <v>5905.8962000000001</v>
      </c>
      <c r="K82" s="296">
        <v>2574.9391999999998</v>
      </c>
      <c r="L82" s="296">
        <v>1458.6608000000001</v>
      </c>
      <c r="M82" s="296">
        <v>1265.6510000000001</v>
      </c>
      <c r="N82" s="296">
        <v>1200.3679999999999</v>
      </c>
      <c r="O82" s="296">
        <v>1127.8835999999999</v>
      </c>
      <c r="P82" s="296">
        <v>1424.4948999999999</v>
      </c>
      <c r="Q82" s="296">
        <v>3092.5868</v>
      </c>
      <c r="R82" s="296">
        <v>8783.0967000000001</v>
      </c>
      <c r="S82" s="296">
        <v>12630.845499999999</v>
      </c>
      <c r="T82" s="296">
        <v>14477.4108</v>
      </c>
      <c r="U82" s="296">
        <v>11840.0555</v>
      </c>
      <c r="V82" s="296">
        <v>5861.3032999999996</v>
      </c>
      <c r="W82" s="296">
        <v>3889.3530000000001</v>
      </c>
      <c r="X82" s="296">
        <v>2187.2975000000001</v>
      </c>
      <c r="Y82" s="296">
        <v>1299.8186000000001</v>
      </c>
      <c r="Z82" s="296">
        <v>1296.0917999999999</v>
      </c>
      <c r="AA82" s="296">
        <v>1150.8271</v>
      </c>
      <c r="AB82" s="296">
        <v>2027.7851000000001</v>
      </c>
      <c r="AC82" s="296">
        <v>3412.3121999999998</v>
      </c>
      <c r="AD82" s="296">
        <v>2752.4666000000002</v>
      </c>
      <c r="AE82" s="296">
        <v>6180.1628000000001</v>
      </c>
      <c r="AF82" s="296">
        <v>14032.919099999999</v>
      </c>
      <c r="AG82" s="296">
        <v>12955.7485</v>
      </c>
      <c r="AH82" s="296">
        <v>9484.2682999999997</v>
      </c>
      <c r="AI82" s="296">
        <v>5536.1713</v>
      </c>
      <c r="AJ82" s="296">
        <v>3872.6228999999998</v>
      </c>
      <c r="AK82" s="296">
        <v>2528.8422</v>
      </c>
      <c r="AL82" s="296">
        <v>1105.2375</v>
      </c>
      <c r="AM82" s="296">
        <v>933.61850000000004</v>
      </c>
      <c r="AN82" s="296">
        <v>1167.059</v>
      </c>
      <c r="AO82" s="296">
        <v>1142.4619</v>
      </c>
      <c r="AP82" s="296">
        <v>1348.5246999999999</v>
      </c>
      <c r="AQ82" s="296">
        <v>4986.2277999999997</v>
      </c>
      <c r="AR82" s="296">
        <v>10550.9449</v>
      </c>
      <c r="AS82" s="296">
        <v>9641.5666999999994</v>
      </c>
      <c r="AT82" s="296">
        <v>5841.3751000000002</v>
      </c>
      <c r="AU82" s="296">
        <v>2797.6941000000002</v>
      </c>
      <c r="AV82" s="296">
        <v>1354.8827000000001</v>
      </c>
      <c r="AW82" s="296">
        <v>374.55520000000001</v>
      </c>
    </row>
    <row r="83" spans="1:49" s="293" customFormat="1">
      <c r="A83" s="293" t="s">
        <v>251</v>
      </c>
      <c r="B83" s="296"/>
      <c r="C83" s="296"/>
      <c r="D83" s="296"/>
      <c r="E83" s="296"/>
      <c r="F83" s="296"/>
      <c r="G83" s="296"/>
      <c r="H83" s="296"/>
      <c r="I83" s="296"/>
      <c r="J83" s="296"/>
      <c r="K83" s="296"/>
      <c r="L83" s="296"/>
      <c r="M83" s="296"/>
      <c r="N83" s="296"/>
      <c r="O83" s="296"/>
      <c r="P83" s="296"/>
      <c r="Q83" s="296"/>
      <c r="R83" s="296">
        <v>4529.0059000000001</v>
      </c>
      <c r="S83" s="296">
        <v>12377.3644</v>
      </c>
      <c r="T83" s="296">
        <v>12751.9668</v>
      </c>
      <c r="U83" s="296">
        <v>11308.7544</v>
      </c>
      <c r="V83" s="296">
        <v>10943.6836</v>
      </c>
      <c r="W83" s="296">
        <v>2696.6932000000002</v>
      </c>
      <c r="X83" s="296">
        <v>14747.5486</v>
      </c>
      <c r="Y83" s="296">
        <v>9429.0787999999993</v>
      </c>
      <c r="Z83" s="296">
        <v>8042.4516999999996</v>
      </c>
      <c r="AA83" s="296">
        <v>10477.122600000001</v>
      </c>
      <c r="AB83" s="296">
        <v>13554.571</v>
      </c>
      <c r="AC83" s="296">
        <v>20297.065900000001</v>
      </c>
      <c r="AD83" s="296">
        <v>25982.1531</v>
      </c>
      <c r="AE83" s="296">
        <v>16011.0959</v>
      </c>
      <c r="AF83" s="296">
        <v>12140.060799999999</v>
      </c>
      <c r="AG83" s="296">
        <v>11722.669900000001</v>
      </c>
      <c r="AH83" s="296">
        <v>10057.559300000001</v>
      </c>
      <c r="AI83" s="296">
        <v>8565.5861000000004</v>
      </c>
      <c r="AJ83" s="296">
        <v>10805.415199999999</v>
      </c>
      <c r="AK83" s="296">
        <v>8881.5380999999998</v>
      </c>
      <c r="AL83" s="296">
        <v>5443.1477000000004</v>
      </c>
      <c r="AM83" s="296">
        <v>1610.3877</v>
      </c>
      <c r="AN83" s="296">
        <v>1245.2412999999999</v>
      </c>
      <c r="AO83" s="296">
        <v>18477.701799999999</v>
      </c>
      <c r="AP83" s="296">
        <v>18720.5317</v>
      </c>
      <c r="AQ83" s="296">
        <v>12388.807000000001</v>
      </c>
      <c r="AR83" s="296">
        <v>13581.07</v>
      </c>
      <c r="AS83" s="296">
        <v>12630.428900000001</v>
      </c>
      <c r="AT83" s="296">
        <v>10416.818600000001</v>
      </c>
      <c r="AU83" s="296">
        <v>10335.1297</v>
      </c>
      <c r="AV83" s="296">
        <v>6124.2132000000001</v>
      </c>
      <c r="AW83" s="296">
        <v>368.7371</v>
      </c>
    </row>
    <row r="84" spans="1:49" s="293" customFormat="1">
      <c r="A84" s="293" t="s">
        <v>261</v>
      </c>
      <c r="B84" s="296">
        <v>634.63940000000002</v>
      </c>
      <c r="C84" s="296">
        <v>544.47149999999999</v>
      </c>
      <c r="D84" s="296">
        <v>1013.4859</v>
      </c>
      <c r="E84" s="296">
        <v>1039.6713999999999</v>
      </c>
      <c r="F84" s="296">
        <v>3186.2818000000002</v>
      </c>
      <c r="G84" s="296">
        <v>3574.0169000000001</v>
      </c>
      <c r="H84" s="296">
        <v>4106.7575999999999</v>
      </c>
      <c r="I84" s="296">
        <v>4168.0326999999997</v>
      </c>
      <c r="J84" s="296">
        <v>2301.3908999999999</v>
      </c>
      <c r="K84" s="296">
        <v>2155.2332000000001</v>
      </c>
      <c r="L84" s="296">
        <v>752.38149999999996</v>
      </c>
      <c r="M84" s="296">
        <v>777.46090000000004</v>
      </c>
      <c r="N84" s="296">
        <v>541.59469999999999</v>
      </c>
      <c r="O84" s="296">
        <v>491.4359</v>
      </c>
      <c r="P84" s="296">
        <v>1297.0026</v>
      </c>
      <c r="Q84" s="296">
        <v>1335.1762000000001</v>
      </c>
      <c r="R84" s="296">
        <v>4271.6679999999997</v>
      </c>
      <c r="S84" s="296">
        <v>4672.0830999999998</v>
      </c>
      <c r="T84" s="296">
        <v>6056.4516000000003</v>
      </c>
      <c r="U84" s="296">
        <v>6188.0907999999999</v>
      </c>
      <c r="V84" s="296">
        <v>2112.5158000000001</v>
      </c>
      <c r="W84" s="296">
        <v>1949.9516000000001</v>
      </c>
      <c r="X84" s="296">
        <v>555.77459999999996</v>
      </c>
      <c r="Y84" s="296">
        <v>574.30039999999997</v>
      </c>
      <c r="Z84" s="296">
        <v>451.9248</v>
      </c>
      <c r="AA84" s="296">
        <v>391.81490000000002</v>
      </c>
      <c r="AB84" s="296">
        <v>1035.9142999999999</v>
      </c>
      <c r="AC84" s="296">
        <v>1088.8230000000001</v>
      </c>
      <c r="AD84" s="296">
        <v>4308.0582000000004</v>
      </c>
      <c r="AE84" s="296">
        <v>4625.4242000000004</v>
      </c>
      <c r="AF84" s="296">
        <v>5012.8667999999998</v>
      </c>
      <c r="AG84" s="296">
        <v>5057.7248</v>
      </c>
      <c r="AH84" s="296">
        <v>2406.7826</v>
      </c>
      <c r="AI84" s="296">
        <v>2398.3633</v>
      </c>
      <c r="AJ84" s="296">
        <v>2385.5286999999998</v>
      </c>
      <c r="AK84" s="296">
        <v>1524.6023</v>
      </c>
      <c r="AL84" s="296">
        <v>559.87860000000001</v>
      </c>
      <c r="AM84" s="296">
        <v>393.88499999999999</v>
      </c>
      <c r="AN84" s="296">
        <v>736.30949999999996</v>
      </c>
      <c r="AO84" s="296">
        <v>743.6866</v>
      </c>
      <c r="AP84" s="296">
        <v>4162.3198000000002</v>
      </c>
      <c r="AQ84" s="296">
        <v>5371.6552000000001</v>
      </c>
      <c r="AR84" s="296">
        <v>5751.9474</v>
      </c>
      <c r="AS84" s="296">
        <v>5800.2443000000003</v>
      </c>
      <c r="AT84" s="296">
        <v>2606.5164</v>
      </c>
      <c r="AU84" s="296">
        <v>2471.4829</v>
      </c>
      <c r="AV84" s="296">
        <v>1253.5922</v>
      </c>
      <c r="AW84" s="296">
        <v>1295.3786</v>
      </c>
    </row>
    <row r="85" spans="1:49" s="293" customFormat="1"/>
    <row r="86" spans="1:49" s="293" customFormat="1"/>
    <row r="87" spans="1:49" s="293" customFormat="1">
      <c r="K87" s="747" t="s">
        <v>272</v>
      </c>
      <c r="L87" s="266"/>
    </row>
    <row r="88" spans="1:49" s="293" customFormat="1">
      <c r="B88" s="293" t="s">
        <v>269</v>
      </c>
      <c r="C88" s="293" t="s">
        <v>270</v>
      </c>
      <c r="D88" s="293" t="s">
        <v>271</v>
      </c>
      <c r="K88" s="673">
        <f>SUM(AR60:BC60)</f>
        <v>0</v>
      </c>
      <c r="L88" s="673">
        <f>SUM(C60:M60)</f>
        <v>0</v>
      </c>
      <c r="AS88" s="293">
        <v>25687.931499999999</v>
      </c>
      <c r="AT88" s="293">
        <v>24636.795600000001</v>
      </c>
      <c r="AU88" s="293">
        <v>31480.5095</v>
      </c>
      <c r="AV88" s="293">
        <v>27977.633300000001</v>
      </c>
      <c r="AW88" s="293">
        <v>29067.157500000001</v>
      </c>
    </row>
    <row r="89" spans="1:49" s="293" customFormat="1">
      <c r="A89" s="293" t="s">
        <v>240</v>
      </c>
      <c r="B89" s="297">
        <f>SUM(H65:S65)</f>
        <v>40927.26189999999</v>
      </c>
      <c r="C89" s="297">
        <f>SUM(T65:AE65)</f>
        <v>37519.078199999996</v>
      </c>
      <c r="D89" s="297">
        <f>SUM(AF65:AQ65)</f>
        <v>41724.339299999992</v>
      </c>
      <c r="K89" s="673">
        <f>SUM(AR61:BC61)</f>
        <v>0</v>
      </c>
      <c r="L89" s="673">
        <f>SUM(C61:M61)</f>
        <v>0</v>
      </c>
    </row>
    <row r="90" spans="1:49" s="293" customFormat="1">
      <c r="A90" s="293" t="s">
        <v>241</v>
      </c>
      <c r="B90" s="297">
        <f>SUM(H68:S68)</f>
        <v>156870.22209999998</v>
      </c>
      <c r="C90" s="297">
        <f>SUM(T68:AE68)</f>
        <v>173626.84099999999</v>
      </c>
      <c r="D90" s="297">
        <f>SUM(AF68:AQ68)</f>
        <v>159548.62910000002</v>
      </c>
      <c r="K90" s="673">
        <f t="shared" ref="K90:K110" si="7">SUM(AR62:BC62)</f>
        <v>0</v>
      </c>
      <c r="L90" s="673">
        <f t="shared" ref="L90:L110" si="8">SUM(C62:M62)</f>
        <v>0</v>
      </c>
    </row>
    <row r="91" spans="1:49" s="293" customFormat="1">
      <c r="A91" s="293" t="s">
        <v>242</v>
      </c>
      <c r="B91" s="297">
        <f>SUM(H69:S69)</f>
        <v>98569.646999999997</v>
      </c>
      <c r="C91" s="297">
        <f>SUM(T69:AE69)</f>
        <v>96898.288499999995</v>
      </c>
      <c r="D91" s="297">
        <f>SUM(AF69:AQ69)</f>
        <v>98408.675099999993</v>
      </c>
      <c r="K91" s="673">
        <f t="shared" si="7"/>
        <v>0</v>
      </c>
      <c r="L91" s="673">
        <f t="shared" si="8"/>
        <v>0</v>
      </c>
    </row>
    <row r="92" spans="1:49" s="293" customFormat="1">
      <c r="A92" s="293" t="s">
        <v>243</v>
      </c>
      <c r="B92" s="297">
        <f>SUM(H67:S67)</f>
        <v>16030.999999999996</v>
      </c>
      <c r="C92" s="297">
        <f>SUM(T67:AE67)</f>
        <v>20265.7821</v>
      </c>
      <c r="D92" s="297">
        <f>SUM(AF67:AQ67)</f>
        <v>23598.6558</v>
      </c>
      <c r="K92" s="673"/>
      <c r="L92" s="690"/>
    </row>
    <row r="93" spans="1:49" s="293" customFormat="1">
      <c r="A93" s="293" t="s">
        <v>244</v>
      </c>
      <c r="B93" s="297">
        <f>SUM(H70:S70)</f>
        <v>27405.169399999999</v>
      </c>
      <c r="C93" s="297">
        <f>SUM(T70:AE70)</f>
        <v>27304.5445</v>
      </c>
      <c r="D93" s="297">
        <f>SUM(AF70:AQ70)</f>
        <v>39476.285300000003</v>
      </c>
      <c r="K93" s="673">
        <f t="shared" si="7"/>
        <v>31912.940000000002</v>
      </c>
      <c r="L93" s="673">
        <f t="shared" si="8"/>
        <v>42861.655599999998</v>
      </c>
    </row>
    <row r="94" spans="1:49" s="293" customFormat="1">
      <c r="A94" s="293" t="s">
        <v>245</v>
      </c>
      <c r="B94" s="297">
        <f>SUM(H73:S73)</f>
        <v>41223.730199999998</v>
      </c>
      <c r="C94" s="297">
        <f>SUM(T73:AE73)</f>
        <v>36080.573700000001</v>
      </c>
      <c r="D94" s="297">
        <f>SUM(AF73:AQ73)</f>
        <v>33772.9948</v>
      </c>
      <c r="K94" s="673">
        <f t="shared" si="7"/>
        <v>12582.7853</v>
      </c>
      <c r="L94" s="673">
        <f t="shared" si="8"/>
        <v>59768.556800000006</v>
      </c>
    </row>
    <row r="95" spans="1:49" s="293" customFormat="1">
      <c r="A95" s="293" t="s">
        <v>246</v>
      </c>
      <c r="K95" s="673">
        <f t="shared" si="7"/>
        <v>11710.1644</v>
      </c>
      <c r="L95" s="673">
        <f t="shared" si="8"/>
        <v>10052.5299</v>
      </c>
    </row>
    <row r="96" spans="1:49" s="293" customFormat="1">
      <c r="A96" s="293" t="s">
        <v>247</v>
      </c>
      <c r="B96" s="297">
        <f>SUM(H75:S75)</f>
        <v>7750.7302999999993</v>
      </c>
      <c r="C96" s="297">
        <f>SUM(T75:AE75)</f>
        <v>39121.473300000005</v>
      </c>
      <c r="D96" s="297">
        <f>SUM(AF75:AQ75)</f>
        <v>24102.018800000005</v>
      </c>
      <c r="K96" s="673">
        <f t="shared" si="7"/>
        <v>100103.22</v>
      </c>
      <c r="L96" s="673">
        <f t="shared" si="8"/>
        <v>146985.2182</v>
      </c>
    </row>
    <row r="97" spans="1:12" s="293" customFormat="1">
      <c r="A97" s="293" t="s">
        <v>248</v>
      </c>
      <c r="B97" s="297">
        <f>SUM(H77:S77)</f>
        <v>39931.410300000003</v>
      </c>
      <c r="C97" s="297">
        <f>SUM(T77:AE77)</f>
        <v>47613.017299999992</v>
      </c>
      <c r="D97" s="297">
        <f>SUM(AF77:AQ77)</f>
        <v>51540.50069999999</v>
      </c>
      <c r="K97" s="673">
        <f t="shared" si="7"/>
        <v>71511.137799999997</v>
      </c>
      <c r="L97" s="673">
        <f t="shared" si="8"/>
        <v>90912.914599999989</v>
      </c>
    </row>
    <row r="98" spans="1:12" s="293" customFormat="1">
      <c r="A98" s="293" t="s">
        <v>249</v>
      </c>
      <c r="B98" s="297">
        <f>SUM(H78:S78)</f>
        <v>35267.485400000005</v>
      </c>
      <c r="C98" s="297">
        <f>SUM(T78:AE78)</f>
        <v>39907.185800000007</v>
      </c>
      <c r="D98" s="297">
        <f>SUM(AF78:AQ78)</f>
        <v>37983.914000000012</v>
      </c>
      <c r="K98" s="673">
        <f t="shared" si="7"/>
        <v>23469.718099999998</v>
      </c>
      <c r="L98" s="673">
        <f t="shared" si="8"/>
        <v>25020.4359</v>
      </c>
    </row>
    <row r="99" spans="1:12" s="293" customFormat="1">
      <c r="A99" s="293" t="s">
        <v>250</v>
      </c>
      <c r="B99" s="297">
        <f>SUM(H80:S80)</f>
        <v>146864.03000000003</v>
      </c>
      <c r="C99" s="297">
        <f>SUM(T80:AE80)</f>
        <v>148442.79999999999</v>
      </c>
      <c r="D99" s="297">
        <f>SUM(AF80:AQ80)</f>
        <v>162815.5</v>
      </c>
      <c r="K99" s="673">
        <f t="shared" si="7"/>
        <v>7090.5878000000002</v>
      </c>
      <c r="L99" s="673">
        <f t="shared" si="8"/>
        <v>23002.341599999996</v>
      </c>
    </row>
    <row r="100" spans="1:12" s="293" customFormat="1">
      <c r="A100" s="293" t="s">
        <v>251</v>
      </c>
      <c r="B100" s="297">
        <f>SUM(H83:S83)</f>
        <v>16906.370300000002</v>
      </c>
      <c r="C100" s="297">
        <f>SUM(T83:AE83)</f>
        <v>156242.18560000003</v>
      </c>
      <c r="D100" s="297">
        <f>SUM(AF83:AQ83)</f>
        <v>120058.64659999998</v>
      </c>
      <c r="K100" s="673">
        <f t="shared" si="7"/>
        <v>7766.87</v>
      </c>
      <c r="L100" s="673">
        <f t="shared" si="8"/>
        <v>10059.471299999999</v>
      </c>
    </row>
    <row r="101" spans="1:12" s="293" customFormat="1">
      <c r="A101" s="293" t="s">
        <v>252</v>
      </c>
      <c r="B101" s="297">
        <f>SUM(H71:S71)</f>
        <v>20096.346799999999</v>
      </c>
      <c r="C101" s="297">
        <f>SUM(T71:AE71)</f>
        <v>19508.6944</v>
      </c>
      <c r="D101" s="297">
        <f>SUM(AF71:AQ71)</f>
        <v>18383.104800000001</v>
      </c>
      <c r="K101" s="673">
        <f t="shared" si="7"/>
        <v>26370.979399999997</v>
      </c>
      <c r="L101" s="673">
        <f t="shared" si="8"/>
        <v>43724.102999999996</v>
      </c>
    </row>
    <row r="102" spans="1:12" s="293" customFormat="1">
      <c r="A102" s="293" t="s">
        <v>253</v>
      </c>
      <c r="B102" s="297">
        <f>SUM(H79:S79)</f>
        <v>6010.1152000000002</v>
      </c>
      <c r="C102" s="297">
        <f>SUM(T79:AE79)</f>
        <v>15542.012699999999</v>
      </c>
      <c r="D102" s="297">
        <f>SUM(AF79:AQ79)</f>
        <v>15433.9792</v>
      </c>
      <c r="K102" s="673">
        <f t="shared" si="7"/>
        <v>0</v>
      </c>
      <c r="L102" s="673">
        <f t="shared" si="8"/>
        <v>0</v>
      </c>
    </row>
    <row r="103" spans="1:12" s="293" customFormat="1">
      <c r="A103" s="293" t="s">
        <v>254</v>
      </c>
      <c r="B103" s="297">
        <f>SUM(H72:S72)</f>
        <v>12517.220000000001</v>
      </c>
      <c r="C103" s="297">
        <f>SUM(T72:AE72)</f>
        <v>14939.499999999998</v>
      </c>
      <c r="D103" s="297">
        <f>SUM(AF72:AQ72)</f>
        <v>11872.099999999999</v>
      </c>
      <c r="K103" s="673">
        <f t="shared" si="7"/>
        <v>20797.34</v>
      </c>
      <c r="L103" s="673">
        <f t="shared" si="8"/>
        <v>303.49880000000002</v>
      </c>
    </row>
    <row r="104" spans="1:12" s="293" customFormat="1">
      <c r="A104" s="293" t="s">
        <v>255</v>
      </c>
      <c r="K104" s="673">
        <f t="shared" si="7"/>
        <v>34263.730299999996</v>
      </c>
      <c r="L104" s="673">
        <f t="shared" si="8"/>
        <v>9932.0862000000016</v>
      </c>
    </row>
    <row r="105" spans="1:12" s="293" customFormat="1">
      <c r="A105" s="293" t="s">
        <v>256</v>
      </c>
      <c r="B105" s="297">
        <f>SUM(H66:S66)</f>
        <v>68758.156099999993</v>
      </c>
      <c r="C105" s="297">
        <f>SUM(T66:AE66)</f>
        <v>68837.438600000009</v>
      </c>
      <c r="D105" s="297">
        <f>SUM(AF66:AQ66)</f>
        <v>42887.902300000002</v>
      </c>
      <c r="K105" s="673">
        <f t="shared" si="7"/>
        <v>43274.516899999995</v>
      </c>
      <c r="L105" s="673">
        <f t="shared" si="8"/>
        <v>45927.659400000004</v>
      </c>
    </row>
    <row r="106" spans="1:12" s="293" customFormat="1">
      <c r="A106" s="293" t="s">
        <v>257</v>
      </c>
      <c r="B106" s="297">
        <f>SUM(H74:S74)</f>
        <v>0</v>
      </c>
      <c r="C106" s="297">
        <f>SUM(T74:AE74)</f>
        <v>0</v>
      </c>
      <c r="D106" s="297">
        <f>SUM(AF74:AQ74)</f>
        <v>0</v>
      </c>
      <c r="K106" s="673">
        <f t="shared" si="7"/>
        <v>30121.6315</v>
      </c>
      <c r="L106" s="673">
        <f t="shared" si="8"/>
        <v>39486.173899999987</v>
      </c>
    </row>
    <row r="107" spans="1:12" s="293" customFormat="1">
      <c r="A107" s="293" t="s">
        <v>258</v>
      </c>
      <c r="B107" s="297">
        <f>SUM(H76:S76)</f>
        <v>424.5539</v>
      </c>
      <c r="C107" s="297">
        <f>SUM(T76:AE76)</f>
        <v>41740.474999999999</v>
      </c>
      <c r="D107" s="297">
        <f>SUM(AF76:AQ76)</f>
        <v>64459.194799999997</v>
      </c>
      <c r="K107" s="673">
        <f t="shared" si="7"/>
        <v>9156.3929000000007</v>
      </c>
      <c r="L107" s="673">
        <f t="shared" si="8"/>
        <v>0</v>
      </c>
    </row>
    <row r="108" spans="1:12" s="293" customFormat="1">
      <c r="A108" s="293" t="s">
        <v>259</v>
      </c>
      <c r="K108" s="673">
        <f t="shared" si="7"/>
        <v>148498.31</v>
      </c>
      <c r="L108" s="673">
        <f t="shared" si="8"/>
        <v>141620.97900000002</v>
      </c>
    </row>
    <row r="109" spans="1:12" s="293" customFormat="1">
      <c r="A109" s="670" t="s">
        <v>260</v>
      </c>
      <c r="B109" s="297">
        <f>SUM(H81:S81)</f>
        <v>0</v>
      </c>
      <c r="C109" s="297">
        <f>SUM(T81:AE81)</f>
        <v>0</v>
      </c>
      <c r="D109" s="297">
        <f>SUM(AF81:AQ81)</f>
        <v>218766.34715634456</v>
      </c>
      <c r="K109" s="673">
        <f t="shared" si="7"/>
        <v>113200.84155634456</v>
      </c>
      <c r="L109" s="673">
        <f t="shared" si="8"/>
        <v>0</v>
      </c>
    </row>
    <row r="110" spans="1:12" s="293" customFormat="1">
      <c r="A110" s="293" t="s">
        <v>261</v>
      </c>
      <c r="B110" s="297">
        <f>SUM(H84:S84)</f>
        <v>26870.2173</v>
      </c>
      <c r="C110" s="297">
        <f>SUM(T84:AE84)</f>
        <v>29339.044200000004</v>
      </c>
      <c r="D110" s="297">
        <f>SUM(AF84:AQ84)</f>
        <v>30753.603199999998</v>
      </c>
      <c r="K110" s="673">
        <f t="shared" si="7"/>
        <v>30561.018699999997</v>
      </c>
      <c r="L110" s="673">
        <f t="shared" si="8"/>
        <v>52559.302799999998</v>
      </c>
    </row>
    <row r="111" spans="1:12" s="293" customFormat="1">
      <c r="A111" s="293" t="s">
        <v>262</v>
      </c>
      <c r="B111" s="297">
        <f>SUM(H82:S82)</f>
        <v>60795.944499999998</v>
      </c>
      <c r="C111" s="297">
        <f>SUM(T82:AE82)</f>
        <v>56374.884300000005</v>
      </c>
      <c r="D111" s="297">
        <f>SUM(AF82:AQ82)</f>
        <v>59093.701700000005</v>
      </c>
    </row>
  </sheetData>
  <customSheetViews>
    <customSheetView guid="{0FAFE012-8D9E-4ED0-86A4-A997E430971B}" scale="40">
      <pane xSplit="1" topLeftCell="B1" activePane="topRight" state="frozen"/>
      <selection pane="topRight" activeCell="I54" sqref="I54"/>
      <pageMargins left="0.7" right="0.7" top="0.75" bottom="0.75" header="0.3" footer="0.3"/>
      <pageSetup paperSize="9" orientation="portrait" horizontalDpi="300" verticalDpi="300" r:id="rId1"/>
    </customSheetView>
  </customSheetViews>
  <conditionalFormatting sqref="B7:BF29">
    <cfRule type="containsBlanks" dxfId="79" priority="1">
      <formula>LEN(TRIM(B7))=0</formula>
    </cfRule>
  </conditionalFormatting>
  <conditionalFormatting sqref="AJ81:AS81">
    <cfRule type="containsBlanks" dxfId="78" priority="2">
      <formula>LEN(TRIM(AJ81))=0</formula>
    </cfRule>
  </conditionalFormatting>
  <conditionalFormatting sqref="AX23:BC23 AV81:AW81">
    <cfRule type="containsBlanks" dxfId="77" priority="5">
      <formula>LEN(TRIM(AV23))=0</formula>
    </cfRule>
  </conditionalFormatting>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30354-CC6A-4D11-BE62-742B7DE6D9AB}">
  <sheetPr codeName="Sheet76">
    <tabColor rgb="FFFFC000"/>
  </sheetPr>
  <dimension ref="A4:BH111"/>
  <sheetViews>
    <sheetView zoomScale="55" zoomScaleNormal="55" workbookViewId="0">
      <pane xSplit="1" topLeftCell="B1" activePane="topRight" state="frozen"/>
      <selection pane="topRight" activeCell="K35" sqref="K35:K57"/>
    </sheetView>
  </sheetViews>
  <sheetFormatPr defaultColWidth="9.1796875" defaultRowHeight="14"/>
  <cols>
    <col min="1" max="1" width="56.81640625" style="266" bestFit="1" customWidth="1"/>
    <col min="2" max="49" width="24.7265625" style="266" bestFit="1" customWidth="1"/>
    <col min="50" max="50" width="18.26953125" style="266" customWidth="1"/>
    <col min="51" max="60" width="11.81640625" style="266" bestFit="1" customWidth="1"/>
    <col min="61" max="16384" width="9.1796875" style="266"/>
  </cols>
  <sheetData>
    <row r="4" spans="1:60">
      <c r="A4" s="265"/>
      <c r="B4" s="265">
        <v>2019</v>
      </c>
      <c r="C4" s="265">
        <v>2019</v>
      </c>
      <c r="D4" s="265">
        <v>2019</v>
      </c>
      <c r="E4" s="265">
        <v>2020</v>
      </c>
      <c r="F4" s="265">
        <v>2020</v>
      </c>
      <c r="G4" s="265">
        <v>2020</v>
      </c>
      <c r="H4" s="265">
        <v>2020</v>
      </c>
      <c r="I4" s="265">
        <v>2020</v>
      </c>
      <c r="J4" s="265">
        <v>2020</v>
      </c>
      <c r="K4" s="265">
        <v>2020</v>
      </c>
      <c r="L4" s="265">
        <v>2020</v>
      </c>
      <c r="M4" s="265">
        <v>2020</v>
      </c>
      <c r="N4" s="265">
        <v>2020</v>
      </c>
      <c r="O4" s="265">
        <v>2020</v>
      </c>
      <c r="P4" s="265">
        <v>2020</v>
      </c>
      <c r="Q4" s="265">
        <v>2021</v>
      </c>
      <c r="R4" s="265">
        <v>2021</v>
      </c>
      <c r="S4" s="265">
        <v>2021</v>
      </c>
      <c r="T4" s="265">
        <v>2021</v>
      </c>
      <c r="U4" s="265">
        <v>2021</v>
      </c>
      <c r="V4" s="265">
        <v>2021</v>
      </c>
      <c r="W4" s="265">
        <v>2021</v>
      </c>
      <c r="X4" s="265">
        <v>2021</v>
      </c>
      <c r="Y4" s="265">
        <v>2021</v>
      </c>
      <c r="Z4" s="265">
        <v>2021</v>
      </c>
      <c r="AA4" s="265">
        <v>2021</v>
      </c>
      <c r="AB4" s="265">
        <v>2021</v>
      </c>
      <c r="AC4" s="265">
        <v>2022</v>
      </c>
      <c r="AD4" s="265">
        <v>2022</v>
      </c>
      <c r="AE4" s="265">
        <v>2022</v>
      </c>
      <c r="AF4" s="265">
        <v>2022</v>
      </c>
      <c r="AG4" s="265">
        <v>2022</v>
      </c>
      <c r="AH4" s="265">
        <v>2022</v>
      </c>
      <c r="AI4" s="265">
        <v>2022</v>
      </c>
      <c r="AJ4" s="265">
        <v>2022</v>
      </c>
      <c r="AK4" s="265">
        <v>2022</v>
      </c>
      <c r="AL4" s="265">
        <v>2022</v>
      </c>
      <c r="AM4" s="265">
        <v>2022</v>
      </c>
      <c r="AN4" s="265">
        <v>2022</v>
      </c>
      <c r="AO4" s="265">
        <v>2023</v>
      </c>
      <c r="AP4" s="265">
        <v>2023</v>
      </c>
      <c r="AQ4" s="265">
        <v>2023</v>
      </c>
      <c r="AR4" s="265">
        <v>2023</v>
      </c>
      <c r="AS4" s="265">
        <v>2023</v>
      </c>
      <c r="AT4" s="265">
        <v>2023</v>
      </c>
      <c r="AU4" s="265">
        <v>2023</v>
      </c>
      <c r="AV4" s="265">
        <v>2023</v>
      </c>
      <c r="AW4" s="265">
        <v>2023</v>
      </c>
      <c r="AX4" s="266">
        <v>2024</v>
      </c>
    </row>
    <row r="5" spans="1:60">
      <c r="A5" s="265"/>
      <c r="B5" s="265">
        <v>10</v>
      </c>
      <c r="C5" s="265">
        <v>11</v>
      </c>
      <c r="D5" s="265">
        <v>12</v>
      </c>
      <c r="E5" s="265">
        <v>1</v>
      </c>
      <c r="F5" s="265">
        <v>2</v>
      </c>
      <c r="G5" s="265">
        <v>3</v>
      </c>
      <c r="H5" s="265">
        <v>4</v>
      </c>
      <c r="I5" s="265">
        <v>5</v>
      </c>
      <c r="J5" s="265">
        <v>6</v>
      </c>
      <c r="K5" s="265">
        <v>7</v>
      </c>
      <c r="L5" s="265">
        <v>8</v>
      </c>
      <c r="M5" s="265">
        <v>9</v>
      </c>
      <c r="N5" s="265">
        <v>10</v>
      </c>
      <c r="O5" s="265">
        <v>11</v>
      </c>
      <c r="P5" s="265">
        <v>12</v>
      </c>
      <c r="Q5" s="265">
        <v>1</v>
      </c>
      <c r="R5" s="265">
        <v>2</v>
      </c>
      <c r="S5" s="265">
        <v>3</v>
      </c>
      <c r="T5" s="265">
        <v>4</v>
      </c>
      <c r="U5" s="265">
        <v>5</v>
      </c>
      <c r="V5" s="265">
        <v>6</v>
      </c>
      <c r="W5" s="265">
        <v>7</v>
      </c>
      <c r="X5" s="265">
        <v>8</v>
      </c>
      <c r="Y5" s="265">
        <v>9</v>
      </c>
      <c r="Z5" s="265">
        <v>10</v>
      </c>
      <c r="AA5" s="265">
        <v>11</v>
      </c>
      <c r="AB5" s="265">
        <v>12</v>
      </c>
      <c r="AC5" s="265">
        <v>1</v>
      </c>
      <c r="AD5" s="265">
        <v>2</v>
      </c>
      <c r="AE5" s="265">
        <v>3</v>
      </c>
      <c r="AF5" s="265">
        <v>4</v>
      </c>
      <c r="AG5" s="265">
        <v>5</v>
      </c>
      <c r="AH5" s="265">
        <v>6</v>
      </c>
      <c r="AI5" s="265">
        <v>7</v>
      </c>
      <c r="AJ5" s="265">
        <v>8</v>
      </c>
      <c r="AK5" s="265">
        <v>9</v>
      </c>
      <c r="AL5" s="265">
        <v>10</v>
      </c>
      <c r="AM5" s="265">
        <v>11</v>
      </c>
      <c r="AN5" s="265">
        <v>12</v>
      </c>
      <c r="AO5" s="265">
        <v>1</v>
      </c>
      <c r="AP5" s="265">
        <v>2</v>
      </c>
      <c r="AQ5" s="265">
        <v>3</v>
      </c>
      <c r="AR5" s="265">
        <v>4</v>
      </c>
      <c r="AS5" s="265">
        <v>5</v>
      </c>
      <c r="AT5" s="265">
        <v>6</v>
      </c>
      <c r="AU5" s="265">
        <v>7</v>
      </c>
      <c r="AV5" s="265">
        <v>8</v>
      </c>
      <c r="AW5" s="265">
        <v>9</v>
      </c>
      <c r="AX5" s="265">
        <v>10</v>
      </c>
      <c r="AY5" s="265">
        <v>11</v>
      </c>
      <c r="AZ5" s="265">
        <v>12</v>
      </c>
    </row>
    <row r="6" spans="1:60">
      <c r="A6" s="267" t="s">
        <v>266</v>
      </c>
      <c r="B6" s="272">
        <v>43466</v>
      </c>
      <c r="C6" s="272">
        <v>43497</v>
      </c>
      <c r="D6" s="272">
        <v>43525</v>
      </c>
      <c r="E6" s="272">
        <v>43556</v>
      </c>
      <c r="F6" s="272">
        <v>43586</v>
      </c>
      <c r="G6" s="272">
        <v>43617</v>
      </c>
      <c r="H6" s="272">
        <v>43647</v>
      </c>
      <c r="I6" s="272">
        <v>43678</v>
      </c>
      <c r="J6" s="272">
        <v>43709</v>
      </c>
      <c r="K6" s="272">
        <v>43739</v>
      </c>
      <c r="L6" s="272">
        <v>43770</v>
      </c>
      <c r="M6" s="272">
        <v>43800</v>
      </c>
      <c r="N6" s="272">
        <v>43831</v>
      </c>
      <c r="O6" s="272">
        <v>43862</v>
      </c>
      <c r="P6" s="272">
        <v>43891</v>
      </c>
      <c r="Q6" s="272">
        <v>43922</v>
      </c>
      <c r="R6" s="272">
        <v>43952</v>
      </c>
      <c r="S6" s="272">
        <v>43983</v>
      </c>
      <c r="T6" s="272">
        <v>44013</v>
      </c>
      <c r="U6" s="272">
        <v>44044</v>
      </c>
      <c r="V6" s="272">
        <v>44075</v>
      </c>
      <c r="W6" s="272">
        <v>44105</v>
      </c>
      <c r="X6" s="272">
        <v>44136</v>
      </c>
      <c r="Y6" s="272">
        <v>44166</v>
      </c>
      <c r="Z6" s="272">
        <v>44197</v>
      </c>
      <c r="AA6" s="272">
        <v>44228</v>
      </c>
      <c r="AB6" s="272">
        <v>44256</v>
      </c>
      <c r="AC6" s="272">
        <v>44287</v>
      </c>
      <c r="AD6" s="272">
        <v>44317</v>
      </c>
      <c r="AE6" s="272">
        <v>44348</v>
      </c>
      <c r="AF6" s="272">
        <v>44378</v>
      </c>
      <c r="AG6" s="272">
        <v>44409</v>
      </c>
      <c r="AH6" s="272">
        <v>44440</v>
      </c>
      <c r="AI6" s="272">
        <v>44470</v>
      </c>
      <c r="AJ6" s="272">
        <v>44501</v>
      </c>
      <c r="AK6" s="272">
        <v>44531</v>
      </c>
      <c r="AL6" s="272">
        <v>44562</v>
      </c>
      <c r="AM6" s="272">
        <v>44593</v>
      </c>
      <c r="AN6" s="272">
        <v>44621</v>
      </c>
      <c r="AO6" s="272">
        <v>44652</v>
      </c>
      <c r="AP6" s="272">
        <v>44682</v>
      </c>
      <c r="AQ6" s="272">
        <v>44713</v>
      </c>
      <c r="AR6" s="272">
        <v>44743</v>
      </c>
      <c r="AS6" s="272">
        <v>44774</v>
      </c>
      <c r="AT6" s="272">
        <v>44805</v>
      </c>
      <c r="AU6" s="272">
        <v>44835</v>
      </c>
      <c r="AV6" s="272">
        <v>44866</v>
      </c>
      <c r="AW6" s="272">
        <v>44896</v>
      </c>
      <c r="AX6" s="272">
        <v>44927</v>
      </c>
      <c r="AY6" s="272">
        <v>44958</v>
      </c>
      <c r="AZ6" s="272">
        <v>44986</v>
      </c>
      <c r="BA6" s="272">
        <v>45017</v>
      </c>
      <c r="BB6" s="272">
        <v>45047</v>
      </c>
      <c r="BC6" s="272">
        <v>45078</v>
      </c>
      <c r="BD6" s="272">
        <v>45108</v>
      </c>
      <c r="BE6" s="272">
        <v>45139</v>
      </c>
      <c r="BF6" s="272">
        <v>45170</v>
      </c>
      <c r="BG6" s="272">
        <v>45139</v>
      </c>
      <c r="BH6" s="272">
        <v>45170</v>
      </c>
    </row>
    <row r="7" spans="1:60">
      <c r="A7" s="747" t="s">
        <v>240</v>
      </c>
      <c r="B7" s="749">
        <v>261479.2</v>
      </c>
      <c r="C7" s="749">
        <v>228229.6</v>
      </c>
      <c r="D7" s="749">
        <v>228656</v>
      </c>
      <c r="E7" s="749">
        <v>179652</v>
      </c>
      <c r="F7" s="749">
        <v>194264</v>
      </c>
      <c r="G7" s="749">
        <v>165306</v>
      </c>
      <c r="H7" s="749">
        <v>184438.39999999999</v>
      </c>
      <c r="I7" s="749">
        <v>185833.2</v>
      </c>
      <c r="J7" s="749">
        <v>180121.60000000001</v>
      </c>
      <c r="K7" s="749">
        <v>194532.4</v>
      </c>
      <c r="L7" s="749">
        <v>201257.2</v>
      </c>
      <c r="M7" s="749">
        <v>203008</v>
      </c>
      <c r="N7" s="749">
        <v>241868</v>
      </c>
      <c r="O7" s="749">
        <v>225379.6</v>
      </c>
      <c r="P7" s="749">
        <v>200930</v>
      </c>
      <c r="Q7" s="749">
        <v>147014</v>
      </c>
      <c r="R7" s="749">
        <v>128105.2</v>
      </c>
      <c r="S7" s="749">
        <v>129548.4</v>
      </c>
      <c r="T7" s="749">
        <v>142656.79999999999</v>
      </c>
      <c r="U7" s="749">
        <v>138805.6</v>
      </c>
      <c r="V7" s="749">
        <v>138174.39999999999</v>
      </c>
      <c r="W7" s="749">
        <v>144052.79999999999</v>
      </c>
      <c r="X7" s="749">
        <v>161619.6</v>
      </c>
      <c r="Y7" s="749">
        <v>171633.6</v>
      </c>
      <c r="Z7" s="749">
        <v>172327.3</v>
      </c>
      <c r="AA7" s="749">
        <v>178963.72</v>
      </c>
      <c r="AB7" s="749">
        <v>187703.36</v>
      </c>
      <c r="AC7" s="749">
        <v>165708.68</v>
      </c>
      <c r="AD7" s="749">
        <v>171816</v>
      </c>
      <c r="AE7" s="749">
        <v>158953.79999999999</v>
      </c>
      <c r="AF7" s="749">
        <v>168747.04</v>
      </c>
      <c r="AG7" s="749">
        <v>159053</v>
      </c>
      <c r="AH7" s="749">
        <v>149447.56</v>
      </c>
      <c r="AI7" s="749">
        <v>141832.07999999999</v>
      </c>
      <c r="AJ7" s="749">
        <v>148492.92000000001</v>
      </c>
      <c r="AK7" s="749">
        <v>160997.76000000001</v>
      </c>
      <c r="AL7" s="749">
        <v>177995.76</v>
      </c>
      <c r="AM7" s="749">
        <v>176848.08</v>
      </c>
      <c r="AN7" s="749">
        <v>182891.44</v>
      </c>
      <c r="AO7" s="749">
        <v>140413.32</v>
      </c>
      <c r="AP7" s="749">
        <v>145247.56</v>
      </c>
      <c r="AQ7" s="749">
        <v>140929.32</v>
      </c>
      <c r="AR7" s="749">
        <v>139340.68</v>
      </c>
      <c r="AS7" s="749">
        <v>137858.4</v>
      </c>
      <c r="AT7" s="749">
        <v>128973.16</v>
      </c>
      <c r="AU7" s="749">
        <v>138366.04</v>
      </c>
      <c r="AV7" s="749">
        <v>154273.35999999999</v>
      </c>
      <c r="AW7" s="685">
        <v>147514.51</v>
      </c>
      <c r="AX7" s="685">
        <v>170816.84</v>
      </c>
      <c r="AY7" s="685">
        <v>181721.36</v>
      </c>
      <c r="AZ7" s="685">
        <v>199356.28</v>
      </c>
      <c r="BA7" s="685">
        <v>130024.52</v>
      </c>
      <c r="BB7" s="685">
        <v>157552</v>
      </c>
      <c r="BC7" s="685">
        <v>137366.68</v>
      </c>
      <c r="BD7" s="685">
        <v>135077.28</v>
      </c>
      <c r="BE7" s="685">
        <v>135824.88</v>
      </c>
      <c r="BF7" s="685">
        <v>136011.12</v>
      </c>
      <c r="BG7" s="685">
        <v>135824.88</v>
      </c>
      <c r="BH7" s="685">
        <v>136011.12</v>
      </c>
    </row>
    <row r="8" spans="1:60">
      <c r="A8" s="747" t="s">
        <v>241</v>
      </c>
      <c r="B8" s="749">
        <v>447489.40100000001</v>
      </c>
      <c r="C8" s="749">
        <v>378689.89299999998</v>
      </c>
      <c r="D8" s="749">
        <v>403583.33499999996</v>
      </c>
      <c r="E8" s="749">
        <v>351446.755</v>
      </c>
      <c r="F8" s="749">
        <v>380287.38199999998</v>
      </c>
      <c r="G8" s="749">
        <v>364174.76</v>
      </c>
      <c r="H8" s="749">
        <v>396490.81100000005</v>
      </c>
      <c r="I8" s="749">
        <v>393605.94799999997</v>
      </c>
      <c r="J8" s="749">
        <v>351772.08</v>
      </c>
      <c r="K8" s="749">
        <v>379851.38400000002</v>
      </c>
      <c r="L8" s="749">
        <v>351249.42799999996</v>
      </c>
      <c r="M8" s="749">
        <v>360405.17</v>
      </c>
      <c r="N8" s="749">
        <v>403077.26400000002</v>
      </c>
      <c r="O8" s="749">
        <v>395144.74400000001</v>
      </c>
      <c r="P8" s="749">
        <v>344533.39199999999</v>
      </c>
      <c r="Q8" s="749">
        <v>278430.495</v>
      </c>
      <c r="R8" s="749">
        <v>337097.01999999996</v>
      </c>
      <c r="S8" s="749">
        <v>293435.79100000003</v>
      </c>
      <c r="T8" s="749">
        <v>313172.30899999995</v>
      </c>
      <c r="U8" s="749">
        <v>279659.89200000005</v>
      </c>
      <c r="V8" s="749">
        <v>263188.40600000002</v>
      </c>
      <c r="W8" s="749">
        <v>261671.26</v>
      </c>
      <c r="X8" s="749">
        <v>272727.59400000004</v>
      </c>
      <c r="Y8" s="749">
        <v>278541.54599999997</v>
      </c>
      <c r="Z8" s="749">
        <v>298142.62799999997</v>
      </c>
      <c r="AA8" s="749">
        <v>298949.11300000001</v>
      </c>
      <c r="AB8" s="749">
        <v>304817.69799999997</v>
      </c>
      <c r="AC8" s="749">
        <v>303925.74099999998</v>
      </c>
      <c r="AD8" s="749">
        <v>329036.37099999998</v>
      </c>
      <c r="AE8" s="749">
        <v>295062.73000000004</v>
      </c>
      <c r="AF8" s="749">
        <v>310182.34100000001</v>
      </c>
      <c r="AG8" s="749">
        <v>315411.06900000002</v>
      </c>
      <c r="AH8" s="749">
        <v>308999.17</v>
      </c>
      <c r="AI8" s="749">
        <v>294637.72700000001</v>
      </c>
      <c r="AJ8" s="749">
        <v>297487.30600000004</v>
      </c>
      <c r="AK8" s="749">
        <v>287523.74800000002</v>
      </c>
      <c r="AL8" s="749">
        <v>341838.37000000005</v>
      </c>
      <c r="AM8" s="749">
        <v>272235.08600000001</v>
      </c>
      <c r="AN8" s="749">
        <v>306254.51900000003</v>
      </c>
      <c r="AO8" s="749">
        <v>256454.81</v>
      </c>
      <c r="AP8" s="749">
        <v>323905.22499999998</v>
      </c>
      <c r="AQ8" s="749">
        <v>304572.84499999997</v>
      </c>
      <c r="AR8" s="749">
        <v>313565.90099999995</v>
      </c>
      <c r="AS8" s="749">
        <v>307690.94099999999</v>
      </c>
      <c r="AT8" s="749">
        <v>296443.212</v>
      </c>
      <c r="AU8" s="749">
        <v>286197.42900000006</v>
      </c>
      <c r="AV8" s="749">
        <v>296363.68999999994</v>
      </c>
      <c r="AW8" s="685">
        <v>277201.46999999997</v>
      </c>
      <c r="AX8" s="685">
        <v>298930.21999999997</v>
      </c>
      <c r="AY8" s="685">
        <v>283140.03999999998</v>
      </c>
      <c r="AZ8" s="685">
        <v>297281.90999999997</v>
      </c>
      <c r="BA8" s="685">
        <v>264977.44</v>
      </c>
      <c r="BB8" s="685">
        <v>339427.21</v>
      </c>
      <c r="BC8" s="685">
        <v>311383.8</v>
      </c>
      <c r="BD8" s="685">
        <v>323210.26</v>
      </c>
      <c r="BE8" s="685">
        <v>322245.39</v>
      </c>
      <c r="BF8" s="685">
        <v>296400.28999999998</v>
      </c>
      <c r="BG8" s="685">
        <v>322245.39</v>
      </c>
      <c r="BH8" s="685">
        <v>296400.28999999998</v>
      </c>
    </row>
    <row r="9" spans="1:60">
      <c r="A9" s="747" t="s">
        <v>242</v>
      </c>
      <c r="B9" s="749">
        <v>340810.89</v>
      </c>
      <c r="C9" s="749">
        <v>304511.37</v>
      </c>
      <c r="D9" s="749">
        <v>308613.14</v>
      </c>
      <c r="E9" s="749">
        <v>256328.39</v>
      </c>
      <c r="F9" s="749">
        <v>246074.44</v>
      </c>
      <c r="G9" s="749">
        <v>210461.78000000003</v>
      </c>
      <c r="H9" s="749">
        <v>231076.21000000002</v>
      </c>
      <c r="I9" s="749">
        <v>216744.79</v>
      </c>
      <c r="J9" s="749">
        <v>217609.64</v>
      </c>
      <c r="K9" s="749">
        <v>252459.62</v>
      </c>
      <c r="L9" s="749">
        <v>265123.5</v>
      </c>
      <c r="M9" s="749">
        <v>268639.30000000005</v>
      </c>
      <c r="N9" s="749">
        <v>312191.93999999994</v>
      </c>
      <c r="O9" s="749">
        <v>288770.67</v>
      </c>
      <c r="P9" s="749">
        <v>253689.8</v>
      </c>
      <c r="Q9" s="749">
        <v>196958.89</v>
      </c>
      <c r="R9" s="749">
        <v>187049.71</v>
      </c>
      <c r="S9" s="749">
        <v>199594.46000000002</v>
      </c>
      <c r="T9" s="749">
        <v>207274.63</v>
      </c>
      <c r="U9" s="749">
        <v>191042.3</v>
      </c>
      <c r="V9" s="749">
        <v>200987.49000000002</v>
      </c>
      <c r="W9" s="749">
        <v>216207.22999999998</v>
      </c>
      <c r="X9" s="749">
        <v>239263.33</v>
      </c>
      <c r="Y9" s="749">
        <v>253614.9</v>
      </c>
      <c r="Z9" s="749">
        <v>251991.97</v>
      </c>
      <c r="AA9" s="749">
        <v>254489.40999999997</v>
      </c>
      <c r="AB9" s="749">
        <v>268238.90999999997</v>
      </c>
      <c r="AC9" s="749">
        <v>232205.74</v>
      </c>
      <c r="AD9" s="749">
        <v>219510.87</v>
      </c>
      <c r="AE9" s="749">
        <v>200356.87</v>
      </c>
      <c r="AF9" s="749">
        <v>181709.22</v>
      </c>
      <c r="AG9" s="749">
        <v>170921.66</v>
      </c>
      <c r="AH9" s="749">
        <v>169501.91999999998</v>
      </c>
      <c r="AI9" s="749">
        <v>192880.22999999998</v>
      </c>
      <c r="AJ9" s="749">
        <v>215146.26</v>
      </c>
      <c r="AK9" s="749">
        <v>252976.49</v>
      </c>
      <c r="AL9" s="749">
        <v>269633.69</v>
      </c>
      <c r="AM9" s="749">
        <v>242411.39</v>
      </c>
      <c r="AN9" s="749">
        <v>265096.74</v>
      </c>
      <c r="AO9" s="749">
        <v>209403.59000000003</v>
      </c>
      <c r="AP9" s="749">
        <v>209664.46000000002</v>
      </c>
      <c r="AQ9" s="749">
        <v>195117.92</v>
      </c>
      <c r="AR9" s="749">
        <v>197773.16619999998</v>
      </c>
      <c r="AS9" s="749">
        <v>209412.96020000003</v>
      </c>
      <c r="AT9" s="749">
        <v>194736.92109999998</v>
      </c>
      <c r="AU9" s="749">
        <v>216470.51420000001</v>
      </c>
      <c r="AV9" s="749">
        <v>237550.65619999997</v>
      </c>
      <c r="AW9" s="685">
        <v>231398.22</v>
      </c>
      <c r="AX9" s="685">
        <v>273824.71999999997</v>
      </c>
      <c r="AY9" s="685">
        <v>287006.63</v>
      </c>
      <c r="AZ9" s="685">
        <v>313438.74</v>
      </c>
      <c r="BA9" s="685">
        <v>217524.66</v>
      </c>
      <c r="BB9" s="685">
        <v>218135.95</v>
      </c>
      <c r="BC9" s="685">
        <v>203050.68</v>
      </c>
      <c r="BD9" s="685">
        <v>207855</v>
      </c>
      <c r="BE9" s="685">
        <v>222107.37</v>
      </c>
      <c r="BF9" s="685">
        <v>234508.23</v>
      </c>
      <c r="BG9" s="685">
        <v>222107.37</v>
      </c>
      <c r="BH9" s="685">
        <v>234508.23</v>
      </c>
    </row>
    <row r="10" spans="1:60">
      <c r="A10" s="747" t="s">
        <v>243</v>
      </c>
      <c r="B10" s="749">
        <v>110654.16</v>
      </c>
      <c r="C10" s="749">
        <v>98085.119999999995</v>
      </c>
      <c r="D10" s="749">
        <v>102859.68</v>
      </c>
      <c r="E10" s="749">
        <v>78732.479999999996</v>
      </c>
      <c r="F10" s="749">
        <v>72680.88</v>
      </c>
      <c r="G10" s="749">
        <v>54683.28</v>
      </c>
      <c r="H10" s="749">
        <v>59419.68</v>
      </c>
      <c r="I10" s="749">
        <v>58075.68</v>
      </c>
      <c r="J10" s="749">
        <v>64403.28</v>
      </c>
      <c r="K10" s="749">
        <v>69173.279999999999</v>
      </c>
      <c r="L10" s="749">
        <v>87770.880000000005</v>
      </c>
      <c r="M10" s="749">
        <v>85045.2</v>
      </c>
      <c r="N10" s="749">
        <v>99619.199999999997</v>
      </c>
      <c r="O10" s="749">
        <v>90048.48</v>
      </c>
      <c r="P10" s="749">
        <v>72483.12</v>
      </c>
      <c r="Q10" s="749">
        <v>47221.68</v>
      </c>
      <c r="R10" s="749">
        <v>44464.56</v>
      </c>
      <c r="S10" s="749">
        <v>43580.639999999999</v>
      </c>
      <c r="T10" s="749">
        <v>43217.52</v>
      </c>
      <c r="U10" s="749">
        <v>43347.839999999997</v>
      </c>
      <c r="V10" s="749">
        <v>47866.32</v>
      </c>
      <c r="W10" s="749">
        <v>48282</v>
      </c>
      <c r="X10" s="749">
        <v>59098.559999999998</v>
      </c>
      <c r="Y10" s="749">
        <v>60894.96</v>
      </c>
      <c r="Z10" s="749">
        <v>64288.800000000003</v>
      </c>
      <c r="AA10" s="749">
        <v>55649.760000000002</v>
      </c>
      <c r="AB10" s="749">
        <v>60553.919999999998</v>
      </c>
      <c r="AC10" s="749">
        <v>47916</v>
      </c>
      <c r="AD10" s="749">
        <v>46002.720000000001</v>
      </c>
      <c r="AE10" s="749">
        <v>45705.012000000002</v>
      </c>
      <c r="AF10" s="749">
        <v>47494.271999999997</v>
      </c>
      <c r="AG10" s="749">
        <v>45191.856</v>
      </c>
      <c r="AH10" s="749">
        <v>44067.815999999999</v>
      </c>
      <c r="AI10" s="749">
        <v>46470.336000000003</v>
      </c>
      <c r="AJ10" s="749">
        <v>49398.936000000002</v>
      </c>
      <c r="AK10" s="749">
        <v>55729.68</v>
      </c>
      <c r="AL10" s="749">
        <v>59461.008000000002</v>
      </c>
      <c r="AM10" s="749">
        <v>57625.392</v>
      </c>
      <c r="AN10" s="749">
        <v>55773.671999999999</v>
      </c>
      <c r="AO10" s="749">
        <v>44733.167999999998</v>
      </c>
      <c r="AP10" s="749">
        <v>48114.072</v>
      </c>
      <c r="AQ10" s="749">
        <v>46334.495999999999</v>
      </c>
      <c r="AR10" s="749">
        <v>47098.415999999997</v>
      </c>
      <c r="AS10" s="749">
        <v>46484.375999999997</v>
      </c>
      <c r="AT10" s="749">
        <v>44385.167999999998</v>
      </c>
      <c r="AU10" s="749">
        <v>48390.936000000002</v>
      </c>
      <c r="AV10" s="749">
        <v>54542.375999999997</v>
      </c>
      <c r="AW10" s="685">
        <v>54316.54</v>
      </c>
      <c r="AX10" s="685">
        <v>65270.66</v>
      </c>
      <c r="AY10" s="685">
        <v>73787.02</v>
      </c>
      <c r="AZ10" s="685">
        <v>89299.46</v>
      </c>
      <c r="BA10" s="685">
        <v>50828.66</v>
      </c>
      <c r="BB10" s="685">
        <v>56835.65</v>
      </c>
      <c r="BC10" s="685">
        <v>53407.73</v>
      </c>
      <c r="BD10" s="685">
        <v>50834.69</v>
      </c>
      <c r="BE10" s="685">
        <v>54179.14</v>
      </c>
      <c r="BF10" s="685">
        <v>58072.06</v>
      </c>
      <c r="BG10" s="685">
        <v>54179.14</v>
      </c>
      <c r="BH10" s="685">
        <v>58072.06</v>
      </c>
    </row>
    <row r="11" spans="1:60">
      <c r="A11" s="747" t="s">
        <v>244</v>
      </c>
      <c r="B11" s="749">
        <v>209497.60000000001</v>
      </c>
      <c r="C11" s="749">
        <v>173607.6</v>
      </c>
      <c r="D11" s="749">
        <v>182588.79999999999</v>
      </c>
      <c r="E11" s="749">
        <v>156612</v>
      </c>
      <c r="F11" s="749">
        <v>134372.4</v>
      </c>
      <c r="G11" s="749">
        <v>111936.4</v>
      </c>
      <c r="H11" s="749">
        <v>129532.4</v>
      </c>
      <c r="I11" s="749">
        <v>124178.8</v>
      </c>
      <c r="J11" s="749">
        <v>125262.39999999999</v>
      </c>
      <c r="K11" s="749">
        <v>145986.4</v>
      </c>
      <c r="L11" s="749">
        <v>158573.20000000001</v>
      </c>
      <c r="M11" s="749">
        <v>165274.4</v>
      </c>
      <c r="N11" s="749">
        <v>194190</v>
      </c>
      <c r="O11" s="749">
        <v>177025.6</v>
      </c>
      <c r="P11" s="749">
        <v>163914.4</v>
      </c>
      <c r="Q11" s="749">
        <v>95097.600000000006</v>
      </c>
      <c r="R11" s="749">
        <v>93932.800000000003</v>
      </c>
      <c r="S11" s="749">
        <v>90474.4</v>
      </c>
      <c r="T11" s="749">
        <v>96312</v>
      </c>
      <c r="U11" s="749">
        <v>87659.6</v>
      </c>
      <c r="V11" s="749">
        <v>96758.399999999994</v>
      </c>
      <c r="W11" s="749">
        <v>105052</v>
      </c>
      <c r="X11" s="749">
        <v>119496.8</v>
      </c>
      <c r="Y11" s="749">
        <v>122109.2</v>
      </c>
      <c r="Z11" s="749">
        <v>121118.427</v>
      </c>
      <c r="AA11" s="749">
        <v>126034.24000000001</v>
      </c>
      <c r="AB11" s="749">
        <v>129692.12</v>
      </c>
      <c r="AC11" s="749">
        <v>107535</v>
      </c>
      <c r="AD11" s="749">
        <v>112049.92</v>
      </c>
      <c r="AE11" s="749">
        <v>100514.24000000001</v>
      </c>
      <c r="AF11" s="749">
        <v>86644.800000000003</v>
      </c>
      <c r="AG11" s="749">
        <v>74737</v>
      </c>
      <c r="AH11" s="749">
        <v>78297.214000000007</v>
      </c>
      <c r="AI11" s="749">
        <v>105702.48</v>
      </c>
      <c r="AJ11" s="749">
        <v>106672.21</v>
      </c>
      <c r="AK11" s="749">
        <v>116564.56</v>
      </c>
      <c r="AL11" s="749">
        <v>140014.76</v>
      </c>
      <c r="AM11" s="749">
        <v>124901.28</v>
      </c>
      <c r="AN11" s="749">
        <v>132773.92000000001</v>
      </c>
      <c r="AO11" s="749">
        <v>100308.8</v>
      </c>
      <c r="AP11" s="749">
        <v>104941.6</v>
      </c>
      <c r="AQ11" s="749">
        <v>99130.880000000005</v>
      </c>
      <c r="AR11" s="749">
        <v>102101.72</v>
      </c>
      <c r="AS11" s="749">
        <v>106616.08</v>
      </c>
      <c r="AT11" s="749">
        <v>96139.199999999997</v>
      </c>
      <c r="AU11" s="749">
        <v>105470.08</v>
      </c>
      <c r="AV11" s="749">
        <v>119690.2</v>
      </c>
      <c r="AW11" s="685">
        <v>120856.52</v>
      </c>
      <c r="AX11" s="685">
        <v>139607.76</v>
      </c>
      <c r="AY11" s="685">
        <v>150733.12</v>
      </c>
      <c r="AZ11" s="685">
        <v>165548.72</v>
      </c>
      <c r="BA11" s="685">
        <v>103062.76</v>
      </c>
      <c r="BB11" s="685">
        <v>109440.36</v>
      </c>
      <c r="BC11" s="685">
        <v>96309.16</v>
      </c>
      <c r="BD11" s="685">
        <v>96774.64</v>
      </c>
      <c r="BE11" s="685">
        <v>104084.2</v>
      </c>
      <c r="BF11" s="685">
        <v>111861.72</v>
      </c>
      <c r="BG11" s="685">
        <v>104084.2</v>
      </c>
      <c r="BH11" s="685">
        <v>111861.72</v>
      </c>
    </row>
    <row r="12" spans="1:60">
      <c r="A12" s="747" t="s">
        <v>245</v>
      </c>
      <c r="B12" s="749">
        <v>303028.53999999998</v>
      </c>
      <c r="C12" s="749">
        <v>256932.35</v>
      </c>
      <c r="D12" s="749">
        <v>261154.78</v>
      </c>
      <c r="E12" s="749">
        <v>214415.84</v>
      </c>
      <c r="F12" s="749">
        <v>197816.67</v>
      </c>
      <c r="G12" s="749">
        <v>161107.01999999999</v>
      </c>
      <c r="H12" s="749">
        <v>181620.53</v>
      </c>
      <c r="I12" s="749">
        <v>173437.26</v>
      </c>
      <c r="J12" s="749">
        <v>179367.81</v>
      </c>
      <c r="K12" s="749">
        <v>212075.74</v>
      </c>
      <c r="L12" s="749">
        <v>221407.94</v>
      </c>
      <c r="M12" s="749">
        <v>226930.12</v>
      </c>
      <c r="N12" s="749">
        <v>278033.26</v>
      </c>
      <c r="O12" s="749">
        <v>244840.31</v>
      </c>
      <c r="P12" s="749">
        <v>207956.98</v>
      </c>
      <c r="Q12" s="749">
        <v>141522.9</v>
      </c>
      <c r="R12" s="749">
        <v>119786.72</v>
      </c>
      <c r="S12" s="749">
        <v>125764.53</v>
      </c>
      <c r="T12" s="749">
        <v>134982.46</v>
      </c>
      <c r="U12" s="749">
        <v>136352.91800000001</v>
      </c>
      <c r="V12" s="749">
        <v>154908.64000000001</v>
      </c>
      <c r="W12" s="749">
        <v>172112.54</v>
      </c>
      <c r="X12" s="749">
        <v>176898.04</v>
      </c>
      <c r="Y12" s="749">
        <v>182080.77</v>
      </c>
      <c r="Z12" s="749">
        <v>173997.16</v>
      </c>
      <c r="AA12" s="749">
        <v>180828.59</v>
      </c>
      <c r="AB12" s="749">
        <v>203611.68400000001</v>
      </c>
      <c r="AC12" s="749">
        <v>158775.864</v>
      </c>
      <c r="AD12" s="749">
        <v>136271.09599999999</v>
      </c>
      <c r="AE12" s="749">
        <v>136888.41</v>
      </c>
      <c r="AF12" s="749">
        <v>121863.70599999999</v>
      </c>
      <c r="AG12" s="749">
        <v>120211.23800000001</v>
      </c>
      <c r="AH12" s="749">
        <v>117812.534</v>
      </c>
      <c r="AI12" s="749">
        <v>131522.07399999999</v>
      </c>
      <c r="AJ12" s="749">
        <v>134460.40800000002</v>
      </c>
      <c r="AK12" s="749">
        <v>166303.11799999999</v>
      </c>
      <c r="AL12" s="749">
        <v>175711.272</v>
      </c>
      <c r="AM12" s="749">
        <v>172290.25400000002</v>
      </c>
      <c r="AN12" s="749">
        <v>187373.16</v>
      </c>
      <c r="AO12" s="749">
        <v>148101.75099999999</v>
      </c>
      <c r="AP12" s="749">
        <v>157242.25</v>
      </c>
      <c r="AQ12" s="749">
        <v>151915.62700000001</v>
      </c>
      <c r="AR12" s="749">
        <v>142020.489</v>
      </c>
      <c r="AS12" s="749">
        <v>139362.375</v>
      </c>
      <c r="AT12" s="749">
        <v>142389.636</v>
      </c>
      <c r="AU12" s="749">
        <v>148795.80799999999</v>
      </c>
      <c r="AV12" s="749">
        <v>154616.288</v>
      </c>
      <c r="AW12" s="685">
        <v>148940.69</v>
      </c>
      <c r="AX12" s="685">
        <v>193955.62</v>
      </c>
      <c r="AY12" s="685">
        <v>204889.11</v>
      </c>
      <c r="AZ12" s="685">
        <v>213809.49</v>
      </c>
      <c r="BA12" s="685">
        <v>132521.35</v>
      </c>
      <c r="BB12" s="685">
        <v>149793.76999999999</v>
      </c>
      <c r="BC12" s="685">
        <v>137066.01999999999</v>
      </c>
      <c r="BD12" s="685">
        <v>133403.81</v>
      </c>
      <c r="BE12" s="685">
        <v>138080.38</v>
      </c>
      <c r="BF12" s="685">
        <v>142752.35</v>
      </c>
      <c r="BG12" s="685">
        <v>138080.38</v>
      </c>
      <c r="BH12" s="685">
        <v>142752.35</v>
      </c>
    </row>
    <row r="13" spans="1:60">
      <c r="A13" s="747" t="s">
        <v>246</v>
      </c>
      <c r="B13" s="749">
        <v>214403.54</v>
      </c>
      <c r="C13" s="749">
        <v>184400.04</v>
      </c>
      <c r="D13" s="749">
        <v>190667.54</v>
      </c>
      <c r="E13" s="749">
        <v>146386.26</v>
      </c>
      <c r="F13" s="749">
        <v>153976.29999999999</v>
      </c>
      <c r="G13" s="749">
        <v>137634.23999999999</v>
      </c>
      <c r="H13" s="749">
        <v>160883.62</v>
      </c>
      <c r="I13" s="749">
        <v>171430.54</v>
      </c>
      <c r="J13" s="749">
        <v>167293.92000000001</v>
      </c>
      <c r="K13" s="749">
        <v>182888.58</v>
      </c>
      <c r="L13" s="749">
        <v>193906.12</v>
      </c>
      <c r="M13" s="749">
        <v>208157.18</v>
      </c>
      <c r="N13" s="749">
        <v>225139.52</v>
      </c>
      <c r="O13" s="749">
        <v>209416.9</v>
      </c>
      <c r="P13" s="749">
        <v>191542.5</v>
      </c>
      <c r="Q13" s="749">
        <v>174760.28</v>
      </c>
      <c r="R13" s="749">
        <v>139922.26</v>
      </c>
      <c r="S13" s="749">
        <v>135182.96</v>
      </c>
      <c r="T13" s="749">
        <v>133257.46</v>
      </c>
      <c r="U13" s="749">
        <v>133564.46</v>
      </c>
      <c r="V13" s="749">
        <v>141469.96</v>
      </c>
      <c r="W13" s="749">
        <v>167557.35999999999</v>
      </c>
      <c r="X13" s="749">
        <v>193741.16</v>
      </c>
      <c r="Y13" s="749">
        <v>206832.06</v>
      </c>
      <c r="Z13" s="749">
        <v>192112.234</v>
      </c>
      <c r="AA13" s="749">
        <v>185428.17600000001</v>
      </c>
      <c r="AB13" s="749">
        <v>193121.14199999999</v>
      </c>
      <c r="AC13" s="749">
        <v>164803.10800000001</v>
      </c>
      <c r="AD13" s="749">
        <v>144667.82199999999</v>
      </c>
      <c r="AE13" s="749">
        <v>123516.488</v>
      </c>
      <c r="AF13" s="749">
        <v>122819.308</v>
      </c>
      <c r="AG13" s="749">
        <v>118533.42</v>
      </c>
      <c r="AH13" s="749">
        <v>123482.32</v>
      </c>
      <c r="AI13" s="749">
        <v>143319.07800000001</v>
      </c>
      <c r="AJ13" s="749">
        <v>170550.554</v>
      </c>
      <c r="AK13" s="749">
        <v>170532.128</v>
      </c>
      <c r="AL13" s="749">
        <v>164371.72</v>
      </c>
      <c r="AM13" s="749">
        <v>154614.37400000001</v>
      </c>
      <c r="AN13" s="749">
        <v>167240.13800000001</v>
      </c>
      <c r="AO13" s="749">
        <v>134723.24</v>
      </c>
      <c r="AP13" s="749">
        <v>138409.26800000001</v>
      </c>
      <c r="AQ13" s="749">
        <v>127348.486</v>
      </c>
      <c r="AR13" s="749">
        <v>118458.948</v>
      </c>
      <c r="AS13" s="749">
        <v>121959.376</v>
      </c>
      <c r="AT13" s="749">
        <v>126688.122</v>
      </c>
      <c r="AU13" s="749">
        <v>142385.70000000001</v>
      </c>
      <c r="AV13" s="749">
        <v>167881.802</v>
      </c>
      <c r="AW13" s="685">
        <v>170148.04</v>
      </c>
      <c r="AX13" s="685">
        <v>181241.74</v>
      </c>
      <c r="AY13" s="685">
        <v>167243.74</v>
      </c>
      <c r="AZ13" s="685">
        <v>186740</v>
      </c>
      <c r="BA13" s="685">
        <v>126472.76</v>
      </c>
      <c r="BB13" s="685">
        <v>122970.32</v>
      </c>
      <c r="BC13" s="685">
        <v>112459.02</v>
      </c>
      <c r="BD13" s="685">
        <v>110190.31</v>
      </c>
      <c r="BE13" s="685">
        <v>117704.75</v>
      </c>
      <c r="BF13" s="685">
        <v>121390.49</v>
      </c>
      <c r="BG13" s="685">
        <v>117704.75</v>
      </c>
      <c r="BH13" s="685">
        <v>121390.49</v>
      </c>
    </row>
    <row r="14" spans="1:60">
      <c r="A14" s="747" t="s">
        <v>247</v>
      </c>
      <c r="B14" s="749">
        <v>227977.2</v>
      </c>
      <c r="C14" s="749">
        <v>199777.48</v>
      </c>
      <c r="D14" s="749">
        <v>226742.64</v>
      </c>
      <c r="E14" s="749">
        <v>168222.64</v>
      </c>
      <c r="F14" s="749">
        <v>188265.4</v>
      </c>
      <c r="G14" s="749">
        <v>165378</v>
      </c>
      <c r="H14" s="749">
        <v>120379.84</v>
      </c>
      <c r="I14" s="749">
        <v>113720.41</v>
      </c>
      <c r="J14" s="749">
        <v>121487</v>
      </c>
      <c r="K14" s="749">
        <v>169637.48</v>
      </c>
      <c r="L14" s="749">
        <v>178518.12</v>
      </c>
      <c r="M14" s="749">
        <v>161157.04</v>
      </c>
      <c r="N14" s="749">
        <v>195049.24</v>
      </c>
      <c r="O14" s="749">
        <v>198696.08</v>
      </c>
      <c r="P14" s="749">
        <v>182354.6</v>
      </c>
      <c r="Q14" s="749">
        <v>119094.39999999999</v>
      </c>
      <c r="R14" s="749">
        <v>118816.24</v>
      </c>
      <c r="S14" s="749">
        <v>127854.39999999999</v>
      </c>
      <c r="T14" s="749">
        <v>157786.6</v>
      </c>
      <c r="U14" s="749">
        <v>115545.781</v>
      </c>
      <c r="V14" s="749">
        <v>109101.2</v>
      </c>
      <c r="W14" s="749">
        <v>113314</v>
      </c>
      <c r="X14" s="749">
        <v>124507.2</v>
      </c>
      <c r="Y14" s="749">
        <v>135702</v>
      </c>
      <c r="Z14" s="749">
        <v>145595.92000000001</v>
      </c>
      <c r="AA14" s="749">
        <v>135838.72</v>
      </c>
      <c r="AB14" s="749">
        <v>139074.84</v>
      </c>
      <c r="AC14" s="749">
        <v>121855.67999999999</v>
      </c>
      <c r="AD14" s="749">
        <v>113793.56</v>
      </c>
      <c r="AE14" s="749">
        <v>113613.52</v>
      </c>
      <c r="AF14" s="749">
        <v>118962.68</v>
      </c>
      <c r="AG14" s="749">
        <v>107572.92</v>
      </c>
      <c r="AH14" s="749">
        <v>99678.68</v>
      </c>
      <c r="AI14" s="749">
        <v>103467.28</v>
      </c>
      <c r="AJ14" s="749">
        <v>110275.24</v>
      </c>
      <c r="AK14" s="749">
        <v>126144.36</v>
      </c>
      <c r="AL14" s="749">
        <v>145294.68</v>
      </c>
      <c r="AM14" s="749">
        <v>135492.12</v>
      </c>
      <c r="AN14" s="749">
        <v>147498.48000000001</v>
      </c>
      <c r="AO14" s="749">
        <v>112221.88</v>
      </c>
      <c r="AP14" s="749">
        <v>119645.68</v>
      </c>
      <c r="AQ14" s="749">
        <v>113043.64</v>
      </c>
      <c r="AR14" s="749">
        <v>105899.16</v>
      </c>
      <c r="AS14" s="749">
        <v>109130.48</v>
      </c>
      <c r="AT14" s="749">
        <v>107495.4</v>
      </c>
      <c r="AU14" s="749">
        <v>114443.36</v>
      </c>
      <c r="AV14" s="749">
        <v>125660.2</v>
      </c>
      <c r="AW14" s="685">
        <v>136465.28</v>
      </c>
      <c r="AX14" s="685">
        <v>156808.35999999999</v>
      </c>
      <c r="AY14" s="685">
        <v>160883.20000000001</v>
      </c>
      <c r="AZ14" s="685">
        <v>171506.84</v>
      </c>
      <c r="BA14" s="685">
        <v>110088.68</v>
      </c>
      <c r="BB14" s="685">
        <v>120155.44</v>
      </c>
      <c r="BC14" s="685">
        <v>112024.16</v>
      </c>
      <c r="BD14" s="685">
        <v>114362.48</v>
      </c>
      <c r="BE14" s="685">
        <v>124205.36</v>
      </c>
      <c r="BF14" s="685">
        <v>128828.92</v>
      </c>
      <c r="BG14" s="685">
        <v>124205.36</v>
      </c>
      <c r="BH14" s="685">
        <v>128828.92</v>
      </c>
    </row>
    <row r="15" spans="1:60">
      <c r="A15" s="747" t="s">
        <v>248</v>
      </c>
      <c r="B15" s="749">
        <v>206093.42</v>
      </c>
      <c r="C15" s="749">
        <v>159513.04999999999</v>
      </c>
      <c r="D15" s="749">
        <v>162498.81</v>
      </c>
      <c r="E15" s="749">
        <v>133879.12</v>
      </c>
      <c r="F15" s="749">
        <v>120757.17</v>
      </c>
      <c r="G15" s="749">
        <v>102402.31</v>
      </c>
      <c r="H15" s="749">
        <v>105082.12</v>
      </c>
      <c r="I15" s="749">
        <v>98650.81</v>
      </c>
      <c r="J15" s="749">
        <v>106434.8</v>
      </c>
      <c r="K15" s="749">
        <v>128363.88</v>
      </c>
      <c r="L15" s="749">
        <v>145501.4</v>
      </c>
      <c r="M15" s="749">
        <v>147501.25</v>
      </c>
      <c r="N15" s="749">
        <v>178165.62</v>
      </c>
      <c r="O15" s="749">
        <v>159799.79999999999</v>
      </c>
      <c r="P15" s="749">
        <v>145656.79999999999</v>
      </c>
      <c r="Q15" s="749">
        <v>97479.27</v>
      </c>
      <c r="R15" s="749">
        <v>82676.09</v>
      </c>
      <c r="S15" s="749">
        <v>83410.009999999995</v>
      </c>
      <c r="T15" s="749">
        <v>84422.8</v>
      </c>
      <c r="U15" s="749">
        <v>81127.48</v>
      </c>
      <c r="V15" s="749">
        <v>90169.32</v>
      </c>
      <c r="W15" s="749">
        <v>93537.02</v>
      </c>
      <c r="X15" s="749">
        <v>104355.26</v>
      </c>
      <c r="Y15" s="749">
        <v>150415.12</v>
      </c>
      <c r="Z15" s="749">
        <v>154103.23000000001</v>
      </c>
      <c r="AA15" s="749">
        <v>140704.79999999999</v>
      </c>
      <c r="AB15" s="749">
        <v>151522.95000000001</v>
      </c>
      <c r="AC15" s="749">
        <v>118768.42</v>
      </c>
      <c r="AD15" s="749">
        <v>108587.21</v>
      </c>
      <c r="AE15" s="749">
        <v>91518.81</v>
      </c>
      <c r="AF15" s="749">
        <v>89478.29</v>
      </c>
      <c r="AG15" s="749">
        <v>84348.31</v>
      </c>
      <c r="AH15" s="749">
        <v>86898.15</v>
      </c>
      <c r="AI15" s="749">
        <v>91244.99</v>
      </c>
      <c r="AJ15" s="749">
        <v>119776.3</v>
      </c>
      <c r="AK15" s="749">
        <v>126728.35</v>
      </c>
      <c r="AL15" s="749">
        <v>137947.60999999999</v>
      </c>
      <c r="AM15" s="749">
        <v>125683.31</v>
      </c>
      <c r="AN15" s="749">
        <v>134493.73000000001</v>
      </c>
      <c r="AO15" s="749">
        <v>110093.27</v>
      </c>
      <c r="AP15" s="749">
        <v>97567.67</v>
      </c>
      <c r="AQ15" s="749">
        <v>84280.94</v>
      </c>
      <c r="AR15" s="749">
        <v>48536.663</v>
      </c>
      <c r="AS15" s="749">
        <v>86140.437999999995</v>
      </c>
      <c r="AT15" s="749">
        <v>81452.857999999993</v>
      </c>
      <c r="AU15" s="749">
        <v>95375.445999999996</v>
      </c>
      <c r="AV15" s="749">
        <v>103931.52</v>
      </c>
      <c r="AW15" s="685">
        <v>109508.97</v>
      </c>
      <c r="AX15" s="685">
        <v>128555.34</v>
      </c>
      <c r="AY15" s="685">
        <v>128576.77</v>
      </c>
      <c r="AZ15" s="685">
        <v>136739.74</v>
      </c>
      <c r="BA15" s="685">
        <v>88221.45</v>
      </c>
      <c r="BB15" s="685">
        <v>79919.44</v>
      </c>
      <c r="BC15" s="685">
        <v>72231.41</v>
      </c>
      <c r="BD15" s="685">
        <v>75863.360000000001</v>
      </c>
      <c r="BE15" s="685">
        <v>76692.039999999994</v>
      </c>
      <c r="BF15" s="685">
        <v>85582.06</v>
      </c>
      <c r="BG15" s="685">
        <v>76692.039999999994</v>
      </c>
      <c r="BH15" s="685">
        <v>85582.06</v>
      </c>
    </row>
    <row r="16" spans="1:60">
      <c r="A16" s="747" t="s">
        <v>249</v>
      </c>
      <c r="B16" s="749">
        <v>237354.16279999999</v>
      </c>
      <c r="C16" s="749">
        <v>195173.88669999997</v>
      </c>
      <c r="D16" s="749">
        <v>203815.09879999998</v>
      </c>
      <c r="E16" s="749">
        <v>159489.82560000001</v>
      </c>
      <c r="F16" s="749">
        <v>148866.209</v>
      </c>
      <c r="G16" s="749">
        <v>126290.56449999999</v>
      </c>
      <c r="H16" s="749">
        <v>144254.93150000001</v>
      </c>
      <c r="I16" s="749">
        <v>141608.93580000001</v>
      </c>
      <c r="J16" s="749">
        <v>145718.3824</v>
      </c>
      <c r="K16" s="749">
        <v>178033.30009999999</v>
      </c>
      <c r="L16" s="749">
        <v>182303.46370000002</v>
      </c>
      <c r="M16" s="749">
        <v>183846.5491</v>
      </c>
      <c r="N16" s="749">
        <v>228358.13670000003</v>
      </c>
      <c r="O16" s="749">
        <v>215924.57380000001</v>
      </c>
      <c r="P16" s="749">
        <v>177623.49549999999</v>
      </c>
      <c r="Q16" s="749">
        <v>114183.3104</v>
      </c>
      <c r="R16" s="749">
        <v>99570.779600000009</v>
      </c>
      <c r="S16" s="749">
        <v>109916.3551</v>
      </c>
      <c r="T16" s="749">
        <v>118506.4932</v>
      </c>
      <c r="U16" s="749">
        <v>116851.9909</v>
      </c>
      <c r="V16" s="749">
        <v>137121.15340000001</v>
      </c>
      <c r="W16" s="749">
        <v>148631.30780000001</v>
      </c>
      <c r="X16" s="749">
        <v>161674.51209999999</v>
      </c>
      <c r="Y16" s="749">
        <v>178623.28419999999</v>
      </c>
      <c r="Z16" s="749">
        <v>173572.66560000001</v>
      </c>
      <c r="AA16" s="749">
        <v>178758.76790000001</v>
      </c>
      <c r="AB16" s="749">
        <v>179308.61439999999</v>
      </c>
      <c r="AC16" s="749">
        <v>150372.23809999999</v>
      </c>
      <c r="AD16" s="749">
        <v>145226.09709999998</v>
      </c>
      <c r="AE16" s="749">
        <v>125436.70779999999</v>
      </c>
      <c r="AF16" s="749">
        <v>95191.777499999997</v>
      </c>
      <c r="AG16" s="749">
        <v>90741.717099999994</v>
      </c>
      <c r="AH16" s="749">
        <v>92279.0772</v>
      </c>
      <c r="AI16" s="749">
        <v>119545.25089999998</v>
      </c>
      <c r="AJ16" s="749">
        <v>140949.40210000001</v>
      </c>
      <c r="AK16" s="749">
        <v>148491.4834</v>
      </c>
      <c r="AL16" s="749">
        <v>158483.07990000001</v>
      </c>
      <c r="AM16" s="749">
        <v>156107.2782</v>
      </c>
      <c r="AN16" s="749">
        <v>162427.30530000001</v>
      </c>
      <c r="AO16" s="749">
        <v>134839.99979999999</v>
      </c>
      <c r="AP16" s="749">
        <v>132862.59950000001</v>
      </c>
      <c r="AQ16" s="749">
        <v>119241.9267</v>
      </c>
      <c r="AR16" s="749">
        <v>120077.58720000001</v>
      </c>
      <c r="AS16" s="749">
        <v>129689.4172</v>
      </c>
      <c r="AT16" s="749">
        <v>120632.04179999999</v>
      </c>
      <c r="AU16" s="749">
        <v>124564.39000000001</v>
      </c>
      <c r="AV16" s="749">
        <v>142994.54</v>
      </c>
      <c r="AW16" s="685">
        <v>147626.76999999999</v>
      </c>
      <c r="AX16" s="685">
        <v>170605.33</v>
      </c>
      <c r="AY16" s="685">
        <v>174745.31</v>
      </c>
      <c r="AZ16" s="685">
        <v>189574.23</v>
      </c>
      <c r="BA16" s="685">
        <v>130040.34</v>
      </c>
      <c r="BB16" s="685">
        <v>132322.54</v>
      </c>
      <c r="BC16" s="685">
        <v>119777.15</v>
      </c>
      <c r="BD16" s="685">
        <v>120437.27</v>
      </c>
      <c r="BE16" s="685">
        <v>125075.64</v>
      </c>
      <c r="BF16" s="685">
        <v>93549.15</v>
      </c>
      <c r="BG16" s="685">
        <v>125075.64</v>
      </c>
      <c r="BH16" s="685">
        <v>93549.15</v>
      </c>
    </row>
    <row r="17" spans="1:60">
      <c r="A17" s="747" t="s">
        <v>250</v>
      </c>
      <c r="B17" s="749">
        <v>238578.4</v>
      </c>
      <c r="C17" s="749">
        <v>177729.84000000003</v>
      </c>
      <c r="D17" s="749">
        <v>195520.03999999998</v>
      </c>
      <c r="E17" s="749">
        <v>143885.90000000002</v>
      </c>
      <c r="F17" s="749">
        <v>146324.68</v>
      </c>
      <c r="G17" s="749">
        <v>128988.22</v>
      </c>
      <c r="H17" s="749">
        <v>142222.6</v>
      </c>
      <c r="I17" s="749">
        <v>140738.68</v>
      </c>
      <c r="J17" s="749">
        <v>133676.94</v>
      </c>
      <c r="K17" s="749">
        <v>159036.07999999999</v>
      </c>
      <c r="L17" s="749">
        <v>153354.38</v>
      </c>
      <c r="M17" s="749">
        <v>164823.74</v>
      </c>
      <c r="N17" s="749">
        <v>193860.88</v>
      </c>
      <c r="O17" s="749">
        <v>168633.19999999998</v>
      </c>
      <c r="P17" s="749">
        <v>147550.51999999999</v>
      </c>
      <c r="Q17" s="749">
        <v>101464.86</v>
      </c>
      <c r="R17" s="749">
        <v>107170.15999999999</v>
      </c>
      <c r="S17" s="749">
        <v>110866.94</v>
      </c>
      <c r="T17" s="749">
        <v>118805.2</v>
      </c>
      <c r="U17" s="749">
        <v>107578.8</v>
      </c>
      <c r="V17" s="749">
        <v>90608.4</v>
      </c>
      <c r="W17" s="749">
        <v>91350.819999999992</v>
      </c>
      <c r="X17" s="749">
        <v>118134.24</v>
      </c>
      <c r="Y17" s="749">
        <v>118669.7</v>
      </c>
      <c r="Z17" s="749">
        <v>132777.28</v>
      </c>
      <c r="AA17" s="749">
        <v>140947.34000000003</v>
      </c>
      <c r="AB17" s="749">
        <v>136136.6</v>
      </c>
      <c r="AC17" s="749">
        <v>119909.83999999998</v>
      </c>
      <c r="AD17" s="749">
        <v>117107.04</v>
      </c>
      <c r="AE17" s="749">
        <v>114830.82</v>
      </c>
      <c r="AF17" s="749">
        <v>126533.42000000001</v>
      </c>
      <c r="AG17" s="749">
        <v>110998.26</v>
      </c>
      <c r="AH17" s="749">
        <v>95894.68</v>
      </c>
      <c r="AI17" s="749">
        <v>89321.22</v>
      </c>
      <c r="AJ17" s="749">
        <v>104662.44</v>
      </c>
      <c r="AK17" s="749">
        <v>125707.44</v>
      </c>
      <c r="AL17" s="749">
        <v>174995.6</v>
      </c>
      <c r="AM17" s="749">
        <v>135552.01999999999</v>
      </c>
      <c r="AN17" s="749">
        <v>147826.57999999999</v>
      </c>
      <c r="AO17" s="749">
        <v>106519.14</v>
      </c>
      <c r="AP17" s="749">
        <v>111164.12</v>
      </c>
      <c r="AQ17" s="749">
        <v>111080.48000000001</v>
      </c>
      <c r="AR17" s="749">
        <v>113202.48</v>
      </c>
      <c r="AS17" s="749">
        <v>115227.73999999999</v>
      </c>
      <c r="AT17" s="749">
        <v>106260.79999999999</v>
      </c>
      <c r="AU17" s="749">
        <v>108655.84</v>
      </c>
      <c r="AV17" s="749">
        <v>117508.45999999999</v>
      </c>
      <c r="AW17" s="685">
        <v>122957.84</v>
      </c>
      <c r="AX17" s="685">
        <v>144853.38</v>
      </c>
      <c r="AY17" s="685">
        <v>94635.64</v>
      </c>
      <c r="AZ17" s="685">
        <v>133673.14000000001</v>
      </c>
      <c r="BA17" s="685">
        <v>109433.64</v>
      </c>
      <c r="BB17" s="685">
        <v>119765.54</v>
      </c>
      <c r="BC17" s="685">
        <v>117941.4</v>
      </c>
      <c r="BD17" s="685">
        <v>118508.99</v>
      </c>
      <c r="BE17" s="685">
        <v>120710.76</v>
      </c>
      <c r="BF17" s="685">
        <v>115787.42</v>
      </c>
      <c r="BG17" s="685">
        <v>120710.76</v>
      </c>
      <c r="BH17" s="685">
        <v>115787.42</v>
      </c>
    </row>
    <row r="18" spans="1:60">
      <c r="A18" s="747" t="s">
        <v>251</v>
      </c>
      <c r="B18" s="749"/>
      <c r="C18" s="749"/>
      <c r="D18" s="749"/>
      <c r="E18" s="749"/>
      <c r="F18" s="749"/>
      <c r="G18" s="749"/>
      <c r="H18" s="749"/>
      <c r="I18" s="749"/>
      <c r="J18" s="749"/>
      <c r="K18" s="749"/>
      <c r="L18" s="749">
        <v>322410.80000000005</v>
      </c>
      <c r="M18" s="749">
        <v>358925.19999999995</v>
      </c>
      <c r="N18" s="749">
        <v>378702.8</v>
      </c>
      <c r="O18" s="749">
        <v>380626.4</v>
      </c>
      <c r="P18" s="749">
        <v>379751.2</v>
      </c>
      <c r="Q18" s="749">
        <v>283129.59999999998</v>
      </c>
      <c r="R18" s="749">
        <v>179802</v>
      </c>
      <c r="S18" s="749">
        <v>170689.6</v>
      </c>
      <c r="T18" s="749">
        <v>191694</v>
      </c>
      <c r="U18" s="749">
        <v>193446.39999999999</v>
      </c>
      <c r="V18" s="749">
        <v>213099.2</v>
      </c>
      <c r="W18" s="749">
        <v>236048.4</v>
      </c>
      <c r="X18" s="749">
        <v>248429.2</v>
      </c>
      <c r="Y18" s="749">
        <v>268786.40000000002</v>
      </c>
      <c r="Z18" s="749">
        <v>253874.8</v>
      </c>
      <c r="AA18" s="749">
        <v>254244</v>
      </c>
      <c r="AB18" s="749">
        <v>247933.6</v>
      </c>
      <c r="AC18" s="749">
        <v>183914.4</v>
      </c>
      <c r="AD18" s="749">
        <v>123718</v>
      </c>
      <c r="AE18" s="749">
        <v>163936</v>
      </c>
      <c r="AF18" s="749">
        <v>155184</v>
      </c>
      <c r="AG18" s="749">
        <v>163502.79999999999</v>
      </c>
      <c r="AH18" s="749">
        <v>148144.79999999999</v>
      </c>
      <c r="AI18" s="749">
        <v>189978.4</v>
      </c>
      <c r="AJ18" s="749">
        <v>224922.4</v>
      </c>
      <c r="AK18" s="749">
        <v>253169.2</v>
      </c>
      <c r="AL18" s="749">
        <v>262209.59999999998</v>
      </c>
      <c r="AM18" s="749">
        <v>257223.6</v>
      </c>
      <c r="AN18" s="749">
        <v>287187.59999999998</v>
      </c>
      <c r="AO18" s="749">
        <v>226200.98</v>
      </c>
      <c r="AP18" s="749">
        <v>203636.64</v>
      </c>
      <c r="AQ18" s="749">
        <v>174094.8</v>
      </c>
      <c r="AR18" s="749">
        <v>166232.64000000001</v>
      </c>
      <c r="AS18" s="749">
        <v>181418.16</v>
      </c>
      <c r="AT18" s="749">
        <v>192752.76</v>
      </c>
      <c r="AU18" s="749">
        <v>221511.6</v>
      </c>
      <c r="AV18" s="749">
        <v>225148.28</v>
      </c>
      <c r="AW18" s="685">
        <v>214201.36</v>
      </c>
      <c r="AX18" s="685">
        <v>271970.76</v>
      </c>
      <c r="AY18" s="685">
        <v>275696.56</v>
      </c>
      <c r="AZ18" s="685">
        <v>302966.8</v>
      </c>
      <c r="BA18" s="685">
        <v>209615.08</v>
      </c>
      <c r="BB18" s="685">
        <v>197123.52</v>
      </c>
      <c r="BC18" s="685">
        <v>177065</v>
      </c>
      <c r="BD18" s="685">
        <v>165950.68</v>
      </c>
      <c r="BE18" s="685">
        <v>189981.16</v>
      </c>
      <c r="BF18" s="685">
        <v>195039.52</v>
      </c>
      <c r="BG18" s="685">
        <v>189981.16</v>
      </c>
      <c r="BH18" s="685">
        <v>195039.52</v>
      </c>
    </row>
    <row r="19" spans="1:60">
      <c r="A19" s="747" t="s">
        <v>252</v>
      </c>
      <c r="B19" s="749">
        <v>214072.2</v>
      </c>
      <c r="C19" s="749">
        <v>153441</v>
      </c>
      <c r="D19" s="749">
        <v>139592.70000000001</v>
      </c>
      <c r="E19" s="749">
        <v>122548.2</v>
      </c>
      <c r="F19" s="749">
        <v>117561.9</v>
      </c>
      <c r="G19" s="749">
        <v>87716.7</v>
      </c>
      <c r="H19" s="749">
        <v>84515.1</v>
      </c>
      <c r="I19" s="749">
        <v>79593.899999999994</v>
      </c>
      <c r="J19" s="749">
        <v>82289.100000000006</v>
      </c>
      <c r="K19" s="749">
        <v>98162.4</v>
      </c>
      <c r="L19" s="749">
        <v>104887.5</v>
      </c>
      <c r="M19" s="749">
        <v>101076</v>
      </c>
      <c r="N19" s="749">
        <v>130226.7</v>
      </c>
      <c r="O19" s="749">
        <v>122521.2</v>
      </c>
      <c r="P19" s="749">
        <v>104861.4</v>
      </c>
      <c r="Q19" s="749">
        <v>67368</v>
      </c>
      <c r="R19" s="749">
        <v>62606.1</v>
      </c>
      <c r="S19" s="749">
        <v>55725.3</v>
      </c>
      <c r="T19" s="749">
        <v>67114.8</v>
      </c>
      <c r="U19" s="749">
        <v>62598.6</v>
      </c>
      <c r="V19" s="749">
        <v>66604.2</v>
      </c>
      <c r="W19" s="749">
        <v>76410</v>
      </c>
      <c r="X19" s="749">
        <v>90703.5</v>
      </c>
      <c r="Y19" s="749">
        <v>95496.9</v>
      </c>
      <c r="Z19" s="749">
        <v>105965.94</v>
      </c>
      <c r="AA19" s="749">
        <v>98714.13</v>
      </c>
      <c r="AB19" s="749">
        <v>104999.46</v>
      </c>
      <c r="AC19" s="749">
        <v>91669.89</v>
      </c>
      <c r="AD19" s="749">
        <v>86028.21</v>
      </c>
      <c r="AE19" s="749">
        <v>74603.16</v>
      </c>
      <c r="AF19" s="749">
        <v>60676.53</v>
      </c>
      <c r="AG19" s="749">
        <v>68879.67</v>
      </c>
      <c r="AH19" s="749">
        <v>74531.070000000007</v>
      </c>
      <c r="AI19" s="749">
        <v>79362.45</v>
      </c>
      <c r="AJ19" s="749">
        <v>129651.54</v>
      </c>
      <c r="AK19" s="749">
        <v>95435.04</v>
      </c>
      <c r="AL19" s="749">
        <v>106355.7</v>
      </c>
      <c r="AM19" s="749">
        <v>104041.35</v>
      </c>
      <c r="AN19" s="749">
        <v>107551.67999999999</v>
      </c>
      <c r="AO19" s="749">
        <v>86003.61</v>
      </c>
      <c r="AP19" s="749">
        <v>84716.58</v>
      </c>
      <c r="AQ19" s="749">
        <v>69722.460000000006</v>
      </c>
      <c r="AR19" s="749">
        <v>63935.64</v>
      </c>
      <c r="AS19" s="749">
        <v>77029.259999999995</v>
      </c>
      <c r="AT19" s="749">
        <v>74712.06</v>
      </c>
      <c r="AU19" s="749">
        <v>84246.39</v>
      </c>
      <c r="AV19" s="749">
        <v>88715.88</v>
      </c>
      <c r="AW19" s="685">
        <v>87529.53</v>
      </c>
      <c r="AX19" s="685">
        <v>106244.97</v>
      </c>
      <c r="AY19" s="685">
        <v>112886.97</v>
      </c>
      <c r="AZ19" s="685">
        <v>123523.98</v>
      </c>
      <c r="BA19" s="685">
        <v>79729.679999999993</v>
      </c>
      <c r="BB19" s="685">
        <v>80913.149999999994</v>
      </c>
      <c r="BC19" s="685">
        <v>71418.06</v>
      </c>
      <c r="BD19" s="685">
        <v>72735.81</v>
      </c>
      <c r="BE19" s="685">
        <v>81072.42</v>
      </c>
      <c r="BF19" s="685">
        <v>86289.03</v>
      </c>
      <c r="BG19" s="685">
        <v>81072.42</v>
      </c>
      <c r="BH19" s="685">
        <v>86289.03</v>
      </c>
    </row>
    <row r="20" spans="1:60">
      <c r="A20" s="747" t="s">
        <v>253</v>
      </c>
      <c r="B20" s="749"/>
      <c r="C20" s="749"/>
      <c r="D20" s="749"/>
      <c r="E20" s="749"/>
      <c r="F20" s="749"/>
      <c r="G20" s="749"/>
      <c r="H20" s="749"/>
      <c r="I20" s="749"/>
      <c r="J20" s="749"/>
      <c r="K20" s="749">
        <v>1968.74</v>
      </c>
      <c r="L20" s="749">
        <v>5942.3429999999998</v>
      </c>
      <c r="M20" s="749">
        <v>5520.1790000000001</v>
      </c>
      <c r="N20" s="749">
        <v>7241.8559999999998</v>
      </c>
      <c r="O20" s="749">
        <v>7096</v>
      </c>
      <c r="P20" s="749">
        <v>5564.08</v>
      </c>
      <c r="Q20" s="749">
        <v>805</v>
      </c>
      <c r="R20" s="749">
        <v>2466.7600000000002</v>
      </c>
      <c r="S20" s="749">
        <v>4879.6000000000004</v>
      </c>
      <c r="T20" s="749">
        <v>5241.2</v>
      </c>
      <c r="U20" s="749">
        <v>4646.2</v>
      </c>
      <c r="V20" s="749">
        <v>4286.88</v>
      </c>
      <c r="W20" s="749">
        <v>4317.4399999999996</v>
      </c>
      <c r="X20" s="749">
        <v>5614.8</v>
      </c>
      <c r="Y20" s="749">
        <v>5206.4399999999996</v>
      </c>
      <c r="Z20" s="749">
        <v>6437.6</v>
      </c>
      <c r="AA20" s="749">
        <v>6327.32</v>
      </c>
      <c r="AB20" s="749">
        <v>4851.28</v>
      </c>
      <c r="AC20" s="749">
        <v>4421.2</v>
      </c>
      <c r="AD20" s="749">
        <v>4907</v>
      </c>
      <c r="AE20" s="749">
        <v>5805.84</v>
      </c>
      <c r="AF20" s="749">
        <v>5691.64</v>
      </c>
      <c r="AG20" s="749">
        <v>5022.12</v>
      </c>
      <c r="AH20" s="749">
        <v>4641.04</v>
      </c>
      <c r="AI20" s="749">
        <v>5217.96</v>
      </c>
      <c r="AJ20" s="749">
        <v>3607.84</v>
      </c>
      <c r="AK20" s="749">
        <v>4140.4399999999996</v>
      </c>
      <c r="AL20" s="749">
        <v>7590.12</v>
      </c>
      <c r="AM20" s="749">
        <v>4332.6400000000003</v>
      </c>
      <c r="AN20" s="749">
        <v>4224.28</v>
      </c>
      <c r="AO20" s="749">
        <v>2563.0859999999998</v>
      </c>
      <c r="AP20" s="749">
        <v>3866.136</v>
      </c>
      <c r="AQ20" s="749">
        <v>4010.268</v>
      </c>
      <c r="AR20" s="749">
        <v>4117.1040000000003</v>
      </c>
      <c r="AS20" s="749">
        <v>3533.88</v>
      </c>
      <c r="AT20" s="749">
        <v>3067.3879999999999</v>
      </c>
      <c r="AU20" s="749">
        <v>3133.2</v>
      </c>
      <c r="AV20" s="749">
        <v>3718.6840000000002</v>
      </c>
      <c r="AW20" s="685">
        <v>3415.5</v>
      </c>
      <c r="AX20" s="685">
        <v>4961.42</v>
      </c>
      <c r="AY20" s="685">
        <v>4554.43</v>
      </c>
      <c r="AZ20" s="685">
        <v>3526.76</v>
      </c>
      <c r="BA20" s="685">
        <v>2826.09</v>
      </c>
      <c r="BB20" s="685">
        <v>3494.45</v>
      </c>
      <c r="BC20" s="685">
        <v>3236.31</v>
      </c>
      <c r="BD20" s="685">
        <v>3158.14</v>
      </c>
      <c r="BE20" s="685">
        <v>3488.57</v>
      </c>
      <c r="BF20" s="685">
        <v>2968.97</v>
      </c>
      <c r="BG20" s="685">
        <v>3488.57</v>
      </c>
      <c r="BH20" s="685">
        <v>2968.97</v>
      </c>
    </row>
    <row r="21" spans="1:60">
      <c r="A21" s="747" t="s">
        <v>254</v>
      </c>
      <c r="B21" s="749">
        <v>217247.2</v>
      </c>
      <c r="C21" s="749">
        <v>184763.2</v>
      </c>
      <c r="D21" s="749">
        <v>194300.6</v>
      </c>
      <c r="E21" s="749">
        <v>226584</v>
      </c>
      <c r="F21" s="749">
        <v>208487.2</v>
      </c>
      <c r="G21" s="749">
        <v>170921.2</v>
      </c>
      <c r="H21" s="749">
        <v>174124</v>
      </c>
      <c r="I21" s="749">
        <v>168000</v>
      </c>
      <c r="J21" s="749">
        <v>154254.39999999999</v>
      </c>
      <c r="K21" s="749">
        <v>184024.8</v>
      </c>
      <c r="L21" s="749">
        <v>191066.4</v>
      </c>
      <c r="M21" s="749">
        <v>192612.8</v>
      </c>
      <c r="N21" s="749">
        <v>214270.8</v>
      </c>
      <c r="O21" s="749">
        <v>205486</v>
      </c>
      <c r="P21" s="749">
        <v>179684.8</v>
      </c>
      <c r="Q21" s="749">
        <v>139046.79999999999</v>
      </c>
      <c r="R21" s="749">
        <v>155758.79999999999</v>
      </c>
      <c r="S21" s="749">
        <v>162792</v>
      </c>
      <c r="T21" s="749">
        <v>153188</v>
      </c>
      <c r="U21" s="749">
        <v>148430.79999999999</v>
      </c>
      <c r="V21" s="749">
        <v>157563.20000000001</v>
      </c>
      <c r="W21" s="749">
        <v>164678.79999999999</v>
      </c>
      <c r="X21" s="749">
        <v>168564.4</v>
      </c>
      <c r="Y21" s="749">
        <v>201133.6</v>
      </c>
      <c r="Z21" s="749">
        <v>194984.48</v>
      </c>
      <c r="AA21" s="749">
        <v>173113.84</v>
      </c>
      <c r="AB21" s="749">
        <v>185738.2</v>
      </c>
      <c r="AC21" s="749">
        <v>153285.96</v>
      </c>
      <c r="AD21" s="749">
        <v>147836.16</v>
      </c>
      <c r="AE21" s="749">
        <v>147326</v>
      </c>
      <c r="AF21" s="749">
        <v>124427</v>
      </c>
      <c r="AG21" s="749">
        <v>124992.84</v>
      </c>
      <c r="AH21" s="749">
        <v>108585.44</v>
      </c>
      <c r="AI21" s="749">
        <v>100575.4</v>
      </c>
      <c r="AJ21" s="749">
        <v>124893.64</v>
      </c>
      <c r="AK21" s="749">
        <v>124191.72</v>
      </c>
      <c r="AL21" s="749">
        <v>129192.28</v>
      </c>
      <c r="AM21" s="749">
        <v>123744.92</v>
      </c>
      <c r="AN21" s="749">
        <v>129453.56</v>
      </c>
      <c r="AO21" s="749">
        <v>107488.16</v>
      </c>
      <c r="AP21" s="749">
        <v>111730.4</v>
      </c>
      <c r="AQ21" s="749">
        <v>102163.72</v>
      </c>
      <c r="AR21" s="749">
        <v>99911.56</v>
      </c>
      <c r="AS21" s="749">
        <v>102174.36</v>
      </c>
      <c r="AT21" s="749">
        <v>101848.4</v>
      </c>
      <c r="AU21" s="749">
        <v>104370.04</v>
      </c>
      <c r="AV21" s="749">
        <v>112661.4</v>
      </c>
      <c r="AW21" s="686">
        <v>107607.2</v>
      </c>
      <c r="AX21" s="686">
        <v>122073.68</v>
      </c>
      <c r="AY21" s="686">
        <v>119650</v>
      </c>
      <c r="AZ21" s="686">
        <v>133118.24</v>
      </c>
      <c r="BA21" s="686">
        <v>97700.56</v>
      </c>
      <c r="BB21" s="686">
        <v>97259.12</v>
      </c>
      <c r="BD21" s="266" t="s">
        <v>274</v>
      </c>
    </row>
    <row r="22" spans="1:60">
      <c r="A22" s="747" t="s">
        <v>255</v>
      </c>
      <c r="B22" s="749">
        <v>180778</v>
      </c>
      <c r="C22" s="749">
        <v>160019</v>
      </c>
      <c r="D22" s="749">
        <v>169894</v>
      </c>
      <c r="E22" s="749">
        <v>142865</v>
      </c>
      <c r="F22" s="749">
        <v>119740</v>
      </c>
      <c r="G22" s="749">
        <v>96519</v>
      </c>
      <c r="H22" s="749">
        <v>102867</v>
      </c>
      <c r="I22" s="749">
        <v>98387</v>
      </c>
      <c r="J22" s="749">
        <v>106346</v>
      </c>
      <c r="K22" s="749">
        <v>125208</v>
      </c>
      <c r="L22" s="749">
        <v>123681</v>
      </c>
      <c r="M22" s="749">
        <v>135514</v>
      </c>
      <c r="N22" s="749">
        <v>144866</v>
      </c>
      <c r="O22" s="749">
        <v>131275</v>
      </c>
      <c r="P22" s="749">
        <v>122452</v>
      </c>
      <c r="Q22" s="749">
        <v>96543</v>
      </c>
      <c r="R22" s="749">
        <v>80675</v>
      </c>
      <c r="S22" s="749">
        <v>73280</v>
      </c>
      <c r="T22" s="749">
        <v>73755</v>
      </c>
      <c r="U22" s="749">
        <v>70917</v>
      </c>
      <c r="V22" s="749">
        <v>85231</v>
      </c>
      <c r="W22" s="749">
        <v>94966</v>
      </c>
      <c r="X22" s="749">
        <v>106630</v>
      </c>
      <c r="Y22" s="749">
        <v>113572</v>
      </c>
      <c r="Z22" s="749">
        <v>108409</v>
      </c>
      <c r="AA22" s="749">
        <v>109895</v>
      </c>
      <c r="AB22" s="749">
        <v>113791</v>
      </c>
      <c r="AC22" s="749">
        <v>93019</v>
      </c>
      <c r="AD22" s="749">
        <v>85368</v>
      </c>
      <c r="AE22" s="749">
        <v>67962</v>
      </c>
      <c r="AF22" s="749">
        <v>58506</v>
      </c>
      <c r="AG22" s="749">
        <v>55265</v>
      </c>
      <c r="AH22" s="749">
        <v>58901</v>
      </c>
      <c r="AI22" s="749">
        <v>69988</v>
      </c>
      <c r="AJ22" s="749">
        <v>75577</v>
      </c>
      <c r="AK22" s="749">
        <v>80593</v>
      </c>
      <c r="AL22" s="749">
        <v>79781</v>
      </c>
      <c r="AM22" s="749">
        <v>76672</v>
      </c>
      <c r="AN22" s="749">
        <v>88316</v>
      </c>
      <c r="AO22" s="749">
        <v>78450</v>
      </c>
      <c r="AP22" s="749">
        <v>78357</v>
      </c>
      <c r="AQ22" s="749">
        <v>58181</v>
      </c>
      <c r="AR22" s="749">
        <v>61401</v>
      </c>
      <c r="AS22" s="749">
        <v>59967</v>
      </c>
      <c r="AT22" s="749">
        <v>60064</v>
      </c>
      <c r="AU22" s="749">
        <v>64899</v>
      </c>
      <c r="AV22" s="749">
        <v>74666</v>
      </c>
      <c r="AW22" s="685">
        <v>76046</v>
      </c>
      <c r="AX22" s="685">
        <v>77796</v>
      </c>
      <c r="AY22" s="685">
        <v>85296</v>
      </c>
      <c r="AZ22" s="685">
        <v>106027</v>
      </c>
      <c r="BA22" s="685">
        <v>78359</v>
      </c>
      <c r="BB22" s="685">
        <v>71592</v>
      </c>
      <c r="BC22" s="685">
        <v>64799</v>
      </c>
      <c r="BD22" s="685">
        <v>63461</v>
      </c>
      <c r="BE22" s="685">
        <v>65179</v>
      </c>
      <c r="BG22" s="685">
        <v>65179</v>
      </c>
    </row>
    <row r="23" spans="1:60">
      <c r="A23" s="747" t="s">
        <v>256</v>
      </c>
      <c r="B23" s="749">
        <v>190164</v>
      </c>
      <c r="C23" s="749">
        <v>158482.6</v>
      </c>
      <c r="D23" s="749">
        <v>158580</v>
      </c>
      <c r="E23" s="749">
        <v>126027.4</v>
      </c>
      <c r="F23" s="749">
        <v>121859.4</v>
      </c>
      <c r="G23" s="749">
        <v>109641.8</v>
      </c>
      <c r="H23" s="749">
        <v>117622</v>
      </c>
      <c r="I23" s="749">
        <v>112666.4</v>
      </c>
      <c r="J23" s="749">
        <v>113067.8</v>
      </c>
      <c r="K23" s="749">
        <v>133050.79999999999</v>
      </c>
      <c r="L23" s="749">
        <v>142785.60000000001</v>
      </c>
      <c r="M23" s="749">
        <v>143253.6</v>
      </c>
      <c r="N23" s="749">
        <v>170961.4</v>
      </c>
      <c r="O23" s="749">
        <v>150510.79999999999</v>
      </c>
      <c r="P23" s="749">
        <v>135677.4</v>
      </c>
      <c r="Q23" s="749">
        <v>106567.4</v>
      </c>
      <c r="R23" s="749">
        <v>96542.6</v>
      </c>
      <c r="S23" s="749">
        <v>90531.6</v>
      </c>
      <c r="T23" s="749">
        <v>93865.4</v>
      </c>
      <c r="U23" s="749">
        <v>91360.2</v>
      </c>
      <c r="V23" s="749">
        <v>99586</v>
      </c>
      <c r="W23" s="749">
        <v>108912.6</v>
      </c>
      <c r="X23" s="749">
        <v>133114.6</v>
      </c>
      <c r="Y23" s="749">
        <v>137958.6</v>
      </c>
      <c r="Z23" s="749">
        <v>145909.34</v>
      </c>
      <c r="AA23" s="749">
        <v>142758.78</v>
      </c>
      <c r="AB23" s="749">
        <v>148098.29999999999</v>
      </c>
      <c r="AC23" s="749">
        <v>119478.3</v>
      </c>
      <c r="AD23" s="749">
        <v>105566.36</v>
      </c>
      <c r="AE23" s="749">
        <v>91115.82</v>
      </c>
      <c r="AF23" s="749">
        <v>82936.38</v>
      </c>
      <c r="AG23" s="749">
        <v>86074.22</v>
      </c>
      <c r="AH23" s="749">
        <v>85954.02</v>
      </c>
      <c r="AI23" s="749">
        <v>79683.14</v>
      </c>
      <c r="AJ23" s="749">
        <v>89162.2</v>
      </c>
      <c r="AK23" s="749">
        <v>107356.7</v>
      </c>
      <c r="AL23" s="749">
        <v>115528.18</v>
      </c>
      <c r="AM23" s="749">
        <v>103880.2</v>
      </c>
      <c r="AN23" s="749">
        <v>86550.9</v>
      </c>
      <c r="AO23" s="749">
        <v>43006.12</v>
      </c>
      <c r="AP23" s="749">
        <v>29443.24</v>
      </c>
      <c r="AQ23" s="749">
        <v>31084.1</v>
      </c>
      <c r="AR23" s="749">
        <v>33054.26</v>
      </c>
      <c r="AS23" s="749">
        <v>34750.46</v>
      </c>
      <c r="AT23" s="749">
        <v>34082.559999999998</v>
      </c>
      <c r="AU23" s="749">
        <v>36606.94</v>
      </c>
      <c r="AV23" s="749">
        <v>37816.46</v>
      </c>
      <c r="AW23" s="685">
        <v>38252.019999999997</v>
      </c>
      <c r="AX23" s="685">
        <v>41082.32</v>
      </c>
      <c r="AY23" s="685">
        <v>28765.200000000001</v>
      </c>
      <c r="AZ23" s="685">
        <v>33831.56</v>
      </c>
      <c r="BA23" s="685">
        <v>29432.38</v>
      </c>
      <c r="BB23" s="685">
        <v>31051.62</v>
      </c>
      <c r="BC23" s="685">
        <v>32869.980000000003</v>
      </c>
      <c r="BD23" s="685">
        <v>33324.44</v>
      </c>
      <c r="BE23" s="685">
        <v>30535.54</v>
      </c>
      <c r="BF23" s="685">
        <v>29915.06</v>
      </c>
      <c r="BG23" s="685">
        <v>30535.54</v>
      </c>
      <c r="BH23" s="685">
        <v>29915.06</v>
      </c>
    </row>
    <row r="24" spans="1:60">
      <c r="A24" s="747" t="s">
        <v>257</v>
      </c>
      <c r="B24" s="749">
        <v>314020</v>
      </c>
      <c r="C24" s="749">
        <v>299065</v>
      </c>
      <c r="D24" s="749">
        <v>311456</v>
      </c>
      <c r="E24" s="749">
        <v>248684</v>
      </c>
      <c r="F24" s="749">
        <v>298739</v>
      </c>
      <c r="G24" s="749">
        <v>186958</v>
      </c>
      <c r="H24" s="749">
        <v>298875</v>
      </c>
      <c r="I24" s="749">
        <v>186476</v>
      </c>
      <c r="J24" s="749">
        <v>212568</v>
      </c>
      <c r="K24" s="749">
        <v>221931</v>
      </c>
      <c r="L24" s="749">
        <v>259958</v>
      </c>
      <c r="M24" s="749">
        <v>274002</v>
      </c>
      <c r="N24" s="749">
        <v>283457</v>
      </c>
      <c r="O24" s="749">
        <v>301374</v>
      </c>
      <c r="P24" s="749">
        <v>292504</v>
      </c>
      <c r="Q24" s="749">
        <v>173314</v>
      </c>
      <c r="R24" s="749">
        <v>169523</v>
      </c>
      <c r="S24" s="749">
        <v>190112</v>
      </c>
      <c r="T24" s="749">
        <v>192881.3</v>
      </c>
      <c r="U24" s="749">
        <v>172193.6</v>
      </c>
      <c r="V24" s="749">
        <v>194331.9</v>
      </c>
      <c r="W24" s="749">
        <v>218934.3</v>
      </c>
      <c r="X24" s="749">
        <v>214134</v>
      </c>
      <c r="Y24" s="749">
        <v>262836.7</v>
      </c>
      <c r="Z24" s="749">
        <v>274421</v>
      </c>
      <c r="AA24" s="749">
        <v>292187</v>
      </c>
      <c r="AB24" s="749">
        <v>245313.1</v>
      </c>
      <c r="AC24" s="749">
        <v>131707.60999999999</v>
      </c>
      <c r="AD24" s="749">
        <v>207001.03</v>
      </c>
      <c r="AE24" s="749">
        <v>179478.98</v>
      </c>
      <c r="AF24" s="749">
        <v>83898.91</v>
      </c>
      <c r="AG24" s="749">
        <v>214463.44</v>
      </c>
      <c r="AH24" s="749">
        <v>180999.2</v>
      </c>
      <c r="AI24" s="749">
        <v>177459</v>
      </c>
      <c r="AJ24" s="749">
        <v>213187.1</v>
      </c>
      <c r="AK24" s="749">
        <v>270095.90000000002</v>
      </c>
      <c r="AL24" s="749">
        <v>271698.90000000002</v>
      </c>
      <c r="AM24" s="749">
        <v>305847.94</v>
      </c>
      <c r="AN24" s="749">
        <v>318932.28000000003</v>
      </c>
      <c r="AO24" s="749">
        <v>232077.87</v>
      </c>
      <c r="AP24" s="749">
        <v>227714.7267</v>
      </c>
      <c r="AQ24" s="749">
        <v>203858.05009999999</v>
      </c>
      <c r="AR24" s="749">
        <v>202402</v>
      </c>
      <c r="AS24" s="688">
        <v>200043.633</v>
      </c>
      <c r="AT24" s="688">
        <v>217417.51699999999</v>
      </c>
      <c r="AU24" s="688">
        <v>222346.69399999999</v>
      </c>
      <c r="AV24" s="688">
        <v>239925.141</v>
      </c>
      <c r="AW24" s="688">
        <v>248732.55900000001</v>
      </c>
      <c r="AX24" s="685">
        <v>344755.5</v>
      </c>
      <c r="AY24" s="685">
        <v>302873</v>
      </c>
      <c r="AZ24" s="685">
        <v>315146</v>
      </c>
      <c r="BA24" s="685">
        <v>175958</v>
      </c>
      <c r="BB24" s="685">
        <v>188245</v>
      </c>
      <c r="BC24" s="685">
        <v>168573</v>
      </c>
    </row>
    <row r="25" spans="1:60">
      <c r="A25" s="747" t="s">
        <v>258</v>
      </c>
      <c r="B25" s="749">
        <v>83879.899999999994</v>
      </c>
      <c r="C25" s="749">
        <v>95623.4</v>
      </c>
      <c r="D25" s="749">
        <v>108868.7</v>
      </c>
      <c r="E25" s="749">
        <v>85522</v>
      </c>
      <c r="F25" s="749">
        <v>64134.8</v>
      </c>
      <c r="G25" s="749">
        <v>65947.199999999997</v>
      </c>
      <c r="H25" s="749">
        <v>77050.2</v>
      </c>
      <c r="I25" s="749">
        <v>74622.5</v>
      </c>
      <c r="J25" s="749">
        <v>66093.5</v>
      </c>
      <c r="K25" s="749">
        <v>84660.9</v>
      </c>
      <c r="L25" s="749">
        <v>100567.6</v>
      </c>
      <c r="M25" s="749">
        <v>83588.600000000006</v>
      </c>
      <c r="N25" s="749">
        <v>117996.79999999999</v>
      </c>
      <c r="O25" s="749">
        <v>116353.4</v>
      </c>
      <c r="P25" s="749">
        <v>187563.5</v>
      </c>
      <c r="Q25" s="749">
        <v>121431.4</v>
      </c>
      <c r="R25" s="749">
        <v>136659.79999999999</v>
      </c>
      <c r="S25" s="749">
        <v>173697.8</v>
      </c>
      <c r="T25" s="749">
        <v>188067.3</v>
      </c>
      <c r="U25" s="749">
        <v>141441.60000000001</v>
      </c>
      <c r="V25" s="749">
        <v>121725.3</v>
      </c>
      <c r="W25" s="749">
        <v>135923.20000000001</v>
      </c>
      <c r="X25" s="749">
        <v>124306</v>
      </c>
      <c r="Y25" s="749">
        <v>146697</v>
      </c>
      <c r="Z25" s="749">
        <v>129531.6</v>
      </c>
      <c r="AA25" s="749">
        <v>123316.9</v>
      </c>
      <c r="AB25" s="749">
        <v>158074.20000000001</v>
      </c>
      <c r="AC25" s="749">
        <v>170728.3</v>
      </c>
      <c r="AD25" s="749">
        <v>150314.4</v>
      </c>
      <c r="AE25" s="749">
        <v>136791.4</v>
      </c>
      <c r="AF25" s="749">
        <v>114567.67499999999</v>
      </c>
      <c r="AG25" s="749">
        <v>107582.58</v>
      </c>
      <c r="AH25" s="749">
        <v>115849.95999999999</v>
      </c>
      <c r="AI25" s="749">
        <v>157429.63</v>
      </c>
      <c r="AJ25" s="749">
        <v>167012.95000000001</v>
      </c>
      <c r="AK25" s="749">
        <v>192227.94</v>
      </c>
      <c r="AL25" s="749">
        <v>213328.3</v>
      </c>
      <c r="AM25" s="749">
        <v>196604.03</v>
      </c>
      <c r="AN25" s="749">
        <v>197307.13</v>
      </c>
      <c r="AO25" s="749">
        <v>156483.72</v>
      </c>
      <c r="AP25" s="749">
        <v>166021.60999999999</v>
      </c>
      <c r="AQ25" s="749">
        <v>163962.04999999999</v>
      </c>
      <c r="AR25" s="749">
        <v>171496.13</v>
      </c>
      <c r="AS25" s="749">
        <v>175915.87</v>
      </c>
      <c r="AT25" s="749">
        <v>174680.55</v>
      </c>
      <c r="AU25" s="749">
        <v>194081.81</v>
      </c>
      <c r="AV25" s="749">
        <v>203221.05000000002</v>
      </c>
      <c r="AW25" s="685">
        <v>216955.4</v>
      </c>
      <c r="AX25" s="685">
        <v>259543.36</v>
      </c>
      <c r="AY25" s="685">
        <v>261025.4</v>
      </c>
      <c r="AZ25" s="685">
        <v>261455.01</v>
      </c>
      <c r="BA25" s="685">
        <v>164107.38</v>
      </c>
      <c r="BB25" s="685">
        <v>178054.45</v>
      </c>
      <c r="BC25" s="685">
        <v>169620.08</v>
      </c>
      <c r="BD25" s="685">
        <v>173791.67</v>
      </c>
      <c r="BE25" s="685">
        <v>167741.32</v>
      </c>
      <c r="BF25" s="685">
        <v>173147</v>
      </c>
      <c r="BG25" s="685">
        <v>167741.32</v>
      </c>
      <c r="BH25" s="685">
        <v>173147</v>
      </c>
    </row>
    <row r="26" spans="1:60">
      <c r="A26" s="750" t="s">
        <v>259</v>
      </c>
      <c r="B26" s="749">
        <v>72342.8</v>
      </c>
      <c r="C26" s="749">
        <v>63878.8</v>
      </c>
      <c r="D26" s="749">
        <v>69468.600000000006</v>
      </c>
      <c r="E26" s="749">
        <v>51663.199999999997</v>
      </c>
      <c r="F26" s="749">
        <v>47922.8</v>
      </c>
      <c r="G26" s="749">
        <v>50461.599999999999</v>
      </c>
      <c r="H26" s="749">
        <v>57597</v>
      </c>
      <c r="I26" s="749">
        <v>44320.4</v>
      </c>
      <c r="J26" s="749">
        <v>41771.199999999997</v>
      </c>
      <c r="K26" s="749">
        <v>55184.4</v>
      </c>
      <c r="L26" s="749">
        <v>64170.8</v>
      </c>
      <c r="M26" s="749">
        <v>68342.399999999994</v>
      </c>
      <c r="N26" s="749">
        <v>77868.600000000006</v>
      </c>
      <c r="O26" s="749">
        <v>71874.600000000006</v>
      </c>
      <c r="P26" s="749">
        <v>62691.199999999997</v>
      </c>
      <c r="Q26" s="749">
        <v>36822</v>
      </c>
      <c r="R26" s="749">
        <v>34719</v>
      </c>
      <c r="S26" s="749">
        <v>36596.199999999997</v>
      </c>
      <c r="T26" s="749">
        <v>45843.6</v>
      </c>
      <c r="U26" s="749">
        <v>54029.4</v>
      </c>
      <c r="V26" s="749">
        <v>48300.6</v>
      </c>
      <c r="W26" s="749">
        <v>45981</v>
      </c>
      <c r="X26" s="749">
        <v>47992</v>
      </c>
      <c r="Y26" s="749">
        <v>52223</v>
      </c>
      <c r="Z26" s="749">
        <v>51165.2</v>
      </c>
      <c r="AA26" s="749">
        <v>48919</v>
      </c>
      <c r="AB26" s="749">
        <v>54720</v>
      </c>
      <c r="AC26" s="749">
        <v>50400</v>
      </c>
      <c r="AD26" s="749">
        <v>53605.599999999999</v>
      </c>
      <c r="AE26" s="749">
        <v>71066.8</v>
      </c>
      <c r="AF26" s="749">
        <v>62334.6</v>
      </c>
      <c r="AG26" s="749">
        <v>40440.6</v>
      </c>
      <c r="AH26" s="749">
        <v>34652.800000000003</v>
      </c>
      <c r="AI26" s="749">
        <v>31343.599999999999</v>
      </c>
      <c r="AJ26" s="749">
        <v>38549.4</v>
      </c>
      <c r="AK26" s="749">
        <v>38917</v>
      </c>
      <c r="AL26" s="749">
        <v>44230</v>
      </c>
      <c r="AM26" s="749">
        <v>41082.6</v>
      </c>
      <c r="AN26" s="749">
        <v>41355</v>
      </c>
      <c r="AO26" s="749">
        <v>33441.800000000003</v>
      </c>
      <c r="AP26" s="749">
        <v>35481</v>
      </c>
      <c r="AQ26" s="749">
        <v>48416.2</v>
      </c>
      <c r="AR26" s="749">
        <v>52768.2</v>
      </c>
      <c r="AS26" s="749">
        <v>46534.8</v>
      </c>
      <c r="AT26" s="749">
        <v>38383</v>
      </c>
      <c r="AU26" s="749">
        <v>39323</v>
      </c>
      <c r="AV26" s="749">
        <v>41331.4</v>
      </c>
    </row>
    <row r="27" spans="1:60">
      <c r="A27" s="750" t="s">
        <v>140</v>
      </c>
      <c r="B27" s="751"/>
      <c r="C27" s="751"/>
      <c r="D27" s="751"/>
      <c r="E27" s="751"/>
      <c r="F27" s="751"/>
      <c r="G27" s="751"/>
      <c r="H27" s="751"/>
      <c r="I27" s="751"/>
      <c r="J27" s="751"/>
      <c r="K27" s="751"/>
      <c r="L27" s="751"/>
      <c r="M27" s="751"/>
      <c r="N27" s="751"/>
      <c r="O27" s="751"/>
      <c r="P27" s="751"/>
      <c r="Q27" s="751"/>
      <c r="R27" s="751"/>
      <c r="S27" s="751"/>
      <c r="T27" s="751"/>
      <c r="U27" s="751"/>
      <c r="V27" s="751"/>
      <c r="W27" s="751"/>
      <c r="X27" s="751"/>
      <c r="Y27" s="751"/>
      <c r="Z27" s="751"/>
      <c r="AA27" s="751"/>
      <c r="AB27" s="751"/>
      <c r="AC27" s="751"/>
      <c r="AD27" s="751"/>
      <c r="AE27" s="751"/>
      <c r="AF27" s="751"/>
      <c r="AG27" s="751"/>
      <c r="AH27" s="751"/>
      <c r="AI27" s="751">
        <v>82126.853300000017</v>
      </c>
      <c r="AJ27" s="751">
        <v>82126.853300000017</v>
      </c>
      <c r="AK27" s="751">
        <v>88807.066500000001</v>
      </c>
      <c r="AL27" s="751">
        <v>93174.534400000004</v>
      </c>
      <c r="AM27" s="751">
        <v>111688.90889999999</v>
      </c>
      <c r="AN27" s="751">
        <v>104638.8097</v>
      </c>
      <c r="AO27" s="751">
        <v>110733.0975</v>
      </c>
      <c r="AP27" s="751">
        <v>90904.9908</v>
      </c>
      <c r="AQ27" s="751">
        <v>86576.315600000002</v>
      </c>
      <c r="AR27" s="751">
        <v>84736.5628</v>
      </c>
      <c r="AS27" s="751">
        <v>89522.402799999996</v>
      </c>
      <c r="AT27" s="751">
        <v>86909.604399999997</v>
      </c>
      <c r="AU27" s="751">
        <v>82126.853300000017</v>
      </c>
      <c r="AV27" s="751">
        <v>82126.853300000017</v>
      </c>
      <c r="AW27" s="686">
        <v>93174.53</v>
      </c>
      <c r="AX27" s="686">
        <v>111688.91</v>
      </c>
      <c r="AY27" s="686">
        <v>104638.81</v>
      </c>
      <c r="AZ27" s="686">
        <v>110733.1</v>
      </c>
      <c r="BA27" s="686">
        <v>90904.99</v>
      </c>
      <c r="BB27" s="686">
        <v>86576.320000000007</v>
      </c>
      <c r="BC27" s="686">
        <v>84736.56</v>
      </c>
      <c r="BD27" s="686">
        <v>89522.4</v>
      </c>
      <c r="BE27" s="686">
        <v>86909.6</v>
      </c>
      <c r="BG27" s="686">
        <v>86909.6</v>
      </c>
    </row>
    <row r="28" spans="1:60">
      <c r="A28" s="747" t="s">
        <v>261</v>
      </c>
      <c r="B28" s="749">
        <v>124447.41899999999</v>
      </c>
      <c r="C28" s="749">
        <v>98640.838000000003</v>
      </c>
      <c r="D28" s="749">
        <v>96543.2</v>
      </c>
      <c r="E28" s="749">
        <v>74547.221000000005</v>
      </c>
      <c r="F28" s="749">
        <v>70420.508000000002</v>
      </c>
      <c r="G28" s="749">
        <v>60805.533000000003</v>
      </c>
      <c r="H28" s="749">
        <v>65835.051000000007</v>
      </c>
      <c r="I28" s="749">
        <v>66647.373000000007</v>
      </c>
      <c r="J28" s="749">
        <v>60772.258999999998</v>
      </c>
      <c r="K28" s="749">
        <v>75088.054000000004</v>
      </c>
      <c r="L28" s="749">
        <v>76721.72</v>
      </c>
      <c r="M28" s="749">
        <v>86671.008000000002</v>
      </c>
      <c r="N28" s="749">
        <v>101830.88099999999</v>
      </c>
      <c r="O28" s="749">
        <v>85755.35</v>
      </c>
      <c r="P28" s="749">
        <v>78479.126000000004</v>
      </c>
      <c r="Q28" s="749">
        <v>60437.849000000002</v>
      </c>
      <c r="R28" s="749">
        <v>65269.743999999999</v>
      </c>
      <c r="S28" s="749">
        <v>60475.012999999999</v>
      </c>
      <c r="T28" s="749">
        <v>62791.97</v>
      </c>
      <c r="U28" s="749">
        <v>59295.728999999999</v>
      </c>
      <c r="V28" s="749">
        <v>55556.213000000003</v>
      </c>
      <c r="W28" s="749">
        <v>56119.447</v>
      </c>
      <c r="X28" s="749">
        <v>69108.900999999998</v>
      </c>
      <c r="Y28" s="749">
        <v>66103.337</v>
      </c>
      <c r="Z28" s="749">
        <v>71608.804000000004</v>
      </c>
      <c r="AA28" s="749">
        <v>71863.263000000006</v>
      </c>
      <c r="AB28" s="749">
        <v>68346.551000000007</v>
      </c>
      <c r="AC28" s="749">
        <v>63117.205000000002</v>
      </c>
      <c r="AD28" s="749">
        <v>61367.01</v>
      </c>
      <c r="AE28" s="749">
        <v>59578.59</v>
      </c>
      <c r="AF28" s="749">
        <v>63664.35</v>
      </c>
      <c r="AG28" s="749">
        <v>61939.68</v>
      </c>
      <c r="AH28" s="749">
        <v>58339.56</v>
      </c>
      <c r="AI28" s="749">
        <v>59021.52</v>
      </c>
      <c r="AJ28" s="749">
        <v>62032.83</v>
      </c>
      <c r="AK28" s="749">
        <v>71381.58</v>
      </c>
      <c r="AL28" s="749">
        <v>87639.66</v>
      </c>
      <c r="AM28" s="749">
        <v>60818.85</v>
      </c>
      <c r="AN28" s="749">
        <v>67382.759999999995</v>
      </c>
      <c r="AO28" s="749">
        <v>47058.96</v>
      </c>
      <c r="AP28" s="749">
        <v>54112.56</v>
      </c>
      <c r="AQ28" s="749">
        <v>51659.46</v>
      </c>
      <c r="AR28" s="749">
        <v>50036.4</v>
      </c>
      <c r="AS28" s="749">
        <v>49714.559999999998</v>
      </c>
      <c r="AT28" s="749">
        <v>44637.9</v>
      </c>
      <c r="AU28" s="749">
        <v>42768.959999999999</v>
      </c>
      <c r="AV28" s="749">
        <v>44119.14</v>
      </c>
      <c r="AW28" s="685">
        <v>33194.879999999997</v>
      </c>
      <c r="AX28" s="685">
        <v>45288.51</v>
      </c>
      <c r="AY28" s="685">
        <v>45470.49</v>
      </c>
      <c r="AZ28" s="685">
        <v>40438.68</v>
      </c>
      <c r="BA28" s="685">
        <v>35416.559999999998</v>
      </c>
      <c r="BB28" s="685">
        <v>39928.92</v>
      </c>
    </row>
    <row r="29" spans="1:60">
      <c r="A29" s="747" t="s">
        <v>262</v>
      </c>
      <c r="B29" s="749">
        <v>121496</v>
      </c>
      <c r="C29" s="749">
        <v>106706</v>
      </c>
      <c r="D29" s="749">
        <v>110068.4</v>
      </c>
      <c r="E29" s="749">
        <v>90604</v>
      </c>
      <c r="F29" s="749">
        <v>87936</v>
      </c>
      <c r="G29" s="749">
        <v>73304.800000000003</v>
      </c>
      <c r="H29" s="749">
        <v>87709.2</v>
      </c>
      <c r="I29" s="749">
        <v>85072.4</v>
      </c>
      <c r="J29" s="749">
        <v>83088.800000000003</v>
      </c>
      <c r="K29" s="749">
        <v>100155.2</v>
      </c>
      <c r="L29" s="749">
        <v>108629.6</v>
      </c>
      <c r="M29" s="749">
        <v>104049.2</v>
      </c>
      <c r="N29" s="749">
        <v>117263.2</v>
      </c>
      <c r="O29" s="749">
        <v>104830.8</v>
      </c>
      <c r="P29" s="749">
        <v>99377.600000000006</v>
      </c>
      <c r="Q29" s="749">
        <v>72914</v>
      </c>
      <c r="R29" s="749">
        <v>71530.8</v>
      </c>
      <c r="S29" s="749">
        <v>74613.2</v>
      </c>
      <c r="T29" s="749">
        <v>76686</v>
      </c>
      <c r="U29" s="749">
        <v>73497.2</v>
      </c>
      <c r="V29" s="749">
        <v>81008.800000000003</v>
      </c>
      <c r="W29" s="749">
        <v>86477.6</v>
      </c>
      <c r="X29" s="749">
        <v>94349.2</v>
      </c>
      <c r="Y29" s="749">
        <v>101869.2</v>
      </c>
      <c r="Z29" s="749">
        <v>102369.2</v>
      </c>
      <c r="AA29" s="749">
        <v>104345.2</v>
      </c>
      <c r="AB29" s="749">
        <v>113605</v>
      </c>
      <c r="AC29" s="749">
        <v>87649.32</v>
      </c>
      <c r="AD29" s="749">
        <v>88422.399999999994</v>
      </c>
      <c r="AE29" s="749">
        <v>77632.92</v>
      </c>
      <c r="AF29" s="749">
        <v>72914.039999999994</v>
      </c>
      <c r="AG29" s="749">
        <v>72162.48</v>
      </c>
      <c r="AH29" s="749">
        <v>75049.240000000005</v>
      </c>
      <c r="AI29" s="749">
        <v>79609.399999999994</v>
      </c>
      <c r="AJ29" s="749">
        <v>99829.88</v>
      </c>
      <c r="AK29" s="749">
        <v>90544.44</v>
      </c>
      <c r="AL29" s="749">
        <v>105154.16</v>
      </c>
      <c r="AM29" s="749">
        <v>103380.32</v>
      </c>
      <c r="AN29" s="749">
        <v>109025.84</v>
      </c>
      <c r="AO29" s="749">
        <v>87812.800000000003</v>
      </c>
      <c r="AP29" s="749">
        <v>80800.479999999996</v>
      </c>
      <c r="AQ29" s="749">
        <v>54768.88</v>
      </c>
      <c r="AR29" s="749">
        <v>66273.759999999995</v>
      </c>
      <c r="AS29" s="749">
        <v>72487.039999999994</v>
      </c>
      <c r="AT29" s="749">
        <v>73159.64</v>
      </c>
      <c r="AU29" s="749">
        <v>78953</v>
      </c>
      <c r="AV29" s="749">
        <v>89541.08</v>
      </c>
      <c r="AW29" s="685">
        <v>81954.559999999998</v>
      </c>
      <c r="AX29" s="685">
        <v>94939.96</v>
      </c>
      <c r="AY29" s="685">
        <v>100799.2</v>
      </c>
      <c r="AZ29" s="685">
        <v>106872.96000000001</v>
      </c>
      <c r="BA29" s="685">
        <v>73265</v>
      </c>
      <c r="BB29" s="685">
        <v>75424.759999999995</v>
      </c>
      <c r="BC29" s="685">
        <v>69219.44</v>
      </c>
      <c r="BD29" s="685">
        <v>69360.08</v>
      </c>
      <c r="BE29" s="685">
        <v>74079.199999999997</v>
      </c>
      <c r="BF29" s="685">
        <v>78497.72</v>
      </c>
      <c r="BG29" s="685">
        <v>74079.199999999997</v>
      </c>
      <c r="BH29" s="685">
        <v>78497.72</v>
      </c>
    </row>
    <row r="30" spans="1:60">
      <c r="BG30" s="266" t="s">
        <v>274</v>
      </c>
      <c r="BH30" s="266" t="s">
        <v>274</v>
      </c>
    </row>
    <row r="33" spans="1:60">
      <c r="B33" s="747" t="s">
        <v>275</v>
      </c>
      <c r="C33" s="747" t="s">
        <v>275</v>
      </c>
      <c r="D33" s="747" t="s">
        <v>275</v>
      </c>
      <c r="E33" s="747" t="s">
        <v>275</v>
      </c>
      <c r="G33" s="747" t="s">
        <v>276</v>
      </c>
      <c r="H33" s="747" t="s">
        <v>276</v>
      </c>
      <c r="J33" s="747" t="s">
        <v>277</v>
      </c>
      <c r="AX33" s="687"/>
    </row>
    <row r="34" spans="1:60">
      <c r="B34" s="266" t="s">
        <v>269</v>
      </c>
      <c r="C34" s="266" t="s">
        <v>270</v>
      </c>
      <c r="D34" s="266" t="s">
        <v>271</v>
      </c>
      <c r="E34" s="747" t="s">
        <v>272</v>
      </c>
      <c r="F34" s="692">
        <v>2021</v>
      </c>
      <c r="G34" s="692">
        <v>2022</v>
      </c>
      <c r="H34" s="692" t="s">
        <v>272</v>
      </c>
      <c r="I34" s="692" t="s">
        <v>273</v>
      </c>
      <c r="J34" s="692">
        <v>2022</v>
      </c>
      <c r="K34" s="692" t="s">
        <v>272</v>
      </c>
      <c r="L34" s="747" t="s">
        <v>272</v>
      </c>
      <c r="M34" s="747" t="s">
        <v>273</v>
      </c>
      <c r="AI34" s="673">
        <v>20427.039078172285</v>
      </c>
      <c r="AJ34" s="673">
        <v>20427.039078172285</v>
      </c>
      <c r="AK34" s="672">
        <v>25687.931499999999</v>
      </c>
      <c r="AL34" s="672">
        <v>24636.795600000001</v>
      </c>
      <c r="AM34" s="672">
        <v>31480.5095</v>
      </c>
      <c r="AN34" s="672">
        <v>27977.633300000001</v>
      </c>
      <c r="AO34" s="672">
        <v>29067.157500000001</v>
      </c>
      <c r="AP34" s="672">
        <v>24518.407500000001</v>
      </c>
      <c r="AQ34" s="672">
        <v>21772.433400000002</v>
      </c>
      <c r="AR34" s="672">
        <v>20729.322199999999</v>
      </c>
      <c r="AS34" s="672">
        <v>15301.173699999999</v>
      </c>
      <c r="AT34" s="672">
        <v>14543.8341</v>
      </c>
      <c r="AU34" s="672">
        <v>20427.039078172285</v>
      </c>
      <c r="AV34" s="672">
        <v>20427.039078172285</v>
      </c>
      <c r="AX34" s="687"/>
    </row>
    <row r="35" spans="1:60">
      <c r="A35" s="266" t="s">
        <v>240</v>
      </c>
      <c r="B35" s="270">
        <f>SUM(H7:S7)</f>
        <v>2222036</v>
      </c>
      <c r="C35" s="270">
        <f>SUM(T7:AE7)</f>
        <v>1932415.6600000001</v>
      </c>
      <c r="D35" s="270">
        <f>SUM(AF7:AQ7)</f>
        <v>1892895.8400000003</v>
      </c>
      <c r="E35" s="270">
        <f>SUM(AR7:BC7)</f>
        <v>1823163.83</v>
      </c>
      <c r="F35" s="280">
        <f>'Historic Utility Costs'!C35/'Historic Consumption'!C35</f>
        <v>0.24611958485163588</v>
      </c>
      <c r="G35" s="280">
        <f>'Historic Utility Costs'!D35/'Historic Consumption'!D35</f>
        <v>0.24799958353757065</v>
      </c>
      <c r="H35" s="280">
        <f>'Historic Utility Costs'!E35/'Historic Consumption'!E35</f>
        <v>0.24541426976422628</v>
      </c>
      <c r="I35" s="752">
        <f>N35*1000</f>
        <v>237.84226594098268</v>
      </c>
      <c r="J35" s="752">
        <f>G35*1000</f>
        <v>247.99958353757066</v>
      </c>
      <c r="K35" s="752">
        <f>H35*1000</f>
        <v>245.41426976422628</v>
      </c>
      <c r="L35" s="673">
        <f t="shared" ref="L35:L57" si="0">SUM(AR7:BC7)</f>
        <v>1823163.83</v>
      </c>
      <c r="M35" s="673">
        <f t="shared" ref="M35:M57" si="1">SUM(B7:M7)</f>
        <v>2406777.6</v>
      </c>
      <c r="N35" s="673">
        <f>'Historic Utility Costs'!L35/'Historic Consumption'!M35</f>
        <v>0.23784226594098268</v>
      </c>
      <c r="AI35" s="673">
        <v>82126.853300000017</v>
      </c>
      <c r="AJ35" s="266">
        <v>82126.853300000017</v>
      </c>
      <c r="AK35" s="671">
        <v>88807.066500000001</v>
      </c>
      <c r="AL35" s="671">
        <v>93174.534400000004</v>
      </c>
      <c r="AM35" s="671">
        <v>111688.90889999999</v>
      </c>
      <c r="AN35" s="671">
        <v>104638.8097</v>
      </c>
      <c r="AO35" s="671">
        <v>110733.0975</v>
      </c>
      <c r="AP35" s="671">
        <v>90904.9908</v>
      </c>
      <c r="AQ35" s="671">
        <v>86576.315600000002</v>
      </c>
      <c r="AR35" s="671">
        <v>84736.5628</v>
      </c>
      <c r="AS35" s="671">
        <v>89522.402799999996</v>
      </c>
      <c r="AT35" s="671">
        <v>86909.604399999997</v>
      </c>
      <c r="AU35" s="671">
        <v>82126.853300000017</v>
      </c>
      <c r="AV35" s="671">
        <v>82126.853300000017</v>
      </c>
      <c r="AW35" s="673">
        <f>AV35-AU35</f>
        <v>0</v>
      </c>
    </row>
    <row r="36" spans="1:60">
      <c r="A36" s="266" t="s">
        <v>241</v>
      </c>
      <c r="B36" s="270">
        <f t="shared" ref="B36:B57" si="2">SUM(H8:S8)</f>
        <v>4285093.5269999998</v>
      </c>
      <c r="C36" s="270">
        <f t="shared" ref="C36:C57" si="3">SUM(T8:AE8)</f>
        <v>3498895.2879999997</v>
      </c>
      <c r="D36" s="270">
        <f t="shared" ref="D36:D57" si="4">SUM(AF8:AQ8)</f>
        <v>3619502.216</v>
      </c>
      <c r="E36" s="270">
        <f t="shared" ref="E36:E57" si="5">SUM(AR8:BC8)</f>
        <v>3572603.2629999998</v>
      </c>
      <c r="F36" s="280">
        <f>'Historic Utility Costs'!C36/'Historic Consumption'!C36</f>
        <v>0.21075355199369436</v>
      </c>
      <c r="G36" s="280">
        <f>'Historic Utility Costs'!D36/'Historic Consumption'!D36</f>
        <v>0.21324209074610492</v>
      </c>
      <c r="H36" s="280">
        <f>'Historic Utility Costs'!E36/'Historic Consumption'!E36</f>
        <v>0.21409693819674488</v>
      </c>
      <c r="I36" s="752">
        <f t="shared" ref="I36:I57" si="6">N36*1000</f>
        <v>223.52099527800652</v>
      </c>
      <c r="J36" s="752">
        <f t="shared" ref="J36:J57" si="7">G36*1000</f>
        <v>213.24209074610494</v>
      </c>
      <c r="K36" s="752">
        <f t="shared" ref="K36:K57" si="8">H36*1000</f>
        <v>214.09693819674487</v>
      </c>
      <c r="L36" s="673">
        <f t="shared" si="0"/>
        <v>3572603.2629999998</v>
      </c>
      <c r="M36" s="673">
        <f t="shared" si="1"/>
        <v>4559046.3470000001</v>
      </c>
      <c r="N36" s="673">
        <f>'Historic Utility Costs'!L36/'Historic Consumption'!M36</f>
        <v>0.22352099527800653</v>
      </c>
      <c r="AK36"/>
      <c r="AL36"/>
      <c r="AM36"/>
      <c r="AN36"/>
      <c r="AO36"/>
      <c r="AP36"/>
      <c r="AQ36"/>
      <c r="AR36"/>
      <c r="AS36"/>
      <c r="AT36"/>
      <c r="AU36"/>
      <c r="AW36" s="673">
        <f>AW35/2</f>
        <v>0</v>
      </c>
      <c r="BH36" s="266" t="s">
        <v>274</v>
      </c>
    </row>
    <row r="37" spans="1:60">
      <c r="A37" s="266" t="s">
        <v>242</v>
      </c>
      <c r="B37" s="270">
        <f t="shared" si="2"/>
        <v>2889908.53</v>
      </c>
      <c r="C37" s="270">
        <f t="shared" si="3"/>
        <v>2735183.65</v>
      </c>
      <c r="D37" s="270">
        <f t="shared" si="4"/>
        <v>2574463.5699999998</v>
      </c>
      <c r="E37" s="270">
        <f t="shared" si="5"/>
        <v>2800323.8179000006</v>
      </c>
      <c r="F37" s="280">
        <f>'Historic Utility Costs'!C37/'Historic Consumption'!C37</f>
        <v>0.2922160857461984</v>
      </c>
      <c r="G37" s="280">
        <f>'Historic Utility Costs'!D37/'Historic Consumption'!D37</f>
        <v>0.24247997807170371</v>
      </c>
      <c r="H37" s="280">
        <f>'Historic Utility Costs'!E37/'Historic Consumption'!E37</f>
        <v>0.20873111040363013</v>
      </c>
      <c r="I37" s="752">
        <f t="shared" si="6"/>
        <v>319.03668507026777</v>
      </c>
      <c r="J37" s="752">
        <f t="shared" si="7"/>
        <v>242.4799780717037</v>
      </c>
      <c r="K37" s="752">
        <f t="shared" si="8"/>
        <v>208.73111040363014</v>
      </c>
      <c r="L37" s="673">
        <f t="shared" si="0"/>
        <v>2800323.8179000006</v>
      </c>
      <c r="M37" s="673">
        <f t="shared" si="1"/>
        <v>3118453.0700000003</v>
      </c>
      <c r="N37" s="673">
        <f>'Historic Utility Costs'!L37/'Historic Consumption'!M37</f>
        <v>0.31903668507026778</v>
      </c>
      <c r="AU37" s="673"/>
      <c r="AX37" s="687"/>
    </row>
    <row r="38" spans="1:60">
      <c r="A38" s="266" t="s">
        <v>243</v>
      </c>
      <c r="B38" s="270">
        <f t="shared" si="2"/>
        <v>821305.68</v>
      </c>
      <c r="C38" s="270">
        <f t="shared" si="3"/>
        <v>622823.41199999989</v>
      </c>
      <c r="D38" s="270">
        <f t="shared" si="4"/>
        <v>600394.70400000003</v>
      </c>
      <c r="E38" s="270">
        <f t="shared" si="5"/>
        <v>684646.99199999997</v>
      </c>
      <c r="F38" s="280">
        <f>'Historic Utility Costs'!C38/'Historic Consumption'!C38</f>
        <v>0.25373879169461927</v>
      </c>
      <c r="G38" s="280">
        <f>'Historic Utility Costs'!D38/'Historic Consumption'!D38</f>
        <v>0.25199306221728435</v>
      </c>
      <c r="H38" s="280">
        <f>'Historic Utility Costs'!E38/'Historic Consumption'!E38</f>
        <v>0.23429850985162876</v>
      </c>
      <c r="I38" s="752">
        <f t="shared" si="6"/>
        <v>221.98135247895144</v>
      </c>
      <c r="J38" s="752">
        <f t="shared" si="7"/>
        <v>251.99306221728435</v>
      </c>
      <c r="K38" s="752">
        <f t="shared" si="8"/>
        <v>234.29850985162875</v>
      </c>
      <c r="L38" s="673">
        <f t="shared" si="0"/>
        <v>684646.99199999997</v>
      </c>
      <c r="M38" s="673">
        <f t="shared" si="1"/>
        <v>941583.60000000009</v>
      </c>
      <c r="N38" s="673">
        <f>'Historic Utility Costs'!L38/'Historic Consumption'!M38</f>
        <v>0.22198135247895143</v>
      </c>
    </row>
    <row r="39" spans="1:60">
      <c r="A39" s="266" t="s">
        <v>244</v>
      </c>
      <c r="B39" s="270">
        <f t="shared" si="2"/>
        <v>1663442.4</v>
      </c>
      <c r="C39" s="270">
        <f t="shared" si="3"/>
        <v>1324331.9469999999</v>
      </c>
      <c r="D39" s="270">
        <f t="shared" si="4"/>
        <v>1270689.5040000002</v>
      </c>
      <c r="E39" s="270">
        <f t="shared" si="5"/>
        <v>1415575.6800000002</v>
      </c>
      <c r="F39" s="280">
        <f>'Historic Utility Costs'!C39/'Historic Consumption'!C39</f>
        <v>0.23716047982643734</v>
      </c>
      <c r="G39" s="280">
        <f>'Historic Utility Costs'!D39/'Historic Consumption'!D39</f>
        <v>0.23388525604757016</v>
      </c>
      <c r="H39" s="280">
        <f>'Historic Utility Costs'!E39/'Historic Consumption'!E39</f>
        <v>0.22750243914899693</v>
      </c>
      <c r="I39" s="752">
        <f t="shared" si="6"/>
        <v>219.17663444667576</v>
      </c>
      <c r="J39" s="752">
        <f t="shared" si="7"/>
        <v>233.88525604757015</v>
      </c>
      <c r="K39" s="752">
        <f t="shared" si="8"/>
        <v>227.50243914899693</v>
      </c>
      <c r="L39" s="673">
        <f t="shared" si="0"/>
        <v>1415575.6800000002</v>
      </c>
      <c r="M39" s="673">
        <f t="shared" si="1"/>
        <v>1817422.3999999997</v>
      </c>
      <c r="N39" s="673">
        <f>'Historic Utility Costs'!L39/'Historic Consumption'!M39</f>
        <v>0.21917663444667576</v>
      </c>
    </row>
    <row r="40" spans="1:60">
      <c r="A40" s="266" t="s">
        <v>245</v>
      </c>
      <c r="B40" s="270">
        <f t="shared" si="2"/>
        <v>2312744.0999999996</v>
      </c>
      <c r="C40" s="270">
        <f t="shared" si="3"/>
        <v>1947708.172</v>
      </c>
      <c r="D40" s="270">
        <f t="shared" si="4"/>
        <v>1784807.392</v>
      </c>
      <c r="E40" s="270">
        <f t="shared" si="5"/>
        <v>1908160.6459999999</v>
      </c>
      <c r="F40" s="280">
        <f>'Historic Utility Costs'!C40/'Historic Consumption'!C40</f>
        <v>0.26030604445192007</v>
      </c>
      <c r="G40" s="280">
        <f>'Historic Utility Costs'!D40/'Historic Consumption'!D40</f>
        <v>0.27729177513401965</v>
      </c>
      <c r="H40" s="280">
        <f>'Historic Utility Costs'!E40/'Historic Consumption'!E40</f>
        <v>0.25417540237856895</v>
      </c>
      <c r="I40" s="752">
        <f t="shared" si="6"/>
        <v>247.93767229113286</v>
      </c>
      <c r="J40" s="752">
        <f t="shared" si="7"/>
        <v>277.29177513401964</v>
      </c>
      <c r="K40" s="752">
        <f>H40*1000</f>
        <v>254.17540237856895</v>
      </c>
      <c r="L40" s="673">
        <f t="shared" si="0"/>
        <v>1908160.6459999999</v>
      </c>
      <c r="M40" s="673">
        <f t="shared" si="1"/>
        <v>2589294.6</v>
      </c>
      <c r="N40" s="673">
        <f>'Historic Utility Costs'!L40/'Historic Consumption'!M40</f>
        <v>0.24793767229113287</v>
      </c>
      <c r="AX40" s="687"/>
    </row>
    <row r="41" spans="1:60">
      <c r="A41" s="266" t="s">
        <v>246</v>
      </c>
      <c r="B41" s="270">
        <f t="shared" si="2"/>
        <v>2160524.38</v>
      </c>
      <c r="C41" s="270">
        <f t="shared" si="3"/>
        <v>1980071.4299999997</v>
      </c>
      <c r="D41" s="270">
        <f t="shared" si="4"/>
        <v>1735944.034</v>
      </c>
      <c r="E41" s="270">
        <f t="shared" si="5"/>
        <v>1744649.568</v>
      </c>
      <c r="F41" s="280">
        <f>'Historic Utility Costs'!C41/'Historic Consumption'!C41</f>
        <v>0.17442656601534831</v>
      </c>
      <c r="G41" s="280">
        <f>'Historic Utility Costs'!D41/'Historic Consumption'!D41</f>
        <v>0.1714949354179468</v>
      </c>
      <c r="H41" s="280">
        <f>'Historic Utility Costs'!E41/'Historic Consumption'!E41</f>
        <v>0.16136701900699404</v>
      </c>
      <c r="I41" s="752">
        <f t="shared" si="6"/>
        <v>197.08783200342978</v>
      </c>
      <c r="J41" s="752">
        <f t="shared" si="7"/>
        <v>171.49493541794681</v>
      </c>
      <c r="K41" s="752">
        <f t="shared" si="8"/>
        <v>161.36701900699404</v>
      </c>
      <c r="L41" s="673">
        <f t="shared" si="0"/>
        <v>1744649.568</v>
      </c>
      <c r="M41" s="673">
        <f t="shared" si="1"/>
        <v>2112027.8800000004</v>
      </c>
      <c r="N41" s="673">
        <f>'Historic Utility Costs'!L41/'Historic Consumption'!M41</f>
        <v>0.19708783200342977</v>
      </c>
      <c r="AX41" s="687"/>
    </row>
    <row r="42" spans="1:60">
      <c r="A42" s="266" t="s">
        <v>247</v>
      </c>
      <c r="B42" s="270">
        <f t="shared" si="2"/>
        <v>1806764.8499999999</v>
      </c>
      <c r="C42" s="270">
        <f t="shared" si="3"/>
        <v>1525729.0209999999</v>
      </c>
      <c r="D42" s="270">
        <f t="shared" si="4"/>
        <v>1439297.6399999997</v>
      </c>
      <c r="E42" s="270">
        <f t="shared" si="5"/>
        <v>1530560.5599999998</v>
      </c>
      <c r="F42" s="280">
        <f>'Historic Utility Costs'!C42/'Historic Consumption'!C42</f>
        <v>0.24731103282854841</v>
      </c>
      <c r="G42" s="280">
        <f>'Historic Utility Costs'!D42/'Historic Consumption'!D42</f>
        <v>0.23640915578795782</v>
      </c>
      <c r="H42" s="280">
        <f>'Historic Utility Costs'!E42/'Historic Consumption'!E42</f>
        <v>0.22566356995374295</v>
      </c>
      <c r="I42" s="752">
        <f t="shared" si="6"/>
        <v>230.222623172195</v>
      </c>
      <c r="J42" s="752">
        <f t="shared" si="7"/>
        <v>236.40915578795781</v>
      </c>
      <c r="K42" s="752">
        <f t="shared" si="8"/>
        <v>225.66356995374295</v>
      </c>
      <c r="L42" s="673">
        <f t="shared" si="0"/>
        <v>1530560.5599999998</v>
      </c>
      <c r="M42" s="673">
        <f t="shared" si="1"/>
        <v>2041263.25</v>
      </c>
      <c r="N42" s="673">
        <f>'Historic Utility Costs'!L42/'Historic Consumption'!M42</f>
        <v>0.230222623172195</v>
      </c>
    </row>
    <row r="43" spans="1:60">
      <c r="A43" s="266" t="s">
        <v>248</v>
      </c>
      <c r="B43" s="270">
        <f t="shared" si="2"/>
        <v>1478721.85</v>
      </c>
      <c r="C43" s="270">
        <f t="shared" si="3"/>
        <v>1369232.42</v>
      </c>
      <c r="D43" s="270">
        <f t="shared" si="4"/>
        <v>1288540.92</v>
      </c>
      <c r="E43" s="270">
        <f t="shared" si="5"/>
        <v>1159190.0449999999</v>
      </c>
      <c r="F43" s="280">
        <f>'Historic Utility Costs'!C43/'Historic Consumption'!C43</f>
        <v>0.31490046810314359</v>
      </c>
      <c r="G43" s="280">
        <f>'Historic Utility Costs'!D43/'Historic Consumption'!D43</f>
        <v>0.26410906686611085</v>
      </c>
      <c r="H43" s="280">
        <f>'Historic Utility Costs'!E43/'Historic Consumption'!E43</f>
        <v>0.21305228686638697</v>
      </c>
      <c r="I43" s="752">
        <f t="shared" si="6"/>
        <v>368.68658965104828</v>
      </c>
      <c r="J43" s="752">
        <f t="shared" si="7"/>
        <v>264.10906686611088</v>
      </c>
      <c r="K43" s="752">
        <f t="shared" si="8"/>
        <v>213.05228686638696</v>
      </c>
      <c r="L43" s="673">
        <f t="shared" si="0"/>
        <v>1159190.0449999999</v>
      </c>
      <c r="M43" s="673">
        <f t="shared" si="1"/>
        <v>1616678.1400000001</v>
      </c>
      <c r="N43" s="673">
        <f>'Historic Utility Costs'!L43/'Historic Consumption'!M43</f>
        <v>0.36868658965104828</v>
      </c>
    </row>
    <row r="44" spans="1:60">
      <c r="A44" s="266" t="s">
        <v>249</v>
      </c>
      <c r="B44" s="270">
        <f t="shared" si="2"/>
        <v>1921342.2137</v>
      </c>
      <c r="C44" s="270">
        <f t="shared" si="3"/>
        <v>1814083.8325</v>
      </c>
      <c r="D44" s="270">
        <f t="shared" si="4"/>
        <v>1551160.8976</v>
      </c>
      <c r="E44" s="270">
        <f t="shared" si="5"/>
        <v>1702649.6462000001</v>
      </c>
      <c r="F44" s="280">
        <f>'Historic Utility Costs'!C44/'Historic Consumption'!C44</f>
        <v>0.24396100641616847</v>
      </c>
      <c r="G44" s="280">
        <f>'Historic Utility Costs'!D44/'Historic Consumption'!D44</f>
        <v>0.25356115526670814</v>
      </c>
      <c r="H44" s="280">
        <f>'Historic Utility Costs'!E44/'Historic Consumption'!E44</f>
        <v>0.22722018359057994</v>
      </c>
      <c r="I44" s="752">
        <f t="shared" si="6"/>
        <v>243.26378242057669</v>
      </c>
      <c r="J44" s="752">
        <f t="shared" si="7"/>
        <v>253.56115526670814</v>
      </c>
      <c r="K44" s="752">
        <f t="shared" si="8"/>
        <v>227.22018359057995</v>
      </c>
      <c r="L44" s="673">
        <f t="shared" si="0"/>
        <v>1702649.6462000001</v>
      </c>
      <c r="M44" s="673">
        <f t="shared" si="1"/>
        <v>2046755.3099999998</v>
      </c>
      <c r="N44" s="673">
        <f>'Historic Utility Costs'!L44/'Historic Consumption'!M44</f>
        <v>0.2432637824205767</v>
      </c>
      <c r="AX44" s="687"/>
    </row>
    <row r="45" spans="1:60">
      <c r="A45" s="266" t="s">
        <v>250</v>
      </c>
      <c r="B45" s="270">
        <f t="shared" si="2"/>
        <v>1723398.98</v>
      </c>
      <c r="C45" s="270">
        <f t="shared" si="3"/>
        <v>1406856.0800000003</v>
      </c>
      <c r="D45" s="270">
        <f t="shared" si="4"/>
        <v>1440255.4</v>
      </c>
      <c r="E45" s="270">
        <f t="shared" si="5"/>
        <v>1404115.8999999997</v>
      </c>
      <c r="F45" s="280">
        <f>'Historic Utility Costs'!C45/'Historic Consumption'!C45</f>
        <v>0.27114489209159182</v>
      </c>
      <c r="G45" s="280">
        <f>'Historic Utility Costs'!D45/'Historic Consumption'!D45</f>
        <v>0.30534183034481244</v>
      </c>
      <c r="H45" s="280">
        <f>'Historic Utility Costs'!E45/'Historic Consumption'!E45</f>
        <v>0.30588435755196569</v>
      </c>
      <c r="I45" s="752">
        <f t="shared" si="6"/>
        <v>261.20791924897111</v>
      </c>
      <c r="J45" s="752">
        <f t="shared" si="7"/>
        <v>305.34183034481242</v>
      </c>
      <c r="K45" s="752">
        <f t="shared" si="8"/>
        <v>305.88435755196571</v>
      </c>
      <c r="L45" s="673">
        <f t="shared" si="0"/>
        <v>1404115.8999999997</v>
      </c>
      <c r="M45" s="673">
        <f t="shared" si="1"/>
        <v>1924879.5000000002</v>
      </c>
      <c r="N45" s="673">
        <f>'Historic Utility Costs'!L45/'Historic Consumption'!M45</f>
        <v>0.26120791924897113</v>
      </c>
    </row>
    <row r="46" spans="1:60">
      <c r="A46" s="266" t="s">
        <v>251</v>
      </c>
      <c r="B46" s="270">
        <f t="shared" si="2"/>
        <v>2454037.6</v>
      </c>
      <c r="C46" s="270">
        <f t="shared" si="3"/>
        <v>2579124.4</v>
      </c>
      <c r="D46" s="270">
        <f t="shared" si="4"/>
        <v>2545454.8200000003</v>
      </c>
      <c r="E46" s="270">
        <f t="shared" si="5"/>
        <v>2635702.52</v>
      </c>
      <c r="F46" s="280">
        <f>'Historic Utility Costs'!C46/'Historic Consumption'!C46</f>
        <v>0.20933918503504526</v>
      </c>
      <c r="G46" s="280">
        <f>'Historic Utility Costs'!D46/'Historic Consumption'!D46</f>
        <v>0.21208272319679197</v>
      </c>
      <c r="H46" s="280">
        <f>'Historic Utility Costs'!E46/'Historic Consumption'!E46</f>
        <v>0.20875832375802408</v>
      </c>
      <c r="I46" s="752">
        <f t="shared" si="6"/>
        <v>201.61123146289054</v>
      </c>
      <c r="J46" s="752">
        <f t="shared" si="7"/>
        <v>212.08272319679196</v>
      </c>
      <c r="K46" s="752">
        <f t="shared" si="8"/>
        <v>208.75832375802409</v>
      </c>
      <c r="L46" s="673">
        <f t="shared" si="0"/>
        <v>2635702.52</v>
      </c>
      <c r="M46" s="673">
        <f t="shared" si="1"/>
        <v>681336</v>
      </c>
      <c r="N46" s="673">
        <f>'Historic Utility Costs'!L46/'Historic Consumption'!M46</f>
        <v>0.20161123146289053</v>
      </c>
      <c r="AX46" s="687"/>
      <c r="AY46" s="685"/>
      <c r="AZ46" s="685"/>
      <c r="BA46" s="685"/>
      <c r="BB46" s="685"/>
      <c r="BC46" s="685"/>
      <c r="BD46" s="685"/>
    </row>
    <row r="47" spans="1:60">
      <c r="A47" s="266" t="s">
        <v>252</v>
      </c>
      <c r="B47" s="270">
        <f t="shared" si="2"/>
        <v>1093832.7</v>
      </c>
      <c r="C47" s="270">
        <f t="shared" si="3"/>
        <v>1020908.7899999999</v>
      </c>
      <c r="D47" s="270">
        <f t="shared" si="4"/>
        <v>1066927.68</v>
      </c>
      <c r="E47" s="270">
        <f t="shared" si="5"/>
        <v>1050885.5699999998</v>
      </c>
      <c r="F47" s="280">
        <f>'Historic Utility Costs'!C47/'Historic Consumption'!C47</f>
        <v>0.24109590632479519</v>
      </c>
      <c r="G47" s="280">
        <f>'Historic Utility Costs'!D47/'Historic Consumption'!D47</f>
        <v>0.23057247891440966</v>
      </c>
      <c r="H47" s="280">
        <f>'Historic Utility Costs'!E47/'Historic Consumption'!E47</f>
        <v>0.22837766246994906</v>
      </c>
      <c r="I47" s="752">
        <f t="shared" si="6"/>
        <v>212.8979159002227</v>
      </c>
      <c r="J47" s="752">
        <f t="shared" si="7"/>
        <v>230.57247891440966</v>
      </c>
      <c r="K47" s="752">
        <f t="shared" si="8"/>
        <v>228.37766246994906</v>
      </c>
      <c r="L47" s="673">
        <f t="shared" si="0"/>
        <v>1050885.5699999998</v>
      </c>
      <c r="M47" s="673">
        <f t="shared" si="1"/>
        <v>1385456.7</v>
      </c>
      <c r="N47" s="673">
        <f>'Historic Utility Costs'!L47/'Historic Consumption'!M47</f>
        <v>0.2128979159002227</v>
      </c>
      <c r="AX47" s="687"/>
    </row>
    <row r="48" spans="1:60">
      <c r="A48" s="266" t="s">
        <v>253</v>
      </c>
      <c r="B48" s="270">
        <f t="shared" si="2"/>
        <v>41484.557999999997</v>
      </c>
      <c r="C48" s="270">
        <f t="shared" si="3"/>
        <v>62063.199999999997</v>
      </c>
      <c r="D48" s="270">
        <f t="shared" si="4"/>
        <v>54907.569999999992</v>
      </c>
      <c r="E48" s="270">
        <f t="shared" si="5"/>
        <v>43585.216</v>
      </c>
      <c r="F48" s="280">
        <f>'Historic Utility Costs'!C48/'Historic Consumption'!C48</f>
        <v>0.25085058456541076</v>
      </c>
      <c r="G48" s="280">
        <f>'Historic Utility Costs'!D48/'Historic Consumption'!D48</f>
        <v>0.25633642137140661</v>
      </c>
      <c r="H48" s="280">
        <f>'Historic Utility Costs'!E48/'Historic Consumption'!E48</f>
        <v>0.26296714922784825</v>
      </c>
      <c r="I48" s="752">
        <f t="shared" si="6"/>
        <v>275.19752053083323</v>
      </c>
      <c r="J48" s="752">
        <f t="shared" si="7"/>
        <v>256.33642137140663</v>
      </c>
      <c r="K48" s="752">
        <f t="shared" si="8"/>
        <v>262.96714922784827</v>
      </c>
      <c r="L48" s="673">
        <f t="shared" si="0"/>
        <v>43585.216</v>
      </c>
      <c r="M48" s="673">
        <f t="shared" si="1"/>
        <v>13431.261999999999</v>
      </c>
      <c r="N48" s="673">
        <f>'Historic Utility Costs'!L48/'Historic Consumption'!M48</f>
        <v>0.27519752053083324</v>
      </c>
    </row>
    <row r="49" spans="1:49">
      <c r="A49" s="266" t="s">
        <v>254</v>
      </c>
      <c r="B49" s="270">
        <f t="shared" si="2"/>
        <v>2121121.6</v>
      </c>
      <c r="C49" s="270">
        <f t="shared" si="3"/>
        <v>1995843.44</v>
      </c>
      <c r="D49" s="270">
        <f t="shared" si="4"/>
        <v>1411439.0799999998</v>
      </c>
      <c r="E49" s="270">
        <f t="shared" si="5"/>
        <v>1198374.56</v>
      </c>
      <c r="F49" s="280">
        <f>'Historic Utility Costs'!C49/'Historic Consumption'!C49</f>
        <v>0.18375958887837418</v>
      </c>
      <c r="G49" s="280">
        <f>'Historic Utility Costs'!D49/'Historic Consumption'!D49</f>
        <v>0.1966085351696511</v>
      </c>
      <c r="H49" s="280">
        <f>'Historic Utility Costs'!E49/'Historic Consumption'!E49</f>
        <v>8.7749167505692047E-2</v>
      </c>
      <c r="I49" s="752">
        <f t="shared" si="6"/>
        <v>192.70843604826686</v>
      </c>
      <c r="J49" s="752">
        <f t="shared" si="7"/>
        <v>196.60853516965111</v>
      </c>
      <c r="K49" s="752">
        <f t="shared" si="8"/>
        <v>87.749167505692043</v>
      </c>
      <c r="L49" s="673">
        <f t="shared" si="0"/>
        <v>1198374.56</v>
      </c>
      <c r="M49" s="673">
        <f t="shared" si="1"/>
        <v>2266385.7999999998</v>
      </c>
      <c r="N49" s="673">
        <f>'Historic Utility Costs'!L49/'Historic Consumption'!M49</f>
        <v>0.19270843604826687</v>
      </c>
    </row>
    <row r="50" spans="1:49">
      <c r="A50" s="266" t="s">
        <v>255</v>
      </c>
      <c r="B50" s="270">
        <f t="shared" si="2"/>
        <v>1341094</v>
      </c>
      <c r="C50" s="270">
        <f t="shared" si="3"/>
        <v>1123515</v>
      </c>
      <c r="D50" s="270">
        <f t="shared" si="4"/>
        <v>858587</v>
      </c>
      <c r="E50" s="270">
        <f t="shared" si="5"/>
        <v>880912</v>
      </c>
      <c r="F50" s="280">
        <f>'Historic Utility Costs'!C50/'Historic Consumption'!C50</f>
        <v>0.16499455726002768</v>
      </c>
      <c r="G50" s="280">
        <f>'Historic Utility Costs'!D50/'Historic Consumption'!D50</f>
        <v>0.16427983419269104</v>
      </c>
      <c r="H50" s="280">
        <f>'Historic Utility Costs'!E50/'Historic Consumption'!E50</f>
        <v>0.1443137680040685</v>
      </c>
      <c r="I50" s="752">
        <f t="shared" si="6"/>
        <v>169.65034562285743</v>
      </c>
      <c r="J50" s="752">
        <f t="shared" si="7"/>
        <v>164.27983419269106</v>
      </c>
      <c r="K50" s="752">
        <f t="shared" si="8"/>
        <v>144.31376800406849</v>
      </c>
      <c r="L50" s="673">
        <f t="shared" si="0"/>
        <v>880912</v>
      </c>
      <c r="M50" s="673">
        <f t="shared" si="1"/>
        <v>1561818</v>
      </c>
      <c r="N50" s="673">
        <f>'Historic Utility Costs'!L50/'Historic Consumption'!M50</f>
        <v>0.16965034562285744</v>
      </c>
    </row>
    <row r="51" spans="1:49">
      <c r="A51" s="266" t="s">
        <v>256</v>
      </c>
      <c r="B51" s="270">
        <f>SUM(H23:S23)</f>
        <v>1513237.4</v>
      </c>
      <c r="C51" s="270">
        <f t="shared" si="3"/>
        <v>1417724.3</v>
      </c>
      <c r="D51" s="270">
        <f t="shared" si="4"/>
        <v>940659.4</v>
      </c>
      <c r="E51" s="270">
        <f t="shared" si="5"/>
        <v>411595.75999999995</v>
      </c>
      <c r="F51" s="280">
        <f>'Historic Utility Costs'!C51/'Historic Consumption'!C51</f>
        <v>0.23938442051109654</v>
      </c>
      <c r="G51" s="280">
        <f>'Historic Utility Costs'!D51/'Historic Consumption'!D51</f>
        <v>0.2645657184736579</v>
      </c>
      <c r="H51" s="280">
        <f>'Historic Utility Costs'!E51/'Historic Consumption'!E51</f>
        <v>0.33193155342513742</v>
      </c>
      <c r="I51" s="752">
        <f t="shared" si="6"/>
        <v>222.82631885641197</v>
      </c>
      <c r="J51" s="752">
        <f t="shared" si="7"/>
        <v>264.56571847365791</v>
      </c>
      <c r="K51" s="752">
        <f t="shared" si="8"/>
        <v>331.93155342513739</v>
      </c>
      <c r="L51" s="673">
        <f t="shared" si="0"/>
        <v>411595.75999999995</v>
      </c>
      <c r="M51" s="673">
        <f t="shared" si="1"/>
        <v>1627201.4000000004</v>
      </c>
      <c r="N51" s="673">
        <f>'Historic Utility Costs'!L51/'Historic Consumption'!M51</f>
        <v>0.22282631885641196</v>
      </c>
    </row>
    <row r="52" spans="1:49">
      <c r="A52" s="266" t="s">
        <v>257</v>
      </c>
      <c r="B52" s="270">
        <f>SUM(H24:S24)</f>
        <v>2864094</v>
      </c>
      <c r="C52" s="270">
        <f t="shared" si="3"/>
        <v>2585420.52</v>
      </c>
      <c r="D52" s="270">
        <f t="shared" si="4"/>
        <v>2700233.3168000001</v>
      </c>
      <c r="E52" s="270">
        <f t="shared" si="5"/>
        <v>2826418.0440000002</v>
      </c>
      <c r="F52" s="280">
        <f>'Historic Utility Costs'!C52/'Historic Consumption'!C52</f>
        <v>0</v>
      </c>
      <c r="G52" s="280"/>
      <c r="H52" s="280">
        <f>'Historic Utility Costs'!E52/'Historic Consumption'!E52</f>
        <v>0</v>
      </c>
      <c r="I52" s="752">
        <f t="shared" si="6"/>
        <v>0</v>
      </c>
      <c r="J52" s="752">
        <f t="shared" si="7"/>
        <v>0</v>
      </c>
      <c r="K52" s="752">
        <f t="shared" si="8"/>
        <v>0</v>
      </c>
      <c r="L52" s="673">
        <f t="shared" si="0"/>
        <v>2826418.0440000002</v>
      </c>
      <c r="M52" s="673">
        <f t="shared" si="1"/>
        <v>3112732</v>
      </c>
      <c r="N52" s="673">
        <f>'Historic Utility Costs'!L52/'Historic Consumption'!M52</f>
        <v>0</v>
      </c>
    </row>
    <row r="53" spans="1:49">
      <c r="A53" s="266" t="s">
        <v>258</v>
      </c>
      <c r="B53" s="270">
        <f t="shared" si="2"/>
        <v>1340286</v>
      </c>
      <c r="C53" s="270">
        <f t="shared" si="3"/>
        <v>1726917.1999999997</v>
      </c>
      <c r="D53" s="270">
        <f t="shared" si="4"/>
        <v>1948377.575</v>
      </c>
      <c r="E53" s="270">
        <f t="shared" si="5"/>
        <v>2430156.4900000002</v>
      </c>
      <c r="F53" s="280">
        <f>'Historic Utility Costs'!C53/'Historic Consumption'!C53</f>
        <v>0.2489634187441066</v>
      </c>
      <c r="G53" s="280">
        <f>'Historic Utility Costs'!D53/'Historic Consumption'!D53</f>
        <v>0.22208214442213545</v>
      </c>
      <c r="H53" s="280">
        <f>'Historic Utility Costs'!E53/'Historic Consumption'!E53</f>
        <v>8.3475068718722734E-2</v>
      </c>
      <c r="I53" s="752">
        <f t="shared" si="6"/>
        <v>263.57642596460414</v>
      </c>
      <c r="J53" s="752">
        <f t="shared" si="7"/>
        <v>222.08214442213546</v>
      </c>
      <c r="K53" s="752">
        <f t="shared" si="8"/>
        <v>83.475068718722738</v>
      </c>
      <c r="L53" s="673">
        <f t="shared" si="0"/>
        <v>2430156.4900000002</v>
      </c>
      <c r="M53" s="673">
        <f t="shared" si="1"/>
        <v>990559.29999999993</v>
      </c>
      <c r="N53" s="673">
        <f>'Historic Utility Costs'!L53/'Historic Consumption'!M53</f>
        <v>0.26357642596460412</v>
      </c>
    </row>
    <row r="54" spans="1:49">
      <c r="A54" s="669" t="s">
        <v>259</v>
      </c>
      <c r="B54" s="270">
        <f t="shared" si="2"/>
        <v>651957.79999999981</v>
      </c>
      <c r="C54" s="270">
        <f t="shared" si="3"/>
        <v>624246.20000000007</v>
      </c>
      <c r="D54" s="270">
        <f t="shared" si="4"/>
        <v>490244.6</v>
      </c>
      <c r="E54" s="270">
        <f t="shared" si="5"/>
        <v>218340.4</v>
      </c>
      <c r="F54" s="280">
        <f>'Historic Utility Costs'!C54/'Historic Consumption'!C54</f>
        <v>0.21542388243612856</v>
      </c>
      <c r="G54" s="280">
        <f>'Historic Utility Costs'!D54/'Historic Consumption'!D54</f>
        <v>0.21032033805165831</v>
      </c>
      <c r="H54" s="280">
        <f>'Historic Utility Costs'!E54/'Historic Consumption'!E54</f>
        <v>0.45143656419059414</v>
      </c>
      <c r="I54" s="752">
        <f t="shared" si="6"/>
        <v>238.15111828432711</v>
      </c>
      <c r="J54" s="752">
        <f t="shared" si="7"/>
        <v>210.32033805165833</v>
      </c>
      <c r="K54" s="752">
        <f t="shared" si="8"/>
        <v>451.43656419059414</v>
      </c>
      <c r="L54" s="673">
        <f t="shared" si="0"/>
        <v>218340.4</v>
      </c>
      <c r="M54" s="673">
        <f t="shared" si="1"/>
        <v>687124.00000000012</v>
      </c>
      <c r="N54" s="673">
        <f>'Historic Utility Costs'!L54/'Historic Consumption'!M54</f>
        <v>0.23815111828432711</v>
      </c>
    </row>
    <row r="55" spans="1:49">
      <c r="A55" s="750" t="s">
        <v>140</v>
      </c>
      <c r="B55" s="270">
        <f t="shared" si="2"/>
        <v>0</v>
      </c>
      <c r="C55" s="270">
        <f t="shared" si="3"/>
        <v>0</v>
      </c>
      <c r="D55" s="270">
        <f t="shared" si="4"/>
        <v>850777.43</v>
      </c>
      <c r="E55" s="270">
        <f t="shared" si="5"/>
        <v>1107875.4966</v>
      </c>
      <c r="F55" s="280" t="e">
        <f>'Historic Utility Costs'!C55/'Historic Consumption'!C55</f>
        <v>#DIV/0!</v>
      </c>
      <c r="G55" s="280">
        <f>'Historic Utility Costs'!D55/'Historic Consumption'!D55</f>
        <v>0</v>
      </c>
      <c r="H55" s="280">
        <f>'Historic Utility Costs'!E55/'Historic Consumption'!E55</f>
        <v>0.21276325022386997</v>
      </c>
      <c r="I55" s="752"/>
      <c r="J55" s="752">
        <f t="shared" si="7"/>
        <v>0</v>
      </c>
      <c r="K55" s="752">
        <f t="shared" si="8"/>
        <v>212.76325022386996</v>
      </c>
      <c r="L55" s="673">
        <f t="shared" si="0"/>
        <v>1107875.4966</v>
      </c>
      <c r="M55" s="673">
        <f t="shared" si="1"/>
        <v>0</v>
      </c>
      <c r="N55" s="673" t="e">
        <f>'Historic Utility Costs'!L55/'Historic Consumption'!M55</f>
        <v>#DIV/0!</v>
      </c>
    </row>
    <row r="56" spans="1:49">
      <c r="A56" s="266" t="s">
        <v>261</v>
      </c>
      <c r="B56" s="270">
        <f t="shared" si="2"/>
        <v>883983.42799999996</v>
      </c>
      <c r="C56" s="270">
        <f t="shared" si="3"/>
        <v>764857.0199999999</v>
      </c>
      <c r="D56" s="270">
        <f t="shared" si="4"/>
        <v>745051.77</v>
      </c>
      <c r="E56" s="270">
        <f t="shared" si="5"/>
        <v>471014.99999999994</v>
      </c>
      <c r="F56" s="280">
        <f>'Historic Utility Costs'!C56/'Historic Consumption'!C56</f>
        <v>0.34646658534950764</v>
      </c>
      <c r="G56" s="280">
        <f>'Historic Utility Costs'!D56/'Historic Consumption'!D56</f>
        <v>0.27011637057113491</v>
      </c>
      <c r="H56" s="280">
        <f>'Historic Utility Costs'!E56/'Historic Consumption'!E56</f>
        <v>0.28980467713342467</v>
      </c>
      <c r="I56" s="752">
        <f t="shared" si="6"/>
        <v>291.52722105333737</v>
      </c>
      <c r="J56" s="752">
        <f t="shared" si="7"/>
        <v>270.11637057113489</v>
      </c>
      <c r="K56" s="752">
        <f t="shared" si="8"/>
        <v>289.80467713342466</v>
      </c>
      <c r="L56" s="673">
        <f t="shared" si="0"/>
        <v>471014.99999999994</v>
      </c>
      <c r="M56" s="673">
        <f t="shared" si="1"/>
        <v>957140.18400000001</v>
      </c>
      <c r="N56" s="673">
        <f>'Historic Utility Costs'!L56/'Historic Consumption'!M56</f>
        <v>0.29152722105333739</v>
      </c>
    </row>
    <row r="57" spans="1:49">
      <c r="A57" s="266" t="s">
        <v>262</v>
      </c>
      <c r="B57" s="270">
        <f t="shared" si="2"/>
        <v>1109234</v>
      </c>
      <c r="C57" s="270">
        <f t="shared" si="3"/>
        <v>1087912.04</v>
      </c>
      <c r="D57" s="270">
        <f t="shared" si="4"/>
        <v>1031051.96</v>
      </c>
      <c r="E57" s="270">
        <f t="shared" si="5"/>
        <v>982890.39999999991</v>
      </c>
      <c r="F57" s="280">
        <f>'Historic Utility Costs'!C57/'Historic Consumption'!C57</f>
        <v>0.22804191963901788</v>
      </c>
      <c r="G57" s="280">
        <f>'Historic Utility Costs'!D57/'Historic Consumption'!D57</f>
        <v>0.2128685541706356</v>
      </c>
      <c r="H57" s="280">
        <f>'Historic Utility Costs'!E57/'Historic Consumption'!E57</f>
        <v>0.23334542691636834</v>
      </c>
      <c r="I57" s="752">
        <f t="shared" si="6"/>
        <v>248.08236502040526</v>
      </c>
      <c r="J57" s="752">
        <f t="shared" si="7"/>
        <v>212.8685541706356</v>
      </c>
      <c r="K57" s="752">
        <f t="shared" si="8"/>
        <v>233.34542691636833</v>
      </c>
      <c r="L57" s="673">
        <f t="shared" si="0"/>
        <v>982890.39999999991</v>
      </c>
      <c r="M57" s="673">
        <f t="shared" si="1"/>
        <v>1158819.6000000001</v>
      </c>
      <c r="N57" s="673">
        <f>'Historic Utility Costs'!L57/'Historic Consumption'!M57</f>
        <v>0.24808236502040526</v>
      </c>
    </row>
    <row r="58" spans="1:49">
      <c r="B58" s="270">
        <f>SUM(B35:B57)</f>
        <v>38699645.596699998</v>
      </c>
      <c r="C58" s="270">
        <f t="shared" ref="C58:E58" si="9">SUM(C35:C57)</f>
        <v>35145863.022500001</v>
      </c>
      <c r="D58" s="270">
        <f t="shared" si="9"/>
        <v>33841664.319399998</v>
      </c>
      <c r="E58" s="270">
        <f t="shared" si="9"/>
        <v>34003391.404699996</v>
      </c>
    </row>
    <row r="64" spans="1:49" s="279" customFormat="1">
      <c r="A64" s="279" t="s">
        <v>266</v>
      </c>
      <c r="B64" s="291">
        <v>43466</v>
      </c>
      <c r="C64" s="291">
        <v>43497</v>
      </c>
      <c r="D64" s="291">
        <v>43525</v>
      </c>
      <c r="E64" s="291">
        <v>43556</v>
      </c>
      <c r="F64" s="291">
        <v>43586</v>
      </c>
      <c r="G64" s="291">
        <v>43617</v>
      </c>
      <c r="H64" s="291">
        <v>43647</v>
      </c>
      <c r="I64" s="291">
        <v>43678</v>
      </c>
      <c r="J64" s="291">
        <v>43709</v>
      </c>
      <c r="K64" s="291">
        <v>43739</v>
      </c>
      <c r="L64" s="291">
        <v>43770</v>
      </c>
      <c r="M64" s="291">
        <v>43800</v>
      </c>
      <c r="N64" s="291">
        <v>43831</v>
      </c>
      <c r="O64" s="291">
        <v>43862</v>
      </c>
      <c r="P64" s="291">
        <v>43891</v>
      </c>
      <c r="Q64" s="291">
        <v>43922</v>
      </c>
      <c r="R64" s="291">
        <v>43952</v>
      </c>
      <c r="S64" s="291">
        <v>43983</v>
      </c>
      <c r="T64" s="291">
        <v>44013</v>
      </c>
      <c r="U64" s="291">
        <v>44044</v>
      </c>
      <c r="V64" s="291">
        <v>44075</v>
      </c>
      <c r="W64" s="291">
        <v>44105</v>
      </c>
      <c r="X64" s="291">
        <v>44136</v>
      </c>
      <c r="Y64" s="291">
        <v>44166</v>
      </c>
      <c r="Z64" s="291">
        <v>44197</v>
      </c>
      <c r="AA64" s="291">
        <v>44228</v>
      </c>
      <c r="AB64" s="291">
        <v>44256</v>
      </c>
      <c r="AC64" s="291">
        <v>44287</v>
      </c>
      <c r="AD64" s="291">
        <v>44317</v>
      </c>
      <c r="AE64" s="291">
        <v>44348</v>
      </c>
      <c r="AF64" s="291">
        <v>44378</v>
      </c>
      <c r="AG64" s="291">
        <v>44409</v>
      </c>
      <c r="AH64" s="291">
        <v>44440</v>
      </c>
      <c r="AI64" s="291">
        <v>44470</v>
      </c>
      <c r="AJ64" s="291">
        <v>44501</v>
      </c>
      <c r="AK64" s="291">
        <v>44531</v>
      </c>
      <c r="AL64" s="291">
        <v>44562</v>
      </c>
      <c r="AM64" s="291">
        <v>44593</v>
      </c>
      <c r="AN64" s="291">
        <v>44621</v>
      </c>
      <c r="AO64" s="291">
        <v>44652</v>
      </c>
      <c r="AP64" s="291">
        <v>44682</v>
      </c>
      <c r="AQ64" s="291">
        <v>44713</v>
      </c>
      <c r="AR64" s="291">
        <v>44743</v>
      </c>
      <c r="AS64" s="291">
        <v>44774</v>
      </c>
      <c r="AT64" s="291">
        <v>44805</v>
      </c>
      <c r="AU64" s="291">
        <v>44835</v>
      </c>
      <c r="AV64" s="291">
        <v>44866</v>
      </c>
      <c r="AW64" s="291">
        <v>44896</v>
      </c>
    </row>
    <row r="65" spans="1:49" s="279" customFormat="1">
      <c r="A65" s="279" t="s">
        <v>240</v>
      </c>
      <c r="B65" s="292">
        <v>25725.9244</v>
      </c>
      <c r="C65" s="292">
        <v>23498.0746</v>
      </c>
      <c r="D65" s="292">
        <v>27802.07</v>
      </c>
      <c r="E65" s="292">
        <v>67184.887600000002</v>
      </c>
      <c r="F65" s="292">
        <v>183859.25810000001</v>
      </c>
      <c r="G65" s="292">
        <v>278765.61290000001</v>
      </c>
      <c r="H65" s="292">
        <v>310036.25</v>
      </c>
      <c r="I65" s="292">
        <v>291864.23389999999</v>
      </c>
      <c r="J65" s="292">
        <v>192975.16130000001</v>
      </c>
      <c r="K65" s="292">
        <v>59588.1613</v>
      </c>
      <c r="L65" s="292">
        <v>30655.848699999999</v>
      </c>
      <c r="M65" s="292">
        <v>29401.570599999999</v>
      </c>
      <c r="N65" s="292">
        <v>26145.6774</v>
      </c>
      <c r="O65" s="292">
        <v>20320.449700000001</v>
      </c>
      <c r="P65" s="292">
        <v>19025.192599999998</v>
      </c>
      <c r="Q65" s="292">
        <v>29438.4545</v>
      </c>
      <c r="R65" s="292">
        <v>161695.29029999999</v>
      </c>
      <c r="S65" s="292">
        <v>258433.33470000001</v>
      </c>
      <c r="T65" s="292">
        <v>370553.66529999999</v>
      </c>
      <c r="U65" s="292">
        <v>317564.41940000001</v>
      </c>
      <c r="V65" s="292">
        <v>71538.129000000001</v>
      </c>
      <c r="W65" s="292">
        <v>20958.3488</v>
      </c>
      <c r="X65" s="292">
        <v>15782.8125</v>
      </c>
      <c r="Y65" s="292">
        <v>14969.393899999999</v>
      </c>
      <c r="Z65" s="292">
        <v>11513.212100000001</v>
      </c>
      <c r="AA65" s="292">
        <v>12989.393899999999</v>
      </c>
      <c r="AB65" s="292">
        <v>24234.5517</v>
      </c>
      <c r="AC65" s="292">
        <v>39624.373099999997</v>
      </c>
      <c r="AD65" s="292">
        <v>129354.6449</v>
      </c>
      <c r="AE65" s="292">
        <v>330445.17700000003</v>
      </c>
      <c r="AF65" s="292">
        <v>331650.32079999999</v>
      </c>
      <c r="AG65" s="292">
        <v>208129.15729999999</v>
      </c>
      <c r="AH65" s="292">
        <v>201248.65520000001</v>
      </c>
      <c r="AI65" s="292">
        <v>90056</v>
      </c>
      <c r="AJ65" s="292">
        <v>24700.8387</v>
      </c>
      <c r="AK65" s="292">
        <v>23581.5249</v>
      </c>
      <c r="AL65" s="292">
        <v>19727.272700000001</v>
      </c>
      <c r="AM65" s="292">
        <v>13137.363600000001</v>
      </c>
      <c r="AN65" s="292">
        <v>20069</v>
      </c>
      <c r="AO65" s="292">
        <v>25419.090899999999</v>
      </c>
      <c r="AP65" s="292">
        <v>153827.8401</v>
      </c>
      <c r="AQ65" s="292">
        <v>357140.06900000002</v>
      </c>
      <c r="AR65" s="292">
        <v>461277.19349999999</v>
      </c>
      <c r="AS65" s="292">
        <v>293737.93979999999</v>
      </c>
      <c r="AT65" s="292">
        <v>171692.97010000001</v>
      </c>
      <c r="AU65" s="292">
        <v>42084.862099999998</v>
      </c>
      <c r="AV65" s="292">
        <v>23789.670900000001</v>
      </c>
      <c r="AW65" s="292">
        <v>20628.363600000001</v>
      </c>
    </row>
    <row r="66" spans="1:49" s="279" customFormat="1">
      <c r="A66" s="279" t="s">
        <v>256</v>
      </c>
      <c r="B66" s="292">
        <v>97590.6</v>
      </c>
      <c r="C66" s="292">
        <v>49498.400000000001</v>
      </c>
      <c r="D66" s="292">
        <v>55493.875</v>
      </c>
      <c r="E66" s="292">
        <v>89360.458299999998</v>
      </c>
      <c r="F66" s="292">
        <v>175714.21220000001</v>
      </c>
      <c r="G66" s="292">
        <v>457212.1004</v>
      </c>
      <c r="H66" s="292">
        <v>400560.92469999997</v>
      </c>
      <c r="I66" s="292">
        <v>419051.48389999999</v>
      </c>
      <c r="J66" s="292">
        <v>315848.60220000002</v>
      </c>
      <c r="K66" s="292">
        <v>24978.156800000001</v>
      </c>
      <c r="L66" s="292">
        <v>54154.624799999998</v>
      </c>
      <c r="M66" s="292">
        <v>49209.824399999998</v>
      </c>
      <c r="N66" s="292">
        <v>48062.560599999997</v>
      </c>
      <c r="O66" s="292">
        <v>48782.7667</v>
      </c>
      <c r="P66" s="292">
        <v>34738.754800000002</v>
      </c>
      <c r="Q66" s="292">
        <v>124449.48390000001</v>
      </c>
      <c r="R66" s="292">
        <v>416094.60960000003</v>
      </c>
      <c r="S66" s="292">
        <v>488945.94559999998</v>
      </c>
      <c r="T66" s="292">
        <v>556904.72369999997</v>
      </c>
      <c r="U66" s="292">
        <v>438607.46860000002</v>
      </c>
      <c r="V66" s="292">
        <v>184166.00200000001</v>
      </c>
      <c r="W66" s="292">
        <v>128984.5086</v>
      </c>
      <c r="X66" s="292">
        <v>83484.940199999997</v>
      </c>
      <c r="Y66" s="292">
        <v>18095.363000000001</v>
      </c>
      <c r="Z66" s="292">
        <v>50126.6</v>
      </c>
      <c r="AA66" s="292">
        <v>48655.575799999999</v>
      </c>
      <c r="AB66" s="292">
        <v>40752.924200000001</v>
      </c>
      <c r="AC66" s="292">
        <v>123242.125</v>
      </c>
      <c r="AD66" s="292">
        <v>329510.57500000001</v>
      </c>
      <c r="AE66" s="292">
        <v>508579.3</v>
      </c>
      <c r="AF66" s="292">
        <v>547708</v>
      </c>
      <c r="AG66" s="292">
        <v>325443.15519999998</v>
      </c>
      <c r="AH66" s="292">
        <v>180484.45189999999</v>
      </c>
      <c r="AI66" s="292">
        <v>150241.49290000001</v>
      </c>
      <c r="AJ66" s="292">
        <v>46967.685700000002</v>
      </c>
      <c r="AK66" s="292">
        <v>41160.478999999999</v>
      </c>
      <c r="AL66" s="292">
        <v>38086.053500000002</v>
      </c>
      <c r="AM66" s="292">
        <v>37287.4545</v>
      </c>
      <c r="AN66" s="292">
        <v>45205.769</v>
      </c>
      <c r="AO66" s="292">
        <v>44167.018900000003</v>
      </c>
      <c r="AP66" s="292">
        <v>45895.939400000003</v>
      </c>
      <c r="AQ66" s="292">
        <v>44577.181799999998</v>
      </c>
      <c r="AR66" s="292">
        <v>46072.262600000002</v>
      </c>
      <c r="AS66" s="292">
        <v>89241.955600000001</v>
      </c>
      <c r="AT66" s="292">
        <v>75965.287500000006</v>
      </c>
      <c r="AU66" s="292">
        <v>68594.026800000007</v>
      </c>
      <c r="AV66" s="292">
        <v>63512.019</v>
      </c>
      <c r="AW66" s="292">
        <v>45291.923799999997</v>
      </c>
    </row>
    <row r="67" spans="1:49" s="279" customFormat="1">
      <c r="A67" s="279" t="s">
        <v>243</v>
      </c>
      <c r="B67" s="292"/>
      <c r="C67" s="292"/>
      <c r="D67" s="292"/>
      <c r="E67" s="292"/>
      <c r="F67" s="292">
        <v>52943.9565</v>
      </c>
      <c r="G67" s="292">
        <v>72196.304300000003</v>
      </c>
      <c r="H67" s="292">
        <v>74602.847800000003</v>
      </c>
      <c r="I67" s="292">
        <v>53988.135699999999</v>
      </c>
      <c r="J67" s="292">
        <v>44085.333299999998</v>
      </c>
      <c r="K67" s="292">
        <v>45554.844400000002</v>
      </c>
      <c r="L67" s="292">
        <v>31497.433400000002</v>
      </c>
      <c r="M67" s="292">
        <v>28588.544399999999</v>
      </c>
      <c r="N67" s="292">
        <v>28588.544399999999</v>
      </c>
      <c r="O67" s="292">
        <v>30531.846799999999</v>
      </c>
      <c r="P67" s="292">
        <v>33481.021999999997</v>
      </c>
      <c r="Q67" s="292">
        <v>32400.989000000001</v>
      </c>
      <c r="R67" s="292">
        <v>114039.5385</v>
      </c>
      <c r="S67" s="292">
        <v>129071.20879999999</v>
      </c>
      <c r="T67" s="292">
        <v>133373.58240000001</v>
      </c>
      <c r="U67" s="292">
        <v>85861.582399999999</v>
      </c>
      <c r="V67" s="292">
        <v>74249.670299999998</v>
      </c>
      <c r="W67" s="292">
        <v>76724.659299999999</v>
      </c>
      <c r="X67" s="292">
        <v>36322.813099999999</v>
      </c>
      <c r="Y67" s="292">
        <v>31504.175800000001</v>
      </c>
      <c r="Z67" s="292">
        <v>31504.175800000001</v>
      </c>
      <c r="AA67" s="292">
        <v>34652.323799999998</v>
      </c>
      <c r="AB67" s="292">
        <v>39188.380400000002</v>
      </c>
      <c r="AC67" s="292">
        <v>37924.239099999999</v>
      </c>
      <c r="AD67" s="292">
        <v>115557.94560000001</v>
      </c>
      <c r="AE67" s="292">
        <v>129567.71739999999</v>
      </c>
      <c r="AF67" s="292">
        <v>133886.64129999999</v>
      </c>
      <c r="AG67" s="292">
        <v>99023.655899999998</v>
      </c>
      <c r="AH67" s="292">
        <v>87732.1348</v>
      </c>
      <c r="AI67" s="292">
        <v>90656.539300000004</v>
      </c>
      <c r="AJ67" s="292">
        <v>66405.5573</v>
      </c>
      <c r="AK67" s="292">
        <v>66170.468699999998</v>
      </c>
      <c r="AL67" s="292">
        <v>66170.468699999998</v>
      </c>
      <c r="AM67" s="292">
        <v>43520.234799999998</v>
      </c>
      <c r="AN67" s="292">
        <v>42187.333299999998</v>
      </c>
      <c r="AO67" s="292">
        <v>40826.4516</v>
      </c>
      <c r="AP67" s="292">
        <v>100896.1433</v>
      </c>
      <c r="AQ67" s="292">
        <v>128889.6667</v>
      </c>
      <c r="AR67" s="292">
        <v>133185.9889</v>
      </c>
      <c r="AS67" s="292">
        <v>112767.3946</v>
      </c>
      <c r="AT67" s="292">
        <v>101046.129</v>
      </c>
      <c r="AU67" s="292">
        <v>104414.3333</v>
      </c>
      <c r="AV67" s="292">
        <v>33682.042999999998</v>
      </c>
      <c r="AW67" s="292"/>
    </row>
    <row r="68" spans="1:49" s="279" customFormat="1">
      <c r="A68" s="279" t="s">
        <v>241</v>
      </c>
      <c r="B68" s="292">
        <v>159166.785</v>
      </c>
      <c r="C68" s="292">
        <v>131006.44</v>
      </c>
      <c r="D68" s="292">
        <v>215566.88939999999</v>
      </c>
      <c r="E68" s="292">
        <v>365058.89059999998</v>
      </c>
      <c r="F68" s="292">
        <v>806641.04</v>
      </c>
      <c r="G68" s="292">
        <v>1426578.0739</v>
      </c>
      <c r="H68" s="292">
        <v>1638870.3961</v>
      </c>
      <c r="I68" s="292">
        <v>1723170.83</v>
      </c>
      <c r="J68" s="292">
        <v>934714.2</v>
      </c>
      <c r="K68" s="292">
        <v>742563.94</v>
      </c>
      <c r="L68" s="292">
        <v>478922.45750000002</v>
      </c>
      <c r="M68" s="292">
        <v>200549.77249999999</v>
      </c>
      <c r="N68" s="292">
        <v>143735.99</v>
      </c>
      <c r="O68" s="292">
        <v>131480.3138</v>
      </c>
      <c r="P68" s="292">
        <v>269127.54629999999</v>
      </c>
      <c r="Q68" s="292">
        <v>408946.54</v>
      </c>
      <c r="R68" s="292">
        <v>1045193.01</v>
      </c>
      <c r="S68" s="292">
        <v>1483328.4</v>
      </c>
      <c r="T68" s="292">
        <v>2158647.9402999999</v>
      </c>
      <c r="U68" s="292">
        <v>2007969.9114999999</v>
      </c>
      <c r="V68" s="292">
        <v>1165038.2182</v>
      </c>
      <c r="W68" s="292">
        <v>607407.61679999996</v>
      </c>
      <c r="X68" s="292">
        <v>267819.28409999999</v>
      </c>
      <c r="Y68" s="292">
        <v>112028.8167</v>
      </c>
      <c r="Z68" s="292">
        <v>124448.9403</v>
      </c>
      <c r="AA68" s="292">
        <v>113590.48269999999</v>
      </c>
      <c r="AB68" s="292">
        <v>322704.42940000002</v>
      </c>
      <c r="AC68" s="292">
        <v>527210.63340000005</v>
      </c>
      <c r="AD68" s="292">
        <v>961623.21</v>
      </c>
      <c r="AE68" s="292">
        <v>1604040.9719</v>
      </c>
      <c r="AF68" s="292">
        <v>1887103.8959999999</v>
      </c>
      <c r="AG68" s="292">
        <v>1460932.9931000001</v>
      </c>
      <c r="AH68" s="292">
        <v>877746.51740000001</v>
      </c>
      <c r="AI68" s="292">
        <v>783591.77520000003</v>
      </c>
      <c r="AJ68" s="292">
        <v>526511.52179999999</v>
      </c>
      <c r="AK68" s="292">
        <v>157371.72649999999</v>
      </c>
      <c r="AL68" s="292">
        <v>68431.612999999998</v>
      </c>
      <c r="AM68" s="292">
        <v>110134.993</v>
      </c>
      <c r="AN68" s="292">
        <v>139087.60879999999</v>
      </c>
      <c r="AO68" s="292">
        <v>289028.88750000001</v>
      </c>
      <c r="AP68" s="292">
        <v>825926.00249999994</v>
      </c>
      <c r="AQ68" s="292">
        <v>1640131.96</v>
      </c>
      <c r="AR68" s="292">
        <v>1712330.4635999999</v>
      </c>
      <c r="AS68" s="292">
        <v>1420869.5563999999</v>
      </c>
      <c r="AT68" s="292">
        <v>868022.34</v>
      </c>
      <c r="AU68" s="292">
        <v>603173.86</v>
      </c>
      <c r="AV68" s="292">
        <v>589467.74</v>
      </c>
      <c r="AW68" s="292">
        <v>150276.99</v>
      </c>
    </row>
    <row r="69" spans="1:49" s="279" customFormat="1">
      <c r="A69" s="279" t="s">
        <v>242</v>
      </c>
      <c r="B69" s="292">
        <v>157379.05979999999</v>
      </c>
      <c r="C69" s="292">
        <v>163515.7359</v>
      </c>
      <c r="D69" s="292">
        <v>210041.2009</v>
      </c>
      <c r="E69" s="292">
        <v>171248.63819999999</v>
      </c>
      <c r="F69" s="292">
        <v>264754.50589999999</v>
      </c>
      <c r="G69" s="292">
        <v>513191.74550000002</v>
      </c>
      <c r="H69" s="292">
        <v>478046.38689999998</v>
      </c>
      <c r="I69" s="292">
        <v>454379.60139999999</v>
      </c>
      <c r="J69" s="292">
        <v>321283.44020000001</v>
      </c>
      <c r="K69" s="292">
        <v>244134.05669999999</v>
      </c>
      <c r="L69" s="292">
        <v>193391.03940000001</v>
      </c>
      <c r="M69" s="292">
        <v>174492.83300000001</v>
      </c>
      <c r="N69" s="292">
        <v>175370.16149999999</v>
      </c>
      <c r="O69" s="292">
        <v>160337.87349999999</v>
      </c>
      <c r="P69" s="292">
        <v>170243.2145</v>
      </c>
      <c r="Q69" s="292">
        <v>191532.37229999999</v>
      </c>
      <c r="R69" s="292">
        <v>379200.9227</v>
      </c>
      <c r="S69" s="292">
        <v>484849.71470000001</v>
      </c>
      <c r="T69" s="292">
        <v>567398.31579999998</v>
      </c>
      <c r="U69" s="292">
        <v>437799.41230000003</v>
      </c>
      <c r="V69" s="292">
        <v>245755.62959999999</v>
      </c>
      <c r="W69" s="292">
        <v>226249.86809999999</v>
      </c>
      <c r="X69" s="292">
        <v>201772.7064</v>
      </c>
      <c r="Y69" s="292">
        <v>186190.43160000001</v>
      </c>
      <c r="Z69" s="292">
        <v>178851.0626</v>
      </c>
      <c r="AA69" s="292">
        <v>157351.5428</v>
      </c>
      <c r="AB69" s="292">
        <v>183530.005</v>
      </c>
      <c r="AC69" s="292">
        <v>204046.52410000001</v>
      </c>
      <c r="AD69" s="292">
        <v>321927.7023</v>
      </c>
      <c r="AE69" s="292">
        <v>537538.23809999996</v>
      </c>
      <c r="AF69" s="292">
        <v>639562.85149999999</v>
      </c>
      <c r="AG69" s="292">
        <v>509741.29460000002</v>
      </c>
      <c r="AH69" s="292">
        <v>362090.07410000003</v>
      </c>
      <c r="AI69" s="292">
        <v>233615.53030000001</v>
      </c>
      <c r="AJ69" s="292">
        <v>171681.3541</v>
      </c>
      <c r="AK69" s="292">
        <v>171574.7548</v>
      </c>
      <c r="AL69" s="292">
        <v>179928.83119999999</v>
      </c>
      <c r="AM69" s="292">
        <v>166598.10980000001</v>
      </c>
      <c r="AN69" s="292">
        <v>189139.4774</v>
      </c>
      <c r="AO69" s="292">
        <v>179532.60279999999</v>
      </c>
      <c r="AP69" s="292">
        <v>347948.0428</v>
      </c>
      <c r="AQ69" s="292">
        <v>610560.28780000005</v>
      </c>
      <c r="AR69" s="292">
        <v>754812.76899999997</v>
      </c>
      <c r="AS69" s="292">
        <v>720179.39210000006</v>
      </c>
      <c r="AT69" s="292">
        <v>505080.73009999999</v>
      </c>
      <c r="AU69" s="292">
        <v>332418.14750000002</v>
      </c>
      <c r="AV69" s="292">
        <v>258073.62830000001</v>
      </c>
      <c r="AW69" s="292">
        <v>78474.178899999999</v>
      </c>
    </row>
    <row r="70" spans="1:49" s="279" customFormat="1">
      <c r="A70" s="279" t="s">
        <v>244</v>
      </c>
      <c r="B70" s="292">
        <v>39078.650800000003</v>
      </c>
      <c r="C70" s="292">
        <v>33739.213400000001</v>
      </c>
      <c r="D70" s="292">
        <v>35834.931400000001</v>
      </c>
      <c r="E70" s="292">
        <v>34999.341200000003</v>
      </c>
      <c r="F70" s="292">
        <v>103101.5447</v>
      </c>
      <c r="G70" s="292">
        <v>248301.9</v>
      </c>
      <c r="H70" s="292">
        <v>227530.44</v>
      </c>
      <c r="I70" s="292">
        <v>229662.4945</v>
      </c>
      <c r="J70" s="292">
        <v>86242.936400000006</v>
      </c>
      <c r="K70" s="292">
        <v>46415.350299999998</v>
      </c>
      <c r="L70" s="292">
        <v>30610.020100000002</v>
      </c>
      <c r="M70" s="292">
        <v>31322.455999999998</v>
      </c>
      <c r="N70" s="292">
        <v>27670.502400000001</v>
      </c>
      <c r="O70" s="292">
        <v>29765.816999999999</v>
      </c>
      <c r="P70" s="292">
        <v>32704.159599999999</v>
      </c>
      <c r="Q70" s="292">
        <v>44816.127999999997</v>
      </c>
      <c r="R70" s="292">
        <v>171090.33720000001</v>
      </c>
      <c r="S70" s="292">
        <v>232684.2689</v>
      </c>
      <c r="T70" s="292">
        <v>277081.86300000001</v>
      </c>
      <c r="U70" s="292">
        <v>208134.25</v>
      </c>
      <c r="V70" s="292">
        <v>83141.169200000004</v>
      </c>
      <c r="W70" s="292">
        <v>36060.7022</v>
      </c>
      <c r="X70" s="292">
        <v>23613.1289</v>
      </c>
      <c r="Y70" s="292">
        <v>17202.139800000001</v>
      </c>
      <c r="Z70" s="292">
        <v>16393.4166</v>
      </c>
      <c r="AA70" s="292">
        <v>18798.385200000001</v>
      </c>
      <c r="AB70" s="292">
        <v>26249.558000000001</v>
      </c>
      <c r="AC70" s="292">
        <v>41788.807699999998</v>
      </c>
      <c r="AD70" s="292">
        <v>145834.7856</v>
      </c>
      <c r="AE70" s="292">
        <v>287219.20419999998</v>
      </c>
      <c r="AF70" s="292">
        <v>312657.8161</v>
      </c>
      <c r="AG70" s="292">
        <v>236111.46599999999</v>
      </c>
      <c r="AH70" s="292">
        <v>162594.54889999999</v>
      </c>
      <c r="AI70" s="292">
        <v>77918.896200000003</v>
      </c>
      <c r="AJ70" s="292">
        <v>25024.057100000002</v>
      </c>
      <c r="AK70" s="292">
        <v>17790.6679</v>
      </c>
      <c r="AL70" s="292">
        <v>16053.775299999999</v>
      </c>
      <c r="AM70" s="292">
        <v>14893.8685</v>
      </c>
      <c r="AN70" s="292">
        <v>17138.7176</v>
      </c>
      <c r="AO70" s="292">
        <v>17495.0857</v>
      </c>
      <c r="AP70" s="292">
        <v>164074.02530000001</v>
      </c>
      <c r="AQ70" s="292">
        <v>364197.56140000001</v>
      </c>
      <c r="AR70" s="292">
        <v>366660.11930000002</v>
      </c>
      <c r="AS70" s="292">
        <v>234630.5214</v>
      </c>
      <c r="AT70" s="292">
        <v>108745.86659999999</v>
      </c>
      <c r="AU70" s="292">
        <v>42760.252899999999</v>
      </c>
      <c r="AV70" s="292">
        <v>22849.4431</v>
      </c>
      <c r="AW70" s="292">
        <v>5942.86</v>
      </c>
    </row>
    <row r="71" spans="1:49" s="279" customFormat="1">
      <c r="A71" s="279" t="s">
        <v>252</v>
      </c>
      <c r="B71" s="292">
        <v>84888.311799999996</v>
      </c>
      <c r="C71" s="292">
        <v>77985.583100000003</v>
      </c>
      <c r="D71" s="292">
        <v>86825.471099999995</v>
      </c>
      <c r="E71" s="292">
        <v>84024.6495</v>
      </c>
      <c r="F71" s="292">
        <v>88288.342300000004</v>
      </c>
      <c r="G71" s="292">
        <v>86019.473899999997</v>
      </c>
      <c r="H71" s="292">
        <v>68930.387400000007</v>
      </c>
      <c r="I71" s="292">
        <v>58047.342400000001</v>
      </c>
      <c r="J71" s="292">
        <v>62639.633300000001</v>
      </c>
      <c r="K71" s="292">
        <v>64727.621099999997</v>
      </c>
      <c r="L71" s="292">
        <v>58614.216699999997</v>
      </c>
      <c r="M71" s="292">
        <v>59302.059699999998</v>
      </c>
      <c r="N71" s="292">
        <v>59302.059699999998</v>
      </c>
      <c r="O71" s="292">
        <v>56188.669600000001</v>
      </c>
      <c r="P71" s="292">
        <v>60222.435899999997</v>
      </c>
      <c r="Q71" s="292">
        <v>58279.776700000002</v>
      </c>
      <c r="R71" s="292">
        <v>73975.116500000004</v>
      </c>
      <c r="S71" s="292">
        <v>74148.254300000001</v>
      </c>
      <c r="T71" s="292">
        <v>76619.862800000003</v>
      </c>
      <c r="U71" s="292">
        <v>70918.388099999996</v>
      </c>
      <c r="V71" s="292">
        <v>67569.629700000005</v>
      </c>
      <c r="W71" s="292">
        <v>69821.950700000001</v>
      </c>
      <c r="X71" s="292">
        <v>58927.998299999999</v>
      </c>
      <c r="Y71" s="292">
        <v>59518.466999999997</v>
      </c>
      <c r="Z71" s="292">
        <v>59518.466999999997</v>
      </c>
      <c r="AA71" s="292">
        <v>55069.422299999998</v>
      </c>
      <c r="AB71" s="292">
        <v>61143.867599999998</v>
      </c>
      <c r="AC71" s="292">
        <v>59171.484799999998</v>
      </c>
      <c r="AD71" s="292">
        <v>74412.071500000005</v>
      </c>
      <c r="AE71" s="292">
        <v>75093.329299999998</v>
      </c>
      <c r="AF71" s="292">
        <v>77596.440300000002</v>
      </c>
      <c r="AG71" s="292">
        <v>49684.210800000001</v>
      </c>
      <c r="AH71" s="292">
        <v>41598.653899999998</v>
      </c>
      <c r="AI71" s="292">
        <v>42985.275699999998</v>
      </c>
      <c r="AJ71" s="292">
        <v>56278.868199999997</v>
      </c>
      <c r="AK71" s="292">
        <v>59840.336600000002</v>
      </c>
      <c r="AL71" s="292">
        <v>59840.336600000002</v>
      </c>
      <c r="AM71" s="292">
        <v>55504.498599999999</v>
      </c>
      <c r="AN71" s="292">
        <v>61988.433299999997</v>
      </c>
      <c r="AO71" s="292">
        <v>59988.806499999999</v>
      </c>
      <c r="AP71" s="292">
        <v>71663.977899999998</v>
      </c>
      <c r="AQ71" s="292">
        <v>74502.123300000007</v>
      </c>
      <c r="AR71" s="292">
        <v>76985.527400000006</v>
      </c>
      <c r="AS71" s="292">
        <v>72254.968599999993</v>
      </c>
      <c r="AT71" s="292">
        <v>68051.361300000004</v>
      </c>
      <c r="AU71" s="292">
        <v>70319.740000000005</v>
      </c>
      <c r="AV71" s="292">
        <v>22683.787100000001</v>
      </c>
      <c r="AW71" s="292"/>
    </row>
    <row r="72" spans="1:49" s="279" customFormat="1">
      <c r="A72" s="279" t="s">
        <v>254</v>
      </c>
      <c r="B72" s="292">
        <v>21834.8429</v>
      </c>
      <c r="C72" s="292">
        <v>12382.710300000001</v>
      </c>
      <c r="D72" s="292">
        <v>21825.26</v>
      </c>
      <c r="E72" s="292">
        <v>25894.2</v>
      </c>
      <c r="F72" s="292">
        <v>40340.613499999999</v>
      </c>
      <c r="G72" s="292">
        <v>40215.7065</v>
      </c>
      <c r="H72" s="292">
        <v>42546.553200000002</v>
      </c>
      <c r="I72" s="292">
        <v>92187.914499999999</v>
      </c>
      <c r="J72" s="292">
        <v>47958.532299999999</v>
      </c>
      <c r="K72" s="292">
        <v>37551.986499999999</v>
      </c>
      <c r="L72" s="292">
        <v>13596.193499999999</v>
      </c>
      <c r="M72" s="292">
        <v>27306.691299999999</v>
      </c>
      <c r="N72" s="292">
        <v>26910.876700000001</v>
      </c>
      <c r="O72" s="292">
        <v>71520.902000000002</v>
      </c>
      <c r="P72" s="292">
        <v>25695.84</v>
      </c>
      <c r="Q72" s="292">
        <v>27950.400000000001</v>
      </c>
      <c r="R72" s="292">
        <v>42512.6126</v>
      </c>
      <c r="S72" s="292">
        <v>42462.977400000003</v>
      </c>
      <c r="T72" s="292">
        <v>48363.849699999999</v>
      </c>
      <c r="U72" s="292">
        <v>191175.68090000001</v>
      </c>
      <c r="V72" s="292">
        <v>45632.719400000002</v>
      </c>
      <c r="W72" s="292">
        <v>37178.596100000002</v>
      </c>
      <c r="X72" s="292">
        <v>46144.083899999998</v>
      </c>
      <c r="Y72" s="292">
        <v>29527.108100000001</v>
      </c>
      <c r="Z72" s="292">
        <v>28115.9643</v>
      </c>
      <c r="AA72" s="292">
        <v>19875.027600000001</v>
      </c>
      <c r="AB72" s="292">
        <v>26885.105200000002</v>
      </c>
      <c r="AC72" s="292">
        <v>32788.654799999997</v>
      </c>
      <c r="AD72" s="292">
        <v>25244.117699999999</v>
      </c>
      <c r="AE72" s="292">
        <v>48929.332300000002</v>
      </c>
      <c r="AF72" s="292">
        <v>54066.5435</v>
      </c>
      <c r="AG72" s="292">
        <v>184036.71650000001</v>
      </c>
      <c r="AH72" s="292">
        <v>50907.3</v>
      </c>
      <c r="AI72" s="292">
        <v>41954.577700000002</v>
      </c>
      <c r="AJ72" s="292">
        <v>45361.132299999997</v>
      </c>
      <c r="AK72" s="292">
        <v>12311.382299999999</v>
      </c>
      <c r="AL72" s="292">
        <v>11805.241099999999</v>
      </c>
      <c r="AM72" s="292">
        <v>10446.0566</v>
      </c>
      <c r="AN72" s="292">
        <v>26859.419699999999</v>
      </c>
      <c r="AO72" s="292">
        <v>11718.890299999999</v>
      </c>
      <c r="AP72" s="292">
        <v>76284.763900000005</v>
      </c>
      <c r="AQ72" s="292">
        <v>54610.016100000001</v>
      </c>
      <c r="AR72" s="292">
        <v>53130.315199999997</v>
      </c>
      <c r="AS72" s="292">
        <v>105621.59480000001</v>
      </c>
      <c r="AT72" s="292">
        <v>8167.2</v>
      </c>
      <c r="AU72" s="292">
        <v>11576.106100000001</v>
      </c>
      <c r="AV72" s="292">
        <v>93606.483900000007</v>
      </c>
      <c r="AW72" s="292">
        <v>8621.5300000000007</v>
      </c>
    </row>
    <row r="73" spans="1:49" s="279" customFormat="1">
      <c r="A73" s="279" t="s">
        <v>245</v>
      </c>
      <c r="B73" s="292">
        <v>6654.8175000000001</v>
      </c>
      <c r="C73" s="292">
        <v>52887.611199999999</v>
      </c>
      <c r="D73" s="292">
        <v>84204.5478</v>
      </c>
      <c r="E73" s="292">
        <v>125800.01850000001</v>
      </c>
      <c r="F73" s="292">
        <v>204827.28940000001</v>
      </c>
      <c r="G73" s="292">
        <v>292310.86359999998</v>
      </c>
      <c r="H73" s="292">
        <v>345459.36700000003</v>
      </c>
      <c r="I73" s="292">
        <v>303623.94099999999</v>
      </c>
      <c r="J73" s="292">
        <v>217794.75760000001</v>
      </c>
      <c r="K73" s="292">
        <v>131680.83309999999</v>
      </c>
      <c r="L73" s="292">
        <v>68546.810400000002</v>
      </c>
      <c r="M73" s="292">
        <v>49300.078099999999</v>
      </c>
      <c r="N73" s="292">
        <v>42035.501900000003</v>
      </c>
      <c r="O73" s="292">
        <v>48404.854299999999</v>
      </c>
      <c r="P73" s="292">
        <v>37195.320500000002</v>
      </c>
      <c r="Q73" s="292">
        <v>50228.755299999997</v>
      </c>
      <c r="R73" s="292">
        <v>143736.39050000001</v>
      </c>
      <c r="S73" s="292">
        <v>328144.12290000002</v>
      </c>
      <c r="T73" s="292">
        <v>407225.06679999997</v>
      </c>
      <c r="U73" s="292">
        <v>353676.77919999999</v>
      </c>
      <c r="V73" s="292">
        <v>78328.248699999996</v>
      </c>
      <c r="W73" s="292">
        <v>30431.962800000001</v>
      </c>
      <c r="X73" s="292">
        <v>31538.459200000001</v>
      </c>
      <c r="Y73" s="292">
        <v>23911.126899999999</v>
      </c>
      <c r="Z73" s="292">
        <v>19779.681499999999</v>
      </c>
      <c r="AA73" s="292">
        <v>28153.111799999999</v>
      </c>
      <c r="AB73" s="292">
        <v>35605.812400000003</v>
      </c>
      <c r="AC73" s="292">
        <v>43255.376499999998</v>
      </c>
      <c r="AD73" s="292">
        <v>111827.75169999999</v>
      </c>
      <c r="AE73" s="292">
        <v>384767.19150000002</v>
      </c>
      <c r="AF73" s="292">
        <v>206069.5894</v>
      </c>
      <c r="AG73" s="292">
        <v>223245.92370000001</v>
      </c>
      <c r="AH73" s="292">
        <v>218066.43719999999</v>
      </c>
      <c r="AI73" s="292">
        <v>211138.655</v>
      </c>
      <c r="AJ73" s="292">
        <v>25878.674999999999</v>
      </c>
      <c r="AK73" s="292">
        <v>17775.7</v>
      </c>
      <c r="AL73" s="292">
        <v>4607.6752999999999</v>
      </c>
      <c r="AM73" s="292">
        <v>16295.064700000001</v>
      </c>
      <c r="AN73" s="292">
        <v>24895.791499999999</v>
      </c>
      <c r="AO73" s="292">
        <v>29248.2441</v>
      </c>
      <c r="AP73" s="292">
        <v>101570.9678</v>
      </c>
      <c r="AQ73" s="292">
        <v>352096.29590000003</v>
      </c>
      <c r="AR73" s="292">
        <v>478316.88199999998</v>
      </c>
      <c r="AS73" s="292">
        <v>325663.85259999998</v>
      </c>
      <c r="AT73" s="292">
        <v>155560.74710000001</v>
      </c>
      <c r="AU73" s="292">
        <v>48242.214399999997</v>
      </c>
      <c r="AV73" s="292">
        <v>46686.014000000003</v>
      </c>
      <c r="AW73" s="292">
        <v>35792.610699999997</v>
      </c>
    </row>
    <row r="74" spans="1:49" s="279" customFormat="1">
      <c r="A74" s="279" t="s">
        <v>257</v>
      </c>
      <c r="B74" s="292">
        <v>53</v>
      </c>
      <c r="C74" s="292">
        <v>940</v>
      </c>
      <c r="D74" s="292">
        <v>767</v>
      </c>
      <c r="E74" s="292">
        <v>1811</v>
      </c>
      <c r="F74" s="292">
        <v>24410</v>
      </c>
      <c r="G74" s="292">
        <v>70661</v>
      </c>
      <c r="H74" s="292">
        <v>78550</v>
      </c>
      <c r="I74" s="292">
        <v>70791</v>
      </c>
      <c r="J74" s="292">
        <v>45470</v>
      </c>
      <c r="K74" s="292">
        <v>8785</v>
      </c>
      <c r="L74" s="292">
        <v>3221</v>
      </c>
      <c r="M74" s="292">
        <v>63</v>
      </c>
      <c r="N74" s="292">
        <v>53</v>
      </c>
      <c r="O74" s="292">
        <v>32</v>
      </c>
      <c r="P74" s="292">
        <v>53</v>
      </c>
      <c r="Q74" s="292">
        <v>1023</v>
      </c>
      <c r="R74" s="292">
        <v>31078</v>
      </c>
      <c r="S74" s="292">
        <v>50122</v>
      </c>
      <c r="T74" s="292">
        <v>80679.774000000005</v>
      </c>
      <c r="U74" s="292">
        <v>100927.49</v>
      </c>
      <c r="V74" s="292">
        <v>32547.686000000002</v>
      </c>
      <c r="W74" s="292">
        <v>13655.23</v>
      </c>
      <c r="X74" s="292">
        <v>63</v>
      </c>
      <c r="Y74" s="292">
        <v>89.998999999999995</v>
      </c>
      <c r="Z74" s="292">
        <v>136.38800000000001</v>
      </c>
      <c r="AA74" s="292">
        <v>126.4</v>
      </c>
      <c r="AB74" s="292">
        <v>61</v>
      </c>
      <c r="AC74" s="292">
        <v>126.1</v>
      </c>
      <c r="AD74" s="292">
        <v>21202.720000000001</v>
      </c>
      <c r="AE74" s="292">
        <v>110774.6</v>
      </c>
      <c r="AF74" s="292">
        <v>122529.1</v>
      </c>
      <c r="AG74" s="292">
        <v>96511.39</v>
      </c>
      <c r="AH74" s="292">
        <v>40083.199999999997</v>
      </c>
      <c r="AI74" s="292">
        <v>41147</v>
      </c>
      <c r="AJ74" s="292">
        <v>39063.800000000003</v>
      </c>
      <c r="AK74" s="292">
        <v>30494.3</v>
      </c>
      <c r="AL74" s="292">
        <v>19562.599999999999</v>
      </c>
      <c r="AM74" s="292">
        <v>38697.25</v>
      </c>
      <c r="AN74" s="292">
        <v>40455.31</v>
      </c>
      <c r="AO74" s="292">
        <v>34906.42</v>
      </c>
      <c r="AP74" s="292">
        <v>82483.399999999994</v>
      </c>
      <c r="AQ74" s="292">
        <v>136899.54999999999</v>
      </c>
      <c r="AR74" s="292">
        <v>113348</v>
      </c>
      <c r="AS74" s="292">
        <v>250820.2</v>
      </c>
      <c r="AT74" s="292">
        <v>136541.5</v>
      </c>
      <c r="AU74" s="292">
        <v>105322.86</v>
      </c>
      <c r="AV74" s="292">
        <v>51828.93</v>
      </c>
      <c r="AW74" s="292"/>
    </row>
    <row r="75" spans="1:49" s="279" customFormat="1">
      <c r="A75" s="279" t="s">
        <v>247</v>
      </c>
      <c r="B75" s="292">
        <v>0</v>
      </c>
      <c r="C75" s="292">
        <v>0</v>
      </c>
      <c r="D75" s="292">
        <v>0</v>
      </c>
      <c r="E75" s="292">
        <v>0</v>
      </c>
      <c r="F75" s="292">
        <v>0</v>
      </c>
      <c r="G75" s="292">
        <v>0</v>
      </c>
      <c r="H75" s="292">
        <v>0</v>
      </c>
      <c r="I75" s="292">
        <v>0</v>
      </c>
      <c r="J75" s="292">
        <v>0</v>
      </c>
      <c r="K75" s="292">
        <v>0</v>
      </c>
      <c r="L75" s="292">
        <v>0</v>
      </c>
      <c r="M75" s="292">
        <v>0</v>
      </c>
      <c r="N75" s="292">
        <v>0</v>
      </c>
      <c r="O75" s="292">
        <v>0</v>
      </c>
      <c r="P75" s="292">
        <v>0</v>
      </c>
      <c r="Q75" s="292">
        <v>55385.640599999999</v>
      </c>
      <c r="R75" s="292">
        <v>122639.6327</v>
      </c>
      <c r="S75" s="292">
        <v>118683.51549999999</v>
      </c>
      <c r="T75" s="292">
        <v>122639.6327</v>
      </c>
      <c r="U75" s="292">
        <v>122639.6327</v>
      </c>
      <c r="V75" s="292">
        <v>118683.51549999999</v>
      </c>
      <c r="W75" s="292">
        <v>122639.6327</v>
      </c>
      <c r="X75" s="292">
        <v>118683.51549999999</v>
      </c>
      <c r="Y75" s="292">
        <v>122639.6327</v>
      </c>
      <c r="Z75" s="292">
        <v>122639.6327</v>
      </c>
      <c r="AA75" s="292">
        <v>118204.7689</v>
      </c>
      <c r="AB75" s="292">
        <v>148243.86840000001</v>
      </c>
      <c r="AC75" s="292">
        <v>143461.80809999999</v>
      </c>
      <c r="AD75" s="292">
        <v>148243.86840000001</v>
      </c>
      <c r="AE75" s="292">
        <v>143461.80809999999</v>
      </c>
      <c r="AF75" s="292">
        <v>148243.86840000001</v>
      </c>
      <c r="AG75" s="292">
        <v>146435.39629999999</v>
      </c>
      <c r="AH75" s="292">
        <v>136680.0379</v>
      </c>
      <c r="AI75" s="292">
        <v>141236.0392</v>
      </c>
      <c r="AJ75" s="292">
        <v>82051.9087</v>
      </c>
      <c r="AK75" s="292">
        <v>113.3719</v>
      </c>
      <c r="AL75" s="292">
        <v>113.3719</v>
      </c>
      <c r="AM75" s="292">
        <v>5233.5138999999999</v>
      </c>
      <c r="AN75" s="292">
        <v>22836.874400000001</v>
      </c>
      <c r="AO75" s="292">
        <v>22100.201000000001</v>
      </c>
      <c r="AP75" s="292">
        <v>22836.874400000001</v>
      </c>
      <c r="AQ75" s="292">
        <v>279483.4167</v>
      </c>
      <c r="AR75" s="292">
        <v>349811.59499999997</v>
      </c>
      <c r="AS75" s="292">
        <v>245723.155</v>
      </c>
      <c r="AT75" s="292">
        <v>139650.0203</v>
      </c>
      <c r="AU75" s="292">
        <v>73112.8897</v>
      </c>
      <c r="AV75" s="292">
        <v>17105.66</v>
      </c>
      <c r="AW75" s="292">
        <v>0</v>
      </c>
    </row>
    <row r="76" spans="1:49" s="279" customFormat="1">
      <c r="A76" s="279" t="s">
        <v>258</v>
      </c>
      <c r="B76" s="292">
        <v>0</v>
      </c>
      <c r="C76" s="292">
        <v>0</v>
      </c>
      <c r="D76" s="292">
        <v>5.6513</v>
      </c>
      <c r="E76" s="292">
        <v>56.512500000000003</v>
      </c>
      <c r="F76" s="292">
        <v>139642.4051</v>
      </c>
      <c r="G76" s="292">
        <v>290557.16360000003</v>
      </c>
      <c r="H76" s="292">
        <v>19370.477599999998</v>
      </c>
      <c r="I76" s="292"/>
      <c r="J76" s="292"/>
      <c r="K76" s="292"/>
      <c r="L76" s="292"/>
      <c r="M76" s="292"/>
      <c r="N76" s="292"/>
      <c r="O76" s="292"/>
      <c r="P76" s="292"/>
      <c r="Q76" s="292"/>
      <c r="R76" s="292"/>
      <c r="S76" s="292"/>
      <c r="T76" s="292"/>
      <c r="U76" s="292"/>
      <c r="V76" s="292"/>
      <c r="W76" s="292"/>
      <c r="X76" s="292">
        <v>60918.377099999998</v>
      </c>
      <c r="Y76" s="292">
        <v>188846.96900000001</v>
      </c>
      <c r="Z76" s="292">
        <v>188846.96900000001</v>
      </c>
      <c r="AA76" s="292">
        <v>170571.4559</v>
      </c>
      <c r="AB76" s="292">
        <v>188846.96900000001</v>
      </c>
      <c r="AC76" s="292">
        <v>236241.21179999999</v>
      </c>
      <c r="AD76" s="292">
        <v>417834.22960000002</v>
      </c>
      <c r="AE76" s="292">
        <v>584745.45629999996</v>
      </c>
      <c r="AF76" s="292">
        <v>868671.505</v>
      </c>
      <c r="AG76" s="292">
        <v>156428.60389999999</v>
      </c>
      <c r="AH76" s="292">
        <v>76637.653399999996</v>
      </c>
      <c r="AI76" s="292">
        <v>84528.395600000003</v>
      </c>
      <c r="AJ76" s="292">
        <v>164779.4344</v>
      </c>
      <c r="AK76" s="292">
        <v>150761.69</v>
      </c>
      <c r="AL76" s="292">
        <v>147024.5913</v>
      </c>
      <c r="AM76" s="292">
        <v>141354.3388</v>
      </c>
      <c r="AN76" s="292">
        <v>164515.32490000001</v>
      </c>
      <c r="AO76" s="292">
        <v>159497.62289999999</v>
      </c>
      <c r="AP76" s="292">
        <v>307043.69059999997</v>
      </c>
      <c r="AQ76" s="292">
        <v>602034.59770000004</v>
      </c>
      <c r="AR76" s="292">
        <v>710606.56279999996</v>
      </c>
      <c r="AS76" s="292">
        <v>498203.5747</v>
      </c>
      <c r="AT76" s="292">
        <v>331901.95390000002</v>
      </c>
      <c r="AU76" s="292">
        <v>268185.9227</v>
      </c>
      <c r="AV76" s="292"/>
      <c r="AW76" s="292"/>
    </row>
    <row r="77" spans="1:49" s="279" customFormat="1">
      <c r="A77" s="279" t="s">
        <v>248</v>
      </c>
      <c r="B77" s="292">
        <v>68852.811600000001</v>
      </c>
      <c r="C77" s="292">
        <v>65214.8315</v>
      </c>
      <c r="D77" s="292">
        <v>72202.1348</v>
      </c>
      <c r="E77" s="292">
        <v>167604.36680000002</v>
      </c>
      <c r="F77" s="292">
        <v>198438.44020000001</v>
      </c>
      <c r="G77" s="292">
        <v>192037.20010000002</v>
      </c>
      <c r="H77" s="292">
        <v>261270.7795</v>
      </c>
      <c r="I77" s="292">
        <v>286884.02299999999</v>
      </c>
      <c r="J77" s="292">
        <v>167890.14809999999</v>
      </c>
      <c r="K77" s="292">
        <v>70636.729699999996</v>
      </c>
      <c r="L77" s="292">
        <v>52442.611199999999</v>
      </c>
      <c r="M77" s="292">
        <v>48046.566899999998</v>
      </c>
      <c r="N77" s="292">
        <v>43491.8534</v>
      </c>
      <c r="O77" s="292">
        <v>39625.833400000003</v>
      </c>
      <c r="P77" s="292">
        <v>46088.818299999999</v>
      </c>
      <c r="Q77" s="292">
        <v>45569.067000000003</v>
      </c>
      <c r="R77" s="292">
        <v>81254.335599999991</v>
      </c>
      <c r="S77" s="292">
        <v>236919.82399999999</v>
      </c>
      <c r="T77" s="292">
        <v>326284.23060000001</v>
      </c>
      <c r="U77" s="292">
        <v>233495.13250000001</v>
      </c>
      <c r="V77" s="292">
        <v>93989.786699999997</v>
      </c>
      <c r="W77" s="292">
        <v>67967.630900000004</v>
      </c>
      <c r="X77" s="292">
        <v>59491.327300000004</v>
      </c>
      <c r="Y77" s="292">
        <v>55740.923300000002</v>
      </c>
      <c r="Z77" s="292">
        <v>47688.819499999998</v>
      </c>
      <c r="AA77" s="292">
        <v>40153.954800000007</v>
      </c>
      <c r="AB77" s="292">
        <v>41148.556000000004</v>
      </c>
      <c r="AC77" s="292">
        <v>44023.523300000001</v>
      </c>
      <c r="AD77" s="292">
        <v>222158.09600000002</v>
      </c>
      <c r="AE77" s="292">
        <v>468468.09570000001</v>
      </c>
      <c r="AF77" s="292">
        <v>417444.76559999998</v>
      </c>
      <c r="AG77" s="292">
        <v>287853.84250000003</v>
      </c>
      <c r="AH77" s="292">
        <v>153421.52859999999</v>
      </c>
      <c r="AI77" s="292">
        <v>53906.840799999998</v>
      </c>
      <c r="AJ77" s="292">
        <v>44201.6129</v>
      </c>
      <c r="AK77" s="292">
        <v>50320.941200000001</v>
      </c>
      <c r="AL77" s="292">
        <v>50594.830099999999</v>
      </c>
      <c r="AM77" s="292">
        <v>42958.9061</v>
      </c>
      <c r="AN77" s="292">
        <v>45679</v>
      </c>
      <c r="AO77" s="292">
        <v>52680.807000000001</v>
      </c>
      <c r="AP77" s="292">
        <v>186015.23800000001</v>
      </c>
      <c r="AQ77" s="292">
        <v>407409.41080000001</v>
      </c>
      <c r="AR77" s="292">
        <v>511828.76030000002</v>
      </c>
      <c r="AS77" s="292">
        <v>419591.93440000003</v>
      </c>
      <c r="AT77" s="292">
        <v>251646.23639999999</v>
      </c>
      <c r="AU77" s="292">
        <v>114603.51479999999</v>
      </c>
      <c r="AV77" s="292">
        <v>44131.636700000003</v>
      </c>
      <c r="AW77" s="292">
        <v>35010.669900000001</v>
      </c>
    </row>
    <row r="78" spans="1:49" s="279" customFormat="1">
      <c r="A78" s="279" t="s">
        <v>249</v>
      </c>
      <c r="B78" s="292">
        <v>23921.439499999997</v>
      </c>
      <c r="C78" s="292">
        <v>34527.051599999999</v>
      </c>
      <c r="D78" s="292">
        <v>90677.821499999991</v>
      </c>
      <c r="E78" s="292">
        <v>87752.730500000005</v>
      </c>
      <c r="F78" s="292">
        <v>156234.27970000001</v>
      </c>
      <c r="G78" s="292">
        <v>369932.71500000003</v>
      </c>
      <c r="H78" s="292">
        <v>382263.80550000002</v>
      </c>
      <c r="I78" s="292">
        <v>309592.13650000002</v>
      </c>
      <c r="J78" s="292">
        <v>97413.95610000001</v>
      </c>
      <c r="K78" s="292">
        <v>100661.0879</v>
      </c>
      <c r="L78" s="292">
        <v>81418.145499999999</v>
      </c>
      <c r="M78" s="292">
        <v>38677.322199999995</v>
      </c>
      <c r="N78" s="292">
        <v>38677.322199999995</v>
      </c>
      <c r="O78" s="292">
        <v>39419.374900000003</v>
      </c>
      <c r="P78" s="292">
        <v>49828.241699999999</v>
      </c>
      <c r="Q78" s="292">
        <v>48220.879099999998</v>
      </c>
      <c r="R78" s="292">
        <v>115053.8021</v>
      </c>
      <c r="S78" s="292">
        <v>260286.01070000001</v>
      </c>
      <c r="T78" s="292">
        <v>353764.44319999998</v>
      </c>
      <c r="U78" s="292">
        <v>318033.33679999999</v>
      </c>
      <c r="V78" s="292">
        <v>75041.904299999995</v>
      </c>
      <c r="W78" s="292">
        <v>115652.18979999999</v>
      </c>
      <c r="X78" s="292">
        <v>44154.059000000001</v>
      </c>
      <c r="Y78" s="292">
        <v>35600.216699999997</v>
      </c>
      <c r="Z78" s="292">
        <v>37256.580399999999</v>
      </c>
      <c r="AA78" s="292">
        <v>34524.066699999996</v>
      </c>
      <c r="AB78" s="292">
        <v>41046.770700000001</v>
      </c>
      <c r="AC78" s="292">
        <v>58882.926300000006</v>
      </c>
      <c r="AD78" s="292">
        <v>120741.3768</v>
      </c>
      <c r="AE78" s="292">
        <v>312975.90860000002</v>
      </c>
      <c r="AF78" s="292">
        <v>364220.647</v>
      </c>
      <c r="AG78" s="292">
        <v>111371.9494</v>
      </c>
      <c r="AH78" s="292">
        <v>205999.31840000002</v>
      </c>
      <c r="AI78" s="292">
        <v>72850.298600000009</v>
      </c>
      <c r="AJ78" s="292">
        <v>41538.666700000002</v>
      </c>
      <c r="AK78" s="292">
        <v>23240.212800000001</v>
      </c>
      <c r="AL78" s="292">
        <v>22114.212800000001</v>
      </c>
      <c r="AM78" s="292">
        <v>22692.308099999998</v>
      </c>
      <c r="AN78" s="292">
        <v>36316.791400000002</v>
      </c>
      <c r="AO78" s="292">
        <v>39751.164400000001</v>
      </c>
      <c r="AP78" s="292">
        <v>141454.69</v>
      </c>
      <c r="AQ78" s="292">
        <v>393514.37200000003</v>
      </c>
      <c r="AR78" s="292">
        <v>502180.76819999999</v>
      </c>
      <c r="AS78" s="292">
        <v>346969.56760000001</v>
      </c>
      <c r="AT78" s="292">
        <v>159997.20370000001</v>
      </c>
      <c r="AU78" s="292">
        <v>74854.229600000006</v>
      </c>
      <c r="AV78" s="292">
        <v>49591.112699999998</v>
      </c>
      <c r="AW78" s="292">
        <v>3869.75</v>
      </c>
    </row>
    <row r="79" spans="1:49" s="279" customFormat="1">
      <c r="A79" s="279" t="s">
        <v>253</v>
      </c>
      <c r="B79" s="292"/>
      <c r="C79" s="292"/>
      <c r="D79" s="292"/>
      <c r="E79" s="292"/>
      <c r="F79" s="292"/>
      <c r="G79" s="292"/>
      <c r="H79" s="292"/>
      <c r="I79" s="292"/>
      <c r="J79" s="292"/>
      <c r="K79" s="292"/>
      <c r="L79" s="292"/>
      <c r="M79" s="292"/>
      <c r="N79" s="292">
        <v>2031.7073</v>
      </c>
      <c r="O79" s="292">
        <v>62780.662199999999</v>
      </c>
      <c r="P79" s="292">
        <v>69282.698600000003</v>
      </c>
      <c r="Q79" s="292">
        <v>54321.535199999998</v>
      </c>
      <c r="R79" s="292">
        <v>50496.347800000003</v>
      </c>
      <c r="S79" s="292">
        <v>116054.3731</v>
      </c>
      <c r="T79" s="292">
        <v>160117.14420000001</v>
      </c>
      <c r="U79" s="292">
        <v>137781.826</v>
      </c>
      <c r="V79" s="292">
        <v>123044.4776</v>
      </c>
      <c r="W79" s="292">
        <v>66167.332899999994</v>
      </c>
      <c r="X79" s="292">
        <v>46821.193500000001</v>
      </c>
      <c r="Y79" s="292">
        <v>24914.125700000001</v>
      </c>
      <c r="Z79" s="292">
        <v>16751.421600000001</v>
      </c>
      <c r="AA79" s="292">
        <v>26609.433000000001</v>
      </c>
      <c r="AB79" s="292">
        <v>36521.011400000003</v>
      </c>
      <c r="AC79" s="292">
        <v>67079.476500000004</v>
      </c>
      <c r="AD79" s="292">
        <v>98010.600699999995</v>
      </c>
      <c r="AE79" s="292">
        <v>134619.57430000001</v>
      </c>
      <c r="AF79" s="292">
        <v>159655.0398</v>
      </c>
      <c r="AG79" s="292">
        <v>149946.3536</v>
      </c>
      <c r="AH79" s="292">
        <v>103848.45</v>
      </c>
      <c r="AI79" s="292">
        <v>67496.585000000006</v>
      </c>
      <c r="AJ79" s="292">
        <v>54081.599999999999</v>
      </c>
      <c r="AK79" s="292">
        <v>33162.123699999996</v>
      </c>
      <c r="AL79" s="292">
        <v>16751.6486</v>
      </c>
      <c r="AM79" s="292">
        <v>16255.8632</v>
      </c>
      <c r="AN79" s="292">
        <v>18689.737400000002</v>
      </c>
      <c r="AO79" s="292">
        <v>64528.219899999996</v>
      </c>
      <c r="AP79" s="292">
        <v>98672.109400000001</v>
      </c>
      <c r="AQ79" s="292">
        <v>128050.2654</v>
      </c>
      <c r="AR79" s="292">
        <v>161759.2934</v>
      </c>
      <c r="AS79" s="292">
        <v>135719.20000000001</v>
      </c>
      <c r="AT79" s="292">
        <v>117481.1115</v>
      </c>
      <c r="AU79" s="292">
        <v>74794.042600000001</v>
      </c>
      <c r="AV79" s="292">
        <v>47576.452599999997</v>
      </c>
      <c r="AW79" s="292">
        <v>11101.1723</v>
      </c>
    </row>
    <row r="80" spans="1:49" s="279" customFormat="1">
      <c r="A80" s="279" t="s">
        <v>250</v>
      </c>
      <c r="B80" s="292">
        <v>174096.37</v>
      </c>
      <c r="C80" s="292">
        <v>297867.98</v>
      </c>
      <c r="D80" s="292">
        <v>179806.79</v>
      </c>
      <c r="E80" s="292">
        <v>426973.5</v>
      </c>
      <c r="F80" s="292">
        <v>673648.83000000007</v>
      </c>
      <c r="G80" s="292">
        <v>877120</v>
      </c>
      <c r="H80" s="292">
        <v>1073329.6300000001</v>
      </c>
      <c r="I80" s="292">
        <v>1208337.8999999999</v>
      </c>
      <c r="J80" s="292">
        <v>638830.43999999994</v>
      </c>
      <c r="K80" s="292">
        <v>385151.77</v>
      </c>
      <c r="L80" s="292">
        <v>268627.67</v>
      </c>
      <c r="M80" s="292">
        <v>168099.29</v>
      </c>
      <c r="N80" s="292">
        <v>100770</v>
      </c>
      <c r="O80" s="292">
        <v>100706.53</v>
      </c>
      <c r="P80" s="292">
        <v>122602.37</v>
      </c>
      <c r="Q80" s="292">
        <v>325541.44</v>
      </c>
      <c r="R80" s="292">
        <v>828147.88</v>
      </c>
      <c r="S80" s="292">
        <v>995441.48</v>
      </c>
      <c r="T80" s="292">
        <v>1280772.26</v>
      </c>
      <c r="U80" s="292">
        <v>1089622.05</v>
      </c>
      <c r="V80" s="292">
        <v>581351.47</v>
      </c>
      <c r="W80" s="292">
        <v>456336.75</v>
      </c>
      <c r="X80" s="292">
        <v>276580.88</v>
      </c>
      <c r="Y80" s="292">
        <v>282108.67000000004</v>
      </c>
      <c r="Z80" s="292">
        <v>200517</v>
      </c>
      <c r="AA80" s="292">
        <v>88890.060000000012</v>
      </c>
      <c r="AB80" s="292">
        <v>143906.94</v>
      </c>
      <c r="AC80" s="292">
        <v>290801.48</v>
      </c>
      <c r="AD80" s="292">
        <v>564514.42999999993</v>
      </c>
      <c r="AE80" s="292">
        <v>1023540</v>
      </c>
      <c r="AF80" s="292">
        <v>1220440</v>
      </c>
      <c r="AG80" s="292">
        <v>986310</v>
      </c>
      <c r="AH80" s="292">
        <v>574726.23</v>
      </c>
      <c r="AI80" s="292">
        <v>387660</v>
      </c>
      <c r="AJ80" s="292">
        <v>261283.94999999998</v>
      </c>
      <c r="AK80" s="292">
        <v>92800</v>
      </c>
      <c r="AL80" s="292">
        <v>62378.880000000005</v>
      </c>
      <c r="AM80" s="292">
        <v>69658.11</v>
      </c>
      <c r="AN80" s="292">
        <v>86045.26999999999</v>
      </c>
      <c r="AO80" s="292">
        <v>139729.23000000001</v>
      </c>
      <c r="AP80" s="292">
        <v>609525.74000000011</v>
      </c>
      <c r="AQ80" s="292">
        <v>991593.02999999991</v>
      </c>
      <c r="AR80" s="292">
        <v>1013480.84</v>
      </c>
      <c r="AS80" s="292">
        <v>876056.42</v>
      </c>
      <c r="AT80" s="292">
        <v>617683.65</v>
      </c>
      <c r="AU80" s="292">
        <v>511495.41</v>
      </c>
      <c r="AV80" s="292">
        <v>344181.81</v>
      </c>
      <c r="AW80" s="292">
        <v>0</v>
      </c>
    </row>
    <row r="81" spans="1:60" s="279" customFormat="1">
      <c r="A81" s="750" t="s">
        <v>140</v>
      </c>
      <c r="B81" s="292">
        <v>37027.392999999996</v>
      </c>
      <c r="C81" s="292">
        <v>35443.220200000003</v>
      </c>
      <c r="D81" s="292">
        <v>40126.034099999997</v>
      </c>
      <c r="E81" s="292">
        <v>115154.2534</v>
      </c>
      <c r="F81" s="292">
        <v>158426.07569999999</v>
      </c>
      <c r="G81" s="292">
        <v>269383.55530000001</v>
      </c>
      <c r="H81" s="292">
        <v>358320.96139999997</v>
      </c>
      <c r="I81" s="292">
        <v>310012.59450000001</v>
      </c>
      <c r="J81" s="292">
        <v>280887.17499999999</v>
      </c>
      <c r="K81" s="292">
        <v>153020.60649999999</v>
      </c>
      <c r="L81" s="292">
        <v>101892.20849999999</v>
      </c>
      <c r="M81" s="292">
        <v>32203.426500000001</v>
      </c>
      <c r="N81" s="292">
        <v>14662.9812</v>
      </c>
      <c r="O81" s="292">
        <v>38434.052000000003</v>
      </c>
      <c r="P81" s="292">
        <v>54990.831700000002</v>
      </c>
      <c r="Q81" s="292">
        <v>221880.9835</v>
      </c>
      <c r="R81" s="292">
        <v>303971.09539999999</v>
      </c>
      <c r="S81" s="292">
        <v>340018.37050000002</v>
      </c>
      <c r="T81" s="292">
        <v>378783.54920000001</v>
      </c>
      <c r="U81" s="292">
        <v>291986.40289999999</v>
      </c>
      <c r="V81" s="292">
        <v>242568.80170000001</v>
      </c>
      <c r="W81" s="292">
        <v>243014.49419999999</v>
      </c>
      <c r="X81" s="292">
        <v>233018.88389999999</v>
      </c>
      <c r="Y81" s="292">
        <v>80915.400099999999</v>
      </c>
      <c r="Z81" s="292">
        <v>25308.172299999998</v>
      </c>
      <c r="AA81" s="292">
        <v>31147.9352</v>
      </c>
      <c r="AB81" s="292">
        <v>39583.570299999999</v>
      </c>
      <c r="AC81" s="292">
        <v>134433.17809999999</v>
      </c>
      <c r="AD81" s="292">
        <v>225828.6586</v>
      </c>
      <c r="AE81" s="292">
        <v>312591.44949999999</v>
      </c>
      <c r="AF81" s="292">
        <v>371602.41739999998</v>
      </c>
      <c r="AG81" s="292">
        <v>288172.65580000001</v>
      </c>
      <c r="AH81" s="292">
        <v>240429.86900000001</v>
      </c>
      <c r="AI81" s="292">
        <v>252745.27780000001</v>
      </c>
      <c r="AJ81" s="292">
        <v>245806.2188</v>
      </c>
      <c r="AK81" s="292">
        <v>99615.793999999994</v>
      </c>
      <c r="AL81" s="292">
        <v>26099.62</v>
      </c>
      <c r="AM81" s="292">
        <v>19110.054899999999</v>
      </c>
      <c r="AN81" s="292">
        <v>18411.972300000001</v>
      </c>
      <c r="AO81" s="292">
        <v>155939.00080000001</v>
      </c>
      <c r="AP81" s="292">
        <v>256286.96429999999</v>
      </c>
      <c r="AQ81" s="292">
        <v>350404.59379999997</v>
      </c>
      <c r="AR81" s="292">
        <v>454657.80670000002</v>
      </c>
      <c r="AS81" s="292">
        <v>362152.5993</v>
      </c>
      <c r="AT81" s="292">
        <v>301233.61479999998</v>
      </c>
      <c r="AU81" s="292">
        <v>211511.4185</v>
      </c>
      <c r="AV81" s="292">
        <v>151588.6397</v>
      </c>
      <c r="AW81" s="292">
        <v>40423.637199999997</v>
      </c>
      <c r="AX81" s="687"/>
      <c r="AY81" s="293"/>
      <c r="AZ81" s="293"/>
      <c r="BA81" s="293"/>
      <c r="BB81" s="293"/>
      <c r="BC81" s="293"/>
      <c r="BD81" s="293"/>
      <c r="BE81" s="293"/>
      <c r="BF81" s="293"/>
      <c r="BG81" s="293"/>
      <c r="BH81" s="293"/>
    </row>
    <row r="82" spans="1:60" s="279" customFormat="1">
      <c r="A82" s="279" t="s">
        <v>262</v>
      </c>
      <c r="B82" s="292">
        <v>34292.785199999998</v>
      </c>
      <c r="C82" s="292">
        <v>30846.344799999999</v>
      </c>
      <c r="D82" s="292">
        <v>38595</v>
      </c>
      <c r="E82" s="292">
        <v>55056.8387</v>
      </c>
      <c r="F82" s="292">
        <v>185663.50510000001</v>
      </c>
      <c r="G82" s="292">
        <v>399616.25630000001</v>
      </c>
      <c r="H82" s="292">
        <v>347502.93329999998</v>
      </c>
      <c r="I82" s="292">
        <v>382977.24800000002</v>
      </c>
      <c r="J82" s="292">
        <v>209542.2188</v>
      </c>
      <c r="K82" s="292">
        <v>91212.333299999998</v>
      </c>
      <c r="L82" s="292">
        <v>51221.666700000002</v>
      </c>
      <c r="M82" s="292">
        <v>44285.25</v>
      </c>
      <c r="N82" s="292">
        <v>41949.95</v>
      </c>
      <c r="O82" s="292">
        <v>39420.864500000003</v>
      </c>
      <c r="P82" s="292">
        <v>49967.483899999999</v>
      </c>
      <c r="Q82" s="292">
        <v>109968.4516</v>
      </c>
      <c r="R82" s="292">
        <v>315101</v>
      </c>
      <c r="S82" s="292">
        <v>456777.87099999998</v>
      </c>
      <c r="T82" s="292">
        <v>529568.75399999996</v>
      </c>
      <c r="U82" s="292">
        <v>432226.5417</v>
      </c>
      <c r="V82" s="292">
        <v>211717.5521</v>
      </c>
      <c r="W82" s="292">
        <v>139584.6813</v>
      </c>
      <c r="X82" s="292">
        <v>77949.117199999993</v>
      </c>
      <c r="Y82" s="292">
        <v>44064.188699999999</v>
      </c>
      <c r="Z82" s="292">
        <v>43215.106599999999</v>
      </c>
      <c r="AA82" s="292">
        <v>38356.6875</v>
      </c>
      <c r="AB82" s="292">
        <v>68259.4375</v>
      </c>
      <c r="AC82" s="292">
        <v>119197.77220000001</v>
      </c>
      <c r="AD82" s="292">
        <v>295834.04889999999</v>
      </c>
      <c r="AE82" s="292">
        <v>510171.79310000001</v>
      </c>
      <c r="AF82" s="292">
        <v>522074.04210000002</v>
      </c>
      <c r="AG82" s="292">
        <v>477237.92349999998</v>
      </c>
      <c r="AH82" s="292">
        <v>346397.386</v>
      </c>
      <c r="AI82" s="292">
        <v>199756.70389999999</v>
      </c>
      <c r="AJ82" s="292">
        <v>137197.39290000001</v>
      </c>
      <c r="AK82" s="292">
        <v>87184.129000000001</v>
      </c>
      <c r="AL82" s="292">
        <v>36510.870999999999</v>
      </c>
      <c r="AM82" s="292">
        <v>30949.655200000001</v>
      </c>
      <c r="AN82" s="292">
        <v>38814.930999999997</v>
      </c>
      <c r="AO82" s="292">
        <v>38007.868300000002</v>
      </c>
      <c r="AP82" s="292">
        <v>45002.835800000001</v>
      </c>
      <c r="AQ82" s="292">
        <v>164427.48389999999</v>
      </c>
      <c r="AR82" s="292">
        <v>340881.3027</v>
      </c>
      <c r="AS82" s="292">
        <v>305784.34250000003</v>
      </c>
      <c r="AT82" s="292">
        <v>184079.3806</v>
      </c>
      <c r="AU82" s="292">
        <v>87098.820699999997</v>
      </c>
      <c r="AV82" s="292">
        <v>41529.310299999997</v>
      </c>
      <c r="AW82" s="292">
        <v>11456.069</v>
      </c>
      <c r="AX82" s="687"/>
      <c r="AY82" s="293"/>
      <c r="AZ82" s="293"/>
      <c r="BA82" s="293"/>
      <c r="BB82" s="293"/>
      <c r="BC82" s="293"/>
      <c r="BD82" s="293"/>
      <c r="BE82" s="293"/>
      <c r="BF82" s="293"/>
      <c r="BG82" s="293"/>
      <c r="BH82" s="293"/>
    </row>
    <row r="83" spans="1:60" s="279" customFormat="1">
      <c r="A83" s="279" t="s">
        <v>251</v>
      </c>
      <c r="B83" s="292"/>
      <c r="C83" s="292"/>
      <c r="D83" s="292"/>
      <c r="E83" s="292"/>
      <c r="F83" s="292"/>
      <c r="G83" s="292"/>
      <c r="H83" s="292"/>
      <c r="I83" s="292"/>
      <c r="J83" s="292"/>
      <c r="K83" s="292"/>
      <c r="L83" s="292"/>
      <c r="M83" s="292"/>
      <c r="N83" s="292"/>
      <c r="O83" s="292"/>
      <c r="P83" s="292"/>
      <c r="Q83" s="292"/>
      <c r="R83" s="292">
        <v>203083.34409999999</v>
      </c>
      <c r="S83" s="292">
        <v>559224.50300000003</v>
      </c>
      <c r="T83" s="292">
        <v>585969.84880000004</v>
      </c>
      <c r="U83" s="292">
        <v>516064.6862</v>
      </c>
      <c r="V83" s="292">
        <v>499403.65250000003</v>
      </c>
      <c r="W83" s="292">
        <v>120612.9687</v>
      </c>
      <c r="X83" s="292">
        <v>703700.67359999998</v>
      </c>
      <c r="Y83" s="292">
        <v>427007.78049999999</v>
      </c>
      <c r="Z83" s="292">
        <v>357548.38709999999</v>
      </c>
      <c r="AA83" s="292">
        <v>481965.00219999999</v>
      </c>
      <c r="AB83" s="292">
        <v>631230.52830000001</v>
      </c>
      <c r="AC83" s="292">
        <v>979045.19720000005</v>
      </c>
      <c r="AD83" s="292">
        <v>1268516.6277999999</v>
      </c>
      <c r="AE83" s="292">
        <v>759260.70310000004</v>
      </c>
      <c r="AF83" s="292">
        <v>558694.22360000003</v>
      </c>
      <c r="AG83" s="292">
        <v>537290.31810000003</v>
      </c>
      <c r="AH83" s="292">
        <v>453963.93800000002</v>
      </c>
      <c r="AI83" s="292">
        <v>382227.5992</v>
      </c>
      <c r="AJ83" s="292">
        <v>494021.78139999998</v>
      </c>
      <c r="AK83" s="292">
        <v>398664.68839999998</v>
      </c>
      <c r="AL83" s="292">
        <v>239915.31719999999</v>
      </c>
      <c r="AM83" s="292">
        <v>69301.3321</v>
      </c>
      <c r="AN83" s="292">
        <v>51957.234900000003</v>
      </c>
      <c r="AO83" s="292">
        <v>897060.88899999997</v>
      </c>
      <c r="AP83" s="292">
        <v>896140.56880000001</v>
      </c>
      <c r="AQ83" s="292">
        <v>573048.51619999995</v>
      </c>
      <c r="AR83" s="292">
        <v>632435.66</v>
      </c>
      <c r="AS83" s="292">
        <v>583839.83689999999</v>
      </c>
      <c r="AT83" s="292">
        <v>472385.55709999998</v>
      </c>
      <c r="AU83" s="292">
        <v>466136.95770000003</v>
      </c>
      <c r="AV83" s="292">
        <v>271550.57539999997</v>
      </c>
      <c r="AW83" s="292">
        <v>16273.412899999999</v>
      </c>
      <c r="AX83" s="687"/>
      <c r="AY83" s="293"/>
      <c r="AZ83" s="293"/>
      <c r="BA83" s="293"/>
      <c r="BB83" s="293"/>
      <c r="BC83" s="293"/>
      <c r="BD83" s="293"/>
      <c r="BE83" s="293"/>
      <c r="BF83" s="293"/>
      <c r="BG83" s="293"/>
      <c r="BH83" s="293" t="s">
        <v>274</v>
      </c>
    </row>
    <row r="84" spans="1:60" s="279" customFormat="1">
      <c r="A84" s="279" t="s">
        <v>261</v>
      </c>
      <c r="B84" s="292">
        <v>33089.491800000003</v>
      </c>
      <c r="C84" s="292">
        <v>27856.617999999999</v>
      </c>
      <c r="D84" s="292">
        <v>56836.731200000002</v>
      </c>
      <c r="E84" s="292">
        <v>58730.238100000002</v>
      </c>
      <c r="F84" s="292">
        <v>202696.70439999999</v>
      </c>
      <c r="G84" s="292">
        <v>229140.78810000001</v>
      </c>
      <c r="H84" s="292">
        <v>264590.34610000002</v>
      </c>
      <c r="I84" s="292">
        <v>268710.57299999997</v>
      </c>
      <c r="J84" s="292">
        <v>143569.42069999999</v>
      </c>
      <c r="K84" s="292">
        <v>133384.63449999999</v>
      </c>
      <c r="L84" s="292">
        <v>39645.738499999999</v>
      </c>
      <c r="M84" s="292">
        <v>40967.263099999996</v>
      </c>
      <c r="N84" s="292">
        <v>26950.773099999999</v>
      </c>
      <c r="O84" s="292">
        <v>24307.723900000001</v>
      </c>
      <c r="P84" s="292">
        <v>74582.112099999998</v>
      </c>
      <c r="Q84" s="292">
        <v>77215.199999999997</v>
      </c>
      <c r="R84" s="292">
        <v>271972.5393</v>
      </c>
      <c r="S84" s="292">
        <v>298965.39150000003</v>
      </c>
      <c r="T84" s="292">
        <v>390578.99650000001</v>
      </c>
      <c r="U84" s="292">
        <v>399327.00630000001</v>
      </c>
      <c r="V84" s="292">
        <v>128872.16130000001</v>
      </c>
      <c r="W84" s="292">
        <v>117832.4262</v>
      </c>
      <c r="X84" s="292">
        <v>27626.7179</v>
      </c>
      <c r="Y84" s="292">
        <v>28547.608499999998</v>
      </c>
      <c r="Z84" s="292">
        <v>21089.007099999999</v>
      </c>
      <c r="AA84" s="292">
        <v>18050.090800000002</v>
      </c>
      <c r="AB84" s="292">
        <v>54789.347500000003</v>
      </c>
      <c r="AC84" s="292">
        <v>58011.959000000003</v>
      </c>
      <c r="AD84" s="292">
        <v>263146.26610000001</v>
      </c>
      <c r="AE84" s="292">
        <v>283790.37579999998</v>
      </c>
      <c r="AF84" s="292">
        <v>308141.83600000001</v>
      </c>
      <c r="AG84" s="292">
        <v>311005.64</v>
      </c>
      <c r="AH84" s="292">
        <v>142150.39749999999</v>
      </c>
      <c r="AI84" s="292">
        <v>141229.54079999999</v>
      </c>
      <c r="AJ84" s="292">
        <v>140793.88029999999</v>
      </c>
      <c r="AK84" s="292">
        <v>80599.907999999996</v>
      </c>
      <c r="AL84" s="292">
        <v>23365.0733</v>
      </c>
      <c r="AM84" s="292">
        <v>15410.08</v>
      </c>
      <c r="AN84" s="292">
        <v>31047.022099999998</v>
      </c>
      <c r="AO84" s="292">
        <v>31495.6522</v>
      </c>
      <c r="AP84" s="292">
        <v>217746.59229999999</v>
      </c>
      <c r="AQ84" s="292">
        <v>284042.58620000002</v>
      </c>
      <c r="AR84" s="292">
        <v>304558.17239999998</v>
      </c>
      <c r="AS84" s="292">
        <v>307209.5724</v>
      </c>
      <c r="AT84" s="292">
        <v>132245.29240000001</v>
      </c>
      <c r="AU84" s="292">
        <v>124470.89</v>
      </c>
      <c r="AV84" s="292">
        <v>57974.512499999997</v>
      </c>
      <c r="AW84" s="292">
        <v>59906.996299999999</v>
      </c>
      <c r="AX84" s="687"/>
      <c r="AY84" s="293"/>
      <c r="AZ84" s="293"/>
      <c r="BA84" s="293"/>
      <c r="BB84" s="293"/>
      <c r="BC84" s="293"/>
      <c r="BD84" s="293"/>
      <c r="BE84" s="293"/>
      <c r="BF84" s="293"/>
      <c r="BG84" s="293"/>
      <c r="BH84" s="293"/>
    </row>
    <row r="85" spans="1:60" s="279" customFormat="1">
      <c r="AX85" s="687"/>
      <c r="AY85" s="293"/>
      <c r="AZ85" s="293"/>
      <c r="BA85" s="293"/>
      <c r="BB85" s="293"/>
      <c r="BC85" s="293"/>
      <c r="BD85" s="293"/>
      <c r="BE85" s="293"/>
      <c r="BF85" s="293"/>
      <c r="BG85" s="293"/>
      <c r="BH85" s="293"/>
    </row>
    <row r="86" spans="1:60" s="279" customFormat="1">
      <c r="AX86" s="687"/>
      <c r="AY86" s="293"/>
      <c r="AZ86" s="293"/>
      <c r="BA86" s="293"/>
      <c r="BB86" s="293"/>
      <c r="BC86" s="293"/>
      <c r="BD86" s="293"/>
      <c r="BE86" s="293"/>
      <c r="BF86" s="293"/>
      <c r="BG86" s="293"/>
      <c r="BH86" s="293"/>
    </row>
    <row r="87" spans="1:60" s="279" customFormat="1">
      <c r="AX87" s="687"/>
      <c r="AY87" s="293"/>
      <c r="AZ87" s="293"/>
      <c r="BA87" s="293"/>
      <c r="BB87" s="293"/>
      <c r="BC87" s="293"/>
      <c r="BD87" s="293"/>
      <c r="BE87" s="293"/>
      <c r="BF87" s="293"/>
      <c r="BG87" s="293"/>
      <c r="BH87" s="293"/>
    </row>
    <row r="88" spans="1:60" s="279" customFormat="1">
      <c r="B88" s="279" t="s">
        <v>269</v>
      </c>
      <c r="C88" s="279" t="s">
        <v>270</v>
      </c>
      <c r="D88" s="279" t="s">
        <v>271</v>
      </c>
      <c r="E88" s="293" t="s">
        <v>278</v>
      </c>
      <c r="F88" s="293" t="s">
        <v>279</v>
      </c>
      <c r="G88" s="293" t="s">
        <v>280</v>
      </c>
      <c r="AX88" s="687"/>
      <c r="AY88" s="293"/>
      <c r="AZ88" s="293"/>
      <c r="BA88" s="293"/>
      <c r="BB88" s="293"/>
      <c r="BC88" s="293"/>
      <c r="BD88" s="293"/>
      <c r="BE88" s="293"/>
      <c r="BF88" s="293"/>
      <c r="BG88" s="293"/>
      <c r="BH88" s="293"/>
    </row>
    <row r="89" spans="1:60" s="279" customFormat="1">
      <c r="A89" s="293" t="s">
        <v>240</v>
      </c>
      <c r="B89" s="294">
        <f>SUM(H65:S65)</f>
        <v>1429579.625</v>
      </c>
      <c r="C89" s="294">
        <f>SUM(T65:AE65)</f>
        <v>1359528.1216</v>
      </c>
      <c r="D89" s="294">
        <f>SUM(AF65:AQ65)</f>
        <v>1468687.1332</v>
      </c>
      <c r="E89" s="280">
        <f>1000*'Historic Utility Costs'!B89/'Historic Consumption'!B89</f>
        <v>28.62887885660793</v>
      </c>
      <c r="F89" s="280">
        <f>1000*'Historic Utility Costs'!C89/'Historic Consumption'!C89</f>
        <v>27.597132860955156</v>
      </c>
      <c r="G89" s="298">
        <f>1000*'Historic Utility Costs'!D89/'Historic Consumption'!D89</f>
        <v>28.409276800219732</v>
      </c>
      <c r="AX89" s="687"/>
      <c r="AY89" s="293"/>
      <c r="AZ89" s="293"/>
      <c r="BA89" s="293"/>
      <c r="BB89" s="293"/>
      <c r="BC89" s="293"/>
      <c r="BD89" s="293"/>
      <c r="BE89" s="293"/>
      <c r="BF89" s="293"/>
      <c r="BG89" s="293"/>
      <c r="BH89" s="293"/>
    </row>
    <row r="90" spans="1:60" s="279" customFormat="1">
      <c r="A90" s="293" t="s">
        <v>241</v>
      </c>
      <c r="B90" s="294">
        <f>SUM(H68:S68)</f>
        <v>9200603.3961999994</v>
      </c>
      <c r="C90" s="294">
        <f>SUM(T68:AE68)</f>
        <v>9972530.4552999996</v>
      </c>
      <c r="D90" s="294">
        <f>SUM(AF68:AQ68)</f>
        <v>8765999.4948000014</v>
      </c>
      <c r="E90" s="280">
        <f>1000*'Historic Utility Costs'!B90/'Historic Consumption'!B90</f>
        <v>17.049992847728877</v>
      </c>
      <c r="F90" s="280">
        <f>1000*'Historic Utility Costs'!C90/'Historic Consumption'!C90</f>
        <v>17.410509978209625</v>
      </c>
      <c r="G90" s="298">
        <f>1000*'Historic Utility Costs'!D90/'Historic Consumption'!D90</f>
        <v>18.200848539250362</v>
      </c>
      <c r="AX90" s="687"/>
      <c r="AY90" s="293"/>
      <c r="AZ90" s="293"/>
      <c r="BA90" s="293"/>
      <c r="BB90" s="293"/>
      <c r="BC90" s="293"/>
      <c r="BD90" s="293"/>
      <c r="BE90" s="293"/>
      <c r="BF90" s="293"/>
      <c r="BG90" s="293"/>
      <c r="BH90" s="293"/>
    </row>
    <row r="91" spans="1:60" s="279" customFormat="1">
      <c r="A91" s="293" t="s">
        <v>242</v>
      </c>
      <c r="B91" s="294">
        <f>SUM(H69:S69)</f>
        <v>3427261.6167999995</v>
      </c>
      <c r="C91" s="294">
        <f>SUM(T69:AE69)</f>
        <v>3448411.4386999998</v>
      </c>
      <c r="D91" s="294">
        <f>SUM(AF69:AQ69)</f>
        <v>3761973.2112000007</v>
      </c>
      <c r="E91" s="280">
        <f>1000*'Historic Utility Costs'!B91/'Historic Consumption'!B91</f>
        <v>28.760467691414089</v>
      </c>
      <c r="F91" s="280">
        <f>1000*'Historic Utility Costs'!C91/'Historic Consumption'!C91</f>
        <v>28.099398874668282</v>
      </c>
      <c r="G91" s="298">
        <f>1000*'Historic Utility Costs'!D91/'Historic Consumption'!D91</f>
        <v>26.158792095334839</v>
      </c>
      <c r="AX91" s="687"/>
      <c r="AY91" s="293"/>
      <c r="AZ91" s="293"/>
      <c r="BA91" s="293"/>
      <c r="BB91" s="293"/>
      <c r="BC91" s="293"/>
      <c r="BD91" s="293"/>
      <c r="BE91" s="293"/>
      <c r="BF91" s="293"/>
      <c r="BG91" s="293"/>
      <c r="BH91" s="293"/>
    </row>
    <row r="92" spans="1:60" s="279" customFormat="1">
      <c r="A92" s="293" t="s">
        <v>243</v>
      </c>
      <c r="B92" s="294">
        <f>SUM(H67:S67)</f>
        <v>646430.28850000002</v>
      </c>
      <c r="C92" s="294">
        <f>SUM(T67:AE67)</f>
        <v>826431.26540000003</v>
      </c>
      <c r="D92" s="294">
        <f>SUM(AF67:AQ67)</f>
        <v>966365.2956999999</v>
      </c>
      <c r="E92" s="280">
        <f>1000*'Historic Utility Costs'!B92/'Historic Consumption'!B92</f>
        <v>24.799271143681871</v>
      </c>
      <c r="F92" s="280">
        <f>1000*'Historic Utility Costs'!C92/'Historic Consumption'!C92</f>
        <v>24.522041878692942</v>
      </c>
      <c r="G92" s="298">
        <f>1000*'Historic Utility Costs'!D92/'Historic Consumption'!D92</f>
        <v>24.420015810797501</v>
      </c>
      <c r="AX92" s="687"/>
      <c r="AY92" s="293"/>
      <c r="AZ92" s="293"/>
      <c r="BA92" s="293"/>
      <c r="BB92" s="293"/>
      <c r="BC92" s="293"/>
      <c r="BD92" s="293"/>
      <c r="BE92" s="293"/>
      <c r="BF92" s="293"/>
      <c r="BG92" s="293"/>
      <c r="BH92" s="293"/>
    </row>
    <row r="93" spans="1:60" s="279" customFormat="1">
      <c r="A93" s="293" t="s">
        <v>244</v>
      </c>
      <c r="B93" s="294">
        <f>SUM(H70:S70)</f>
        <v>1190514.9104000002</v>
      </c>
      <c r="C93" s="294">
        <f>SUM(T70:AE70)</f>
        <v>1181517.4103999999</v>
      </c>
      <c r="D93" s="294">
        <f>SUM(AF70:AQ70)</f>
        <v>1425950.486</v>
      </c>
      <c r="E93" s="280">
        <f>1000*'Historic Utility Costs'!B93/'Historic Consumption'!B93</f>
        <v>23.019593589795662</v>
      </c>
      <c r="F93" s="280">
        <f>1000*'Historic Utility Costs'!C93/'Historic Consumption'!C93</f>
        <v>23.109726746012242</v>
      </c>
      <c r="G93" s="298">
        <f>1000*'Historic Utility Costs'!D93/'Historic Consumption'!D93</f>
        <v>27.684190781923128</v>
      </c>
      <c r="AX93" s="687"/>
      <c r="AY93" s="293"/>
      <c r="AZ93" s="293"/>
      <c r="BA93" s="293"/>
      <c r="BB93" s="293"/>
      <c r="BC93" s="293"/>
      <c r="BD93" s="293"/>
      <c r="BE93" s="293"/>
      <c r="BF93" s="293"/>
      <c r="BG93" s="293"/>
      <c r="BH93" s="293" t="s">
        <v>274</v>
      </c>
    </row>
    <row r="94" spans="1:60" s="279" customFormat="1">
      <c r="A94" s="293" t="s">
        <v>245</v>
      </c>
      <c r="B94" s="294">
        <f>SUM(H73:S73)</f>
        <v>1766150.7326000002</v>
      </c>
      <c r="C94" s="294">
        <f>SUM(T73:AE73)</f>
        <v>1548500.5689999997</v>
      </c>
      <c r="D94" s="294">
        <f>SUM(AF73:AQ73)</f>
        <v>1430889.0196</v>
      </c>
      <c r="E94" s="280">
        <f>1000*'Historic Utility Costs'!B94/'Historic Consumption'!B94</f>
        <v>23.341003369125456</v>
      </c>
      <c r="F94" s="280">
        <f>1000*'Historic Utility Costs'!C94/'Historic Consumption'!C94</f>
        <v>23.300329636494961</v>
      </c>
      <c r="G94" s="298">
        <f>1000*'Historic Utility Costs'!D94/'Historic Consumption'!D94</f>
        <v>23.602805205284977</v>
      </c>
      <c r="AX94" s="687"/>
      <c r="AY94" s="293"/>
      <c r="AZ94" s="293"/>
      <c r="BA94" s="293"/>
      <c r="BB94" s="293"/>
      <c r="BC94" s="293"/>
      <c r="BD94" s="293"/>
      <c r="BE94" s="293"/>
      <c r="BF94" s="293"/>
      <c r="BG94" s="293"/>
      <c r="BH94" s="293"/>
    </row>
    <row r="95" spans="1:60" s="279" customFormat="1">
      <c r="A95" s="293" t="s">
        <v>246</v>
      </c>
      <c r="E95" s="280"/>
      <c r="F95" s="280"/>
      <c r="G95" s="293"/>
      <c r="AX95" s="687"/>
      <c r="AY95" s="293"/>
      <c r="AZ95" s="293"/>
      <c r="BA95" s="293"/>
      <c r="BB95" s="293"/>
      <c r="BC95" s="293"/>
      <c r="BD95" s="293"/>
      <c r="BE95" s="293"/>
      <c r="BF95" s="293"/>
      <c r="BG95" s="293"/>
      <c r="BH95" s="293"/>
    </row>
    <row r="96" spans="1:60" s="279" customFormat="1">
      <c r="A96" s="293" t="s">
        <v>247</v>
      </c>
      <c r="B96" s="294">
        <f>SUM(H75:S75)</f>
        <v>296708.78879999998</v>
      </c>
      <c r="C96" s="294">
        <f>SUM(T75:AE75)</f>
        <v>1552181.3164000001</v>
      </c>
      <c r="D96" s="294">
        <f>SUM(AF75:AQ75)</f>
        <v>1007364.8747</v>
      </c>
      <c r="E96" s="280">
        <f>1000*'Historic Utility Costs'!B96/'Historic Consumption'!B96</f>
        <v>26.122348216737418</v>
      </c>
      <c r="F96" s="280">
        <f>1000*'Historic Utility Costs'!C96/'Historic Consumption'!C96</f>
        <v>25.204190313754765</v>
      </c>
      <c r="G96" s="298">
        <f>1000*'Historic Utility Costs'!D96/'Historic Consumption'!D96</f>
        <v>23.925808220360818</v>
      </c>
      <c r="AX96" s="687"/>
      <c r="AY96" s="686"/>
      <c r="AZ96" s="686"/>
      <c r="BA96" s="686"/>
      <c r="BB96" s="686"/>
      <c r="BC96" s="686"/>
      <c r="BD96" s="686"/>
      <c r="BE96" s="686"/>
      <c r="BF96" s="686"/>
      <c r="BG96" s="686"/>
      <c r="BH96" s="293"/>
    </row>
    <row r="97" spans="1:7" s="279" customFormat="1">
      <c r="A97" s="293" t="s">
        <v>248</v>
      </c>
      <c r="B97" s="294">
        <f>SUM(H77:S77)</f>
        <v>1380120.5901000001</v>
      </c>
      <c r="C97" s="294">
        <f>SUM(T77:AE77)</f>
        <v>1700610.0766</v>
      </c>
      <c r="D97" s="294">
        <f>SUM(AF77:AQ77)</f>
        <v>1792487.7235999999</v>
      </c>
      <c r="E97" s="280">
        <f>1000*'Historic Utility Costs'!B97/'Historic Consumption'!B97</f>
        <v>28.933276256031128</v>
      </c>
      <c r="F97" s="280">
        <f>1000*'Historic Utility Costs'!C97/'Historic Consumption'!C97</f>
        <v>27.997609772601056</v>
      </c>
      <c r="G97" s="298">
        <f>1000*'Historic Utility Costs'!D97/'Historic Consumption'!D97</f>
        <v>28.753614332424537</v>
      </c>
    </row>
    <row r="98" spans="1:7" s="279" customFormat="1">
      <c r="A98" s="293" t="s">
        <v>249</v>
      </c>
      <c r="B98" s="294">
        <f>SUM(H78:S78)</f>
        <v>1561512.0844000001</v>
      </c>
      <c r="C98" s="294">
        <f>SUM(T78:AE78)</f>
        <v>1547673.7793000001</v>
      </c>
      <c r="D98" s="294">
        <f>SUM(AF78:AQ78)</f>
        <v>1475064.6316</v>
      </c>
      <c r="E98" s="280">
        <f>1000*'Historic Utility Costs'!B98/'Historic Consumption'!B98</f>
        <v>22.585470680844129</v>
      </c>
      <c r="F98" s="280">
        <f>1000*'Historic Utility Costs'!C98/'Historic Consumption'!C98</f>
        <v>25.785269695561873</v>
      </c>
      <c r="G98" s="298">
        <f>1000*'Historic Utility Costs'!D98/'Historic Consumption'!D98</f>
        <v>25.75067775762404</v>
      </c>
    </row>
    <row r="99" spans="1:7" s="279" customFormat="1">
      <c r="A99" s="293" t="s">
        <v>250</v>
      </c>
      <c r="B99" s="294">
        <f>SUM(H80:S80)</f>
        <v>6215586.4000000004</v>
      </c>
      <c r="C99" s="294">
        <f>SUM(T80:AE80)</f>
        <v>6278941.9900000002</v>
      </c>
      <c r="D99" s="294">
        <f>SUM(AF80:AQ80)</f>
        <v>5482150.4400000004</v>
      </c>
      <c r="E99" s="280">
        <f>1000*'Historic Utility Costs'!B99/'Historic Consumption'!B99</f>
        <v>23.628346635162213</v>
      </c>
      <c r="F99" s="280">
        <f>1000*'Historic Utility Costs'!C99/'Historic Consumption'!C99</f>
        <v>23.64137146615046</v>
      </c>
      <c r="G99" s="298">
        <f>1000*'Historic Utility Costs'!D99/'Historic Consumption'!D99</f>
        <v>29.699203219968549</v>
      </c>
    </row>
    <row r="100" spans="1:7" s="279" customFormat="1">
      <c r="A100" s="293" t="s">
        <v>251</v>
      </c>
      <c r="B100" s="294">
        <f>SUM(H83:S83)</f>
        <v>762307.84710000001</v>
      </c>
      <c r="C100" s="294">
        <f>SUM(T83:AE83)</f>
        <v>7330326.0559999999</v>
      </c>
      <c r="D100" s="294">
        <f>SUM(AF83:AQ83)</f>
        <v>5552286.4068999998</v>
      </c>
      <c r="E100" s="280">
        <f>1000*'Historic Utility Costs'!B100/'Historic Consumption'!B100</f>
        <v>22.177877827593992</v>
      </c>
      <c r="F100" s="280">
        <f>1000*'Historic Utility Costs'!C100/'Historic Consumption'!C100</f>
        <v>21.314493298986758</v>
      </c>
      <c r="G100" s="298">
        <f>1000*'Historic Utility Costs'!D100/'Historic Consumption'!D100</f>
        <v>21.623280537329514</v>
      </c>
    </row>
    <row r="101" spans="1:7" s="279" customFormat="1">
      <c r="A101" s="293" t="s">
        <v>252</v>
      </c>
      <c r="B101" s="294">
        <f>SUM(H71:S71)</f>
        <v>754377.57330000005</v>
      </c>
      <c r="C101" s="294">
        <f>SUM(T71:AE71)</f>
        <v>787784.93909999984</v>
      </c>
      <c r="D101" s="294">
        <f>SUM(AF71:AQ71)</f>
        <v>711471.96169999975</v>
      </c>
      <c r="E101" s="280">
        <f>1000*'Historic Utility Costs'!B101/'Historic Consumption'!B101</f>
        <v>26.639639765653673</v>
      </c>
      <c r="F101" s="280">
        <f>1000*'Historic Utility Costs'!C101/'Historic Consumption'!C101</f>
        <v>24.763984980834476</v>
      </c>
      <c r="G101" s="298">
        <f>1000*'Historic Utility Costs'!D101/'Historic Consumption'!D101</f>
        <v>25.838129665820123</v>
      </c>
    </row>
    <row r="102" spans="1:7" s="279" customFormat="1">
      <c r="A102" s="293" t="s">
        <v>253</v>
      </c>
      <c r="B102" s="294">
        <f>SUM(H79:S79)</f>
        <v>354967.32420000003</v>
      </c>
      <c r="C102" s="294">
        <f>SUM(T79:AE79)</f>
        <v>938437.61739999976</v>
      </c>
      <c r="D102" s="294">
        <f>SUM(AF79:AQ79)</f>
        <v>911137.99600000004</v>
      </c>
      <c r="E102" s="280">
        <f>1000*'Historic Utility Costs'!B102/'Historic Consumption'!B102</f>
        <v>16.931460419758828</v>
      </c>
      <c r="F102" s="280">
        <f>1000*'Historic Utility Costs'!C102/'Historic Consumption'!C102</f>
        <v>16.561583222825316</v>
      </c>
      <c r="G102" s="298">
        <f>1000*'Historic Utility Costs'!D102/'Historic Consumption'!D102</f>
        <v>16.939233428697882</v>
      </c>
    </row>
    <row r="103" spans="1:7" s="279" customFormat="1">
      <c r="A103" s="293" t="s">
        <v>254</v>
      </c>
      <c r="B103" s="294">
        <f>SUM(H72:S72)</f>
        <v>498201.4800000001</v>
      </c>
      <c r="C103" s="294">
        <f>SUM(T72:AE72)</f>
        <v>579860.24</v>
      </c>
      <c r="D103" s="294">
        <f>SUM(AF72:AQ72)</f>
        <v>580362.04</v>
      </c>
      <c r="E103" s="280">
        <f>1000*'Historic Utility Costs'!B103/'Historic Consumption'!B103</f>
        <v>25.124814964419613</v>
      </c>
      <c r="F103" s="280">
        <f>1000*'Historic Utility Costs'!C103/'Historic Consumption'!C103</f>
        <v>25.763966848287438</v>
      </c>
      <c r="G103" s="298">
        <f>1000*'Historic Utility Costs'!D103/'Historic Consumption'!D103</f>
        <v>20.456368924473416</v>
      </c>
    </row>
    <row r="104" spans="1:7" s="279" customFormat="1">
      <c r="A104" s="293" t="s">
        <v>255</v>
      </c>
      <c r="E104" s="280"/>
      <c r="F104" s="280"/>
      <c r="G104" s="293"/>
    </row>
    <row r="105" spans="1:7" s="279" customFormat="1">
      <c r="A105" s="293" t="s">
        <v>256</v>
      </c>
      <c r="B105" s="294">
        <f>SUM(H66:S66)</f>
        <v>2424877.7380000004</v>
      </c>
      <c r="C105" s="294">
        <f>SUM(T66:AE66)</f>
        <v>2511110.1061</v>
      </c>
      <c r="D105" s="294">
        <f>SUM(AF66:AQ66)</f>
        <v>1547224.6817999999</v>
      </c>
      <c r="E105" s="280">
        <f>1000*'Historic Utility Costs'!B105/'Historic Consumption'!B105</f>
        <v>28.355308402769452</v>
      </c>
      <c r="F105" s="280">
        <f>1000*'Historic Utility Costs'!C105/'Historic Consumption'!C105</f>
        <v>27.413150236932978</v>
      </c>
      <c r="G105" s="298">
        <f>1000*'Historic Utility Costs'!D105/'Historic Consumption'!D105</f>
        <v>27.71924647046437</v>
      </c>
    </row>
    <row r="106" spans="1:7" s="279" customFormat="1">
      <c r="A106" s="293" t="s">
        <v>257</v>
      </c>
      <c r="B106" s="294">
        <f>SUM(H74:S74)</f>
        <v>289241</v>
      </c>
      <c r="C106" s="294">
        <f>SUM(T74:AE74)</f>
        <v>360390.38700000005</v>
      </c>
      <c r="D106" s="294">
        <f>SUM(AF74:AQ74)</f>
        <v>722833.31999999983</v>
      </c>
      <c r="E106" s="280">
        <f>1000*'Historic Utility Costs'!B106/'Historic Consumption'!B106</f>
        <v>0</v>
      </c>
      <c r="F106" s="280">
        <f>1000*'Historic Utility Costs'!C106/'Historic Consumption'!C106</f>
        <v>0</v>
      </c>
      <c r="G106" s="298">
        <f>1000*'Historic Utility Costs'!D106/'Historic Consumption'!D106</f>
        <v>0</v>
      </c>
    </row>
    <row r="107" spans="1:7" s="279" customFormat="1">
      <c r="A107" s="293" t="s">
        <v>258</v>
      </c>
      <c r="B107" s="294">
        <f>SUM(H76:S76)</f>
        <v>19370.477599999998</v>
      </c>
      <c r="C107" s="294">
        <f>SUM(T76:AE76)</f>
        <v>2036851.6376999998</v>
      </c>
      <c r="D107" s="294">
        <f>SUM(AF76:AQ76)</f>
        <v>3023277.4484999999</v>
      </c>
      <c r="E107" s="280">
        <f>1000*'Historic Utility Costs'!B107/'Historic Consumption'!B107</f>
        <v>21.91757522798509</v>
      </c>
      <c r="F107" s="280">
        <f>1000*'Historic Utility Costs'!C107/'Historic Consumption'!C107</f>
        <v>20.492643758351043</v>
      </c>
      <c r="G107" s="298">
        <f>1000*'Historic Utility Costs'!D107/'Historic Consumption'!D107</f>
        <v>21.320965706267366</v>
      </c>
    </row>
    <row r="108" spans="1:7" s="279" customFormat="1">
      <c r="A108" s="293" t="s">
        <v>259</v>
      </c>
      <c r="E108" s="280"/>
      <c r="F108" s="280"/>
      <c r="G108" s="293"/>
    </row>
    <row r="109" spans="1:7" s="279" customFormat="1">
      <c r="A109" s="750" t="s">
        <v>140</v>
      </c>
      <c r="B109" s="294">
        <f>SUM(H81:S81)</f>
        <v>2210295.2867000001</v>
      </c>
      <c r="C109" s="294">
        <f>SUM(T81:AE81)</f>
        <v>2239180.4959999998</v>
      </c>
      <c r="D109" s="294">
        <f>SUM(AF81:AQ81)</f>
        <v>2324624.4389</v>
      </c>
      <c r="E109" s="280">
        <f>1000*'Historic Utility Costs'!B109/'Historic Consumption'!B109</f>
        <v>0</v>
      </c>
      <c r="F109" s="280">
        <f>1000*'Historic Utility Costs'!C109/'Historic Consumption'!C109</f>
        <v>0</v>
      </c>
      <c r="G109" s="298">
        <f>1000*'Historic Utility Costs'!D109/'Historic Consumption'!D109</f>
        <v>94.108254002467447</v>
      </c>
    </row>
    <row r="110" spans="1:7" s="279" customFormat="1">
      <c r="A110" s="293" t="s">
        <v>261</v>
      </c>
      <c r="B110" s="294">
        <f>SUM(H84:S84)</f>
        <v>1664861.7158000004</v>
      </c>
      <c r="C110" s="294">
        <f>SUM(T84:AE84)</f>
        <v>1791661.963</v>
      </c>
      <c r="D110" s="294">
        <f>SUM(AF84:AQ84)</f>
        <v>1727028.2086999998</v>
      </c>
      <c r="E110" s="280">
        <f>1000*'Historic Utility Costs'!B110/'Historic Consumption'!B110</f>
        <v>16.139609100860554</v>
      </c>
      <c r="F110" s="280">
        <f>1000*'Historic Utility Costs'!C110/'Historic Consumption'!C110</f>
        <v>16.37532347389573</v>
      </c>
      <c r="G110" s="298">
        <f>1000*'Historic Utility Costs'!D110/'Historic Consumption'!D110</f>
        <v>17.807238495050068</v>
      </c>
    </row>
    <row r="111" spans="1:7" s="279" customFormat="1">
      <c r="A111" s="293" t="s">
        <v>262</v>
      </c>
      <c r="B111" s="294">
        <f>SUM(H82:S82)</f>
        <v>2139927.2711</v>
      </c>
      <c r="C111" s="294">
        <f>SUM(T82:AE82)</f>
        <v>2510145.6808000002</v>
      </c>
      <c r="D111" s="294">
        <f>SUM(AF82:AQ82)</f>
        <v>2123561.2226</v>
      </c>
      <c r="E111" s="280">
        <f>1000*'Historic Utility Costs'!B111/'Historic Consumption'!B111</f>
        <v>28.410285396638123</v>
      </c>
      <c r="F111" s="280">
        <f>1000*'Historic Utility Costs'!C111/'Historic Consumption'!C111</f>
        <v>22.458809754035052</v>
      </c>
      <c r="G111" s="298">
        <f>1000*'Historic Utility Costs'!D111/'Historic Consumption'!D111</f>
        <v>27.827642109441108</v>
      </c>
    </row>
  </sheetData>
  <customSheetViews>
    <customSheetView guid="{0FAFE012-8D9E-4ED0-86A4-A997E430971B}" scale="55">
      <pane xSplit="1" topLeftCell="B1" activePane="topRight" state="frozen"/>
      <selection pane="topRight" activeCell="K35" sqref="K35:K57"/>
      <pageMargins left="0.7" right="0.7" top="0.75" bottom="0.75" header="0.3" footer="0.3"/>
      <pageSetup paperSize="9" orientation="portrait" horizontalDpi="300" verticalDpi="300" r:id="rId1"/>
    </customSheetView>
  </customSheetViews>
  <conditionalFormatting sqref="B7:AW29">
    <cfRule type="containsBlanks" dxfId="76" priority="3">
      <formula>LEN(TRIM(B7))=0</formula>
    </cfRule>
  </conditionalFormatting>
  <conditionalFormatting sqref="E89:F111">
    <cfRule type="colorScale" priority="9">
      <colorScale>
        <cfvo type="min"/>
        <cfvo type="percentile" val="50"/>
        <cfvo type="max"/>
        <color rgb="FF63BE7B"/>
        <color rgb="FFFCFCFF"/>
        <color rgb="FFF8696B"/>
      </colorScale>
    </cfRule>
  </conditionalFormatting>
  <conditionalFormatting sqref="F35:F57">
    <cfRule type="colorScale" priority="10">
      <colorScale>
        <cfvo type="min"/>
        <cfvo type="percentile" val="50"/>
        <cfvo type="max"/>
        <color rgb="FF63BE7B"/>
        <color rgb="FFFCFCFF"/>
        <color rgb="FFF8696B"/>
      </colorScale>
    </cfRule>
  </conditionalFormatting>
  <conditionalFormatting sqref="G35:H57">
    <cfRule type="colorScale" priority="11">
      <colorScale>
        <cfvo type="min"/>
        <cfvo type="percentile" val="50"/>
        <cfvo type="max"/>
        <color rgb="FF63BE7B"/>
        <color rgb="FFFCFCFF"/>
        <color rgb="FFF8696B"/>
      </colorScale>
    </cfRule>
  </conditionalFormatting>
  <conditionalFormatting sqref="AK34:AV35">
    <cfRule type="containsBlanks" dxfId="75" priority="1">
      <formula>LEN(TRIM(AK34))=0</formula>
    </cfRule>
  </conditionalFormatting>
  <pageMargins left="0.7" right="0.7" top="0.75" bottom="0.75" header="0.3" footer="0.3"/>
  <pageSetup paperSize="9" orientation="portrait" horizontalDpi="300" verticalDpi="300"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69F90-720A-4136-9126-9C19D8EAAD3F}">
  <sheetPr codeName="Sheet59">
    <tabColor theme="3" tint="-0.499984740745262"/>
  </sheetPr>
  <dimension ref="A1:AG147"/>
  <sheetViews>
    <sheetView topLeftCell="A43" zoomScale="85" zoomScaleNormal="85" workbookViewId="0">
      <selection activeCell="T20" sqref="T20"/>
    </sheetView>
  </sheetViews>
  <sheetFormatPr defaultRowHeight="12.5"/>
  <cols>
    <col min="1" max="1" width="10.1796875" bestFit="1" customWidth="1"/>
    <col min="2" max="2" width="28" bestFit="1" customWidth="1"/>
    <col min="3" max="14" width="11" customWidth="1"/>
    <col min="15" max="15" width="9.81640625" customWidth="1"/>
  </cols>
  <sheetData>
    <row r="1" spans="1:32">
      <c r="A1" s="570">
        <v>45473</v>
      </c>
      <c r="D1">
        <f>(C4-D4)/C4</f>
        <v>6.0759493670886129E-2</v>
      </c>
    </row>
    <row r="2" spans="1:32" ht="23.25" customHeight="1" thickBot="1">
      <c r="A2" s="196" t="s">
        <v>281</v>
      </c>
      <c r="G2" s="362"/>
    </row>
    <row r="3" spans="1:32" ht="15" thickTop="1" thickBot="1">
      <c r="A3" s="184" t="s">
        <v>6</v>
      </c>
      <c r="B3" s="184" t="s">
        <v>282</v>
      </c>
      <c r="C3" s="184" t="s">
        <v>188</v>
      </c>
      <c r="D3" s="184" t="s">
        <v>189</v>
      </c>
      <c r="E3" s="184" t="s">
        <v>190</v>
      </c>
      <c r="F3" s="184" t="s">
        <v>191</v>
      </c>
      <c r="G3" s="184" t="s">
        <v>192</v>
      </c>
      <c r="H3" s="184" t="s">
        <v>193</v>
      </c>
      <c r="I3" s="184" t="s">
        <v>194</v>
      </c>
      <c r="J3" s="184" t="s">
        <v>195</v>
      </c>
      <c r="K3" s="184" t="s">
        <v>196</v>
      </c>
      <c r="L3" s="184" t="s">
        <v>197</v>
      </c>
      <c r="M3" s="184" t="s">
        <v>198</v>
      </c>
      <c r="N3" s="184" t="s">
        <v>199</v>
      </c>
      <c r="O3" s="186"/>
      <c r="P3" s="186"/>
      <c r="Q3" s="186"/>
    </row>
    <row r="4" spans="1:32" ht="13" thickTop="1">
      <c r="A4" s="185" t="s">
        <v>220</v>
      </c>
      <c r="B4" s="198" t="s">
        <v>265</v>
      </c>
      <c r="C4" s="193">
        <v>0.79</v>
      </c>
      <c r="D4" s="193">
        <v>0.74199999999999999</v>
      </c>
      <c r="E4" s="193">
        <v>0.73</v>
      </c>
      <c r="F4" s="624">
        <v>0.66200000000000003</v>
      </c>
      <c r="G4" s="624">
        <v>0.624</v>
      </c>
      <c r="H4" s="624">
        <v>0.54700000000000004</v>
      </c>
      <c r="I4" s="624">
        <v>0.46</v>
      </c>
      <c r="J4" s="624">
        <v>0.38300000000000001</v>
      </c>
      <c r="K4" s="624">
        <v>0.32500000000000001</v>
      </c>
      <c r="L4" s="624">
        <v>0.28799999999999998</v>
      </c>
      <c r="M4" s="624">
        <v>0.26400000000000001</v>
      </c>
      <c r="N4" s="624">
        <v>0.248</v>
      </c>
    </row>
    <row r="5" spans="1:32">
      <c r="A5" s="185" t="s">
        <v>30</v>
      </c>
      <c r="B5" s="198" t="s">
        <v>265</v>
      </c>
      <c r="C5" s="193">
        <v>0.79</v>
      </c>
      <c r="D5" s="193">
        <v>0</v>
      </c>
      <c r="E5" s="193">
        <v>0</v>
      </c>
      <c r="F5" s="624">
        <v>0</v>
      </c>
      <c r="G5" s="624">
        <v>0</v>
      </c>
      <c r="H5" s="624">
        <v>0</v>
      </c>
      <c r="I5" s="624">
        <v>0</v>
      </c>
      <c r="J5" s="624">
        <v>0</v>
      </c>
      <c r="K5" s="624">
        <v>0</v>
      </c>
      <c r="L5" s="624">
        <v>0</v>
      </c>
      <c r="M5" s="624">
        <v>0</v>
      </c>
      <c r="N5" s="624">
        <v>0</v>
      </c>
    </row>
    <row r="6" spans="1:32">
      <c r="A6" s="185" t="s">
        <v>66</v>
      </c>
      <c r="B6" s="198" t="s">
        <v>265</v>
      </c>
      <c r="C6" s="193">
        <v>0.79</v>
      </c>
      <c r="D6" s="193">
        <v>0.371</v>
      </c>
      <c r="E6" s="193">
        <v>0</v>
      </c>
      <c r="F6" s="624">
        <v>0</v>
      </c>
      <c r="G6" s="624">
        <v>0</v>
      </c>
      <c r="H6" s="624">
        <v>0</v>
      </c>
      <c r="I6" s="624">
        <v>0</v>
      </c>
      <c r="J6" s="624">
        <v>0</v>
      </c>
      <c r="K6" s="624">
        <v>0</v>
      </c>
      <c r="L6" s="624">
        <v>0</v>
      </c>
      <c r="M6" s="624">
        <v>0</v>
      </c>
      <c r="N6" s="624">
        <v>0</v>
      </c>
    </row>
    <row r="7" spans="1:32">
      <c r="A7" s="185" t="s">
        <v>224</v>
      </c>
      <c r="B7" s="198" t="s">
        <v>265</v>
      </c>
      <c r="C7" s="193">
        <v>0.79</v>
      </c>
      <c r="D7" s="193">
        <v>0.74199999999999999</v>
      </c>
      <c r="E7" s="193">
        <v>0.73</v>
      </c>
      <c r="F7" s="624">
        <v>0.66200000000000003</v>
      </c>
      <c r="G7" s="624">
        <v>0.624</v>
      </c>
      <c r="H7" s="624">
        <v>0.54700000000000004</v>
      </c>
      <c r="I7" s="624">
        <v>0.46</v>
      </c>
      <c r="J7" s="624">
        <v>0.38300000000000001</v>
      </c>
      <c r="K7" s="624">
        <v>0.32500000000000001</v>
      </c>
      <c r="L7" s="624">
        <v>0.28799999999999998</v>
      </c>
      <c r="M7" s="624">
        <v>0.26400000000000001</v>
      </c>
      <c r="N7" s="624">
        <v>0.248</v>
      </c>
      <c r="X7" s="592">
        <f t="shared" ref="X7:AF7" si="0">(F4-G4)/F4</f>
        <v>5.7401812688821802E-2</v>
      </c>
      <c r="Y7" s="592">
        <f t="shared" si="0"/>
        <v>0.12339743589743583</v>
      </c>
      <c r="Z7" s="592">
        <f t="shared" si="0"/>
        <v>0.15904936014625232</v>
      </c>
      <c r="AA7" s="592">
        <f t="shared" si="0"/>
        <v>0.16739130434782612</v>
      </c>
      <c r="AB7" s="592">
        <f t="shared" si="0"/>
        <v>0.15143603133159267</v>
      </c>
      <c r="AC7" s="592">
        <f t="shared" si="0"/>
        <v>0.11384615384615394</v>
      </c>
      <c r="AD7" s="592">
        <f t="shared" si="0"/>
        <v>8.3333333333333218E-2</v>
      </c>
      <c r="AE7" s="592">
        <f t="shared" si="0"/>
        <v>6.0606060606060656E-2</v>
      </c>
      <c r="AF7" s="592">
        <f t="shared" si="0"/>
        <v>1</v>
      </c>
    </row>
    <row r="8" spans="1:32">
      <c r="A8" s="185" t="s">
        <v>178</v>
      </c>
      <c r="B8" s="198" t="s">
        <v>265</v>
      </c>
      <c r="C8" s="193">
        <v>0.79</v>
      </c>
      <c r="D8" s="193">
        <v>0</v>
      </c>
      <c r="E8" s="193">
        <v>0</v>
      </c>
      <c r="F8" s="624">
        <v>0</v>
      </c>
      <c r="G8" s="624">
        <v>0</v>
      </c>
      <c r="H8" s="624">
        <v>0</v>
      </c>
      <c r="I8" s="624">
        <v>0</v>
      </c>
      <c r="J8" s="624">
        <v>0</v>
      </c>
      <c r="K8" s="624">
        <v>0</v>
      </c>
      <c r="L8" s="624">
        <v>0</v>
      </c>
      <c r="M8" s="624">
        <v>0</v>
      </c>
      <c r="N8" s="624">
        <v>0</v>
      </c>
    </row>
    <row r="9" spans="1:32">
      <c r="A9" s="185" t="s">
        <v>221</v>
      </c>
      <c r="B9" s="198" t="s">
        <v>265</v>
      </c>
      <c r="C9" s="193">
        <v>0.92</v>
      </c>
      <c r="D9" s="193">
        <v>0.88300000000000001</v>
      </c>
      <c r="E9" s="193">
        <v>0.77200000000000002</v>
      </c>
      <c r="F9" s="624">
        <v>0.73299999999999998</v>
      </c>
      <c r="G9" s="624">
        <v>0.71299999999999997</v>
      </c>
      <c r="H9" s="624">
        <v>0.69899999999999995</v>
      </c>
      <c r="I9" s="624">
        <v>0.65800000000000003</v>
      </c>
      <c r="J9" s="624">
        <v>0.58699999999999997</v>
      </c>
      <c r="K9" s="624">
        <v>0.51600000000000001</v>
      </c>
      <c r="L9" s="624">
        <v>0.46100000000000002</v>
      </c>
      <c r="M9" s="624">
        <v>0.438</v>
      </c>
      <c r="N9" s="624">
        <v>0.42099999999999999</v>
      </c>
      <c r="O9" s="289"/>
    </row>
    <row r="10" spans="1:32">
      <c r="A10" s="185" t="s">
        <v>37</v>
      </c>
      <c r="B10" s="198" t="s">
        <v>265</v>
      </c>
      <c r="C10" s="193">
        <v>0.92</v>
      </c>
      <c r="D10" s="500">
        <f>D9/2</f>
        <v>0.4415</v>
      </c>
      <c r="E10" s="193">
        <v>0</v>
      </c>
      <c r="F10" s="624">
        <v>0</v>
      </c>
      <c r="G10" s="624">
        <v>0</v>
      </c>
      <c r="H10" s="624">
        <v>0</v>
      </c>
      <c r="I10" s="624">
        <v>0</v>
      </c>
      <c r="J10" s="624">
        <v>0</v>
      </c>
      <c r="K10" s="624">
        <v>0</v>
      </c>
      <c r="L10" s="624">
        <v>0</v>
      </c>
      <c r="M10" s="624">
        <v>0</v>
      </c>
      <c r="N10" s="624">
        <v>0</v>
      </c>
      <c r="X10" s="592">
        <f t="shared" ref="X10:AE10" si="1">(F7-G7)/F7</f>
        <v>5.7401812688821802E-2</v>
      </c>
      <c r="Y10" s="592">
        <f t="shared" si="1"/>
        <v>0.12339743589743583</v>
      </c>
      <c r="Z10" s="592">
        <f t="shared" si="1"/>
        <v>0.15904936014625232</v>
      </c>
      <c r="AA10" s="592">
        <f t="shared" si="1"/>
        <v>0.16739130434782612</v>
      </c>
      <c r="AB10" s="592">
        <f t="shared" si="1"/>
        <v>0.15143603133159267</v>
      </c>
      <c r="AC10" s="592">
        <f t="shared" si="1"/>
        <v>0.11384615384615394</v>
      </c>
      <c r="AD10" s="592">
        <f t="shared" si="1"/>
        <v>8.3333333333333218E-2</v>
      </c>
      <c r="AE10" s="592">
        <f t="shared" si="1"/>
        <v>6.0606060606060656E-2</v>
      </c>
      <c r="AF10" s="592"/>
    </row>
    <row r="11" spans="1:32">
      <c r="A11" s="185" t="s">
        <v>222</v>
      </c>
      <c r="B11" s="198" t="s">
        <v>265</v>
      </c>
      <c r="C11" s="193">
        <v>0.88</v>
      </c>
      <c r="D11" s="193">
        <v>0.88</v>
      </c>
      <c r="E11" s="193">
        <v>0.61499999999999999</v>
      </c>
      <c r="F11" s="624">
        <v>0.54400000000000004</v>
      </c>
      <c r="G11" s="624">
        <v>0.51100000000000001</v>
      </c>
      <c r="H11" s="624">
        <v>0.48199999999999998</v>
      </c>
      <c r="I11" s="624">
        <v>0.45500000000000002</v>
      </c>
      <c r="J11" s="624">
        <v>0.42899999999999999</v>
      </c>
      <c r="K11" s="624">
        <v>0.40400000000000003</v>
      </c>
      <c r="L11" s="624">
        <v>0.38200000000000001</v>
      </c>
      <c r="M11" s="624">
        <v>0.36799999999999999</v>
      </c>
      <c r="N11" s="624">
        <v>0.35099999999999998</v>
      </c>
    </row>
    <row r="12" spans="1:32">
      <c r="A12" s="185" t="s">
        <v>48</v>
      </c>
      <c r="B12" s="198" t="s">
        <v>265</v>
      </c>
      <c r="C12" s="193">
        <v>0.88</v>
      </c>
      <c r="D12" s="193">
        <v>0.44</v>
      </c>
      <c r="E12" s="193">
        <v>0</v>
      </c>
      <c r="F12" s="624">
        <v>0</v>
      </c>
      <c r="G12" s="624">
        <v>0</v>
      </c>
      <c r="H12" s="624">
        <v>0</v>
      </c>
      <c r="I12" s="624">
        <v>0</v>
      </c>
      <c r="J12" s="624">
        <v>0</v>
      </c>
      <c r="K12" s="624">
        <v>0</v>
      </c>
      <c r="L12" s="624">
        <v>0</v>
      </c>
      <c r="M12" s="624">
        <v>0</v>
      </c>
      <c r="N12" s="624">
        <v>0</v>
      </c>
      <c r="X12" s="592">
        <f t="shared" ref="X12:AE12" si="2">(F9-G9)/F9</f>
        <v>2.7285129604365646E-2</v>
      </c>
      <c r="Y12" s="592">
        <f t="shared" si="2"/>
        <v>1.9635343618513341E-2</v>
      </c>
      <c r="Z12" s="592">
        <f t="shared" si="2"/>
        <v>5.86552217453504E-2</v>
      </c>
      <c r="AA12" s="592">
        <f t="shared" si="2"/>
        <v>0.10790273556231011</v>
      </c>
      <c r="AB12" s="592">
        <f t="shared" si="2"/>
        <v>0.12095400340715495</v>
      </c>
      <c r="AC12" s="592">
        <f t="shared" si="2"/>
        <v>0.10658914728682169</v>
      </c>
      <c r="AD12" s="592">
        <f t="shared" si="2"/>
        <v>4.9891540130151887E-2</v>
      </c>
      <c r="AE12" s="592">
        <f t="shared" si="2"/>
        <v>3.8812785388127886E-2</v>
      </c>
      <c r="AF12" s="592"/>
    </row>
    <row r="13" spans="1:32">
      <c r="A13" s="185" t="s">
        <v>223</v>
      </c>
      <c r="B13" s="198" t="s">
        <v>265</v>
      </c>
      <c r="C13" s="193">
        <v>0.69</v>
      </c>
      <c r="D13" s="193">
        <v>0.69</v>
      </c>
      <c r="E13" s="193">
        <f>(1-X16)*D13</f>
        <v>0.67117326057298765</v>
      </c>
      <c r="F13" s="193">
        <f t="shared" ref="F13:N13" si="3">E13*0.95</f>
        <v>0.63761459754433825</v>
      </c>
      <c r="G13" s="193">
        <f>F13*0.9</f>
        <v>0.57385313778990443</v>
      </c>
      <c r="H13" s="193">
        <f t="shared" si="3"/>
        <v>0.54516048090040914</v>
      </c>
      <c r="I13" s="193">
        <f>H13*0.93</f>
        <v>0.50699924723738055</v>
      </c>
      <c r="J13" s="193">
        <f t="shared" si="3"/>
        <v>0.48164928487551151</v>
      </c>
      <c r="K13" s="193">
        <f t="shared" si="3"/>
        <v>0.45756682063173593</v>
      </c>
      <c r="L13" s="193">
        <f t="shared" si="3"/>
        <v>0.43468847960014911</v>
      </c>
      <c r="M13" s="193">
        <f t="shared" si="3"/>
        <v>0.41295405562014165</v>
      </c>
      <c r="N13" s="193">
        <f t="shared" si="3"/>
        <v>0.39230635283913456</v>
      </c>
    </row>
    <row r="14" spans="1:32">
      <c r="A14" s="185" t="s">
        <v>63</v>
      </c>
      <c r="B14" s="198" t="s">
        <v>265</v>
      </c>
      <c r="C14" s="193">
        <v>0.69</v>
      </c>
      <c r="D14" s="193">
        <v>0</v>
      </c>
      <c r="E14" s="193">
        <v>0</v>
      </c>
      <c r="F14" s="624">
        <v>0</v>
      </c>
      <c r="G14" s="624">
        <v>0</v>
      </c>
      <c r="H14" s="624">
        <v>0</v>
      </c>
      <c r="I14" s="624">
        <v>0</v>
      </c>
      <c r="J14" s="624">
        <v>0</v>
      </c>
      <c r="K14" s="624">
        <v>0</v>
      </c>
      <c r="L14" s="624">
        <v>0</v>
      </c>
      <c r="M14" s="624">
        <v>0</v>
      </c>
      <c r="N14" s="624">
        <v>0</v>
      </c>
      <c r="X14" s="592">
        <f t="shared" ref="X14:AE14" si="4">(F11-G11)/F11</f>
        <v>6.0661764705882401E-2</v>
      </c>
      <c r="Y14" s="592">
        <f t="shared" si="4"/>
        <v>5.6751467710371872E-2</v>
      </c>
      <c r="Z14" s="592">
        <f t="shared" si="4"/>
        <v>5.6016597510373384E-2</v>
      </c>
      <c r="AA14" s="592">
        <f t="shared" si="4"/>
        <v>5.714285714285719E-2</v>
      </c>
      <c r="AB14" s="592">
        <f t="shared" si="4"/>
        <v>5.8275058275058196E-2</v>
      </c>
      <c r="AC14" s="592">
        <f t="shared" si="4"/>
        <v>5.4455445544554497E-2</v>
      </c>
      <c r="AD14" s="592">
        <f t="shared" si="4"/>
        <v>3.6649214659685896E-2</v>
      </c>
      <c r="AE14" s="592">
        <f t="shared" si="4"/>
        <v>4.6195652173913082E-2</v>
      </c>
      <c r="AF14" s="592"/>
    </row>
    <row r="15" spans="1:32">
      <c r="A15" s="185"/>
      <c r="B15" s="182"/>
      <c r="C15" s="195"/>
      <c r="D15" s="195"/>
      <c r="E15" s="195"/>
      <c r="F15" s="195"/>
      <c r="G15" s="195"/>
      <c r="H15" s="195"/>
      <c r="I15" s="195"/>
      <c r="J15" s="195"/>
      <c r="K15" s="195"/>
      <c r="L15" s="195"/>
      <c r="M15" s="195"/>
      <c r="N15" s="195"/>
    </row>
    <row r="16" spans="1:32" ht="18" thickBot="1">
      <c r="A16" s="196" t="s">
        <v>283</v>
      </c>
      <c r="X16" s="592">
        <v>2.7285129604365646E-2</v>
      </c>
      <c r="Y16" s="592">
        <v>1.9635343618513341E-2</v>
      </c>
      <c r="Z16" s="592">
        <v>5.86552217453504E-2</v>
      </c>
      <c r="AA16" s="592">
        <v>0.10790273556231011</v>
      </c>
      <c r="AB16" s="592">
        <v>0.12095400340715495</v>
      </c>
      <c r="AC16" s="592">
        <v>0.10658914728682169</v>
      </c>
      <c r="AD16" s="592">
        <v>4.9891540130151887E-2</v>
      </c>
      <c r="AE16" s="592">
        <v>3.8812785388127886E-2</v>
      </c>
      <c r="AF16" s="592"/>
    </row>
    <row r="17" spans="1:31" ht="15" thickTop="1" thickBot="1">
      <c r="A17" s="184" t="s">
        <v>6</v>
      </c>
      <c r="B17" s="184" t="s">
        <v>282</v>
      </c>
      <c r="C17" s="184" t="s">
        <v>188</v>
      </c>
      <c r="D17" s="184" t="s">
        <v>189</v>
      </c>
      <c r="E17" s="184" t="s">
        <v>190</v>
      </c>
      <c r="F17" s="184" t="s">
        <v>191</v>
      </c>
      <c r="G17" s="184" t="s">
        <v>192</v>
      </c>
      <c r="H17" s="184" t="s">
        <v>193</v>
      </c>
      <c r="I17" s="184" t="s">
        <v>194</v>
      </c>
      <c r="J17" s="184" t="s">
        <v>195</v>
      </c>
      <c r="K17" s="184" t="s">
        <v>196</v>
      </c>
      <c r="L17" s="184" t="s">
        <v>197</v>
      </c>
      <c r="M17" s="184" t="s">
        <v>198</v>
      </c>
      <c r="N17" s="184" t="s">
        <v>199</v>
      </c>
    </row>
    <row r="18" spans="1:31" ht="13" thickTop="1">
      <c r="A18" s="185" t="s">
        <v>284</v>
      </c>
      <c r="B18" s="198" t="s">
        <v>285</v>
      </c>
      <c r="C18" s="193">
        <v>51.53</v>
      </c>
      <c r="D18" s="193">
        <v>51.53</v>
      </c>
      <c r="E18" s="193">
        <v>51.53</v>
      </c>
      <c r="F18" s="193">
        <v>51.53</v>
      </c>
      <c r="G18" s="193">
        <v>51.53</v>
      </c>
      <c r="H18" s="193">
        <v>51.53</v>
      </c>
      <c r="I18" s="193">
        <v>51.53</v>
      </c>
      <c r="J18" s="193">
        <v>51.53</v>
      </c>
      <c r="K18" s="193">
        <v>51.53</v>
      </c>
      <c r="L18" s="193">
        <v>51.53</v>
      </c>
      <c r="M18" s="193">
        <v>51.53</v>
      </c>
      <c r="N18" s="193">
        <v>51.53</v>
      </c>
    </row>
    <row r="19" spans="1:31">
      <c r="A19" s="185" t="s">
        <v>220</v>
      </c>
      <c r="B19" s="198" t="s">
        <v>285</v>
      </c>
      <c r="C19" s="193">
        <v>51.53</v>
      </c>
      <c r="D19" s="193">
        <v>51.53</v>
      </c>
      <c r="E19" s="193">
        <v>51.53</v>
      </c>
      <c r="F19" s="193">
        <v>51.53</v>
      </c>
      <c r="G19" s="193">
        <v>51.53</v>
      </c>
      <c r="H19" s="193">
        <v>51.53</v>
      </c>
      <c r="I19" s="193">
        <v>51.53</v>
      </c>
      <c r="J19" s="193">
        <v>51.53</v>
      </c>
      <c r="K19" s="193">
        <v>51.53</v>
      </c>
      <c r="L19" s="193">
        <v>51.53</v>
      </c>
      <c r="M19" s="193">
        <v>51.53</v>
      </c>
      <c r="N19" s="193">
        <v>51.53</v>
      </c>
    </row>
    <row r="20" spans="1:31">
      <c r="A20" s="185" t="s">
        <v>30</v>
      </c>
      <c r="B20" s="198" t="s">
        <v>285</v>
      </c>
      <c r="C20" s="193">
        <v>51.53</v>
      </c>
      <c r="D20" s="193">
        <v>51.53</v>
      </c>
      <c r="E20" s="193">
        <v>51.53</v>
      </c>
      <c r="F20" s="193">
        <v>51.53</v>
      </c>
      <c r="G20" s="193">
        <v>51.53</v>
      </c>
      <c r="H20" s="193">
        <v>51.53</v>
      </c>
      <c r="I20" s="193">
        <v>51.53</v>
      </c>
      <c r="J20" s="193">
        <v>51.53</v>
      </c>
      <c r="K20" s="193">
        <v>51.53</v>
      </c>
      <c r="L20" s="193">
        <v>51.53</v>
      </c>
      <c r="M20" s="193">
        <v>51.53</v>
      </c>
      <c r="N20" s="193">
        <v>51.53</v>
      </c>
    </row>
    <row r="21" spans="1:31">
      <c r="A21" s="185" t="s">
        <v>66</v>
      </c>
      <c r="B21" s="198" t="s">
        <v>285</v>
      </c>
      <c r="C21" s="193">
        <v>51.53</v>
      </c>
      <c r="D21" s="193">
        <v>51.53</v>
      </c>
      <c r="E21" s="193">
        <v>51.53</v>
      </c>
      <c r="F21" s="193">
        <v>51.53</v>
      </c>
      <c r="G21" s="193">
        <v>51.53</v>
      </c>
      <c r="H21" s="193">
        <v>51.53</v>
      </c>
      <c r="I21" s="193">
        <v>51.53</v>
      </c>
      <c r="J21" s="193">
        <v>51.53</v>
      </c>
      <c r="K21" s="193">
        <v>51.53</v>
      </c>
      <c r="L21" s="193">
        <v>51.53</v>
      </c>
      <c r="M21" s="193">
        <v>51.53</v>
      </c>
      <c r="N21" s="193">
        <v>51.53</v>
      </c>
    </row>
    <row r="22" spans="1:31">
      <c r="A22" s="185" t="s">
        <v>224</v>
      </c>
      <c r="B22" s="198" t="s">
        <v>285</v>
      </c>
      <c r="C22" s="193">
        <v>51.53</v>
      </c>
      <c r="D22" s="193">
        <v>51.53</v>
      </c>
      <c r="E22" s="193">
        <v>51.53</v>
      </c>
      <c r="F22" s="193">
        <v>51.53</v>
      </c>
      <c r="G22" s="193">
        <v>51.53</v>
      </c>
      <c r="H22" s="193">
        <v>51.53</v>
      </c>
      <c r="I22" s="193">
        <v>51.53</v>
      </c>
      <c r="J22" s="193">
        <v>51.53</v>
      </c>
      <c r="K22" s="193">
        <v>51.53</v>
      </c>
      <c r="L22" s="193">
        <v>51.53</v>
      </c>
      <c r="M22" s="193">
        <v>51.53</v>
      </c>
      <c r="N22" s="193">
        <v>51.53</v>
      </c>
    </row>
    <row r="23" spans="1:31">
      <c r="A23" s="185" t="s">
        <v>178</v>
      </c>
      <c r="B23" s="198" t="s">
        <v>285</v>
      </c>
      <c r="C23" s="193">
        <v>51.53</v>
      </c>
      <c r="D23" s="193">
        <v>51.53</v>
      </c>
      <c r="E23" s="193">
        <v>51.53</v>
      </c>
      <c r="F23" s="193">
        <v>51.53</v>
      </c>
      <c r="G23" s="193">
        <v>51.53</v>
      </c>
      <c r="H23" s="193">
        <v>51.53</v>
      </c>
      <c r="I23" s="193">
        <v>51.53</v>
      </c>
      <c r="J23" s="193">
        <v>51.53</v>
      </c>
      <c r="K23" s="193">
        <v>51.53</v>
      </c>
      <c r="L23" s="193">
        <v>51.53</v>
      </c>
      <c r="M23" s="193">
        <v>51.53</v>
      </c>
      <c r="N23" s="193">
        <v>51.53</v>
      </c>
    </row>
    <row r="24" spans="1:31">
      <c r="A24" s="185" t="s">
        <v>228</v>
      </c>
      <c r="B24" s="198" t="s">
        <v>285</v>
      </c>
      <c r="C24" s="193">
        <v>51.53</v>
      </c>
      <c r="D24" s="193">
        <v>51.53</v>
      </c>
      <c r="E24" s="193">
        <v>51.53</v>
      </c>
      <c r="F24" s="193">
        <v>51.53</v>
      </c>
      <c r="G24" s="193">
        <v>51.53</v>
      </c>
      <c r="H24" s="193">
        <v>51.53</v>
      </c>
      <c r="I24" s="193">
        <v>51.53</v>
      </c>
      <c r="J24" s="193">
        <v>51.53</v>
      </c>
      <c r="K24" s="193">
        <v>51.53</v>
      </c>
      <c r="L24" s="193">
        <v>51.53</v>
      </c>
      <c r="M24" s="193">
        <v>51.53</v>
      </c>
      <c r="N24" s="193">
        <v>51.53</v>
      </c>
    </row>
    <row r="25" spans="1:31">
      <c r="A25" s="185" t="s">
        <v>37</v>
      </c>
      <c r="B25" s="198" t="s">
        <v>285</v>
      </c>
      <c r="C25" s="193">
        <v>51.53</v>
      </c>
      <c r="D25" s="193">
        <v>51.53</v>
      </c>
      <c r="E25" s="193">
        <v>51.53</v>
      </c>
      <c r="F25" s="193">
        <v>51.53</v>
      </c>
      <c r="G25" s="193">
        <v>51.53</v>
      </c>
      <c r="H25" s="193">
        <v>51.53</v>
      </c>
      <c r="I25" s="193">
        <v>51.53</v>
      </c>
      <c r="J25" s="193">
        <v>51.53</v>
      </c>
      <c r="K25" s="193">
        <v>51.53</v>
      </c>
      <c r="L25" s="193">
        <v>51.53</v>
      </c>
      <c r="M25" s="193">
        <v>51.53</v>
      </c>
      <c r="N25" s="193">
        <v>51.53</v>
      </c>
    </row>
    <row r="26" spans="1:31">
      <c r="A26" s="185" t="s">
        <v>222</v>
      </c>
      <c r="B26" s="198" t="s">
        <v>285</v>
      </c>
      <c r="C26" s="193">
        <v>51.53</v>
      </c>
      <c r="D26" s="193">
        <v>51.53</v>
      </c>
      <c r="E26" s="193">
        <v>51.53</v>
      </c>
      <c r="F26" s="193">
        <v>51.53</v>
      </c>
      <c r="G26" s="193">
        <v>51.53</v>
      </c>
      <c r="H26" s="193">
        <v>51.53</v>
      </c>
      <c r="I26" s="193">
        <v>51.53</v>
      </c>
      <c r="J26" s="193">
        <v>51.53</v>
      </c>
      <c r="K26" s="193">
        <v>51.53</v>
      </c>
      <c r="L26" s="193">
        <v>51.53</v>
      </c>
      <c r="M26" s="193">
        <v>51.53</v>
      </c>
      <c r="N26" s="193">
        <v>51.53</v>
      </c>
    </row>
    <row r="27" spans="1:31">
      <c r="A27" s="185" t="s">
        <v>48</v>
      </c>
      <c r="B27" s="198" t="s">
        <v>285</v>
      </c>
      <c r="C27" s="193">
        <v>51.53</v>
      </c>
      <c r="D27" s="193">
        <v>51.53</v>
      </c>
      <c r="E27" s="193">
        <v>51.53</v>
      </c>
      <c r="F27" s="193">
        <v>51.53</v>
      </c>
      <c r="G27" s="193">
        <v>51.53</v>
      </c>
      <c r="H27" s="193">
        <v>51.53</v>
      </c>
      <c r="I27" s="193">
        <v>51.53</v>
      </c>
      <c r="J27" s="193">
        <v>51.53</v>
      </c>
      <c r="K27" s="193">
        <v>51.53</v>
      </c>
      <c r="L27" s="193">
        <v>51.53</v>
      </c>
      <c r="M27" s="193">
        <v>51.53</v>
      </c>
      <c r="N27" s="193">
        <v>51.53</v>
      </c>
    </row>
    <row r="28" spans="1:31">
      <c r="A28" s="185" t="s">
        <v>223</v>
      </c>
      <c r="B28" s="198" t="s">
        <v>285</v>
      </c>
      <c r="C28" s="193">
        <v>51.53</v>
      </c>
      <c r="D28" s="193">
        <v>51.53</v>
      </c>
      <c r="E28" s="193">
        <v>51.53</v>
      </c>
      <c r="F28" s="193">
        <v>51.53</v>
      </c>
      <c r="G28" s="193">
        <v>51.53</v>
      </c>
      <c r="H28" s="193">
        <v>51.53</v>
      </c>
      <c r="I28" s="193">
        <v>51.53</v>
      </c>
      <c r="J28" s="193">
        <v>51.53</v>
      </c>
      <c r="K28" s="193">
        <v>51.53</v>
      </c>
      <c r="L28" s="193">
        <v>51.53</v>
      </c>
      <c r="M28" s="193">
        <v>51.53</v>
      </c>
      <c r="N28" s="193">
        <v>51.53</v>
      </c>
    </row>
    <row r="29" spans="1:31">
      <c r="A29" s="185" t="s">
        <v>63</v>
      </c>
      <c r="B29" s="198" t="s">
        <v>285</v>
      </c>
      <c r="C29" s="193">
        <v>51.53</v>
      </c>
      <c r="D29" s="193">
        <v>51.53</v>
      </c>
      <c r="E29" s="193">
        <v>51.53</v>
      </c>
      <c r="F29" s="193">
        <v>51.53</v>
      </c>
      <c r="G29" s="193">
        <v>51.53</v>
      </c>
      <c r="H29" s="193">
        <v>51.53</v>
      </c>
      <c r="I29" s="193">
        <v>51.53</v>
      </c>
      <c r="J29" s="193">
        <v>51.53</v>
      </c>
      <c r="K29" s="193">
        <v>51.53</v>
      </c>
      <c r="L29" s="193">
        <v>51.53</v>
      </c>
      <c r="M29" s="193">
        <v>51.53</v>
      </c>
      <c r="N29" s="193">
        <v>51.53</v>
      </c>
    </row>
    <row r="30" spans="1:31">
      <c r="B30" s="182"/>
      <c r="C30" s="195"/>
      <c r="D30" s="195"/>
      <c r="E30" s="195"/>
      <c r="F30" s="195"/>
      <c r="G30" s="195"/>
      <c r="H30" s="195"/>
      <c r="I30" s="195"/>
      <c r="J30" s="195"/>
      <c r="K30" s="195"/>
      <c r="L30" s="195"/>
      <c r="M30" s="195"/>
      <c r="N30" s="195"/>
      <c r="V30" s="289">
        <f>(V34-U34)/U34</f>
        <v>-1.6172506738544489E-2</v>
      </c>
      <c r="W30" s="289">
        <f t="shared" ref="W30:AE30" si="5">(W34-V34)/V34</f>
        <v>-9.3150684931506786E-2</v>
      </c>
      <c r="X30" s="289">
        <f t="shared" si="5"/>
        <v>-5.7401812688821802E-2</v>
      </c>
      <c r="Y30" s="289">
        <f t="shared" si="5"/>
        <v>-0.12339743589743583</v>
      </c>
      <c r="Z30" s="289">
        <f t="shared" si="5"/>
        <v>-0.15904936014625232</v>
      </c>
      <c r="AA30" s="289">
        <f t="shared" si="5"/>
        <v>-0.16739130434782612</v>
      </c>
      <c r="AB30" s="289">
        <f t="shared" si="5"/>
        <v>-0.15143603133159267</v>
      </c>
      <c r="AC30" s="289">
        <f t="shared" si="5"/>
        <v>-0.11384615384615394</v>
      </c>
      <c r="AD30" s="289">
        <f t="shared" si="5"/>
        <v>-8.3333333333333218E-2</v>
      </c>
      <c r="AE30" s="289">
        <f t="shared" si="5"/>
        <v>-6.0606060606060656E-2</v>
      </c>
    </row>
    <row r="31" spans="1:31">
      <c r="A31" s="185"/>
      <c r="B31" s="182"/>
      <c r="C31" s="195"/>
      <c r="D31" s="195"/>
      <c r="E31" s="195"/>
      <c r="F31" s="195"/>
      <c r="G31" s="195"/>
      <c r="H31" s="195"/>
      <c r="I31" s="195"/>
      <c r="J31" s="195"/>
      <c r="K31" s="195"/>
      <c r="L31" s="195"/>
      <c r="M31" s="195"/>
      <c r="N31" s="195"/>
    </row>
    <row r="32" spans="1:31">
      <c r="Q32" t="s">
        <v>286</v>
      </c>
      <c r="T32" s="185" t="s">
        <v>271</v>
      </c>
      <c r="U32" s="185" t="s">
        <v>272</v>
      </c>
      <c r="V32" s="185" t="s">
        <v>287</v>
      </c>
    </row>
    <row r="33" spans="1:33" ht="18" thickBot="1">
      <c r="A33" s="196" t="s">
        <v>288</v>
      </c>
      <c r="Q33" t="s">
        <v>6</v>
      </c>
      <c r="R33">
        <v>2019</v>
      </c>
      <c r="S33">
        <v>2020</v>
      </c>
      <c r="T33">
        <v>2021</v>
      </c>
      <c r="U33">
        <v>2022</v>
      </c>
      <c r="V33">
        <v>2023</v>
      </c>
      <c r="W33">
        <v>2024</v>
      </c>
      <c r="X33">
        <v>2025</v>
      </c>
      <c r="Y33">
        <v>2026</v>
      </c>
      <c r="Z33">
        <v>2027</v>
      </c>
      <c r="AA33">
        <v>2028</v>
      </c>
      <c r="AB33">
        <v>2029</v>
      </c>
      <c r="AC33">
        <v>2030</v>
      </c>
      <c r="AD33">
        <v>2031</v>
      </c>
      <c r="AE33">
        <v>2032</v>
      </c>
      <c r="AF33">
        <v>2033</v>
      </c>
      <c r="AG33">
        <v>2034</v>
      </c>
    </row>
    <row r="34" spans="1:33" ht="15" thickTop="1" thickBot="1">
      <c r="A34" s="184" t="s">
        <v>6</v>
      </c>
      <c r="B34" s="184" t="s">
        <v>7</v>
      </c>
      <c r="C34" s="184" t="s">
        <v>188</v>
      </c>
      <c r="D34" s="184" t="s">
        <v>189</v>
      </c>
      <c r="E34" s="184" t="s">
        <v>190</v>
      </c>
      <c r="F34" s="184" t="s">
        <v>191</v>
      </c>
      <c r="G34" s="184" t="s">
        <v>192</v>
      </c>
      <c r="H34" s="184" t="s">
        <v>193</v>
      </c>
      <c r="I34" s="184" t="s">
        <v>194</v>
      </c>
      <c r="J34" s="184" t="s">
        <v>195</v>
      </c>
      <c r="K34" s="184" t="s">
        <v>196</v>
      </c>
      <c r="L34" s="184" t="s">
        <v>197</v>
      </c>
      <c r="M34" s="184" t="s">
        <v>198</v>
      </c>
      <c r="N34" s="184" t="s">
        <v>199</v>
      </c>
      <c r="Q34" t="s">
        <v>118</v>
      </c>
      <c r="R34">
        <v>0.81</v>
      </c>
      <c r="S34">
        <v>0.81</v>
      </c>
      <c r="T34">
        <v>0.79</v>
      </c>
      <c r="U34">
        <v>0.74199999999999999</v>
      </c>
      <c r="V34">
        <v>0.73</v>
      </c>
      <c r="W34">
        <v>0.66200000000000003</v>
      </c>
      <c r="X34">
        <v>0.624</v>
      </c>
      <c r="Y34">
        <v>0.54700000000000004</v>
      </c>
      <c r="Z34">
        <v>0.46</v>
      </c>
      <c r="AA34">
        <v>0.38300000000000001</v>
      </c>
      <c r="AB34">
        <v>0.32500000000000001</v>
      </c>
      <c r="AC34">
        <v>0.28799999999999998</v>
      </c>
      <c r="AD34">
        <v>0.26400000000000001</v>
      </c>
      <c r="AE34">
        <v>0.248</v>
      </c>
      <c r="AF34">
        <v>0.23699999999999999</v>
      </c>
      <c r="AG34">
        <v>0.22900000000000001</v>
      </c>
    </row>
    <row r="35" spans="1:33" ht="13" thickTop="1">
      <c r="A35" s="185" t="s">
        <v>289</v>
      </c>
      <c r="B35" s="198" t="s">
        <v>290</v>
      </c>
      <c r="C35" s="239">
        <v>0</v>
      </c>
      <c r="D35" s="239">
        <v>60</v>
      </c>
      <c r="E35" s="239">
        <v>60</v>
      </c>
      <c r="F35" s="239">
        <v>60</v>
      </c>
      <c r="G35" s="239">
        <v>60</v>
      </c>
      <c r="H35" s="239">
        <v>60</v>
      </c>
      <c r="I35" s="239">
        <v>60</v>
      </c>
      <c r="J35" s="239">
        <v>60</v>
      </c>
      <c r="K35" s="239">
        <v>60</v>
      </c>
      <c r="L35" s="239">
        <v>60</v>
      </c>
      <c r="M35" s="239">
        <v>60</v>
      </c>
      <c r="N35" s="239">
        <v>60</v>
      </c>
      <c r="Q35" t="s">
        <v>129</v>
      </c>
      <c r="R35">
        <v>1.02</v>
      </c>
      <c r="S35">
        <v>0.98</v>
      </c>
      <c r="T35">
        <v>0.96</v>
      </c>
      <c r="U35">
        <v>0.88300000000000001</v>
      </c>
      <c r="V35">
        <v>0.88</v>
      </c>
      <c r="W35">
        <v>0.77200000000000002</v>
      </c>
      <c r="X35">
        <v>0.73299999999999998</v>
      </c>
      <c r="Y35">
        <v>0.71299999999999997</v>
      </c>
      <c r="Z35">
        <v>0.69899999999999995</v>
      </c>
      <c r="AA35">
        <v>0.65800000000000003</v>
      </c>
      <c r="AB35">
        <v>0.58699999999999997</v>
      </c>
      <c r="AC35">
        <v>0.51600000000000001</v>
      </c>
      <c r="AD35">
        <v>0.46100000000000002</v>
      </c>
      <c r="AE35">
        <v>0.438</v>
      </c>
      <c r="AF35">
        <v>0.42099999999999999</v>
      </c>
      <c r="AG35">
        <v>0.40500000000000003</v>
      </c>
    </row>
    <row r="36" spans="1:33">
      <c r="A36" s="185"/>
      <c r="B36" s="198"/>
      <c r="C36" s="239"/>
      <c r="D36" s="239"/>
      <c r="E36" s="239"/>
      <c r="F36" s="239"/>
      <c r="G36" s="239"/>
      <c r="H36" s="239"/>
      <c r="I36" s="239"/>
      <c r="J36" s="239"/>
      <c r="K36" s="239"/>
      <c r="L36" s="239"/>
      <c r="M36" s="239"/>
      <c r="N36" s="239"/>
      <c r="Q36" t="s">
        <v>150</v>
      </c>
      <c r="R36">
        <v>0.81</v>
      </c>
      <c r="S36">
        <v>0.81</v>
      </c>
      <c r="T36">
        <v>0.8</v>
      </c>
      <c r="U36">
        <v>0.73899999999999999</v>
      </c>
      <c r="V36">
        <v>0.88600000000000001</v>
      </c>
      <c r="W36">
        <v>0.61499999999999999</v>
      </c>
      <c r="X36">
        <v>0.54400000000000004</v>
      </c>
      <c r="Y36">
        <v>0.51100000000000001</v>
      </c>
      <c r="Z36">
        <v>0.48199999999999998</v>
      </c>
      <c r="AA36">
        <v>0.45500000000000002</v>
      </c>
      <c r="AB36">
        <v>0.42899999999999999</v>
      </c>
      <c r="AC36">
        <v>0.40400000000000003</v>
      </c>
      <c r="AD36">
        <v>0.38200000000000001</v>
      </c>
      <c r="AE36">
        <v>0.36799999999999999</v>
      </c>
      <c r="AF36">
        <v>0.35099999999999998</v>
      </c>
      <c r="AG36">
        <v>0.33400000000000002</v>
      </c>
    </row>
    <row r="37" spans="1:33">
      <c r="A37" s="185"/>
      <c r="B37" s="198"/>
      <c r="C37" s="239"/>
      <c r="D37" s="239"/>
      <c r="E37" s="239"/>
      <c r="F37" s="239"/>
      <c r="G37" s="239"/>
      <c r="H37" s="239"/>
      <c r="I37" s="239"/>
      <c r="J37" s="239"/>
      <c r="K37" s="239"/>
      <c r="L37" s="239"/>
      <c r="M37" s="239"/>
      <c r="N37" s="239"/>
      <c r="Q37" t="s">
        <v>142</v>
      </c>
      <c r="R37">
        <v>0.81</v>
      </c>
      <c r="S37">
        <v>0.81</v>
      </c>
      <c r="T37">
        <v>0.79</v>
      </c>
      <c r="U37">
        <v>0.74199999999999999</v>
      </c>
      <c r="V37">
        <v>0.73</v>
      </c>
      <c r="W37">
        <v>0</v>
      </c>
      <c r="X37">
        <v>0</v>
      </c>
      <c r="Y37">
        <v>0</v>
      </c>
      <c r="Z37">
        <v>0</v>
      </c>
      <c r="AA37">
        <v>0</v>
      </c>
      <c r="AB37">
        <v>0</v>
      </c>
      <c r="AC37">
        <v>0</v>
      </c>
      <c r="AD37">
        <v>0</v>
      </c>
      <c r="AE37">
        <v>0</v>
      </c>
      <c r="AF37">
        <v>0</v>
      </c>
      <c r="AG37">
        <v>0</v>
      </c>
    </row>
    <row r="38" spans="1:33">
      <c r="A38" s="185"/>
      <c r="B38" s="198"/>
      <c r="C38" s="305" t="s">
        <v>291</v>
      </c>
      <c r="D38" s="306">
        <v>0.3</v>
      </c>
      <c r="E38" s="630">
        <v>3.5000000000000003E-2</v>
      </c>
      <c r="F38" s="630">
        <v>3.5000000000000003E-2</v>
      </c>
      <c r="G38" s="630">
        <v>3.5000000000000003E-2</v>
      </c>
      <c r="H38" s="630">
        <v>3.5000000000000003E-2</v>
      </c>
      <c r="I38" s="630">
        <v>3.5000000000000003E-2</v>
      </c>
      <c r="J38" s="630">
        <v>3.5000000000000003E-2</v>
      </c>
      <c r="K38" s="306">
        <v>0.2</v>
      </c>
      <c r="L38" s="630">
        <v>3.5000000000000003E-2</v>
      </c>
      <c r="M38" s="630">
        <v>3.5000000000000003E-2</v>
      </c>
      <c r="N38" s="630">
        <v>3.5000000000000003E-2</v>
      </c>
    </row>
    <row r="39" spans="1:33" ht="18" thickBot="1">
      <c r="A39" s="196" t="s">
        <v>292</v>
      </c>
      <c r="Q39" t="s">
        <v>286</v>
      </c>
      <c r="R39" s="747"/>
      <c r="S39" s="747"/>
      <c r="T39" s="747"/>
      <c r="U39" s="266"/>
      <c r="V39" s="747"/>
      <c r="W39" s="747"/>
    </row>
    <row r="40" spans="1:33" ht="15" thickTop="1" thickBot="1">
      <c r="A40" s="184" t="s">
        <v>6</v>
      </c>
      <c r="B40" s="184" t="s">
        <v>293</v>
      </c>
      <c r="C40" s="184" t="s">
        <v>188</v>
      </c>
      <c r="D40" s="184" t="s">
        <v>189</v>
      </c>
      <c r="E40" s="184" t="s">
        <v>190</v>
      </c>
      <c r="F40" s="184" t="s">
        <v>191</v>
      </c>
      <c r="G40" s="184" t="s">
        <v>192</v>
      </c>
      <c r="H40" s="184" t="s">
        <v>193</v>
      </c>
      <c r="I40" s="184" t="s">
        <v>194</v>
      </c>
      <c r="J40" s="184" t="s">
        <v>195</v>
      </c>
      <c r="K40" s="184" t="s">
        <v>196</v>
      </c>
      <c r="L40" s="184" t="s">
        <v>197</v>
      </c>
      <c r="M40" s="184" t="s">
        <v>198</v>
      </c>
      <c r="N40" s="184" t="s">
        <v>199</v>
      </c>
      <c r="Q40" t="s">
        <v>6</v>
      </c>
      <c r="R40" s="747"/>
      <c r="S40" s="266"/>
      <c r="T40" s="266"/>
      <c r="U40" s="281"/>
      <c r="V40" s="281"/>
      <c r="W40" s="281"/>
    </row>
    <row r="41" spans="1:33" ht="14.5" thickTop="1">
      <c r="A41" s="185" t="s">
        <v>30</v>
      </c>
      <c r="B41" s="198" t="s">
        <v>31</v>
      </c>
      <c r="C41" s="287">
        <v>245.41426976422628</v>
      </c>
      <c r="D41" s="287">
        <f>C41*(1+D$38)</f>
        <v>319.03855069349419</v>
      </c>
      <c r="E41" s="287">
        <f t="shared" ref="E41:N41" si="6">D41*(1+E$38)</f>
        <v>330.20489996776644</v>
      </c>
      <c r="F41" s="287">
        <f t="shared" si="6"/>
        <v>341.76207146663825</v>
      </c>
      <c r="G41" s="287">
        <f t="shared" si="6"/>
        <v>353.72374396797056</v>
      </c>
      <c r="H41" s="287">
        <f t="shared" si="6"/>
        <v>366.10407500684948</v>
      </c>
      <c r="I41" s="287">
        <f t="shared" si="6"/>
        <v>378.91771763208919</v>
      </c>
      <c r="J41" s="287">
        <f t="shared" si="6"/>
        <v>392.17983774921231</v>
      </c>
      <c r="K41" s="287">
        <f t="shared" si="6"/>
        <v>470.61580529905473</v>
      </c>
      <c r="L41" s="287">
        <f t="shared" si="6"/>
        <v>487.08735848452159</v>
      </c>
      <c r="M41" s="287">
        <f t="shared" si="6"/>
        <v>504.13541603147979</v>
      </c>
      <c r="N41" s="287">
        <f t="shared" si="6"/>
        <v>521.78015559258154</v>
      </c>
      <c r="P41" s="270"/>
      <c r="Q41" t="s">
        <v>118</v>
      </c>
      <c r="S41" s="270"/>
      <c r="T41" s="270"/>
      <c r="U41" s="280"/>
      <c r="V41" s="623">
        <v>0.73</v>
      </c>
    </row>
    <row r="42" spans="1:33" ht="14">
      <c r="A42" s="185" t="s">
        <v>37</v>
      </c>
      <c r="B42" s="182" t="s">
        <v>38</v>
      </c>
      <c r="C42" s="287">
        <v>214.09693819674487</v>
      </c>
      <c r="D42" s="287">
        <f t="shared" ref="D42:N42" si="7">C42*(1+D$38)</f>
        <v>278.32601965576833</v>
      </c>
      <c r="E42" s="287">
        <f t="shared" si="7"/>
        <v>288.06743034372022</v>
      </c>
      <c r="F42" s="287">
        <f t="shared" si="7"/>
        <v>298.14979040575042</v>
      </c>
      <c r="G42" s="287">
        <f t="shared" si="7"/>
        <v>308.58503306995169</v>
      </c>
      <c r="H42" s="287">
        <f t="shared" si="7"/>
        <v>319.38550922739995</v>
      </c>
      <c r="I42" s="287">
        <f t="shared" si="7"/>
        <v>330.56400205035891</v>
      </c>
      <c r="J42" s="287">
        <f t="shared" si="7"/>
        <v>342.13374212212142</v>
      </c>
      <c r="K42" s="287">
        <f t="shared" si="7"/>
        <v>410.56049054654568</v>
      </c>
      <c r="L42" s="287">
        <f t="shared" si="7"/>
        <v>424.93010771567475</v>
      </c>
      <c r="M42" s="287">
        <f t="shared" si="7"/>
        <v>439.80266148572332</v>
      </c>
      <c r="N42" s="287">
        <f t="shared" si="7"/>
        <v>455.19575463772361</v>
      </c>
      <c r="P42" s="270"/>
      <c r="Q42" t="s">
        <v>129</v>
      </c>
      <c r="S42" s="270"/>
      <c r="T42" s="270"/>
      <c r="U42" s="280"/>
      <c r="V42" s="623">
        <v>0.86</v>
      </c>
      <c r="W42" s="753">
        <f>V42*0.8104</f>
        <v>0.69694400000000001</v>
      </c>
    </row>
    <row r="43" spans="1:33" ht="14">
      <c r="A43" s="185" t="s">
        <v>30</v>
      </c>
      <c r="B43" s="182" t="s">
        <v>42</v>
      </c>
      <c r="C43" s="287">
        <v>208.73111040363014</v>
      </c>
      <c r="D43" s="287">
        <f t="shared" ref="D43:N43" si="8">C43*(1+D$38)</f>
        <v>271.3504435247192</v>
      </c>
      <c r="E43" s="287">
        <f t="shared" si="8"/>
        <v>280.84770904808437</v>
      </c>
      <c r="F43" s="287">
        <f t="shared" si="8"/>
        <v>290.67737886476732</v>
      </c>
      <c r="G43" s="287">
        <f t="shared" si="8"/>
        <v>300.85108712503416</v>
      </c>
      <c r="H43" s="287">
        <f t="shared" si="8"/>
        <v>311.38087517441033</v>
      </c>
      <c r="I43" s="287">
        <f t="shared" si="8"/>
        <v>322.27920580551466</v>
      </c>
      <c r="J43" s="287">
        <f t="shared" si="8"/>
        <v>333.55897800870764</v>
      </c>
      <c r="K43" s="287">
        <f t="shared" si="8"/>
        <v>400.27077361044917</v>
      </c>
      <c r="L43" s="287">
        <f t="shared" si="8"/>
        <v>414.28025068681484</v>
      </c>
      <c r="M43" s="287">
        <f t="shared" si="8"/>
        <v>428.78005946085335</v>
      </c>
      <c r="N43" s="287">
        <f t="shared" si="8"/>
        <v>443.78736154198316</v>
      </c>
      <c r="P43" s="270"/>
      <c r="Q43" t="s">
        <v>150</v>
      </c>
      <c r="S43" s="270"/>
      <c r="T43" s="270"/>
      <c r="U43" s="280"/>
      <c r="V43" s="623">
        <v>0.88</v>
      </c>
      <c r="W43" s="752"/>
    </row>
    <row r="44" spans="1:33" ht="14">
      <c r="A44" s="185" t="s">
        <v>30</v>
      </c>
      <c r="B44" s="182" t="s">
        <v>43</v>
      </c>
      <c r="C44" s="287">
        <v>234.29850985162875</v>
      </c>
      <c r="D44" s="287">
        <f t="shared" ref="D44:N44" si="9">C44*(1+D$38)</f>
        <v>304.58806280711741</v>
      </c>
      <c r="E44" s="287">
        <f t="shared" si="9"/>
        <v>315.24864500536648</v>
      </c>
      <c r="F44" s="287">
        <f t="shared" si="9"/>
        <v>326.2823475805543</v>
      </c>
      <c r="G44" s="287">
        <f t="shared" si="9"/>
        <v>337.70222974587369</v>
      </c>
      <c r="H44" s="287">
        <f t="shared" si="9"/>
        <v>349.52180778697925</v>
      </c>
      <c r="I44" s="287">
        <f t="shared" si="9"/>
        <v>361.75507105952352</v>
      </c>
      <c r="J44" s="287">
        <f t="shared" si="9"/>
        <v>374.41649854660682</v>
      </c>
      <c r="K44" s="287">
        <f t="shared" si="9"/>
        <v>449.29979825592818</v>
      </c>
      <c r="L44" s="287">
        <f t="shared" si="9"/>
        <v>465.02529119488565</v>
      </c>
      <c r="M44" s="287">
        <f t="shared" si="9"/>
        <v>481.30117638670663</v>
      </c>
      <c r="N44" s="287">
        <f t="shared" si="9"/>
        <v>498.14671756024131</v>
      </c>
      <c r="P44" s="270"/>
      <c r="Q44" t="s">
        <v>142</v>
      </c>
      <c r="S44" s="270"/>
      <c r="T44" s="270"/>
      <c r="U44" s="280"/>
      <c r="V44" s="623">
        <v>0.73</v>
      </c>
      <c r="W44" s="752"/>
    </row>
    <row r="45" spans="1:33" ht="14">
      <c r="A45" s="185" t="s">
        <v>30</v>
      </c>
      <c r="B45" s="182" t="s">
        <v>46</v>
      </c>
      <c r="C45" s="287">
        <v>227.50243914899693</v>
      </c>
      <c r="D45" s="287">
        <f t="shared" ref="D45:N45" si="10">C45*(1+D$38)</f>
        <v>295.75317089369599</v>
      </c>
      <c r="E45" s="287">
        <f t="shared" si="10"/>
        <v>306.10453187497535</v>
      </c>
      <c r="F45" s="287">
        <f t="shared" si="10"/>
        <v>316.81819049059948</v>
      </c>
      <c r="G45" s="287">
        <f t="shared" si="10"/>
        <v>327.90682715777041</v>
      </c>
      <c r="H45" s="287">
        <f t="shared" si="10"/>
        <v>339.38356610829237</v>
      </c>
      <c r="I45" s="287">
        <f t="shared" si="10"/>
        <v>351.26199092208259</v>
      </c>
      <c r="J45" s="287">
        <f t="shared" si="10"/>
        <v>363.55616060435545</v>
      </c>
      <c r="K45" s="287">
        <f t="shared" si="10"/>
        <v>436.26739272522656</v>
      </c>
      <c r="L45" s="287">
        <f t="shared" si="10"/>
        <v>451.53675147060943</v>
      </c>
      <c r="M45" s="287">
        <f t="shared" si="10"/>
        <v>467.34053777208072</v>
      </c>
      <c r="N45" s="287">
        <f t="shared" si="10"/>
        <v>483.69745659410353</v>
      </c>
      <c r="P45" s="270"/>
      <c r="Q45" s="747" t="s">
        <v>147</v>
      </c>
      <c r="S45" s="270"/>
      <c r="T45" s="270"/>
      <c r="U45" s="280"/>
      <c r="V45" s="623">
        <v>0.56999999999999995</v>
      </c>
      <c r="W45" s="752"/>
    </row>
    <row r="46" spans="1:33" ht="14">
      <c r="A46" s="185" t="s">
        <v>30</v>
      </c>
      <c r="B46" s="182" t="s">
        <v>47</v>
      </c>
      <c r="C46" s="287">
        <v>254.17540237856895</v>
      </c>
      <c r="D46" s="287">
        <f t="shared" ref="D46:N46" si="11">C46*(1+D$38)</f>
        <v>330.42802309213965</v>
      </c>
      <c r="E46" s="287">
        <f t="shared" si="11"/>
        <v>341.9930039003645</v>
      </c>
      <c r="F46" s="287">
        <f t="shared" si="11"/>
        <v>353.96275903687723</v>
      </c>
      <c r="G46" s="287">
        <f t="shared" si="11"/>
        <v>366.35145560316789</v>
      </c>
      <c r="H46" s="287">
        <f t="shared" si="11"/>
        <v>379.17375654927872</v>
      </c>
      <c r="I46" s="287">
        <f t="shared" si="11"/>
        <v>392.44483802850345</v>
      </c>
      <c r="J46" s="287">
        <f t="shared" si="11"/>
        <v>406.18040735950103</v>
      </c>
      <c r="K46" s="287">
        <f t="shared" si="11"/>
        <v>487.41648883140124</v>
      </c>
      <c r="L46" s="287">
        <f t="shared" si="11"/>
        <v>504.47606594050023</v>
      </c>
      <c r="M46" s="287">
        <f t="shared" si="11"/>
        <v>522.13272824841772</v>
      </c>
      <c r="N46" s="287">
        <f t="shared" si="11"/>
        <v>540.40737373711227</v>
      </c>
      <c r="P46" s="270"/>
      <c r="Q46" s="266"/>
      <c r="S46" s="270"/>
      <c r="T46" s="270"/>
      <c r="U46" s="280"/>
      <c r="V46" s="280"/>
      <c r="W46" s="752"/>
    </row>
    <row r="47" spans="1:33" ht="14">
      <c r="A47" s="185" t="s">
        <v>48</v>
      </c>
      <c r="B47" s="182" t="s">
        <v>49</v>
      </c>
      <c r="C47" s="287">
        <v>161.36701900699404</v>
      </c>
      <c r="D47" s="287">
        <f t="shared" ref="D47:N47" si="12">C47*(1+D$38)</f>
        <v>209.77712470909225</v>
      </c>
      <c r="E47" s="287">
        <f t="shared" si="12"/>
        <v>217.11932407391046</v>
      </c>
      <c r="F47" s="287">
        <f t="shared" si="12"/>
        <v>224.71850041649731</v>
      </c>
      <c r="G47" s="287">
        <f t="shared" si="12"/>
        <v>232.58364793107469</v>
      </c>
      <c r="H47" s="287">
        <f t="shared" si="12"/>
        <v>240.7240756086623</v>
      </c>
      <c r="I47" s="287">
        <f t="shared" si="12"/>
        <v>249.14941825496547</v>
      </c>
      <c r="J47" s="287">
        <f t="shared" si="12"/>
        <v>257.86964789388924</v>
      </c>
      <c r="K47" s="287">
        <f t="shared" si="12"/>
        <v>309.44357747266707</v>
      </c>
      <c r="L47" s="287">
        <f t="shared" si="12"/>
        <v>320.27410268421039</v>
      </c>
      <c r="M47" s="287">
        <f t="shared" si="12"/>
        <v>331.48369627815771</v>
      </c>
      <c r="N47" s="287">
        <f t="shared" si="12"/>
        <v>343.08562564789321</v>
      </c>
      <c r="P47" s="270"/>
      <c r="Q47" s="266"/>
      <c r="S47" s="270"/>
      <c r="T47" s="270"/>
      <c r="U47" s="280"/>
      <c r="V47" s="280"/>
      <c r="W47" s="752"/>
    </row>
    <row r="48" spans="1:33" ht="14">
      <c r="A48" s="185" t="s">
        <v>30</v>
      </c>
      <c r="B48" s="182" t="s">
        <v>92</v>
      </c>
      <c r="C48" s="287">
        <v>225.66356995374295</v>
      </c>
      <c r="D48" s="287">
        <f t="shared" ref="D48:N48" si="13">C48*(1+D$38)</f>
        <v>293.36264093986586</v>
      </c>
      <c r="E48" s="287">
        <f t="shared" si="13"/>
        <v>303.63033337276113</v>
      </c>
      <c r="F48" s="287">
        <f t="shared" si="13"/>
        <v>314.25739504080775</v>
      </c>
      <c r="G48" s="287">
        <f t="shared" si="13"/>
        <v>325.25640386723597</v>
      </c>
      <c r="H48" s="287">
        <f t="shared" si="13"/>
        <v>336.64037800258922</v>
      </c>
      <c r="I48" s="287">
        <f t="shared" si="13"/>
        <v>348.4227912326798</v>
      </c>
      <c r="J48" s="287">
        <f t="shared" si="13"/>
        <v>360.61758892582355</v>
      </c>
      <c r="K48" s="287">
        <f t="shared" si="13"/>
        <v>432.74110671098828</v>
      </c>
      <c r="L48" s="287">
        <f t="shared" si="13"/>
        <v>447.88704544587284</v>
      </c>
      <c r="M48" s="287">
        <f t="shared" si="13"/>
        <v>463.56309203647834</v>
      </c>
      <c r="N48" s="287">
        <f t="shared" si="13"/>
        <v>479.78780025775507</v>
      </c>
      <c r="P48" s="270"/>
      <c r="Q48" s="266"/>
      <c r="S48" s="270"/>
      <c r="T48" s="270"/>
      <c r="U48" s="280"/>
      <c r="V48" s="280"/>
      <c r="W48" s="752"/>
    </row>
    <row r="49" spans="1:14">
      <c r="A49" s="185" t="s">
        <v>30</v>
      </c>
      <c r="B49" s="182" t="s">
        <v>52</v>
      </c>
      <c r="C49" s="287">
        <v>213.05228686638696</v>
      </c>
      <c r="D49" s="287">
        <f t="shared" ref="D49:N49" si="14">C49*(1+D$38)</f>
        <v>276.96797292630305</v>
      </c>
      <c r="E49" s="287">
        <f t="shared" si="14"/>
        <v>286.66185197872363</v>
      </c>
      <c r="F49" s="287">
        <f t="shared" si="14"/>
        <v>296.69501679797895</v>
      </c>
      <c r="G49" s="287">
        <f t="shared" si="14"/>
        <v>307.07934238590821</v>
      </c>
      <c r="H49" s="287">
        <f t="shared" si="14"/>
        <v>317.82711936941496</v>
      </c>
      <c r="I49" s="287">
        <f t="shared" si="14"/>
        <v>328.95106854734445</v>
      </c>
      <c r="J49" s="287">
        <f t="shared" si="14"/>
        <v>340.46435594650148</v>
      </c>
      <c r="K49" s="287">
        <f t="shared" si="14"/>
        <v>408.55722713580178</v>
      </c>
      <c r="L49" s="287">
        <f t="shared" si="14"/>
        <v>422.85673008555483</v>
      </c>
      <c r="M49" s="287">
        <f t="shared" si="14"/>
        <v>437.6567156385492</v>
      </c>
      <c r="N49" s="287">
        <f t="shared" si="14"/>
        <v>452.97470068589837</v>
      </c>
    </row>
    <row r="50" spans="1:14">
      <c r="A50" s="185" t="s">
        <v>30</v>
      </c>
      <c r="B50" s="182" t="s">
        <v>54</v>
      </c>
      <c r="C50" s="287">
        <v>227.22018359057995</v>
      </c>
      <c r="D50" s="287">
        <f t="shared" ref="D50:N50" si="15">C50*(1+D$38)</f>
        <v>295.38623866775396</v>
      </c>
      <c r="E50" s="287">
        <f t="shared" si="15"/>
        <v>305.7247570211253</v>
      </c>
      <c r="F50" s="287">
        <f t="shared" si="15"/>
        <v>316.42512351686469</v>
      </c>
      <c r="G50" s="287">
        <f t="shared" si="15"/>
        <v>327.5000028399549</v>
      </c>
      <c r="H50" s="287">
        <f t="shared" si="15"/>
        <v>338.96250293935327</v>
      </c>
      <c r="I50" s="287">
        <f t="shared" si="15"/>
        <v>350.82619054223062</v>
      </c>
      <c r="J50" s="287">
        <f t="shared" si="15"/>
        <v>363.10510721120869</v>
      </c>
      <c r="K50" s="287">
        <f t="shared" si="15"/>
        <v>435.72612865345042</v>
      </c>
      <c r="L50" s="287">
        <f t="shared" si="15"/>
        <v>450.97654315632116</v>
      </c>
      <c r="M50" s="287">
        <f t="shared" si="15"/>
        <v>466.76072216679233</v>
      </c>
      <c r="N50" s="287">
        <f t="shared" si="15"/>
        <v>483.09734744263005</v>
      </c>
    </row>
    <row r="51" spans="1:14">
      <c r="A51" s="185" t="s">
        <v>37</v>
      </c>
      <c r="B51" s="182" t="s">
        <v>55</v>
      </c>
      <c r="C51" s="287">
        <v>305.88435755196571</v>
      </c>
      <c r="D51" s="287">
        <f t="shared" ref="D51:N51" si="16">C51*(1+D$38)</f>
        <v>397.64966481755545</v>
      </c>
      <c r="E51" s="287">
        <f t="shared" si="16"/>
        <v>411.56740308616986</v>
      </c>
      <c r="F51" s="287">
        <f t="shared" si="16"/>
        <v>425.97226219418576</v>
      </c>
      <c r="G51" s="287">
        <f t="shared" si="16"/>
        <v>440.88129137098224</v>
      </c>
      <c r="H51" s="287">
        <f t="shared" si="16"/>
        <v>456.31213656896659</v>
      </c>
      <c r="I51" s="287">
        <f t="shared" si="16"/>
        <v>472.28306134888038</v>
      </c>
      <c r="J51" s="287">
        <f t="shared" si="16"/>
        <v>488.81296849609117</v>
      </c>
      <c r="K51" s="287">
        <f t="shared" si="16"/>
        <v>586.57556219530943</v>
      </c>
      <c r="L51" s="287">
        <f t="shared" si="16"/>
        <v>607.10570687214522</v>
      </c>
      <c r="M51" s="287">
        <f t="shared" si="16"/>
        <v>628.35440661267023</v>
      </c>
      <c r="N51" s="287">
        <f t="shared" si="16"/>
        <v>650.34681084411363</v>
      </c>
    </row>
    <row r="52" spans="1:14">
      <c r="A52" s="185" t="s">
        <v>30</v>
      </c>
      <c r="B52" s="182" t="s">
        <v>56</v>
      </c>
      <c r="C52" s="282">
        <v>208.75832375802409</v>
      </c>
      <c r="D52" s="282">
        <f t="shared" ref="D52:N52" si="17">C52*(1+D$38)</f>
        <v>271.38582088543131</v>
      </c>
      <c r="E52" s="282">
        <f t="shared" si="17"/>
        <v>280.8843246164214</v>
      </c>
      <c r="F52" s="282">
        <f t="shared" si="17"/>
        <v>290.7152759779961</v>
      </c>
      <c r="G52" s="282">
        <f t="shared" si="17"/>
        <v>300.89031063722592</v>
      </c>
      <c r="H52" s="282">
        <f t="shared" si="17"/>
        <v>311.42147150952883</v>
      </c>
      <c r="I52" s="282">
        <f t="shared" si="17"/>
        <v>322.32122301236234</v>
      </c>
      <c r="J52" s="282">
        <f t="shared" si="17"/>
        <v>333.60246581779501</v>
      </c>
      <c r="K52" s="282">
        <f t="shared" si="17"/>
        <v>400.32295898135402</v>
      </c>
      <c r="L52" s="282">
        <f t="shared" si="17"/>
        <v>414.33426254570139</v>
      </c>
      <c r="M52" s="282">
        <f t="shared" si="17"/>
        <v>428.83596173480089</v>
      </c>
      <c r="N52" s="282">
        <f t="shared" si="17"/>
        <v>443.84522039551888</v>
      </c>
    </row>
    <row r="53" spans="1:14">
      <c r="A53" s="185" t="s">
        <v>30</v>
      </c>
      <c r="B53" s="198" t="s">
        <v>93</v>
      </c>
      <c r="C53" s="282">
        <v>228.37766246994906</v>
      </c>
      <c r="D53" s="282">
        <f t="shared" ref="D53:N53" si="18">C53*(1+D$38)</f>
        <v>296.89096121093377</v>
      </c>
      <c r="E53" s="282">
        <f t="shared" si="18"/>
        <v>307.28214485331642</v>
      </c>
      <c r="F53" s="282">
        <f t="shared" si="18"/>
        <v>318.03701992318247</v>
      </c>
      <c r="G53" s="282">
        <f t="shared" si="18"/>
        <v>329.16831562049384</v>
      </c>
      <c r="H53" s="282">
        <f t="shared" si="18"/>
        <v>340.68920666721112</v>
      </c>
      <c r="I53" s="282">
        <f t="shared" si="18"/>
        <v>352.61332890056349</v>
      </c>
      <c r="J53" s="282">
        <f t="shared" si="18"/>
        <v>364.95479541208317</v>
      </c>
      <c r="K53" s="282">
        <f t="shared" si="18"/>
        <v>437.94575449449979</v>
      </c>
      <c r="L53" s="282">
        <f t="shared" si="18"/>
        <v>453.27385590180728</v>
      </c>
      <c r="M53" s="282">
        <f t="shared" si="18"/>
        <v>469.13844085837047</v>
      </c>
      <c r="N53" s="282">
        <f t="shared" si="18"/>
        <v>485.5582862884134</v>
      </c>
    </row>
    <row r="54" spans="1:14">
      <c r="A54" s="185" t="s">
        <v>37</v>
      </c>
      <c r="B54" s="182" t="s">
        <v>60</v>
      </c>
      <c r="C54" s="282">
        <v>262.96714922784827</v>
      </c>
      <c r="D54" s="282">
        <f t="shared" ref="D54:N54" si="19">C54*(1+D$38)</f>
        <v>341.85729399620277</v>
      </c>
      <c r="E54" s="282">
        <f t="shared" si="19"/>
        <v>353.82229928606984</v>
      </c>
      <c r="F54" s="282">
        <f t="shared" si="19"/>
        <v>366.20607976108226</v>
      </c>
      <c r="G54" s="282">
        <f t="shared" si="19"/>
        <v>379.02329255272014</v>
      </c>
      <c r="H54" s="282">
        <f t="shared" si="19"/>
        <v>392.28910779206529</v>
      </c>
      <c r="I54" s="282">
        <f t="shared" si="19"/>
        <v>406.01922656478757</v>
      </c>
      <c r="J54" s="282">
        <f t="shared" si="19"/>
        <v>420.22989949455513</v>
      </c>
      <c r="K54" s="282">
        <f t="shared" si="19"/>
        <v>504.27587939346614</v>
      </c>
      <c r="L54" s="282">
        <f t="shared" si="19"/>
        <v>521.92553517223746</v>
      </c>
      <c r="M54" s="282">
        <f t="shared" si="19"/>
        <v>540.19292890326574</v>
      </c>
      <c r="N54" s="282">
        <f t="shared" si="19"/>
        <v>559.09968141488002</v>
      </c>
    </row>
    <row r="55" spans="1:14">
      <c r="A55" s="185" t="s">
        <v>66</v>
      </c>
      <c r="B55" s="182" t="s">
        <v>170</v>
      </c>
      <c r="C55" s="282">
        <v>87.749167505692043</v>
      </c>
      <c r="D55" s="282">
        <f t="shared" ref="D55:N55" si="20">C55*(1+D$38)</f>
        <v>114.07391775739966</v>
      </c>
      <c r="E55" s="282">
        <f t="shared" si="20"/>
        <v>118.06650487890863</v>
      </c>
      <c r="F55" s="282">
        <f t="shared" si="20"/>
        <v>122.19883254967043</v>
      </c>
      <c r="G55" s="282">
        <f t="shared" si="20"/>
        <v>126.47579168890888</v>
      </c>
      <c r="H55" s="282">
        <f t="shared" si="20"/>
        <v>130.90244439802069</v>
      </c>
      <c r="I55" s="282">
        <f t="shared" si="20"/>
        <v>135.48402995195141</v>
      </c>
      <c r="J55" s="282">
        <f t="shared" si="20"/>
        <v>140.22597100026971</v>
      </c>
      <c r="K55" s="282">
        <f t="shared" si="20"/>
        <v>168.27116520032365</v>
      </c>
      <c r="L55" s="282">
        <f t="shared" si="20"/>
        <v>174.16065598233496</v>
      </c>
      <c r="M55" s="282">
        <f t="shared" si="20"/>
        <v>180.25627894171666</v>
      </c>
      <c r="N55" s="282">
        <f t="shared" si="20"/>
        <v>186.56524870467672</v>
      </c>
    </row>
    <row r="56" spans="1:14">
      <c r="A56" s="185" t="s">
        <v>48</v>
      </c>
      <c r="B56" s="182" t="s">
        <v>168</v>
      </c>
      <c r="C56" s="282">
        <v>144.31376800406849</v>
      </c>
      <c r="D56" s="282">
        <f t="shared" ref="D56:N56" si="21">C56*(1+D$38)</f>
        <v>187.60789840528903</v>
      </c>
      <c r="E56" s="282">
        <f t="shared" si="21"/>
        <v>194.17417484947413</v>
      </c>
      <c r="F56" s="282">
        <f t="shared" si="21"/>
        <v>200.9702709692057</v>
      </c>
      <c r="G56" s="282">
        <f t="shared" si="21"/>
        <v>208.00423045312789</v>
      </c>
      <c r="H56" s="282">
        <f t="shared" si="21"/>
        <v>215.28437851898735</v>
      </c>
      <c r="I56" s="282">
        <f t="shared" si="21"/>
        <v>222.81933176715188</v>
      </c>
      <c r="J56" s="282">
        <f t="shared" si="21"/>
        <v>230.61800837900219</v>
      </c>
      <c r="K56" s="282">
        <f t="shared" si="21"/>
        <v>276.74161005480261</v>
      </c>
      <c r="L56" s="282">
        <f t="shared" si="21"/>
        <v>286.4275664067207</v>
      </c>
      <c r="M56" s="282">
        <f t="shared" si="21"/>
        <v>296.45253123095591</v>
      </c>
      <c r="N56" s="282">
        <f t="shared" si="21"/>
        <v>306.82836982403933</v>
      </c>
    </row>
    <row r="57" spans="1:14">
      <c r="A57" s="185" t="s">
        <v>30</v>
      </c>
      <c r="B57" s="182" t="s">
        <v>123</v>
      </c>
      <c r="C57" s="282">
        <v>331.93155342513739</v>
      </c>
      <c r="D57" s="282">
        <f t="shared" ref="D57:N57" si="22">C57*(1+D$38)</f>
        <v>431.51101945267862</v>
      </c>
      <c r="E57" s="282">
        <f t="shared" si="22"/>
        <v>446.61390513352234</v>
      </c>
      <c r="F57" s="282">
        <f t="shared" si="22"/>
        <v>462.24539181319557</v>
      </c>
      <c r="G57" s="282">
        <f t="shared" si="22"/>
        <v>478.42398052665737</v>
      </c>
      <c r="H57" s="282">
        <f t="shared" si="22"/>
        <v>495.16881984509035</v>
      </c>
      <c r="I57" s="282">
        <f t="shared" si="22"/>
        <v>512.49972853966847</v>
      </c>
      <c r="J57" s="282">
        <f t="shared" si="22"/>
        <v>530.4372190385568</v>
      </c>
      <c r="K57" s="282">
        <f t="shared" si="22"/>
        <v>636.52466284626814</v>
      </c>
      <c r="L57" s="282">
        <f t="shared" si="22"/>
        <v>658.80302604588746</v>
      </c>
      <c r="M57" s="282">
        <f t="shared" si="22"/>
        <v>681.86113195749351</v>
      </c>
      <c r="N57" s="282">
        <f t="shared" si="22"/>
        <v>705.72627157600573</v>
      </c>
    </row>
    <row r="58" spans="1:14">
      <c r="A58" s="185" t="s">
        <v>63</v>
      </c>
      <c r="B58" s="182" t="s">
        <v>64</v>
      </c>
      <c r="C58" s="288">
        <v>0</v>
      </c>
      <c r="D58" s="288">
        <f t="shared" ref="D58:N58" si="23">C58*(1+D$38)</f>
        <v>0</v>
      </c>
      <c r="E58" s="288">
        <f t="shared" si="23"/>
        <v>0</v>
      </c>
      <c r="F58" s="288">
        <f t="shared" si="23"/>
        <v>0</v>
      </c>
      <c r="G58" s="288">
        <f t="shared" si="23"/>
        <v>0</v>
      </c>
      <c r="H58" s="288">
        <f t="shared" si="23"/>
        <v>0</v>
      </c>
      <c r="I58" s="288">
        <f t="shared" si="23"/>
        <v>0</v>
      </c>
      <c r="J58" s="288">
        <f t="shared" si="23"/>
        <v>0</v>
      </c>
      <c r="K58" s="288">
        <f t="shared" si="23"/>
        <v>0</v>
      </c>
      <c r="L58" s="288">
        <f t="shared" si="23"/>
        <v>0</v>
      </c>
      <c r="M58" s="288">
        <f t="shared" si="23"/>
        <v>0</v>
      </c>
      <c r="N58" s="288">
        <f t="shared" si="23"/>
        <v>0</v>
      </c>
    </row>
    <row r="59" spans="1:14">
      <c r="A59" s="185" t="s">
        <v>66</v>
      </c>
      <c r="B59" s="182" t="s">
        <v>95</v>
      </c>
      <c r="C59" s="282">
        <v>83.475068718722738</v>
      </c>
      <c r="D59" s="282">
        <f t="shared" ref="D59:N59" si="24">C59*(1+D$38)</f>
        <v>108.51758933433956</v>
      </c>
      <c r="E59" s="282">
        <f t="shared" si="24"/>
        <v>112.31570496104143</v>
      </c>
      <c r="F59" s="282">
        <f t="shared" si="24"/>
        <v>116.24675463467787</v>
      </c>
      <c r="G59" s="282">
        <f t="shared" si="24"/>
        <v>120.31539104689159</v>
      </c>
      <c r="H59" s="282">
        <f t="shared" si="24"/>
        <v>124.52642973353279</v>
      </c>
      <c r="I59" s="282">
        <f t="shared" si="24"/>
        <v>128.88485477420645</v>
      </c>
      <c r="J59" s="282">
        <f t="shared" si="24"/>
        <v>133.39582469130366</v>
      </c>
      <c r="K59" s="282">
        <f t="shared" si="24"/>
        <v>160.07498962956439</v>
      </c>
      <c r="L59" s="282">
        <f t="shared" si="24"/>
        <v>165.67761426659914</v>
      </c>
      <c r="M59" s="282">
        <f t="shared" si="24"/>
        <v>171.4763307659301</v>
      </c>
      <c r="N59" s="282">
        <f t="shared" si="24"/>
        <v>177.47800234273765</v>
      </c>
    </row>
    <row r="60" spans="1:14">
      <c r="A60" s="185" t="s">
        <v>66</v>
      </c>
      <c r="B60" s="182" t="s">
        <v>133</v>
      </c>
      <c r="C60" s="282">
        <v>451.43656419059414</v>
      </c>
      <c r="D60" s="282">
        <f t="shared" ref="D60:N60" si="25">C60*(1+D$38)</f>
        <v>586.86753344777242</v>
      </c>
      <c r="E60" s="282">
        <f t="shared" si="25"/>
        <v>607.40789711844445</v>
      </c>
      <c r="F60" s="282">
        <f t="shared" si="25"/>
        <v>628.66717351758996</v>
      </c>
      <c r="G60" s="282">
        <f t="shared" si="25"/>
        <v>650.67052459070555</v>
      </c>
      <c r="H60" s="282">
        <f t="shared" si="25"/>
        <v>673.44399295138021</v>
      </c>
      <c r="I60" s="282">
        <f t="shared" si="25"/>
        <v>697.01453270467846</v>
      </c>
      <c r="J60" s="282">
        <f t="shared" si="25"/>
        <v>721.41004134934212</v>
      </c>
      <c r="K60" s="282">
        <f t="shared" si="25"/>
        <v>865.69204961921048</v>
      </c>
      <c r="L60" s="282">
        <f t="shared" si="25"/>
        <v>895.99127135588276</v>
      </c>
      <c r="M60" s="282">
        <f t="shared" si="25"/>
        <v>927.35096585333861</v>
      </c>
      <c r="N60" s="282">
        <f t="shared" si="25"/>
        <v>959.80824965820534</v>
      </c>
    </row>
    <row r="61" spans="1:14" ht="14">
      <c r="A61" s="185" t="s">
        <v>178</v>
      </c>
      <c r="B61" s="747" t="s">
        <v>140</v>
      </c>
      <c r="C61" s="282">
        <v>212.76325022386996</v>
      </c>
      <c r="D61" s="282">
        <f t="shared" ref="D61:N61" si="26">C61*(1+D$38)</f>
        <v>276.59222529103096</v>
      </c>
      <c r="E61" s="282">
        <f t="shared" si="26"/>
        <v>286.27295317621702</v>
      </c>
      <c r="F61" s="282">
        <f t="shared" si="26"/>
        <v>296.29250653738461</v>
      </c>
      <c r="G61" s="282">
        <f t="shared" si="26"/>
        <v>306.66274426619304</v>
      </c>
      <c r="H61" s="282">
        <f t="shared" si="26"/>
        <v>317.39594031550979</v>
      </c>
      <c r="I61" s="282">
        <f t="shared" si="26"/>
        <v>328.50479822655262</v>
      </c>
      <c r="J61" s="282">
        <f t="shared" si="26"/>
        <v>340.00246616448192</v>
      </c>
      <c r="K61" s="282">
        <f t="shared" si="26"/>
        <v>408.00295939737828</v>
      </c>
      <c r="L61" s="282">
        <f t="shared" si="26"/>
        <v>422.28306297628649</v>
      </c>
      <c r="M61" s="282">
        <f t="shared" si="26"/>
        <v>437.06297018045649</v>
      </c>
      <c r="N61" s="282">
        <f t="shared" si="26"/>
        <v>452.36017413677246</v>
      </c>
    </row>
    <row r="62" spans="1:14">
      <c r="A62" s="185" t="s">
        <v>37</v>
      </c>
      <c r="B62" s="182" t="s">
        <v>166</v>
      </c>
      <c r="C62" s="282">
        <v>289.80467713342466</v>
      </c>
      <c r="D62" s="282">
        <f t="shared" ref="D62:N62" si="27">C62*(1+D$38)</f>
        <v>376.74608027345209</v>
      </c>
      <c r="E62" s="282">
        <f t="shared" si="27"/>
        <v>389.93219308302287</v>
      </c>
      <c r="F62" s="282">
        <f t="shared" si="27"/>
        <v>403.57981984092862</v>
      </c>
      <c r="G62" s="282">
        <f t="shared" si="27"/>
        <v>417.70511353536108</v>
      </c>
      <c r="H62" s="282">
        <f t="shared" si="27"/>
        <v>432.3247925090987</v>
      </c>
      <c r="I62" s="282">
        <f t="shared" si="27"/>
        <v>447.45616024691714</v>
      </c>
      <c r="J62" s="282">
        <f t="shared" si="27"/>
        <v>463.11712585555921</v>
      </c>
      <c r="K62" s="282">
        <f t="shared" si="27"/>
        <v>555.74055102667103</v>
      </c>
      <c r="L62" s="282">
        <f t="shared" si="27"/>
        <v>575.19147031260445</v>
      </c>
      <c r="M62" s="282">
        <f t="shared" si="27"/>
        <v>595.3231717735456</v>
      </c>
      <c r="N62" s="282">
        <f t="shared" si="27"/>
        <v>616.15948278561962</v>
      </c>
    </row>
    <row r="63" spans="1:14">
      <c r="A63" s="185" t="s">
        <v>66</v>
      </c>
      <c r="B63" s="182" t="s">
        <v>67</v>
      </c>
      <c r="C63" s="282">
        <v>233.34542691636833</v>
      </c>
      <c r="D63" s="282">
        <f t="shared" ref="D63:N63" si="28">C63*(1+D$38)</f>
        <v>303.34905499127882</v>
      </c>
      <c r="E63" s="282">
        <f t="shared" si="28"/>
        <v>313.96627191597355</v>
      </c>
      <c r="F63" s="282">
        <f t="shared" si="28"/>
        <v>324.95509143303258</v>
      </c>
      <c r="G63" s="282">
        <f t="shared" si="28"/>
        <v>336.32851963318871</v>
      </c>
      <c r="H63" s="282">
        <f t="shared" si="28"/>
        <v>348.10001782035027</v>
      </c>
      <c r="I63" s="282">
        <f t="shared" si="28"/>
        <v>360.28351844406251</v>
      </c>
      <c r="J63" s="282">
        <f t="shared" si="28"/>
        <v>372.89344158960466</v>
      </c>
      <c r="K63" s="282">
        <f t="shared" si="28"/>
        <v>447.47212990752558</v>
      </c>
      <c r="L63" s="282">
        <f t="shared" si="28"/>
        <v>463.13365445428894</v>
      </c>
      <c r="M63" s="282">
        <f t="shared" si="28"/>
        <v>479.34333236018904</v>
      </c>
      <c r="N63" s="282">
        <f t="shared" si="28"/>
        <v>496.12034899279564</v>
      </c>
    </row>
    <row r="66" spans="1:14">
      <c r="B66" s="198"/>
      <c r="C66" s="305" t="s">
        <v>294</v>
      </c>
      <c r="D66" s="306">
        <v>0.03</v>
      </c>
      <c r="E66" s="306">
        <v>0.03</v>
      </c>
      <c r="F66" s="306">
        <v>0.03</v>
      </c>
      <c r="G66" s="306">
        <v>0.03</v>
      </c>
      <c r="H66" s="306">
        <v>0.03</v>
      </c>
      <c r="I66" s="306">
        <v>0.03</v>
      </c>
      <c r="J66" s="306">
        <v>0.03</v>
      </c>
      <c r="K66" s="306">
        <v>0.03</v>
      </c>
      <c r="L66" s="306">
        <v>0.03</v>
      </c>
      <c r="M66" s="306">
        <v>0.03</v>
      </c>
      <c r="N66" s="306">
        <v>0.03</v>
      </c>
    </row>
    <row r="67" spans="1:14" ht="18" thickBot="1">
      <c r="A67" s="196" t="s">
        <v>295</v>
      </c>
    </row>
    <row r="68" spans="1:14" ht="15" thickTop="1" thickBot="1">
      <c r="A68" s="184" t="s">
        <v>6</v>
      </c>
      <c r="B68" s="184" t="s">
        <v>293</v>
      </c>
      <c r="C68" s="184" t="s">
        <v>188</v>
      </c>
      <c r="D68" s="184" t="s">
        <v>189</v>
      </c>
      <c r="E68" s="184" t="s">
        <v>190</v>
      </c>
      <c r="F68" s="184" t="s">
        <v>191</v>
      </c>
      <c r="G68" s="184" t="s">
        <v>192</v>
      </c>
      <c r="H68" s="184" t="s">
        <v>193</v>
      </c>
      <c r="I68" s="184" t="s">
        <v>194</v>
      </c>
      <c r="J68" s="184" t="s">
        <v>195</v>
      </c>
      <c r="K68" s="184" t="s">
        <v>196</v>
      </c>
      <c r="L68" s="184" t="s">
        <v>197</v>
      </c>
      <c r="M68" s="184" t="s">
        <v>198</v>
      </c>
      <c r="N68" s="184" t="s">
        <v>199</v>
      </c>
    </row>
    <row r="69" spans="1:14" ht="13" thickTop="1">
      <c r="A69" s="185" t="s">
        <v>30</v>
      </c>
      <c r="B69" s="198" t="s">
        <v>31</v>
      </c>
      <c r="C69" s="287">
        <v>29.261555104226325</v>
      </c>
      <c r="D69" s="287">
        <f>C69*(1+D$66)</f>
        <v>30.139401757353117</v>
      </c>
      <c r="E69" s="287">
        <f t="shared" ref="E69:N69" si="29">D69*(1+E$66)</f>
        <v>31.043583810073709</v>
      </c>
      <c r="F69" s="287">
        <f t="shared" si="29"/>
        <v>31.974891324375921</v>
      </c>
      <c r="G69" s="287">
        <f t="shared" si="29"/>
        <v>32.934138064107202</v>
      </c>
      <c r="H69" s="287">
        <f t="shared" si="29"/>
        <v>33.922162206030421</v>
      </c>
      <c r="I69" s="287">
        <f t="shared" si="29"/>
        <v>34.939827072211337</v>
      </c>
      <c r="J69" s="287">
        <f t="shared" si="29"/>
        <v>35.98802188437768</v>
      </c>
      <c r="K69" s="287">
        <f t="shared" si="29"/>
        <v>37.067662540909012</v>
      </c>
      <c r="L69" s="287">
        <f>K69*(1+L$66)</f>
        <v>38.17969241713628</v>
      </c>
      <c r="M69" s="287">
        <f t="shared" si="29"/>
        <v>39.325083189650371</v>
      </c>
      <c r="N69" s="287">
        <f t="shared" si="29"/>
        <v>40.504835685339884</v>
      </c>
    </row>
    <row r="70" spans="1:14">
      <c r="A70" s="185" t="s">
        <v>37</v>
      </c>
      <c r="B70" s="182" t="s">
        <v>38</v>
      </c>
      <c r="C70" s="287">
        <v>18.746873995427872</v>
      </c>
      <c r="D70" s="287">
        <f t="shared" ref="D70:N70" si="30">C70*(1+D$66)</f>
        <v>19.309280215290709</v>
      </c>
      <c r="E70" s="287">
        <f t="shared" si="30"/>
        <v>19.888558621749432</v>
      </c>
      <c r="F70" s="287">
        <f t="shared" si="30"/>
        <v>20.485215380401915</v>
      </c>
      <c r="G70" s="287">
        <f t="shared" si="30"/>
        <v>21.099771841813972</v>
      </c>
      <c r="H70" s="287">
        <f t="shared" si="30"/>
        <v>21.73276499706839</v>
      </c>
      <c r="I70" s="287">
        <f t="shared" si="30"/>
        <v>22.384747946980443</v>
      </c>
      <c r="J70" s="287">
        <f t="shared" si="30"/>
        <v>23.056290385389858</v>
      </c>
      <c r="K70" s="287">
        <f t="shared" si="30"/>
        <v>23.747979096951553</v>
      </c>
      <c r="L70" s="287">
        <f t="shared" si="30"/>
        <v>24.460418469860102</v>
      </c>
      <c r="M70" s="287">
        <f t="shared" si="30"/>
        <v>25.194231023955904</v>
      </c>
      <c r="N70" s="287">
        <f t="shared" si="30"/>
        <v>25.95005795467458</v>
      </c>
    </row>
    <row r="71" spans="1:14">
      <c r="A71" s="185" t="s">
        <v>30</v>
      </c>
      <c r="B71" s="182" t="s">
        <v>42</v>
      </c>
      <c r="C71" s="287">
        <v>26.943555858194884</v>
      </c>
      <c r="D71" s="287">
        <f t="shared" ref="D71:N71" si="31">C71*(1+D$66)</f>
        <v>27.751862533940731</v>
      </c>
      <c r="E71" s="287">
        <f t="shared" si="31"/>
        <v>28.584418409958953</v>
      </c>
      <c r="F71" s="287">
        <f t="shared" si="31"/>
        <v>29.441950962257724</v>
      </c>
      <c r="G71" s="287">
        <f t="shared" si="31"/>
        <v>30.325209491125456</v>
      </c>
      <c r="H71" s="287">
        <f t="shared" si="31"/>
        <v>31.234965775859219</v>
      </c>
      <c r="I71" s="287">
        <f t="shared" si="31"/>
        <v>32.172014749134995</v>
      </c>
      <c r="J71" s="287">
        <f t="shared" si="31"/>
        <v>33.137175191609046</v>
      </c>
      <c r="K71" s="287">
        <f t="shared" si="31"/>
        <v>34.131290447357316</v>
      </c>
      <c r="L71" s="287">
        <f t="shared" si="31"/>
        <v>35.155229160778035</v>
      </c>
      <c r="M71" s="287">
        <f t="shared" si="31"/>
        <v>36.209886035601379</v>
      </c>
      <c r="N71" s="287">
        <f t="shared" si="31"/>
        <v>37.296182616669419</v>
      </c>
    </row>
    <row r="72" spans="1:14">
      <c r="A72" s="185" t="s">
        <v>30</v>
      </c>
      <c r="B72" s="182" t="s">
        <v>43</v>
      </c>
      <c r="C72" s="287">
        <v>25.152616285121429</v>
      </c>
      <c r="D72" s="287">
        <f t="shared" ref="D72:N72" si="32">C72*(1+D$66)</f>
        <v>25.907194773675073</v>
      </c>
      <c r="E72" s="287">
        <f t="shared" si="32"/>
        <v>26.684410616885327</v>
      </c>
      <c r="F72" s="287">
        <f t="shared" si="32"/>
        <v>27.484942935391889</v>
      </c>
      <c r="G72" s="287">
        <f t="shared" si="32"/>
        <v>28.309491223453644</v>
      </c>
      <c r="H72" s="287">
        <f t="shared" si="32"/>
        <v>29.158775960157254</v>
      </c>
      <c r="I72" s="287">
        <f t="shared" si="32"/>
        <v>30.033539238961971</v>
      </c>
      <c r="J72" s="287">
        <f t="shared" si="32"/>
        <v>30.934545416130831</v>
      </c>
      <c r="K72" s="287">
        <f t="shared" si="32"/>
        <v>31.862581778614757</v>
      </c>
      <c r="L72" s="287">
        <f t="shared" si="32"/>
        <v>32.8184592319732</v>
      </c>
      <c r="M72" s="287">
        <f t="shared" si="32"/>
        <v>33.803013008932396</v>
      </c>
      <c r="N72" s="287">
        <f t="shared" si="32"/>
        <v>34.81710339920037</v>
      </c>
    </row>
    <row r="73" spans="1:14">
      <c r="A73" s="185" t="s">
        <v>30</v>
      </c>
      <c r="B73" s="182" t="s">
        <v>46</v>
      </c>
      <c r="C73" s="287">
        <v>28.514716505380822</v>
      </c>
      <c r="D73" s="287">
        <f t="shared" ref="D73:N73" si="33">C73*(1+D$66)</f>
        <v>29.370158000542247</v>
      </c>
      <c r="E73" s="287">
        <f t="shared" si="33"/>
        <v>30.251262740558516</v>
      </c>
      <c r="F73" s="287">
        <f t="shared" si="33"/>
        <v>31.158800622775274</v>
      </c>
      <c r="G73" s="287">
        <f t="shared" si="33"/>
        <v>32.093564641458535</v>
      </c>
      <c r="H73" s="287">
        <f t="shared" si="33"/>
        <v>33.05637158070229</v>
      </c>
      <c r="I73" s="287">
        <f t="shared" si="33"/>
        <v>34.048062728123362</v>
      </c>
      <c r="J73" s="287">
        <f t="shared" si="33"/>
        <v>35.069504609967062</v>
      </c>
      <c r="K73" s="287">
        <f t="shared" si="33"/>
        <v>36.121589748266075</v>
      </c>
      <c r="L73" s="287">
        <f t="shared" si="33"/>
        <v>37.205237440714058</v>
      </c>
      <c r="M73" s="287">
        <f t="shared" si="33"/>
        <v>38.321394563935478</v>
      </c>
      <c r="N73" s="287">
        <f t="shared" si="33"/>
        <v>39.471036400853542</v>
      </c>
    </row>
    <row r="74" spans="1:14">
      <c r="A74" s="185" t="s">
        <v>30</v>
      </c>
      <c r="B74" s="182" t="s">
        <v>47</v>
      </c>
      <c r="C74" s="287">
        <v>24.310889361443525</v>
      </c>
      <c r="D74" s="287">
        <f t="shared" ref="D74:N74" si="34">C74*(1+D$66)</f>
        <v>25.040216042286833</v>
      </c>
      <c r="E74" s="287">
        <f t="shared" si="34"/>
        <v>25.79142252355544</v>
      </c>
      <c r="F74" s="287">
        <f t="shared" si="34"/>
        <v>26.565165199262104</v>
      </c>
      <c r="G74" s="287">
        <f t="shared" si="34"/>
        <v>27.362120155239968</v>
      </c>
      <c r="H74" s="287">
        <f t="shared" si="34"/>
        <v>28.182983759897166</v>
      </c>
      <c r="I74" s="287">
        <f t="shared" si="34"/>
        <v>29.028473272694082</v>
      </c>
      <c r="J74" s="287">
        <f t="shared" si="34"/>
        <v>29.899327470874905</v>
      </c>
      <c r="K74" s="287">
        <f t="shared" si="34"/>
        <v>30.796307295001153</v>
      </c>
      <c r="L74" s="287">
        <f t="shared" si="34"/>
        <v>31.720196513851189</v>
      </c>
      <c r="M74" s="287">
        <f t="shared" si="34"/>
        <v>32.671802409266725</v>
      </c>
      <c r="N74" s="287">
        <f t="shared" si="34"/>
        <v>33.65195648154473</v>
      </c>
    </row>
    <row r="75" spans="1:14">
      <c r="A75" s="185" t="s">
        <v>48</v>
      </c>
      <c r="B75" s="182" t="s">
        <v>49</v>
      </c>
      <c r="C75" s="287"/>
      <c r="D75" s="287"/>
      <c r="E75" s="287"/>
      <c r="F75" s="287"/>
      <c r="G75" s="287"/>
      <c r="H75" s="287"/>
      <c r="I75" s="287"/>
      <c r="J75" s="287"/>
      <c r="K75" s="287"/>
      <c r="L75" s="287"/>
      <c r="M75" s="287"/>
      <c r="N75" s="287"/>
    </row>
    <row r="76" spans="1:14">
      <c r="A76" s="185" t="s">
        <v>30</v>
      </c>
      <c r="B76" s="182" t="s">
        <v>92</v>
      </c>
      <c r="C76" s="287">
        <v>24.643582466971644</v>
      </c>
      <c r="D76" s="287">
        <f t="shared" ref="D76:N76" si="35">C76*(1+D$66)</f>
        <v>25.382889940980792</v>
      </c>
      <c r="E76" s="287">
        <f t="shared" si="35"/>
        <v>26.144376639210218</v>
      </c>
      <c r="F76" s="287">
        <f t="shared" si="35"/>
        <v>26.928707938386527</v>
      </c>
      <c r="G76" s="287">
        <f t="shared" si="35"/>
        <v>27.736569176538122</v>
      </c>
      <c r="H76" s="287">
        <f t="shared" si="35"/>
        <v>28.568666251834266</v>
      </c>
      <c r="I76" s="287">
        <f t="shared" si="35"/>
        <v>29.425726239389295</v>
      </c>
      <c r="J76" s="287">
        <f t="shared" si="35"/>
        <v>30.308498026570973</v>
      </c>
      <c r="K76" s="287">
        <f t="shared" si="35"/>
        <v>31.217752967368103</v>
      </c>
      <c r="L76" s="287">
        <f t="shared" si="35"/>
        <v>32.154285556389148</v>
      </c>
      <c r="M76" s="287">
        <f t="shared" si="35"/>
        <v>33.11891412308082</v>
      </c>
      <c r="N76" s="287">
        <f t="shared" si="35"/>
        <v>34.112481546773246</v>
      </c>
    </row>
    <row r="77" spans="1:14">
      <c r="A77" s="185" t="s">
        <v>30</v>
      </c>
      <c r="B77" s="182" t="s">
        <v>52</v>
      </c>
      <c r="C77" s="287">
        <v>29.616222762397275</v>
      </c>
      <c r="D77" s="287">
        <f t="shared" ref="D77:N77" si="36">C77*(1+D$66)</f>
        <v>30.504709445269192</v>
      </c>
      <c r="E77" s="287">
        <f t="shared" si="36"/>
        <v>31.419850728627267</v>
      </c>
      <c r="F77" s="287">
        <f t="shared" si="36"/>
        <v>32.362446250486087</v>
      </c>
      <c r="G77" s="287">
        <f t="shared" si="36"/>
        <v>33.333319638000674</v>
      </c>
      <c r="H77" s="287">
        <f t="shared" si="36"/>
        <v>34.333319227140699</v>
      </c>
      <c r="I77" s="287">
        <f t="shared" si="36"/>
        <v>35.363318803954918</v>
      </c>
      <c r="J77" s="287">
        <f t="shared" si="36"/>
        <v>36.424218368073568</v>
      </c>
      <c r="K77" s="287">
        <f t="shared" si="36"/>
        <v>37.516944919115772</v>
      </c>
      <c r="L77" s="287">
        <f t="shared" si="36"/>
        <v>38.642453266689245</v>
      </c>
      <c r="M77" s="287">
        <f t="shared" si="36"/>
        <v>39.801726864689925</v>
      </c>
      <c r="N77" s="287">
        <f t="shared" si="36"/>
        <v>40.995778670630621</v>
      </c>
    </row>
    <row r="78" spans="1:14">
      <c r="A78" s="185" t="s">
        <v>30</v>
      </c>
      <c r="B78" s="182" t="s">
        <v>54</v>
      </c>
      <c r="C78" s="287">
        <v>26.523198090352761</v>
      </c>
      <c r="D78" s="287">
        <f t="shared" ref="D78:N78" si="37">C78*(1+D$66)</f>
        <v>27.318894033063344</v>
      </c>
      <c r="E78" s="287">
        <f t="shared" si="37"/>
        <v>28.138460854055246</v>
      </c>
      <c r="F78" s="287">
        <f t="shared" si="37"/>
        <v>28.982614679676903</v>
      </c>
      <c r="G78" s="287">
        <f t="shared" si="37"/>
        <v>29.852093120067209</v>
      </c>
      <c r="H78" s="287">
        <f t="shared" si="37"/>
        <v>30.747655913669227</v>
      </c>
      <c r="I78" s="287">
        <f t="shared" si="37"/>
        <v>31.670085591079307</v>
      </c>
      <c r="J78" s="287">
        <f t="shared" si="37"/>
        <v>32.620188158811686</v>
      </c>
      <c r="K78" s="287">
        <f t="shared" si="37"/>
        <v>33.598793803576037</v>
      </c>
      <c r="L78" s="287">
        <f t="shared" si="37"/>
        <v>34.606757617683321</v>
      </c>
      <c r="M78" s="287">
        <f t="shared" si="37"/>
        <v>35.644960346213821</v>
      </c>
      <c r="N78" s="287">
        <f t="shared" si="37"/>
        <v>36.714309156600237</v>
      </c>
    </row>
    <row r="79" spans="1:14">
      <c r="A79" s="185" t="s">
        <v>37</v>
      </c>
      <c r="B79" s="182" t="s">
        <v>55</v>
      </c>
      <c r="C79" s="287">
        <v>30.590179316567607</v>
      </c>
      <c r="D79" s="287">
        <f t="shared" ref="D79:N79" si="38">C79*(1+D$66)</f>
        <v>31.507884696064636</v>
      </c>
      <c r="E79" s="287">
        <f t="shared" si="38"/>
        <v>32.453121236946579</v>
      </c>
      <c r="F79" s="287">
        <f t="shared" si="38"/>
        <v>33.42671487405498</v>
      </c>
      <c r="G79" s="287">
        <f t="shared" si="38"/>
        <v>34.429516320276633</v>
      </c>
      <c r="H79" s="287">
        <f t="shared" si="38"/>
        <v>35.462401809884931</v>
      </c>
      <c r="I79" s="287">
        <f t="shared" si="38"/>
        <v>36.526273864181476</v>
      </c>
      <c r="J79" s="287">
        <f t="shared" si="38"/>
        <v>37.622062080106922</v>
      </c>
      <c r="K79" s="287">
        <f t="shared" si="38"/>
        <v>38.750723942510128</v>
      </c>
      <c r="L79" s="287">
        <f t="shared" si="38"/>
        <v>39.913245660785435</v>
      </c>
      <c r="M79" s="287">
        <f t="shared" si="38"/>
        <v>41.110643030608998</v>
      </c>
      <c r="N79" s="287">
        <f t="shared" si="38"/>
        <v>42.343962321527272</v>
      </c>
    </row>
    <row r="80" spans="1:14">
      <c r="A80" s="185" t="s">
        <v>30</v>
      </c>
      <c r="B80" s="182" t="s">
        <v>56</v>
      </c>
      <c r="C80" s="287">
        <v>22.271978953449398</v>
      </c>
      <c r="D80" s="287">
        <f t="shared" ref="D80:N80" si="39">C80*(1+D$66)</f>
        <v>22.940138322052881</v>
      </c>
      <c r="E80" s="287">
        <f t="shared" si="39"/>
        <v>23.628342471714468</v>
      </c>
      <c r="F80" s="287">
        <f t="shared" si="39"/>
        <v>24.337192745865902</v>
      </c>
      <c r="G80" s="287">
        <f t="shared" si="39"/>
        <v>25.067308528241881</v>
      </c>
      <c r="H80" s="287">
        <f t="shared" si="39"/>
        <v>25.81932778408914</v>
      </c>
      <c r="I80" s="287">
        <f t="shared" si="39"/>
        <v>26.593907617611816</v>
      </c>
      <c r="J80" s="287">
        <f t="shared" si="39"/>
        <v>27.391724846140171</v>
      </c>
      <c r="K80" s="287">
        <f t="shared" si="39"/>
        <v>28.213476591524376</v>
      </c>
      <c r="L80" s="287">
        <f t="shared" si="39"/>
        <v>29.059880889270108</v>
      </c>
      <c r="M80" s="287">
        <f t="shared" si="39"/>
        <v>29.93167731594821</v>
      </c>
      <c r="N80" s="287">
        <f t="shared" si="39"/>
        <v>30.829627635426657</v>
      </c>
    </row>
    <row r="81" spans="1:14">
      <c r="A81" s="185" t="s">
        <v>30</v>
      </c>
      <c r="B81" s="198" t="s">
        <v>93</v>
      </c>
      <c r="C81" s="287">
        <v>26.613273555794727</v>
      </c>
      <c r="D81" s="287">
        <f t="shared" ref="D81:N81" si="40">C81*(1+D$66)</f>
        <v>27.411671762468568</v>
      </c>
      <c r="E81" s="287">
        <f t="shared" si="40"/>
        <v>28.234021915342627</v>
      </c>
      <c r="F81" s="287">
        <f t="shared" si="40"/>
        <v>29.081042572802907</v>
      </c>
      <c r="G81" s="287">
        <f t="shared" si="40"/>
        <v>29.953473849986995</v>
      </c>
      <c r="H81" s="287">
        <f t="shared" si="40"/>
        <v>30.852078065486605</v>
      </c>
      <c r="I81" s="287">
        <f t="shared" si="40"/>
        <v>31.777640407451205</v>
      </c>
      <c r="J81" s="287">
        <f t="shared" si="40"/>
        <v>32.730969619674745</v>
      </c>
      <c r="K81" s="287">
        <f t="shared" si="40"/>
        <v>33.712898708264987</v>
      </c>
      <c r="L81" s="287">
        <f t="shared" si="40"/>
        <v>34.724285669512938</v>
      </c>
      <c r="M81" s="287">
        <f t="shared" si="40"/>
        <v>35.766014239598327</v>
      </c>
      <c r="N81" s="287">
        <f t="shared" si="40"/>
        <v>36.838994666786277</v>
      </c>
    </row>
    <row r="82" spans="1:14">
      <c r="A82" s="185" t="s">
        <v>37</v>
      </c>
      <c r="B82" s="182" t="s">
        <v>60</v>
      </c>
      <c r="C82" s="287">
        <v>17.447410431558819</v>
      </c>
      <c r="D82" s="287">
        <f t="shared" ref="D82:N82" si="41">C82*(1+D$66)</f>
        <v>17.970832744505582</v>
      </c>
      <c r="E82" s="287">
        <f t="shared" si="41"/>
        <v>18.509957726840749</v>
      </c>
      <c r="F82" s="287">
        <f t="shared" si="41"/>
        <v>19.065256458645973</v>
      </c>
      <c r="G82" s="287">
        <f t="shared" si="41"/>
        <v>19.637214152405353</v>
      </c>
      <c r="H82" s="287">
        <f t="shared" si="41"/>
        <v>20.226330576977514</v>
      </c>
      <c r="I82" s="287">
        <f t="shared" si="41"/>
        <v>20.833120494286838</v>
      </c>
      <c r="J82" s="287">
        <f t="shared" si="41"/>
        <v>21.458114109115442</v>
      </c>
      <c r="K82" s="287">
        <f t="shared" si="41"/>
        <v>22.101857532388905</v>
      </c>
      <c r="L82" s="287">
        <f t="shared" si="41"/>
        <v>22.764913258360572</v>
      </c>
      <c r="M82" s="287">
        <f t="shared" si="41"/>
        <v>23.447860656111391</v>
      </c>
      <c r="N82" s="287">
        <f t="shared" si="41"/>
        <v>24.151296475794734</v>
      </c>
    </row>
    <row r="83" spans="1:14">
      <c r="A83" s="185" t="s">
        <v>66</v>
      </c>
      <c r="B83" s="182" t="s">
        <v>170</v>
      </c>
      <c r="C83" s="287">
        <v>21.070059992207618</v>
      </c>
      <c r="D83" s="287">
        <f t="shared" ref="D83:N83" si="42">C83*(1+D$66)</f>
        <v>21.702161791973847</v>
      </c>
      <c r="E83" s="287">
        <f t="shared" si="42"/>
        <v>22.353226645733063</v>
      </c>
      <c r="F83" s="287">
        <f t="shared" si="42"/>
        <v>23.023823445105055</v>
      </c>
      <c r="G83" s="287">
        <f t="shared" si="42"/>
        <v>23.714538148458207</v>
      </c>
      <c r="H83" s="287">
        <f t="shared" si="42"/>
        <v>24.425974292911953</v>
      </c>
      <c r="I83" s="287">
        <f t="shared" si="42"/>
        <v>25.15875352169931</v>
      </c>
      <c r="J83" s="287">
        <f t="shared" si="42"/>
        <v>25.913516127350292</v>
      </c>
      <c r="K83" s="287">
        <f t="shared" si="42"/>
        <v>26.690921611170801</v>
      </c>
      <c r="L83" s="287">
        <f t="shared" si="42"/>
        <v>27.491649259505927</v>
      </c>
      <c r="M83" s="287">
        <f t="shared" si="42"/>
        <v>28.316398737291106</v>
      </c>
      <c r="N83" s="287">
        <f t="shared" si="42"/>
        <v>29.165890699409839</v>
      </c>
    </row>
    <row r="84" spans="1:14">
      <c r="A84" s="185" t="s">
        <v>48</v>
      </c>
      <c r="B84" s="182" t="s">
        <v>168</v>
      </c>
      <c r="C84" s="287"/>
      <c r="D84" s="287"/>
      <c r="E84" s="287"/>
      <c r="F84" s="287"/>
      <c r="G84" s="287"/>
      <c r="H84" s="287"/>
      <c r="I84" s="287"/>
      <c r="J84" s="287"/>
      <c r="K84" s="287"/>
      <c r="L84" s="287"/>
      <c r="M84" s="287"/>
      <c r="N84" s="287"/>
    </row>
    <row r="85" spans="1:14">
      <c r="A85" s="185" t="s">
        <v>30</v>
      </c>
      <c r="B85" s="182" t="s">
        <v>123</v>
      </c>
      <c r="C85" s="287">
        <v>28.550823864578302</v>
      </c>
      <c r="D85" s="287">
        <f t="shared" ref="D85:N85" si="43">C85*(1+D$66)</f>
        <v>29.407348580515652</v>
      </c>
      <c r="E85" s="287">
        <f t="shared" si="43"/>
        <v>30.289569037931123</v>
      </c>
      <c r="F85" s="287">
        <f t="shared" si="43"/>
        <v>31.198256109069057</v>
      </c>
      <c r="G85" s="287">
        <f t="shared" si="43"/>
        <v>32.134203792341133</v>
      </c>
      <c r="H85" s="287">
        <f t="shared" si="43"/>
        <v>33.098229906111371</v>
      </c>
      <c r="I85" s="287">
        <f t="shared" si="43"/>
        <v>34.091176803294715</v>
      </c>
      <c r="J85" s="287">
        <f t="shared" si="43"/>
        <v>35.11391210739356</v>
      </c>
      <c r="K85" s="287">
        <f t="shared" si="43"/>
        <v>36.167329470615364</v>
      </c>
      <c r="L85" s="287">
        <f t="shared" si="43"/>
        <v>37.252349354733823</v>
      </c>
      <c r="M85" s="287">
        <f t="shared" si="43"/>
        <v>38.369919835375839</v>
      </c>
      <c r="N85" s="287">
        <f t="shared" si="43"/>
        <v>39.521017430437112</v>
      </c>
    </row>
    <row r="86" spans="1:14">
      <c r="A86" s="185" t="s">
        <v>63</v>
      </c>
      <c r="B86" s="182" t="s">
        <v>64</v>
      </c>
      <c r="C86" s="287">
        <v>0</v>
      </c>
      <c r="D86" s="287">
        <f t="shared" ref="D86:N86" si="44">C86*(1+D$66)</f>
        <v>0</v>
      </c>
      <c r="E86" s="287">
        <f t="shared" si="44"/>
        <v>0</v>
      </c>
      <c r="F86" s="287">
        <f t="shared" si="44"/>
        <v>0</v>
      </c>
      <c r="G86" s="287">
        <f t="shared" si="44"/>
        <v>0</v>
      </c>
      <c r="H86" s="287">
        <f t="shared" si="44"/>
        <v>0</v>
      </c>
      <c r="I86" s="287">
        <f t="shared" si="44"/>
        <v>0</v>
      </c>
      <c r="J86" s="287">
        <f t="shared" si="44"/>
        <v>0</v>
      </c>
      <c r="K86" s="287">
        <f t="shared" si="44"/>
        <v>0</v>
      </c>
      <c r="L86" s="287">
        <f t="shared" si="44"/>
        <v>0</v>
      </c>
      <c r="M86" s="287">
        <f t="shared" si="44"/>
        <v>0</v>
      </c>
      <c r="N86" s="287">
        <f t="shared" si="44"/>
        <v>0</v>
      </c>
    </row>
    <row r="87" spans="1:14">
      <c r="A87" s="185" t="s">
        <v>66</v>
      </c>
      <c r="B87" s="182" t="s">
        <v>95</v>
      </c>
      <c r="C87" s="287">
        <v>21.960594677455386</v>
      </c>
      <c r="D87" s="287">
        <f t="shared" ref="D87:N87" si="45">C87*(1+D$66)</f>
        <v>22.619412517779047</v>
      </c>
      <c r="E87" s="287">
        <f t="shared" si="45"/>
        <v>23.297994893312421</v>
      </c>
      <c r="F87" s="287">
        <f t="shared" si="45"/>
        <v>23.996934740111794</v>
      </c>
      <c r="G87" s="287">
        <f t="shared" si="45"/>
        <v>24.716842782315148</v>
      </c>
      <c r="H87" s="287">
        <f t="shared" si="45"/>
        <v>25.458348065784602</v>
      </c>
      <c r="I87" s="287">
        <f t="shared" si="45"/>
        <v>26.22209850775814</v>
      </c>
      <c r="J87" s="287">
        <f t="shared" si="45"/>
        <v>27.008761462990886</v>
      </c>
      <c r="K87" s="287">
        <f t="shared" si="45"/>
        <v>27.819024306880614</v>
      </c>
      <c r="L87" s="287">
        <f t="shared" si="45"/>
        <v>28.653595036087033</v>
      </c>
      <c r="M87" s="287">
        <f t="shared" si="45"/>
        <v>29.513202887169644</v>
      </c>
      <c r="N87" s="287">
        <f t="shared" si="45"/>
        <v>30.398598973784733</v>
      </c>
    </row>
    <row r="88" spans="1:14">
      <c r="A88" s="185" t="s">
        <v>66</v>
      </c>
      <c r="B88" s="182" t="s">
        <v>133</v>
      </c>
      <c r="C88" s="287"/>
      <c r="D88" s="287"/>
      <c r="E88" s="287"/>
      <c r="F88" s="287"/>
      <c r="G88" s="287"/>
      <c r="H88" s="287"/>
      <c r="I88" s="287"/>
      <c r="J88" s="287"/>
      <c r="K88" s="287"/>
      <c r="L88" s="287"/>
      <c r="M88" s="287"/>
      <c r="N88" s="287"/>
    </row>
    <row r="89" spans="1:14" ht="14">
      <c r="A89" s="185" t="s">
        <v>178</v>
      </c>
      <c r="B89" s="747" t="s">
        <v>140</v>
      </c>
      <c r="C89" s="287">
        <v>17.995528299098108</v>
      </c>
      <c r="D89" s="287">
        <f t="shared" ref="D89:N89" si="46">C89*(1+D$66)</f>
        <v>18.535394148071052</v>
      </c>
      <c r="E89" s="287">
        <f t="shared" si="46"/>
        <v>19.091455972513184</v>
      </c>
      <c r="F89" s="287">
        <f t="shared" si="46"/>
        <v>19.66419965168858</v>
      </c>
      <c r="G89" s="287">
        <f t="shared" si="46"/>
        <v>20.254125641239238</v>
      </c>
      <c r="H89" s="287">
        <f t="shared" si="46"/>
        <v>20.861749410476417</v>
      </c>
      <c r="I89" s="287">
        <f t="shared" si="46"/>
        <v>21.48760189279071</v>
      </c>
      <c r="J89" s="287">
        <f t="shared" si="46"/>
        <v>22.132229949574434</v>
      </c>
      <c r="K89" s="287">
        <f t="shared" si="46"/>
        <v>22.796196848061669</v>
      </c>
      <c r="L89" s="287">
        <f t="shared" si="46"/>
        <v>23.48008275350352</v>
      </c>
      <c r="M89" s="287">
        <f t="shared" si="46"/>
        <v>24.184485236108628</v>
      </c>
      <c r="N89" s="287">
        <f t="shared" si="46"/>
        <v>24.910019793191889</v>
      </c>
    </row>
    <row r="90" spans="1:14">
      <c r="A90" s="185" t="s">
        <v>37</v>
      </c>
      <c r="B90" s="182" t="s">
        <v>166</v>
      </c>
      <c r="C90" s="287">
        <v>18.341455649901572</v>
      </c>
      <c r="D90" s="287">
        <f t="shared" ref="D90:N90" si="47">C90*(1+D$66)</f>
        <v>18.891699319398619</v>
      </c>
      <c r="E90" s="287">
        <f t="shared" si="47"/>
        <v>19.458450298980576</v>
      </c>
      <c r="F90" s="287">
        <f t="shared" si="47"/>
        <v>20.042203807949996</v>
      </c>
      <c r="G90" s="287">
        <f t="shared" si="47"/>
        <v>20.643469922188498</v>
      </c>
      <c r="H90" s="287">
        <f t="shared" si="47"/>
        <v>21.262774019854152</v>
      </c>
      <c r="I90" s="287">
        <f t="shared" si="47"/>
        <v>21.900657240449778</v>
      </c>
      <c r="J90" s="287">
        <f t="shared" si="47"/>
        <v>22.557676957663272</v>
      </c>
      <c r="K90" s="287">
        <f t="shared" si="47"/>
        <v>23.23440726639317</v>
      </c>
      <c r="L90" s="287">
        <f t="shared" si="47"/>
        <v>23.931439484384967</v>
      </c>
      <c r="M90" s="287">
        <f t="shared" si="47"/>
        <v>24.649382668916516</v>
      </c>
      <c r="N90" s="287">
        <f t="shared" si="47"/>
        <v>25.388864148984013</v>
      </c>
    </row>
    <row r="91" spans="1:14">
      <c r="A91" s="185" t="s">
        <v>66</v>
      </c>
      <c r="B91" s="182" t="s">
        <v>67</v>
      </c>
      <c r="C91" s="287">
        <v>28.66247137272434</v>
      </c>
      <c r="D91" s="287">
        <f t="shared" ref="D91:N91" si="48">C91*(1+D$66)</f>
        <v>29.522345513906071</v>
      </c>
      <c r="E91" s="287">
        <f t="shared" si="48"/>
        <v>30.408015879323255</v>
      </c>
      <c r="F91" s="287">
        <f t="shared" si="48"/>
        <v>31.320256355702952</v>
      </c>
      <c r="G91" s="287">
        <f t="shared" si="48"/>
        <v>32.259864046374041</v>
      </c>
      <c r="H91" s="287">
        <f t="shared" si="48"/>
        <v>33.227659967765263</v>
      </c>
      <c r="I91" s="287">
        <f t="shared" si="48"/>
        <v>34.224489766798222</v>
      </c>
      <c r="J91" s="287">
        <f t="shared" si="48"/>
        <v>35.251224459802167</v>
      </c>
      <c r="K91" s="287">
        <f t="shared" si="48"/>
        <v>36.308761193596233</v>
      </c>
      <c r="L91" s="287">
        <f t="shared" si="48"/>
        <v>37.39802402940412</v>
      </c>
      <c r="M91" s="287">
        <f t="shared" si="48"/>
        <v>38.519964750286242</v>
      </c>
      <c r="N91" s="287">
        <f t="shared" si="48"/>
        <v>39.675563692794832</v>
      </c>
    </row>
    <row r="95" spans="1:14" ht="18" thickBot="1">
      <c r="A95" s="196" t="s">
        <v>296</v>
      </c>
    </row>
    <row r="96" spans="1:14" ht="15" thickTop="1" thickBot="1">
      <c r="A96" s="184" t="s">
        <v>6</v>
      </c>
      <c r="B96" s="184" t="s">
        <v>293</v>
      </c>
      <c r="C96" s="184" t="s">
        <v>188</v>
      </c>
      <c r="D96" s="184" t="s">
        <v>189</v>
      </c>
      <c r="E96" s="184" t="s">
        <v>190</v>
      </c>
      <c r="F96" s="184" t="s">
        <v>191</v>
      </c>
      <c r="G96" s="184" t="s">
        <v>192</v>
      </c>
      <c r="H96" s="184" t="s">
        <v>193</v>
      </c>
      <c r="I96" s="184" t="s">
        <v>194</v>
      </c>
      <c r="J96" s="184" t="s">
        <v>195</v>
      </c>
      <c r="K96" s="184" t="s">
        <v>196</v>
      </c>
      <c r="L96" s="184" t="s">
        <v>197</v>
      </c>
      <c r="M96" s="184" t="s">
        <v>198</v>
      </c>
      <c r="N96" s="184" t="s">
        <v>199</v>
      </c>
    </row>
    <row r="97" spans="1:14" ht="13" thickTop="1">
      <c r="A97" s="185" t="s">
        <v>30</v>
      </c>
      <c r="B97" s="198" t="s">
        <v>31</v>
      </c>
      <c r="C97" s="287"/>
      <c r="D97" s="287"/>
      <c r="E97" s="287"/>
      <c r="F97" s="287"/>
      <c r="G97" s="287"/>
      <c r="H97" s="287"/>
      <c r="I97" s="287"/>
      <c r="J97" s="287"/>
      <c r="K97" s="287"/>
      <c r="L97" s="287"/>
      <c r="M97" s="287"/>
      <c r="N97" s="287"/>
    </row>
    <row r="98" spans="1:14">
      <c r="A98" s="185" t="s">
        <v>37</v>
      </c>
      <c r="B98" s="182" t="s">
        <v>38</v>
      </c>
      <c r="C98" s="287"/>
      <c r="D98" s="287"/>
      <c r="E98" s="287"/>
      <c r="F98" s="287"/>
      <c r="G98" s="287"/>
      <c r="H98" s="287"/>
      <c r="I98" s="287"/>
      <c r="J98" s="287"/>
      <c r="K98" s="287"/>
      <c r="L98" s="287"/>
      <c r="M98" s="287"/>
      <c r="N98" s="287"/>
    </row>
    <row r="99" spans="1:14">
      <c r="A99" s="185" t="s">
        <v>30</v>
      </c>
      <c r="B99" s="182" t="s">
        <v>42</v>
      </c>
      <c r="C99" s="287"/>
      <c r="D99" s="287"/>
      <c r="E99" s="287"/>
      <c r="F99" s="287"/>
      <c r="G99" s="287"/>
      <c r="H99" s="287"/>
      <c r="I99" s="287"/>
      <c r="J99" s="287"/>
      <c r="K99" s="287"/>
      <c r="L99" s="287"/>
      <c r="M99" s="287"/>
      <c r="N99" s="287"/>
    </row>
    <row r="100" spans="1:14">
      <c r="A100" s="185" t="s">
        <v>30</v>
      </c>
      <c r="B100" s="182" t="s">
        <v>43</v>
      </c>
      <c r="C100" s="287"/>
      <c r="D100" s="287"/>
      <c r="E100" s="287"/>
      <c r="F100" s="287"/>
      <c r="G100" s="287"/>
      <c r="H100" s="287"/>
      <c r="I100" s="287"/>
      <c r="J100" s="287"/>
      <c r="K100" s="287"/>
      <c r="L100" s="287"/>
      <c r="M100" s="287"/>
      <c r="N100" s="287"/>
    </row>
    <row r="101" spans="1:14">
      <c r="A101" s="185" t="s">
        <v>30</v>
      </c>
      <c r="B101" s="182" t="s">
        <v>46</v>
      </c>
      <c r="C101" s="287"/>
      <c r="D101" s="287"/>
      <c r="E101" s="287"/>
      <c r="F101" s="287"/>
      <c r="G101" s="287"/>
      <c r="H101" s="287"/>
      <c r="I101" s="287"/>
      <c r="J101" s="287"/>
      <c r="K101" s="287"/>
      <c r="L101" s="287"/>
      <c r="M101" s="287"/>
      <c r="N101" s="287"/>
    </row>
    <row r="102" spans="1:14">
      <c r="A102" s="185" t="s">
        <v>30</v>
      </c>
      <c r="B102" s="182" t="s">
        <v>47</v>
      </c>
      <c r="C102" s="287"/>
      <c r="D102" s="287"/>
      <c r="E102" s="287"/>
      <c r="F102" s="287"/>
      <c r="G102" s="287"/>
      <c r="H102" s="287"/>
      <c r="I102" s="287"/>
      <c r="J102" s="287"/>
      <c r="K102" s="287"/>
      <c r="L102" s="287"/>
      <c r="M102" s="287"/>
      <c r="N102" s="287"/>
    </row>
    <row r="103" spans="1:14">
      <c r="A103" s="185" t="s">
        <v>48</v>
      </c>
      <c r="B103" s="182" t="s">
        <v>49</v>
      </c>
      <c r="C103" s="287"/>
      <c r="D103" s="287"/>
      <c r="E103" s="287"/>
      <c r="F103" s="287"/>
      <c r="G103" s="287"/>
      <c r="H103" s="287"/>
      <c r="I103" s="287"/>
      <c r="J103" s="287"/>
      <c r="K103" s="287"/>
      <c r="L103" s="287"/>
      <c r="M103" s="287"/>
      <c r="N103" s="287"/>
    </row>
    <row r="104" spans="1:14">
      <c r="A104" s="185" t="s">
        <v>30</v>
      </c>
      <c r="B104" s="182" t="s">
        <v>92</v>
      </c>
      <c r="C104" s="287"/>
      <c r="D104" s="287"/>
      <c r="E104" s="287"/>
      <c r="F104" s="287"/>
      <c r="G104" s="287"/>
      <c r="H104" s="287"/>
      <c r="I104" s="287"/>
      <c r="J104" s="287"/>
      <c r="K104" s="287"/>
      <c r="L104" s="287"/>
      <c r="M104" s="287"/>
      <c r="N104" s="287"/>
    </row>
    <row r="105" spans="1:14">
      <c r="A105" s="185" t="s">
        <v>30</v>
      </c>
      <c r="B105" s="182" t="s">
        <v>52</v>
      </c>
      <c r="C105" s="287"/>
      <c r="D105" s="287"/>
      <c r="E105" s="287"/>
      <c r="F105" s="287"/>
      <c r="G105" s="287"/>
      <c r="H105" s="287"/>
      <c r="I105" s="287"/>
      <c r="J105" s="287"/>
      <c r="K105" s="287"/>
      <c r="L105" s="287"/>
      <c r="M105" s="287"/>
      <c r="N105" s="287"/>
    </row>
    <row r="106" spans="1:14">
      <c r="A106" s="185" t="s">
        <v>30</v>
      </c>
      <c r="B106" s="182" t="s">
        <v>54</v>
      </c>
      <c r="C106" s="287"/>
      <c r="D106" s="287"/>
      <c r="E106" s="287"/>
      <c r="F106" s="287"/>
      <c r="G106" s="287"/>
      <c r="H106" s="287"/>
      <c r="I106" s="287"/>
      <c r="J106" s="287"/>
      <c r="K106" s="287"/>
      <c r="L106" s="287"/>
      <c r="M106" s="287"/>
      <c r="N106" s="287"/>
    </row>
    <row r="107" spans="1:14">
      <c r="A107" s="185" t="s">
        <v>37</v>
      </c>
      <c r="B107" s="182" t="s">
        <v>55</v>
      </c>
      <c r="C107" s="287"/>
      <c r="D107" s="287"/>
      <c r="E107" s="287"/>
      <c r="F107" s="287"/>
      <c r="G107" s="287"/>
      <c r="H107" s="287"/>
      <c r="I107" s="287"/>
      <c r="J107" s="287"/>
      <c r="K107" s="287"/>
      <c r="L107" s="287"/>
      <c r="M107" s="287"/>
      <c r="N107" s="287"/>
    </row>
    <row r="108" spans="1:14">
      <c r="A108" s="185" t="s">
        <v>30</v>
      </c>
      <c r="B108" s="182" t="s">
        <v>56</v>
      </c>
      <c r="C108" s="287"/>
      <c r="D108" s="287"/>
      <c r="E108" s="287"/>
      <c r="F108" s="287"/>
      <c r="G108" s="287"/>
      <c r="H108" s="287"/>
      <c r="I108" s="287"/>
      <c r="J108" s="287"/>
      <c r="K108" s="287"/>
      <c r="L108" s="287"/>
      <c r="M108" s="287"/>
      <c r="N108" s="287"/>
    </row>
    <row r="109" spans="1:14">
      <c r="A109" s="185" t="s">
        <v>30</v>
      </c>
      <c r="B109" s="198" t="s">
        <v>93</v>
      </c>
      <c r="C109" s="287"/>
      <c r="D109" s="287"/>
      <c r="E109" s="287"/>
      <c r="F109" s="287"/>
      <c r="G109" s="287"/>
      <c r="H109" s="287"/>
      <c r="I109" s="287"/>
      <c r="J109" s="287"/>
      <c r="K109" s="287"/>
      <c r="L109" s="287"/>
      <c r="M109" s="287"/>
      <c r="N109" s="287"/>
    </row>
    <row r="110" spans="1:14">
      <c r="A110" s="185" t="s">
        <v>37</v>
      </c>
      <c r="B110" s="182" t="s">
        <v>60</v>
      </c>
      <c r="C110" s="287"/>
      <c r="D110" s="287"/>
      <c r="E110" s="287"/>
      <c r="F110" s="287"/>
      <c r="G110" s="287"/>
      <c r="H110" s="287"/>
      <c r="I110" s="287"/>
      <c r="J110" s="287"/>
      <c r="K110" s="287"/>
      <c r="L110" s="287"/>
      <c r="M110" s="287"/>
      <c r="N110" s="287"/>
    </row>
    <row r="111" spans="1:14">
      <c r="A111" s="185" t="s">
        <v>66</v>
      </c>
      <c r="B111" s="182" t="s">
        <v>170</v>
      </c>
      <c r="C111" s="287"/>
      <c r="D111" s="287"/>
      <c r="E111" s="287"/>
      <c r="F111" s="287"/>
      <c r="G111" s="287"/>
      <c r="H111" s="287"/>
      <c r="I111" s="287"/>
      <c r="J111" s="287"/>
      <c r="K111" s="287"/>
      <c r="L111" s="287"/>
      <c r="M111" s="287"/>
      <c r="N111" s="287"/>
    </row>
    <row r="112" spans="1:14">
      <c r="A112" s="185" t="s">
        <v>48</v>
      </c>
      <c r="B112" s="182" t="s">
        <v>168</v>
      </c>
      <c r="C112" s="287"/>
      <c r="D112" s="287"/>
      <c r="E112" s="287"/>
      <c r="F112" s="287"/>
      <c r="G112" s="287"/>
      <c r="H112" s="287"/>
      <c r="I112" s="287"/>
      <c r="J112" s="287"/>
      <c r="K112" s="287"/>
      <c r="L112" s="287"/>
      <c r="M112" s="287"/>
      <c r="N112" s="287"/>
    </row>
    <row r="113" spans="1:14">
      <c r="A113" s="185" t="s">
        <v>30</v>
      </c>
      <c r="B113" s="182" t="s">
        <v>123</v>
      </c>
      <c r="C113" s="287"/>
      <c r="D113" s="287"/>
      <c r="E113" s="287"/>
      <c r="F113" s="287"/>
      <c r="G113" s="287"/>
      <c r="H113" s="287"/>
      <c r="I113" s="287"/>
      <c r="J113" s="287"/>
      <c r="K113" s="287"/>
      <c r="L113" s="287"/>
      <c r="M113" s="287"/>
      <c r="N113" s="287"/>
    </row>
    <row r="114" spans="1:14">
      <c r="A114" s="185" t="s">
        <v>63</v>
      </c>
      <c r="B114" s="182" t="s">
        <v>64</v>
      </c>
      <c r="C114" s="287"/>
      <c r="D114" s="287"/>
      <c r="E114" s="287"/>
      <c r="F114" s="287"/>
      <c r="G114" s="287"/>
      <c r="H114" s="287"/>
      <c r="I114" s="287"/>
      <c r="J114" s="287"/>
      <c r="K114" s="287"/>
      <c r="L114" s="287"/>
      <c r="M114" s="287"/>
      <c r="N114" s="287"/>
    </row>
    <row r="115" spans="1:14">
      <c r="A115" s="185" t="s">
        <v>66</v>
      </c>
      <c r="B115" s="182" t="s">
        <v>95</v>
      </c>
      <c r="C115" s="287"/>
      <c r="D115" s="287"/>
      <c r="E115" s="287"/>
      <c r="F115" s="287"/>
      <c r="G115" s="287"/>
      <c r="H115" s="287"/>
      <c r="I115" s="287"/>
      <c r="J115" s="287"/>
      <c r="K115" s="287"/>
      <c r="L115" s="287"/>
      <c r="M115" s="287"/>
      <c r="N115" s="287"/>
    </row>
    <row r="116" spans="1:14">
      <c r="A116" s="185" t="s">
        <v>66</v>
      </c>
      <c r="B116" s="182" t="s">
        <v>133</v>
      </c>
      <c r="C116" s="287"/>
      <c r="D116" s="287"/>
      <c r="E116" s="287"/>
      <c r="F116" s="287"/>
      <c r="G116" s="287"/>
      <c r="H116" s="287"/>
      <c r="I116" s="287"/>
      <c r="J116" s="287"/>
      <c r="K116" s="287"/>
      <c r="L116" s="287"/>
      <c r="M116" s="287"/>
      <c r="N116" s="287"/>
    </row>
    <row r="117" spans="1:14" ht="14">
      <c r="A117" s="185" t="s">
        <v>178</v>
      </c>
      <c r="B117" s="747" t="s">
        <v>140</v>
      </c>
      <c r="C117" s="287"/>
      <c r="D117" s="287"/>
      <c r="E117" s="287"/>
      <c r="F117" s="287"/>
      <c r="G117" s="287"/>
      <c r="H117" s="287"/>
      <c r="I117" s="287"/>
      <c r="J117" s="287"/>
      <c r="K117" s="287"/>
      <c r="L117" s="287"/>
      <c r="M117" s="287"/>
      <c r="N117" s="287"/>
    </row>
    <row r="118" spans="1:14">
      <c r="A118" s="185" t="s">
        <v>37</v>
      </c>
      <c r="B118" s="182" t="s">
        <v>166</v>
      </c>
      <c r="C118" s="287"/>
      <c r="D118" s="287"/>
      <c r="E118" s="287"/>
      <c r="F118" s="287"/>
      <c r="G118" s="287"/>
      <c r="H118" s="287"/>
      <c r="I118" s="287"/>
      <c r="J118" s="287"/>
      <c r="K118" s="287"/>
      <c r="L118" s="287"/>
      <c r="M118" s="287"/>
      <c r="N118" s="287"/>
    </row>
    <row r="119" spans="1:14">
      <c r="A119" s="185" t="s">
        <v>66</v>
      </c>
      <c r="B119" s="182" t="s">
        <v>67</v>
      </c>
      <c r="C119" s="287"/>
      <c r="D119" s="287"/>
      <c r="E119" s="287"/>
      <c r="F119" s="287"/>
      <c r="G119" s="287"/>
      <c r="H119" s="287"/>
      <c r="I119" s="287"/>
      <c r="J119" s="287"/>
      <c r="K119" s="287"/>
      <c r="L119" s="287"/>
      <c r="M119" s="287"/>
      <c r="N119" s="287"/>
    </row>
    <row r="123" spans="1:14" ht="18" thickBot="1">
      <c r="A123" s="196" t="s">
        <v>297</v>
      </c>
    </row>
    <row r="124" spans="1:14" ht="15" thickTop="1" thickBot="1">
      <c r="A124" s="184" t="s">
        <v>6</v>
      </c>
      <c r="B124" s="184" t="s">
        <v>293</v>
      </c>
      <c r="C124" s="323" t="s">
        <v>265</v>
      </c>
      <c r="D124" s="323" t="s">
        <v>285</v>
      </c>
      <c r="E124" s="323" t="s">
        <v>298</v>
      </c>
      <c r="F124" s="323" t="s">
        <v>299</v>
      </c>
      <c r="G124" s="323" t="s">
        <v>300</v>
      </c>
      <c r="H124" s="186"/>
      <c r="I124" s="186"/>
      <c r="J124" s="186"/>
      <c r="K124" s="186"/>
      <c r="L124" s="186"/>
      <c r="M124" s="186"/>
      <c r="N124" s="186"/>
    </row>
    <row r="125" spans="1:14" ht="13" thickTop="1">
      <c r="A125" s="185" t="s">
        <v>30</v>
      </c>
      <c r="B125" s="198" t="s">
        <v>31</v>
      </c>
      <c r="C125" s="320">
        <v>1151</v>
      </c>
      <c r="D125" s="320">
        <v>731</v>
      </c>
      <c r="E125" s="322">
        <v>6.7</v>
      </c>
      <c r="F125">
        <f>D125*E125</f>
        <v>4897.7</v>
      </c>
      <c r="G125" s="321">
        <v>0.75</v>
      </c>
      <c r="H125" s="319"/>
      <c r="I125" s="326"/>
      <c r="J125" s="326"/>
      <c r="K125" s="328"/>
      <c r="L125" s="327"/>
      <c r="M125" s="319"/>
      <c r="N125" s="319"/>
    </row>
    <row r="126" spans="1:14">
      <c r="A126" s="185" t="s">
        <v>37</v>
      </c>
      <c r="B126" s="182" t="s">
        <v>38</v>
      </c>
      <c r="G126" s="321">
        <v>0.9</v>
      </c>
      <c r="H126" s="287"/>
      <c r="I126" s="287"/>
      <c r="J126" s="287"/>
      <c r="K126" s="287"/>
      <c r="L126" s="287"/>
      <c r="M126" s="287"/>
      <c r="N126" s="287"/>
    </row>
    <row r="127" spans="1:14">
      <c r="A127" s="185" t="s">
        <v>30</v>
      </c>
      <c r="B127" s="182" t="s">
        <v>42</v>
      </c>
      <c r="C127" s="320">
        <v>1687</v>
      </c>
      <c r="D127" s="320">
        <v>675</v>
      </c>
      <c r="E127" s="322">
        <v>10</v>
      </c>
      <c r="F127">
        <f>D127*E127</f>
        <v>6750</v>
      </c>
      <c r="G127" s="321">
        <v>0.75</v>
      </c>
      <c r="H127" s="287"/>
      <c r="I127" s="287"/>
      <c r="J127" s="287"/>
      <c r="K127" s="287"/>
      <c r="L127" s="287"/>
      <c r="M127" s="287"/>
      <c r="N127" s="287"/>
    </row>
    <row r="128" spans="1:14">
      <c r="A128" s="185" t="s">
        <v>30</v>
      </c>
      <c r="B128" s="182" t="s">
        <v>43</v>
      </c>
      <c r="C128" s="320"/>
      <c r="D128" s="320"/>
      <c r="E128" s="322"/>
      <c r="G128" s="321">
        <v>1</v>
      </c>
      <c r="H128" s="287"/>
      <c r="I128" s="287"/>
      <c r="J128" s="287"/>
      <c r="K128" s="287"/>
      <c r="L128" s="287"/>
      <c r="M128" s="287"/>
      <c r="N128" s="287"/>
    </row>
    <row r="129" spans="1:13">
      <c r="A129" s="185" t="s">
        <v>30</v>
      </c>
      <c r="B129" s="182" t="s">
        <v>46</v>
      </c>
      <c r="C129" s="320">
        <v>1121</v>
      </c>
      <c r="D129" s="320">
        <v>449</v>
      </c>
      <c r="E129" s="322">
        <v>10</v>
      </c>
      <c r="F129">
        <f t="shared" ref="F129:F130" si="49">D129*E129</f>
        <v>4490</v>
      </c>
      <c r="G129" s="321">
        <v>0.75</v>
      </c>
      <c r="H129" s="287"/>
      <c r="I129" s="287"/>
      <c r="J129" s="287"/>
      <c r="K129" s="287"/>
      <c r="L129" s="287"/>
      <c r="M129" s="287"/>
    </row>
    <row r="130" spans="1:13">
      <c r="A130" s="185" t="s">
        <v>30</v>
      </c>
      <c r="B130" s="182" t="s">
        <v>47</v>
      </c>
      <c r="C130" s="320">
        <v>1314</v>
      </c>
      <c r="D130" s="320">
        <v>526</v>
      </c>
      <c r="E130" s="322">
        <v>10</v>
      </c>
      <c r="F130">
        <f t="shared" si="49"/>
        <v>5260</v>
      </c>
      <c r="G130" s="321">
        <v>0.75</v>
      </c>
      <c r="H130" s="287"/>
      <c r="I130" s="287"/>
      <c r="J130" s="287"/>
      <c r="K130" s="287"/>
      <c r="L130" s="287"/>
      <c r="M130" s="287"/>
    </row>
    <row r="131" spans="1:13">
      <c r="A131" s="185" t="s">
        <v>48</v>
      </c>
      <c r="B131" s="182" t="s">
        <v>49</v>
      </c>
      <c r="C131" s="320"/>
      <c r="D131" s="320"/>
      <c r="E131" s="322"/>
      <c r="G131" s="321">
        <v>0.75</v>
      </c>
      <c r="H131" s="287"/>
      <c r="I131" s="287"/>
      <c r="J131" s="287"/>
      <c r="K131" s="287"/>
      <c r="L131" s="287"/>
      <c r="M131" s="287"/>
    </row>
    <row r="132" spans="1:13">
      <c r="A132" s="185" t="s">
        <v>30</v>
      </c>
      <c r="B132" s="182" t="s">
        <v>92</v>
      </c>
      <c r="C132" s="320">
        <v>766</v>
      </c>
      <c r="D132" s="320">
        <v>307</v>
      </c>
      <c r="E132" s="322">
        <v>10</v>
      </c>
      <c r="F132">
        <f t="shared" ref="F132:F135" si="50">D132*E132</f>
        <v>3070</v>
      </c>
      <c r="G132" s="321">
        <v>0.75</v>
      </c>
      <c r="H132" s="287"/>
      <c r="I132" s="287"/>
      <c r="J132" s="287"/>
      <c r="K132" s="287"/>
      <c r="L132" s="287"/>
      <c r="M132" s="287"/>
    </row>
    <row r="133" spans="1:13">
      <c r="A133" s="185" t="s">
        <v>30</v>
      </c>
      <c r="B133" s="182" t="s">
        <v>52</v>
      </c>
      <c r="C133" s="320">
        <v>1172</v>
      </c>
      <c r="D133" s="320">
        <v>469</v>
      </c>
      <c r="E133" s="322">
        <v>10</v>
      </c>
      <c r="F133">
        <f t="shared" si="50"/>
        <v>4690</v>
      </c>
      <c r="G133" s="321">
        <v>0.75</v>
      </c>
      <c r="H133" s="287"/>
      <c r="I133" s="287"/>
      <c r="J133" s="287"/>
      <c r="K133" s="287"/>
      <c r="L133" s="287"/>
      <c r="M133" s="287"/>
    </row>
    <row r="134" spans="1:13">
      <c r="A134" s="185" t="s">
        <v>30</v>
      </c>
      <c r="B134" s="182" t="s">
        <v>54</v>
      </c>
      <c r="C134" s="320">
        <v>1353</v>
      </c>
      <c r="D134" s="320">
        <v>1430</v>
      </c>
      <c r="E134" s="322">
        <v>10</v>
      </c>
      <c r="F134">
        <f t="shared" si="50"/>
        <v>14300</v>
      </c>
      <c r="G134" s="321">
        <v>0.75</v>
      </c>
      <c r="H134" s="287"/>
      <c r="I134" s="287"/>
      <c r="J134" s="287"/>
      <c r="K134" s="287"/>
      <c r="L134" s="287"/>
      <c r="M134" s="287"/>
    </row>
    <row r="135" spans="1:13">
      <c r="A135" s="185" t="s">
        <v>37</v>
      </c>
      <c r="B135" s="182" t="s">
        <v>55</v>
      </c>
      <c r="C135" s="320">
        <v>1083</v>
      </c>
      <c r="D135" s="320">
        <v>3902</v>
      </c>
      <c r="E135" s="322">
        <v>10</v>
      </c>
      <c r="F135">
        <f t="shared" si="50"/>
        <v>39020</v>
      </c>
      <c r="G135" s="321">
        <v>1</v>
      </c>
      <c r="H135" s="287"/>
      <c r="I135" s="287"/>
      <c r="J135" s="287"/>
      <c r="K135" s="287"/>
      <c r="L135" s="287"/>
      <c r="M135" s="287"/>
    </row>
    <row r="136" spans="1:13">
      <c r="A136" s="185" t="s">
        <v>30</v>
      </c>
      <c r="B136" s="182" t="s">
        <v>56</v>
      </c>
      <c r="C136" s="320"/>
      <c r="D136" s="320"/>
      <c r="E136" s="322"/>
      <c r="G136" s="321">
        <v>1</v>
      </c>
      <c r="H136" s="287"/>
      <c r="I136" s="287"/>
      <c r="J136" s="287"/>
      <c r="K136" s="287"/>
      <c r="L136" s="287"/>
      <c r="M136" s="287"/>
    </row>
    <row r="137" spans="1:13">
      <c r="A137" s="185" t="s">
        <v>30</v>
      </c>
      <c r="B137" s="198" t="s">
        <v>93</v>
      </c>
      <c r="C137" s="320">
        <v>828</v>
      </c>
      <c r="D137" s="320">
        <v>331</v>
      </c>
      <c r="E137" s="322">
        <v>10</v>
      </c>
      <c r="F137">
        <f t="shared" ref="F137" si="51">D137*E137</f>
        <v>3310</v>
      </c>
      <c r="G137" s="321">
        <v>0.75</v>
      </c>
      <c r="H137" s="287"/>
      <c r="I137" s="287"/>
      <c r="J137" s="287"/>
      <c r="K137" s="287"/>
      <c r="L137" s="287"/>
      <c r="M137" s="287"/>
    </row>
    <row r="138" spans="1:13">
      <c r="A138" s="185" t="s">
        <v>37</v>
      </c>
      <c r="B138" s="182" t="s">
        <v>60</v>
      </c>
      <c r="C138" s="320"/>
      <c r="D138" s="320"/>
      <c r="E138" s="322"/>
      <c r="G138" s="321">
        <v>1</v>
      </c>
      <c r="H138" s="287"/>
      <c r="I138" s="287"/>
      <c r="J138" s="287"/>
      <c r="K138" s="287"/>
      <c r="L138" s="287"/>
      <c r="M138" s="287"/>
    </row>
    <row r="139" spans="1:13">
      <c r="A139" s="185" t="s">
        <v>66</v>
      </c>
      <c r="B139" s="182" t="s">
        <v>170</v>
      </c>
      <c r="C139" s="320">
        <v>739</v>
      </c>
      <c r="D139" s="320">
        <v>296</v>
      </c>
      <c r="E139" s="322">
        <v>10</v>
      </c>
      <c r="F139">
        <f>D139*E139</f>
        <v>2960</v>
      </c>
      <c r="G139" s="321">
        <v>0.75</v>
      </c>
      <c r="H139" s="287"/>
      <c r="I139" s="287"/>
      <c r="J139" s="287"/>
      <c r="K139" s="287"/>
      <c r="L139" s="287"/>
      <c r="M139" s="287">
        <v>1</v>
      </c>
    </row>
    <row r="140" spans="1:13">
      <c r="A140" s="185" t="s">
        <v>48</v>
      </c>
      <c r="B140" s="182" t="s">
        <v>168</v>
      </c>
      <c r="C140" s="320"/>
      <c r="D140" s="320"/>
      <c r="E140" s="322"/>
      <c r="G140" s="321">
        <v>0.75</v>
      </c>
      <c r="H140" s="287"/>
      <c r="I140" s="287"/>
      <c r="J140" s="287"/>
      <c r="K140" s="287"/>
      <c r="L140" s="287"/>
      <c r="M140" s="287"/>
    </row>
    <row r="141" spans="1:13">
      <c r="A141" s="185" t="s">
        <v>30</v>
      </c>
      <c r="B141" s="182" t="s">
        <v>123</v>
      </c>
      <c r="C141" s="320"/>
      <c r="D141" s="320"/>
      <c r="E141" s="322"/>
      <c r="G141" s="321">
        <v>1</v>
      </c>
      <c r="H141" s="287"/>
      <c r="I141" s="287"/>
      <c r="J141" s="287"/>
      <c r="K141" s="287"/>
      <c r="L141" s="287"/>
      <c r="M141" s="287"/>
    </row>
    <row r="142" spans="1:13">
      <c r="A142" s="185" t="s">
        <v>63</v>
      </c>
      <c r="B142" s="182" t="s">
        <v>64</v>
      </c>
      <c r="C142" s="320"/>
      <c r="D142" s="320"/>
      <c r="E142" s="322"/>
      <c r="G142" s="321">
        <v>1</v>
      </c>
      <c r="H142" s="287"/>
      <c r="I142" s="287"/>
      <c r="J142" s="287"/>
      <c r="K142" s="287"/>
      <c r="L142" s="287"/>
      <c r="M142" s="287"/>
    </row>
    <row r="143" spans="1:13">
      <c r="A143" s="185" t="s">
        <v>66</v>
      </c>
      <c r="B143" s="182" t="s">
        <v>95</v>
      </c>
      <c r="C143" s="320"/>
      <c r="D143" s="320"/>
      <c r="E143" s="322"/>
      <c r="G143" s="321">
        <v>1</v>
      </c>
      <c r="H143" s="287"/>
      <c r="I143" s="287"/>
      <c r="J143" s="287"/>
      <c r="K143" s="287"/>
      <c r="L143" s="287"/>
      <c r="M143" s="287"/>
    </row>
    <row r="144" spans="1:13">
      <c r="A144" s="185" t="s">
        <v>66</v>
      </c>
      <c r="B144" s="198" t="s">
        <v>133</v>
      </c>
      <c r="C144" s="320"/>
      <c r="D144" s="320"/>
      <c r="E144" s="322"/>
      <c r="G144" s="321">
        <v>1</v>
      </c>
      <c r="H144" s="287"/>
      <c r="I144" s="287"/>
      <c r="J144" s="287"/>
      <c r="K144" s="287"/>
      <c r="L144" s="287"/>
      <c r="M144" s="287"/>
    </row>
    <row r="145" spans="1:7">
      <c r="A145" s="185" t="s">
        <v>178</v>
      </c>
      <c r="B145" s="198" t="s">
        <v>140</v>
      </c>
      <c r="C145" s="320"/>
      <c r="D145" s="320"/>
      <c r="E145" s="322"/>
      <c r="G145" s="321">
        <v>1</v>
      </c>
    </row>
    <row r="146" spans="1:7">
      <c r="A146" s="185" t="s">
        <v>37</v>
      </c>
      <c r="B146" s="182" t="s">
        <v>166</v>
      </c>
      <c r="C146" s="320">
        <v>346</v>
      </c>
      <c r="D146" s="320">
        <v>810</v>
      </c>
      <c r="E146" s="322">
        <v>10</v>
      </c>
      <c r="F146">
        <f>D146*E146</f>
        <v>8100</v>
      </c>
      <c r="G146" s="321">
        <v>0.9</v>
      </c>
    </row>
    <row r="147" spans="1:7">
      <c r="A147" s="185" t="s">
        <v>66</v>
      </c>
      <c r="B147" s="182" t="s">
        <v>67</v>
      </c>
      <c r="C147" s="320"/>
      <c r="D147" s="320"/>
      <c r="E147" s="322">
        <v>10</v>
      </c>
      <c r="G147" s="321">
        <v>0.9</v>
      </c>
    </row>
  </sheetData>
  <customSheetViews>
    <customSheetView guid="{0FAFE012-8D9E-4ED0-86A4-A997E430971B}" scale="85">
      <selection activeCell="T20" sqref="T20"/>
      <pageMargins left="0.7" right="0.7" top="0.75" bottom="0.75" header="0.3" footer="0.3"/>
      <pageSetup paperSize="9" orientation="portrait" r:id="rId1"/>
    </customSheetView>
  </customSheetViews>
  <phoneticPr fontId="60" type="noConversion"/>
  <conditionalFormatting sqref="U41:U63">
    <cfRule type="colorScale" priority="1">
      <colorScale>
        <cfvo type="min"/>
        <cfvo type="percentile" val="50"/>
        <cfvo type="max"/>
        <color rgb="FF63BE7B"/>
        <color rgb="FFFCFCFF"/>
        <color rgb="FFF8696B"/>
      </colorScale>
    </cfRule>
  </conditionalFormatting>
  <conditionalFormatting sqref="V42:V63">
    <cfRule type="colorScale" priority="2">
      <colorScale>
        <cfvo type="min"/>
        <cfvo type="percentile" val="50"/>
        <cfvo type="max"/>
        <color rgb="FF63BE7B"/>
        <color rgb="FFFCFCFF"/>
        <color rgb="FFF8696B"/>
      </colorScale>
    </cfRule>
  </conditionalFormatting>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65656-E3DD-47B3-BC28-914BD662FDA8}">
  <sheetPr>
    <tabColor rgb="FF92D050"/>
    <pageSetUpPr fitToPage="1"/>
  </sheetPr>
  <dimension ref="A1:CJ289"/>
  <sheetViews>
    <sheetView showGridLines="0" zoomScale="70" zoomScaleNormal="70" zoomScaleSheetLayoutView="70" workbookViewId="0">
      <selection activeCell="F57" sqref="F57"/>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19" width="23.1796875" style="12" customWidth="1"/>
    <col min="20" max="20" width="25.81640625" style="12" customWidth="1"/>
    <col min="21" max="21" width="23.1796875" style="12" customWidth="1"/>
    <col min="22" max="22" width="23.1796875" style="13" customWidth="1"/>
    <col min="23" max="23" width="23.1796875" style="20" customWidth="1"/>
    <col min="24" max="24" width="21.453125" style="20" customWidth="1"/>
    <col min="25" max="25" width="19.81640625" style="20" customWidth="1"/>
    <col min="26"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6" s="7" customFormat="1" ht="53.25" customHeight="1">
      <c r="A1" s="1" t="s">
        <v>301</v>
      </c>
      <c r="B1" s="1"/>
      <c r="C1" s="2"/>
      <c r="D1" s="2"/>
      <c r="E1" s="3"/>
      <c r="F1" s="2"/>
      <c r="G1" s="4"/>
      <c r="H1" s="5"/>
      <c r="I1" s="6"/>
      <c r="J1" s="360"/>
      <c r="K1" s="360"/>
      <c r="L1" s="360"/>
      <c r="M1" s="360"/>
      <c r="N1" s="360"/>
      <c r="O1" s="357"/>
      <c r="P1" s="357"/>
      <c r="Q1" s="357"/>
      <c r="R1" s="357"/>
      <c r="S1" s="357"/>
      <c r="T1" s="8"/>
      <c r="U1" s="8"/>
      <c r="V1" s="8"/>
      <c r="W1" s="8"/>
      <c r="X1" s="8"/>
      <c r="Y1" s="8"/>
      <c r="Z1" s="8"/>
    </row>
    <row r="2" spans="1:26" s="7" customFormat="1" ht="36.75" customHeight="1">
      <c r="A2" s="1" t="s">
        <v>31</v>
      </c>
      <c r="B2" s="1"/>
      <c r="C2" s="2"/>
      <c r="D2" s="2"/>
      <c r="E2" s="3"/>
      <c r="F2" s="2"/>
      <c r="G2" s="4"/>
      <c r="H2" s="4"/>
      <c r="J2" s="8"/>
      <c r="K2" s="8"/>
      <c r="L2" s="8"/>
      <c r="M2" s="8"/>
      <c r="N2" s="8"/>
      <c r="O2" s="8"/>
      <c r="P2" s="8"/>
      <c r="Q2" s="357"/>
      <c r="R2" s="366"/>
      <c r="S2" s="497"/>
      <c r="T2" s="8"/>
      <c r="U2" s="8"/>
      <c r="V2" s="8"/>
      <c r="W2" s="8"/>
      <c r="X2" s="8"/>
      <c r="Y2" s="8"/>
      <c r="Z2" s="8"/>
    </row>
    <row r="3" spans="1:26" s="7" customFormat="1" ht="36.75" customHeight="1">
      <c r="A3" s="1"/>
      <c r="B3" s="1"/>
      <c r="C3" s="2"/>
      <c r="D3" s="2"/>
      <c r="E3" s="3"/>
      <c r="F3" s="2"/>
      <c r="G3" s="4"/>
      <c r="H3" s="4"/>
      <c r="J3" s="8"/>
      <c r="K3" s="8"/>
      <c r="L3" s="8"/>
      <c r="M3" s="8"/>
      <c r="N3" s="8"/>
      <c r="O3" s="8"/>
      <c r="P3" s="474" t="s">
        <v>302</v>
      </c>
      <c r="Q3" s="475"/>
      <c r="R3" s="366"/>
      <c r="S3" s="357"/>
      <c r="T3" s="8"/>
      <c r="U3" s="8"/>
      <c r="V3" s="8"/>
      <c r="W3" s="8"/>
      <c r="X3" s="8"/>
      <c r="Y3" s="8"/>
      <c r="Z3" s="8"/>
    </row>
    <row r="4" spans="1:26" s="7" customFormat="1" ht="36.75" customHeight="1" thickBot="1">
      <c r="A4" s="9" t="s">
        <v>303</v>
      </c>
      <c r="B4" s="368"/>
      <c r="C4" s="2"/>
      <c r="D4" s="2"/>
      <c r="E4" s="3"/>
      <c r="F4" s="193"/>
      <c r="G4" s="193"/>
      <c r="H4" s="193"/>
      <c r="I4" s="193"/>
      <c r="J4" s="193"/>
      <c r="K4" s="193"/>
      <c r="L4" s="193"/>
      <c r="M4" s="193"/>
      <c r="N4" s="193"/>
      <c r="O4" s="193"/>
      <c r="P4" s="193"/>
      <c r="Q4" s="193"/>
      <c r="R4" s="366"/>
      <c r="S4" s="357"/>
      <c r="T4" s="8"/>
      <c r="U4" s="8"/>
      <c r="V4" s="8"/>
      <c r="W4" s="8"/>
      <c r="X4" s="8"/>
      <c r="Y4" s="8"/>
      <c r="Z4" s="8"/>
    </row>
    <row r="5" spans="1:26" s="7" customFormat="1" ht="36" customHeight="1" thickTop="1" thickBot="1">
      <c r="A5" s="184" t="s">
        <v>282</v>
      </c>
      <c r="B5" s="184" t="s">
        <v>304</v>
      </c>
      <c r="C5" s="200" t="s">
        <v>305</v>
      </c>
      <c r="D5" s="200" t="s">
        <v>306</v>
      </c>
      <c r="E5" s="200" t="s">
        <v>307</v>
      </c>
      <c r="F5" s="619" t="str">
        <f>F55</f>
        <v>BASE</v>
      </c>
      <c r="G5" s="619" t="str">
        <f>G67</f>
        <v>CURRENT</v>
      </c>
      <c r="H5" s="619" t="str">
        <f t="shared" ref="H5:P5" si="0">H67</f>
        <v>FY25</v>
      </c>
      <c r="I5" s="619" t="str">
        <f t="shared" si="0"/>
        <v>FY26</v>
      </c>
      <c r="J5" s="619" t="str">
        <f t="shared" si="0"/>
        <v>FY27</v>
      </c>
      <c r="K5" s="619" t="str">
        <f t="shared" si="0"/>
        <v>FY28</v>
      </c>
      <c r="L5" s="619" t="str">
        <f t="shared" si="0"/>
        <v>FY29</v>
      </c>
      <c r="M5" s="619" t="str">
        <f t="shared" si="0"/>
        <v>FY30</v>
      </c>
      <c r="N5" s="619" t="str">
        <f t="shared" si="0"/>
        <v>FY31</v>
      </c>
      <c r="O5" s="619" t="str">
        <f t="shared" si="0"/>
        <v>FY32</v>
      </c>
      <c r="P5" s="619" t="str">
        <f t="shared" si="0"/>
        <v>FY33</v>
      </c>
      <c r="Q5" s="200" t="s">
        <v>308</v>
      </c>
      <c r="R5" s="366"/>
      <c r="S5" s="357"/>
      <c r="T5" s="8"/>
      <c r="U5" s="8"/>
      <c r="V5" s="8"/>
      <c r="W5" s="8"/>
      <c r="X5" s="8"/>
      <c r="Y5" s="8"/>
      <c r="Z5" s="8"/>
    </row>
    <row r="6" spans="1:26" s="7" customFormat="1" ht="17.25" customHeight="1" thickTop="1">
      <c r="A6" s="368" t="str">
        <f>VLOOKUP($A$2,'Asset Attributes'!$B$3:$D$25,2,0)</f>
        <v>NSW2</v>
      </c>
      <c r="B6" s="368" t="s">
        <v>309</v>
      </c>
      <c r="C6" s="484" t="s">
        <v>310</v>
      </c>
      <c r="D6" s="485">
        <f>(VLOOKUP($A$2,Assumptions!$B$41:$C$63,2,0))/1000</f>
        <v>0.24541426976422628</v>
      </c>
      <c r="E6" s="367" t="s">
        <v>311</v>
      </c>
      <c r="F6" s="517">
        <f>VLOOKUP($A$2,'Footprint Summary'!$B$4:$R$26,COLUMNS('Footprint Summary'!$B$4:F$26)+1,0)</f>
        <v>1824.81</v>
      </c>
      <c r="G6" s="517">
        <f>VLOOKUP($A$2,'Footprint Summary'!$B$4:$R$26,COLUMNS('Footprint Summary'!$B$4:G$26)+1,0)</f>
        <v>1804.81</v>
      </c>
      <c r="H6" s="517">
        <f>VLOOKUP($A$2,'Footprint Summary'!$B$4:$R$26,COLUMNS('Footprint Summary'!$B$4:H$26)+1,0)</f>
        <v>1804.81</v>
      </c>
      <c r="I6" s="517">
        <f>VLOOKUP($A$2,'Footprint Summary'!$B$4:$R$26,COLUMNS('Footprint Summary'!$B$4:I$26)+1,0)</f>
        <v>1264.81</v>
      </c>
      <c r="J6" s="517">
        <f>VLOOKUP($A$2,'Footprint Summary'!$B$4:$R$26,COLUMNS('Footprint Summary'!$B$4:J$26)+1,0)</f>
        <v>1214.81</v>
      </c>
      <c r="K6" s="517">
        <f>VLOOKUP($A$2,'Footprint Summary'!$B$4:$R$26,COLUMNS('Footprint Summary'!$B$4:K$26)+1,0)</f>
        <v>1194.81</v>
      </c>
      <c r="L6" s="517">
        <f>VLOOKUP($A$2,'Footprint Summary'!$B$4:$R$26,COLUMNS('Footprint Summary'!$B$4:L$26)+1,0)</f>
        <v>1194.81</v>
      </c>
      <c r="M6" s="517">
        <f>VLOOKUP($A$2,'Footprint Summary'!$B$4:$R$26,COLUMNS('Footprint Summary'!$B$4:M$26)+1,0)</f>
        <v>1184.81</v>
      </c>
      <c r="N6" s="517">
        <f>VLOOKUP($A$2,'Footprint Summary'!$B$4:$R$26,COLUMNS('Footprint Summary'!$B$4:N$26)+1,0)</f>
        <v>1044.81</v>
      </c>
      <c r="O6" s="517">
        <f>VLOOKUP($A$2,'Footprint Summary'!$B$4:$R$26,COLUMNS('Footprint Summary'!$B$4:O$26)+1,0)</f>
        <v>1044.81</v>
      </c>
      <c r="P6" s="517">
        <f>VLOOKUP($A$2,'Footprint Summary'!$B$4:$R$26,COLUMNS('Footprint Summary'!$B$4:P$26)+1,0)</f>
        <v>1044.81</v>
      </c>
      <c r="Q6" s="420">
        <f>(P6-F6)/F6</f>
        <v>-0.4274417610600556</v>
      </c>
      <c r="R6" s="366"/>
      <c r="S6" s="357"/>
      <c r="T6" s="8"/>
      <c r="U6" s="8"/>
      <c r="V6" s="8"/>
      <c r="W6" s="8"/>
      <c r="X6" s="8"/>
      <c r="Y6" s="8"/>
      <c r="Z6" s="8"/>
    </row>
    <row r="7" spans="1:26" s="7" customFormat="1" ht="17.25" customHeight="1">
      <c r="A7" s="368" t="str">
        <f>VLOOKUP($A$2,'Asset Attributes'!$B$3:$D$25,2,0)</f>
        <v>NSW2</v>
      </c>
      <c r="B7" s="368" t="s">
        <v>312</v>
      </c>
      <c r="E7" s="367" t="s">
        <v>311</v>
      </c>
      <c r="F7" s="518">
        <f>F6-$F$6</f>
        <v>0</v>
      </c>
      <c r="G7" s="518">
        <f t="shared" ref="G7:P7" si="1">G6-$F$6</f>
        <v>-20</v>
      </c>
      <c r="H7" s="518">
        <f t="shared" si="1"/>
        <v>-20</v>
      </c>
      <c r="I7" s="518">
        <f t="shared" si="1"/>
        <v>-560</v>
      </c>
      <c r="J7" s="518">
        <f t="shared" si="1"/>
        <v>-610</v>
      </c>
      <c r="K7" s="518">
        <f t="shared" si="1"/>
        <v>-630</v>
      </c>
      <c r="L7" s="518">
        <f t="shared" si="1"/>
        <v>-630</v>
      </c>
      <c r="M7" s="518">
        <f t="shared" si="1"/>
        <v>-640</v>
      </c>
      <c r="N7" s="518">
        <f t="shared" si="1"/>
        <v>-780</v>
      </c>
      <c r="O7" s="518">
        <f t="shared" si="1"/>
        <v>-780</v>
      </c>
      <c r="P7" s="518">
        <f t="shared" si="1"/>
        <v>-780</v>
      </c>
      <c r="Q7" s="426">
        <f>SUM(F7:P7)</f>
        <v>-5450</v>
      </c>
      <c r="R7" s="366"/>
      <c r="S7" s="357"/>
      <c r="T7" s="8"/>
      <c r="U7" s="8"/>
      <c r="V7" s="8"/>
      <c r="W7" s="8"/>
      <c r="X7" s="8"/>
      <c r="Y7" s="8"/>
      <c r="Z7" s="8"/>
    </row>
    <row r="8" spans="1:26" s="7" customFormat="1" ht="17.25" customHeight="1">
      <c r="A8" s="419" t="s">
        <v>284</v>
      </c>
      <c r="B8" s="368" t="s">
        <v>313</v>
      </c>
      <c r="C8" s="2"/>
      <c r="D8" s="486">
        <f>(VLOOKUP($A$2,Assumptions!$B$69:$C$91,2,0))</f>
        <v>29.261555104226325</v>
      </c>
      <c r="E8" s="422" t="s">
        <v>314</v>
      </c>
      <c r="F8" s="519">
        <f>VLOOKUP($A$2,'Footprint Summary'!$B$33:$R$55,COLUMNS('Footprint Summary'!$B$33:F$55)+1,0)</f>
        <v>1614.7909999999999</v>
      </c>
      <c r="G8" s="519">
        <f>VLOOKUP($A$2,'Footprint Summary'!$B$33:$R$55,COLUMNS('Footprint Summary'!$B$33:G$55)+1,0)</f>
        <v>1614.7909999999999</v>
      </c>
      <c r="H8" s="519">
        <f>VLOOKUP($A$2,'Footprint Summary'!$B$33:$R$55,COLUMNS('Footprint Summary'!$B$33:H$55)+1,0)</f>
        <v>1614.7909999999999</v>
      </c>
      <c r="I8" s="519">
        <f>VLOOKUP($A$2,'Footprint Summary'!$B$33:$R$55,COLUMNS('Footprint Summary'!$B$33:I$55)+1,0)</f>
        <v>1614.7909999999999</v>
      </c>
      <c r="J8" s="519">
        <f>VLOOKUP($A$2,'Footprint Summary'!$B$33:$R$55,COLUMNS('Footprint Summary'!$B$33:J$55)+1,0)</f>
        <v>1126.7909999999999</v>
      </c>
      <c r="K8" s="519">
        <f>VLOOKUP($A$2,'Footprint Summary'!$B$33:$R$55,COLUMNS('Footprint Summary'!$B$33:K$55)+1,0)</f>
        <v>1088.7909999999999</v>
      </c>
      <c r="L8" s="519">
        <f>VLOOKUP($A$2,'Footprint Summary'!$B$33:$R$55,COLUMNS('Footprint Summary'!$B$33:L$55)+1,0)</f>
        <v>1050.7909999999999</v>
      </c>
      <c r="M8" s="519">
        <f>VLOOKUP($A$2,'Footprint Summary'!$B$33:$R$55,COLUMNS('Footprint Summary'!$B$33:M$55)+1,0)</f>
        <v>1012.7909999999999</v>
      </c>
      <c r="N8" s="519">
        <f>VLOOKUP($A$2,'Footprint Summary'!$B$33:$R$55,COLUMNS('Footprint Summary'!$B$33:N$55)+1,0)</f>
        <v>474.79099999999994</v>
      </c>
      <c r="O8" s="519">
        <f>VLOOKUP($A$2,'Footprint Summary'!$B$33:$R$55,COLUMNS('Footprint Summary'!$B$33:O$55)+1,0)</f>
        <v>474.79099999999994</v>
      </c>
      <c r="P8" s="519">
        <f>VLOOKUP($A$2,'Footprint Summary'!$B$33:$R$55,COLUMNS('Footprint Summary'!$B$33:P$55)+1,0)</f>
        <v>474.79099999999994</v>
      </c>
      <c r="Q8" s="420">
        <f>(P8-F8)/F8</f>
        <v>-0.70597371424537292</v>
      </c>
      <c r="R8" s="366"/>
      <c r="S8" s="357"/>
      <c r="T8" s="8"/>
      <c r="U8" s="8"/>
      <c r="V8" s="8"/>
      <c r="W8" s="8"/>
      <c r="X8" s="8"/>
      <c r="Y8" s="8"/>
      <c r="Z8" s="8"/>
    </row>
    <row r="9" spans="1:26"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-488</v>
      </c>
      <c r="K9" s="518">
        <f t="shared" si="2"/>
        <v>-526</v>
      </c>
      <c r="L9" s="518">
        <f t="shared" si="2"/>
        <v>-564</v>
      </c>
      <c r="M9" s="518">
        <f t="shared" si="2"/>
        <v>-602</v>
      </c>
      <c r="N9" s="518">
        <f t="shared" si="2"/>
        <v>-1140</v>
      </c>
      <c r="O9" s="518">
        <f t="shared" si="2"/>
        <v>-1140</v>
      </c>
      <c r="P9" s="518">
        <f t="shared" si="2"/>
        <v>-1140</v>
      </c>
      <c r="Q9" s="426">
        <f>SUM(F9:P9)</f>
        <v>-5600</v>
      </c>
      <c r="R9" s="366"/>
      <c r="S9" s="357"/>
      <c r="T9" s="8"/>
      <c r="U9" s="8"/>
      <c r="V9" s="8"/>
      <c r="W9" s="8"/>
      <c r="X9" s="8"/>
      <c r="Y9" s="8"/>
      <c r="Z9" s="8"/>
    </row>
    <row r="10" spans="1:26" s="7" customFormat="1" ht="17.25" customHeight="1">
      <c r="R10" s="366"/>
      <c r="S10" s="357"/>
      <c r="T10" s="8"/>
      <c r="U10" s="8"/>
      <c r="V10" s="8"/>
      <c r="W10" s="8"/>
      <c r="X10" s="8"/>
      <c r="Y10" s="8"/>
      <c r="Z10" s="8"/>
    </row>
    <row r="11" spans="1:26" s="7" customFormat="1" ht="36" customHeight="1" thickBot="1">
      <c r="A11" s="9" t="s">
        <v>316</v>
      </c>
      <c r="R11" s="366"/>
      <c r="S11" s="357"/>
      <c r="T11" s="8"/>
      <c r="U11" s="8"/>
      <c r="V11" s="8"/>
      <c r="W11" s="8"/>
      <c r="X11" s="8"/>
      <c r="Y11" s="8"/>
      <c r="Z11" s="8"/>
    </row>
    <row r="12" spans="1:26" s="7" customFormat="1" ht="36.75" customHeight="1" thickTop="1" thickBot="1">
      <c r="A12" s="184" t="s">
        <v>282</v>
      </c>
      <c r="B12" s="184" t="s">
        <v>304</v>
      </c>
      <c r="C12" s="370"/>
      <c r="D12" s="370"/>
      <c r="E12" s="200" t="s">
        <v>307</v>
      </c>
      <c r="F12" s="619" t="str">
        <f>F55</f>
        <v>BASE</v>
      </c>
      <c r="G12" s="619" t="str">
        <f>G67</f>
        <v>CURRENT</v>
      </c>
      <c r="H12" s="619" t="str">
        <f t="shared" ref="H12:P12" si="3">H67</f>
        <v>FY25</v>
      </c>
      <c r="I12" s="619" t="str">
        <f t="shared" si="3"/>
        <v>FY26</v>
      </c>
      <c r="J12" s="619" t="str">
        <f t="shared" si="3"/>
        <v>FY27</v>
      </c>
      <c r="K12" s="619" t="str">
        <f t="shared" si="3"/>
        <v>FY28</v>
      </c>
      <c r="L12" s="619" t="str">
        <f t="shared" si="3"/>
        <v>FY29</v>
      </c>
      <c r="M12" s="619" t="str">
        <f t="shared" si="3"/>
        <v>FY30</v>
      </c>
      <c r="N12" s="619" t="str">
        <f t="shared" si="3"/>
        <v>FY31</v>
      </c>
      <c r="O12" s="619" t="str">
        <f t="shared" si="3"/>
        <v>FY32</v>
      </c>
      <c r="P12" s="619" t="str">
        <f t="shared" si="3"/>
        <v>FY33</v>
      </c>
      <c r="Q12" s="200" t="s">
        <v>308</v>
      </c>
      <c r="R12" s="366"/>
      <c r="S12" s="357"/>
      <c r="T12" s="8"/>
      <c r="U12" s="8"/>
      <c r="V12" s="8"/>
      <c r="W12" s="8"/>
      <c r="X12" s="8"/>
      <c r="Y12" s="8"/>
      <c r="Z12" s="8"/>
    </row>
    <row r="13" spans="1:26" s="7" customFormat="1" ht="17.25" customHeight="1" thickTop="1">
      <c r="A13" s="368" t="str">
        <f>VLOOKUP($A$2,'Asset Attributes'!$B$3:$D$25,2,0)</f>
        <v>NSW2</v>
      </c>
      <c r="B13" s="368" t="s">
        <v>317</v>
      </c>
      <c r="C13" s="367"/>
      <c r="E13" s="367" t="s">
        <v>318</v>
      </c>
      <c r="F13" s="367">
        <f>VLOOKUP($A$2,'Footprint Summary'!$B$4:$R$26,COLUMNS('Footprint Summary'!$B$4:F$26)+1,0)*VLOOKUP($A$13,Assumptions!$A$4:$N$14,COLUMNS(Assumptions!$A$4:B$14)+1,0)</f>
        <v>1441.5998999999999</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7">
        <f>IF(F13=0,"0",(F13-P13)/F13)</f>
        <v>1</v>
      </c>
      <c r="R13" s="366"/>
      <c r="S13" s="357"/>
      <c r="T13" s="8"/>
      <c r="U13" s="8"/>
      <c r="V13" s="8"/>
      <c r="W13" s="8"/>
      <c r="X13" s="8"/>
      <c r="Y13" s="8"/>
      <c r="Z13" s="8"/>
    </row>
    <row r="14" spans="1:26" s="7" customFormat="1" ht="17.25" customHeight="1">
      <c r="A14" s="368" t="s">
        <v>284</v>
      </c>
      <c r="B14" s="368" t="s">
        <v>285</v>
      </c>
      <c r="C14" s="2"/>
      <c r="E14" s="367" t="s">
        <v>284</v>
      </c>
      <c r="F14" s="517">
        <f>(VLOOKUP($A$2,'Footprint Summary'!$B$33:$R$55,COLUMNS('Footprint Summary'!$B$33:F$55)+1,0)*VLOOKUP($B$14,Assumptions!$B$17:$N$29,COLUMNS(Assumptions!$B$18:B$29)+1,0)/1000)-F22</f>
        <v>83.210180229999992</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c r="V14" s="8"/>
      <c r="W14" s="8"/>
      <c r="X14" s="8"/>
      <c r="Y14" s="8"/>
      <c r="Z14" s="8"/>
    </row>
    <row r="15" spans="1:26" s="7" customFormat="1" ht="17.25" customHeight="1">
      <c r="A15" s="419" t="s">
        <v>319</v>
      </c>
      <c r="B15" s="419" t="s">
        <v>320</v>
      </c>
      <c r="C15" s="2"/>
      <c r="E15" s="425" t="s">
        <v>319</v>
      </c>
      <c r="F15" s="367">
        <f>VLOOKUP($A$2,'Footprint Summary'!$B$216:$R$238,COLUMNS('Footprint Summary'!$B$216:F238)+1,0)-F24</f>
        <v>77.1795357617506</v>
      </c>
      <c r="G15" s="367">
        <f>VLOOKUP($A$2,'Footprint Summary'!$B$216:$R$238,COLUMNS('Footprint Summary'!$B$216:G238)+1,0)-G24</f>
        <v>0</v>
      </c>
      <c r="H15" s="367">
        <f>VLOOKUP($A$2,'Footprint Summary'!$B$216:$R$238,COLUMNS('Footprint Summary'!$B$216:H238)+1,0)-H24</f>
        <v>0</v>
      </c>
      <c r="I15" s="367">
        <f>VLOOKUP($A$2,'Footprint Summary'!$B$216:$R$238,COLUMNS('Footprint Summary'!$B$216:I238)+1,0)-I24</f>
        <v>0</v>
      </c>
      <c r="J15" s="367">
        <f>VLOOKUP($A$2,'Footprint Summary'!$B$216:$R$238,COLUMNS('Footprint Summary'!$B$216:J238)+1,0)-J24</f>
        <v>0</v>
      </c>
      <c r="K15" s="367">
        <f>VLOOKUP($A$2,'Footprint Summary'!$B$216:$R$238,COLUMNS('Footprint Summary'!$B$216:K238)+1,0)-K24</f>
        <v>0</v>
      </c>
      <c r="L15" s="367">
        <f>VLOOKUP($A$2,'Footprint Summary'!$B$216:$R$238,COLUMNS('Footprint Summary'!$B$216:L238)+1,0)-L24</f>
        <v>0</v>
      </c>
      <c r="M15" s="367">
        <f>VLOOKUP($A$2,'Footprint Summary'!$B$216:$R$238,COLUMNS('Footprint Summary'!$B$216:M238)+1,0)-M24</f>
        <v>0</v>
      </c>
      <c r="N15" s="367">
        <f>VLOOKUP($A$2,'Footprint Summary'!$B$216:$R$238,COLUMNS('Footprint Summary'!$B$216:N238)+1,0)-N24</f>
        <v>0</v>
      </c>
      <c r="O15" s="367">
        <f>VLOOKUP($A$2,'Footprint Summary'!$B$216:$R$238,COLUMNS('Footprint Summary'!$B$216:O238)+1,0)-O24</f>
        <v>0</v>
      </c>
      <c r="P15" s="367">
        <f>VLOOKUP($A$2,'Footprint Summary'!$B$216:$R$238,COLUMNS('Footprint Summary'!$B$216:P238)+1,0)-P24</f>
        <v>0</v>
      </c>
      <c r="Q15" s="429">
        <f>(F15-P15)/F15</f>
        <v>1</v>
      </c>
      <c r="R15" s="366"/>
      <c r="S15" s="357"/>
      <c r="T15" s="8"/>
      <c r="U15" s="8"/>
      <c r="V15" s="8"/>
      <c r="W15" s="8"/>
      <c r="X15" s="8"/>
      <c r="Y15" s="8"/>
      <c r="Z15" s="8"/>
    </row>
    <row r="16" spans="1:26" s="7" customFormat="1" ht="17.25" customHeight="1" thickBot="1">
      <c r="A16" s="1"/>
      <c r="B16" s="368"/>
      <c r="C16" s="2"/>
      <c r="E16" s="367" t="s">
        <v>321</v>
      </c>
      <c r="F16" s="434">
        <f>SUM(F13:F15)</f>
        <v>1601.9896159917507</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c r="V16" s="8"/>
      <c r="W16" s="8"/>
      <c r="X16" s="8"/>
      <c r="Y16" s="8"/>
      <c r="Z16" s="8"/>
    </row>
    <row r="17" spans="1:39" s="7" customFormat="1" ht="21" customHeight="1" thickTop="1">
      <c r="E17" s="367" t="s">
        <v>322</v>
      </c>
      <c r="F17" s="428">
        <f>1000*F16/(VLOOKUP($A$2,'Asset Attributes'!$B$3:$D$25,3,0))</f>
        <v>54.926613728030951</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c r="Y17" s="8"/>
      <c r="Z17" s="8"/>
      <c r="AA17" s="8"/>
      <c r="AB17" s="8"/>
      <c r="AC17" s="8"/>
      <c r="AD17" s="8"/>
      <c r="AE17" s="8"/>
      <c r="AF17" s="8"/>
      <c r="AG17" s="8"/>
      <c r="AH17" s="8"/>
      <c r="AI17" s="8"/>
      <c r="AJ17" s="8"/>
      <c r="AK17" s="8"/>
      <c r="AL17" s="8"/>
      <c r="AM17" s="8"/>
    </row>
    <row r="18" spans="1:39" s="7" customFormat="1" ht="28.5" customHeight="1" thickBot="1">
      <c r="A18" s="9" t="s">
        <v>323</v>
      </c>
      <c r="E18" s="367"/>
      <c r="F18" s="428"/>
      <c r="G18" s="428"/>
      <c r="H18" s="428"/>
      <c r="I18" s="428"/>
      <c r="J18" s="428"/>
      <c r="K18" s="428"/>
      <c r="L18" s="428"/>
      <c r="M18" s="428"/>
      <c r="N18" s="428"/>
      <c r="O18" s="428"/>
      <c r="P18" s="428"/>
      <c r="R18" s="366"/>
      <c r="S18" s="357"/>
      <c r="T18" s="8"/>
      <c r="U18" s="8"/>
      <c r="V18" s="8"/>
      <c r="W18" s="8"/>
      <c r="X18" s="8"/>
      <c r="Y18" s="8"/>
      <c r="Z18" s="8"/>
      <c r="AA18" s="8"/>
      <c r="AB18" s="8"/>
      <c r="AC18" s="8"/>
      <c r="AD18" s="8"/>
      <c r="AE18" s="8"/>
      <c r="AF18" s="8"/>
      <c r="AG18" s="8"/>
      <c r="AH18" s="8"/>
      <c r="AI18" s="8"/>
      <c r="AJ18" s="8"/>
      <c r="AK18" s="8"/>
      <c r="AL18" s="8"/>
      <c r="AM18" s="8"/>
    </row>
    <row r="19" spans="1:39" s="7" customFormat="1" ht="21" customHeight="1" thickTop="1" thickBot="1">
      <c r="A19" s="184" t="s">
        <v>282</v>
      </c>
      <c r="B19" s="184" t="s">
        <v>304</v>
      </c>
      <c r="C19" s="370"/>
      <c r="D19" s="370"/>
      <c r="E19" s="200" t="s">
        <v>307</v>
      </c>
      <c r="F19" s="619" t="str">
        <f>F55</f>
        <v>BASE</v>
      </c>
      <c r="G19" s="619" t="str">
        <f>G67</f>
        <v>CURRENT</v>
      </c>
      <c r="H19" s="619" t="str">
        <f t="shared" ref="H19:P19" si="5">H67</f>
        <v>FY25</v>
      </c>
      <c r="I19" s="619" t="str">
        <f t="shared" si="5"/>
        <v>FY26</v>
      </c>
      <c r="J19" s="619" t="str">
        <f t="shared" si="5"/>
        <v>FY27</v>
      </c>
      <c r="K19" s="619" t="str">
        <f t="shared" si="5"/>
        <v>FY28</v>
      </c>
      <c r="L19" s="619" t="str">
        <f t="shared" si="5"/>
        <v>FY29</v>
      </c>
      <c r="M19" s="619" t="str">
        <f t="shared" si="5"/>
        <v>FY30</v>
      </c>
      <c r="N19" s="619" t="str">
        <f t="shared" si="5"/>
        <v>FY31</v>
      </c>
      <c r="O19" s="619" t="str">
        <f t="shared" si="5"/>
        <v>FY32</v>
      </c>
      <c r="P19" s="619" t="str">
        <f t="shared" si="5"/>
        <v>FY33</v>
      </c>
      <c r="Q19" s="200" t="s">
        <v>308</v>
      </c>
      <c r="R19" s="366"/>
      <c r="S19" s="357"/>
      <c r="T19" s="8"/>
      <c r="U19" s="8"/>
      <c r="V19" s="8"/>
      <c r="W19" s="8"/>
      <c r="X19" s="8"/>
      <c r="Y19" s="8"/>
      <c r="Z19" s="8"/>
      <c r="AA19" s="8"/>
      <c r="AB19" s="8"/>
      <c r="AC19" s="8"/>
      <c r="AD19" s="8"/>
      <c r="AE19" s="8"/>
      <c r="AF19" s="8"/>
      <c r="AG19" s="8"/>
      <c r="AH19" s="8"/>
      <c r="AI19" s="8"/>
      <c r="AJ19" s="8"/>
      <c r="AK19" s="8"/>
      <c r="AL19" s="8"/>
      <c r="AM19" s="8"/>
    </row>
    <row r="20" spans="1:39" s="7" customFormat="1" ht="21" customHeight="1" thickTop="1">
      <c r="A20" s="368" t="s">
        <v>324</v>
      </c>
      <c r="B20" s="368" t="s">
        <v>325</v>
      </c>
      <c r="E20" s="367" t="s">
        <v>321</v>
      </c>
      <c r="F20" s="499">
        <f>-1*(VLOOKUP($A$2,'Footprint Summary'!$B$244:R$266,COLUMNS('Footprint Summary'!$B$244:F$266)+1,0))</f>
        <v>0</v>
      </c>
      <c r="G20" s="499">
        <f>-1*(VLOOKUP($A$2,'Footprint Summary'!$B$244:S$266,COLUMNS('Footprint Summary'!$B$244:G$266)+1,0))</f>
        <v>14.84</v>
      </c>
      <c r="H20" s="499">
        <f>-1*(VLOOKUP($A$2,'Footprint Summary'!$B$244:T$266,COLUMNS('Footprint Summary'!$B$244:H$266)+1,0))</f>
        <v>14.6</v>
      </c>
      <c r="I20" s="499">
        <f>-1*(VLOOKUP($A$2,'Footprint Summary'!$B$244:U$266,COLUMNS('Footprint Summary'!$B$244:I$266)+1,0))</f>
        <v>370.72</v>
      </c>
      <c r="J20" s="499">
        <f>-1*(VLOOKUP($A$2,'Footprint Summary'!$B$244:V$266,COLUMNS('Footprint Summary'!$B$244:J$266)+1,0))</f>
        <v>380.64</v>
      </c>
      <c r="K20" s="499">
        <f>-1*(VLOOKUP($A$2,'Footprint Summary'!$B$244:W$266,COLUMNS('Footprint Summary'!$B$244:K$266)+1,0))</f>
        <v>344.61</v>
      </c>
      <c r="L20" s="499">
        <f>-1*(VLOOKUP($A$2,'Footprint Summary'!$B$244:X$266,COLUMNS('Footprint Summary'!$B$244:L$266)+1,0))</f>
        <v>289.8</v>
      </c>
      <c r="M20" s="499">
        <f>-1*(VLOOKUP($A$2,'Footprint Summary'!$B$244:Y$266,COLUMNS('Footprint Summary'!$B$244:M$266)+1,0))</f>
        <v>245.12</v>
      </c>
      <c r="N20" s="499">
        <f>-1*(VLOOKUP($A$2,'Footprint Summary'!$B$244:Z$266,COLUMNS('Footprint Summary'!$B$244:N$266)+1,0))</f>
        <v>253.5</v>
      </c>
      <c r="O20" s="499">
        <f>-1*(VLOOKUP($A$2,'Footprint Summary'!$B$244:AA$266,COLUMNS('Footprint Summary'!$B$244:O$266)+1,0))</f>
        <v>224.64</v>
      </c>
      <c r="P20" s="499">
        <f>-1*(VLOOKUP($A$2,'Footprint Summary'!$B$244:AB$266,COLUMNS('Footprint Summary'!$B$244:P$266)+1,0))</f>
        <v>205.92000000000002</v>
      </c>
      <c r="Q20" s="499">
        <f>SUM(G20:P20)</f>
        <v>2344.39</v>
      </c>
      <c r="R20" s="366"/>
      <c r="S20" s="357"/>
      <c r="T20" s="8"/>
      <c r="U20" s="8"/>
      <c r="V20" s="8"/>
      <c r="W20" s="8"/>
      <c r="X20" s="8"/>
      <c r="Y20" s="8"/>
      <c r="Z20" s="8"/>
      <c r="AA20" s="8"/>
      <c r="AB20" s="8"/>
      <c r="AC20" s="8"/>
      <c r="AD20" s="8"/>
      <c r="AE20" s="8"/>
      <c r="AF20" s="8"/>
      <c r="AG20" s="8"/>
      <c r="AH20" s="8"/>
      <c r="AI20" s="8"/>
      <c r="AJ20" s="8"/>
      <c r="AK20" s="8"/>
      <c r="AL20" s="8"/>
      <c r="AM20" s="8"/>
    </row>
    <row r="21" spans="1:39" s="7" customFormat="1" ht="21"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1339.16902</v>
      </c>
      <c r="H21" s="499">
        <f>-1*(VLOOKUP($A$2,'Footprint Summary'!$B$302:$R$324,COLUMNS('Footprint Summary'!$B$302:H324)+1,0))</f>
        <v>1317.5112999999999</v>
      </c>
      <c r="I21" s="499">
        <f>-1*(VLOOKUP($A$2,'Footprint Summary'!$B$302:$R$324,COLUMNS('Footprint Summary'!$B$302:I324)+1,0))</f>
        <v>837.30421999999999</v>
      </c>
      <c r="J21" s="499">
        <f>-1*(VLOOKUP($A$2,'Footprint Summary'!$B$302:$R$324,COLUMNS('Footprint Summary'!$B$302:J324)+1,0))</f>
        <v>758.04143999999997</v>
      </c>
      <c r="K21" s="499">
        <f>-1*(VLOOKUP($A$2,'Footprint Summary'!$B$302:$R$324,COLUMNS('Footprint Summary'!$B$302:K324)+1,0))</f>
        <v>653.56106999999997</v>
      </c>
      <c r="L21" s="499">
        <f>-1*(VLOOKUP($A$2,'Footprint Summary'!$B$302:$R$324,COLUMNS('Footprint Summary'!$B$302:L324)+1,0))</f>
        <v>549.61260000000004</v>
      </c>
      <c r="M21" s="499">
        <f>-1*(VLOOKUP($A$2,'Footprint Summary'!$B$302:$R$324,COLUMNS('Footprint Summary'!$B$302:M324)+1,0))</f>
        <v>453.78222999999997</v>
      </c>
      <c r="N21" s="499">
        <f>-1*(VLOOKUP($A$2,'Footprint Summary'!$B$302:$R$324,COLUMNS('Footprint Summary'!$B$302:N324)+1,0))</f>
        <v>339.56324999999998</v>
      </c>
      <c r="O21" s="499">
        <f>-1*(VLOOKUP($A$2,'Footprint Summary'!$B$302:$R$324,COLUMNS('Footprint Summary'!$B$302:O324)+1,0))</f>
        <v>300.90527999999995</v>
      </c>
      <c r="P21" s="499">
        <f>-1*(VLOOKUP($A$2,'Footprint Summary'!$B$302:$R$324,COLUMNS('Footprint Summary'!$B$302:P324)+1,0))</f>
        <v>275.82983999999999</v>
      </c>
      <c r="Q21" s="499">
        <f t="shared" ref="Q21:Q27" si="6">SUM(G21:P21)</f>
        <v>6825.2802500000007</v>
      </c>
      <c r="R21" s="366"/>
      <c r="S21" s="357"/>
      <c r="T21" s="8"/>
      <c r="U21" s="8"/>
      <c r="V21" s="8"/>
      <c r="W21" s="8"/>
      <c r="X21" s="8"/>
      <c r="Y21" s="8"/>
      <c r="Z21" s="8"/>
      <c r="AA21" s="8"/>
      <c r="AB21" s="8"/>
      <c r="AC21" s="8"/>
      <c r="AD21" s="8"/>
      <c r="AE21" s="8"/>
      <c r="AF21" s="8"/>
      <c r="AG21" s="8"/>
      <c r="AH21" s="8"/>
      <c r="AI21" s="8"/>
      <c r="AJ21" s="8"/>
      <c r="AK21" s="8"/>
      <c r="AL21" s="8"/>
      <c r="AM21" s="8"/>
    </row>
    <row r="22" spans="1:39" s="7" customFormat="1" ht="21" customHeight="1">
      <c r="A22" s="368" t="s">
        <v>284</v>
      </c>
      <c r="B22" s="368" t="s">
        <v>327</v>
      </c>
      <c r="E22" s="425" t="s">
        <v>321</v>
      </c>
      <c r="F22" s="499">
        <v>0</v>
      </c>
      <c r="G22" s="499">
        <f>(VLOOKUP($A$2,'Footprint Summary'!$B$33:$R$55,COLUMNS('Footprint Summary'!$B$33:G$55)+1,0)*VLOOKUP($B$14,Assumptions!$B$17:$N$29,COLUMNS(Assumptions!$B$18:C$29)+1,0)/1000)</f>
        <v>83.210180229999992</v>
      </c>
      <c r="H22" s="499">
        <f>(VLOOKUP($A$2,'Footprint Summary'!$B$33:$R$55,COLUMNS('Footprint Summary'!$B$33:H$55)+1,0)*VLOOKUP($B$14,Assumptions!$B$17:$N$29,COLUMNS(Assumptions!$B$18:D$29)+1,0)/1000)</f>
        <v>83.210180229999992</v>
      </c>
      <c r="I22" s="499">
        <f>(VLOOKUP($A$2,'Footprint Summary'!$B$33:$R$55,COLUMNS('Footprint Summary'!$B$33:I$55)+1,0)*VLOOKUP($B$14,Assumptions!$B$17:$N$29,COLUMNS(Assumptions!$B$18:E$29)+1,0)/1000)</f>
        <v>83.210180229999992</v>
      </c>
      <c r="J22" s="499">
        <f>(VLOOKUP($A$2,'Footprint Summary'!$B$33:$R$55,COLUMNS('Footprint Summary'!$B$33:J$55)+1,0)*VLOOKUP($B$14,Assumptions!$B$17:$N$29,COLUMNS(Assumptions!$B$18:F$29)+1,0)/1000)</f>
        <v>58.063540230000001</v>
      </c>
      <c r="K22" s="499">
        <f>(VLOOKUP($A$2,'Footprint Summary'!$B$33:$R$55,COLUMNS('Footprint Summary'!$B$33:K$55)+1,0)*VLOOKUP($B$14,Assumptions!$B$17:$N$29,COLUMNS(Assumptions!$B$18:G$29)+1,0)/1000)</f>
        <v>56.105400230000001</v>
      </c>
      <c r="L22" s="499">
        <f>(VLOOKUP($A$2,'Footprint Summary'!$B$33:$R$55,COLUMNS('Footprint Summary'!$B$33:L$55)+1,0)*VLOOKUP($B$14,Assumptions!$B$17:$N$29,COLUMNS(Assumptions!$B$18:H$29)+1,0)/1000)</f>
        <v>54.147260230000001</v>
      </c>
      <c r="M22" s="499">
        <f>(VLOOKUP($A$2,'Footprint Summary'!$B$33:$R$55,COLUMNS('Footprint Summary'!$B$33:M$55)+1,0)*VLOOKUP($B$14,Assumptions!$B$17:$N$29,COLUMNS(Assumptions!$B$18:I$29)+1,0)/1000)</f>
        <v>52.18912023</v>
      </c>
      <c r="N22" s="499">
        <f>(VLOOKUP($A$2,'Footprint Summary'!$B$33:$R$55,COLUMNS('Footprint Summary'!$B$33:N$55)+1,0)*VLOOKUP($B$14,Assumptions!$B$17:$N$29,COLUMNS(Assumptions!$B$18:J$29)+1,0)/1000)</f>
        <v>24.465980229999996</v>
      </c>
      <c r="O22" s="499">
        <f>(VLOOKUP($A$2,'Footprint Summary'!$B$33:$R$55,COLUMNS('Footprint Summary'!$B$33:O$55)+1,0)*VLOOKUP($B$14,Assumptions!$B$17:$N$29,COLUMNS(Assumptions!$B$18:K$29)+1,0)/1000)</f>
        <v>24.465980229999996</v>
      </c>
      <c r="P22" s="499">
        <f>(VLOOKUP($A$2,'Footprint Summary'!$B$33:$R$55,COLUMNS('Footprint Summary'!$B$33:P$55)+1,0)*VLOOKUP($B$14,Assumptions!$B$17:$N$29,COLUMNS(Assumptions!$B$18:L$29)+1,0)/1000)</f>
        <v>24.465980229999996</v>
      </c>
      <c r="Q22" s="499">
        <f t="shared" si="6"/>
        <v>543.53380229999993</v>
      </c>
      <c r="R22" s="366"/>
      <c r="S22" s="357"/>
      <c r="T22" s="8"/>
      <c r="U22" s="8"/>
      <c r="V22" s="8"/>
      <c r="W22" s="8"/>
      <c r="X22" s="8"/>
      <c r="Y22" s="8"/>
      <c r="Z22" s="8"/>
      <c r="AA22" s="8"/>
      <c r="AB22" s="8"/>
      <c r="AC22" s="8"/>
      <c r="AD22" s="8"/>
      <c r="AE22" s="8"/>
      <c r="AF22" s="8"/>
      <c r="AG22" s="8"/>
      <c r="AH22" s="8"/>
      <c r="AI22" s="8"/>
      <c r="AJ22" s="8"/>
      <c r="AK22" s="8"/>
      <c r="AL22" s="8"/>
      <c r="AM22" s="8"/>
    </row>
    <row r="23" spans="1:39" s="7" customFormat="1" ht="21"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25.146639999999998</v>
      </c>
      <c r="K23" s="499">
        <f>-1*(VLOOKUP($A$2,'Footprint Summary'!$B$273:W$295,COLUMNS('Footprint Summary'!$B$273:K$295)+1,0))</f>
        <v>27.104779999999998</v>
      </c>
      <c r="L23" s="499">
        <f>-1*(VLOOKUP($A$2,'Footprint Summary'!$B$273:X$295,COLUMNS('Footprint Summary'!$B$273:L$295)+1,0))</f>
        <v>29.062920000000002</v>
      </c>
      <c r="M23" s="499">
        <f>-1*(VLOOKUP($A$2,'Footprint Summary'!$B$273:Y$295,COLUMNS('Footprint Summary'!$B$273:M$295)+1,0))</f>
        <v>31.021060000000002</v>
      </c>
      <c r="N23" s="499">
        <f>-1*(VLOOKUP($A$2,'Footprint Summary'!$B$273:Z$295,COLUMNS('Footprint Summary'!$B$273:N$295)+1,0))</f>
        <v>58.744200000000006</v>
      </c>
      <c r="O23" s="499">
        <f>-1*(VLOOKUP($A$2,'Footprint Summary'!$B$273:AA$295,COLUMNS('Footprint Summary'!$B$273:O$295)+1,0))</f>
        <v>58.744200000000006</v>
      </c>
      <c r="P23" s="499">
        <f>-1*(VLOOKUP($A$2,'Footprint Summary'!$B$273:AB$295,COLUMNS('Footprint Summary'!$B$273:P$295)+1,0))</f>
        <v>58.744200000000006</v>
      </c>
      <c r="Q23" s="499">
        <f t="shared" si="6"/>
        <v>288.56800000000004</v>
      </c>
      <c r="R23" s="366"/>
      <c r="S23" s="357"/>
      <c r="T23" s="8"/>
      <c r="U23" s="8"/>
      <c r="V23" s="8"/>
      <c r="W23" s="8"/>
      <c r="X23" s="8"/>
      <c r="Y23" s="8"/>
      <c r="Z23" s="8"/>
      <c r="AA23" s="8"/>
      <c r="AB23" s="8"/>
      <c r="AC23" s="8"/>
      <c r="AD23" s="8"/>
      <c r="AE23" s="8"/>
      <c r="AF23" s="8"/>
      <c r="AG23" s="8"/>
      <c r="AH23" s="8"/>
      <c r="AI23" s="8"/>
      <c r="AJ23" s="8"/>
      <c r="AK23" s="8"/>
      <c r="AL23" s="8"/>
      <c r="AM23" s="8"/>
    </row>
    <row r="24" spans="1:39" s="7" customFormat="1" ht="21" customHeight="1">
      <c r="A24" s="419" t="s">
        <v>319</v>
      </c>
      <c r="B24" s="419" t="s">
        <v>329</v>
      </c>
      <c r="E24" s="425" t="s">
        <v>321</v>
      </c>
      <c r="F24" s="499">
        <v>0</v>
      </c>
      <c r="G24" s="499">
        <f>VLOOKUP($A$2,'Footprint Summary'!$B$216:$R$238,COLUMNS('Footprint Summary'!$B$216:G238)+1,0)</f>
        <v>70.452715501556085</v>
      </c>
      <c r="H24" s="499">
        <f>VLOOKUP($A$2,'Footprint Summary'!$B$216:$R$238,COLUMNS('Footprint Summary'!$B$216:H238)+1,0)</f>
        <v>63.72589524136157</v>
      </c>
      <c r="I24" s="499">
        <f>VLOOKUP($A$2,'Footprint Summary'!$B$216:$R$238,COLUMNS('Footprint Summary'!$B$216:I238)+1,0)</f>
        <v>56.999074981167055</v>
      </c>
      <c r="J24" s="499">
        <f>VLOOKUP($A$2,'Footprint Summary'!$B$216:$R$238,COLUMNS('Footprint Summary'!$B$216:J238)+1,0)</f>
        <v>50.272254720972541</v>
      </c>
      <c r="K24" s="499">
        <f>VLOOKUP($A$2,'Footprint Summary'!$B$216:$R$238,COLUMNS('Footprint Summary'!$B$216:K238)+1,0)</f>
        <v>43.545434460778033</v>
      </c>
      <c r="L24" s="499">
        <f>VLOOKUP($A$2,'Footprint Summary'!$B$216:$R$238,COLUMNS('Footprint Summary'!$B$216:L238)+1,0)</f>
        <v>36.818614200583525</v>
      </c>
      <c r="M24" s="499">
        <f>VLOOKUP($A$2,'Footprint Summary'!$B$216:$R$238,COLUMNS('Footprint Summary'!$B$216:M238)+1,0)</f>
        <v>30.09179394038901</v>
      </c>
      <c r="N24" s="499">
        <f>VLOOKUP($A$2,'Footprint Summary'!$B$216:$R$238,COLUMNS('Footprint Summary'!$B$216:N238)+1,0)</f>
        <v>23.364973680194499</v>
      </c>
      <c r="O24" s="499">
        <f>VLOOKUP($A$2,'Footprint Summary'!$B$216:$R$238,COLUMNS('Footprint Summary'!$B$216:O238)+1,0)</f>
        <v>16.638153419999988</v>
      </c>
      <c r="P24" s="499">
        <f>VLOOKUP($A$2,'Footprint Summary'!$B$216:$R$238,COLUMNS('Footprint Summary'!$B$216:P238)+1,0)</f>
        <v>16.638153419999998</v>
      </c>
      <c r="Q24" s="499">
        <f t="shared" si="6"/>
        <v>408.54706356700223</v>
      </c>
      <c r="R24" s="366"/>
      <c r="S24" s="357"/>
      <c r="T24" s="8"/>
      <c r="U24" s="8"/>
      <c r="V24" s="8"/>
      <c r="W24" s="8"/>
      <c r="X24" s="8"/>
      <c r="Y24" s="8"/>
      <c r="Z24" s="8"/>
      <c r="AA24" s="8"/>
      <c r="AB24" s="8"/>
      <c r="AC24" s="8"/>
      <c r="AD24" s="8"/>
      <c r="AE24" s="8"/>
      <c r="AF24" s="8"/>
      <c r="AG24" s="8"/>
      <c r="AH24" s="8"/>
      <c r="AI24" s="8"/>
      <c r="AJ24" s="8"/>
      <c r="AK24" s="8"/>
      <c r="AL24" s="8"/>
      <c r="AM24" s="8"/>
    </row>
    <row r="25" spans="1:39" s="7" customFormat="1" ht="21" customHeight="1">
      <c r="A25" s="419" t="s">
        <v>319</v>
      </c>
      <c r="B25" s="419" t="s">
        <v>319</v>
      </c>
      <c r="E25" s="425" t="s">
        <v>321</v>
      </c>
      <c r="F25" s="499">
        <f>VLOOKUP($A$2,'Footprint Summary'!$B$216:$R$238,COLUMNS('Footprint Summary'!$B$216:F238)+1,0)-F24</f>
        <v>77.1795357617506</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c r="V25" s="8"/>
      <c r="W25" s="8"/>
      <c r="X25" s="8"/>
      <c r="Y25" s="8"/>
      <c r="Z25" s="8"/>
      <c r="AA25" s="8"/>
      <c r="AB25" s="8"/>
      <c r="AC25" s="8"/>
      <c r="AD25" s="8"/>
      <c r="AE25" s="8"/>
      <c r="AF25" s="8"/>
      <c r="AG25" s="8"/>
      <c r="AH25" s="8"/>
      <c r="AI25" s="8"/>
      <c r="AJ25" s="8"/>
      <c r="AK25" s="8"/>
      <c r="AL25" s="8"/>
      <c r="AM25" s="8"/>
    </row>
    <row r="26" spans="1:39" s="7" customFormat="1" ht="21" customHeight="1">
      <c r="A26" s="419" t="s">
        <v>284</v>
      </c>
      <c r="B26" s="368" t="s">
        <v>285</v>
      </c>
      <c r="E26" s="425" t="s">
        <v>321</v>
      </c>
      <c r="F26" s="499">
        <f>(VLOOKUP($A$2,'Footprint Summary'!$B$33:$R$55,COLUMNS('Footprint Summary'!$B$33:F$55)+1,0)*VLOOKUP($B$14,Assumptions!$B$17:$N$29,COLUMNS(Assumptions!$B$18:B$29)+1,0)/1000)-F22</f>
        <v>83.210180229999992</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c r="V26" s="8"/>
      <c r="W26" s="8"/>
      <c r="X26" s="8"/>
      <c r="Y26" s="8"/>
      <c r="Z26" s="8"/>
      <c r="AA26" s="8"/>
      <c r="AB26" s="8"/>
      <c r="AC26" s="8"/>
      <c r="AD26" s="8"/>
      <c r="AE26" s="8"/>
      <c r="AF26" s="8"/>
      <c r="AG26" s="8"/>
      <c r="AH26" s="8"/>
      <c r="AI26" s="8"/>
      <c r="AJ26" s="8"/>
      <c r="AK26" s="8"/>
      <c r="AL26" s="8"/>
      <c r="AM26" s="8"/>
    </row>
    <row r="27" spans="1:39" s="7" customFormat="1" ht="21" customHeight="1">
      <c r="A27" s="368" t="str">
        <f>VLOOKUP($A$2,'Asset Attributes'!$B$3:$D$25,2,0)</f>
        <v>NSW2</v>
      </c>
      <c r="B27" s="368" t="s">
        <v>330</v>
      </c>
      <c r="E27" s="425" t="s">
        <v>321</v>
      </c>
      <c r="F27" s="367">
        <f>VLOOKUP($A$2,'Footprint Summary'!$B$4:$R$26,COLUMNS('Footprint Summary'!$B$4:F$26)+1,0)*VLOOKUP($A$13,Assumptions!$A$4:$N$14,COLUMNS(Assumptions!$A$4:B$14)+1,0)</f>
        <v>1441.5998999999999</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c r="V27" s="8"/>
      <c r="W27" s="8"/>
      <c r="X27" s="8"/>
      <c r="Y27" s="8"/>
      <c r="Z27" s="8"/>
      <c r="AA27" s="8"/>
      <c r="AB27" s="8"/>
      <c r="AC27" s="8"/>
      <c r="AD27" s="8"/>
      <c r="AE27" s="8"/>
      <c r="AF27" s="8"/>
      <c r="AG27" s="8"/>
      <c r="AH27" s="8"/>
      <c r="AI27" s="8"/>
      <c r="AJ27" s="8"/>
      <c r="AK27" s="8"/>
      <c r="AL27" s="8"/>
      <c r="AM27" s="8"/>
    </row>
    <row r="28" spans="1:39" s="7" customFormat="1" ht="21" customHeight="1" thickBot="1">
      <c r="E28" s="425" t="s">
        <v>321</v>
      </c>
      <c r="F28" s="434">
        <f>SUM(F25:F27)</f>
        <v>1601.9896159917505</v>
      </c>
      <c r="G28" s="434">
        <f t="shared" ref="G28:P28" si="7">SUM(G25:G27)</f>
        <v>0</v>
      </c>
      <c r="H28" s="434">
        <f t="shared" si="7"/>
        <v>0</v>
      </c>
      <c r="I28" s="434">
        <f t="shared" si="7"/>
        <v>0</v>
      </c>
      <c r="J28" s="434">
        <f t="shared" si="7"/>
        <v>0</v>
      </c>
      <c r="K28" s="434">
        <f t="shared" si="7"/>
        <v>0</v>
      </c>
      <c r="L28" s="434">
        <f t="shared" si="7"/>
        <v>0</v>
      </c>
      <c r="M28" s="434">
        <f t="shared" si="7"/>
        <v>0</v>
      </c>
      <c r="N28" s="434">
        <f t="shared" si="7"/>
        <v>0</v>
      </c>
      <c r="O28" s="434">
        <f t="shared" si="7"/>
        <v>0</v>
      </c>
      <c r="P28" s="434">
        <f t="shared" si="7"/>
        <v>0</v>
      </c>
      <c r="Q28" s="628">
        <f>SUM(Q20:Q24)</f>
        <v>10410.319115867003</v>
      </c>
      <c r="R28" s="366"/>
      <c r="S28" s="357"/>
      <c r="T28" s="8"/>
      <c r="U28" s="8"/>
      <c r="V28" s="8"/>
      <c r="W28" s="8"/>
      <c r="X28" s="8"/>
      <c r="Y28" s="8"/>
      <c r="Z28" s="8"/>
      <c r="AA28" s="8"/>
      <c r="AB28" s="8"/>
      <c r="AC28" s="8"/>
      <c r="AD28" s="8"/>
      <c r="AE28" s="8"/>
      <c r="AF28" s="8"/>
      <c r="AG28" s="8"/>
      <c r="AH28" s="8"/>
      <c r="AI28" s="8"/>
      <c r="AJ28" s="8"/>
      <c r="AK28" s="8"/>
      <c r="AL28" s="8"/>
      <c r="AM28" s="8"/>
    </row>
    <row r="29" spans="1:39" s="7" customFormat="1" ht="36.75" customHeight="1" thickTop="1" thickBot="1">
      <c r="A29" s="9" t="s">
        <v>331</v>
      </c>
      <c r="B29" s="1"/>
      <c r="C29" s="369" t="s">
        <v>30</v>
      </c>
      <c r="D29" s="2"/>
      <c r="E29" s="3"/>
      <c r="F29" s="627">
        <f>SUM(F20:F27)</f>
        <v>1601.9896159917505</v>
      </c>
      <c r="G29" s="627">
        <f>SUM(G20:G27)</f>
        <v>1507.6719157315558</v>
      </c>
      <c r="H29" s="627">
        <f t="shared" ref="H29:P29" si="8">SUM(H20:H27)</f>
        <v>1479.0473754713614</v>
      </c>
      <c r="I29" s="627">
        <f t="shared" si="8"/>
        <v>1348.2334752111672</v>
      </c>
      <c r="J29" s="627">
        <f t="shared" si="8"/>
        <v>1272.1638749509723</v>
      </c>
      <c r="K29" s="627">
        <f t="shared" si="8"/>
        <v>1124.9266846907781</v>
      </c>
      <c r="L29" s="627">
        <f t="shared" si="8"/>
        <v>959.44139443058361</v>
      </c>
      <c r="M29" s="627">
        <f t="shared" si="8"/>
        <v>812.20420417038895</v>
      </c>
      <c r="N29" s="627">
        <f t="shared" si="8"/>
        <v>699.63840391019437</v>
      </c>
      <c r="O29" s="627">
        <f t="shared" si="8"/>
        <v>625.39361364999991</v>
      </c>
      <c r="P29" s="627">
        <f t="shared" si="8"/>
        <v>581.59817365000004</v>
      </c>
      <c r="Q29" s="357"/>
      <c r="R29" s="366"/>
      <c r="S29" s="357"/>
      <c r="T29" s="8"/>
      <c r="U29" s="8"/>
      <c r="V29" s="8"/>
      <c r="W29" s="8"/>
      <c r="X29" s="8"/>
      <c r="Y29" s="8"/>
      <c r="Z29" s="8"/>
      <c r="AA29" s="8"/>
      <c r="AB29" s="8"/>
      <c r="AC29" s="8"/>
      <c r="AD29" s="8"/>
      <c r="AE29" s="8"/>
      <c r="AF29" s="8"/>
      <c r="AG29" s="8"/>
      <c r="AH29" s="8"/>
      <c r="AI29" s="8"/>
      <c r="AJ29" s="8"/>
      <c r="AK29" s="8"/>
      <c r="AL29" s="8"/>
      <c r="AM29" s="8"/>
    </row>
    <row r="30" spans="1:39" s="7" customFormat="1" ht="33" customHeight="1" thickTop="1" thickBot="1">
      <c r="A30" s="184" t="s">
        <v>282</v>
      </c>
      <c r="B30" s="184" t="s">
        <v>304</v>
      </c>
      <c r="C30" s="370"/>
      <c r="D30" s="370"/>
      <c r="E30" s="370"/>
      <c r="F30" s="200" t="str">
        <f>F55</f>
        <v>BASE</v>
      </c>
      <c r="G30" s="200" t="str">
        <f>G67</f>
        <v>CURRENT</v>
      </c>
      <c r="H30" s="200" t="str">
        <f t="shared" ref="H30:P30" si="9">H67</f>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Z30" s="8"/>
      <c r="AA30" s="8"/>
      <c r="AB30" s="8"/>
      <c r="AC30" s="8"/>
      <c r="AD30" s="8"/>
      <c r="AE30" s="8"/>
      <c r="AF30" s="8"/>
      <c r="AG30" s="8"/>
      <c r="AH30" s="8"/>
      <c r="AI30" s="8"/>
      <c r="AJ30" s="8"/>
      <c r="AK30" s="8"/>
      <c r="AL30" s="8"/>
      <c r="AM30" s="8"/>
    </row>
    <row r="31" spans="1:39" s="7" customFormat="1" ht="17.25" customHeight="1" thickTop="1">
      <c r="A31" s="453" t="s">
        <v>332</v>
      </c>
      <c r="B31" s="454"/>
      <c r="C31" s="455"/>
      <c r="S31" s="357"/>
      <c r="T31" s="8"/>
      <c r="U31" s="8"/>
      <c r="V31" s="8"/>
      <c r="W31" s="8"/>
      <c r="X31" s="8"/>
      <c r="Y31" s="8"/>
      <c r="Z31" s="8"/>
      <c r="AA31" s="8"/>
      <c r="AB31" s="8"/>
      <c r="AC31" s="8"/>
      <c r="AD31" s="8"/>
      <c r="AE31" s="8"/>
      <c r="AF31" s="8"/>
      <c r="AG31" s="8"/>
      <c r="AH31" s="8"/>
      <c r="AI31" s="8"/>
      <c r="AJ31" s="8"/>
      <c r="AK31" s="8"/>
      <c r="AL31" s="8"/>
      <c r="AM31" s="8" t="s">
        <v>333</v>
      </c>
    </row>
    <row r="32" spans="1:39" s="7" customFormat="1" ht="17.25" customHeight="1">
      <c r="A32" s="368" t="s">
        <v>30</v>
      </c>
      <c r="B32" s="368" t="s">
        <v>334</v>
      </c>
      <c r="D32" s="491"/>
      <c r="F32" s="424">
        <f>VLOOKUP($A$2,'Costs Summary'!$B$154:$R$176,COLUMNS('Costs Summary'!$B$154:F$176)+1,0)</f>
        <v>469437.38000000006</v>
      </c>
      <c r="G32" s="424">
        <f>VLOOKUP($A$2,'Costs Summary'!$B$154:$R$176,COLUMNS('Costs Summary'!$B$154:G$176)+1,0)</f>
        <v>582184.7376909951</v>
      </c>
      <c r="H32" s="424">
        <f>VLOOKUP($A$2,'Costs Summary'!$B$154:$R$176,COLUMNS('Costs Summary'!$B$154:H$176)+1,0)</f>
        <v>602561.20351017988</v>
      </c>
      <c r="I32" s="424">
        <f>VLOOKUP($A$2,'Costs Summary'!$B$154:$R$176,COLUMNS('Costs Summary'!$B$154:I$176)+1,0)</f>
        <v>623650.84563303611</v>
      </c>
      <c r="J32" s="424">
        <f>VLOOKUP($A$2,'Costs Summary'!$B$154:$R$176,COLUMNS('Costs Summary'!$B$154:J$176)+1,0)</f>
        <v>645478.62523019232</v>
      </c>
      <c r="K32" s="424">
        <f>VLOOKUP($A$2,'Costs Summary'!$B$154:$R$176,COLUMNS('Costs Summary'!$B$154:K$176)+1,0)</f>
        <v>668070.37711324904</v>
      </c>
      <c r="L32" s="424">
        <f>VLOOKUP($A$2,'Costs Summary'!$B$154:$R$176,COLUMNS('Costs Summary'!$B$154:L$176)+1,0)</f>
        <v>691452.84031221271</v>
      </c>
      <c r="M32" s="424">
        <f>VLOOKUP($A$2,'Costs Summary'!$B$154:$R$176,COLUMNS('Costs Summary'!$B$154:M$176)+1,0)</f>
        <v>715653.68972314009</v>
      </c>
      <c r="N32" s="424">
        <f>VLOOKUP($A$2,'Costs Summary'!$B$154:$R$176,COLUMNS('Costs Summary'!$B$154:N$176)+1,0)</f>
        <v>858784.42766776797</v>
      </c>
      <c r="O32" s="424">
        <f>VLOOKUP($A$2,'Costs Summary'!$B$154:$R$176,COLUMNS('Costs Summary'!$B$154:O$176)+1,0)</f>
        <v>888841.88263613987</v>
      </c>
      <c r="P32" s="424">
        <f>VLOOKUP($A$2,'Costs Summary'!$B$154:$R$176,COLUMNS('Costs Summary'!$B$154:P$176)+1,0)</f>
        <v>919951.3485284046</v>
      </c>
      <c r="Q32" s="433">
        <f>SUM(G32:P32)</f>
        <v>7196629.9780453173</v>
      </c>
      <c r="R32" s="366"/>
      <c r="S32" s="357"/>
      <c r="T32" s="8"/>
      <c r="U32" s="8"/>
      <c r="V32" s="8"/>
      <c r="W32" s="8"/>
      <c r="X32" s="8"/>
      <c r="Y32" s="8"/>
      <c r="Z32" s="8"/>
      <c r="AA32" s="8"/>
      <c r="AB32" s="8"/>
      <c r="AC32" s="8"/>
      <c r="AD32" s="8"/>
      <c r="AE32" s="8"/>
      <c r="AF32" s="8"/>
      <c r="AG32" s="8"/>
      <c r="AH32" s="8"/>
      <c r="AI32" s="8"/>
      <c r="AJ32" s="8"/>
      <c r="AK32" s="8"/>
      <c r="AL32" s="8"/>
      <c r="AM32" s="8"/>
    </row>
    <row r="33" spans="1:26" s="7" customFormat="1" ht="17.25" customHeight="1">
      <c r="A33" s="368" t="s">
        <v>284</v>
      </c>
      <c r="B33" s="368" t="s">
        <v>335</v>
      </c>
      <c r="C33" s="423"/>
      <c r="D33" s="492"/>
      <c r="F33" s="424">
        <f>VLOOKUP($A$2,'Costs Summary'!$B$183:$R$205,COLUMNS('Costs Summary'!$B$183:F$205)+1,0)</f>
        <v>41724.339299999992</v>
      </c>
      <c r="G33" s="424">
        <f>VLOOKUP($A$2,'Costs Summary'!$B$183:$R$205,COLUMNS('Costs Summary'!$B$183:G$205)+1,0)</f>
        <v>48668.834703157998</v>
      </c>
      <c r="H33" s="424">
        <f>VLOOKUP($A$2,'Costs Summary'!$B$183:$R$205,COLUMNS('Costs Summary'!$B$183:H$205)+1,0)</f>
        <v>50128.899744252732</v>
      </c>
      <c r="I33" s="424">
        <f>VLOOKUP($A$2,'Costs Summary'!$B$183:$R$205,COLUMNS('Costs Summary'!$B$183:I$205)+1,0)</f>
        <v>51632.766736580314</v>
      </c>
      <c r="J33" s="424">
        <f>VLOOKUP($A$2,'Costs Summary'!$B$183:$R$205,COLUMNS('Costs Summary'!$B$183:J$205)+1,0)</f>
        <v>53181.749738677732</v>
      </c>
      <c r="K33" s="424">
        <f>VLOOKUP($A$2,'Costs Summary'!$B$183:$R$205,COLUMNS('Costs Summary'!$B$183:K$205)+1,0)</f>
        <v>54777.202230838069</v>
      </c>
      <c r="L33" s="424">
        <f>VLOOKUP($A$2,'Costs Summary'!$B$183:$R$205,COLUMNS('Costs Summary'!$B$183:L$205)+1,0)</f>
        <v>56420.518297763214</v>
      </c>
      <c r="M33" s="424">
        <f>VLOOKUP($A$2,'Costs Summary'!$B$183:$R$205,COLUMNS('Costs Summary'!$B$183:M$205)+1,0)</f>
        <v>58113.133846696117</v>
      </c>
      <c r="N33" s="424">
        <f>VLOOKUP($A$2,'Costs Summary'!$B$183:$R$205,COLUMNS('Costs Summary'!$B$183:N$205)+1,0)</f>
        <v>59856.527862097006</v>
      </c>
      <c r="O33" s="424">
        <f>VLOOKUP($A$2,'Costs Summary'!$B$183:$R$205,COLUMNS('Costs Summary'!$B$183:O$205)+1,0)</f>
        <v>61652.223697959911</v>
      </c>
      <c r="P33" s="424">
        <f>VLOOKUP($A$2,'Costs Summary'!$B$183:$R$205,COLUMNS('Costs Summary'!$B$183:P$205)+1,0)</f>
        <v>63501.790408898712</v>
      </c>
      <c r="Q33" s="433">
        <f>SUM(G33:P33)</f>
        <v>557933.64726692182</v>
      </c>
      <c r="R33" s="366"/>
      <c r="S33" s="357"/>
      <c r="T33" s="8"/>
      <c r="U33" s="8"/>
      <c r="V33" s="8"/>
      <c r="W33" s="8"/>
      <c r="X33" s="8"/>
      <c r="Y33" s="8"/>
      <c r="Z33" s="8"/>
    </row>
    <row r="34" spans="1:26" s="7" customFormat="1" ht="17.25" customHeight="1">
      <c r="A34" s="368" t="s">
        <v>284</v>
      </c>
      <c r="B34" s="368" t="s">
        <v>336</v>
      </c>
      <c r="D34" s="491"/>
      <c r="H34" s="424">
        <f>VLOOKUP($A$2,'Costs Summary'!$B$241:$R$263,COLUMNS('Costs Summary'!$B$241:H263)+1,0)</f>
        <v>4992.6108138</v>
      </c>
      <c r="I34" s="424">
        <f>VLOOKUP($A$2,'Costs Summary'!$B$241:$R$263,COLUMNS('Costs Summary'!$B$241:I263)+1,0)</f>
        <v>4992.6108138</v>
      </c>
      <c r="J34" s="424">
        <f>VLOOKUP($A$2,'Costs Summary'!$B$241:$R$263,COLUMNS('Costs Summary'!$B$241:J263)+1,0)</f>
        <v>4992.6108138</v>
      </c>
      <c r="K34" s="424">
        <f>VLOOKUP($A$2,'Costs Summary'!$B$241:$R$263,COLUMNS('Costs Summary'!$B$241:K263)+1,0)</f>
        <v>4992.6108138</v>
      </c>
      <c r="L34" s="424">
        <f>VLOOKUP($A$2,'Costs Summary'!$B$241:$R$263,COLUMNS('Costs Summary'!$B$241:L263)+1,0)</f>
        <v>4992.6108138</v>
      </c>
      <c r="M34" s="424">
        <f>VLOOKUP($A$2,'Costs Summary'!$B$241:$R$263,COLUMNS('Costs Summary'!$B$241:M263)+1,0)</f>
        <v>4992.6108138</v>
      </c>
      <c r="N34" s="424">
        <f>VLOOKUP($A$2,'Costs Summary'!$B$241:$R$263,COLUMNS('Costs Summary'!$B$241:N263)+1,0)</f>
        <v>4992.6108138</v>
      </c>
      <c r="O34" s="424">
        <f>VLOOKUP($A$2,'Costs Summary'!$B$241:$R$263,COLUMNS('Costs Summary'!$B$241:O263)+1,0)</f>
        <v>4992.6108138</v>
      </c>
      <c r="P34" s="424">
        <f>VLOOKUP($A$2,'Costs Summary'!$B$241:$R$263,COLUMNS('Costs Summary'!$B$241:P263)+1,0)</f>
        <v>4992.6108138</v>
      </c>
      <c r="Q34" s="433">
        <f>SUM(G34:P34)</f>
        <v>44933.497324199991</v>
      </c>
      <c r="R34" s="366"/>
      <c r="S34" s="357"/>
      <c r="T34" s="8"/>
      <c r="U34" s="8"/>
      <c r="V34" s="8"/>
      <c r="W34" s="8"/>
      <c r="X34" s="8"/>
      <c r="Y34" s="8"/>
      <c r="Z34" s="8"/>
    </row>
    <row r="35" spans="1:26" s="7" customFormat="1" ht="17.25" customHeight="1">
      <c r="A35" s="419" t="s">
        <v>319</v>
      </c>
      <c r="B35" s="419" t="s">
        <v>337</v>
      </c>
      <c r="C35" s="423"/>
      <c r="D35" s="492"/>
      <c r="F35" s="423"/>
      <c r="G35" s="423"/>
      <c r="H35" s="424">
        <f>VLOOKUP($A$2,'Costs Summary'!$B$212:$R$234,COLUMNS('Costs Summary'!$B$212:H$234)+1,0)</f>
        <v>3823.5537144816944</v>
      </c>
      <c r="I35" s="424">
        <f>VLOOKUP($A$2,'Costs Summary'!$B$212:$R$234,COLUMNS('Costs Summary'!$B$212:I$234)+1,0)</f>
        <v>3419.9444988700234</v>
      </c>
      <c r="J35" s="424">
        <f>VLOOKUP($A$2,'Costs Summary'!$B$212:$R$234,COLUMNS('Costs Summary'!$B$212:J$234)+1,0)</f>
        <v>3016.3352832583523</v>
      </c>
      <c r="K35" s="424">
        <f>VLOOKUP($A$2,'Costs Summary'!$B$212:$R$234,COLUMNS('Costs Summary'!$B$212:K$234)+1,0)</f>
        <v>2612.7260676466822</v>
      </c>
      <c r="L35" s="424">
        <f>VLOOKUP($A$2,'Costs Summary'!$B$212:$R$234,COLUMNS('Costs Summary'!$B$212:L$234)+1,0)</f>
        <v>2209.1168520350116</v>
      </c>
      <c r="M35" s="424">
        <f>VLOOKUP($A$2,'Costs Summary'!$B$212:$R$234,COLUMNS('Costs Summary'!$B$212:M$234)+1,0)</f>
        <v>1805.5076364233405</v>
      </c>
      <c r="N35" s="424">
        <f>VLOOKUP($A$2,'Costs Summary'!$B$212:$R$234,COLUMNS('Costs Summary'!$B$212:N$234)+1,0)</f>
        <v>1401.8984208116699</v>
      </c>
      <c r="O35" s="424">
        <f>VLOOKUP($A$2,'Costs Summary'!$B$212:$R$234,COLUMNS('Costs Summary'!$B$212:O$234)+1,0)</f>
        <v>998.28920519999929</v>
      </c>
      <c r="P35" s="424">
        <f>VLOOKUP($A$2,'Costs Summary'!$B$212:$R$234,COLUMNS('Costs Summary'!$B$212:P$234)+1,0)</f>
        <v>998.28920519999986</v>
      </c>
      <c r="Q35" s="433">
        <f>SUM(G35:P35)</f>
        <v>20285.660883926772</v>
      </c>
      <c r="R35" s="366"/>
      <c r="S35" s="357"/>
      <c r="T35" s="8"/>
      <c r="U35" s="8"/>
      <c r="V35" s="8"/>
      <c r="W35" s="8"/>
      <c r="X35" s="8"/>
      <c r="Y35" s="8"/>
      <c r="Z35" s="8"/>
    </row>
    <row r="36" spans="1:26" s="7" customFormat="1" ht="17.25" customHeight="1" thickBot="1">
      <c r="A36" s="437" t="s">
        <v>338</v>
      </c>
      <c r="C36" s="423"/>
      <c r="E36" s="493" t="s">
        <v>339</v>
      </c>
      <c r="F36" s="461">
        <f t="shared" ref="F36:Q36" si="10">SUM(F32:F35)</f>
        <v>511161.71930000006</v>
      </c>
      <c r="G36" s="461">
        <f t="shared" si="10"/>
        <v>630853.5723941531</v>
      </c>
      <c r="H36" s="461">
        <f t="shared" si="10"/>
        <v>661506.26778271422</v>
      </c>
      <c r="I36" s="461">
        <f t="shared" si="10"/>
        <v>683696.16768228647</v>
      </c>
      <c r="J36" s="461">
        <f t="shared" si="10"/>
        <v>706669.32106592844</v>
      </c>
      <c r="K36" s="461">
        <f t="shared" si="10"/>
        <v>730452.9162255337</v>
      </c>
      <c r="L36" s="461">
        <f t="shared" si="10"/>
        <v>755075.08627581096</v>
      </c>
      <c r="M36" s="461">
        <f t="shared" si="10"/>
        <v>780564.94202005956</v>
      </c>
      <c r="N36" s="461">
        <f t="shared" si="10"/>
        <v>925035.46476447664</v>
      </c>
      <c r="O36" s="461">
        <f t="shared" si="10"/>
        <v>956485.00635309983</v>
      </c>
      <c r="P36" s="461">
        <f t="shared" si="10"/>
        <v>989444.03895630338</v>
      </c>
      <c r="Q36" s="462">
        <f t="shared" si="10"/>
        <v>7819782.7835203661</v>
      </c>
      <c r="R36" s="366"/>
      <c r="S36" s="357"/>
      <c r="T36" s="8"/>
      <c r="U36" s="8"/>
      <c r="V36" s="8"/>
      <c r="W36" s="8"/>
      <c r="X36" s="8"/>
      <c r="Y36" s="8"/>
      <c r="Z36" s="8"/>
    </row>
    <row r="37" spans="1:26" s="7" customFormat="1" ht="17.25" customHeight="1" thickTop="1" thickBot="1">
      <c r="C37" s="423"/>
      <c r="E37" s="493" t="s">
        <v>340</v>
      </c>
      <c r="F37" s="468">
        <f>F36/(VLOOKUP($A$2,'Asset Attributes'!$B$3:$D$25,3,0))</f>
        <v>17.525945254748681</v>
      </c>
      <c r="G37" s="468">
        <f>G36/(VLOOKUP($A$2,'Asset Attributes'!$B$3:$D$25,3,0))</f>
        <v>21.629759733736307</v>
      </c>
      <c r="H37" s="468">
        <f>H36/(VLOOKUP($A$2,'Asset Attributes'!$B$3:$D$25,3,0))</f>
        <v>22.680733312168766</v>
      </c>
      <c r="I37" s="468">
        <f>I36/(VLOOKUP($A$2,'Asset Attributes'!$B$3:$D$25,3,0))</f>
        <v>23.441547270187424</v>
      </c>
      <c r="J37" s="468">
        <f>J36/(VLOOKUP($A$2,'Asset Attributes'!$B$3:$D$25,3,0))</f>
        <v>24.229216247203198</v>
      </c>
      <c r="K37" s="468">
        <f>K36/(VLOOKUP($A$2,'Asset Attributes'!$B$3:$D$25,3,0))</f>
        <v>25.044672434531087</v>
      </c>
      <c r="L37" s="468">
        <f>L36/(VLOOKUP($A$2,'Asset Attributes'!$B$3:$D$25,3,0))</f>
        <v>25.888880418151647</v>
      </c>
      <c r="M37" s="468">
        <f>M36/(VLOOKUP($A$2,'Asset Attributes'!$B$3:$D$25,3,0))</f>
        <v>26.762838305563314</v>
      </c>
      <c r="N37" s="468">
        <f>N36/(VLOOKUP($A$2,'Asset Attributes'!$B$3:$D$25,3,0))</f>
        <v>31.716226591389859</v>
      </c>
      <c r="O37" s="468">
        <f>O36/(VLOOKUP($A$2,'Asset Attributes'!$B$3:$D$25,3,0))</f>
        <v>32.794521235448805</v>
      </c>
      <c r="P37" s="468">
        <f>P36/(VLOOKUP($A$2,'Asset Attributes'!$B$3:$D$25,3,0))</f>
        <v>33.924571040125606</v>
      </c>
      <c r="Q37" s="460"/>
      <c r="R37" s="366"/>
      <c r="S37" s="357"/>
      <c r="T37" s="8"/>
      <c r="U37" s="8"/>
      <c r="V37" s="8"/>
      <c r="W37" s="8"/>
      <c r="X37" s="8"/>
      <c r="Y37" s="8"/>
      <c r="Z37" s="8"/>
    </row>
    <row r="38" spans="1:26" s="7" customFormat="1" ht="17.25" customHeight="1" thickTop="1">
      <c r="A38" s="436" t="s">
        <v>341</v>
      </c>
      <c r="E38" s="491"/>
      <c r="R38" s="366"/>
      <c r="S38" s="357"/>
      <c r="T38" s="8"/>
      <c r="U38" s="8"/>
      <c r="V38" s="8"/>
      <c r="W38" s="8"/>
      <c r="X38" s="8"/>
      <c r="Y38" s="8"/>
      <c r="Z38" s="8"/>
    </row>
    <row r="39" spans="1:26" s="7" customFormat="1" ht="17.25" customHeight="1">
      <c r="A39" s="368" t="str">
        <f>VLOOKUP($A$2,'Asset Attributes'!$B$3:$D$25,2,0)</f>
        <v>NSW2</v>
      </c>
      <c r="B39" s="368" t="s">
        <v>342</v>
      </c>
      <c r="C39" s="423"/>
      <c r="E39" s="493"/>
      <c r="F39" s="424">
        <f>VLOOKUP($A$2,'Costs Summary'!$B$4:$R$26,COLUMNS('Costs Summary'!$B$4:F$26)+1,0)</f>
        <v>469437.38000000006</v>
      </c>
      <c r="G39" s="424">
        <f>VLOOKUP($A$2,'Costs Summary'!$B$4:$R$26,COLUMNS('Costs Summary'!$B$4:G$26)+1,0)</f>
        <v>575803.96667712519</v>
      </c>
      <c r="H39" s="424">
        <f>VLOOKUP($A$2,'Costs Summary'!$B$4:$R$26,COLUMNS('Costs Summary'!$B$4:H$26)+1,0)</f>
        <v>595957.10551082448</v>
      </c>
      <c r="I39" s="424">
        <f>VLOOKUP($A$2,'Costs Summary'!$B$4:$R$26,COLUMNS('Costs Summary'!$B$4:I$26)+1,0)</f>
        <v>432264.08561171871</v>
      </c>
      <c r="J39" s="424">
        <f>VLOOKUP($A$2,'Costs Summary'!$B$4:$R$26,COLUMNS('Costs Summary'!$B$4:J$26)+1,0)</f>
        <v>429707.14140973031</v>
      </c>
      <c r="K39" s="424">
        <f>VLOOKUP($A$2,'Costs Summary'!$B$4:$R$26,COLUMNS('Costs Summary'!$B$4:K$26)+1,0)</f>
        <v>437424.80985893379</v>
      </c>
      <c r="L39" s="424">
        <f>VLOOKUP($A$2,'Costs Summary'!$B$4:$R$26,COLUMNS('Costs Summary'!$B$4:L$26)+1,0)</f>
        <v>452734.67820399645</v>
      </c>
      <c r="M39" s="424">
        <f>VLOOKUP($A$2,'Costs Summary'!$B$4:$R$26,COLUMNS('Costs Summary'!$B$4:M$26)+1,0)</f>
        <v>464658.59356364422</v>
      </c>
      <c r="N39" s="424">
        <f>VLOOKUP($A$2,'Costs Summary'!$B$4:$R$26,COLUMNS('Costs Summary'!$B$4:N$26)+1,0)</f>
        <v>491704.09953450534</v>
      </c>
      <c r="O39" s="424">
        <f>VLOOKUP($A$2,'Costs Summary'!$B$4:$R$26,COLUMNS('Costs Summary'!$B$4:O$26)+1,0)</f>
        <v>508913.74301821296</v>
      </c>
      <c r="P39" s="424">
        <f>VLOOKUP($A$2,'Costs Summary'!$B$4:$R$26,COLUMNS('Costs Summary'!$B$4:P$26)+1,0)</f>
        <v>526725.7240238504</v>
      </c>
      <c r="Q39" s="433">
        <f>SUM(G39:P39)</f>
        <v>4915893.9474125421</v>
      </c>
      <c r="R39" s="366"/>
      <c r="S39" s="357"/>
      <c r="T39" s="8"/>
      <c r="U39" s="8"/>
      <c r="V39" s="8"/>
      <c r="W39" s="8"/>
      <c r="X39" s="8"/>
      <c r="Y39" s="8"/>
      <c r="Z39" s="8"/>
    </row>
    <row r="40" spans="1:26" s="7" customFormat="1" ht="17.25" customHeight="1">
      <c r="A40" s="368" t="s">
        <v>284</v>
      </c>
      <c r="B40" s="368" t="s">
        <v>343</v>
      </c>
      <c r="C40" s="423"/>
      <c r="E40" s="492"/>
      <c r="F40" s="424">
        <f>VLOOKUP($A$2,'Costs Summary'!$B$33:$R$55,COLUMNS('Costs Summary'!$B$33:F$55)+1,0)</f>
        <v>41724.339299999992</v>
      </c>
      <c r="G40" s="424">
        <f>VLOOKUP($A$2,'Costs Summary'!$B$33:$R$55,COLUMNS('Costs Summary'!$B$33:G$55)+1,0)</f>
        <v>48668.834703157998</v>
      </c>
      <c r="H40" s="424">
        <f>VLOOKUP($A$2,'Costs Summary'!$B$33:$R$55,COLUMNS('Costs Summary'!$B$33:H$55)+1,0)</f>
        <v>50128.899744252732</v>
      </c>
      <c r="I40" s="424">
        <f>VLOOKUP($A$2,'Costs Summary'!$B$33:$R$55,COLUMNS('Costs Summary'!$B$33:I$55)+1,0)</f>
        <v>51632.766736580314</v>
      </c>
      <c r="J40" s="424">
        <f>VLOOKUP($A$2,'Costs Summary'!$B$33:$R$55,COLUMNS('Costs Summary'!$B$33:J$55)+1,0)</f>
        <v>37109.890363393417</v>
      </c>
      <c r="K40" s="424">
        <f>VLOOKUP($A$2,'Costs Summary'!$B$33:$R$55,COLUMNS('Costs Summary'!$B$33:K$55)+1,0)</f>
        <v>36934.144910466064</v>
      </c>
      <c r="L40" s="424">
        <f>VLOOKUP($A$2,'Costs Summary'!$B$33:$R$55,COLUMNS('Costs Summary'!$B$33:L$55)+1,0)</f>
        <v>36714.455829036022</v>
      </c>
      <c r="M40" s="424">
        <f>VLOOKUP($A$2,'Costs Summary'!$B$33:$R$55,COLUMNS('Costs Summary'!$B$33:M$55)+1,0)</f>
        <v>36448.344672300751</v>
      </c>
      <c r="N40" s="424">
        <f>VLOOKUP($A$2,'Costs Summary'!$B$33:$R$55,COLUMNS('Costs Summary'!$B$33:N$55)+1,0)</f>
        <v>17599.39256546073</v>
      </c>
      <c r="O40" s="424">
        <f>VLOOKUP($A$2,'Costs Summary'!$B$33:$R$55,COLUMNS('Costs Summary'!$B$33:O$55)+1,0)</f>
        <v>18127.374342424548</v>
      </c>
      <c r="P40" s="424">
        <f>VLOOKUP($A$2,'Costs Summary'!$B$33:$R$55,COLUMNS('Costs Summary'!$B$33:P$55)+1,0)</f>
        <v>18671.195572697288</v>
      </c>
      <c r="Q40" s="433">
        <f>SUM(G40:P40)</f>
        <v>352035.29943976988</v>
      </c>
      <c r="R40" s="366"/>
      <c r="S40" s="357"/>
      <c r="T40" s="8"/>
      <c r="U40" s="8"/>
      <c r="V40" s="8"/>
      <c r="W40" s="8"/>
      <c r="X40" s="8"/>
      <c r="Y40" s="8"/>
      <c r="Z40" s="8"/>
    </row>
    <row r="41" spans="1:26" s="7" customFormat="1" ht="17.25" customHeight="1">
      <c r="A41" s="368" t="s">
        <v>284</v>
      </c>
      <c r="B41" s="368" t="s">
        <v>336</v>
      </c>
      <c r="E41" s="491"/>
      <c r="H41" s="424">
        <f>VLOOKUP($A$2,'Costs Summary'!$B$125:$R$147,COLUMNS('Costs Summary'!$B$125:H$147)+1,0)</f>
        <v>4992.6108138</v>
      </c>
      <c r="I41" s="424">
        <f>VLOOKUP($A$2,'Costs Summary'!$B$125:$R$147,COLUMNS('Costs Summary'!$B$125:I$147)+1,0)</f>
        <v>4992.6108138</v>
      </c>
      <c r="J41" s="424">
        <f>VLOOKUP($A$2,'Costs Summary'!$B$125:$R$147,COLUMNS('Costs Summary'!$B$125:J$147)+1,0)</f>
        <v>3483.8124138000003</v>
      </c>
      <c r="K41" s="424">
        <f>VLOOKUP($A$2,'Costs Summary'!$B$125:$R$147,COLUMNS('Costs Summary'!$B$125:K$147)+1,0)</f>
        <v>3366.3240138000001</v>
      </c>
      <c r="L41" s="424">
        <f>VLOOKUP($A$2,'Costs Summary'!$B$125:$R$147,COLUMNS('Costs Summary'!$B$125:L$147)+1,0)</f>
        <v>3248.8356137999999</v>
      </c>
      <c r="M41" s="424">
        <f>VLOOKUP($A$2,'Costs Summary'!$B$125:$R$147,COLUMNS('Costs Summary'!$B$125:M$147)+1,0)</f>
        <v>3131.3472138000002</v>
      </c>
      <c r="N41" s="424">
        <f>VLOOKUP($A$2,'Costs Summary'!$B$125:$R$147,COLUMNS('Costs Summary'!$B$125:N$147)+1,0)</f>
        <v>1467.9588137999997</v>
      </c>
      <c r="O41" s="424">
        <f>VLOOKUP($A$2,'Costs Summary'!$B$125:$R$147,COLUMNS('Costs Summary'!$B$125:O$147)+1,0)</f>
        <v>1467.9588137999997</v>
      </c>
      <c r="P41" s="424">
        <f>VLOOKUP($A$2,'Costs Summary'!$B$125:$R$147,COLUMNS('Costs Summary'!$B$125:P$147)+1,0)</f>
        <v>1467.9588137999997</v>
      </c>
      <c r="Q41" s="433">
        <f t="shared" ref="Q41:Q42" si="11">SUM(G41:P41)</f>
        <v>27619.4173242</v>
      </c>
      <c r="R41" s="366"/>
      <c r="S41" s="357"/>
      <c r="T41" s="8"/>
      <c r="U41" s="8"/>
      <c r="V41" s="8"/>
      <c r="W41" s="8"/>
      <c r="X41" s="8"/>
      <c r="Y41" s="8"/>
      <c r="Z41" s="8"/>
    </row>
    <row r="42" spans="1:26" s="7" customFormat="1" ht="17.25" customHeight="1">
      <c r="A42" s="419" t="s">
        <v>319</v>
      </c>
      <c r="B42" s="419" t="s">
        <v>337</v>
      </c>
      <c r="C42" s="423"/>
      <c r="E42" s="492"/>
      <c r="F42" s="423"/>
      <c r="G42" s="423"/>
      <c r="H42" s="424">
        <f>VLOOKUP($A$2,'Costs Summary'!$B$212:$R$234,COLUMNS('Costs Summary'!$B$212:H$234)+1,0)</f>
        <v>3823.5537144816944</v>
      </c>
      <c r="I42" s="424">
        <f>VLOOKUP($A$2,'Costs Summary'!$B$212:$R$234,COLUMNS('Costs Summary'!$B$212:I$234)+1,0)</f>
        <v>3419.9444988700234</v>
      </c>
      <c r="J42" s="424">
        <f>VLOOKUP($A$2,'Costs Summary'!$B$212:$R$234,COLUMNS('Costs Summary'!$B$212:J$234)+1,0)</f>
        <v>3016.3352832583523</v>
      </c>
      <c r="K42" s="424">
        <f>VLOOKUP($A$2,'Costs Summary'!$B$212:$R$234,COLUMNS('Costs Summary'!$B$212:K$234)+1,0)</f>
        <v>2612.7260676466822</v>
      </c>
      <c r="L42" s="424">
        <f>VLOOKUP($A$2,'Costs Summary'!$B$212:$R$234,COLUMNS('Costs Summary'!$B$212:L$234)+1,0)</f>
        <v>2209.1168520350116</v>
      </c>
      <c r="M42" s="424">
        <f>VLOOKUP($A$2,'Costs Summary'!$B$212:$R$234,COLUMNS('Costs Summary'!$B$212:M$234)+1,0)</f>
        <v>1805.5076364233405</v>
      </c>
      <c r="N42" s="424">
        <f>VLOOKUP($A$2,'Costs Summary'!$B$212:$R$234,COLUMNS('Costs Summary'!$B$212:N$234)+1,0)</f>
        <v>1401.8984208116699</v>
      </c>
      <c r="O42" s="424">
        <f>VLOOKUP($A$2,'Costs Summary'!$B$212:$R$234,COLUMNS('Costs Summary'!$B$212:O$234)+1,0)</f>
        <v>998.28920519999929</v>
      </c>
      <c r="P42" s="424">
        <f>VLOOKUP($A$2,'Costs Summary'!$B$212:$R$234,COLUMNS('Costs Summary'!$B$212:P$234)+1,0)</f>
        <v>998.28920519999986</v>
      </c>
      <c r="Q42" s="433">
        <f t="shared" si="11"/>
        <v>20285.660883926772</v>
      </c>
      <c r="R42" s="366"/>
      <c r="S42" s="357"/>
      <c r="T42" s="8"/>
      <c r="U42" s="8"/>
      <c r="V42" s="8"/>
      <c r="W42" s="8"/>
      <c r="X42" s="8"/>
      <c r="Y42" s="8"/>
      <c r="Z42" s="8"/>
    </row>
    <row r="43" spans="1:26" s="7" customFormat="1" ht="17.25" customHeight="1" thickBot="1">
      <c r="A43" s="437" t="s">
        <v>338</v>
      </c>
      <c r="E43" s="493" t="s">
        <v>339</v>
      </c>
      <c r="F43" s="461">
        <f t="shared" ref="F43:Q43" si="12">SUM(F39:F42)</f>
        <v>511161.71930000006</v>
      </c>
      <c r="G43" s="461">
        <f t="shared" si="12"/>
        <v>624472.8013802832</v>
      </c>
      <c r="H43" s="461">
        <f t="shared" si="12"/>
        <v>654902.16978335893</v>
      </c>
      <c r="I43" s="461">
        <f t="shared" si="12"/>
        <v>492309.40766096901</v>
      </c>
      <c r="J43" s="461">
        <f t="shared" si="12"/>
        <v>473317.17947018205</v>
      </c>
      <c r="K43" s="461">
        <f t="shared" si="12"/>
        <v>480338.00485084654</v>
      </c>
      <c r="L43" s="461">
        <f t="shared" si="12"/>
        <v>494907.08649886743</v>
      </c>
      <c r="M43" s="461">
        <f t="shared" si="12"/>
        <v>506043.7930861683</v>
      </c>
      <c r="N43" s="461">
        <f t="shared" si="12"/>
        <v>512173.34933457774</v>
      </c>
      <c r="O43" s="461">
        <f t="shared" si="12"/>
        <v>529507.36537963757</v>
      </c>
      <c r="P43" s="461">
        <f t="shared" si="12"/>
        <v>547863.16761554778</v>
      </c>
      <c r="Q43" s="462">
        <f t="shared" si="12"/>
        <v>5315834.3250604393</v>
      </c>
      <c r="R43" s="366"/>
      <c r="S43" s="357"/>
      <c r="T43" s="8"/>
      <c r="U43" s="8"/>
      <c r="V43" s="8"/>
      <c r="W43" s="8"/>
      <c r="X43" s="8"/>
      <c r="Y43" s="8"/>
      <c r="Z43" s="8"/>
    </row>
    <row r="44" spans="1:26" s="7" customFormat="1" ht="17.25" customHeight="1" thickTop="1" thickBot="1">
      <c r="E44" s="493" t="s">
        <v>340</v>
      </c>
      <c r="F44" s="468">
        <f>F43/(VLOOKUP($A$2,'Asset Attributes'!$B$3:$D$25,3,0))</f>
        <v>17.525945254748681</v>
      </c>
      <c r="G44" s="468">
        <f>G43/(VLOOKUP($A$2,'Asset Attributes'!$B$3:$D$25,3,0))</f>
        <v>21.410985441276939</v>
      </c>
      <c r="H44" s="468">
        <f>H43/(VLOOKUP($A$2,'Asset Attributes'!$B$3:$D$25,3,0))</f>
        <v>22.454301919473323</v>
      </c>
      <c r="I44" s="468">
        <f>I43/(VLOOKUP($A$2,'Asset Attributes'!$B$3:$D$25,3,0))</f>
        <v>16.879565509873448</v>
      </c>
      <c r="J44" s="468">
        <f>J43/(VLOOKUP($A$2,'Asset Attributes'!$B$3:$D$25,3,0))</f>
        <v>16.228388516429476</v>
      </c>
      <c r="K44" s="468">
        <f>K43/(VLOOKUP($A$2,'Asset Attributes'!$B$3:$D$25,3,0))</f>
        <v>16.469108031641177</v>
      </c>
      <c r="L44" s="468">
        <f>L43/(VLOOKUP($A$2,'Asset Attributes'!$B$3:$D$25,3,0))</f>
        <v>16.968630820094198</v>
      </c>
      <c r="M44" s="468">
        <f>M43/(VLOOKUP($A$2,'Asset Attributes'!$B$3:$D$25,3,0))</f>
        <v>17.35046948797121</v>
      </c>
      <c r="N44" s="468">
        <f>N43/(VLOOKUP($A$2,'Asset Attributes'!$B$3:$D$25,3,0))</f>
        <v>17.560630505882799</v>
      </c>
      <c r="O44" s="468">
        <f>O43/(VLOOKUP($A$2,'Asset Attributes'!$B$3:$D$25,3,0))</f>
        <v>18.154953211946705</v>
      </c>
      <c r="P44" s="468">
        <f>P43/(VLOOKUP($A$2,'Asset Attributes'!$B$3:$D$25,3,0))</f>
        <v>18.784309388176226</v>
      </c>
      <c r="Q44" s="460">
        <f>Q43/(VLOOKUP($A$2,'Asset Attributes'!$B$3:$D$25,3,0))</f>
        <v>182.26134283276554</v>
      </c>
      <c r="R44" s="366"/>
      <c r="S44" s="357"/>
      <c r="T44" s="8"/>
      <c r="U44" s="8"/>
      <c r="V44" s="8"/>
      <c r="W44" s="8"/>
      <c r="X44" s="8"/>
      <c r="Y44" s="8"/>
      <c r="Z44" s="8"/>
    </row>
    <row r="45" spans="1:26" s="7" customFormat="1" ht="17.25" customHeight="1" thickTop="1">
      <c r="B45" s="1"/>
      <c r="C45" s="2"/>
      <c r="E45" s="494"/>
      <c r="F45" s="430"/>
      <c r="R45" s="366"/>
      <c r="S45" s="357"/>
      <c r="T45" s="8"/>
      <c r="U45" s="8"/>
      <c r="V45" s="8"/>
      <c r="W45" s="8"/>
      <c r="X45" s="8"/>
      <c r="Y45" s="8"/>
      <c r="Z45" s="8"/>
    </row>
    <row r="46" spans="1:26" s="7" customFormat="1" ht="17.25" customHeight="1" thickBot="1">
      <c r="A46" s="9"/>
      <c r="B46" s="1"/>
      <c r="C46" s="2"/>
      <c r="E46" s="493" t="s">
        <v>344</v>
      </c>
      <c r="F46" s="461">
        <f>F43-F36</f>
        <v>0</v>
      </c>
      <c r="G46" s="461">
        <f t="shared" ref="G46:P46" si="13">G43-G36</f>
        <v>-6380.771013869904</v>
      </c>
      <c r="H46" s="461">
        <f t="shared" si="13"/>
        <v>-6604.0979993552901</v>
      </c>
      <c r="I46" s="461">
        <f t="shared" si="13"/>
        <v>-191386.76002131746</v>
      </c>
      <c r="J46" s="461">
        <f t="shared" si="13"/>
        <v>-233352.14159574639</v>
      </c>
      <c r="K46" s="461">
        <f t="shared" si="13"/>
        <v>-250114.91137468716</v>
      </c>
      <c r="L46" s="461">
        <f t="shared" si="13"/>
        <v>-260167.99977694353</v>
      </c>
      <c r="M46" s="461">
        <f t="shared" si="13"/>
        <v>-274521.14893389127</v>
      </c>
      <c r="N46" s="461">
        <f t="shared" si="13"/>
        <v>-412862.1154298989</v>
      </c>
      <c r="O46" s="461">
        <f t="shared" si="13"/>
        <v>-426977.64097346226</v>
      </c>
      <c r="P46" s="461">
        <f t="shared" si="13"/>
        <v>-441580.87134075561</v>
      </c>
      <c r="Q46" s="462">
        <f>SUM(F46:P46)</f>
        <v>-2503948.4584599277</v>
      </c>
      <c r="R46" s="420"/>
      <c r="S46" s="357"/>
      <c r="T46" s="8"/>
      <c r="U46" s="8"/>
      <c r="V46" s="8"/>
      <c r="W46" s="8"/>
      <c r="X46" s="8"/>
      <c r="Y46" s="8"/>
      <c r="Z46" s="8"/>
    </row>
    <row r="47" spans="1:26" s="7" customFormat="1" ht="17.25" customHeight="1" thickTop="1" thickBot="1">
      <c r="A47" s="9"/>
      <c r="B47" s="1"/>
      <c r="C47" s="2"/>
      <c r="E47" s="493" t="s">
        <v>340</v>
      </c>
      <c r="F47" s="468">
        <f>F46/(VLOOKUP($A$2,'Asset Attributes'!$B$3:$D$25,3,0))</f>
        <v>0</v>
      </c>
      <c r="G47" s="468">
        <f>G46/(VLOOKUP($A$2,'Asset Attributes'!$B$3:$D$25,3,0))</f>
        <v>-0.21877429245936722</v>
      </c>
      <c r="H47" s="468">
        <f>H46/(VLOOKUP($A$2,'Asset Attributes'!$B$3:$D$25,3,0))</f>
        <v>-0.22643139269544299</v>
      </c>
      <c r="I47" s="468">
        <f>I46/(VLOOKUP($A$2,'Asset Attributes'!$B$3:$D$25,3,0))</f>
        <v>-6.5619817603139774</v>
      </c>
      <c r="J47" s="468">
        <f>J46/(VLOOKUP($A$2,'Asset Attributes'!$B$3:$D$25,3,0))</f>
        <v>-8.0008277307737217</v>
      </c>
      <c r="K47" s="468">
        <f>K46/(VLOOKUP($A$2,'Asset Attributes'!$B$3:$D$25,3,0))</f>
        <v>-8.5755644028899116</v>
      </c>
      <c r="L47" s="468">
        <f>L46/(VLOOKUP($A$2,'Asset Attributes'!$B$3:$D$25,3,0))</f>
        <v>-8.9202495980574472</v>
      </c>
      <c r="M47" s="468">
        <f>M46/(VLOOKUP($A$2,'Asset Attributes'!$B$3:$D$25,3,0))</f>
        <v>-9.4123688175921032</v>
      </c>
      <c r="N47" s="468">
        <f>N46/(VLOOKUP($A$2,'Asset Attributes'!$B$3:$D$25,3,0))</f>
        <v>-14.15559608550706</v>
      </c>
      <c r="O47" s="468">
        <f>O46/(VLOOKUP($A$2,'Asset Attributes'!$B$3:$D$25,3,0))</f>
        <v>-14.6395680235021</v>
      </c>
      <c r="P47" s="468">
        <f>P46/(VLOOKUP($A$2,'Asset Attributes'!$B$3:$D$25,3,0))</f>
        <v>-15.14026165194938</v>
      </c>
      <c r="Q47" s="460">
        <f>Q46/(VLOOKUP($A$2,'Asset Attributes'!$B$3:$D$25,3,0))</f>
        <v>-85.851623755740505</v>
      </c>
      <c r="R47" s="366"/>
      <c r="S47" s="357"/>
      <c r="T47" s="8"/>
      <c r="U47" s="8"/>
      <c r="V47" s="8"/>
      <c r="W47" s="8"/>
      <c r="X47" s="8"/>
      <c r="Y47" s="8"/>
      <c r="Z47" s="8"/>
    </row>
    <row r="48" spans="1:26" s="7" customFormat="1" ht="17.25" customHeight="1" thickTop="1">
      <c r="A48" s="436" t="s">
        <v>345</v>
      </c>
      <c r="B48" s="1"/>
      <c r="C48" s="2"/>
      <c r="E48" s="493"/>
      <c r="F48" s="431"/>
      <c r="G48" s="431"/>
      <c r="H48" s="431"/>
      <c r="I48" s="431"/>
      <c r="J48" s="431"/>
      <c r="K48" s="431"/>
      <c r="L48" s="431"/>
      <c r="M48" s="431"/>
      <c r="N48" s="431"/>
      <c r="O48" s="431"/>
      <c r="P48" s="431"/>
      <c r="Q48" s="357"/>
      <c r="R48" s="366"/>
      <c r="S48" s="357"/>
      <c r="T48" s="8"/>
      <c r="U48" s="8"/>
      <c r="V48" s="8"/>
      <c r="W48" s="8"/>
      <c r="X48" s="8"/>
      <c r="Y48" s="8"/>
      <c r="Z48" s="8"/>
    </row>
    <row r="49" spans="1:26" s="7" customFormat="1" ht="17.25" customHeight="1">
      <c r="B49" s="368" t="s">
        <v>346</v>
      </c>
      <c r="C49" s="2"/>
      <c r="E49" s="493" t="s">
        <v>347</v>
      </c>
      <c r="F49" s="463"/>
      <c r="G49" s="464">
        <f t="shared" ref="G49:P49" si="14">G115</f>
        <v>173896</v>
      </c>
      <c r="H49" s="464">
        <f t="shared" si="14"/>
        <v>2346400</v>
      </c>
      <c r="I49" s="464">
        <f t="shared" si="14"/>
        <v>2430800</v>
      </c>
      <c r="J49" s="464">
        <f t="shared" si="14"/>
        <v>1100000</v>
      </c>
      <c r="K49" s="464">
        <f t="shared" si="14"/>
        <v>1100000</v>
      </c>
      <c r="L49" s="464">
        <f t="shared" si="14"/>
        <v>1100000</v>
      </c>
      <c r="M49" s="464">
        <f t="shared" si="14"/>
        <v>1100000</v>
      </c>
      <c r="N49" s="464">
        <f t="shared" si="14"/>
        <v>0</v>
      </c>
      <c r="O49" s="464">
        <f t="shared" si="14"/>
        <v>1542000</v>
      </c>
      <c r="P49" s="464">
        <f t="shared" si="14"/>
        <v>0</v>
      </c>
      <c r="Q49" s="465">
        <f>+SUM(F49:P49)</f>
        <v>10893096</v>
      </c>
      <c r="R49" s="366"/>
      <c r="S49" s="357"/>
      <c r="T49" s="8"/>
      <c r="U49" s="8"/>
      <c r="V49" s="8"/>
      <c r="W49" s="8"/>
      <c r="X49" s="8"/>
      <c r="Y49" s="8"/>
      <c r="Z49" s="8"/>
    </row>
    <row r="50" spans="1:26" s="7" customFormat="1" ht="17.25" customHeight="1">
      <c r="A50" s="9"/>
      <c r="B50" s="368"/>
      <c r="C50" s="2"/>
      <c r="E50" s="493" t="s">
        <v>348</v>
      </c>
      <c r="F50" s="466">
        <f>F46</f>
        <v>0</v>
      </c>
      <c r="G50" s="466">
        <f t="shared" ref="G50:P50" si="15">G46</f>
        <v>-6380.771013869904</v>
      </c>
      <c r="H50" s="466">
        <f t="shared" si="15"/>
        <v>-6604.0979993552901</v>
      </c>
      <c r="I50" s="466">
        <f t="shared" si="15"/>
        <v>-191386.76002131746</v>
      </c>
      <c r="J50" s="466">
        <f t="shared" si="15"/>
        <v>-233352.14159574639</v>
      </c>
      <c r="K50" s="466">
        <f t="shared" si="15"/>
        <v>-250114.91137468716</v>
      </c>
      <c r="L50" s="466">
        <f t="shared" si="15"/>
        <v>-260167.99977694353</v>
      </c>
      <c r="M50" s="466">
        <f t="shared" si="15"/>
        <v>-274521.14893389127</v>
      </c>
      <c r="N50" s="466">
        <f t="shared" si="15"/>
        <v>-412862.1154298989</v>
      </c>
      <c r="O50" s="466">
        <f t="shared" si="15"/>
        <v>-426977.64097346226</v>
      </c>
      <c r="P50" s="466">
        <f t="shared" si="15"/>
        <v>-441580.87134075561</v>
      </c>
      <c r="Q50" s="467">
        <f>Q46</f>
        <v>-2503948.4584599277</v>
      </c>
      <c r="R50" s="366"/>
      <c r="S50" s="357"/>
      <c r="T50" s="8"/>
      <c r="U50" s="8"/>
      <c r="V50" s="8"/>
      <c r="W50" s="8"/>
      <c r="X50" s="8"/>
      <c r="Y50" s="8"/>
      <c r="Z50" s="8"/>
    </row>
    <row r="51" spans="1:26" s="7" customFormat="1" ht="17.25" customHeight="1">
      <c r="A51" s="9"/>
      <c r="B51" s="368"/>
      <c r="C51" s="2"/>
      <c r="D51" s="2"/>
      <c r="E51" s="3"/>
      <c r="F51" s="431"/>
      <c r="G51" s="431"/>
      <c r="H51" s="431"/>
      <c r="I51" s="431"/>
      <c r="J51" s="431"/>
      <c r="K51" s="431"/>
      <c r="L51" s="431"/>
      <c r="M51" s="431"/>
      <c r="N51" s="431"/>
      <c r="O51" s="431"/>
      <c r="P51" s="431"/>
      <c r="Q51" s="537">
        <f>Q46/(10*((VLOOKUP($A$2,'Asset Attributes'!$B$3:$D$25,3,0))))</f>
        <v>-8.5851623755740505</v>
      </c>
      <c r="R51" s="366"/>
      <c r="S51" s="357"/>
      <c r="T51" s="8"/>
      <c r="U51" s="8"/>
      <c r="V51" s="8"/>
      <c r="W51" s="8"/>
      <c r="X51" s="8"/>
      <c r="Y51" s="8"/>
      <c r="Z51" s="8"/>
    </row>
    <row r="52" spans="1:26"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c r="Y52" s="8"/>
      <c r="Z52" s="8"/>
    </row>
    <row r="53" spans="1:26"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c r="Y53" s="8"/>
      <c r="Z53" s="8"/>
    </row>
    <row r="54" spans="1:26" s="7" customFormat="1" ht="36.75" customHeight="1" thickBot="1">
      <c r="A54" s="9" t="s">
        <v>349</v>
      </c>
      <c r="B54" s="1"/>
      <c r="C54" s="2"/>
      <c r="D54" s="2"/>
      <c r="E54" s="9" t="s">
        <v>350</v>
      </c>
      <c r="F54" s="431"/>
      <c r="G54" s="431"/>
      <c r="H54" s="431"/>
      <c r="I54" s="431"/>
      <c r="J54" s="431"/>
      <c r="K54" s="431"/>
      <c r="L54" s="431"/>
      <c r="M54" s="431"/>
      <c r="N54" s="431"/>
      <c r="O54" s="431"/>
      <c r="P54" s="431"/>
      <c r="Q54" s="357"/>
      <c r="R54" s="9" t="s">
        <v>351</v>
      </c>
      <c r="V54" s="10"/>
      <c r="X54" s="8"/>
      <c r="Y54" s="8"/>
      <c r="Z54" s="8"/>
    </row>
    <row r="55" spans="1:26" s="7" customFormat="1" ht="30" customHeight="1" thickTop="1" thickBot="1">
      <c r="A55" s="184" t="s">
        <v>352</v>
      </c>
      <c r="B55" s="200"/>
      <c r="C55" s="200" t="s">
        <v>353</v>
      </c>
      <c r="D55" s="10"/>
      <c r="E55" s="441" t="s">
        <v>205</v>
      </c>
      <c r="F55" s="619" t="s">
        <v>188</v>
      </c>
      <c r="G55" s="619" t="str">
        <f>G67</f>
        <v>CURRENT</v>
      </c>
      <c r="H55" s="619" t="str">
        <f t="shared" ref="H55:P55" si="16">H67</f>
        <v>FY25</v>
      </c>
      <c r="I55" s="619" t="str">
        <f t="shared" si="16"/>
        <v>FY26</v>
      </c>
      <c r="J55" s="619" t="str">
        <f t="shared" si="16"/>
        <v>FY27</v>
      </c>
      <c r="K55" s="619" t="str">
        <f t="shared" si="16"/>
        <v>FY28</v>
      </c>
      <c r="L55" s="619" t="str">
        <f t="shared" si="16"/>
        <v>FY29</v>
      </c>
      <c r="M55" s="619" t="str">
        <f t="shared" si="16"/>
        <v>FY30</v>
      </c>
      <c r="N55" s="619" t="str">
        <f t="shared" si="16"/>
        <v>FY31</v>
      </c>
      <c r="O55" s="619" t="str">
        <f t="shared" si="16"/>
        <v>FY32</v>
      </c>
      <c r="P55" s="619" t="str">
        <f t="shared" si="16"/>
        <v>FY33</v>
      </c>
      <c r="Q55" s="200" t="s">
        <v>84</v>
      </c>
      <c r="R55" s="973" t="s">
        <v>354</v>
      </c>
      <c r="S55" s="973"/>
      <c r="T55" s="973" t="s">
        <v>355</v>
      </c>
      <c r="U55" s="973"/>
      <c r="V55" s="973" t="s">
        <v>356</v>
      </c>
      <c r="W55" s="973"/>
      <c r="X55" s="8"/>
      <c r="Y55" s="8"/>
      <c r="Z55" s="8"/>
    </row>
    <row r="56" spans="1:26" ht="24.75" customHeight="1" thickTop="1">
      <c r="A56" s="438" t="s">
        <v>357</v>
      </c>
      <c r="B56" s="11"/>
      <c r="C56" s="442">
        <v>45016</v>
      </c>
      <c r="D56" s="159"/>
      <c r="E56" s="19" t="str">
        <f>A2</f>
        <v>1 Market Street</v>
      </c>
      <c r="F56" s="440">
        <f>F272</f>
        <v>5.1606552665612879</v>
      </c>
      <c r="G56" s="440">
        <f>G272</f>
        <v>5.1606552665612879</v>
      </c>
      <c r="H56" s="440">
        <f t="shared" ref="H56:P56" si="17">H272</f>
        <v>5.1749719079986978</v>
      </c>
      <c r="I56" s="440">
        <f t="shared" si="17"/>
        <v>5.5615212268087628</v>
      </c>
      <c r="J56" s="440">
        <f t="shared" si="17"/>
        <v>5.6767163173884292</v>
      </c>
      <c r="K56" s="440">
        <f t="shared" si="17"/>
        <v>5.6855984147607961</v>
      </c>
      <c r="L56" s="440">
        <f t="shared" si="17"/>
        <v>5.694480512133163</v>
      </c>
      <c r="M56" s="440">
        <f t="shared" si="17"/>
        <v>5.7033626095055299</v>
      </c>
      <c r="N56" s="440">
        <f t="shared" si="17"/>
        <v>5.7122447068778968</v>
      </c>
      <c r="O56" s="440">
        <f t="shared" si="17"/>
        <v>5.7122447068778968</v>
      </c>
      <c r="P56" s="440">
        <f t="shared" si="17"/>
        <v>5.8279841479797723</v>
      </c>
      <c r="Q56" s="470">
        <f>IF(E56="",0,P56-F56)</f>
        <v>0.66732888141848434</v>
      </c>
      <c r="R56" s="477" t="s">
        <v>358</v>
      </c>
      <c r="S56" s="478" t="s">
        <v>18</v>
      </c>
      <c r="T56" s="477" t="s">
        <v>358</v>
      </c>
      <c r="U56" s="478" t="s">
        <v>18</v>
      </c>
      <c r="V56" s="477" t="s">
        <v>358</v>
      </c>
      <c r="W56" s="479" t="e">
        <f ca="1">IF(W58=1,"Complete",IF(W60&lt;&gt;0,"Complete","Outstanding"))</f>
        <v>#NAME?</v>
      </c>
      <c r="X56" s="14"/>
      <c r="Y56" s="14"/>
      <c r="Z56" s="14"/>
    </row>
    <row r="57" spans="1:26" ht="24.75" customHeight="1">
      <c r="A57" s="438" t="s">
        <v>6</v>
      </c>
      <c r="C57" s="275" t="s">
        <v>118</v>
      </c>
      <c r="D57" s="160"/>
      <c r="E57" s="43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7" t="s">
        <v>359</v>
      </c>
      <c r="S57" s="479">
        <f>R115</f>
        <v>6476895</v>
      </c>
      <c r="T57" s="473" t="s">
        <v>360</v>
      </c>
      <c r="U57" s="479">
        <f>S115</f>
        <v>4329900</v>
      </c>
      <c r="V57" s="473" t="s">
        <v>361</v>
      </c>
      <c r="W57" s="478" t="s">
        <v>362</v>
      </c>
      <c r="X57" s="14"/>
      <c r="Y57" s="14"/>
      <c r="Z57" s="14"/>
    </row>
    <row r="58" spans="1:26" ht="24.75" customHeight="1">
      <c r="A58" s="438" t="s">
        <v>363</v>
      </c>
      <c r="B58" s="14"/>
      <c r="C58" s="275" t="s">
        <v>364</v>
      </c>
      <c r="D58" s="160" t="s">
        <v>365</v>
      </c>
      <c r="E58" s="438" t="str">
        <f>IF(VLOOKUP($A$2,'Asset Attributes'!B3:G25,5,0)&gt;0.001,"IGO","")</f>
        <v/>
      </c>
      <c r="F58" s="439" t="str">
        <f>IF($E$58="IGO",SUMPRODUCT('Footprint Summary'!G153:G175,'Footprint Summary'!$C153:$C175,'Footprint Summary'!$E153:$E175)/SUMPRODUCT('Footprint Summary'!$C153:$C175,'Footprint Summary'!$E153:$E175),"")</f>
        <v/>
      </c>
      <c r="G58" s="439" t="str">
        <f>IF($E$58="IGO",SUMPRODUCT('Footprint Summary'!H153:H175,'Footprint Summary'!$C153:$C175,'Footprint Summary'!$E153:$E175)/SUMPRODUCT('Footprint Summary'!$C153:$C175,'Footprint Summary'!$E153:$E175),"")</f>
        <v/>
      </c>
      <c r="H58" s="439" t="str">
        <f>IF($E$58="IGO",SUMPRODUCT('Footprint Summary'!I153:I175,'Footprint Summary'!$C153:$C175,'Footprint Summary'!$E153:$E175)/SUMPRODUCT('Footprint Summary'!$C153:$C175,'Footprint Summary'!$E153:$E175),"")</f>
        <v/>
      </c>
      <c r="I58" s="439" t="str">
        <f>IF($E$58="IGO",SUMPRODUCT('Footprint Summary'!J153:J175,'Footprint Summary'!$C153:$C175,'Footprint Summary'!$E153:$E175)/SUMPRODUCT('Footprint Summary'!$C153:$C175,'Footprint Summary'!$E153:$E175),"")</f>
        <v/>
      </c>
      <c r="J58" s="439" t="str">
        <f>IF($E$58="IGO",SUMPRODUCT('Footprint Summary'!K153:K175,'Footprint Summary'!$C153:$C175,'Footprint Summary'!$E153:$E175)/SUMPRODUCT('Footprint Summary'!$C153:$C175,'Footprint Summary'!$E153:$E175),"")</f>
        <v/>
      </c>
      <c r="K58" s="439" t="str">
        <f>IF($E$58="IGO",SUMPRODUCT('Footprint Summary'!L153:L175,'Footprint Summary'!$C153:$C175,'Footprint Summary'!$E153:$E175)/SUMPRODUCT('Footprint Summary'!$C153:$C175,'Footprint Summary'!$E153:$E175),"")</f>
        <v/>
      </c>
      <c r="L58" s="439" t="str">
        <f>IF($E$58="IGO",SUMPRODUCT('Footprint Summary'!M153:M175,'Footprint Summary'!$C153:$C175,'Footprint Summary'!$E153:$E175)/SUMPRODUCT('Footprint Summary'!$C153:$C175,'Footprint Summary'!$E153:$E175),"")</f>
        <v/>
      </c>
      <c r="M58" s="439" t="str">
        <f>IF($E$58="IGO",SUMPRODUCT('Footprint Summary'!N153:N175,'Footprint Summary'!$C153:$C175,'Footprint Summary'!$E153:$E175)/SUMPRODUCT('Footprint Summary'!$C153:$C175,'Footprint Summary'!$E153:$E175),"")</f>
        <v/>
      </c>
      <c r="N58" s="439" t="str">
        <f>IF($E$58="IGO",SUMPRODUCT('Footprint Summary'!O153:O175,'Footprint Summary'!$C153:$C175,'Footprint Summary'!$E153:$E175)/SUMPRODUCT('Footprint Summary'!$C153:$C175,'Footprint Summary'!$E153:$E175),"")</f>
        <v/>
      </c>
      <c r="O58" s="439" t="str">
        <f>IF($E$58="IGO",SUMPRODUCT('Footprint Summary'!P153:P175,'Footprint Summary'!$C153:$C175,'Footprint Summary'!$E153:$E175)/SUMPRODUCT('Footprint Summary'!$C153:$C175,'Footprint Summary'!$E153:$E175),"")</f>
        <v/>
      </c>
      <c r="P58" s="439" t="str">
        <f>IF($E$58="IGO",SUMPRODUCT('Footprint Summary'!Q153:Q175,'Footprint Summary'!$C153:$C175,'Footprint Summary'!$E153:$E175)/SUMPRODUCT('Footprint Summary'!$C153:$C175,'Footprint Summary'!$E153:$E175),"")</f>
        <v/>
      </c>
      <c r="Q58" s="471" t="str">
        <f>IF(E58="","",P58-G58)</f>
        <v/>
      </c>
      <c r="R58" s="476" t="s">
        <v>366</v>
      </c>
      <c r="S58" s="479">
        <f>-1*(1000*AL214*D6+AM214*D8)</f>
        <v>183310.83361203945</v>
      </c>
      <c r="T58" s="473" t="s">
        <v>367</v>
      </c>
      <c r="U58" s="478">
        <f>-1*S64</f>
        <v>0.70597371424537292</v>
      </c>
      <c r="V58" s="473" t="s">
        <v>368</v>
      </c>
      <c r="W58" s="478">
        <v>0.21</v>
      </c>
      <c r="X58" s="14"/>
      <c r="Y58" s="14"/>
      <c r="Z58" s="14"/>
    </row>
    <row r="59" spans="1:26" ht="24.75" customHeight="1">
      <c r="A59" s="438" t="s">
        <v>369</v>
      </c>
      <c r="B59" s="14"/>
      <c r="C59" s="443">
        <v>2000</v>
      </c>
      <c r="D59" s="161"/>
      <c r="R59" s="477" t="s">
        <v>370</v>
      </c>
      <c r="S59" s="480">
        <f>V115</f>
        <v>2.2437557444973409E-2</v>
      </c>
      <c r="T59" s="473" t="s">
        <v>371</v>
      </c>
      <c r="U59" s="483" t="e">
        <f ca="1">_xlfn.MAXIFS(E69:E88,S69:S88,"Yes")</f>
        <v>#NAME?</v>
      </c>
      <c r="V59" s="482" t="s">
        <v>372</v>
      </c>
      <c r="W59" s="479">
        <f>T115</f>
        <v>30000</v>
      </c>
      <c r="X59" s="14"/>
      <c r="Y59" s="14"/>
      <c r="Z59" s="14"/>
    </row>
    <row r="60" spans="1:26" ht="24.75" customHeight="1">
      <c r="A60" s="438" t="s">
        <v>373</v>
      </c>
      <c r="B60" s="14"/>
      <c r="C60" s="275">
        <v>25698</v>
      </c>
      <c r="D60" s="160"/>
      <c r="Q60" s="10"/>
      <c r="R60" s="477" t="s">
        <v>374</v>
      </c>
      <c r="S60" s="481">
        <f>U115</f>
        <v>0.73495401403595051</v>
      </c>
      <c r="T60" s="10"/>
      <c r="U60" s="10"/>
      <c r="V60" s="473" t="s">
        <v>375</v>
      </c>
      <c r="W60" s="483" t="e">
        <f ca="1">IF(IF(W58=1,"Complete",_xlfn.MAXIFS(E69:E114,T69:T114,"Yes"))=0,"",IF(W58=1,"Complete",_xlfn.MAXIFS(E69:E114,T69:T114,"Yes")))</f>
        <v>#NAME?</v>
      </c>
      <c r="X60" s="14"/>
      <c r="Y60" s="14"/>
      <c r="Z60" s="14"/>
    </row>
    <row r="61" spans="1:26" ht="24.75" customHeight="1">
      <c r="A61" s="438" t="s">
        <v>376</v>
      </c>
      <c r="B61" s="14"/>
      <c r="C61" s="444">
        <v>50.2</v>
      </c>
      <c r="D61" s="162"/>
      <c r="H61" s="13"/>
      <c r="J61" s="14"/>
      <c r="K61" s="14"/>
      <c r="L61" s="14"/>
      <c r="M61" s="10"/>
      <c r="N61" s="10"/>
      <c r="O61" s="10"/>
      <c r="P61" s="10"/>
      <c r="Q61" s="10"/>
      <c r="R61" s="476" t="s">
        <v>377</v>
      </c>
      <c r="S61" s="481">
        <f>P272</f>
        <v>5.8279841479797723</v>
      </c>
      <c r="T61" s="10"/>
      <c r="U61" s="10"/>
      <c r="V61" s="473" t="s">
        <v>378</v>
      </c>
      <c r="W61" s="478">
        <v>0</v>
      </c>
      <c r="X61" s="14"/>
      <c r="Y61" s="14"/>
      <c r="Z61" s="14"/>
    </row>
    <row r="62" spans="1:26" ht="24.75" customHeight="1">
      <c r="A62" s="438" t="s">
        <v>379</v>
      </c>
      <c r="B62" s="14"/>
      <c r="C62" s="275">
        <v>1824.81</v>
      </c>
      <c r="D62" s="12">
        <f>C115/C62</f>
        <v>-0.47128194168159976</v>
      </c>
      <c r="H62" s="13"/>
      <c r="J62" s="14"/>
      <c r="K62" s="14"/>
      <c r="L62" s="347"/>
      <c r="M62" s="10"/>
      <c r="N62" s="10"/>
      <c r="O62" s="10"/>
      <c r="P62" s="10"/>
      <c r="Q62" s="10"/>
      <c r="R62" s="476" t="s">
        <v>380</v>
      </c>
      <c r="S62" s="481">
        <f>Q272</f>
        <v>5.8279841479797723</v>
      </c>
      <c r="T62" s="496" t="s">
        <v>381</v>
      </c>
      <c r="V62" s="10"/>
      <c r="W62" s="14"/>
      <c r="X62" s="14"/>
      <c r="Y62" s="14"/>
      <c r="Z62" s="14"/>
    </row>
    <row r="63" spans="1:26" ht="24.75" customHeight="1">
      <c r="A63" s="438" t="s">
        <v>382</v>
      </c>
      <c r="B63" s="14"/>
      <c r="C63" s="275">
        <v>1614.7909999999999</v>
      </c>
      <c r="H63" s="13"/>
      <c r="J63" s="14"/>
      <c r="K63" s="14"/>
      <c r="L63" s="10"/>
      <c r="M63" s="10"/>
      <c r="N63" s="10"/>
      <c r="O63" s="10"/>
      <c r="P63" s="10"/>
      <c r="Q63" s="10"/>
      <c r="R63" s="476" t="s">
        <v>383</v>
      </c>
      <c r="S63" s="480">
        <f>C115/C62</f>
        <v>-0.47128194168159976</v>
      </c>
      <c r="T63" s="496" t="s">
        <v>384</v>
      </c>
      <c r="V63" s="10"/>
      <c r="W63" s="14"/>
      <c r="X63" s="14"/>
      <c r="Y63" s="14"/>
      <c r="Z63" s="14"/>
    </row>
    <row r="64" spans="1:26" ht="24.75" customHeight="1">
      <c r="A64" s="446" t="s">
        <v>385</v>
      </c>
      <c r="B64" s="447"/>
      <c r="C64" s="445">
        <v>64</v>
      </c>
      <c r="D64" s="356">
        <f>(AJ215-C64)/C64</f>
        <v>-0.36280794420244011</v>
      </c>
      <c r="H64" s="13"/>
      <c r="J64" s="14"/>
      <c r="K64" s="14"/>
      <c r="L64" s="10"/>
      <c r="M64" s="10"/>
      <c r="N64" s="10"/>
      <c r="O64" s="10"/>
      <c r="P64" s="10"/>
      <c r="Q64" s="10"/>
      <c r="R64" s="476" t="s">
        <v>386</v>
      </c>
      <c r="S64" s="480">
        <f>D115/C63</f>
        <v>-0.70597371424537292</v>
      </c>
      <c r="U64" s="14"/>
      <c r="V64" s="10"/>
      <c r="W64" s="14"/>
      <c r="X64" s="14"/>
      <c r="Y64" s="14"/>
      <c r="Z64" s="14"/>
    </row>
    <row r="65" spans="1:26" ht="15.5">
      <c r="B65" s="487" t="s">
        <v>387</v>
      </c>
      <c r="C65" s="489">
        <f>Z216</f>
        <v>5.1606552665612879</v>
      </c>
      <c r="D65" s="16" t="s">
        <v>388</v>
      </c>
      <c r="J65" s="14"/>
      <c r="K65" s="14"/>
      <c r="L65" s="14"/>
      <c r="M65" s="14"/>
      <c r="N65" s="14"/>
      <c r="O65" s="14"/>
      <c r="P65" s="14"/>
      <c r="Q65" s="14"/>
      <c r="S65" s="10"/>
      <c r="T65" s="14"/>
      <c r="U65" s="14"/>
      <c r="V65" s="14"/>
      <c r="W65" s="14"/>
      <c r="X65" s="14"/>
      <c r="Y65" s="14"/>
      <c r="Z65" s="14"/>
    </row>
    <row r="66" spans="1:26" ht="36" customHeight="1" thickBot="1">
      <c r="A66" s="9" t="s">
        <v>389</v>
      </c>
      <c r="B66" s="17"/>
      <c r="E66" s="17"/>
      <c r="F66" s="15"/>
      <c r="G66" s="626">
        <v>45473</v>
      </c>
      <c r="H66" s="626">
        <f>DATE(YEAR(G66)+1,MONTH(G66),DAY(G66))</f>
        <v>45838</v>
      </c>
      <c r="I66" s="626">
        <f t="shared" ref="I66:Q66" si="18">DATE(YEAR(H66)+1,MONTH(H66),DAY(H66))</f>
        <v>46203</v>
      </c>
      <c r="J66" s="626">
        <f t="shared" si="18"/>
        <v>46568</v>
      </c>
      <c r="K66" s="626">
        <f t="shared" si="18"/>
        <v>46934</v>
      </c>
      <c r="L66" s="626">
        <f t="shared" si="18"/>
        <v>47299</v>
      </c>
      <c r="M66" s="626">
        <f t="shared" si="18"/>
        <v>47664</v>
      </c>
      <c r="N66" s="626">
        <f t="shared" si="18"/>
        <v>48029</v>
      </c>
      <c r="O66" s="626">
        <f t="shared" si="18"/>
        <v>48395</v>
      </c>
      <c r="P66" s="626">
        <f t="shared" si="18"/>
        <v>48760</v>
      </c>
      <c r="Q66" s="626">
        <f t="shared" si="18"/>
        <v>49125</v>
      </c>
      <c r="R66" s="9" t="s">
        <v>390</v>
      </c>
      <c r="S66" s="364"/>
      <c r="T66" s="10"/>
      <c r="U66" s="10"/>
      <c r="V66" s="10"/>
      <c r="W66" s="14"/>
      <c r="X66" s="14"/>
      <c r="Y66" s="14"/>
      <c r="Z66" s="14"/>
    </row>
    <row r="67" spans="1:26" s="18" customFormat="1" ht="43" thickTop="1" thickBot="1">
      <c r="A67" s="184" t="s">
        <v>391</v>
      </c>
      <c r="B67" s="184" t="s">
        <v>392</v>
      </c>
      <c r="C67" s="370" t="s">
        <v>393</v>
      </c>
      <c r="D67" s="370" t="s">
        <v>394</v>
      </c>
      <c r="E67" s="370" t="s">
        <v>395</v>
      </c>
      <c r="F67" s="370" t="s">
        <v>396</v>
      </c>
      <c r="G67" s="625" t="s">
        <v>189</v>
      </c>
      <c r="H67" s="625" t="s">
        <v>190</v>
      </c>
      <c r="I67" s="625" t="s">
        <v>191</v>
      </c>
      <c r="J67" s="625" t="s">
        <v>192</v>
      </c>
      <c r="K67" s="625" t="s">
        <v>193</v>
      </c>
      <c r="L67" s="625" t="s">
        <v>194</v>
      </c>
      <c r="M67" s="625" t="s">
        <v>195</v>
      </c>
      <c r="N67" s="625" t="s">
        <v>196</v>
      </c>
      <c r="O67" s="625" t="s">
        <v>197</v>
      </c>
      <c r="P67" s="625" t="s">
        <v>198</v>
      </c>
      <c r="Q67" s="625" t="s">
        <v>199</v>
      </c>
      <c r="R67" s="200" t="s">
        <v>397</v>
      </c>
      <c r="S67" s="200" t="s">
        <v>328</v>
      </c>
      <c r="T67" s="200" t="s">
        <v>398</v>
      </c>
      <c r="U67" s="200" t="s">
        <v>399</v>
      </c>
      <c r="V67" s="200" t="s">
        <v>370</v>
      </c>
      <c r="W67" s="200" t="s">
        <v>400</v>
      </c>
      <c r="X67" s="200" t="s">
        <v>401</v>
      </c>
      <c r="Y67" s="200" t="s">
        <v>402</v>
      </c>
      <c r="Z67" s="472"/>
    </row>
    <row r="68" spans="1:26" ht="30" hidden="1" customHeight="1" thickTop="1">
      <c r="A68" s="17"/>
      <c r="B68" s="371"/>
      <c r="C68" s="371"/>
      <c r="D68" s="371"/>
      <c r="E68" s="371"/>
      <c r="P68" s="372"/>
      <c r="Q68" s="372"/>
      <c r="S68" s="372"/>
      <c r="V68" s="12"/>
      <c r="W68" s="12"/>
      <c r="X68" s="12"/>
      <c r="Y68" s="12"/>
      <c r="Z68" s="473"/>
    </row>
    <row r="69" spans="1:26" ht="21.75" customHeight="1" thickTop="1">
      <c r="A69" s="373" t="s">
        <v>403</v>
      </c>
      <c r="B69" s="374" t="s">
        <v>404</v>
      </c>
      <c r="C69" s="375">
        <v>-20</v>
      </c>
      <c r="D69" s="376"/>
      <c r="E69" s="377">
        <v>45382</v>
      </c>
      <c r="F69" s="378">
        <v>143895</v>
      </c>
      <c r="G69" s="403">
        <f>IF($E69&lt;G$66,$F69-$V8+1,0)</f>
        <v>143896</v>
      </c>
      <c r="H69" s="404">
        <f>IF($E69&gt;H$66,0,IF($E69&gt;H$66-365,$F69-$W69+0.000001,0))</f>
        <v>0</v>
      </c>
      <c r="I69" s="404">
        <f t="shared" ref="I69:P69" si="19">IF($E69&gt;I$66,0,IF($E69&gt;I$66-365,$F69-$W69+1,0))</f>
        <v>0</v>
      </c>
      <c r="J69" s="404">
        <f t="shared" si="19"/>
        <v>0</v>
      </c>
      <c r="K69" s="404">
        <f t="shared" si="19"/>
        <v>0</v>
      </c>
      <c r="L69" s="404">
        <f t="shared" si="19"/>
        <v>0</v>
      </c>
      <c r="M69" s="404">
        <f t="shared" si="19"/>
        <v>0</v>
      </c>
      <c r="N69" s="404">
        <f t="shared" si="19"/>
        <v>0</v>
      </c>
      <c r="O69" s="404">
        <f t="shared" si="19"/>
        <v>0</v>
      </c>
      <c r="P69" s="404">
        <f t="shared" si="19"/>
        <v>0</v>
      </c>
      <c r="Q69" s="448">
        <f t="shared" ref="Q69" si="20">IF($E69&gt;Q$66,0,IF($E69&gt;Q$66-365,$F69,0))</f>
        <v>0</v>
      </c>
      <c r="R69" s="379" t="s">
        <v>32</v>
      </c>
      <c r="S69" s="379"/>
      <c r="T69" s="380"/>
      <c r="U69" s="411">
        <f>IF(-0.75*((C69/(VLOOKUP($A$2,Assumptions!$B$124:$G$147,2,0)))+D69/(VLOOKUP($A$2,Assumptions!$B$124:$G$147,5,0)))=0,"",-0.75*((C69/(VLOOKUP($A$2,Assumptions!$B$124:$G$147,2,0)))+D69/(VLOOKUP($A$2,Assumptions!$B$124:$G$147,5,0))))</f>
        <v>1.3032145960034753E-2</v>
      </c>
      <c r="V69" s="412">
        <f t="shared" ref="V69:V88" si="21">IF(ISERROR(((-1*C69*1000*$D$6)+(-1*D69*$D$8))/F69),"",((-1*C69*1000*$D$6)+(-1*D69*$D$8))/F69)</f>
        <v>3.411018725657268E-2</v>
      </c>
      <c r="W69" s="450"/>
      <c r="X69" s="506"/>
      <c r="Y69" s="506"/>
      <c r="Z69" s="473"/>
    </row>
    <row r="70" spans="1:26" ht="21.75" customHeight="1">
      <c r="A70" s="562" t="s">
        <v>405</v>
      </c>
      <c r="B70" s="548" t="s">
        <v>406</v>
      </c>
      <c r="C70" s="381">
        <v>0</v>
      </c>
      <c r="D70" s="381"/>
      <c r="E70" s="377">
        <v>45382</v>
      </c>
      <c r="F70" s="378">
        <v>30000</v>
      </c>
      <c r="G70" s="403">
        <f t="shared" ref="G70:G88" si="22">IF($E70&lt;G$66,$F70,0)</f>
        <v>30000</v>
      </c>
      <c r="H70" s="404">
        <f t="shared" ref="H70:Q85" si="23">IF($E70&gt;H$66,0,IF($E70&gt;H$66-365,$F70,0))</f>
        <v>0</v>
      </c>
      <c r="I70" s="404">
        <f t="shared" si="23"/>
        <v>0</v>
      </c>
      <c r="J70" s="405">
        <f t="shared" si="23"/>
        <v>0</v>
      </c>
      <c r="K70" s="405">
        <f t="shared" si="23"/>
        <v>0</v>
      </c>
      <c r="L70" s="405">
        <f t="shared" si="23"/>
        <v>0</v>
      </c>
      <c r="M70" s="405">
        <f t="shared" si="23"/>
        <v>0</v>
      </c>
      <c r="N70" s="405">
        <f t="shared" si="23"/>
        <v>0</v>
      </c>
      <c r="O70" s="405">
        <f t="shared" si="23"/>
        <v>0</v>
      </c>
      <c r="P70" s="406">
        <f t="shared" si="23"/>
        <v>0</v>
      </c>
      <c r="Q70" s="448">
        <f t="shared" si="23"/>
        <v>0</v>
      </c>
      <c r="R70" s="379"/>
      <c r="S70" s="379"/>
      <c r="T70" s="382" t="s">
        <v>32</v>
      </c>
      <c r="U70" s="413" t="str">
        <f>IF(-0.75*((C70/(VLOOKUP($A$2,Assumptions!$B$124:$G$147,2,0)))+D70/(VLOOKUP($A$2,Assumptions!$B$124:$G$147,5,0)))=0,"",-0.75*((C70/(VLOOKUP($A$2,Assumptions!$B$124:$G$147,2,0)))+D70/(VLOOKUP($A$2,Assumptions!$B$124:$G$147,5,0))))</f>
        <v/>
      </c>
      <c r="V70" s="414">
        <f t="shared" si="21"/>
        <v>0</v>
      </c>
      <c r="W70" s="451"/>
      <c r="X70" s="507"/>
      <c r="Y70" s="507" t="s">
        <v>32</v>
      </c>
    </row>
    <row r="71" spans="1:26" ht="31.5" customHeight="1">
      <c r="A71" s="373" t="s">
        <v>407</v>
      </c>
      <c r="B71" s="374" t="s">
        <v>408</v>
      </c>
      <c r="C71" s="383">
        <v>-100</v>
      </c>
      <c r="D71" s="383"/>
      <c r="E71" s="377">
        <v>45747</v>
      </c>
      <c r="F71" s="384">
        <v>143000</v>
      </c>
      <c r="G71" s="403">
        <f t="shared" si="22"/>
        <v>0</v>
      </c>
      <c r="H71" s="404">
        <f t="shared" si="23"/>
        <v>143000</v>
      </c>
      <c r="I71" s="405">
        <f t="shared" si="23"/>
        <v>0</v>
      </c>
      <c r="J71" s="405">
        <f t="shared" si="23"/>
        <v>0</v>
      </c>
      <c r="K71" s="405">
        <f t="shared" si="23"/>
        <v>0</v>
      </c>
      <c r="L71" s="405">
        <f t="shared" si="23"/>
        <v>0</v>
      </c>
      <c r="M71" s="405">
        <f t="shared" si="23"/>
        <v>0</v>
      </c>
      <c r="N71" s="405">
        <f t="shared" si="23"/>
        <v>0</v>
      </c>
      <c r="O71" s="405">
        <f t="shared" si="23"/>
        <v>0</v>
      </c>
      <c r="P71" s="406">
        <f t="shared" si="23"/>
        <v>0</v>
      </c>
      <c r="Q71" s="448">
        <f t="shared" si="23"/>
        <v>0</v>
      </c>
      <c r="R71" s="379" t="s">
        <v>32</v>
      </c>
      <c r="S71" s="379"/>
      <c r="T71" s="382"/>
      <c r="U71" s="413">
        <f>IF(-0.75*((C71/(VLOOKUP($A$2,Assumptions!$B$124:$G$147,2,0)))+D71/(VLOOKUP($A$2,Assumptions!$B$124:$G$147,5,0)))=0,"",-0.75*((C71/(VLOOKUP($A$2,Assumptions!$B$124:$G$147,2,0)))+D71/(VLOOKUP($A$2,Assumptions!$B$124:$G$147,5,0))))</f>
        <v>6.5160729800173761E-2</v>
      </c>
      <c r="V71" s="414">
        <f t="shared" si="21"/>
        <v>0.17161837046449391</v>
      </c>
      <c r="W71" s="451"/>
      <c r="X71" s="507"/>
      <c r="Y71" s="507" t="s">
        <v>32</v>
      </c>
      <c r="Z71" s="359"/>
    </row>
    <row r="72" spans="1:26" ht="21.75" customHeight="1">
      <c r="A72" s="525" t="s">
        <v>409</v>
      </c>
      <c r="B72" s="524" t="s">
        <v>410</v>
      </c>
      <c r="C72" s="375">
        <v>-240</v>
      </c>
      <c r="D72" s="375"/>
      <c r="E72" s="377">
        <v>45747</v>
      </c>
      <c r="F72" s="378">
        <v>81100</v>
      </c>
      <c r="G72" s="403">
        <f t="shared" si="22"/>
        <v>0</v>
      </c>
      <c r="H72" s="404">
        <f t="shared" si="23"/>
        <v>81100</v>
      </c>
      <c r="I72" s="405">
        <f t="shared" si="23"/>
        <v>0</v>
      </c>
      <c r="J72" s="405">
        <f t="shared" si="23"/>
        <v>0</v>
      </c>
      <c r="K72" s="405">
        <f t="shared" si="23"/>
        <v>0</v>
      </c>
      <c r="L72" s="405">
        <f t="shared" si="23"/>
        <v>0</v>
      </c>
      <c r="M72" s="405">
        <f t="shared" si="23"/>
        <v>0</v>
      </c>
      <c r="N72" s="405">
        <f t="shared" si="23"/>
        <v>0</v>
      </c>
      <c r="O72" s="405">
        <f t="shared" si="23"/>
        <v>0</v>
      </c>
      <c r="P72" s="406">
        <f t="shared" si="23"/>
        <v>0</v>
      </c>
      <c r="Q72" s="448">
        <f t="shared" si="23"/>
        <v>0</v>
      </c>
      <c r="R72" s="379" t="s">
        <v>32</v>
      </c>
      <c r="S72" s="379"/>
      <c r="T72" s="382"/>
      <c r="U72" s="413">
        <f>IF(-0.75*((C72/(VLOOKUP($A$2,Assumptions!$B$124:$G$147,2,0)))+D72/(VLOOKUP($A$2,Assumptions!$B$124:$G$147,5,0)))=0,"",-0.75*((C72/(VLOOKUP($A$2,Assumptions!$B$124:$G$147,2,0)))+D72/(VLOOKUP($A$2,Assumptions!$B$124:$G$147,5,0))))</f>
        <v>0.156385751520417</v>
      </c>
      <c r="V72" s="414">
        <f t="shared" si="21"/>
        <v>0.72625677858710613</v>
      </c>
      <c r="W72" s="451"/>
      <c r="X72" s="507" t="s">
        <v>32</v>
      </c>
      <c r="Y72" s="507"/>
      <c r="Z72" s="358"/>
    </row>
    <row r="73" spans="1:26" ht="34.5" customHeight="1">
      <c r="A73" s="525" t="s">
        <v>409</v>
      </c>
      <c r="B73" s="524" t="s">
        <v>411</v>
      </c>
      <c r="C73" s="381">
        <v>-80</v>
      </c>
      <c r="D73" s="381"/>
      <c r="E73" s="377">
        <v>45747</v>
      </c>
      <c r="F73" s="378">
        <v>168800</v>
      </c>
      <c r="G73" s="403">
        <f t="shared" si="22"/>
        <v>0</v>
      </c>
      <c r="H73" s="404">
        <f t="shared" si="23"/>
        <v>168800</v>
      </c>
      <c r="I73" s="405">
        <f t="shared" si="23"/>
        <v>0</v>
      </c>
      <c r="J73" s="405">
        <f t="shared" si="23"/>
        <v>0</v>
      </c>
      <c r="K73" s="405">
        <f t="shared" si="23"/>
        <v>0</v>
      </c>
      <c r="L73" s="405">
        <f t="shared" si="23"/>
        <v>0</v>
      </c>
      <c r="M73" s="405">
        <f t="shared" si="23"/>
        <v>0</v>
      </c>
      <c r="N73" s="405">
        <f t="shared" si="23"/>
        <v>0</v>
      </c>
      <c r="O73" s="405">
        <f t="shared" si="23"/>
        <v>0</v>
      </c>
      <c r="P73" s="406">
        <f t="shared" si="23"/>
        <v>0</v>
      </c>
      <c r="Q73" s="448">
        <f t="shared" si="23"/>
        <v>0</v>
      </c>
      <c r="R73" s="379" t="s">
        <v>32</v>
      </c>
      <c r="S73" s="379"/>
      <c r="T73" s="382"/>
      <c r="U73" s="413">
        <f>IF(-0.75*((C73/(VLOOKUP($A$2,Assumptions!$B$124:$G$147,2,0)))+D73/(VLOOKUP($A$2,Assumptions!$B$124:$G$147,5,0)))=0,"",-0.75*((C73/(VLOOKUP($A$2,Assumptions!$B$124:$G$147,2,0)))+D73/(VLOOKUP($A$2,Assumptions!$B$124:$G$147,5,0))))</f>
        <v>5.2128583840139013E-2</v>
      </c>
      <c r="V73" s="414">
        <f t="shared" si="21"/>
        <v>0.11631008045697927</v>
      </c>
      <c r="W73" s="451"/>
      <c r="X73" s="507" t="s">
        <v>32</v>
      </c>
      <c r="Y73" s="507"/>
      <c r="Z73" s="14"/>
    </row>
    <row r="74" spans="1:26" ht="21.75" customHeight="1">
      <c r="A74" s="525" t="s">
        <v>409</v>
      </c>
      <c r="B74" s="524" t="s">
        <v>412</v>
      </c>
      <c r="C74" s="375">
        <v>0</v>
      </c>
      <c r="D74" s="375"/>
      <c r="E74" s="377">
        <v>45747</v>
      </c>
      <c r="F74" s="378">
        <v>56300</v>
      </c>
      <c r="G74" s="403">
        <f t="shared" si="22"/>
        <v>0</v>
      </c>
      <c r="H74" s="404">
        <f t="shared" si="23"/>
        <v>56300</v>
      </c>
      <c r="I74" s="405">
        <f t="shared" si="23"/>
        <v>0</v>
      </c>
      <c r="J74" s="405">
        <f t="shared" si="23"/>
        <v>0</v>
      </c>
      <c r="K74" s="405">
        <f t="shared" si="23"/>
        <v>0</v>
      </c>
      <c r="L74" s="405">
        <f t="shared" si="23"/>
        <v>0</v>
      </c>
      <c r="M74" s="405">
        <f t="shared" si="23"/>
        <v>0</v>
      </c>
      <c r="N74" s="405">
        <f t="shared" si="23"/>
        <v>0</v>
      </c>
      <c r="O74" s="405">
        <f t="shared" si="23"/>
        <v>0</v>
      </c>
      <c r="P74" s="406">
        <f t="shared" si="23"/>
        <v>0</v>
      </c>
      <c r="Q74" s="448">
        <f t="shared" si="23"/>
        <v>0</v>
      </c>
      <c r="R74" s="379"/>
      <c r="S74" s="379"/>
      <c r="T74" s="382"/>
      <c r="U74" s="413" t="str">
        <f>IF(-0.75*((C74/(VLOOKUP($A$2,Assumptions!$B$124:$G$147,2,0)))+D74/(VLOOKUP($A$2,Assumptions!$B$124:$G$147,5,0)))=0,"",-0.75*((C74/(VLOOKUP($A$2,Assumptions!$B$124:$G$147,2,0)))+D74/(VLOOKUP($A$2,Assumptions!$B$124:$G$147,5,0))))</f>
        <v/>
      </c>
      <c r="V74" s="414">
        <f t="shared" si="21"/>
        <v>0</v>
      </c>
      <c r="W74" s="451"/>
      <c r="X74" s="507" t="s">
        <v>32</v>
      </c>
      <c r="Y74" s="507"/>
      <c r="Z74" s="14"/>
    </row>
    <row r="75" spans="1:26" ht="30.75" customHeight="1">
      <c r="A75" s="525" t="s">
        <v>409</v>
      </c>
      <c r="B75" s="524" t="s">
        <v>413</v>
      </c>
      <c r="C75" s="375">
        <v>-120</v>
      </c>
      <c r="D75" s="375"/>
      <c r="E75" s="377">
        <v>45747</v>
      </c>
      <c r="F75" s="378">
        <v>1897200</v>
      </c>
      <c r="G75" s="403">
        <f t="shared" si="22"/>
        <v>0</v>
      </c>
      <c r="H75" s="404">
        <f t="shared" si="23"/>
        <v>1897200</v>
      </c>
      <c r="I75" s="405">
        <f t="shared" si="23"/>
        <v>0</v>
      </c>
      <c r="J75" s="405">
        <f t="shared" si="23"/>
        <v>0</v>
      </c>
      <c r="K75" s="405">
        <f t="shared" si="23"/>
        <v>0</v>
      </c>
      <c r="L75" s="405">
        <f t="shared" si="23"/>
        <v>0</v>
      </c>
      <c r="M75" s="405">
        <f t="shared" si="23"/>
        <v>0</v>
      </c>
      <c r="N75" s="405">
        <f t="shared" si="23"/>
        <v>0</v>
      </c>
      <c r="O75" s="405">
        <f t="shared" si="23"/>
        <v>0</v>
      </c>
      <c r="P75" s="406">
        <f t="shared" si="23"/>
        <v>0</v>
      </c>
      <c r="Q75" s="448">
        <f t="shared" si="23"/>
        <v>0</v>
      </c>
      <c r="R75" s="379" t="s">
        <v>32</v>
      </c>
      <c r="S75" s="379"/>
      <c r="T75" s="382"/>
      <c r="U75" s="413">
        <f>IF(-0.75*((C75/(VLOOKUP($A$2,Assumptions!$B$124:$G$147,2,0)))+D75/(VLOOKUP($A$2,Assumptions!$B$124:$G$147,5,0)))=0,"",-0.75*((C75/(VLOOKUP($A$2,Assumptions!$B$124:$G$147,2,0)))+D75/(VLOOKUP($A$2,Assumptions!$B$124:$G$147,5,0))))</f>
        <v>7.8192875760208502E-2</v>
      </c>
      <c r="V75" s="414">
        <f t="shared" si="21"/>
        <v>1.5522724210260993E-2</v>
      </c>
      <c r="W75" s="451"/>
      <c r="X75" s="507" t="s">
        <v>32</v>
      </c>
      <c r="Y75" s="507"/>
      <c r="Z75" s="14"/>
    </row>
    <row r="76" spans="1:26" ht="30.75" customHeight="1">
      <c r="A76" s="525" t="s">
        <v>414</v>
      </c>
      <c r="B76" s="524" t="s">
        <v>415</v>
      </c>
      <c r="C76" s="375">
        <v>-40</v>
      </c>
      <c r="D76" s="375">
        <v>-450</v>
      </c>
      <c r="E76" s="377">
        <v>46112</v>
      </c>
      <c r="F76" s="378">
        <v>675400</v>
      </c>
      <c r="G76" s="403">
        <f t="shared" si="22"/>
        <v>0</v>
      </c>
      <c r="H76" s="404">
        <f t="shared" si="23"/>
        <v>0</v>
      </c>
      <c r="I76" s="405">
        <f t="shared" si="23"/>
        <v>675400</v>
      </c>
      <c r="J76" s="405">
        <f t="shared" si="23"/>
        <v>0</v>
      </c>
      <c r="K76" s="405">
        <f t="shared" si="23"/>
        <v>0</v>
      </c>
      <c r="L76" s="405">
        <f t="shared" si="23"/>
        <v>0</v>
      </c>
      <c r="M76" s="405">
        <f t="shared" si="23"/>
        <v>0</v>
      </c>
      <c r="N76" s="405">
        <f t="shared" si="23"/>
        <v>0</v>
      </c>
      <c r="O76" s="405">
        <f t="shared" si="23"/>
        <v>0</v>
      </c>
      <c r="P76" s="406">
        <f t="shared" si="23"/>
        <v>0</v>
      </c>
      <c r="Q76" s="448">
        <f t="shared" si="23"/>
        <v>0</v>
      </c>
      <c r="R76" s="379"/>
      <c r="S76" s="379" t="s">
        <v>32</v>
      </c>
      <c r="T76" s="382"/>
      <c r="U76" s="413">
        <f>IF(-0.75*((C76/(VLOOKUP($A$2,Assumptions!$B$124:$G$147,2,0)))+D76/(VLOOKUP($A$2,Assumptions!$B$124:$G$147,5,0)))=0,"",-0.75*((C76/(VLOOKUP($A$2,Assumptions!$B$124:$G$147,2,0)))+D76/(VLOOKUP($A$2,Assumptions!$B$124:$G$147,5,0))))</f>
        <v>9.4974188402091694E-2</v>
      </c>
      <c r="V76" s="414">
        <f t="shared" si="21"/>
        <v>3.403060495627909E-2</v>
      </c>
      <c r="W76" s="451"/>
      <c r="X76" s="507" t="s">
        <v>32</v>
      </c>
      <c r="Y76" s="507"/>
      <c r="Z76" s="365"/>
    </row>
    <row r="77" spans="1:26" ht="21.75" customHeight="1">
      <c r="A77" s="525" t="s">
        <v>416</v>
      </c>
      <c r="B77" s="524" t="s">
        <v>417</v>
      </c>
      <c r="C77" s="375">
        <v>-15</v>
      </c>
      <c r="D77" s="375"/>
      <c r="E77" s="377">
        <v>46112</v>
      </c>
      <c r="F77" s="378">
        <v>168900</v>
      </c>
      <c r="G77" s="403">
        <f t="shared" si="22"/>
        <v>0</v>
      </c>
      <c r="H77" s="404">
        <f t="shared" si="23"/>
        <v>0</v>
      </c>
      <c r="I77" s="405">
        <f t="shared" si="23"/>
        <v>168900</v>
      </c>
      <c r="J77" s="405">
        <f t="shared" si="23"/>
        <v>0</v>
      </c>
      <c r="K77" s="405">
        <f t="shared" si="23"/>
        <v>0</v>
      </c>
      <c r="L77" s="405">
        <f t="shared" si="23"/>
        <v>0</v>
      </c>
      <c r="M77" s="405">
        <f t="shared" si="23"/>
        <v>0</v>
      </c>
      <c r="N77" s="405">
        <f t="shared" si="23"/>
        <v>0</v>
      </c>
      <c r="O77" s="405">
        <f t="shared" si="23"/>
        <v>0</v>
      </c>
      <c r="P77" s="406">
        <f t="shared" si="23"/>
        <v>0</v>
      </c>
      <c r="Q77" s="448">
        <f t="shared" si="23"/>
        <v>0</v>
      </c>
      <c r="R77" s="379" t="s">
        <v>32</v>
      </c>
      <c r="S77" s="379"/>
      <c r="T77" s="385"/>
      <c r="U77" s="413">
        <f>IF(-0.75*((C77/(VLOOKUP($A$2,Assumptions!$B$124:$G$147,2,0)))+D77/(VLOOKUP($A$2,Assumptions!$B$124:$G$147,5,0)))=0,"",-0.75*((C77/(VLOOKUP($A$2,Assumptions!$B$124:$G$147,2,0)))+D77/(VLOOKUP($A$2,Assumptions!$B$124:$G$147,5,0))))</f>
        <v>9.7741094700260628E-3</v>
      </c>
      <c r="V77" s="414">
        <f t="shared" si="21"/>
        <v>2.1795228220624005E-2</v>
      </c>
      <c r="W77" s="451"/>
      <c r="X77" s="507" t="s">
        <v>32</v>
      </c>
      <c r="Y77" s="507"/>
      <c r="Z77" s="14"/>
    </row>
    <row r="78" spans="1:26" ht="21.75" customHeight="1">
      <c r="A78" s="525" t="s">
        <v>418</v>
      </c>
      <c r="B78" s="524" t="s">
        <v>419</v>
      </c>
      <c r="C78" s="375">
        <v>-10</v>
      </c>
      <c r="D78" s="375"/>
      <c r="E78" s="377">
        <v>46112</v>
      </c>
      <c r="F78" s="378">
        <v>50700</v>
      </c>
      <c r="G78" s="403">
        <f t="shared" si="22"/>
        <v>0</v>
      </c>
      <c r="H78" s="404">
        <f t="shared" si="23"/>
        <v>0</v>
      </c>
      <c r="I78" s="405">
        <f t="shared" si="23"/>
        <v>50700</v>
      </c>
      <c r="J78" s="405">
        <f t="shared" si="23"/>
        <v>0</v>
      </c>
      <c r="K78" s="405">
        <f t="shared" si="23"/>
        <v>0</v>
      </c>
      <c r="L78" s="405">
        <f t="shared" si="23"/>
        <v>0</v>
      </c>
      <c r="M78" s="405">
        <f t="shared" si="23"/>
        <v>0</v>
      </c>
      <c r="N78" s="405">
        <f t="shared" si="23"/>
        <v>0</v>
      </c>
      <c r="O78" s="405">
        <f t="shared" si="23"/>
        <v>0</v>
      </c>
      <c r="P78" s="406">
        <f t="shared" si="23"/>
        <v>0</v>
      </c>
      <c r="Q78" s="448">
        <f t="shared" si="23"/>
        <v>0</v>
      </c>
      <c r="R78" s="379" t="s">
        <v>32</v>
      </c>
      <c r="S78" s="386"/>
      <c r="T78" s="387"/>
      <c r="U78" s="413">
        <f>IF(-0.75*((C78/(VLOOKUP($A$2,Assumptions!$B$124:$G$147,2,0)))+D78/(VLOOKUP($A$2,Assumptions!$B$124:$G$147,5,0)))=0,"",-0.75*((C78/(VLOOKUP($A$2,Assumptions!$B$124:$G$147,2,0)))+D78/(VLOOKUP($A$2,Assumptions!$B$124:$G$147,5,0))))</f>
        <v>6.5160729800173766E-3</v>
      </c>
      <c r="V78" s="414">
        <f t="shared" si="21"/>
        <v>4.8405181413062381E-2</v>
      </c>
      <c r="W78" s="451"/>
      <c r="X78" s="507" t="s">
        <v>32</v>
      </c>
      <c r="Y78" s="507"/>
      <c r="Z78" s="14"/>
    </row>
    <row r="79" spans="1:26" ht="30.75" customHeight="1">
      <c r="A79" s="525" t="s">
        <v>418</v>
      </c>
      <c r="B79" s="524" t="s">
        <v>420</v>
      </c>
      <c r="C79" s="375">
        <v>-15</v>
      </c>
      <c r="D79" s="375"/>
      <c r="E79" s="377">
        <v>46112</v>
      </c>
      <c r="F79" s="378">
        <v>84400</v>
      </c>
      <c r="G79" s="403">
        <f t="shared" si="22"/>
        <v>0</v>
      </c>
      <c r="H79" s="404">
        <f t="shared" si="23"/>
        <v>0</v>
      </c>
      <c r="I79" s="405">
        <f t="shared" si="23"/>
        <v>84400</v>
      </c>
      <c r="J79" s="405">
        <f t="shared" si="23"/>
        <v>0</v>
      </c>
      <c r="K79" s="405">
        <f t="shared" si="23"/>
        <v>0</v>
      </c>
      <c r="L79" s="405">
        <f t="shared" si="23"/>
        <v>0</v>
      </c>
      <c r="M79" s="405">
        <f t="shared" si="23"/>
        <v>0</v>
      </c>
      <c r="N79" s="405">
        <f t="shared" si="23"/>
        <v>0</v>
      </c>
      <c r="O79" s="405">
        <f t="shared" si="23"/>
        <v>0</v>
      </c>
      <c r="P79" s="406">
        <f t="shared" si="23"/>
        <v>0</v>
      </c>
      <c r="Q79" s="448">
        <f t="shared" si="23"/>
        <v>0</v>
      </c>
      <c r="R79" s="379" t="s">
        <v>32</v>
      </c>
      <c r="S79" s="386"/>
      <c r="T79" s="387"/>
      <c r="U79" s="413">
        <f>IF(-0.75*((C79/(VLOOKUP($A$2,Assumptions!$B$124:$G$147,2,0)))+D79/(VLOOKUP($A$2,Assumptions!$B$124:$G$147,5,0)))=0,"",-0.75*((C79/(VLOOKUP($A$2,Assumptions!$B$124:$G$147,2,0)))+D79/(VLOOKUP($A$2,Assumptions!$B$124:$G$147,5,0))))</f>
        <v>9.7741094700260628E-3</v>
      </c>
      <c r="V79" s="414">
        <f t="shared" si="21"/>
        <v>4.3616280171367233E-2</v>
      </c>
      <c r="W79" s="451"/>
      <c r="X79" s="507" t="s">
        <v>32</v>
      </c>
      <c r="Y79" s="507"/>
      <c r="Z79" s="14"/>
    </row>
    <row r="80" spans="1:26" ht="30.75" customHeight="1">
      <c r="A80" s="525" t="s">
        <v>418</v>
      </c>
      <c r="B80" s="524" t="s">
        <v>421</v>
      </c>
      <c r="C80" s="375">
        <v>-40</v>
      </c>
      <c r="D80" s="375"/>
      <c r="E80" s="377">
        <v>46112</v>
      </c>
      <c r="F80" s="378">
        <v>84400</v>
      </c>
      <c r="G80" s="403">
        <f t="shared" si="22"/>
        <v>0</v>
      </c>
      <c r="H80" s="404">
        <f t="shared" si="23"/>
        <v>0</v>
      </c>
      <c r="I80" s="405">
        <f t="shared" si="23"/>
        <v>84400</v>
      </c>
      <c r="J80" s="405">
        <f t="shared" si="23"/>
        <v>0</v>
      </c>
      <c r="K80" s="405">
        <f t="shared" si="23"/>
        <v>0</v>
      </c>
      <c r="L80" s="405">
        <f t="shared" si="23"/>
        <v>0</v>
      </c>
      <c r="M80" s="405">
        <f t="shared" si="23"/>
        <v>0</v>
      </c>
      <c r="N80" s="405">
        <f t="shared" si="23"/>
        <v>0</v>
      </c>
      <c r="O80" s="405">
        <f t="shared" si="23"/>
        <v>0</v>
      </c>
      <c r="P80" s="406">
        <f t="shared" si="23"/>
        <v>0</v>
      </c>
      <c r="Q80" s="448">
        <f t="shared" si="23"/>
        <v>0</v>
      </c>
      <c r="R80" s="379" t="s">
        <v>32</v>
      </c>
      <c r="S80" s="386"/>
      <c r="T80" s="387"/>
      <c r="U80" s="413">
        <f>IF(-0.75*((C80/(VLOOKUP($A$2,Assumptions!$B$124:$G$147,2,0)))+D80/(VLOOKUP($A$2,Assumptions!$B$124:$G$147,5,0)))=0,"",-0.75*((C80/(VLOOKUP($A$2,Assumptions!$B$124:$G$147,2,0)))+D80/(VLOOKUP($A$2,Assumptions!$B$124:$G$147,5,0))))</f>
        <v>2.6064291920069507E-2</v>
      </c>
      <c r="V80" s="414">
        <f t="shared" si="21"/>
        <v>0.11631008045697927</v>
      </c>
      <c r="W80" s="451"/>
      <c r="X80" s="507" t="s">
        <v>32</v>
      </c>
      <c r="Y80" s="507"/>
      <c r="Z80" s="14"/>
    </row>
    <row r="81" spans="1:26" ht="81.75" customHeight="1">
      <c r="A81" s="527" t="s">
        <v>422</v>
      </c>
      <c r="B81" s="324" t="s">
        <v>423</v>
      </c>
      <c r="C81" s="375">
        <v>-10</v>
      </c>
      <c r="D81" s="375">
        <v>-38</v>
      </c>
      <c r="E81" s="377">
        <v>46112</v>
      </c>
      <c r="F81" s="378">
        <f>567000+800000</f>
        <v>1367000</v>
      </c>
      <c r="G81" s="403">
        <f t="shared" si="22"/>
        <v>0</v>
      </c>
      <c r="H81" s="404">
        <f t="shared" si="23"/>
        <v>0</v>
      </c>
      <c r="I81" s="405">
        <f t="shared" si="23"/>
        <v>1367000</v>
      </c>
      <c r="J81" s="405">
        <f t="shared" si="23"/>
        <v>0</v>
      </c>
      <c r="K81" s="405">
        <f t="shared" si="23"/>
        <v>0</v>
      </c>
      <c r="L81" s="405">
        <f t="shared" si="23"/>
        <v>0</v>
      </c>
      <c r="M81" s="405">
        <f t="shared" si="23"/>
        <v>0</v>
      </c>
      <c r="N81" s="405">
        <f t="shared" si="23"/>
        <v>0</v>
      </c>
      <c r="O81" s="405">
        <f t="shared" si="23"/>
        <v>0</v>
      </c>
      <c r="P81" s="406">
        <f t="shared" si="23"/>
        <v>0</v>
      </c>
      <c r="Q81" s="448">
        <f t="shared" si="23"/>
        <v>0</v>
      </c>
      <c r="R81" s="379" t="s">
        <v>32</v>
      </c>
      <c r="S81" s="379" t="s">
        <v>32</v>
      </c>
      <c r="T81" s="387"/>
      <c r="U81" s="413">
        <f>IF(-0.75*((C81/(VLOOKUP($A$2,Assumptions!$B$124:$G$147,2,0)))+D81/(VLOOKUP($A$2,Assumptions!$B$124:$G$147,5,0)))=0,"",-0.75*((C81/(VLOOKUP($A$2,Assumptions!$B$124:$G$147,2,0)))+D81/(VLOOKUP($A$2,Assumptions!$B$124:$G$147,5,0))))</f>
        <v>1.2335130905165918E-2</v>
      </c>
      <c r="V81" s="414">
        <f t="shared" si="21"/>
        <v>2.6086918738865124E-3</v>
      </c>
      <c r="W81" s="451"/>
      <c r="X81" s="507" t="s">
        <v>32</v>
      </c>
      <c r="Y81" s="507"/>
      <c r="Z81" s="14"/>
    </row>
    <row r="82" spans="1:26" ht="75">
      <c r="A82" s="527" t="s">
        <v>422</v>
      </c>
      <c r="B82" s="324" t="s">
        <v>423</v>
      </c>
      <c r="C82" s="375">
        <v>-10</v>
      </c>
      <c r="D82" s="375">
        <v>-38</v>
      </c>
      <c r="E82" s="377">
        <v>46477</v>
      </c>
      <c r="F82" s="378">
        <v>1100000</v>
      </c>
      <c r="G82" s="403">
        <f t="shared" si="22"/>
        <v>0</v>
      </c>
      <c r="H82" s="404">
        <f t="shared" si="23"/>
        <v>0</v>
      </c>
      <c r="I82" s="405">
        <f t="shared" si="23"/>
        <v>0</v>
      </c>
      <c r="J82" s="405">
        <f t="shared" si="23"/>
        <v>1100000</v>
      </c>
      <c r="K82" s="405">
        <f t="shared" si="23"/>
        <v>0</v>
      </c>
      <c r="L82" s="405">
        <f t="shared" si="23"/>
        <v>0</v>
      </c>
      <c r="M82" s="405">
        <f t="shared" si="23"/>
        <v>0</v>
      </c>
      <c r="N82" s="405">
        <f t="shared" si="23"/>
        <v>0</v>
      </c>
      <c r="O82" s="405">
        <f t="shared" si="23"/>
        <v>0</v>
      </c>
      <c r="P82" s="406">
        <f t="shared" si="23"/>
        <v>0</v>
      </c>
      <c r="Q82" s="448">
        <f t="shared" si="23"/>
        <v>0</v>
      </c>
      <c r="R82" s="379" t="s">
        <v>32</v>
      </c>
      <c r="S82" s="379" t="s">
        <v>32</v>
      </c>
      <c r="T82" s="387"/>
      <c r="U82" s="413">
        <f>IF(-0.75*((C82/(VLOOKUP($A$2,Assumptions!$B$124:$G$147,2,0)))+D82/(VLOOKUP($A$2,Assumptions!$B$124:$G$147,5,0)))=0,"",-0.75*((C82/(VLOOKUP($A$2,Assumptions!$B$124:$G$147,2,0)))+D82/(VLOOKUP($A$2,Assumptions!$B$124:$G$147,5,0))))</f>
        <v>1.2335130905165918E-2</v>
      </c>
      <c r="V82" s="414">
        <f t="shared" si="21"/>
        <v>3.2418925378207841E-3</v>
      </c>
      <c r="W82" s="451"/>
      <c r="X82" s="507" t="s">
        <v>32</v>
      </c>
      <c r="Y82" s="507"/>
      <c r="Z82" s="14"/>
    </row>
    <row r="83" spans="1:26" ht="75">
      <c r="A83" s="527" t="s">
        <v>422</v>
      </c>
      <c r="B83" s="324" t="s">
        <v>423</v>
      </c>
      <c r="C83" s="375">
        <v>-10</v>
      </c>
      <c r="D83" s="375">
        <v>-38</v>
      </c>
      <c r="E83" s="377">
        <v>46843</v>
      </c>
      <c r="F83" s="378">
        <v>1100000</v>
      </c>
      <c r="G83" s="403">
        <f t="shared" si="22"/>
        <v>0</v>
      </c>
      <c r="H83" s="404">
        <f t="shared" si="23"/>
        <v>0</v>
      </c>
      <c r="I83" s="405">
        <f t="shared" si="23"/>
        <v>0</v>
      </c>
      <c r="J83" s="405">
        <f t="shared" si="23"/>
        <v>0</v>
      </c>
      <c r="K83" s="405">
        <f t="shared" si="23"/>
        <v>1100000</v>
      </c>
      <c r="L83" s="405">
        <f t="shared" si="23"/>
        <v>0</v>
      </c>
      <c r="M83" s="405">
        <f t="shared" si="23"/>
        <v>0</v>
      </c>
      <c r="N83" s="405">
        <f t="shared" si="23"/>
        <v>0</v>
      </c>
      <c r="O83" s="405">
        <f t="shared" si="23"/>
        <v>0</v>
      </c>
      <c r="P83" s="406">
        <f t="shared" si="23"/>
        <v>0</v>
      </c>
      <c r="Q83" s="448">
        <f t="shared" si="23"/>
        <v>0</v>
      </c>
      <c r="R83" s="379" t="s">
        <v>32</v>
      </c>
      <c r="S83" s="379" t="s">
        <v>32</v>
      </c>
      <c r="T83" s="387"/>
      <c r="U83" s="413">
        <f>IF(-0.75*((C83/(VLOOKUP($A$2,Assumptions!$B$124:$G$147,2,0)))+D83/(VLOOKUP($A$2,Assumptions!$B$124:$G$147,5,0)))=0,"",-0.75*((C83/(VLOOKUP($A$2,Assumptions!$B$124:$G$147,2,0)))+D83/(VLOOKUP($A$2,Assumptions!$B$124:$G$147,5,0))))</f>
        <v>1.2335130905165918E-2</v>
      </c>
      <c r="V83" s="414">
        <f t="shared" si="21"/>
        <v>3.2418925378207841E-3</v>
      </c>
      <c r="W83" s="451"/>
      <c r="X83" s="507" t="s">
        <v>32</v>
      </c>
      <c r="Y83" s="507"/>
      <c r="Z83" s="14"/>
    </row>
    <row r="84" spans="1:26" ht="75">
      <c r="A84" s="527" t="s">
        <v>422</v>
      </c>
      <c r="B84" s="324" t="s">
        <v>423</v>
      </c>
      <c r="C84" s="375">
        <v>-10</v>
      </c>
      <c r="D84" s="375">
        <v>-38</v>
      </c>
      <c r="E84" s="377">
        <v>47208</v>
      </c>
      <c r="F84" s="378">
        <v>1100000</v>
      </c>
      <c r="G84" s="403">
        <f t="shared" si="22"/>
        <v>0</v>
      </c>
      <c r="H84" s="404">
        <f t="shared" si="23"/>
        <v>0</v>
      </c>
      <c r="I84" s="405">
        <f t="shared" si="23"/>
        <v>0</v>
      </c>
      <c r="J84" s="405">
        <f t="shared" si="23"/>
        <v>0</v>
      </c>
      <c r="K84" s="405">
        <f t="shared" si="23"/>
        <v>0</v>
      </c>
      <c r="L84" s="405">
        <f t="shared" si="23"/>
        <v>1100000</v>
      </c>
      <c r="M84" s="405">
        <f t="shared" si="23"/>
        <v>0</v>
      </c>
      <c r="N84" s="405">
        <f t="shared" si="23"/>
        <v>0</v>
      </c>
      <c r="O84" s="405">
        <f t="shared" si="23"/>
        <v>0</v>
      </c>
      <c r="P84" s="406">
        <f t="shared" si="23"/>
        <v>0</v>
      </c>
      <c r="Q84" s="448">
        <f t="shared" si="23"/>
        <v>0</v>
      </c>
      <c r="R84" s="379" t="s">
        <v>32</v>
      </c>
      <c r="S84" s="379" t="s">
        <v>32</v>
      </c>
      <c r="T84" s="387"/>
      <c r="U84" s="413">
        <f>IF(-0.75*((C84/(VLOOKUP($A$2,Assumptions!$B$124:$G$147,2,0)))+D84/(VLOOKUP($A$2,Assumptions!$B$124:$G$147,5,0)))=0,"",-0.75*((C84/(VLOOKUP($A$2,Assumptions!$B$124:$G$147,2,0)))+D84/(VLOOKUP($A$2,Assumptions!$B$124:$G$147,5,0))))</f>
        <v>1.2335130905165918E-2</v>
      </c>
      <c r="V84" s="414">
        <f t="shared" si="21"/>
        <v>3.2418925378207841E-3</v>
      </c>
      <c r="W84" s="451"/>
      <c r="X84" s="507" t="s">
        <v>32</v>
      </c>
      <c r="Y84" s="507"/>
      <c r="Z84" s="14"/>
    </row>
    <row r="85" spans="1:26" ht="75">
      <c r="A85" s="527" t="s">
        <v>422</v>
      </c>
      <c r="B85" s="324" t="s">
        <v>423</v>
      </c>
      <c r="C85" s="375">
        <v>-10</v>
      </c>
      <c r="D85" s="375">
        <v>-38</v>
      </c>
      <c r="E85" s="377">
        <v>47573</v>
      </c>
      <c r="F85" s="378">
        <v>1100000</v>
      </c>
      <c r="G85" s="403">
        <f t="shared" si="22"/>
        <v>0</v>
      </c>
      <c r="H85" s="404">
        <f t="shared" si="23"/>
        <v>0</v>
      </c>
      <c r="I85" s="405">
        <f t="shared" si="23"/>
        <v>0</v>
      </c>
      <c r="J85" s="405">
        <f t="shared" si="23"/>
        <v>0</v>
      </c>
      <c r="K85" s="405">
        <f t="shared" si="23"/>
        <v>0</v>
      </c>
      <c r="L85" s="405">
        <f t="shared" si="23"/>
        <v>0</v>
      </c>
      <c r="M85" s="405">
        <f t="shared" si="23"/>
        <v>1100000</v>
      </c>
      <c r="N85" s="405">
        <f t="shared" si="23"/>
        <v>0</v>
      </c>
      <c r="O85" s="405">
        <f t="shared" si="23"/>
        <v>0</v>
      </c>
      <c r="P85" s="406">
        <f t="shared" si="23"/>
        <v>0</v>
      </c>
      <c r="Q85" s="448">
        <f t="shared" si="23"/>
        <v>0</v>
      </c>
      <c r="R85" s="379" t="s">
        <v>32</v>
      </c>
      <c r="S85" s="379" t="s">
        <v>32</v>
      </c>
      <c r="T85" s="387"/>
      <c r="U85" s="413">
        <f>IF(-0.75*((C85/(VLOOKUP($A$2,Assumptions!$B$124:$G$147,2,0)))+D85/(VLOOKUP($A$2,Assumptions!$B$124:$G$147,5,0)))=0,"",-0.75*((C85/(VLOOKUP($A$2,Assumptions!$B$124:$G$147,2,0)))+D85/(VLOOKUP($A$2,Assumptions!$B$124:$G$147,5,0))))</f>
        <v>1.2335130905165918E-2</v>
      </c>
      <c r="V85" s="414">
        <f t="shared" si="21"/>
        <v>3.2418925378207841E-3</v>
      </c>
      <c r="W85" s="451"/>
      <c r="X85" s="507" t="s">
        <v>32</v>
      </c>
      <c r="Y85" s="507"/>
      <c r="Z85" s="14"/>
    </row>
    <row r="86" spans="1:26" ht="30.75" customHeight="1">
      <c r="A86" s="373"/>
      <c r="B86" s="397" t="s">
        <v>424</v>
      </c>
      <c r="C86" s="398">
        <v>-130</v>
      </c>
      <c r="D86" s="398">
        <v>-500</v>
      </c>
      <c r="E86" s="399">
        <v>48304</v>
      </c>
      <c r="F86" s="400">
        <v>1542000</v>
      </c>
      <c r="G86" s="403">
        <f t="shared" si="22"/>
        <v>0</v>
      </c>
      <c r="H86" s="404">
        <f t="shared" ref="H86:Q88" si="24">IF($E86&gt;H$66,0,IF($E86&gt;H$66-365,$F86,0))</f>
        <v>0</v>
      </c>
      <c r="I86" s="405">
        <f t="shared" si="24"/>
        <v>0</v>
      </c>
      <c r="J86" s="405">
        <f t="shared" si="24"/>
        <v>0</v>
      </c>
      <c r="K86" s="405">
        <f t="shared" si="24"/>
        <v>0</v>
      </c>
      <c r="L86" s="405">
        <f t="shared" si="24"/>
        <v>0</v>
      </c>
      <c r="M86" s="405">
        <f t="shared" si="24"/>
        <v>0</v>
      </c>
      <c r="N86" s="405">
        <f t="shared" si="24"/>
        <v>0</v>
      </c>
      <c r="O86" s="405">
        <f t="shared" si="24"/>
        <v>1542000</v>
      </c>
      <c r="P86" s="406">
        <f t="shared" si="24"/>
        <v>0</v>
      </c>
      <c r="Q86" s="448">
        <f t="shared" si="24"/>
        <v>0</v>
      </c>
      <c r="R86" s="379" t="s">
        <v>32</v>
      </c>
      <c r="S86" s="379" t="s">
        <v>32</v>
      </c>
      <c r="T86" s="387"/>
      <c r="U86" s="413">
        <f>IF(-0.75*((C86/(VLOOKUP($A$2,Assumptions!$B$124:$G$147,2,0)))+D86/(VLOOKUP($A$2,Assumptions!$B$124:$G$147,5,0)))=0,"",-0.75*((C86/(VLOOKUP($A$2,Assumptions!$B$124:$G$147,2,0)))+D86/(VLOOKUP($A$2,Assumptions!$B$124:$G$147,5,0))))</f>
        <v>0.16127550038691721</v>
      </c>
      <c r="V86" s="414">
        <f t="shared" si="21"/>
        <v>3.0178101570338896E-2</v>
      </c>
      <c r="W86" s="451"/>
      <c r="X86" s="507" t="s">
        <v>32</v>
      </c>
      <c r="Y86" s="507"/>
      <c r="Z86" s="14"/>
    </row>
    <row r="87" spans="1:26" ht="30.75" customHeight="1">
      <c r="A87" s="373"/>
      <c r="B87" s="397"/>
      <c r="C87" s="398"/>
      <c r="D87" s="398"/>
      <c r="E87" s="399"/>
      <c r="F87" s="400"/>
      <c r="G87" s="403">
        <f t="shared" si="22"/>
        <v>0</v>
      </c>
      <c r="H87" s="404">
        <f t="shared" si="24"/>
        <v>0</v>
      </c>
      <c r="I87" s="405">
        <f t="shared" si="24"/>
        <v>0</v>
      </c>
      <c r="J87" s="405">
        <f t="shared" si="24"/>
        <v>0</v>
      </c>
      <c r="K87" s="405">
        <f t="shared" si="24"/>
        <v>0</v>
      </c>
      <c r="L87" s="405">
        <f t="shared" si="24"/>
        <v>0</v>
      </c>
      <c r="M87" s="405">
        <f t="shared" si="24"/>
        <v>0</v>
      </c>
      <c r="N87" s="405">
        <f t="shared" si="24"/>
        <v>0</v>
      </c>
      <c r="O87" s="405">
        <f t="shared" si="24"/>
        <v>0</v>
      </c>
      <c r="P87" s="406">
        <f t="shared" si="24"/>
        <v>0</v>
      </c>
      <c r="Q87" s="448">
        <f t="shared" si="24"/>
        <v>0</v>
      </c>
      <c r="R87" s="379"/>
      <c r="S87" s="379"/>
      <c r="T87" s="387"/>
      <c r="U87" s="413" t="str">
        <f>IF(-0.75*((C87/(VLOOKUP($A$2,Assumptions!$B$124:$G$147,2,0)))+D87/(VLOOKUP($A$2,Assumptions!$B$124:$G$147,5,0)))=0,"",-0.75*((C87/(VLOOKUP($A$2,Assumptions!$B$124:$G$147,2,0)))+D87/(VLOOKUP($A$2,Assumptions!$B$124:$G$147,5,0))))</f>
        <v/>
      </c>
      <c r="V87" s="414" t="str">
        <f t="shared" si="21"/>
        <v/>
      </c>
      <c r="W87" s="451"/>
      <c r="X87" s="507"/>
      <c r="Y87" s="507"/>
      <c r="Z87" s="14"/>
    </row>
    <row r="88" spans="1:26" ht="32.25" customHeight="1">
      <c r="A88" s="456"/>
      <c r="B88" s="397"/>
      <c r="C88" s="398"/>
      <c r="D88" s="398"/>
      <c r="E88" s="399"/>
      <c r="F88" s="400"/>
      <c r="G88" s="407">
        <f t="shared" si="22"/>
        <v>0</v>
      </c>
      <c r="H88" s="408">
        <f t="shared" si="24"/>
        <v>0</v>
      </c>
      <c r="I88" s="409">
        <f t="shared" si="24"/>
        <v>0</v>
      </c>
      <c r="J88" s="409">
        <f t="shared" si="24"/>
        <v>0</v>
      </c>
      <c r="K88" s="409">
        <f t="shared" si="24"/>
        <v>0</v>
      </c>
      <c r="L88" s="409">
        <f t="shared" si="24"/>
        <v>0</v>
      </c>
      <c r="M88" s="409">
        <f t="shared" si="24"/>
        <v>0</v>
      </c>
      <c r="N88" s="409">
        <f t="shared" si="24"/>
        <v>0</v>
      </c>
      <c r="O88" s="409">
        <f t="shared" si="24"/>
        <v>0</v>
      </c>
      <c r="P88" s="410">
        <f t="shared" si="24"/>
        <v>0</v>
      </c>
      <c r="Q88" s="449">
        <f t="shared" si="24"/>
        <v>0</v>
      </c>
      <c r="R88" s="401"/>
      <c r="S88" s="401" t="s">
        <v>32</v>
      </c>
      <c r="T88" s="402"/>
      <c r="U88" s="413" t="str">
        <f>IF(-0.75*((C88/(VLOOKUP($A$2,Assumptions!$B$124:$G$147,2,0)))+D88/(VLOOKUP($A$2,Assumptions!$B$124:$G$147,5,0)))=0,"",-0.75*((C88/(VLOOKUP($A$2,Assumptions!$B$124:$G$147,2,0)))+D88/(VLOOKUP($A$2,Assumptions!$B$124:$G$147,5,0))))</f>
        <v/>
      </c>
      <c r="V88" s="415" t="str">
        <f t="shared" si="21"/>
        <v/>
      </c>
      <c r="W88" s="452"/>
      <c r="X88" s="507" t="s">
        <v>32</v>
      </c>
      <c r="Y88" s="507" t="s">
        <v>32</v>
      </c>
      <c r="Z88" s="14"/>
    </row>
    <row r="89" spans="1:26"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5">IF(ISERROR(((-C89*1000*$W$162)/F89)),"",((-C89*1000*$W$162)/F89))</f>
        <v/>
      </c>
      <c r="W89" s="304" t="str">
        <f t="shared" si="25"/>
        <v/>
      </c>
      <c r="X89" s="304"/>
      <c r="Y89" s="304"/>
      <c r="Z89" s="24"/>
    </row>
    <row r="90" spans="1:26"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c r="Y90" s="170"/>
      <c r="Z90" s="24"/>
    </row>
    <row r="91" spans="1:26"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c r="Y91" s="170"/>
      <c r="Z91" s="24"/>
    </row>
    <row r="92" spans="1:26"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c r="Y92" s="170"/>
      <c r="Z92" s="24"/>
    </row>
    <row r="93" spans="1:26"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c r="Y93" s="170"/>
      <c r="Z93" s="24"/>
    </row>
    <row r="94" spans="1:26"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c r="Y94" s="170"/>
      <c r="Z94" s="24"/>
    </row>
    <row r="95" spans="1:26"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c r="Y95" s="170"/>
      <c r="Z95" s="24"/>
    </row>
    <row r="96" spans="1:26"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c r="Y96" s="170"/>
      <c r="Z96" s="24"/>
    </row>
    <row r="97" spans="1:26"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c r="Y97" s="170"/>
      <c r="Z97" s="24"/>
    </row>
    <row r="98" spans="1:26"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c r="Y98" s="170"/>
      <c r="Z98" s="24"/>
    </row>
    <row r="99" spans="1:26"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c r="Y99" s="170"/>
      <c r="Z99" s="24"/>
    </row>
    <row r="100" spans="1:26"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c r="Y100" s="170"/>
      <c r="Z100" s="24"/>
    </row>
    <row r="101" spans="1:26"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c r="Y101" s="170"/>
      <c r="Z101" s="24"/>
    </row>
    <row r="102" spans="1:26"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c r="Y102" s="170"/>
      <c r="Z102" s="24"/>
    </row>
    <row r="103" spans="1:26"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c r="Y103" s="170"/>
      <c r="Z103" s="24"/>
    </row>
    <row r="104" spans="1:26"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c r="Y104" s="170"/>
      <c r="Z104" s="24"/>
    </row>
    <row r="105" spans="1:26"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c r="Y105" s="170"/>
      <c r="Z105" s="24"/>
    </row>
    <row r="106" spans="1:26"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c r="Y106" s="170"/>
      <c r="Z106" s="24"/>
    </row>
    <row r="107" spans="1:26"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c r="Y107" s="170"/>
      <c r="Z107" s="24"/>
    </row>
    <row r="108" spans="1:26"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c r="Y108" s="170"/>
      <c r="Z108" s="24"/>
    </row>
    <row r="109" spans="1:26"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c r="Y109" s="170"/>
      <c r="Z109" s="24"/>
    </row>
    <row r="110" spans="1:26"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c r="Y110" s="170"/>
      <c r="Z110" s="24"/>
    </row>
    <row r="111" spans="1:26"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c r="Y111" s="170"/>
      <c r="Z111" s="24"/>
    </row>
    <row r="112" spans="1:26"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c r="Y112" s="170"/>
      <c r="Z112" s="24"/>
    </row>
    <row r="113" spans="1:26" ht="18.75" hidden="1" customHeight="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c r="Y113" s="170"/>
      <c r="Z113" s="24"/>
    </row>
    <row r="114" spans="1:26"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c r="Y114" s="173"/>
      <c r="Z114" s="24"/>
    </row>
    <row r="115" spans="1:26" ht="15">
      <c r="A115" s="13"/>
      <c r="B115" s="353"/>
      <c r="C115" s="354">
        <f>(SUM(C69:C88))</f>
        <v>-860</v>
      </c>
      <c r="D115" s="354">
        <f>SUM(D69:D88)</f>
        <v>-1140</v>
      </c>
      <c r="E115" s="355"/>
      <c r="F115" s="333">
        <f>SUM(F69:F114)</f>
        <v>10893095</v>
      </c>
      <c r="G115" s="388">
        <f>SUM(G69:G114)</f>
        <v>173896</v>
      </c>
      <c r="H115" s="388">
        <f t="shared" ref="H115:N115" si="26">SUM(H69:H114)</f>
        <v>2346400</v>
      </c>
      <c r="I115" s="388">
        <f t="shared" si="26"/>
        <v>2430800</v>
      </c>
      <c r="J115" s="388">
        <f t="shared" si="26"/>
        <v>1100000</v>
      </c>
      <c r="K115" s="388">
        <f t="shared" si="26"/>
        <v>1100000</v>
      </c>
      <c r="L115" s="388">
        <f t="shared" si="26"/>
        <v>1100000</v>
      </c>
      <c r="M115" s="388">
        <f t="shared" si="26"/>
        <v>1100000</v>
      </c>
      <c r="N115" s="388">
        <f t="shared" si="26"/>
        <v>0</v>
      </c>
      <c r="O115" s="388">
        <f>SUM(O69:O114)</f>
        <v>1542000</v>
      </c>
      <c r="P115" s="388">
        <f>SUM(P69:P114)</f>
        <v>0</v>
      </c>
      <c r="Q115" s="388">
        <f>SUM(Q69:Q114)</f>
        <v>0</v>
      </c>
      <c r="R115" s="388">
        <f>SUMIFS(F69:F114,R69:R114,"Yes")-0.5*SUMIFS(F69:F114,R69:R114,"Yes",S69:S114,"Yes")</f>
        <v>6476895</v>
      </c>
      <c r="S115" s="388">
        <f>SUMIFS(F69:F114,S69:S114,"Yes")-0.5*SUMIFS(F69:F114,S69:S114,"Yes",R69:R114,"Yes")</f>
        <v>4329900</v>
      </c>
      <c r="T115" s="388">
        <f>SUMIFS(F69:F114,T69:T114,"Yes")</f>
        <v>30000</v>
      </c>
      <c r="U115" s="389">
        <f>SUM(U69:U114)</f>
        <v>0.73495401403595051</v>
      </c>
      <c r="V115" s="390">
        <f>IF(ISERROR(((-1*C115*1000*$D$6)+(-1*D115*$D$8))/F115),"",((-1*C115*1000*$D$6)+(-1*D115*$D$8))/F115)</f>
        <v>2.2437557444973409E-2</v>
      </c>
      <c r="W115" s="391">
        <f>SUMIFS(F69:F114,W69:W114,"Yes")</f>
        <v>0</v>
      </c>
      <c r="X115" s="391">
        <f>SUMIFS(F68:F113,X69:X114,"Yes")</f>
        <v>9177200</v>
      </c>
      <c r="Y115" s="391">
        <f>SUMIFS(F69:F114,Y69:Y114,"Yes")</f>
        <v>173000</v>
      </c>
      <c r="Z115" s="24"/>
    </row>
    <row r="116" spans="1:26"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c r="Y116" s="24"/>
      <c r="Z116" s="24"/>
    </row>
    <row r="117" spans="1:26">
      <c r="A117" s="13"/>
      <c r="B117" s="13">
        <f>456/5</f>
        <v>91.2</v>
      </c>
      <c r="C117" s="13"/>
      <c r="D117" s="13"/>
      <c r="E117" s="13"/>
      <c r="F117" s="13"/>
      <c r="G117" s="13"/>
      <c r="H117" s="13"/>
      <c r="I117" s="13"/>
      <c r="J117" s="13"/>
      <c r="K117" s="13"/>
      <c r="L117" s="13"/>
      <c r="M117" s="13"/>
      <c r="N117" s="13"/>
      <c r="O117" s="13"/>
      <c r="P117" s="13"/>
      <c r="Q117" s="13"/>
      <c r="S117" s="13"/>
      <c r="T117" s="13"/>
      <c r="U117" s="13"/>
    </row>
    <row r="118" spans="1:26">
      <c r="A118" s="13"/>
      <c r="B118" s="13"/>
      <c r="C118" s="13"/>
      <c r="D118" s="13"/>
      <c r="E118" s="13"/>
      <c r="F118" s="13"/>
      <c r="G118" s="13"/>
      <c r="H118" s="13"/>
      <c r="I118" s="13"/>
      <c r="J118" s="13"/>
      <c r="K118" s="13"/>
      <c r="L118" s="13"/>
      <c r="M118" s="13"/>
      <c r="N118" s="13"/>
      <c r="O118" s="13"/>
      <c r="P118" s="13"/>
      <c r="Q118" s="13"/>
      <c r="R118" s="13"/>
      <c r="S118" s="13"/>
      <c r="T118" s="13"/>
      <c r="U118" s="13"/>
    </row>
    <row r="119" spans="1:26">
      <c r="A119" s="13"/>
      <c r="B119" s="13"/>
      <c r="C119" s="13"/>
      <c r="D119" s="13"/>
      <c r="E119" s="13"/>
      <c r="F119" s="13"/>
      <c r="G119" s="13"/>
      <c r="H119" s="13"/>
      <c r="I119" s="13"/>
      <c r="J119" s="13"/>
      <c r="K119" s="13"/>
      <c r="L119" s="13"/>
      <c r="M119" s="13"/>
      <c r="N119" s="13"/>
      <c r="O119" s="13"/>
      <c r="P119" s="13"/>
      <c r="Q119" s="13"/>
      <c r="R119" s="13"/>
      <c r="S119" s="13"/>
      <c r="T119" s="13"/>
      <c r="U119" s="13"/>
    </row>
    <row r="120" spans="1:26" ht="13">
      <c r="A120" s="13"/>
      <c r="B120" s="10"/>
      <c r="C120" s="10"/>
      <c r="D120" s="10"/>
      <c r="E120" s="10"/>
      <c r="F120" s="10"/>
      <c r="G120" s="10"/>
      <c r="H120" s="10"/>
      <c r="I120" s="10"/>
      <c r="J120" s="10"/>
      <c r="K120" s="10"/>
      <c r="L120" s="10"/>
      <c r="M120" s="10"/>
      <c r="N120" s="10"/>
      <c r="O120" s="10"/>
      <c r="P120" s="13"/>
      <c r="Q120" s="13"/>
      <c r="R120" s="21" t="s">
        <v>425</v>
      </c>
      <c r="S120" s="22">
        <f>-AL214</f>
        <v>645</v>
      </c>
      <c r="T120" s="13"/>
      <c r="U120" s="13"/>
    </row>
    <row r="121" spans="1:26" s="20" customFormat="1">
      <c r="A121" s="13"/>
      <c r="B121" s="10"/>
      <c r="C121" s="10"/>
      <c r="D121" s="10"/>
      <c r="E121" s="10"/>
      <c r="F121" s="10"/>
      <c r="G121" s="10"/>
      <c r="H121" s="10"/>
      <c r="I121" s="10"/>
      <c r="J121" s="10"/>
      <c r="K121" s="10"/>
      <c r="L121" s="10"/>
      <c r="M121" s="10"/>
      <c r="N121" s="10"/>
      <c r="O121" s="10"/>
      <c r="P121" s="13"/>
      <c r="Q121" s="13"/>
      <c r="R121" s="13"/>
      <c r="S121" s="13"/>
      <c r="T121" s="13"/>
      <c r="U121" s="13"/>
      <c r="V121" s="13"/>
    </row>
    <row r="122" spans="1:26" s="20" customFormat="1">
      <c r="A122" s="13"/>
      <c r="B122" s="10"/>
      <c r="C122" s="10"/>
      <c r="D122" s="10"/>
      <c r="E122" s="10"/>
      <c r="F122" s="10"/>
      <c r="G122" s="10"/>
      <c r="H122" s="10"/>
      <c r="I122" s="10"/>
      <c r="J122" s="10"/>
      <c r="K122" s="10"/>
      <c r="L122" s="10"/>
      <c r="M122" s="10"/>
      <c r="N122" s="10"/>
      <c r="O122" s="10"/>
      <c r="P122" s="13"/>
      <c r="Q122" s="13"/>
      <c r="R122" s="13"/>
      <c r="S122" s="13"/>
      <c r="T122" s="13"/>
      <c r="U122" s="13"/>
      <c r="V122" s="13"/>
    </row>
    <row r="123" spans="1:26" s="20" customFormat="1" ht="13">
      <c r="A123" s="13"/>
      <c r="B123" s="10"/>
      <c r="C123" s="10"/>
      <c r="D123" s="10"/>
      <c r="E123" s="10"/>
      <c r="F123" s="10"/>
      <c r="G123" s="10"/>
      <c r="H123" s="10"/>
      <c r="I123" s="10"/>
      <c r="J123" s="10"/>
      <c r="K123" s="10"/>
      <c r="L123" s="10"/>
      <c r="M123" s="10"/>
      <c r="N123" s="10"/>
      <c r="O123" s="10"/>
      <c r="P123" s="13"/>
      <c r="Q123" s="13"/>
      <c r="R123" s="21" t="s">
        <v>426</v>
      </c>
      <c r="S123" s="276">
        <f>BZ161</f>
        <v>5.1823222439660794</v>
      </c>
      <c r="T123" s="13"/>
      <c r="U123" s="13"/>
      <c r="V123" s="13"/>
    </row>
    <row r="124" spans="1:26" s="20" customFormat="1" ht="13">
      <c r="A124" s="13"/>
      <c r="B124" s="10"/>
      <c r="C124" s="10"/>
      <c r="D124" s="10"/>
      <c r="E124" s="10"/>
      <c r="F124" s="10"/>
      <c r="G124" s="10"/>
      <c r="H124" s="10"/>
      <c r="I124" s="24"/>
      <c r="J124" s="24"/>
      <c r="K124" s="10"/>
      <c r="L124" s="10"/>
      <c r="M124" s="10"/>
      <c r="N124" s="10"/>
      <c r="O124" s="24"/>
      <c r="R124" s="21" t="str">
        <f>"Expected Rating at "&amp;DAY(AA166)&amp;"/"&amp;MONTH(AA166)&amp;"/"&amp;YEAR(AA166)&amp;":"</f>
        <v>Expected Rating at 31/3/2024:</v>
      </c>
      <c r="S124" s="22">
        <f>AA216</f>
        <v>5.1606552665612879</v>
      </c>
      <c r="T124" s="13"/>
      <c r="U124" s="13"/>
      <c r="V124" s="13"/>
    </row>
    <row r="125" spans="1:26" s="20" customFormat="1" ht="13">
      <c r="A125" s="13"/>
      <c r="B125" s="10"/>
      <c r="C125" s="10"/>
      <c r="D125" s="10"/>
      <c r="E125" s="10"/>
      <c r="F125" s="10"/>
      <c r="G125" s="10"/>
      <c r="H125" s="10"/>
      <c r="I125" s="24"/>
      <c r="J125" s="24"/>
      <c r="K125" s="10"/>
      <c r="L125" s="10"/>
      <c r="M125" s="10"/>
      <c r="N125" s="10"/>
      <c r="O125" s="24"/>
      <c r="R125" s="21" t="str">
        <f>"Expected Rating at "&amp;DAY(AB166)&amp;"/"&amp;MONTH(AB166)&amp;"/"&amp;YEAR(AB166)&amp;":"</f>
        <v>Expected Rating at 31/3/2025:</v>
      </c>
      <c r="S125" s="22">
        <f>AB216</f>
        <v>5.1749719079986978</v>
      </c>
      <c r="T125" s="13"/>
      <c r="U125" s="13"/>
      <c r="V125" s="13"/>
    </row>
    <row r="126" spans="1:26" s="20" customFormat="1" ht="13">
      <c r="A126" s="13"/>
      <c r="B126" s="10"/>
      <c r="C126" s="10"/>
      <c r="D126" s="10"/>
      <c r="E126" s="10"/>
      <c r="F126" s="10"/>
      <c r="G126" s="10"/>
      <c r="H126" s="10"/>
      <c r="I126" s="24"/>
      <c r="J126" s="24"/>
      <c r="K126" s="10"/>
      <c r="L126" s="10"/>
      <c r="M126" s="10"/>
      <c r="N126" s="10"/>
      <c r="O126" s="24"/>
      <c r="R126" s="21" t="str">
        <f>"Expected Rating at "&amp;DAY(AC166)&amp;"/"&amp;MONTH(AC166)&amp;"/"&amp;YEAR(AC166)&amp;":"</f>
        <v>Expected Rating at 31/3/2026:</v>
      </c>
      <c r="S126" s="22">
        <f>AC216</f>
        <v>5.5615212268087628</v>
      </c>
    </row>
    <row r="127" spans="1:26" s="20" customFormat="1" ht="13">
      <c r="A127" s="13"/>
      <c r="B127" s="10"/>
      <c r="C127" s="10"/>
      <c r="D127" s="10"/>
      <c r="E127" s="10"/>
      <c r="F127" s="10"/>
      <c r="G127" s="10"/>
      <c r="H127" s="10"/>
      <c r="I127" s="24"/>
      <c r="J127" s="24"/>
      <c r="K127" s="10"/>
      <c r="L127" s="10"/>
      <c r="M127" s="10"/>
      <c r="N127" s="10"/>
      <c r="O127" s="24"/>
      <c r="R127" s="21" t="str">
        <f>"Expected Rating at "&amp;DAY(AD166)&amp;"/"&amp;MONTH(AD166)&amp;"/"&amp;YEAR(AD166)&amp;":"</f>
        <v>Expected Rating at 31/3/2027:</v>
      </c>
      <c r="S127" s="22">
        <f>AD216</f>
        <v>5.6767163173884292</v>
      </c>
      <c r="T127" s="13"/>
      <c r="U127" s="13"/>
      <c r="V127" s="13"/>
    </row>
    <row r="128" spans="1:26" s="20" customFormat="1" ht="13">
      <c r="A128" s="13"/>
      <c r="B128" s="10"/>
      <c r="C128" s="10"/>
      <c r="D128" s="10"/>
      <c r="E128" s="10"/>
      <c r="F128" s="10"/>
      <c r="G128" s="10"/>
      <c r="H128" s="10"/>
      <c r="I128" s="24"/>
      <c r="J128" s="24"/>
      <c r="K128" s="10"/>
      <c r="L128" s="10"/>
      <c r="M128" s="10"/>
      <c r="N128" s="10"/>
      <c r="O128" s="24"/>
      <c r="R128" s="21" t="str">
        <f>"Expected Rating at "&amp;DAY(AE166)&amp;"/"&amp;MONTH(AE166)&amp;"/"&amp;YEAR(AE166)&amp;":"</f>
        <v>Expected Rating at 31/3/2028:</v>
      </c>
      <c r="S128" s="22">
        <f>AE216</f>
        <v>5.6855984147607961</v>
      </c>
      <c r="T128" s="13"/>
      <c r="U128" s="13"/>
      <c r="V128" s="13"/>
    </row>
    <row r="129" spans="18:19" s="20" customFormat="1" ht="13">
      <c r="R129" s="21" t="str">
        <f>"Expected Rating at "&amp;DAY(AF166)&amp;"/"&amp;MONTH(AF166)&amp;"/"&amp;YEAR(AF166)&amp;":"</f>
        <v>Expected Rating at 31/3/2029:</v>
      </c>
      <c r="S129" s="22">
        <f>AF216</f>
        <v>5.694480512133163</v>
      </c>
    </row>
    <row r="130" spans="18:19" s="20" customFormat="1" ht="13">
      <c r="R130" s="21" t="str">
        <f>"Expected Rating at "&amp;DAY(AG166)&amp;"/"&amp;MONTH(AG166)&amp;"/"&amp;YEAR(AG166)&amp;":"</f>
        <v>Expected Rating at 31/3/2030:</v>
      </c>
      <c r="S130" s="22">
        <f>AG216</f>
        <v>5.7033626095055299</v>
      </c>
    </row>
    <row r="131" spans="18:19" s="20" customFormat="1" ht="13">
      <c r="R131" s="21" t="str">
        <f>"Expected Rating at "&amp;DAY(AH166)&amp;"/"&amp;MONTH(AH166)&amp;"/"&amp;YEAR(AH166)&amp;":"</f>
        <v>Expected Rating at 31/3/2031:</v>
      </c>
      <c r="S131" s="22">
        <f>AH216</f>
        <v>5.7122447068778968</v>
      </c>
    </row>
    <row r="132" spans="18:19" s="20" customFormat="1" ht="13">
      <c r="R132" s="21" t="str">
        <f>"Expected Rating at "&amp;DAY(AI166)&amp;"/"&amp;MONTH(AI166)&amp;"/"&amp;YEAR(AI166)&amp;":"</f>
        <v>Expected Rating at 31/3/2032:</v>
      </c>
      <c r="S132" s="22">
        <f>AI216</f>
        <v>5.7122447068778968</v>
      </c>
    </row>
    <row r="133" spans="18:19" s="20" customFormat="1" ht="13">
      <c r="R133" s="21" t="str">
        <f>"Expected Rating at "&amp;DAY(AJ166)&amp;"/"&amp;MONTH(AJ166)&amp;"/"&amp;YEAR(AJ166)&amp;":"</f>
        <v>Expected Rating at 31/3/2033:</v>
      </c>
      <c r="S133" s="276">
        <f>AJ216</f>
        <v>5.8279841479797723</v>
      </c>
    </row>
    <row r="134" spans="18:19" s="20" customFormat="1">
      <c r="S134" s="276">
        <f>AK216</f>
        <v>5.8279841479797723</v>
      </c>
    </row>
    <row r="135" spans="18:19" s="20" customFormat="1">
      <c r="R135" s="13"/>
      <c r="S135" s="286">
        <f>S133-S123</f>
        <v>0.64566190401369283</v>
      </c>
    </row>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7">AQ156*0.5</f>
        <v>20.914999999999999</v>
      </c>
      <c r="AR154" s="338">
        <f t="shared" si="27"/>
        <v>26.98</v>
      </c>
      <c r="AS154" s="8"/>
      <c r="AT154" s="25">
        <v>6</v>
      </c>
      <c r="AU154" s="339">
        <f>AU156*0.5</f>
        <v>64.760000000000005</v>
      </c>
      <c r="AV154" s="339">
        <f t="shared" ref="AV154:AY154" si="28">AV156*0.5</f>
        <v>69.5</v>
      </c>
      <c r="AW154" s="339">
        <f t="shared" si="28"/>
        <v>59.814999999999998</v>
      </c>
      <c r="AX154" s="339">
        <f t="shared" si="28"/>
        <v>33.69</v>
      </c>
      <c r="AY154" s="339">
        <f t="shared" si="28"/>
        <v>44.87</v>
      </c>
      <c r="AZ154" s="8"/>
      <c r="BA154" s="25">
        <v>6</v>
      </c>
      <c r="BB154" s="24">
        <f t="shared" ref="BB154:BB155" si="29">IF($C$58="Base",BF154,BG154)</f>
        <v>34.795000000000002</v>
      </c>
      <c r="BC154" s="24" t="s">
        <v>436</v>
      </c>
      <c r="BD154" s="8"/>
      <c r="BE154" s="8"/>
      <c r="BF154" s="24">
        <f t="shared" ref="BF154:BF155" si="30">IF($C$59&gt;7000,"error",IF($C$59&gt;5999,AR154,IF($C$59&gt;4999,AQ154,IF($C$59&gt;3999,AP154,IF($C$59&gt;2999,AO154,IF($C$59&gt;1999,AN154,"Error"))))))</f>
        <v>34.795000000000002</v>
      </c>
      <c r="BG154" s="24">
        <f t="shared" ref="BG154:BG164" si="31">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2">AQ156*0.75</f>
        <v>31.372499999999999</v>
      </c>
      <c r="AR155" s="338">
        <f t="shared" si="32"/>
        <v>40.47</v>
      </c>
      <c r="AS155" s="24"/>
      <c r="AT155" s="25">
        <v>5.5</v>
      </c>
      <c r="AU155" s="339">
        <f>AU156*0.75</f>
        <v>97.140000000000015</v>
      </c>
      <c r="AV155" s="339">
        <f t="shared" ref="AV155:AY155" si="33">AV156*0.75</f>
        <v>104.25</v>
      </c>
      <c r="AW155" s="339">
        <f t="shared" si="33"/>
        <v>89.722499999999997</v>
      </c>
      <c r="AX155" s="339">
        <f t="shared" si="33"/>
        <v>50.534999999999997</v>
      </c>
      <c r="AY155" s="339">
        <f t="shared" si="33"/>
        <v>67.304999999999993</v>
      </c>
      <c r="AZ155" s="24"/>
      <c r="BA155" s="25">
        <v>5.5</v>
      </c>
      <c r="BB155" s="24">
        <f t="shared" si="29"/>
        <v>52.192500000000003</v>
      </c>
      <c r="BC155" s="24" t="s">
        <v>436</v>
      </c>
      <c r="BE155" s="24"/>
      <c r="BF155" s="24">
        <f t="shared" si="30"/>
        <v>52.192500000000003</v>
      </c>
      <c r="BG155" s="24">
        <f t="shared" si="31"/>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1"/>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25698</v>
      </c>
      <c r="BW156" s="14" t="s">
        <v>445</v>
      </c>
      <c r="BX156" s="14" t="s">
        <v>13</v>
      </c>
      <c r="BY156" s="14">
        <f>BY157/BV156</f>
        <v>60.743377773756713</v>
      </c>
      <c r="BZ156" s="14"/>
    </row>
    <row r="157" spans="20:78" ht="13">
      <c r="T157" s="56">
        <f>Assumptions!C41</f>
        <v>245.41426976422628</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4">IF($C$58="Base",BF157,BG157)</f>
        <v>84.92</v>
      </c>
      <c r="BC157" s="24" t="s">
        <v>436</v>
      </c>
      <c r="BD157" s="24">
        <f>BB157-BB156</f>
        <v>15.329999999999998</v>
      </c>
      <c r="BE157" s="24"/>
      <c r="BF157" s="24">
        <f t="shared" ref="BF157:BF164" si="35">IF($C$59&gt;7000,"error",IF($C$59&gt;5999,AR157,IF($C$59&gt;4999,AQ157,IF($C$59&gt;3999,AP157,IF($C$59&gt;2999,AO157,IF($C$59&gt;1999,AN157,"Error"))))))</f>
        <v>84.92</v>
      </c>
      <c r="BG157" s="24">
        <f t="shared" si="31"/>
        <v>158.69</v>
      </c>
      <c r="BH157" s="24"/>
      <c r="BI157" s="29" t="s">
        <v>118</v>
      </c>
      <c r="BJ157" s="29">
        <v>810</v>
      </c>
      <c r="BK157" s="29">
        <v>51.33</v>
      </c>
      <c r="BL157" s="24">
        <v>2000</v>
      </c>
      <c r="BM157" s="25"/>
      <c r="BN157" s="24">
        <f>BV161/BV158</f>
        <v>30.111560995949077</v>
      </c>
      <c r="BO157" s="32" t="s">
        <v>447</v>
      </c>
      <c r="BP157" s="24">
        <f>$BY$158/SUM($BY$158:$BY$159)*C64</f>
        <v>60.601640686960486</v>
      </c>
      <c r="BQ157" s="29" t="s">
        <v>448</v>
      </c>
      <c r="BR157" s="29" t="s">
        <v>449</v>
      </c>
      <c r="BS157" s="29" t="s">
        <v>450</v>
      </c>
      <c r="BT157" s="14"/>
      <c r="BU157" s="30" t="s">
        <v>451</v>
      </c>
      <c r="BV157" s="33">
        <f xml:space="preserve"> 5 - 0.5*(BV158-BB156)/BH166</f>
        <v>5.2931624042087257</v>
      </c>
      <c r="BW157" s="14" t="s">
        <v>452</v>
      </c>
      <c r="BX157" s="14" t="s">
        <v>453</v>
      </c>
      <c r="BY157" s="14">
        <f>SUM(BY158:BY159)</f>
        <v>1560983.3220299999</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4"/>
        <v>100.25</v>
      </c>
      <c r="BC158" s="24" t="s">
        <v>436</v>
      </c>
      <c r="BD158" s="24">
        <f t="shared" ref="BD158:BD164" si="36">BB158-BB157</f>
        <v>15.329999999999998</v>
      </c>
      <c r="BE158" s="24"/>
      <c r="BF158" s="24">
        <f t="shared" si="35"/>
        <v>100.25</v>
      </c>
      <c r="BG158" s="24">
        <f t="shared" si="31"/>
        <v>187.86</v>
      </c>
      <c r="BH158" s="24"/>
      <c r="BI158" s="29" t="s">
        <v>150</v>
      </c>
      <c r="BJ158" s="29">
        <v>810</v>
      </c>
      <c r="BK158" s="29">
        <v>51.33</v>
      </c>
      <c r="BL158" s="24">
        <v>3000</v>
      </c>
      <c r="BM158" s="25"/>
      <c r="BN158" s="24">
        <f>BV162/BV163</f>
        <v>475.16782401556111</v>
      </c>
      <c r="BO158" s="24" t="s">
        <v>454</v>
      </c>
      <c r="BP158" s="179">
        <f>$BY$159/SUM($BY$158:$BY$159)*C64</f>
        <v>3.3983593130395078</v>
      </c>
      <c r="BQ158" s="29" t="s">
        <v>455</v>
      </c>
      <c r="BR158" s="29" t="s">
        <v>456</v>
      </c>
      <c r="BS158" s="29" t="s">
        <v>457</v>
      </c>
      <c r="BT158" s="14"/>
      <c r="BU158" s="30" t="s">
        <v>458</v>
      </c>
      <c r="BV158" s="31">
        <f>BP157</f>
        <v>60.601640686960486</v>
      </c>
      <c r="BW158" s="14" t="s">
        <v>436</v>
      </c>
      <c r="BX158" s="14" t="s">
        <v>459</v>
      </c>
      <c r="BY158" s="620">
        <f>INDEX($BJ$156:$BJ$161,MATCH($C$57,$BI$156:$BI$161,0))*$C$62</f>
        <v>1478096.0999999999</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4"/>
        <v>115.57</v>
      </c>
      <c r="BC159" s="24" t="s">
        <v>436</v>
      </c>
      <c r="BD159" s="24">
        <f t="shared" si="36"/>
        <v>15.319999999999993</v>
      </c>
      <c r="BE159" s="24"/>
      <c r="BF159" s="24">
        <f t="shared" si="35"/>
        <v>115.57</v>
      </c>
      <c r="BG159" s="24">
        <f t="shared" si="31"/>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178">
        <f>INDEX($BK$156:$BK$161,MATCH($C$57,$BI$156:$BI$161,0))*$C$63</f>
        <v>82887.22202999999</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4"/>
        <v>130.9</v>
      </c>
      <c r="BC160" s="24" t="s">
        <v>436</v>
      </c>
      <c r="BD160" s="24">
        <f t="shared" si="36"/>
        <v>15.330000000000013</v>
      </c>
      <c r="BE160" s="24"/>
      <c r="BF160" s="24">
        <f t="shared" si="35"/>
        <v>130.9</v>
      </c>
      <c r="BG160" s="24">
        <f t="shared" si="31"/>
        <v>246.21</v>
      </c>
      <c r="BH160" s="24"/>
      <c r="BI160" s="29" t="s">
        <v>129</v>
      </c>
      <c r="BJ160" s="29">
        <v>980</v>
      </c>
      <c r="BK160" s="29">
        <v>51.33</v>
      </c>
      <c r="BL160" s="24">
        <v>5000</v>
      </c>
      <c r="BM160" s="25"/>
      <c r="BN160" s="24">
        <f>W162</f>
        <v>0.247</v>
      </c>
      <c r="BO160" s="24"/>
      <c r="BP160" s="24"/>
      <c r="BQ160" s="29" t="s">
        <v>466</v>
      </c>
      <c r="BR160" s="29" t="s">
        <v>467</v>
      </c>
      <c r="BS160" s="29"/>
      <c r="BT160" s="34"/>
      <c r="BU160" s="30" t="s">
        <v>468</v>
      </c>
      <c r="BV160" s="30" t="s">
        <v>469</v>
      </c>
      <c r="BW160" s="30" t="s">
        <v>433</v>
      </c>
      <c r="BX160" s="14"/>
      <c r="BY160" s="24">
        <f>((BY158+BY159)/$C$60)*(50/$C$61)</f>
        <v>60.501372284618235</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4"/>
        <v>146.22999999999999</v>
      </c>
      <c r="BC161" s="24" t="s">
        <v>436</v>
      </c>
      <c r="BD161" s="24">
        <f t="shared" si="36"/>
        <v>15.329999999999984</v>
      </c>
      <c r="BE161" s="24"/>
      <c r="BF161" s="24">
        <f t="shared" si="35"/>
        <v>146.22999999999999</v>
      </c>
      <c r="BG161" s="24">
        <f t="shared" si="31"/>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1824.81</v>
      </c>
      <c r="BW161" s="14" t="s">
        <v>311</v>
      </c>
      <c r="BX161" s="14"/>
      <c r="BY161" s="14"/>
      <c r="BZ161" s="38">
        <f>5-(0.5*(C64-CE177)/(CE176-CE177))</f>
        <v>5.1823222439660794</v>
      </c>
      <c r="CA161" s="14"/>
      <c r="CB161" s="14"/>
      <c r="CC161" s="14"/>
      <c r="CD161" s="14"/>
      <c r="CE161" s="24"/>
      <c r="CF161" s="24"/>
      <c r="CG161" s="14"/>
      <c r="CH161" s="14"/>
      <c r="CI161" s="14"/>
      <c r="CJ161" s="14"/>
    </row>
    <row r="162" spans="7:88">
      <c r="T162" s="24"/>
      <c r="U162" s="24"/>
      <c r="V162" s="13" t="str">
        <f>A2</f>
        <v>1 Market Street</v>
      </c>
      <c r="W162" s="40">
        <v>0.247</v>
      </c>
      <c r="X162" s="39" t="s">
        <v>472</v>
      </c>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4"/>
        <v>161.56</v>
      </c>
      <c r="BC162" s="24" t="s">
        <v>436</v>
      </c>
      <c r="BD162" s="24">
        <f t="shared" si="36"/>
        <v>15.330000000000013</v>
      </c>
      <c r="BE162" s="24"/>
      <c r="BF162" s="24">
        <f t="shared" si="35"/>
        <v>161.56</v>
      </c>
      <c r="BG162" s="24">
        <f t="shared" si="31"/>
        <v>304.55</v>
      </c>
      <c r="BH162" s="24"/>
      <c r="BI162" s="24"/>
      <c r="BJ162" s="24"/>
      <c r="BK162" s="24"/>
      <c r="BL162" s="24"/>
      <c r="BM162" s="37"/>
      <c r="BN162" s="37"/>
      <c r="BO162" s="37"/>
      <c r="BP162" s="37"/>
      <c r="BQ162" s="29" t="s">
        <v>473</v>
      </c>
      <c r="BR162" s="24"/>
      <c r="BS162" s="24"/>
      <c r="BT162" s="14"/>
      <c r="BU162" s="14" t="s">
        <v>474</v>
      </c>
      <c r="BV162" s="31">
        <f>C63</f>
        <v>1614.7909999999999</v>
      </c>
      <c r="BW162" s="14" t="s">
        <v>314</v>
      </c>
      <c r="BX162" s="14"/>
      <c r="BY162" s="14">
        <f>C63*BK156</f>
        <v>82887.22202999999</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4"/>
        <v>176.89</v>
      </c>
      <c r="BC163" s="24" t="s">
        <v>436</v>
      </c>
      <c r="BD163" s="24">
        <f t="shared" si="36"/>
        <v>15.329999999999984</v>
      </c>
      <c r="BE163" s="24"/>
      <c r="BF163" s="24">
        <f t="shared" si="35"/>
        <v>176.89</v>
      </c>
      <c r="BG163" s="24">
        <f t="shared" si="31"/>
        <v>333.72</v>
      </c>
      <c r="BH163" s="24"/>
      <c r="BI163" s="24"/>
      <c r="BJ163" s="24"/>
      <c r="BK163" s="24"/>
      <c r="BL163" s="24"/>
      <c r="BM163" s="37"/>
      <c r="BN163" s="37"/>
      <c r="BO163" s="37"/>
      <c r="BP163" s="37"/>
      <c r="BQ163" s="29" t="s">
        <v>475</v>
      </c>
      <c r="BR163" s="24"/>
      <c r="BS163" s="24"/>
      <c r="BT163" s="14"/>
      <c r="BU163" s="14" t="s">
        <v>476</v>
      </c>
      <c r="BV163" s="14">
        <f>BP158</f>
        <v>3.3983593130395078</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4"/>
        <v>192.21</v>
      </c>
      <c r="BC164" s="24" t="s">
        <v>436</v>
      </c>
      <c r="BD164" s="24">
        <f t="shared" si="36"/>
        <v>15.320000000000022</v>
      </c>
      <c r="BE164" s="24"/>
      <c r="BF164" s="24">
        <f t="shared" si="35"/>
        <v>192.21</v>
      </c>
      <c r="BG164" s="24">
        <f t="shared" si="31"/>
        <v>362.89</v>
      </c>
      <c r="BH164" s="24"/>
      <c r="BI164" s="24"/>
      <c r="BJ164" s="24"/>
      <c r="BK164" s="24"/>
      <c r="BL164" s="24"/>
      <c r="BM164" s="37"/>
      <c r="BN164" s="37"/>
      <c r="BO164" s="37"/>
      <c r="BP164" s="37"/>
      <c r="BQ164" s="29" t="s">
        <v>478</v>
      </c>
      <c r="BR164" s="24"/>
      <c r="BS164" s="24"/>
      <c r="BT164" s="14"/>
      <c r="BU164" s="14"/>
      <c r="BV164" s="14">
        <f>BV163+BV158</f>
        <v>63.999999999999993</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v>45473</v>
      </c>
      <c r="H166" s="206">
        <f>DATE(YEAR(G166)+1,MONTH(G166),DAY(G166))</f>
        <v>45838</v>
      </c>
      <c r="I166" s="206">
        <f t="shared" ref="I166:Q166" si="37">DATE(YEAR(H166)+1,MONTH(H166),DAY(H166))</f>
        <v>46203</v>
      </c>
      <c r="J166" s="206">
        <f t="shared" si="37"/>
        <v>46568</v>
      </c>
      <c r="K166" s="206">
        <f t="shared" si="37"/>
        <v>46934</v>
      </c>
      <c r="L166" s="206">
        <f t="shared" si="37"/>
        <v>47299</v>
      </c>
      <c r="M166" s="206">
        <f t="shared" si="37"/>
        <v>47664</v>
      </c>
      <c r="N166" s="206">
        <f t="shared" si="37"/>
        <v>48029</v>
      </c>
      <c r="O166" s="206">
        <f t="shared" si="37"/>
        <v>48395</v>
      </c>
      <c r="P166" s="206">
        <f t="shared" si="37"/>
        <v>48760</v>
      </c>
      <c r="Q166" s="206">
        <f t="shared" si="37"/>
        <v>49125</v>
      </c>
      <c r="R166" s="187"/>
      <c r="S166" s="187"/>
      <c r="T166" s="188"/>
      <c r="U166" s="188"/>
      <c r="V166" s="188"/>
      <c r="W166" s="189" t="s">
        <v>200</v>
      </c>
      <c r="X166" s="44" t="s">
        <v>480</v>
      </c>
      <c r="Y166" s="45" t="s">
        <v>481</v>
      </c>
      <c r="Z166" s="44" t="s">
        <v>436</v>
      </c>
      <c r="AA166" s="46">
        <f>DATE(YEAR(C56)+1,MONTH(C56),DAY(C56))</f>
        <v>45382</v>
      </c>
      <c r="AB166" s="46">
        <f>DATE(YEAR(AA166)+1,MONTH(AA166),DAY(AA166))</f>
        <v>45747</v>
      </c>
      <c r="AC166" s="46">
        <f t="shared" ref="AC166:AK166" si="38">DATE(YEAR(AB166)+1,MONTH(AB166),DAY(AB166))</f>
        <v>46112</v>
      </c>
      <c r="AD166" s="46">
        <f t="shared" si="38"/>
        <v>46477</v>
      </c>
      <c r="AE166" s="46">
        <f t="shared" si="38"/>
        <v>46843</v>
      </c>
      <c r="AF166" s="46">
        <f t="shared" si="38"/>
        <v>47208</v>
      </c>
      <c r="AG166" s="46">
        <f t="shared" si="38"/>
        <v>47573</v>
      </c>
      <c r="AH166" s="46">
        <f t="shared" si="38"/>
        <v>47938</v>
      </c>
      <c r="AI166" s="46">
        <f t="shared" si="38"/>
        <v>48304</v>
      </c>
      <c r="AJ166" s="46">
        <f t="shared" si="38"/>
        <v>48669</v>
      </c>
      <c r="AK166" s="46">
        <f t="shared" si="38"/>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39">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IF($E69&lt;G$66,$C69,0)</f>
        <v>-20</v>
      </c>
      <c r="H167" s="12">
        <f t="shared" ref="H167:J182" si="40">IF($E69&gt;H$66,0,IF($E69&lt;H$66-365,$C69,0))</f>
        <v>-20</v>
      </c>
      <c r="I167" s="12">
        <f t="shared" si="40"/>
        <v>-20</v>
      </c>
      <c r="J167" s="12">
        <f t="shared" si="40"/>
        <v>-20</v>
      </c>
      <c r="K167" s="12">
        <f t="shared" ref="K167:K209" si="41">IF($E69&lt;K$66,$C69,0)</f>
        <v>-20</v>
      </c>
      <c r="L167" s="12">
        <f t="shared" ref="L167:N182" si="42">IF($E69&gt;L$66,0,IF($E69&lt;L$66-365,$C69,0))</f>
        <v>-20</v>
      </c>
      <c r="M167" s="12">
        <f t="shared" si="42"/>
        <v>-20</v>
      </c>
      <c r="N167" s="12">
        <f t="shared" si="42"/>
        <v>-20</v>
      </c>
      <c r="O167" s="12">
        <f t="shared" ref="O167:O209" si="43">IF($E69&lt;O$66,$C69,0)</f>
        <v>-20</v>
      </c>
      <c r="P167" s="12">
        <f t="shared" ref="P167:Q182" si="44">IF($E69&gt;P$66,0,IF($E69&lt;P$66-365,$C69,0))</f>
        <v>-20</v>
      </c>
      <c r="Q167" s="12">
        <f t="shared" si="44"/>
        <v>-20</v>
      </c>
      <c r="T167" s="14"/>
      <c r="U167" s="14"/>
      <c r="V167" s="14"/>
      <c r="W167" s="53"/>
      <c r="X167" s="54" t="e">
        <f t="shared" ref="X167:X211" si="45">-1*F68/W167</f>
        <v>#DIV/0!</v>
      </c>
      <c r="Y167" s="25">
        <f>Z167/$BH$166</f>
        <v>0</v>
      </c>
      <c r="Z167" s="54">
        <f>C68/$BN$157</f>
        <v>0</v>
      </c>
      <c r="AA167" s="54">
        <f t="shared" ref="AA167:AK182" si="46">IF($E68+365&lt;$C$56,0,IF($E68&lt;$C$56,(($E68+365-$C$56)/365)*(($C68/$BN$157)+($D68/$BN$158)),IF($E68&gt;AA$166,0,IF($E68+365&lt;AA$166,($C68/$BN$157)+($D68/$BN$158),((AA$166-$E68)/365)*(($C68/$BN$157)+($D68/$BN$158))))))</f>
        <v>0</v>
      </c>
      <c r="AB167" s="54">
        <f t="shared" si="46"/>
        <v>0</v>
      </c>
      <c r="AC167" s="54">
        <f>IF($E68+365&lt;$C$56,0,IF($E68&lt;$C$56,(($E68+365-$C$56)/365)*(($C68/$BN$157)+($D68/$BN$158)),IF($E68&gt;AC$166,0,IF($E68+365&lt;AC$166,($C68/$BN$157)+($D68/$BN$158),((AC$166-$E68)/365)*(($C68/$BN$157)+($D68/$BN$158))))))</f>
        <v>0</v>
      </c>
      <c r="AD167" s="54">
        <f t="shared" si="46"/>
        <v>0</v>
      </c>
      <c r="AE167" s="54">
        <f t="shared" si="46"/>
        <v>0</v>
      </c>
      <c r="AF167" s="54">
        <f>IF($E68+365&lt;$C$56,0,IF($E68&lt;$C$56,(($E68+365-$C$56)/365)*(($C68/$BN$157)+($D68/$BN$158)),IF($E68&gt;AF$166,0,IF($E68+365&lt;AF$166,($C68/$BN$157)+($D68/$BN$158),((AF$166-$E68)/365)*(($C68/$BN$157)+($D68/$BN$158))))))</f>
        <v>0</v>
      </c>
      <c r="AG167" s="54">
        <f t="shared" si="46"/>
        <v>0</v>
      </c>
      <c r="AH167" s="54">
        <f t="shared" si="46"/>
        <v>0</v>
      </c>
      <c r="AI167" s="54">
        <f t="shared" si="46"/>
        <v>0</v>
      </c>
      <c r="AJ167" s="54">
        <f t="shared" si="46"/>
        <v>0</v>
      </c>
      <c r="AK167" s="54">
        <f t="shared" si="46"/>
        <v>0</v>
      </c>
      <c r="AL167" s="24">
        <f t="shared" ref="AL167:AL213" si="47">IF(G68&lt;&gt;"",C68,0)</f>
        <v>0</v>
      </c>
      <c r="AM167" s="24">
        <f t="shared" ref="AM167:AM213" si="48">IF(G68&lt;&gt;"",D68,0)</f>
        <v>0</v>
      </c>
      <c r="AN167" s="55">
        <f t="shared" ref="AN167:AN213" si="49">IF(W68="Yes",0,F68)</f>
        <v>0</v>
      </c>
      <c r="AO167" s="55">
        <f t="shared" ref="AO167:AO213" si="50">IF(W68="Yes",F68,0)</f>
        <v>0</v>
      </c>
      <c r="AP167" s="24"/>
      <c r="AQ167" s="24"/>
      <c r="AR167" s="24"/>
      <c r="AS167" s="24"/>
      <c r="AT167" s="24"/>
      <c r="AU167" s="24"/>
      <c r="AV167" s="24"/>
      <c r="AW167" s="24"/>
      <c r="AX167" s="24"/>
      <c r="AY167" s="24"/>
      <c r="AZ167" s="24"/>
      <c r="BA167" s="24"/>
      <c r="BB167" s="25"/>
      <c r="BC167" s="24"/>
      <c r="BD167" s="24"/>
      <c r="BE167" s="24">
        <f t="shared" si="39"/>
        <v>84.92</v>
      </c>
      <c r="BF167" s="24" t="s">
        <v>486</v>
      </c>
      <c r="BG167" s="56">
        <f>BV158+($C$64-$BV$158)</f>
        <v>64</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ref="G168:G209" si="51">IF($E70&lt;G$66,$C70,0)</f>
        <v>0</v>
      </c>
      <c r="H168" s="12">
        <f t="shared" si="40"/>
        <v>0</v>
      </c>
      <c r="I168" s="12">
        <f t="shared" si="40"/>
        <v>0</v>
      </c>
      <c r="J168" s="12">
        <f t="shared" si="40"/>
        <v>0</v>
      </c>
      <c r="K168" s="12">
        <f t="shared" si="41"/>
        <v>0</v>
      </c>
      <c r="L168" s="12">
        <f t="shared" si="42"/>
        <v>0</v>
      </c>
      <c r="M168" s="12">
        <f t="shared" si="42"/>
        <v>0</v>
      </c>
      <c r="N168" s="12">
        <f t="shared" si="42"/>
        <v>0</v>
      </c>
      <c r="O168" s="12">
        <f t="shared" si="43"/>
        <v>0</v>
      </c>
      <c r="P168" s="12">
        <f t="shared" si="44"/>
        <v>0</v>
      </c>
      <c r="Q168" s="12">
        <f t="shared" si="44"/>
        <v>0</v>
      </c>
      <c r="T168" s="57"/>
      <c r="U168" s="57"/>
      <c r="V168" s="57"/>
      <c r="W168" s="53">
        <f t="shared" ref="W168:W211" si="52">C69*$BN$160*1000</f>
        <v>-4939.9999999999991</v>
      </c>
      <c r="X168" s="54">
        <f t="shared" si="45"/>
        <v>29.128542510121463</v>
      </c>
      <c r="Y168" s="54">
        <f t="shared" ref="Y168:Y213" si="53">Z168/$BH$166</f>
        <v>-4.3326596113474683E-2</v>
      </c>
      <c r="Z168" s="54">
        <f>($C69/$BN$157)+($D69/$BN$158)</f>
        <v>-0.66419671841956684</v>
      </c>
      <c r="AA168" s="54">
        <f t="shared" si="46"/>
        <v>0</v>
      </c>
      <c r="AB168" s="54">
        <f t="shared" si="46"/>
        <v>-0.66419671841956684</v>
      </c>
      <c r="AC168" s="54">
        <f t="shared" si="46"/>
        <v>-0.66419671841956684</v>
      </c>
      <c r="AD168" s="54">
        <f>IF($E69+365&lt;$C$56,0,IF($E69&lt;$C$56,(($E69+365-$C$56)/365)*(($C69/$BN$157)+($D69/$BN$158)),IF($E69&gt;AD$166,0,IF($E69+365&lt;AD$166,($C69/$BN$157)+($D69/$BN$158),((AD$166-$E69)/365)*(($C69/$BN$157)+($D69/$BN$158))))))</f>
        <v>-0.66419671841956684</v>
      </c>
      <c r="AE168" s="54">
        <f t="shared" si="46"/>
        <v>-0.66419671841956684</v>
      </c>
      <c r="AF168" s="54">
        <f t="shared" si="46"/>
        <v>-0.66419671841956684</v>
      </c>
      <c r="AG168" s="54">
        <f t="shared" si="46"/>
        <v>-0.66419671841956684</v>
      </c>
      <c r="AH168" s="54">
        <f t="shared" si="46"/>
        <v>-0.66419671841956684</v>
      </c>
      <c r="AI168" s="54">
        <f t="shared" si="46"/>
        <v>-0.66419671841956684</v>
      </c>
      <c r="AJ168" s="54">
        <f t="shared" si="46"/>
        <v>-0.66419671841956684</v>
      </c>
      <c r="AK168" s="54">
        <f t="shared" si="46"/>
        <v>-0.66419671841956684</v>
      </c>
      <c r="AL168" s="24">
        <f t="shared" si="47"/>
        <v>-20</v>
      </c>
      <c r="AM168" s="24">
        <f t="shared" si="48"/>
        <v>0</v>
      </c>
      <c r="AN168" s="55">
        <f t="shared" si="49"/>
        <v>143895</v>
      </c>
      <c r="AO168" s="55">
        <f t="shared" si="50"/>
        <v>0</v>
      </c>
      <c r="AP168" s="24"/>
      <c r="AQ168" s="24"/>
      <c r="AR168" s="24"/>
      <c r="AS168" s="24"/>
      <c r="AT168" s="24"/>
      <c r="AU168" s="24"/>
      <c r="AV168" s="24"/>
      <c r="AW168" s="24"/>
      <c r="AX168" s="24"/>
      <c r="AY168" s="24"/>
      <c r="AZ168" s="24"/>
      <c r="BA168" s="24"/>
      <c r="BB168" s="24"/>
      <c r="BC168" s="24"/>
      <c r="BD168" s="24"/>
      <c r="BE168" s="24">
        <f t="shared" si="39"/>
        <v>84.92</v>
      </c>
      <c r="BF168" s="59">
        <f>AB166</f>
        <v>45747</v>
      </c>
      <c r="BG168" s="36">
        <f>(BV158+AB214)+($C$64-$BV$158)</f>
        <v>63.501852461185322</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51"/>
        <v>0</v>
      </c>
      <c r="H169" s="12">
        <f t="shared" si="40"/>
        <v>0</v>
      </c>
      <c r="I169" s="12">
        <f t="shared" si="40"/>
        <v>-100</v>
      </c>
      <c r="J169" s="12">
        <f t="shared" si="40"/>
        <v>-100</v>
      </c>
      <c r="K169" s="12">
        <f t="shared" si="41"/>
        <v>-100</v>
      </c>
      <c r="L169" s="12">
        <f t="shared" si="42"/>
        <v>-100</v>
      </c>
      <c r="M169" s="12">
        <f t="shared" si="42"/>
        <v>-100</v>
      </c>
      <c r="N169" s="12">
        <f t="shared" si="42"/>
        <v>-100</v>
      </c>
      <c r="O169" s="12">
        <f t="shared" si="43"/>
        <v>-100</v>
      </c>
      <c r="P169" s="12">
        <f t="shared" si="44"/>
        <v>-100</v>
      </c>
      <c r="Q169" s="12">
        <f t="shared" si="44"/>
        <v>-100</v>
      </c>
      <c r="T169" s="61"/>
      <c r="U169" s="61"/>
      <c r="V169" s="61"/>
      <c r="W169" s="53">
        <f t="shared" si="52"/>
        <v>0</v>
      </c>
      <c r="X169" s="54" t="e">
        <f t="shared" si="45"/>
        <v>#DIV/0!</v>
      </c>
      <c r="Y169" s="343">
        <f>Z169/$BH$166</f>
        <v>0</v>
      </c>
      <c r="Z169" s="54">
        <f>($C70/$BN$157)+($D70/$BN$158)</f>
        <v>0</v>
      </c>
      <c r="AA169" s="54">
        <f t="shared" si="46"/>
        <v>0</v>
      </c>
      <c r="AB169" s="54">
        <f t="shared" si="46"/>
        <v>0</v>
      </c>
      <c r="AC169" s="54">
        <f t="shared" si="46"/>
        <v>0</v>
      </c>
      <c r="AD169" s="54">
        <f>IF($E70+365&lt;$C$56,0,IF($E70&lt;$C$56,(($E70+365-$C$56)/365)*(($C70/$BN$157)+($D70/$BN$158)),IF($E70&gt;AD$166,0,IF($E70+365&lt;AD$166,($C70/$BN$157)+($D70/$BN$158),((AD$166-$E70)/365)*(($C70/$BN$157)+($D70/$BN$158))))))</f>
        <v>0</v>
      </c>
      <c r="AE169" s="54">
        <f t="shared" si="46"/>
        <v>0</v>
      </c>
      <c r="AF169" s="54">
        <f t="shared" si="46"/>
        <v>0</v>
      </c>
      <c r="AG169" s="54">
        <f t="shared" si="46"/>
        <v>0</v>
      </c>
      <c r="AH169" s="54">
        <f t="shared" si="46"/>
        <v>0</v>
      </c>
      <c r="AI169" s="54">
        <f t="shared" si="46"/>
        <v>0</v>
      </c>
      <c r="AJ169" s="54">
        <f t="shared" si="46"/>
        <v>0</v>
      </c>
      <c r="AK169" s="54">
        <f t="shared" si="46"/>
        <v>0</v>
      </c>
      <c r="AL169" s="24">
        <f t="shared" si="47"/>
        <v>0</v>
      </c>
      <c r="AM169" s="24">
        <f t="shared" si="48"/>
        <v>0</v>
      </c>
      <c r="AN169" s="55">
        <f t="shared" si="49"/>
        <v>30000</v>
      </c>
      <c r="AO169" s="55">
        <f t="shared" si="50"/>
        <v>0</v>
      </c>
      <c r="AP169" s="24"/>
      <c r="AQ169" s="24"/>
      <c r="AR169" s="24"/>
      <c r="AS169" s="24"/>
      <c r="AT169" s="24"/>
      <c r="AU169" s="24"/>
      <c r="AV169" s="24"/>
      <c r="AW169" s="24"/>
      <c r="AX169" s="24"/>
      <c r="AY169" s="24"/>
      <c r="AZ169" s="24"/>
      <c r="BA169" s="24"/>
      <c r="BB169" s="24"/>
      <c r="BC169" s="24"/>
      <c r="BD169" s="24"/>
      <c r="BE169" s="24">
        <f t="shared" si="39"/>
        <v>84.92</v>
      </c>
      <c r="BF169" s="59">
        <f>BF168+365</f>
        <v>46112</v>
      </c>
      <c r="BG169" s="36">
        <f>BV158+AC214+($C$64-$BV$158)</f>
        <v>50.051868913189097</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4">INDEX(AN156:AR156,MATCH($CE$168,$AN$165:$AR$165,0))</f>
        <v>69.59</v>
      </c>
      <c r="CJ169" s="14">
        <f t="shared" ref="CJ169:CJ177" si="55">INDEX(AU156:AY156,MATCH($CE$168,$AN$165:$AR$165,0))</f>
        <v>129.52000000000001</v>
      </c>
    </row>
    <row r="170" spans="7:88">
      <c r="G170" s="12">
        <f t="shared" si="51"/>
        <v>0</v>
      </c>
      <c r="H170" s="12">
        <f t="shared" si="40"/>
        <v>0</v>
      </c>
      <c r="I170" s="12">
        <f t="shared" si="40"/>
        <v>-240</v>
      </c>
      <c r="J170" s="12">
        <f t="shared" si="40"/>
        <v>-240</v>
      </c>
      <c r="K170" s="12">
        <f t="shared" si="41"/>
        <v>-240</v>
      </c>
      <c r="L170" s="12">
        <f t="shared" si="42"/>
        <v>-240</v>
      </c>
      <c r="M170" s="12">
        <f t="shared" si="42"/>
        <v>-240</v>
      </c>
      <c r="N170" s="12">
        <f t="shared" si="42"/>
        <v>-240</v>
      </c>
      <c r="O170" s="12">
        <f t="shared" si="43"/>
        <v>-240</v>
      </c>
      <c r="P170" s="12">
        <f t="shared" si="44"/>
        <v>-240</v>
      </c>
      <c r="Q170" s="12">
        <f t="shared" si="44"/>
        <v>-240</v>
      </c>
      <c r="T170" s="61"/>
      <c r="U170" s="61"/>
      <c r="V170" s="61"/>
      <c r="W170" s="53">
        <f t="shared" si="52"/>
        <v>-24700</v>
      </c>
      <c r="X170" s="54">
        <f t="shared" si="45"/>
        <v>5.7894736842105265</v>
      </c>
      <c r="Y170" s="25">
        <f t="shared" si="53"/>
        <v>-0.2166329805673734</v>
      </c>
      <c r="Z170" s="54">
        <f t="shared" ref="Z170:Z213" si="56">($C71/$BN$157)+($D71/$BN$158)</f>
        <v>-3.3209835920978339</v>
      </c>
      <c r="AA170" s="54">
        <f t="shared" si="46"/>
        <v>0</v>
      </c>
      <c r="AB170" s="54">
        <f t="shared" si="46"/>
        <v>0</v>
      </c>
      <c r="AC170" s="54">
        <f t="shared" si="46"/>
        <v>-3.3209835920978339</v>
      </c>
      <c r="AD170" s="54">
        <f t="shared" si="46"/>
        <v>-3.3209835920978339</v>
      </c>
      <c r="AE170" s="54">
        <f t="shared" si="46"/>
        <v>-3.3209835920978339</v>
      </c>
      <c r="AF170" s="54">
        <f t="shared" si="46"/>
        <v>-3.3209835920978339</v>
      </c>
      <c r="AG170" s="54">
        <f t="shared" si="46"/>
        <v>-3.3209835920978339</v>
      </c>
      <c r="AH170" s="54">
        <f t="shared" si="46"/>
        <v>-3.3209835920978339</v>
      </c>
      <c r="AI170" s="54">
        <f t="shared" si="46"/>
        <v>-3.3209835920978339</v>
      </c>
      <c r="AJ170" s="54">
        <f t="shared" si="46"/>
        <v>-3.3209835920978339</v>
      </c>
      <c r="AK170" s="54">
        <f t="shared" si="46"/>
        <v>-3.3209835920978339</v>
      </c>
      <c r="AL170" s="24">
        <f t="shared" si="47"/>
        <v>-100</v>
      </c>
      <c r="AM170" s="24">
        <f t="shared" si="48"/>
        <v>0</v>
      </c>
      <c r="AN170" s="55">
        <f t="shared" si="49"/>
        <v>143000</v>
      </c>
      <c r="AO170" s="55">
        <f t="shared" si="50"/>
        <v>0</v>
      </c>
      <c r="AP170" s="24"/>
      <c r="AQ170" s="24"/>
      <c r="AR170" s="24"/>
      <c r="AS170" s="24"/>
      <c r="AT170" s="24"/>
      <c r="AU170" s="24"/>
      <c r="AV170" s="24"/>
      <c r="AW170" s="24"/>
      <c r="AX170" s="24"/>
      <c r="AY170" s="24"/>
      <c r="AZ170" s="24"/>
      <c r="BA170" s="24"/>
      <c r="BB170" s="24"/>
      <c r="BC170" s="24"/>
      <c r="BD170" s="24"/>
      <c r="BE170" s="24">
        <f t="shared" si="39"/>
        <v>84.92</v>
      </c>
      <c r="BF170" s="59">
        <f>BF169+365</f>
        <v>46477</v>
      </c>
      <c r="BG170" s="36">
        <f>$BV$158+AD214+($C$64-$BV$158)</f>
        <v>46.04365573646961</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4"/>
        <v>84.92</v>
      </c>
      <c r="CJ170" s="14">
        <f t="shared" si="55"/>
        <v>158.69</v>
      </c>
    </row>
    <row r="171" spans="7:88">
      <c r="G171" s="12">
        <f t="shared" si="51"/>
        <v>0</v>
      </c>
      <c r="H171" s="12">
        <f t="shared" si="40"/>
        <v>0</v>
      </c>
      <c r="I171" s="12">
        <f t="shared" si="40"/>
        <v>-80</v>
      </c>
      <c r="J171" s="12">
        <f t="shared" si="40"/>
        <v>-80</v>
      </c>
      <c r="K171" s="12">
        <f t="shared" si="41"/>
        <v>-80</v>
      </c>
      <c r="L171" s="12">
        <f t="shared" si="42"/>
        <v>-80</v>
      </c>
      <c r="M171" s="12">
        <f t="shared" si="42"/>
        <v>-80</v>
      </c>
      <c r="N171" s="12">
        <f t="shared" si="42"/>
        <v>-80</v>
      </c>
      <c r="O171" s="12">
        <f t="shared" si="43"/>
        <v>-80</v>
      </c>
      <c r="P171" s="12">
        <f t="shared" si="44"/>
        <v>-80</v>
      </c>
      <c r="Q171" s="12">
        <f t="shared" si="44"/>
        <v>-80</v>
      </c>
      <c r="T171" s="61"/>
      <c r="U171" s="61"/>
      <c r="V171" s="61"/>
      <c r="W171" s="53">
        <f t="shared" si="52"/>
        <v>-59280</v>
      </c>
      <c r="X171" s="54">
        <f t="shared" si="45"/>
        <v>1.3680836707152497</v>
      </c>
      <c r="Y171" s="54">
        <f t="shared" si="53"/>
        <v>-0.51991915336169614</v>
      </c>
      <c r="Z171" s="54">
        <f>($C72/$BN$157)+($D72/$BN$158)</f>
        <v>-7.9703606210348017</v>
      </c>
      <c r="AA171" s="54">
        <f t="shared" si="46"/>
        <v>0</v>
      </c>
      <c r="AB171" s="54">
        <f t="shared" si="46"/>
        <v>0</v>
      </c>
      <c r="AC171" s="54">
        <f t="shared" si="46"/>
        <v>-7.9703606210348017</v>
      </c>
      <c r="AD171" s="54">
        <f t="shared" si="46"/>
        <v>-7.9703606210348017</v>
      </c>
      <c r="AE171" s="54">
        <f t="shared" si="46"/>
        <v>-7.9703606210348017</v>
      </c>
      <c r="AF171" s="54">
        <f>IF($E72+365&lt;$C$56,0,IF($E72&lt;$C$56,(($E72+365-$C$56)/365)*(($C72/$BN$157)+($D72/$BN$158)),IF($E72&gt;AF$166,0,IF($E72+365&lt;AF$166,($C72/$BN$157)+($D72/$BN$158),((AF$166-$E72)/365)*(($C72/$BN$157)+($D72/$BN$158))))))</f>
        <v>-7.9703606210348017</v>
      </c>
      <c r="AG171" s="54">
        <f t="shared" si="46"/>
        <v>-7.9703606210348017</v>
      </c>
      <c r="AH171" s="54">
        <f t="shared" si="46"/>
        <v>-7.9703606210348017</v>
      </c>
      <c r="AI171" s="54">
        <f t="shared" si="46"/>
        <v>-7.9703606210348017</v>
      </c>
      <c r="AJ171" s="54">
        <f t="shared" si="46"/>
        <v>-7.9703606210348017</v>
      </c>
      <c r="AK171" s="54">
        <f t="shared" si="46"/>
        <v>-7.9703606210348017</v>
      </c>
      <c r="AL171" s="24">
        <f t="shared" si="47"/>
        <v>-240</v>
      </c>
      <c r="AM171" s="24">
        <f t="shared" si="48"/>
        <v>0</v>
      </c>
      <c r="AN171" s="55">
        <f t="shared" si="49"/>
        <v>81100</v>
      </c>
      <c r="AO171" s="55">
        <f t="shared" si="50"/>
        <v>0</v>
      </c>
      <c r="AP171" s="24"/>
      <c r="AQ171" s="24"/>
      <c r="AR171" s="24"/>
      <c r="AS171" s="24"/>
      <c r="AT171" s="24"/>
      <c r="AU171" s="24"/>
      <c r="AV171" s="24"/>
      <c r="AW171" s="24"/>
      <c r="AX171" s="24"/>
      <c r="AY171" s="24"/>
      <c r="AZ171" s="24"/>
      <c r="BA171" s="24"/>
      <c r="BB171" s="24"/>
      <c r="BC171" s="24"/>
      <c r="BD171" s="24"/>
      <c r="BE171" s="24">
        <f t="shared" si="39"/>
        <v>84.92</v>
      </c>
      <c r="BF171" s="59">
        <f t="shared" ref="BF171:BF176" si="57">BF170+365</f>
        <v>46842</v>
      </c>
      <c r="BG171" s="36">
        <f>$BV$158+AE214+($C$64-$BV$158)</f>
        <v>45.734603158398109</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4"/>
        <v>100.25</v>
      </c>
      <c r="CJ171" s="14">
        <f t="shared" si="55"/>
        <v>187.86</v>
      </c>
    </row>
    <row r="172" spans="7:88">
      <c r="G172" s="12">
        <f t="shared" si="51"/>
        <v>0</v>
      </c>
      <c r="H172" s="12">
        <f t="shared" si="40"/>
        <v>0</v>
      </c>
      <c r="I172" s="12">
        <f t="shared" si="40"/>
        <v>0</v>
      </c>
      <c r="J172" s="12">
        <f t="shared" si="40"/>
        <v>0</v>
      </c>
      <c r="K172" s="12">
        <f t="shared" si="41"/>
        <v>0</v>
      </c>
      <c r="L172" s="12">
        <f t="shared" si="42"/>
        <v>0</v>
      </c>
      <c r="M172" s="12">
        <f t="shared" si="42"/>
        <v>0</v>
      </c>
      <c r="N172" s="12">
        <f t="shared" si="42"/>
        <v>0</v>
      </c>
      <c r="O172" s="12">
        <f t="shared" si="43"/>
        <v>0</v>
      </c>
      <c r="P172" s="12">
        <f t="shared" si="44"/>
        <v>0</v>
      </c>
      <c r="Q172" s="12">
        <f t="shared" si="44"/>
        <v>0</v>
      </c>
      <c r="T172" s="61"/>
      <c r="U172" s="61"/>
      <c r="V172" s="61"/>
      <c r="W172" s="53">
        <f t="shared" si="52"/>
        <v>-19759.999999999996</v>
      </c>
      <c r="X172" s="54">
        <f t="shared" si="45"/>
        <v>8.5425101214574912</v>
      </c>
      <c r="Y172" s="25">
        <f>Z172/$BH$166</f>
        <v>-0.17330638445389873</v>
      </c>
      <c r="Z172" s="54">
        <f t="shared" si="56"/>
        <v>-2.6567868736782674</v>
      </c>
      <c r="AA172" s="54">
        <f t="shared" si="46"/>
        <v>0</v>
      </c>
      <c r="AB172" s="54">
        <f t="shared" si="46"/>
        <v>0</v>
      </c>
      <c r="AC172" s="54">
        <f t="shared" si="46"/>
        <v>-2.6567868736782674</v>
      </c>
      <c r="AD172" s="54">
        <f t="shared" si="46"/>
        <v>-2.6567868736782674</v>
      </c>
      <c r="AE172" s="54">
        <f t="shared" si="46"/>
        <v>-2.6567868736782674</v>
      </c>
      <c r="AF172" s="54">
        <f t="shared" si="46"/>
        <v>-2.6567868736782674</v>
      </c>
      <c r="AG172" s="54">
        <f t="shared" si="46"/>
        <v>-2.6567868736782674</v>
      </c>
      <c r="AH172" s="54">
        <f t="shared" si="46"/>
        <v>-2.6567868736782674</v>
      </c>
      <c r="AI172" s="54">
        <f t="shared" si="46"/>
        <v>-2.6567868736782674</v>
      </c>
      <c r="AJ172" s="54">
        <f t="shared" si="46"/>
        <v>-2.6567868736782674</v>
      </c>
      <c r="AK172" s="54">
        <f t="shared" si="46"/>
        <v>-2.6567868736782674</v>
      </c>
      <c r="AL172" s="24">
        <f t="shared" si="47"/>
        <v>-80</v>
      </c>
      <c r="AM172" s="24">
        <f t="shared" si="48"/>
        <v>0</v>
      </c>
      <c r="AN172" s="55">
        <f t="shared" si="49"/>
        <v>168800</v>
      </c>
      <c r="AO172" s="55">
        <f t="shared" si="50"/>
        <v>0</v>
      </c>
      <c r="AP172" s="24"/>
      <c r="AQ172" s="24"/>
      <c r="AR172" s="24"/>
      <c r="AS172" s="24"/>
      <c r="AT172" s="24"/>
      <c r="AU172" s="24"/>
      <c r="AV172" s="24"/>
      <c r="AW172" s="24"/>
      <c r="AX172" s="24"/>
      <c r="AY172" s="24"/>
      <c r="AZ172" s="24"/>
      <c r="BA172" s="24"/>
      <c r="BB172" s="24"/>
      <c r="BC172" s="24"/>
      <c r="BD172" s="24"/>
      <c r="BE172" s="24">
        <f t="shared" si="39"/>
        <v>84.92</v>
      </c>
      <c r="BF172" s="59">
        <f t="shared" si="57"/>
        <v>47207</v>
      </c>
      <c r="BG172" s="36">
        <f>$BV$158+AF214+($C$64-$BV$158)</f>
        <v>45.425550580326593</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4"/>
        <v>115.57</v>
      </c>
      <c r="CJ172" s="14">
        <f t="shared" si="55"/>
        <v>217.04</v>
      </c>
    </row>
    <row r="173" spans="7:88">
      <c r="G173" s="12">
        <f t="shared" si="51"/>
        <v>0</v>
      </c>
      <c r="H173" s="12">
        <f t="shared" si="40"/>
        <v>0</v>
      </c>
      <c r="I173" s="12">
        <f t="shared" si="40"/>
        <v>-120</v>
      </c>
      <c r="J173" s="12">
        <f t="shared" si="40"/>
        <v>-120</v>
      </c>
      <c r="K173" s="12">
        <f t="shared" si="41"/>
        <v>-120</v>
      </c>
      <c r="L173" s="12">
        <f t="shared" si="42"/>
        <v>-120</v>
      </c>
      <c r="M173" s="12">
        <f t="shared" si="42"/>
        <v>-120</v>
      </c>
      <c r="N173" s="12">
        <f t="shared" si="42"/>
        <v>-120</v>
      </c>
      <c r="O173" s="12">
        <f t="shared" si="43"/>
        <v>-120</v>
      </c>
      <c r="P173" s="12">
        <f t="shared" si="44"/>
        <v>-120</v>
      </c>
      <c r="Q173" s="12">
        <f t="shared" si="44"/>
        <v>-120</v>
      </c>
      <c r="T173" s="61"/>
      <c r="U173" s="61"/>
      <c r="V173" s="61"/>
      <c r="W173" s="53">
        <f t="shared" si="52"/>
        <v>0</v>
      </c>
      <c r="X173" s="54" t="e">
        <f t="shared" si="45"/>
        <v>#DIV/0!</v>
      </c>
      <c r="Y173" s="25">
        <f t="shared" si="53"/>
        <v>0</v>
      </c>
      <c r="Z173" s="54">
        <f t="shared" si="56"/>
        <v>0</v>
      </c>
      <c r="AA173" s="54">
        <f t="shared" si="46"/>
        <v>0</v>
      </c>
      <c r="AB173" s="54">
        <f t="shared" si="46"/>
        <v>0</v>
      </c>
      <c r="AC173" s="54">
        <f t="shared" si="46"/>
        <v>0</v>
      </c>
      <c r="AD173" s="54">
        <f t="shared" si="46"/>
        <v>0</v>
      </c>
      <c r="AE173" s="54">
        <f t="shared" si="46"/>
        <v>0</v>
      </c>
      <c r="AF173" s="54">
        <f t="shared" si="46"/>
        <v>0</v>
      </c>
      <c r="AG173" s="54">
        <f t="shared" si="46"/>
        <v>0</v>
      </c>
      <c r="AH173" s="54">
        <f t="shared" si="46"/>
        <v>0</v>
      </c>
      <c r="AI173" s="54">
        <f t="shared" si="46"/>
        <v>0</v>
      </c>
      <c r="AJ173" s="54">
        <f t="shared" si="46"/>
        <v>0</v>
      </c>
      <c r="AK173" s="54">
        <f t="shared" si="46"/>
        <v>0</v>
      </c>
      <c r="AL173" s="24">
        <f t="shared" si="47"/>
        <v>0</v>
      </c>
      <c r="AM173" s="24">
        <f t="shared" si="48"/>
        <v>0</v>
      </c>
      <c r="AN173" s="55">
        <f t="shared" si="49"/>
        <v>56300</v>
      </c>
      <c r="AO173" s="55">
        <f t="shared" si="50"/>
        <v>0</v>
      </c>
      <c r="AP173" s="24"/>
      <c r="AQ173" s="24"/>
      <c r="AR173" s="24"/>
      <c r="AS173" s="24"/>
      <c r="AT173" s="24"/>
      <c r="AU173" s="24"/>
      <c r="AV173" s="24"/>
      <c r="AW173" s="24"/>
      <c r="AX173" s="24"/>
      <c r="AY173" s="24"/>
      <c r="AZ173" s="24"/>
      <c r="BA173" s="24"/>
      <c r="BB173" s="24"/>
      <c r="BC173" s="24"/>
      <c r="BD173" s="24"/>
      <c r="BE173" s="24">
        <f t="shared" si="39"/>
        <v>84.92</v>
      </c>
      <c r="BF173" s="59">
        <f t="shared" si="57"/>
        <v>47572</v>
      </c>
      <c r="BG173" s="36">
        <f>$BV$158+AG214+($C$64-$BV$158)</f>
        <v>45.116498002255085</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4"/>
        <v>130.9</v>
      </c>
      <c r="CJ173" s="14">
        <f t="shared" si="55"/>
        <v>246.21</v>
      </c>
    </row>
    <row r="174" spans="7:88">
      <c r="G174" s="12">
        <f t="shared" si="51"/>
        <v>0</v>
      </c>
      <c r="H174" s="12">
        <f t="shared" si="40"/>
        <v>0</v>
      </c>
      <c r="I174" s="12">
        <f t="shared" si="40"/>
        <v>0</v>
      </c>
      <c r="J174" s="12">
        <f t="shared" si="40"/>
        <v>-40</v>
      </c>
      <c r="K174" s="12">
        <f t="shared" si="41"/>
        <v>-40</v>
      </c>
      <c r="L174" s="12">
        <f t="shared" si="42"/>
        <v>-40</v>
      </c>
      <c r="M174" s="12">
        <f t="shared" si="42"/>
        <v>-40</v>
      </c>
      <c r="N174" s="12">
        <f t="shared" si="42"/>
        <v>-40</v>
      </c>
      <c r="O174" s="12">
        <f t="shared" si="43"/>
        <v>-40</v>
      </c>
      <c r="P174" s="12">
        <f t="shared" si="44"/>
        <v>-40</v>
      </c>
      <c r="Q174" s="12">
        <f t="shared" si="44"/>
        <v>-40</v>
      </c>
      <c r="T174" s="61"/>
      <c r="U174" s="61"/>
      <c r="V174" s="61"/>
      <c r="W174" s="53">
        <f t="shared" si="52"/>
        <v>-29640</v>
      </c>
      <c r="X174" s="54">
        <f t="shared" si="45"/>
        <v>64.008097165991899</v>
      </c>
      <c r="Y174" s="25">
        <f t="shared" si="53"/>
        <v>-0.25995957668084807</v>
      </c>
      <c r="Z174" s="54">
        <f t="shared" si="56"/>
        <v>-3.9851803105174008</v>
      </c>
      <c r="AA174" s="54">
        <f t="shared" si="46"/>
        <v>0</v>
      </c>
      <c r="AB174" s="54">
        <f t="shared" si="46"/>
        <v>0</v>
      </c>
      <c r="AC174" s="54">
        <f t="shared" si="46"/>
        <v>-3.9851803105174008</v>
      </c>
      <c r="AD174" s="54">
        <f t="shared" si="46"/>
        <v>-3.9851803105174008</v>
      </c>
      <c r="AE174" s="54">
        <f t="shared" si="46"/>
        <v>-3.9851803105174008</v>
      </c>
      <c r="AF174" s="54">
        <f t="shared" si="46"/>
        <v>-3.9851803105174008</v>
      </c>
      <c r="AG174" s="54">
        <f t="shared" si="46"/>
        <v>-3.9851803105174008</v>
      </c>
      <c r="AH174" s="54">
        <f t="shared" si="46"/>
        <v>-3.9851803105174008</v>
      </c>
      <c r="AI174" s="54">
        <f t="shared" si="46"/>
        <v>-3.9851803105174008</v>
      </c>
      <c r="AJ174" s="54">
        <f t="shared" si="46"/>
        <v>-3.9851803105174008</v>
      </c>
      <c r="AK174" s="54">
        <f t="shared" si="46"/>
        <v>-3.9851803105174008</v>
      </c>
      <c r="AL174" s="24">
        <f t="shared" si="47"/>
        <v>-120</v>
      </c>
      <c r="AM174" s="24">
        <f t="shared" si="48"/>
        <v>0</v>
      </c>
      <c r="AN174" s="55">
        <f t="shared" si="49"/>
        <v>1897200</v>
      </c>
      <c r="AO174" s="55">
        <f t="shared" si="50"/>
        <v>0</v>
      </c>
      <c r="AP174" s="24"/>
      <c r="AQ174" s="24"/>
      <c r="AR174" s="24"/>
      <c r="AS174" s="24"/>
      <c r="AT174" s="24"/>
      <c r="AU174" s="24"/>
      <c r="AV174" s="24"/>
      <c r="AW174" s="24"/>
      <c r="AX174" s="24"/>
      <c r="AY174" s="24"/>
      <c r="AZ174" s="24"/>
      <c r="BA174" s="24"/>
      <c r="BB174" s="24"/>
      <c r="BC174" s="24"/>
      <c r="BD174" s="24"/>
      <c r="BE174" s="24">
        <f t="shared" si="39"/>
        <v>84.92</v>
      </c>
      <c r="BF174" s="59">
        <f t="shared" si="57"/>
        <v>47937</v>
      </c>
      <c r="BG174" s="36">
        <f>$BV$158+AH214+($C$64-$BV$158)</f>
        <v>44.807445424183577</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4"/>
        <v>146.22999999999999</v>
      </c>
      <c r="CJ174" s="14">
        <f t="shared" si="55"/>
        <v>275.38</v>
      </c>
    </row>
    <row r="175" spans="7:88">
      <c r="G175" s="12">
        <f t="shared" si="51"/>
        <v>0</v>
      </c>
      <c r="H175" s="12">
        <f t="shared" si="40"/>
        <v>0</v>
      </c>
      <c r="I175" s="12">
        <f t="shared" si="40"/>
        <v>0</v>
      </c>
      <c r="J175" s="12">
        <f t="shared" si="40"/>
        <v>-15</v>
      </c>
      <c r="K175" s="12">
        <f t="shared" si="41"/>
        <v>-15</v>
      </c>
      <c r="L175" s="12">
        <f t="shared" si="42"/>
        <v>-15</v>
      </c>
      <c r="M175" s="12">
        <f t="shared" si="42"/>
        <v>-15</v>
      </c>
      <c r="N175" s="12">
        <f t="shared" si="42"/>
        <v>-15</v>
      </c>
      <c r="O175" s="12">
        <f t="shared" si="43"/>
        <v>-15</v>
      </c>
      <c r="P175" s="12">
        <f t="shared" si="44"/>
        <v>-15</v>
      </c>
      <c r="Q175" s="12">
        <f t="shared" si="44"/>
        <v>-15</v>
      </c>
      <c r="T175" s="61"/>
      <c r="U175" s="61"/>
      <c r="V175" s="61"/>
      <c r="W175" s="53">
        <f t="shared" si="52"/>
        <v>-9879.9999999999982</v>
      </c>
      <c r="X175" s="54">
        <f t="shared" si="45"/>
        <v>68.360323886639691</v>
      </c>
      <c r="Y175" s="25">
        <f t="shared" si="53"/>
        <v>-0.14842969718541205</v>
      </c>
      <c r="Z175" s="54">
        <f t="shared" si="56"/>
        <v>-2.2754272578523662</v>
      </c>
      <c r="AA175" s="54">
        <f t="shared" si="46"/>
        <v>0</v>
      </c>
      <c r="AB175" s="54">
        <f t="shared" si="46"/>
        <v>0</v>
      </c>
      <c r="AC175" s="54">
        <f t="shared" si="46"/>
        <v>0</v>
      </c>
      <c r="AD175" s="54">
        <f t="shared" si="46"/>
        <v>-2.2754272578523662</v>
      </c>
      <c r="AE175" s="54">
        <f t="shared" si="46"/>
        <v>-2.2754272578523662</v>
      </c>
      <c r="AF175" s="54">
        <f t="shared" si="46"/>
        <v>-2.2754272578523662</v>
      </c>
      <c r="AG175" s="54">
        <f t="shared" si="46"/>
        <v>-2.2754272578523662</v>
      </c>
      <c r="AH175" s="54">
        <f t="shared" si="46"/>
        <v>-2.2754272578523662</v>
      </c>
      <c r="AI175" s="54">
        <f t="shared" si="46"/>
        <v>-2.2754272578523662</v>
      </c>
      <c r="AJ175" s="54">
        <f t="shared" si="46"/>
        <v>-2.2754272578523662</v>
      </c>
      <c r="AK175" s="54">
        <f t="shared" si="46"/>
        <v>-2.2754272578523662</v>
      </c>
      <c r="AL175" s="24">
        <f t="shared" si="47"/>
        <v>-40</v>
      </c>
      <c r="AM175" s="24">
        <f t="shared" si="48"/>
        <v>-450</v>
      </c>
      <c r="AN175" s="55">
        <f t="shared" si="49"/>
        <v>675400</v>
      </c>
      <c r="AO175" s="55">
        <f t="shared" si="50"/>
        <v>0</v>
      </c>
      <c r="AP175" s="24"/>
      <c r="AQ175" s="24"/>
      <c r="AR175" s="24"/>
      <c r="AS175" s="24"/>
      <c r="AT175" s="24"/>
      <c r="AU175" s="24"/>
      <c r="AV175" s="24"/>
      <c r="AW175" s="24"/>
      <c r="AX175" s="24"/>
      <c r="AY175" s="24"/>
      <c r="AZ175" s="24"/>
      <c r="BA175" s="24"/>
      <c r="BB175" s="24"/>
      <c r="BC175" s="24"/>
      <c r="BD175" s="24"/>
      <c r="BE175" s="24">
        <f t="shared" si="39"/>
        <v>84.92</v>
      </c>
      <c r="BF175" s="59">
        <f t="shared" si="57"/>
        <v>48302</v>
      </c>
      <c r="BG175" s="36">
        <f>$BV$158+AI214+($C$64-$BV$158)</f>
        <v>44.807445424183577</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4"/>
        <v>161.56</v>
      </c>
      <c r="CJ175" s="14">
        <f t="shared" si="55"/>
        <v>304.55</v>
      </c>
    </row>
    <row r="176" spans="7:88">
      <c r="G176" s="12">
        <f t="shared" si="51"/>
        <v>0</v>
      </c>
      <c r="H176" s="12">
        <f t="shared" si="40"/>
        <v>0</v>
      </c>
      <c r="I176" s="12">
        <f t="shared" si="40"/>
        <v>0</v>
      </c>
      <c r="J176" s="12">
        <f t="shared" si="40"/>
        <v>-10</v>
      </c>
      <c r="K176" s="12">
        <f t="shared" si="41"/>
        <v>-10</v>
      </c>
      <c r="L176" s="12">
        <f t="shared" si="42"/>
        <v>-10</v>
      </c>
      <c r="M176" s="12">
        <f t="shared" si="42"/>
        <v>-10</v>
      </c>
      <c r="N176" s="12">
        <f t="shared" si="42"/>
        <v>-10</v>
      </c>
      <c r="O176" s="12">
        <f t="shared" si="43"/>
        <v>-10</v>
      </c>
      <c r="P176" s="12">
        <f t="shared" si="44"/>
        <v>-10</v>
      </c>
      <c r="Q176" s="12">
        <f t="shared" si="44"/>
        <v>-10</v>
      </c>
      <c r="T176" s="61"/>
      <c r="U176" s="61"/>
      <c r="V176" s="61"/>
      <c r="W176" s="53">
        <f t="shared" si="52"/>
        <v>-3705</v>
      </c>
      <c r="X176" s="54">
        <f t="shared" si="45"/>
        <v>45.587044534412954</v>
      </c>
      <c r="Y176" s="25">
        <f t="shared" si="53"/>
        <v>-3.2494947085106009E-2</v>
      </c>
      <c r="Z176" s="54">
        <f t="shared" si="56"/>
        <v>-0.49814753881467511</v>
      </c>
      <c r="AA176" s="54">
        <f t="shared" si="46"/>
        <v>0</v>
      </c>
      <c r="AB176" s="54">
        <f t="shared" si="46"/>
        <v>0</v>
      </c>
      <c r="AC176" s="54">
        <f t="shared" si="46"/>
        <v>0</v>
      </c>
      <c r="AD176" s="54">
        <f t="shared" si="46"/>
        <v>-0.49814753881467511</v>
      </c>
      <c r="AE176" s="54">
        <f t="shared" si="46"/>
        <v>-0.49814753881467511</v>
      </c>
      <c r="AF176" s="54">
        <f t="shared" si="46"/>
        <v>-0.49814753881467511</v>
      </c>
      <c r="AG176" s="54">
        <f t="shared" si="46"/>
        <v>-0.49814753881467511</v>
      </c>
      <c r="AH176" s="54">
        <f t="shared" si="46"/>
        <v>-0.49814753881467511</v>
      </c>
      <c r="AI176" s="54">
        <f t="shared" si="46"/>
        <v>-0.49814753881467511</v>
      </c>
      <c r="AJ176" s="54">
        <f t="shared" si="46"/>
        <v>-0.49814753881467511</v>
      </c>
      <c r="AK176" s="54">
        <f t="shared" si="46"/>
        <v>-0.49814753881467511</v>
      </c>
      <c r="AL176" s="24">
        <f t="shared" si="47"/>
        <v>-15</v>
      </c>
      <c r="AM176" s="24">
        <f t="shared" si="48"/>
        <v>0</v>
      </c>
      <c r="AN176" s="55">
        <f t="shared" si="49"/>
        <v>168900</v>
      </c>
      <c r="AO176" s="55">
        <f t="shared" si="50"/>
        <v>0</v>
      </c>
      <c r="AP176" s="24"/>
      <c r="AQ176" s="24"/>
      <c r="AR176" s="24"/>
      <c r="AS176" s="24"/>
      <c r="AT176" s="24"/>
      <c r="AU176" s="24"/>
      <c r="AV176" s="24"/>
      <c r="AW176" s="24"/>
      <c r="AX176" s="24"/>
      <c r="AY176" s="24"/>
      <c r="AZ176" s="24"/>
      <c r="BA176" s="24"/>
      <c r="BB176" s="24"/>
      <c r="BC176" s="24"/>
      <c r="BD176" s="24"/>
      <c r="BE176" s="24">
        <f t="shared" si="39"/>
        <v>84.92</v>
      </c>
      <c r="BF176" s="59">
        <f t="shared" si="57"/>
        <v>48667</v>
      </c>
      <c r="BG176" s="36">
        <f>$BV$158+AJ214+($C$64-$BV$158)</f>
        <v>40.780291571043826</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4"/>
        <v>176.89</v>
      </c>
      <c r="CJ176" s="14">
        <f t="shared" si="55"/>
        <v>333.72</v>
      </c>
    </row>
    <row r="177" spans="7:88">
      <c r="G177" s="12">
        <f t="shared" si="51"/>
        <v>0</v>
      </c>
      <c r="H177" s="12">
        <f t="shared" si="40"/>
        <v>0</v>
      </c>
      <c r="I177" s="12">
        <f t="shared" si="40"/>
        <v>0</v>
      </c>
      <c r="J177" s="12">
        <f t="shared" si="40"/>
        <v>-15</v>
      </c>
      <c r="K177" s="12">
        <f t="shared" si="41"/>
        <v>-15</v>
      </c>
      <c r="L177" s="12">
        <f t="shared" si="42"/>
        <v>-15</v>
      </c>
      <c r="M177" s="12">
        <f t="shared" si="42"/>
        <v>-15</v>
      </c>
      <c r="N177" s="12">
        <f t="shared" si="42"/>
        <v>-15</v>
      </c>
      <c r="O177" s="12">
        <f t="shared" si="43"/>
        <v>-15</v>
      </c>
      <c r="P177" s="12">
        <f t="shared" si="44"/>
        <v>-15</v>
      </c>
      <c r="Q177" s="12">
        <f t="shared" si="44"/>
        <v>-15</v>
      </c>
      <c r="T177" s="61"/>
      <c r="U177" s="61"/>
      <c r="V177" s="61"/>
      <c r="W177" s="53">
        <f t="shared" si="52"/>
        <v>-2469.9999999999995</v>
      </c>
      <c r="X177" s="54">
        <f t="shared" si="45"/>
        <v>20.526315789473689</v>
      </c>
      <c r="Y177" s="25">
        <f t="shared" si="53"/>
        <v>-2.1663298056737341E-2</v>
      </c>
      <c r="Z177" s="54">
        <f t="shared" si="56"/>
        <v>-0.33209835920978342</v>
      </c>
      <c r="AA177" s="54">
        <f t="shared" si="46"/>
        <v>0</v>
      </c>
      <c r="AB177" s="54">
        <f t="shared" si="46"/>
        <v>0</v>
      </c>
      <c r="AC177" s="54">
        <f t="shared" si="46"/>
        <v>0</v>
      </c>
      <c r="AD177" s="54">
        <f t="shared" si="46"/>
        <v>-0.33209835920978342</v>
      </c>
      <c r="AE177" s="54">
        <f t="shared" si="46"/>
        <v>-0.33209835920978342</v>
      </c>
      <c r="AF177" s="54">
        <f t="shared" si="46"/>
        <v>-0.33209835920978342</v>
      </c>
      <c r="AG177" s="54">
        <f t="shared" si="46"/>
        <v>-0.33209835920978342</v>
      </c>
      <c r="AH177" s="54">
        <f t="shared" si="46"/>
        <v>-0.33209835920978342</v>
      </c>
      <c r="AI177" s="54">
        <f t="shared" si="46"/>
        <v>-0.33209835920978342</v>
      </c>
      <c r="AJ177" s="54">
        <f t="shared" si="46"/>
        <v>-0.33209835920978342</v>
      </c>
      <c r="AK177" s="54">
        <f t="shared" si="46"/>
        <v>-0.33209835920978342</v>
      </c>
      <c r="AL177" s="24">
        <f t="shared" si="47"/>
        <v>-10</v>
      </c>
      <c r="AM177" s="24">
        <f t="shared" si="48"/>
        <v>0</v>
      </c>
      <c r="AN177" s="55">
        <f t="shared" si="49"/>
        <v>50700</v>
      </c>
      <c r="AO177" s="55">
        <f t="shared" si="50"/>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4"/>
        <v>192.21</v>
      </c>
      <c r="CJ177" s="14">
        <f t="shared" si="55"/>
        <v>362.89</v>
      </c>
    </row>
    <row r="178" spans="7:88">
      <c r="G178" s="12">
        <f t="shared" si="51"/>
        <v>0</v>
      </c>
      <c r="H178" s="12">
        <f t="shared" si="40"/>
        <v>0</v>
      </c>
      <c r="I178" s="12">
        <f t="shared" si="40"/>
        <v>0</v>
      </c>
      <c r="J178" s="12">
        <f t="shared" si="40"/>
        <v>-40</v>
      </c>
      <c r="K178" s="12">
        <f t="shared" si="41"/>
        <v>-40</v>
      </c>
      <c r="L178" s="12">
        <f t="shared" si="42"/>
        <v>-40</v>
      </c>
      <c r="M178" s="12">
        <f t="shared" si="42"/>
        <v>-40</v>
      </c>
      <c r="N178" s="12">
        <f t="shared" si="42"/>
        <v>-40</v>
      </c>
      <c r="O178" s="12">
        <f t="shared" si="43"/>
        <v>-40</v>
      </c>
      <c r="P178" s="12">
        <f t="shared" si="44"/>
        <v>-40</v>
      </c>
      <c r="Q178" s="12">
        <f t="shared" si="44"/>
        <v>-40</v>
      </c>
      <c r="T178" s="61"/>
      <c r="U178" s="61"/>
      <c r="V178" s="61"/>
      <c r="W178" s="53">
        <f t="shared" si="52"/>
        <v>-3705</v>
      </c>
      <c r="X178" s="54">
        <f t="shared" si="45"/>
        <v>22.780026990553306</v>
      </c>
      <c r="Y178" s="25">
        <f t="shared" si="53"/>
        <v>-3.2494947085106009E-2</v>
      </c>
      <c r="Z178" s="54">
        <f t="shared" si="56"/>
        <v>-0.49814753881467511</v>
      </c>
      <c r="AA178" s="54">
        <f t="shared" si="46"/>
        <v>0</v>
      </c>
      <c r="AB178" s="54">
        <f t="shared" si="46"/>
        <v>0</v>
      </c>
      <c r="AC178" s="54">
        <f>IF($E79+365&lt;$C$56,0,IF($E79&lt;$C$56,(($E79+365-$C$56)/365)*(($C79/$BN$157)+($D79/$BN$158)),IF($E79&gt;AC$166,0,IF($E79+365&lt;AC$166,($C79/$BN$157)+($D79/$BN$158),((AC$166-$E79)/365)*(($C79/$BN$157)+($D79/$BN$158))))))</f>
        <v>0</v>
      </c>
      <c r="AD178" s="54">
        <f t="shared" si="46"/>
        <v>-0.49814753881467511</v>
      </c>
      <c r="AE178" s="54">
        <f t="shared" si="46"/>
        <v>-0.49814753881467511</v>
      </c>
      <c r="AF178" s="54">
        <f t="shared" si="46"/>
        <v>-0.49814753881467511</v>
      </c>
      <c r="AG178" s="54">
        <f t="shared" si="46"/>
        <v>-0.49814753881467511</v>
      </c>
      <c r="AH178" s="54">
        <f t="shared" si="46"/>
        <v>-0.49814753881467511</v>
      </c>
      <c r="AI178" s="54">
        <f t="shared" si="46"/>
        <v>-0.49814753881467511</v>
      </c>
      <c r="AJ178" s="54">
        <f t="shared" si="46"/>
        <v>-0.49814753881467511</v>
      </c>
      <c r="AK178" s="54">
        <f t="shared" si="46"/>
        <v>-0.49814753881467511</v>
      </c>
      <c r="AL178" s="24">
        <f t="shared" si="47"/>
        <v>-15</v>
      </c>
      <c r="AM178" s="24">
        <f t="shared" si="48"/>
        <v>0</v>
      </c>
      <c r="AN178" s="55">
        <f t="shared" si="49"/>
        <v>84400</v>
      </c>
      <c r="AO178" s="55">
        <f t="shared" si="50"/>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51"/>
        <v>0</v>
      </c>
      <c r="H179" s="12">
        <f t="shared" si="40"/>
        <v>0</v>
      </c>
      <c r="I179" s="12">
        <f t="shared" si="40"/>
        <v>0</v>
      </c>
      <c r="J179" s="12">
        <f t="shared" si="40"/>
        <v>-10</v>
      </c>
      <c r="K179" s="12">
        <f t="shared" si="41"/>
        <v>-10</v>
      </c>
      <c r="L179" s="12">
        <f t="shared" si="42"/>
        <v>-10</v>
      </c>
      <c r="M179" s="12">
        <f t="shared" si="42"/>
        <v>-10</v>
      </c>
      <c r="N179" s="12">
        <f t="shared" si="42"/>
        <v>-10</v>
      </c>
      <c r="O179" s="12">
        <f t="shared" si="43"/>
        <v>-10</v>
      </c>
      <c r="P179" s="12">
        <f t="shared" si="44"/>
        <v>-10</v>
      </c>
      <c r="Q179" s="12">
        <f t="shared" si="44"/>
        <v>-10</v>
      </c>
      <c r="T179" s="61"/>
      <c r="U179" s="61"/>
      <c r="V179" s="61"/>
      <c r="W179" s="53">
        <f t="shared" si="52"/>
        <v>-9879.9999999999982</v>
      </c>
      <c r="X179" s="54">
        <f t="shared" si="45"/>
        <v>8.5425101214574912</v>
      </c>
      <c r="Y179" s="25">
        <f t="shared" si="53"/>
        <v>-8.6653192226949366E-2</v>
      </c>
      <c r="Z179" s="54">
        <f t="shared" si="56"/>
        <v>-1.3283934368391337</v>
      </c>
      <c r="AA179" s="54">
        <f t="shared" si="46"/>
        <v>0</v>
      </c>
      <c r="AB179" s="54">
        <f t="shared" si="46"/>
        <v>0</v>
      </c>
      <c r="AC179" s="54">
        <f t="shared" si="46"/>
        <v>0</v>
      </c>
      <c r="AD179" s="54">
        <f t="shared" si="46"/>
        <v>-1.3283934368391337</v>
      </c>
      <c r="AE179" s="54">
        <f t="shared" si="46"/>
        <v>-1.3283934368391337</v>
      </c>
      <c r="AF179" s="54">
        <f t="shared" si="46"/>
        <v>-1.3283934368391337</v>
      </c>
      <c r="AG179" s="54">
        <f t="shared" si="46"/>
        <v>-1.3283934368391337</v>
      </c>
      <c r="AH179" s="54">
        <f t="shared" si="46"/>
        <v>-1.3283934368391337</v>
      </c>
      <c r="AI179" s="54">
        <f t="shared" si="46"/>
        <v>-1.3283934368391337</v>
      </c>
      <c r="AJ179" s="54">
        <f t="shared" si="46"/>
        <v>-1.3283934368391337</v>
      </c>
      <c r="AK179" s="54">
        <f t="shared" si="46"/>
        <v>-1.3283934368391337</v>
      </c>
      <c r="AL179" s="24">
        <f t="shared" si="47"/>
        <v>-40</v>
      </c>
      <c r="AM179" s="24">
        <f t="shared" si="48"/>
        <v>0</v>
      </c>
      <c r="AN179" s="55">
        <f t="shared" si="49"/>
        <v>84400</v>
      </c>
      <c r="AO179" s="55">
        <f t="shared" si="50"/>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51"/>
        <v>0</v>
      </c>
      <c r="H180" s="12">
        <f t="shared" si="40"/>
        <v>0</v>
      </c>
      <c r="I180" s="12">
        <f t="shared" si="40"/>
        <v>0</v>
      </c>
      <c r="J180" s="12">
        <f t="shared" si="40"/>
        <v>0</v>
      </c>
      <c r="K180" s="12">
        <f t="shared" si="41"/>
        <v>-10</v>
      </c>
      <c r="L180" s="12">
        <f t="shared" si="42"/>
        <v>-10</v>
      </c>
      <c r="M180" s="12">
        <f t="shared" si="42"/>
        <v>-10</v>
      </c>
      <c r="N180" s="12">
        <f t="shared" si="42"/>
        <v>-10</v>
      </c>
      <c r="O180" s="12">
        <f t="shared" si="43"/>
        <v>-10</v>
      </c>
      <c r="P180" s="12">
        <f t="shared" si="44"/>
        <v>-10</v>
      </c>
      <c r="Q180" s="12">
        <f t="shared" si="44"/>
        <v>-10</v>
      </c>
      <c r="T180" s="61"/>
      <c r="U180" s="61"/>
      <c r="V180" s="61"/>
      <c r="W180" s="53">
        <f t="shared" si="52"/>
        <v>-2469.9999999999995</v>
      </c>
      <c r="X180" s="54">
        <f t="shared" si="45"/>
        <v>553.44129554655876</v>
      </c>
      <c r="Y180" s="25">
        <f t="shared" si="53"/>
        <v>-2.687998069767419E-2</v>
      </c>
      <c r="Z180" s="54">
        <f t="shared" si="56"/>
        <v>-0.41207010409534528</v>
      </c>
      <c r="AA180" s="54">
        <f t="shared" si="46"/>
        <v>0</v>
      </c>
      <c r="AB180" s="54">
        <f t="shared" si="46"/>
        <v>0</v>
      </c>
      <c r="AC180" s="54">
        <f t="shared" si="46"/>
        <v>0</v>
      </c>
      <c r="AD180" s="54">
        <f t="shared" si="46"/>
        <v>-0.41207010409534528</v>
      </c>
      <c r="AE180" s="54">
        <f t="shared" si="46"/>
        <v>-0.41207010409534528</v>
      </c>
      <c r="AF180" s="54">
        <f t="shared" si="46"/>
        <v>-0.41207010409534528</v>
      </c>
      <c r="AG180" s="54">
        <f t="shared" si="46"/>
        <v>-0.41207010409534528</v>
      </c>
      <c r="AH180" s="54">
        <f t="shared" si="46"/>
        <v>-0.41207010409534528</v>
      </c>
      <c r="AI180" s="54">
        <f t="shared" si="46"/>
        <v>-0.41207010409534528</v>
      </c>
      <c r="AJ180" s="54">
        <f t="shared" si="46"/>
        <v>-0.41207010409534528</v>
      </c>
      <c r="AK180" s="54">
        <f t="shared" si="46"/>
        <v>-0.41207010409534528</v>
      </c>
      <c r="AL180" s="24">
        <f t="shared" si="47"/>
        <v>-10</v>
      </c>
      <c r="AM180" s="24">
        <f t="shared" si="48"/>
        <v>-38</v>
      </c>
      <c r="AN180" s="55">
        <f t="shared" si="49"/>
        <v>1367000</v>
      </c>
      <c r="AO180" s="55">
        <f t="shared" si="50"/>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51"/>
        <v>0</v>
      </c>
      <c r="H181" s="12">
        <f t="shared" si="40"/>
        <v>0</v>
      </c>
      <c r="I181" s="12">
        <f t="shared" si="40"/>
        <v>0</v>
      </c>
      <c r="J181" s="12">
        <f t="shared" si="40"/>
        <v>0</v>
      </c>
      <c r="K181" s="12">
        <f t="shared" si="41"/>
        <v>-10</v>
      </c>
      <c r="L181" s="12">
        <f t="shared" si="42"/>
        <v>-10</v>
      </c>
      <c r="M181" s="12">
        <f t="shared" si="42"/>
        <v>-10</v>
      </c>
      <c r="N181" s="12">
        <f t="shared" si="42"/>
        <v>-10</v>
      </c>
      <c r="O181" s="12">
        <f t="shared" si="43"/>
        <v>-10</v>
      </c>
      <c r="P181" s="12">
        <f t="shared" si="44"/>
        <v>-10</v>
      </c>
      <c r="Q181" s="12">
        <f t="shared" si="44"/>
        <v>-10</v>
      </c>
      <c r="T181" s="61"/>
      <c r="U181" s="61"/>
      <c r="V181" s="61"/>
      <c r="W181" s="53">
        <f t="shared" si="52"/>
        <v>-2469.9999999999995</v>
      </c>
      <c r="X181" s="54">
        <f t="shared" si="45"/>
        <v>445.34412955465598</v>
      </c>
      <c r="Y181" s="25">
        <f t="shared" si="53"/>
        <v>-2.687998069767419E-2</v>
      </c>
      <c r="Z181" s="54">
        <f t="shared" si="56"/>
        <v>-0.41207010409534528</v>
      </c>
      <c r="AA181" s="54">
        <f t="shared" si="46"/>
        <v>0</v>
      </c>
      <c r="AB181" s="54">
        <f t="shared" si="46"/>
        <v>0</v>
      </c>
      <c r="AC181" s="54">
        <f t="shared" si="46"/>
        <v>0</v>
      </c>
      <c r="AD181" s="54">
        <f t="shared" si="46"/>
        <v>0</v>
      </c>
      <c r="AE181" s="54">
        <f t="shared" si="46"/>
        <v>-0.41207010409534528</v>
      </c>
      <c r="AF181" s="54">
        <f t="shared" si="46"/>
        <v>-0.41207010409534528</v>
      </c>
      <c r="AG181" s="54">
        <f t="shared" si="46"/>
        <v>-0.41207010409534528</v>
      </c>
      <c r="AH181" s="54">
        <f t="shared" si="46"/>
        <v>-0.41207010409534528</v>
      </c>
      <c r="AI181" s="54">
        <f t="shared" si="46"/>
        <v>-0.41207010409534528</v>
      </c>
      <c r="AJ181" s="54">
        <f t="shared" si="46"/>
        <v>-0.41207010409534528</v>
      </c>
      <c r="AK181" s="54">
        <f t="shared" si="46"/>
        <v>-0.41207010409534528</v>
      </c>
      <c r="AL181" s="24">
        <f t="shared" si="47"/>
        <v>-10</v>
      </c>
      <c r="AM181" s="24">
        <f t="shared" si="48"/>
        <v>-38</v>
      </c>
      <c r="AN181" s="55">
        <f t="shared" si="49"/>
        <v>1100000</v>
      </c>
      <c r="AO181" s="55">
        <f t="shared" si="50"/>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51"/>
        <v>0</v>
      </c>
      <c r="H182" s="12">
        <f t="shared" si="40"/>
        <v>0</v>
      </c>
      <c r="I182" s="12">
        <f t="shared" si="40"/>
        <v>0</v>
      </c>
      <c r="J182" s="12">
        <f t="shared" si="40"/>
        <v>0</v>
      </c>
      <c r="K182" s="12">
        <f t="shared" si="41"/>
        <v>0</v>
      </c>
      <c r="L182" s="12">
        <f t="shared" si="42"/>
        <v>0</v>
      </c>
      <c r="M182" s="12">
        <f t="shared" si="42"/>
        <v>-10</v>
      </c>
      <c r="N182" s="12">
        <f t="shared" si="42"/>
        <v>-10</v>
      </c>
      <c r="O182" s="12">
        <f t="shared" si="43"/>
        <v>-10</v>
      </c>
      <c r="P182" s="12">
        <f t="shared" si="44"/>
        <v>-10</v>
      </c>
      <c r="Q182" s="12">
        <f t="shared" si="44"/>
        <v>-10</v>
      </c>
      <c r="T182" s="61"/>
      <c r="U182" s="61"/>
      <c r="V182" s="61"/>
      <c r="W182" s="53">
        <f t="shared" si="52"/>
        <v>-2469.9999999999995</v>
      </c>
      <c r="X182" s="54">
        <f t="shared" si="45"/>
        <v>445.34412955465598</v>
      </c>
      <c r="Y182" s="25">
        <f t="shared" si="53"/>
        <v>-2.687998069767419E-2</v>
      </c>
      <c r="Z182" s="54">
        <f t="shared" si="56"/>
        <v>-0.41207010409534528</v>
      </c>
      <c r="AA182" s="54">
        <f t="shared" si="46"/>
        <v>0</v>
      </c>
      <c r="AB182" s="54">
        <f t="shared" si="46"/>
        <v>0</v>
      </c>
      <c r="AC182" s="54">
        <f t="shared" si="46"/>
        <v>0</v>
      </c>
      <c r="AD182" s="54">
        <f t="shared" si="46"/>
        <v>0</v>
      </c>
      <c r="AE182" s="54">
        <f t="shared" si="46"/>
        <v>0</v>
      </c>
      <c r="AF182" s="54">
        <f t="shared" si="46"/>
        <v>-0.41207010409534528</v>
      </c>
      <c r="AG182" s="54">
        <f t="shared" si="46"/>
        <v>-0.41207010409534528</v>
      </c>
      <c r="AH182" s="54">
        <f t="shared" si="46"/>
        <v>-0.41207010409534528</v>
      </c>
      <c r="AI182" s="54">
        <f t="shared" si="46"/>
        <v>-0.41207010409534528</v>
      </c>
      <c r="AJ182" s="54">
        <f t="shared" si="46"/>
        <v>-0.41207010409534528</v>
      </c>
      <c r="AK182" s="54">
        <f t="shared" si="46"/>
        <v>-0.41207010409534528</v>
      </c>
      <c r="AL182" s="24">
        <f t="shared" si="47"/>
        <v>-10</v>
      </c>
      <c r="AM182" s="24">
        <f t="shared" si="48"/>
        <v>-38</v>
      </c>
      <c r="AN182" s="55">
        <f t="shared" si="49"/>
        <v>1100000</v>
      </c>
      <c r="AO182" s="55">
        <f t="shared" si="50"/>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51"/>
        <v>0</v>
      </c>
      <c r="H183" s="12">
        <f t="shared" ref="H183:J198" si="58">IF($E85&gt;H$66,0,IF($E85&lt;H$66-365,$C85,0))</f>
        <v>0</v>
      </c>
      <c r="I183" s="12">
        <f t="shared" si="58"/>
        <v>0</v>
      </c>
      <c r="J183" s="12">
        <f t="shared" si="58"/>
        <v>0</v>
      </c>
      <c r="K183" s="12">
        <f t="shared" si="41"/>
        <v>0</v>
      </c>
      <c r="L183" s="12">
        <f t="shared" ref="L183:N198" si="59">IF($E85&gt;L$66,0,IF($E85&lt;L$66-365,$C85,0))</f>
        <v>0</v>
      </c>
      <c r="M183" s="12">
        <f t="shared" si="59"/>
        <v>0</v>
      </c>
      <c r="N183" s="12">
        <f t="shared" si="59"/>
        <v>-10</v>
      </c>
      <c r="O183" s="12">
        <f t="shared" si="43"/>
        <v>-10</v>
      </c>
      <c r="P183" s="12">
        <f t="shared" ref="P183:Q198" si="60">IF($E85&gt;P$66,0,IF($E85&lt;P$66-365,$C85,0))</f>
        <v>-10</v>
      </c>
      <c r="Q183" s="12">
        <f t="shared" si="60"/>
        <v>-10</v>
      </c>
      <c r="T183" s="61"/>
      <c r="U183" s="61"/>
      <c r="V183" s="61"/>
      <c r="W183" s="53">
        <f t="shared" si="52"/>
        <v>-2469.9999999999995</v>
      </c>
      <c r="X183" s="54">
        <f t="shared" si="45"/>
        <v>445.34412955465598</v>
      </c>
      <c r="Y183" s="25">
        <f t="shared" si="53"/>
        <v>-2.687998069767419E-2</v>
      </c>
      <c r="Z183" s="54">
        <f t="shared" si="56"/>
        <v>-0.41207010409534528</v>
      </c>
      <c r="AA183" s="54">
        <f t="shared" ref="AA183:AK198" si="61">IF($E84+365&lt;$C$56,0,IF($E84&lt;$C$56,(($E84+365-$C$56)/365)*(($C84/$BN$157)+($D84/$BN$158)),IF($E84&gt;AA$166,0,IF($E84+365&lt;AA$166,($C84/$BN$157)+($D84/$BN$158),((AA$166-$E84)/365)*(($C84/$BN$157)+($D84/$BN$158))))))</f>
        <v>0</v>
      </c>
      <c r="AB183" s="54">
        <f t="shared" si="61"/>
        <v>0</v>
      </c>
      <c r="AC183" s="54">
        <f t="shared" si="61"/>
        <v>0</v>
      </c>
      <c r="AD183" s="54">
        <f t="shared" si="61"/>
        <v>0</v>
      </c>
      <c r="AE183" s="54">
        <f t="shared" si="61"/>
        <v>0</v>
      </c>
      <c r="AF183" s="54">
        <f t="shared" si="61"/>
        <v>0</v>
      </c>
      <c r="AG183" s="54">
        <f t="shared" si="61"/>
        <v>-0.41207010409534528</v>
      </c>
      <c r="AH183" s="54">
        <f t="shared" si="61"/>
        <v>-0.41207010409534528</v>
      </c>
      <c r="AI183" s="54">
        <f t="shared" si="61"/>
        <v>-0.41207010409534528</v>
      </c>
      <c r="AJ183" s="54">
        <f t="shared" si="61"/>
        <v>-0.41207010409534528</v>
      </c>
      <c r="AK183" s="54">
        <f t="shared" si="61"/>
        <v>-0.41207010409534528</v>
      </c>
      <c r="AL183" s="24">
        <f t="shared" si="47"/>
        <v>-10</v>
      </c>
      <c r="AM183" s="24">
        <f t="shared" si="48"/>
        <v>-38</v>
      </c>
      <c r="AN183" s="55">
        <f t="shared" si="49"/>
        <v>1100000</v>
      </c>
      <c r="AO183" s="55">
        <f t="shared" si="50"/>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51"/>
        <v>0</v>
      </c>
      <c r="H184" s="12">
        <f t="shared" si="58"/>
        <v>0</v>
      </c>
      <c r="I184" s="12">
        <f t="shared" si="58"/>
        <v>0</v>
      </c>
      <c r="J184" s="12">
        <f t="shared" si="58"/>
        <v>0</v>
      </c>
      <c r="K184" s="12">
        <f t="shared" si="41"/>
        <v>0</v>
      </c>
      <c r="L184" s="12">
        <f t="shared" si="59"/>
        <v>0</v>
      </c>
      <c r="M184" s="12">
        <f t="shared" si="59"/>
        <v>0</v>
      </c>
      <c r="N184" s="12">
        <f t="shared" si="59"/>
        <v>0</v>
      </c>
      <c r="O184" s="12">
        <f t="shared" si="43"/>
        <v>-130</v>
      </c>
      <c r="P184" s="12">
        <f t="shared" si="60"/>
        <v>-130</v>
      </c>
      <c r="Q184" s="12">
        <f t="shared" si="60"/>
        <v>-130</v>
      </c>
      <c r="T184" s="61"/>
      <c r="U184" s="61"/>
      <c r="V184" s="61"/>
      <c r="W184" s="53">
        <f t="shared" si="52"/>
        <v>-2469.9999999999995</v>
      </c>
      <c r="X184" s="54">
        <f t="shared" si="45"/>
        <v>445.34412955465598</v>
      </c>
      <c r="Y184" s="25">
        <f t="shared" si="53"/>
        <v>-2.687998069767419E-2</v>
      </c>
      <c r="Z184" s="54">
        <f t="shared" si="56"/>
        <v>-0.41207010409534528</v>
      </c>
      <c r="AA184" s="54">
        <f t="shared" si="61"/>
        <v>0</v>
      </c>
      <c r="AB184" s="54">
        <f t="shared" si="61"/>
        <v>0</v>
      </c>
      <c r="AC184" s="54">
        <f t="shared" si="61"/>
        <v>0</v>
      </c>
      <c r="AD184" s="54">
        <f t="shared" si="61"/>
        <v>0</v>
      </c>
      <c r="AE184" s="54">
        <f t="shared" si="61"/>
        <v>0</v>
      </c>
      <c r="AF184" s="54">
        <f t="shared" si="61"/>
        <v>0</v>
      </c>
      <c r="AG184" s="54">
        <f t="shared" si="61"/>
        <v>0</v>
      </c>
      <c r="AH184" s="54">
        <f t="shared" si="61"/>
        <v>-0.41207010409534528</v>
      </c>
      <c r="AI184" s="54">
        <f t="shared" si="61"/>
        <v>-0.41207010409534528</v>
      </c>
      <c r="AJ184" s="54">
        <f t="shared" si="61"/>
        <v>-0.41207010409534528</v>
      </c>
      <c r="AK184" s="54">
        <f t="shared" si="61"/>
        <v>-0.41207010409534528</v>
      </c>
      <c r="AL184" s="24">
        <f t="shared" si="47"/>
        <v>-10</v>
      </c>
      <c r="AM184" s="24">
        <f t="shared" si="48"/>
        <v>-38</v>
      </c>
      <c r="AN184" s="55">
        <f t="shared" si="49"/>
        <v>1100000</v>
      </c>
      <c r="AO184" s="55">
        <f t="shared" si="50"/>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51"/>
        <v>0</v>
      </c>
      <c r="H185" s="12">
        <f t="shared" si="58"/>
        <v>0</v>
      </c>
      <c r="I185" s="12">
        <f t="shared" si="58"/>
        <v>0</v>
      </c>
      <c r="J185" s="12">
        <f t="shared" si="58"/>
        <v>0</v>
      </c>
      <c r="K185" s="12">
        <f t="shared" si="41"/>
        <v>0</v>
      </c>
      <c r="L185" s="12">
        <f t="shared" si="59"/>
        <v>0</v>
      </c>
      <c r="M185" s="12">
        <f t="shared" si="59"/>
        <v>0</v>
      </c>
      <c r="N185" s="12">
        <f t="shared" si="59"/>
        <v>0</v>
      </c>
      <c r="O185" s="12">
        <f t="shared" si="43"/>
        <v>0</v>
      </c>
      <c r="P185" s="12">
        <f t="shared" si="60"/>
        <v>0</v>
      </c>
      <c r="Q185" s="12">
        <f t="shared" si="60"/>
        <v>0</v>
      </c>
      <c r="T185" s="61"/>
      <c r="U185" s="61"/>
      <c r="V185" s="61"/>
      <c r="W185" s="53">
        <f t="shared" si="52"/>
        <v>-32110</v>
      </c>
      <c r="X185" s="54">
        <f t="shared" si="45"/>
        <v>48.022422921208346</v>
      </c>
      <c r="Y185" s="25">
        <f t="shared" si="53"/>
        <v>-0.35026343580254393</v>
      </c>
      <c r="Z185" s="54">
        <f t="shared" si="56"/>
        <v>-5.3695384708529978</v>
      </c>
      <c r="AA185" s="54">
        <f t="shared" si="61"/>
        <v>0</v>
      </c>
      <c r="AB185" s="54">
        <f t="shared" si="61"/>
        <v>0</v>
      </c>
      <c r="AC185" s="54">
        <f t="shared" si="61"/>
        <v>0</v>
      </c>
      <c r="AD185" s="54">
        <f t="shared" si="61"/>
        <v>0</v>
      </c>
      <c r="AE185" s="54">
        <f t="shared" si="61"/>
        <v>0</v>
      </c>
      <c r="AF185" s="54">
        <f t="shared" si="61"/>
        <v>0</v>
      </c>
      <c r="AG185" s="54">
        <f t="shared" si="61"/>
        <v>0</v>
      </c>
      <c r="AH185" s="54">
        <f t="shared" si="61"/>
        <v>0</v>
      </c>
      <c r="AI185" s="54">
        <f t="shared" si="61"/>
        <v>0</v>
      </c>
      <c r="AJ185" s="54">
        <f t="shared" si="61"/>
        <v>-5.3695384708529978</v>
      </c>
      <c r="AK185" s="54">
        <f t="shared" si="61"/>
        <v>-5.3695384708529978</v>
      </c>
      <c r="AL185" s="24">
        <f t="shared" si="47"/>
        <v>-130</v>
      </c>
      <c r="AM185" s="24">
        <f t="shared" si="48"/>
        <v>-500</v>
      </c>
      <c r="AN185" s="55">
        <f t="shared" si="49"/>
        <v>1542000</v>
      </c>
      <c r="AO185" s="55">
        <f t="shared" si="50"/>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51"/>
        <v>0</v>
      </c>
      <c r="H186" s="12">
        <f t="shared" si="58"/>
        <v>0</v>
      </c>
      <c r="I186" s="12">
        <f t="shared" si="58"/>
        <v>0</v>
      </c>
      <c r="J186" s="12">
        <f t="shared" si="58"/>
        <v>0</v>
      </c>
      <c r="K186" s="12">
        <f t="shared" si="41"/>
        <v>0</v>
      </c>
      <c r="L186" s="12">
        <f t="shared" si="59"/>
        <v>0</v>
      </c>
      <c r="M186" s="12">
        <f t="shared" si="59"/>
        <v>0</v>
      </c>
      <c r="N186" s="12">
        <f t="shared" si="59"/>
        <v>0</v>
      </c>
      <c r="O186" s="12">
        <f t="shared" si="43"/>
        <v>0</v>
      </c>
      <c r="P186" s="12">
        <f t="shared" si="60"/>
        <v>0</v>
      </c>
      <c r="Q186" s="12">
        <f t="shared" si="60"/>
        <v>0</v>
      </c>
      <c r="T186" s="61"/>
      <c r="U186" s="61"/>
      <c r="V186" s="61"/>
      <c r="W186" s="53">
        <f t="shared" si="52"/>
        <v>0</v>
      </c>
      <c r="X186" s="54" t="e">
        <f t="shared" si="45"/>
        <v>#DIV/0!</v>
      </c>
      <c r="Y186" s="25">
        <f t="shared" si="53"/>
        <v>0</v>
      </c>
      <c r="Z186" s="54">
        <f t="shared" si="56"/>
        <v>0</v>
      </c>
      <c r="AA186" s="54">
        <f t="shared" si="61"/>
        <v>0</v>
      </c>
      <c r="AB186" s="54">
        <f t="shared" si="61"/>
        <v>0</v>
      </c>
      <c r="AC186" s="54">
        <f t="shared" si="61"/>
        <v>0</v>
      </c>
      <c r="AD186" s="54">
        <f t="shared" si="61"/>
        <v>0</v>
      </c>
      <c r="AE186" s="54">
        <f t="shared" si="61"/>
        <v>0</v>
      </c>
      <c r="AF186" s="54">
        <f t="shared" si="61"/>
        <v>0</v>
      </c>
      <c r="AG186" s="54">
        <f t="shared" si="61"/>
        <v>0</v>
      </c>
      <c r="AH186" s="54">
        <f t="shared" si="61"/>
        <v>0</v>
      </c>
      <c r="AI186" s="54">
        <f t="shared" si="61"/>
        <v>0</v>
      </c>
      <c r="AJ186" s="54">
        <f t="shared" si="61"/>
        <v>0</v>
      </c>
      <c r="AK186" s="54">
        <f t="shared" si="61"/>
        <v>0</v>
      </c>
      <c r="AL186" s="24">
        <f t="shared" si="47"/>
        <v>0</v>
      </c>
      <c r="AM186" s="24">
        <f t="shared" si="48"/>
        <v>0</v>
      </c>
      <c r="AN186" s="55">
        <f t="shared" si="49"/>
        <v>0</v>
      </c>
      <c r="AO186" s="55">
        <f t="shared" si="50"/>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51"/>
        <v>0</v>
      </c>
      <c r="H187" s="12">
        <f t="shared" si="58"/>
        <v>0</v>
      </c>
      <c r="I187" s="12">
        <f t="shared" si="58"/>
        <v>0</v>
      </c>
      <c r="J187" s="12">
        <f t="shared" si="58"/>
        <v>0</v>
      </c>
      <c r="K187" s="12">
        <f t="shared" si="41"/>
        <v>0</v>
      </c>
      <c r="L187" s="12">
        <f t="shared" si="59"/>
        <v>0</v>
      </c>
      <c r="M187" s="12">
        <f t="shared" si="59"/>
        <v>0</v>
      </c>
      <c r="N187" s="12">
        <f t="shared" si="59"/>
        <v>0</v>
      </c>
      <c r="O187" s="12">
        <f t="shared" si="43"/>
        <v>0</v>
      </c>
      <c r="P187" s="12">
        <f t="shared" si="60"/>
        <v>0</v>
      </c>
      <c r="Q187" s="12">
        <f t="shared" si="60"/>
        <v>0</v>
      </c>
      <c r="T187" s="61"/>
      <c r="U187" s="61"/>
      <c r="V187" s="61"/>
      <c r="W187" s="53">
        <f t="shared" si="52"/>
        <v>0</v>
      </c>
      <c r="X187" s="54" t="e">
        <f t="shared" si="45"/>
        <v>#DIV/0!</v>
      </c>
      <c r="Y187" s="25">
        <f t="shared" si="53"/>
        <v>0</v>
      </c>
      <c r="Z187" s="54">
        <f t="shared" si="56"/>
        <v>0</v>
      </c>
      <c r="AA187" s="54">
        <f t="shared" si="61"/>
        <v>0</v>
      </c>
      <c r="AB187" s="54">
        <f t="shared" si="61"/>
        <v>0</v>
      </c>
      <c r="AC187" s="54">
        <f t="shared" si="61"/>
        <v>0</v>
      </c>
      <c r="AD187" s="54">
        <f t="shared" si="61"/>
        <v>0</v>
      </c>
      <c r="AE187" s="54">
        <f t="shared" si="61"/>
        <v>0</v>
      </c>
      <c r="AF187" s="54">
        <f t="shared" si="61"/>
        <v>0</v>
      </c>
      <c r="AG187" s="54">
        <f t="shared" si="61"/>
        <v>0</v>
      </c>
      <c r="AH187" s="54">
        <f t="shared" si="61"/>
        <v>0</v>
      </c>
      <c r="AI187" s="54">
        <f t="shared" si="61"/>
        <v>0</v>
      </c>
      <c r="AJ187" s="54">
        <f t="shared" si="61"/>
        <v>0</v>
      </c>
      <c r="AK187" s="54">
        <f t="shared" si="61"/>
        <v>0</v>
      </c>
      <c r="AL187" s="24">
        <f t="shared" si="47"/>
        <v>0</v>
      </c>
      <c r="AM187" s="24">
        <f t="shared" si="48"/>
        <v>0</v>
      </c>
      <c r="AN187" s="55">
        <f t="shared" si="49"/>
        <v>0</v>
      </c>
      <c r="AO187" s="55">
        <f t="shared" si="50"/>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51"/>
        <v>0</v>
      </c>
      <c r="H188" s="12">
        <f t="shared" si="58"/>
        <v>0</v>
      </c>
      <c r="I188" s="12">
        <f t="shared" si="58"/>
        <v>0</v>
      </c>
      <c r="J188" s="12">
        <f t="shared" si="58"/>
        <v>0</v>
      </c>
      <c r="K188" s="12">
        <f t="shared" si="41"/>
        <v>0</v>
      </c>
      <c r="L188" s="12">
        <f t="shared" si="59"/>
        <v>0</v>
      </c>
      <c r="M188" s="12">
        <f t="shared" si="59"/>
        <v>0</v>
      </c>
      <c r="N188" s="12">
        <f t="shared" si="59"/>
        <v>0</v>
      </c>
      <c r="O188" s="12">
        <f t="shared" si="43"/>
        <v>0</v>
      </c>
      <c r="P188" s="12">
        <f t="shared" si="60"/>
        <v>0</v>
      </c>
      <c r="Q188" s="12">
        <f t="shared" si="60"/>
        <v>0</v>
      </c>
      <c r="T188" s="61"/>
      <c r="U188" s="61"/>
      <c r="V188" s="61"/>
      <c r="W188" s="53">
        <f t="shared" si="52"/>
        <v>0</v>
      </c>
      <c r="X188" s="54" t="e">
        <f t="shared" si="45"/>
        <v>#DIV/0!</v>
      </c>
      <c r="Y188" s="25">
        <f t="shared" si="53"/>
        <v>0</v>
      </c>
      <c r="Z188" s="54">
        <f t="shared" si="56"/>
        <v>0</v>
      </c>
      <c r="AA188" s="54">
        <f t="shared" si="61"/>
        <v>0</v>
      </c>
      <c r="AB188" s="54">
        <f t="shared" si="61"/>
        <v>0</v>
      </c>
      <c r="AC188" s="54">
        <f t="shared" si="61"/>
        <v>0</v>
      </c>
      <c r="AD188" s="54">
        <f t="shared" si="61"/>
        <v>0</v>
      </c>
      <c r="AE188" s="54">
        <f t="shared" si="61"/>
        <v>0</v>
      </c>
      <c r="AF188" s="54">
        <f t="shared" si="61"/>
        <v>0</v>
      </c>
      <c r="AG188" s="54">
        <f t="shared" si="61"/>
        <v>0</v>
      </c>
      <c r="AH188" s="54">
        <f t="shared" si="61"/>
        <v>0</v>
      </c>
      <c r="AI188" s="54">
        <f t="shared" si="61"/>
        <v>0</v>
      </c>
      <c r="AJ188" s="54">
        <f t="shared" si="61"/>
        <v>0</v>
      </c>
      <c r="AK188" s="54">
        <f t="shared" si="61"/>
        <v>0</v>
      </c>
      <c r="AL188" s="24">
        <f t="shared" si="47"/>
        <v>0</v>
      </c>
      <c r="AM188" s="24">
        <f t="shared" si="48"/>
        <v>0</v>
      </c>
      <c r="AN188" s="55">
        <f t="shared" si="49"/>
        <v>0</v>
      </c>
      <c r="AO188" s="55">
        <f t="shared" si="50"/>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51"/>
        <v>0</v>
      </c>
      <c r="H189" s="12">
        <f t="shared" si="58"/>
        <v>0</v>
      </c>
      <c r="I189" s="12">
        <f t="shared" si="58"/>
        <v>0</v>
      </c>
      <c r="J189" s="12">
        <f t="shared" si="58"/>
        <v>0</v>
      </c>
      <c r="K189" s="12">
        <f t="shared" si="41"/>
        <v>0</v>
      </c>
      <c r="L189" s="12">
        <f t="shared" si="59"/>
        <v>0</v>
      </c>
      <c r="M189" s="12">
        <f t="shared" si="59"/>
        <v>0</v>
      </c>
      <c r="N189" s="12">
        <f t="shared" si="59"/>
        <v>0</v>
      </c>
      <c r="O189" s="12">
        <f t="shared" si="43"/>
        <v>0</v>
      </c>
      <c r="P189" s="12">
        <f t="shared" si="60"/>
        <v>0</v>
      </c>
      <c r="Q189" s="12">
        <f t="shared" si="60"/>
        <v>0</v>
      </c>
      <c r="T189" s="61"/>
      <c r="U189" s="61"/>
      <c r="V189" s="61"/>
      <c r="W189" s="53">
        <f t="shared" si="52"/>
        <v>0</v>
      </c>
      <c r="X189" s="54" t="e">
        <f t="shared" si="45"/>
        <v>#DIV/0!</v>
      </c>
      <c r="Y189" s="25">
        <f t="shared" si="53"/>
        <v>0</v>
      </c>
      <c r="Z189" s="54">
        <f t="shared" si="56"/>
        <v>0</v>
      </c>
      <c r="AA189" s="54">
        <f t="shared" si="61"/>
        <v>0</v>
      </c>
      <c r="AB189" s="54">
        <f t="shared" si="61"/>
        <v>0</v>
      </c>
      <c r="AC189" s="54">
        <f t="shared" si="61"/>
        <v>0</v>
      </c>
      <c r="AD189" s="54">
        <f t="shared" si="61"/>
        <v>0</v>
      </c>
      <c r="AE189" s="54">
        <f t="shared" si="61"/>
        <v>0</v>
      </c>
      <c r="AF189" s="54">
        <f t="shared" si="61"/>
        <v>0</v>
      </c>
      <c r="AG189" s="54">
        <f t="shared" si="61"/>
        <v>0</v>
      </c>
      <c r="AH189" s="54">
        <f t="shared" si="61"/>
        <v>0</v>
      </c>
      <c r="AI189" s="54">
        <f t="shared" si="61"/>
        <v>0</v>
      </c>
      <c r="AJ189" s="54">
        <f t="shared" si="61"/>
        <v>0</v>
      </c>
      <c r="AK189" s="54">
        <f t="shared" si="61"/>
        <v>0</v>
      </c>
      <c r="AL189" s="24">
        <f t="shared" si="47"/>
        <v>0</v>
      </c>
      <c r="AM189" s="24">
        <f t="shared" si="48"/>
        <v>0</v>
      </c>
      <c r="AN189" s="55">
        <f t="shared" si="49"/>
        <v>0</v>
      </c>
      <c r="AO189" s="55">
        <f t="shared" si="50"/>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51"/>
        <v>0</v>
      </c>
      <c r="H190" s="12">
        <f t="shared" si="58"/>
        <v>0</v>
      </c>
      <c r="I190" s="12">
        <f t="shared" si="58"/>
        <v>0</v>
      </c>
      <c r="J190" s="12">
        <f t="shared" si="58"/>
        <v>0</v>
      </c>
      <c r="K190" s="12">
        <f t="shared" si="41"/>
        <v>0</v>
      </c>
      <c r="L190" s="12">
        <f t="shared" si="59"/>
        <v>0</v>
      </c>
      <c r="M190" s="12">
        <f t="shared" si="59"/>
        <v>0</v>
      </c>
      <c r="N190" s="12">
        <f t="shared" si="59"/>
        <v>0</v>
      </c>
      <c r="O190" s="12">
        <f t="shared" si="43"/>
        <v>0</v>
      </c>
      <c r="P190" s="12">
        <f t="shared" si="60"/>
        <v>0</v>
      </c>
      <c r="Q190" s="12">
        <f t="shared" si="60"/>
        <v>0</v>
      </c>
      <c r="T190" s="61"/>
      <c r="U190" s="61"/>
      <c r="V190" s="61"/>
      <c r="W190" s="53">
        <f t="shared" si="52"/>
        <v>0</v>
      </c>
      <c r="X190" s="54" t="e">
        <f t="shared" si="45"/>
        <v>#DIV/0!</v>
      </c>
      <c r="Y190" s="25">
        <f t="shared" si="53"/>
        <v>0</v>
      </c>
      <c r="Z190" s="54">
        <f t="shared" si="56"/>
        <v>0</v>
      </c>
      <c r="AA190" s="54">
        <f t="shared" si="61"/>
        <v>0</v>
      </c>
      <c r="AB190" s="54">
        <f t="shared" si="61"/>
        <v>0</v>
      </c>
      <c r="AC190" s="54">
        <f t="shared" si="61"/>
        <v>0</v>
      </c>
      <c r="AD190" s="54">
        <f t="shared" si="61"/>
        <v>0</v>
      </c>
      <c r="AE190" s="54">
        <f t="shared" si="61"/>
        <v>0</v>
      </c>
      <c r="AF190" s="54">
        <f t="shared" si="61"/>
        <v>0</v>
      </c>
      <c r="AG190" s="54">
        <f t="shared" si="61"/>
        <v>0</v>
      </c>
      <c r="AH190" s="54">
        <f t="shared" si="61"/>
        <v>0</v>
      </c>
      <c r="AI190" s="54">
        <f t="shared" si="61"/>
        <v>0</v>
      </c>
      <c r="AJ190" s="54">
        <f t="shared" si="61"/>
        <v>0</v>
      </c>
      <c r="AK190" s="54">
        <f t="shared" si="61"/>
        <v>0</v>
      </c>
      <c r="AL190" s="24">
        <f t="shared" si="47"/>
        <v>0</v>
      </c>
      <c r="AM190" s="24">
        <f t="shared" si="48"/>
        <v>0</v>
      </c>
      <c r="AN190" s="55">
        <f t="shared" si="49"/>
        <v>0</v>
      </c>
      <c r="AO190" s="55">
        <f t="shared" si="50"/>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51"/>
        <v>0</v>
      </c>
      <c r="H191" s="12">
        <f t="shared" si="58"/>
        <v>0</v>
      </c>
      <c r="I191" s="12">
        <f t="shared" si="58"/>
        <v>0</v>
      </c>
      <c r="J191" s="12">
        <f t="shared" si="58"/>
        <v>0</v>
      </c>
      <c r="K191" s="12">
        <f t="shared" si="41"/>
        <v>0</v>
      </c>
      <c r="L191" s="12">
        <f t="shared" si="59"/>
        <v>0</v>
      </c>
      <c r="M191" s="12">
        <f t="shared" si="59"/>
        <v>0</v>
      </c>
      <c r="N191" s="12">
        <f t="shared" si="59"/>
        <v>0</v>
      </c>
      <c r="O191" s="12">
        <f t="shared" si="43"/>
        <v>0</v>
      </c>
      <c r="P191" s="12">
        <f t="shared" si="60"/>
        <v>0</v>
      </c>
      <c r="Q191" s="12">
        <f t="shared" si="60"/>
        <v>0</v>
      </c>
      <c r="T191" s="61"/>
      <c r="U191" s="61"/>
      <c r="V191" s="61"/>
      <c r="W191" s="53">
        <f t="shared" si="52"/>
        <v>0</v>
      </c>
      <c r="X191" s="54" t="e">
        <f t="shared" si="45"/>
        <v>#DIV/0!</v>
      </c>
      <c r="Y191" s="25">
        <f t="shared" si="53"/>
        <v>0</v>
      </c>
      <c r="Z191" s="54">
        <f t="shared" si="56"/>
        <v>0</v>
      </c>
      <c r="AA191" s="54">
        <f t="shared" si="61"/>
        <v>0</v>
      </c>
      <c r="AB191" s="54">
        <f t="shared" si="61"/>
        <v>0</v>
      </c>
      <c r="AC191" s="54">
        <f t="shared" si="61"/>
        <v>0</v>
      </c>
      <c r="AD191" s="54">
        <f t="shared" si="61"/>
        <v>0</v>
      </c>
      <c r="AE191" s="54">
        <f t="shared" si="61"/>
        <v>0</v>
      </c>
      <c r="AF191" s="54">
        <f t="shared" si="61"/>
        <v>0</v>
      </c>
      <c r="AG191" s="54">
        <f t="shared" si="61"/>
        <v>0</v>
      </c>
      <c r="AH191" s="54">
        <f t="shared" si="61"/>
        <v>0</v>
      </c>
      <c r="AI191" s="54">
        <f t="shared" si="61"/>
        <v>0</v>
      </c>
      <c r="AJ191" s="54">
        <f t="shared" si="61"/>
        <v>0</v>
      </c>
      <c r="AK191" s="54">
        <f t="shared" si="61"/>
        <v>0</v>
      </c>
      <c r="AL191" s="24">
        <f t="shared" si="47"/>
        <v>0</v>
      </c>
      <c r="AM191" s="24">
        <f t="shared" si="48"/>
        <v>0</v>
      </c>
      <c r="AN191" s="55">
        <f t="shared" si="49"/>
        <v>0</v>
      </c>
      <c r="AO191" s="55">
        <f t="shared" si="50"/>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51"/>
        <v>0</v>
      </c>
      <c r="H192" s="12">
        <f t="shared" si="58"/>
        <v>0</v>
      </c>
      <c r="I192" s="12">
        <f t="shared" si="58"/>
        <v>0</v>
      </c>
      <c r="J192" s="12">
        <f t="shared" si="58"/>
        <v>0</v>
      </c>
      <c r="K192" s="12">
        <f t="shared" si="41"/>
        <v>0</v>
      </c>
      <c r="L192" s="12">
        <f t="shared" si="59"/>
        <v>0</v>
      </c>
      <c r="M192" s="12">
        <f t="shared" si="59"/>
        <v>0</v>
      </c>
      <c r="N192" s="12">
        <f t="shared" si="59"/>
        <v>0</v>
      </c>
      <c r="O192" s="12">
        <f t="shared" si="43"/>
        <v>0</v>
      </c>
      <c r="P192" s="12">
        <f t="shared" si="60"/>
        <v>0</v>
      </c>
      <c r="Q192" s="12">
        <f t="shared" si="60"/>
        <v>0</v>
      </c>
      <c r="T192" s="61"/>
      <c r="U192" s="61"/>
      <c r="V192" s="61"/>
      <c r="W192" s="53">
        <f t="shared" si="52"/>
        <v>0</v>
      </c>
      <c r="X192" s="54" t="e">
        <f t="shared" si="45"/>
        <v>#DIV/0!</v>
      </c>
      <c r="Y192" s="25">
        <f t="shared" si="53"/>
        <v>0</v>
      </c>
      <c r="Z192" s="54">
        <f t="shared" si="56"/>
        <v>0</v>
      </c>
      <c r="AA192" s="54">
        <f t="shared" si="61"/>
        <v>0</v>
      </c>
      <c r="AB192" s="54">
        <f t="shared" si="61"/>
        <v>0</v>
      </c>
      <c r="AC192" s="54">
        <f t="shared" si="61"/>
        <v>0</v>
      </c>
      <c r="AD192" s="54">
        <f t="shared" si="61"/>
        <v>0</v>
      </c>
      <c r="AE192" s="54">
        <f t="shared" si="61"/>
        <v>0</v>
      </c>
      <c r="AF192" s="54">
        <f t="shared" si="61"/>
        <v>0</v>
      </c>
      <c r="AG192" s="54">
        <f t="shared" si="61"/>
        <v>0</v>
      </c>
      <c r="AH192" s="54">
        <f t="shared" si="61"/>
        <v>0</v>
      </c>
      <c r="AI192" s="54">
        <f t="shared" si="61"/>
        <v>0</v>
      </c>
      <c r="AJ192" s="54">
        <f t="shared" si="61"/>
        <v>0</v>
      </c>
      <c r="AK192" s="54">
        <f t="shared" si="61"/>
        <v>0</v>
      </c>
      <c r="AL192" s="24">
        <f t="shared" si="47"/>
        <v>0</v>
      </c>
      <c r="AM192" s="24">
        <f t="shared" si="48"/>
        <v>0</v>
      </c>
      <c r="AN192" s="55">
        <f t="shared" si="49"/>
        <v>0</v>
      </c>
      <c r="AO192" s="55">
        <f t="shared" si="50"/>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51"/>
        <v>0</v>
      </c>
      <c r="H193" s="12">
        <f t="shared" si="58"/>
        <v>0</v>
      </c>
      <c r="I193" s="12">
        <f t="shared" si="58"/>
        <v>0</v>
      </c>
      <c r="J193" s="12">
        <f t="shared" si="58"/>
        <v>0</v>
      </c>
      <c r="K193" s="12">
        <f t="shared" si="41"/>
        <v>0</v>
      </c>
      <c r="L193" s="12">
        <f t="shared" si="59"/>
        <v>0</v>
      </c>
      <c r="M193" s="12">
        <f t="shared" si="59"/>
        <v>0</v>
      </c>
      <c r="N193" s="12">
        <f t="shared" si="59"/>
        <v>0</v>
      </c>
      <c r="O193" s="12">
        <f t="shared" si="43"/>
        <v>0</v>
      </c>
      <c r="P193" s="12">
        <f t="shared" si="60"/>
        <v>0</v>
      </c>
      <c r="Q193" s="12">
        <f t="shared" si="60"/>
        <v>0</v>
      </c>
      <c r="T193" s="61"/>
      <c r="U193" s="61"/>
      <c r="V193" s="61"/>
      <c r="W193" s="53">
        <f t="shared" si="52"/>
        <v>0</v>
      </c>
      <c r="X193" s="54" t="e">
        <f t="shared" si="45"/>
        <v>#DIV/0!</v>
      </c>
      <c r="Y193" s="25">
        <f t="shared" si="53"/>
        <v>0</v>
      </c>
      <c r="Z193" s="54">
        <f t="shared" si="56"/>
        <v>0</v>
      </c>
      <c r="AA193" s="54">
        <f t="shared" si="61"/>
        <v>0</v>
      </c>
      <c r="AB193" s="54">
        <f t="shared" si="61"/>
        <v>0</v>
      </c>
      <c r="AC193" s="54">
        <f t="shared" si="61"/>
        <v>0</v>
      </c>
      <c r="AD193" s="54">
        <f t="shared" si="61"/>
        <v>0</v>
      </c>
      <c r="AE193" s="54">
        <f t="shared" si="61"/>
        <v>0</v>
      </c>
      <c r="AF193" s="54">
        <f t="shared" si="61"/>
        <v>0</v>
      </c>
      <c r="AG193" s="54">
        <f t="shared" si="61"/>
        <v>0</v>
      </c>
      <c r="AH193" s="54">
        <f t="shared" si="61"/>
        <v>0</v>
      </c>
      <c r="AI193" s="54">
        <f t="shared" si="61"/>
        <v>0</v>
      </c>
      <c r="AJ193" s="54">
        <f t="shared" si="61"/>
        <v>0</v>
      </c>
      <c r="AK193" s="54">
        <f t="shared" si="61"/>
        <v>0</v>
      </c>
      <c r="AL193" s="24">
        <f t="shared" si="47"/>
        <v>0</v>
      </c>
      <c r="AM193" s="24">
        <f t="shared" si="48"/>
        <v>0</v>
      </c>
      <c r="AN193" s="55">
        <f t="shared" si="49"/>
        <v>0</v>
      </c>
      <c r="AO193" s="55">
        <f t="shared" si="50"/>
        <v>0</v>
      </c>
      <c r="AP193" s="24"/>
      <c r="AQ193" s="24"/>
      <c r="AR193" s="24"/>
      <c r="AS193" s="24"/>
      <c r="AT193" s="24"/>
      <c r="AU193" s="24"/>
      <c r="AV193" s="24"/>
      <c r="AW193" s="24"/>
      <c r="AX193" s="24"/>
      <c r="AY193" s="24"/>
    </row>
    <row r="194" spans="7:51">
      <c r="G194" s="12">
        <f t="shared" si="51"/>
        <v>0</v>
      </c>
      <c r="H194" s="12">
        <f t="shared" si="58"/>
        <v>0</v>
      </c>
      <c r="I194" s="12">
        <f t="shared" si="58"/>
        <v>0</v>
      </c>
      <c r="J194" s="12">
        <f t="shared" si="58"/>
        <v>0</v>
      </c>
      <c r="K194" s="12">
        <f t="shared" si="41"/>
        <v>0</v>
      </c>
      <c r="L194" s="12">
        <f t="shared" si="59"/>
        <v>0</v>
      </c>
      <c r="M194" s="12">
        <f t="shared" si="59"/>
        <v>0</v>
      </c>
      <c r="N194" s="12">
        <f t="shared" si="59"/>
        <v>0</v>
      </c>
      <c r="O194" s="12">
        <f t="shared" si="43"/>
        <v>0</v>
      </c>
      <c r="P194" s="12">
        <f t="shared" si="60"/>
        <v>0</v>
      </c>
      <c r="Q194" s="12">
        <f t="shared" si="60"/>
        <v>0</v>
      </c>
      <c r="T194" s="61"/>
      <c r="U194" s="61"/>
      <c r="V194" s="61"/>
      <c r="W194" s="53">
        <f t="shared" si="52"/>
        <v>0</v>
      </c>
      <c r="X194" s="54" t="e">
        <f t="shared" si="45"/>
        <v>#DIV/0!</v>
      </c>
      <c r="Y194" s="25">
        <f t="shared" si="53"/>
        <v>0</v>
      </c>
      <c r="Z194" s="54">
        <f t="shared" si="56"/>
        <v>0</v>
      </c>
      <c r="AA194" s="54">
        <f t="shared" si="61"/>
        <v>0</v>
      </c>
      <c r="AB194" s="54">
        <f t="shared" si="61"/>
        <v>0</v>
      </c>
      <c r="AC194" s="54">
        <f t="shared" si="61"/>
        <v>0</v>
      </c>
      <c r="AD194" s="54">
        <f t="shared" si="61"/>
        <v>0</v>
      </c>
      <c r="AE194" s="54">
        <f t="shared" si="61"/>
        <v>0</v>
      </c>
      <c r="AF194" s="54">
        <f t="shared" si="61"/>
        <v>0</v>
      </c>
      <c r="AG194" s="54">
        <f t="shared" si="61"/>
        <v>0</v>
      </c>
      <c r="AH194" s="54">
        <f t="shared" si="61"/>
        <v>0</v>
      </c>
      <c r="AI194" s="54">
        <f t="shared" si="61"/>
        <v>0</v>
      </c>
      <c r="AJ194" s="54">
        <f t="shared" si="61"/>
        <v>0</v>
      </c>
      <c r="AK194" s="54">
        <f t="shared" si="61"/>
        <v>0</v>
      </c>
      <c r="AL194" s="24">
        <f t="shared" si="47"/>
        <v>0</v>
      </c>
      <c r="AM194" s="24">
        <f t="shared" si="48"/>
        <v>0</v>
      </c>
      <c r="AN194" s="55">
        <f t="shared" si="49"/>
        <v>0</v>
      </c>
      <c r="AO194" s="55">
        <f t="shared" si="50"/>
        <v>0</v>
      </c>
      <c r="AP194" s="24"/>
      <c r="AQ194" s="24"/>
      <c r="AR194" s="24"/>
      <c r="AS194" s="24"/>
      <c r="AT194" s="24"/>
      <c r="AU194" s="24"/>
      <c r="AV194" s="24"/>
      <c r="AW194" s="24"/>
      <c r="AX194" s="24"/>
      <c r="AY194" s="24"/>
    </row>
    <row r="195" spans="7:51">
      <c r="G195" s="12">
        <f t="shared" si="51"/>
        <v>0</v>
      </c>
      <c r="H195" s="12">
        <f t="shared" si="58"/>
        <v>0</v>
      </c>
      <c r="I195" s="12">
        <f t="shared" si="58"/>
        <v>0</v>
      </c>
      <c r="J195" s="12">
        <f t="shared" si="58"/>
        <v>0</v>
      </c>
      <c r="K195" s="12">
        <f t="shared" si="41"/>
        <v>0</v>
      </c>
      <c r="L195" s="12">
        <f t="shared" si="59"/>
        <v>0</v>
      </c>
      <c r="M195" s="12">
        <f t="shared" si="59"/>
        <v>0</v>
      </c>
      <c r="N195" s="12">
        <f t="shared" si="59"/>
        <v>0</v>
      </c>
      <c r="O195" s="12">
        <f t="shared" si="43"/>
        <v>0</v>
      </c>
      <c r="P195" s="12">
        <f t="shared" si="60"/>
        <v>0</v>
      </c>
      <c r="Q195" s="12">
        <f t="shared" si="60"/>
        <v>0</v>
      </c>
      <c r="T195" s="61"/>
      <c r="U195" s="61"/>
      <c r="V195" s="61"/>
      <c r="W195" s="53">
        <f t="shared" si="52"/>
        <v>0</v>
      </c>
      <c r="X195" s="54" t="e">
        <f t="shared" si="45"/>
        <v>#DIV/0!</v>
      </c>
      <c r="Y195" s="25">
        <f t="shared" si="53"/>
        <v>0</v>
      </c>
      <c r="Z195" s="54">
        <f t="shared" si="56"/>
        <v>0</v>
      </c>
      <c r="AA195" s="54">
        <f t="shared" si="61"/>
        <v>0</v>
      </c>
      <c r="AB195" s="54">
        <f t="shared" si="61"/>
        <v>0</v>
      </c>
      <c r="AC195" s="54">
        <f t="shared" si="61"/>
        <v>0</v>
      </c>
      <c r="AD195" s="54">
        <f t="shared" si="61"/>
        <v>0</v>
      </c>
      <c r="AE195" s="54">
        <f t="shared" si="61"/>
        <v>0</v>
      </c>
      <c r="AF195" s="54">
        <f t="shared" si="61"/>
        <v>0</v>
      </c>
      <c r="AG195" s="54">
        <f t="shared" si="61"/>
        <v>0</v>
      </c>
      <c r="AH195" s="54">
        <f t="shared" si="61"/>
        <v>0</v>
      </c>
      <c r="AI195" s="54">
        <f t="shared" si="61"/>
        <v>0</v>
      </c>
      <c r="AJ195" s="54">
        <f t="shared" si="61"/>
        <v>0</v>
      </c>
      <c r="AK195" s="54">
        <f t="shared" si="61"/>
        <v>0</v>
      </c>
      <c r="AL195" s="24">
        <f t="shared" si="47"/>
        <v>0</v>
      </c>
      <c r="AM195" s="24">
        <f t="shared" si="48"/>
        <v>0</v>
      </c>
      <c r="AN195" s="55">
        <f t="shared" si="49"/>
        <v>0</v>
      </c>
      <c r="AO195" s="55">
        <f t="shared" si="50"/>
        <v>0</v>
      </c>
      <c r="AP195" s="24"/>
      <c r="AQ195" s="24"/>
      <c r="AR195" s="24"/>
      <c r="AS195" s="24"/>
      <c r="AT195" s="24"/>
      <c r="AU195" s="24"/>
      <c r="AV195" s="24"/>
      <c r="AW195" s="24"/>
      <c r="AX195" s="24"/>
      <c r="AY195" s="24"/>
    </row>
    <row r="196" spans="7:51">
      <c r="G196" s="12">
        <f t="shared" si="51"/>
        <v>0</v>
      </c>
      <c r="H196" s="12">
        <f t="shared" si="58"/>
        <v>0</v>
      </c>
      <c r="I196" s="12">
        <f t="shared" si="58"/>
        <v>0</v>
      </c>
      <c r="J196" s="12">
        <f t="shared" si="58"/>
        <v>0</v>
      </c>
      <c r="K196" s="12">
        <f t="shared" si="41"/>
        <v>0</v>
      </c>
      <c r="L196" s="12">
        <f t="shared" si="59"/>
        <v>0</v>
      </c>
      <c r="M196" s="12">
        <f t="shared" si="59"/>
        <v>0</v>
      </c>
      <c r="N196" s="12">
        <f t="shared" si="59"/>
        <v>0</v>
      </c>
      <c r="O196" s="12">
        <f t="shared" si="43"/>
        <v>0</v>
      </c>
      <c r="P196" s="12">
        <f t="shared" si="60"/>
        <v>0</v>
      </c>
      <c r="Q196" s="12">
        <f t="shared" si="60"/>
        <v>0</v>
      </c>
      <c r="T196" s="61"/>
      <c r="U196" s="61"/>
      <c r="V196" s="61"/>
      <c r="W196" s="53">
        <f t="shared" si="52"/>
        <v>0</v>
      </c>
      <c r="X196" s="54" t="e">
        <f t="shared" si="45"/>
        <v>#DIV/0!</v>
      </c>
      <c r="Y196" s="25">
        <f t="shared" si="53"/>
        <v>0</v>
      </c>
      <c r="Z196" s="54">
        <f t="shared" si="56"/>
        <v>0</v>
      </c>
      <c r="AA196" s="54">
        <f t="shared" si="61"/>
        <v>0</v>
      </c>
      <c r="AB196" s="54">
        <f t="shared" si="61"/>
        <v>0</v>
      </c>
      <c r="AC196" s="54">
        <f t="shared" si="61"/>
        <v>0</v>
      </c>
      <c r="AD196" s="54">
        <f t="shared" si="61"/>
        <v>0</v>
      </c>
      <c r="AE196" s="54">
        <f t="shared" si="61"/>
        <v>0</v>
      </c>
      <c r="AF196" s="54">
        <f t="shared" si="61"/>
        <v>0</v>
      </c>
      <c r="AG196" s="54">
        <f t="shared" si="61"/>
        <v>0</v>
      </c>
      <c r="AH196" s="54">
        <f t="shared" si="61"/>
        <v>0</v>
      </c>
      <c r="AI196" s="54">
        <f t="shared" si="61"/>
        <v>0</v>
      </c>
      <c r="AJ196" s="54">
        <f t="shared" si="61"/>
        <v>0</v>
      </c>
      <c r="AK196" s="54">
        <f t="shared" si="61"/>
        <v>0</v>
      </c>
      <c r="AL196" s="24">
        <f t="shared" si="47"/>
        <v>0</v>
      </c>
      <c r="AM196" s="24">
        <f t="shared" si="48"/>
        <v>0</v>
      </c>
      <c r="AN196" s="55">
        <f t="shared" si="49"/>
        <v>0</v>
      </c>
      <c r="AO196" s="55">
        <f t="shared" si="50"/>
        <v>0</v>
      </c>
      <c r="AP196" s="24"/>
      <c r="AQ196" s="24"/>
      <c r="AR196" s="24"/>
      <c r="AS196" s="24"/>
      <c r="AT196" s="24"/>
      <c r="AU196" s="24"/>
      <c r="AV196" s="24"/>
      <c r="AW196" s="24"/>
      <c r="AX196" s="24"/>
      <c r="AY196" s="24"/>
    </row>
    <row r="197" spans="7:51">
      <c r="G197" s="12">
        <f t="shared" si="51"/>
        <v>0</v>
      </c>
      <c r="H197" s="12">
        <f t="shared" si="58"/>
        <v>0</v>
      </c>
      <c r="I197" s="12">
        <f t="shared" si="58"/>
        <v>0</v>
      </c>
      <c r="J197" s="12">
        <f t="shared" si="58"/>
        <v>0</v>
      </c>
      <c r="K197" s="12">
        <f t="shared" si="41"/>
        <v>0</v>
      </c>
      <c r="L197" s="12">
        <f t="shared" si="59"/>
        <v>0</v>
      </c>
      <c r="M197" s="12">
        <f t="shared" si="59"/>
        <v>0</v>
      </c>
      <c r="N197" s="12">
        <f t="shared" si="59"/>
        <v>0</v>
      </c>
      <c r="O197" s="12">
        <f t="shared" si="43"/>
        <v>0</v>
      </c>
      <c r="P197" s="12">
        <f t="shared" si="60"/>
        <v>0</v>
      </c>
      <c r="Q197" s="12">
        <f t="shared" si="60"/>
        <v>0</v>
      </c>
      <c r="T197" s="61"/>
      <c r="U197" s="61"/>
      <c r="V197" s="61"/>
      <c r="W197" s="53">
        <f t="shared" si="52"/>
        <v>0</v>
      </c>
      <c r="X197" s="54" t="e">
        <f t="shared" si="45"/>
        <v>#DIV/0!</v>
      </c>
      <c r="Y197" s="25">
        <f t="shared" si="53"/>
        <v>0</v>
      </c>
      <c r="Z197" s="54">
        <f t="shared" si="56"/>
        <v>0</v>
      </c>
      <c r="AA197" s="54">
        <f t="shared" si="61"/>
        <v>0</v>
      </c>
      <c r="AB197" s="54">
        <f t="shared" si="61"/>
        <v>0</v>
      </c>
      <c r="AC197" s="54">
        <f t="shared" si="61"/>
        <v>0</v>
      </c>
      <c r="AD197" s="54">
        <f t="shared" si="61"/>
        <v>0</v>
      </c>
      <c r="AE197" s="54">
        <f t="shared" si="61"/>
        <v>0</v>
      </c>
      <c r="AF197" s="54">
        <f t="shared" si="61"/>
        <v>0</v>
      </c>
      <c r="AG197" s="54">
        <f t="shared" si="61"/>
        <v>0</v>
      </c>
      <c r="AH197" s="54">
        <f t="shared" si="61"/>
        <v>0</v>
      </c>
      <c r="AI197" s="54">
        <f t="shared" si="61"/>
        <v>0</v>
      </c>
      <c r="AJ197" s="54">
        <f t="shared" si="61"/>
        <v>0</v>
      </c>
      <c r="AK197" s="54">
        <f t="shared" si="61"/>
        <v>0</v>
      </c>
      <c r="AL197" s="24">
        <f t="shared" si="47"/>
        <v>0</v>
      </c>
      <c r="AM197" s="24">
        <f t="shared" si="48"/>
        <v>0</v>
      </c>
      <c r="AN197" s="55">
        <f t="shared" si="49"/>
        <v>0</v>
      </c>
      <c r="AO197" s="55">
        <f t="shared" si="50"/>
        <v>0</v>
      </c>
      <c r="AP197" s="24"/>
      <c r="AQ197" s="24"/>
      <c r="AR197" s="24"/>
      <c r="AS197" s="24"/>
      <c r="AT197" s="24"/>
      <c r="AU197" s="24"/>
      <c r="AV197" s="24"/>
      <c r="AW197" s="24"/>
      <c r="AX197" s="24"/>
      <c r="AY197" s="24"/>
    </row>
    <row r="198" spans="7:51">
      <c r="G198" s="12">
        <f t="shared" si="51"/>
        <v>0</v>
      </c>
      <c r="H198" s="12">
        <f t="shared" si="58"/>
        <v>0</v>
      </c>
      <c r="I198" s="12">
        <f t="shared" si="58"/>
        <v>0</v>
      </c>
      <c r="J198" s="12">
        <f t="shared" si="58"/>
        <v>0</v>
      </c>
      <c r="K198" s="12">
        <f t="shared" si="41"/>
        <v>0</v>
      </c>
      <c r="L198" s="12">
        <f t="shared" si="59"/>
        <v>0</v>
      </c>
      <c r="M198" s="12">
        <f t="shared" si="59"/>
        <v>0</v>
      </c>
      <c r="N198" s="12">
        <f t="shared" si="59"/>
        <v>0</v>
      </c>
      <c r="O198" s="12">
        <f t="shared" si="43"/>
        <v>0</v>
      </c>
      <c r="P198" s="12">
        <f t="shared" si="60"/>
        <v>0</v>
      </c>
      <c r="Q198" s="12">
        <f t="shared" si="60"/>
        <v>0</v>
      </c>
      <c r="T198" s="61"/>
      <c r="U198" s="61"/>
      <c r="V198" s="61"/>
      <c r="W198" s="53">
        <f t="shared" si="52"/>
        <v>0</v>
      </c>
      <c r="X198" s="54" t="e">
        <f t="shared" si="45"/>
        <v>#DIV/0!</v>
      </c>
      <c r="Y198" s="25">
        <f t="shared" si="53"/>
        <v>0</v>
      </c>
      <c r="Z198" s="54">
        <f t="shared" si="56"/>
        <v>0</v>
      </c>
      <c r="AA198" s="54">
        <f t="shared" si="61"/>
        <v>0</v>
      </c>
      <c r="AB198" s="54">
        <f t="shared" si="61"/>
        <v>0</v>
      </c>
      <c r="AC198" s="54">
        <f t="shared" si="61"/>
        <v>0</v>
      </c>
      <c r="AD198" s="54">
        <f t="shared" si="61"/>
        <v>0</v>
      </c>
      <c r="AE198" s="54">
        <f t="shared" si="61"/>
        <v>0</v>
      </c>
      <c r="AF198" s="54">
        <f t="shared" si="61"/>
        <v>0</v>
      </c>
      <c r="AG198" s="54">
        <f t="shared" si="61"/>
        <v>0</v>
      </c>
      <c r="AH198" s="54">
        <f t="shared" si="61"/>
        <v>0</v>
      </c>
      <c r="AI198" s="54">
        <f t="shared" si="61"/>
        <v>0</v>
      </c>
      <c r="AJ198" s="54">
        <f t="shared" si="61"/>
        <v>0</v>
      </c>
      <c r="AK198" s="54">
        <f t="shared" si="61"/>
        <v>0</v>
      </c>
      <c r="AL198" s="24">
        <f t="shared" si="47"/>
        <v>0</v>
      </c>
      <c r="AM198" s="24">
        <f t="shared" si="48"/>
        <v>0</v>
      </c>
      <c r="AN198" s="55">
        <f t="shared" si="49"/>
        <v>0</v>
      </c>
      <c r="AO198" s="55">
        <f t="shared" si="50"/>
        <v>0</v>
      </c>
      <c r="AP198" s="24"/>
      <c r="AQ198" s="24"/>
      <c r="AR198" s="24"/>
      <c r="AS198" s="24"/>
      <c r="AT198" s="24"/>
      <c r="AU198" s="24"/>
      <c r="AV198" s="24"/>
      <c r="AW198" s="24"/>
      <c r="AX198" s="24"/>
      <c r="AY198" s="24"/>
    </row>
    <row r="199" spans="7:51">
      <c r="G199" s="12">
        <f t="shared" si="51"/>
        <v>0</v>
      </c>
      <c r="H199" s="12">
        <f t="shared" ref="H199:J209" si="62">IF($E101&gt;H$66,0,IF($E101&lt;H$66-365,$C101,0))</f>
        <v>0</v>
      </c>
      <c r="I199" s="12">
        <f t="shared" si="62"/>
        <v>0</v>
      </c>
      <c r="J199" s="12">
        <f t="shared" si="62"/>
        <v>0</v>
      </c>
      <c r="K199" s="12">
        <f t="shared" si="41"/>
        <v>0</v>
      </c>
      <c r="L199" s="12">
        <f t="shared" ref="L199:N209" si="63">IF($E101&gt;L$66,0,IF($E101&lt;L$66-365,$C101,0))</f>
        <v>0</v>
      </c>
      <c r="M199" s="12">
        <f t="shared" si="63"/>
        <v>0</v>
      </c>
      <c r="N199" s="12">
        <f t="shared" si="63"/>
        <v>0</v>
      </c>
      <c r="O199" s="12">
        <f t="shared" si="43"/>
        <v>0</v>
      </c>
      <c r="P199" s="12">
        <f t="shared" ref="P199:Q209" si="64">IF($E101&gt;P$66,0,IF($E101&lt;P$66-365,$C101,0))</f>
        <v>0</v>
      </c>
      <c r="Q199" s="12">
        <f t="shared" si="64"/>
        <v>0</v>
      </c>
      <c r="T199" s="61"/>
      <c r="U199" s="61"/>
      <c r="V199" s="61"/>
      <c r="W199" s="53">
        <f t="shared" si="52"/>
        <v>0</v>
      </c>
      <c r="X199" s="54" t="e">
        <f t="shared" si="45"/>
        <v>#DIV/0!</v>
      </c>
      <c r="Y199" s="25">
        <f t="shared" si="53"/>
        <v>0</v>
      </c>
      <c r="Z199" s="54">
        <f t="shared" si="56"/>
        <v>0</v>
      </c>
      <c r="AA199" s="54">
        <f t="shared" ref="AA199:AK213" si="65">IF($E100+365&lt;$C$56,0,IF($E100&lt;$C$56,(($E100+365-$C$56)/365)*(($C100/$BN$157)+($D100/$BN$158)),IF($E100&gt;AA$166,0,IF($E100+365&lt;AA$166,($C100/$BN$157)+($D100/$BN$158),((AA$166-$E100)/365)*(($C100/$BN$157)+($D100/$BN$158))))))</f>
        <v>0</v>
      </c>
      <c r="AB199" s="54">
        <f t="shared" si="65"/>
        <v>0</v>
      </c>
      <c r="AC199" s="54">
        <f t="shared" si="65"/>
        <v>0</v>
      </c>
      <c r="AD199" s="54">
        <f t="shared" si="65"/>
        <v>0</v>
      </c>
      <c r="AE199" s="54">
        <f t="shared" si="65"/>
        <v>0</v>
      </c>
      <c r="AF199" s="54">
        <f t="shared" si="65"/>
        <v>0</v>
      </c>
      <c r="AG199" s="54">
        <f t="shared" si="65"/>
        <v>0</v>
      </c>
      <c r="AH199" s="54">
        <f t="shared" si="65"/>
        <v>0</v>
      </c>
      <c r="AI199" s="54">
        <f t="shared" si="65"/>
        <v>0</v>
      </c>
      <c r="AJ199" s="54">
        <f t="shared" si="65"/>
        <v>0</v>
      </c>
      <c r="AK199" s="54">
        <f t="shared" si="65"/>
        <v>0</v>
      </c>
      <c r="AL199" s="24">
        <f t="shared" si="47"/>
        <v>0</v>
      </c>
      <c r="AM199" s="24">
        <f t="shared" si="48"/>
        <v>0</v>
      </c>
      <c r="AN199" s="55">
        <f t="shared" si="49"/>
        <v>0</v>
      </c>
      <c r="AO199" s="55">
        <f t="shared" si="50"/>
        <v>0</v>
      </c>
      <c r="AP199" s="24"/>
      <c r="AQ199" s="24"/>
      <c r="AR199" s="24"/>
      <c r="AS199" s="24"/>
      <c r="AT199" s="24"/>
      <c r="AU199" s="24"/>
      <c r="AV199" s="24"/>
      <c r="AW199" s="24"/>
      <c r="AX199" s="24"/>
      <c r="AY199" s="24"/>
    </row>
    <row r="200" spans="7:51">
      <c r="G200" s="12">
        <f t="shared" si="51"/>
        <v>0</v>
      </c>
      <c r="H200" s="12">
        <f t="shared" si="62"/>
        <v>0</v>
      </c>
      <c r="I200" s="12">
        <f t="shared" si="62"/>
        <v>0</v>
      </c>
      <c r="J200" s="12">
        <f t="shared" si="62"/>
        <v>0</v>
      </c>
      <c r="K200" s="12">
        <f t="shared" si="41"/>
        <v>0</v>
      </c>
      <c r="L200" s="12">
        <f t="shared" si="63"/>
        <v>0</v>
      </c>
      <c r="M200" s="12">
        <f t="shared" si="63"/>
        <v>0</v>
      </c>
      <c r="N200" s="12">
        <f t="shared" si="63"/>
        <v>0</v>
      </c>
      <c r="O200" s="12">
        <f t="shared" si="43"/>
        <v>0</v>
      </c>
      <c r="P200" s="12">
        <f t="shared" si="64"/>
        <v>0</v>
      </c>
      <c r="Q200" s="12">
        <f t="shared" si="64"/>
        <v>0</v>
      </c>
      <c r="T200" s="61"/>
      <c r="U200" s="61"/>
      <c r="V200" s="61"/>
      <c r="W200" s="53">
        <f t="shared" si="52"/>
        <v>0</v>
      </c>
      <c r="X200" s="54" t="e">
        <f t="shared" si="45"/>
        <v>#DIV/0!</v>
      </c>
      <c r="Y200" s="25">
        <f t="shared" si="53"/>
        <v>0</v>
      </c>
      <c r="Z200" s="54">
        <f t="shared" si="56"/>
        <v>0</v>
      </c>
      <c r="AA200" s="54">
        <f t="shared" si="65"/>
        <v>0</v>
      </c>
      <c r="AB200" s="54">
        <f t="shared" si="65"/>
        <v>0</v>
      </c>
      <c r="AC200" s="54">
        <f t="shared" si="65"/>
        <v>0</v>
      </c>
      <c r="AD200" s="54">
        <f t="shared" si="65"/>
        <v>0</v>
      </c>
      <c r="AE200" s="54">
        <f t="shared" si="65"/>
        <v>0</v>
      </c>
      <c r="AF200" s="54">
        <f t="shared" si="65"/>
        <v>0</v>
      </c>
      <c r="AG200" s="54">
        <f t="shared" si="65"/>
        <v>0</v>
      </c>
      <c r="AH200" s="54">
        <f t="shared" si="65"/>
        <v>0</v>
      </c>
      <c r="AI200" s="54">
        <f t="shared" si="65"/>
        <v>0</v>
      </c>
      <c r="AJ200" s="54">
        <f t="shared" si="65"/>
        <v>0</v>
      </c>
      <c r="AK200" s="54">
        <f t="shared" si="65"/>
        <v>0</v>
      </c>
      <c r="AL200" s="24">
        <f t="shared" si="47"/>
        <v>0</v>
      </c>
      <c r="AM200" s="24">
        <f t="shared" si="48"/>
        <v>0</v>
      </c>
      <c r="AN200" s="55">
        <f t="shared" si="49"/>
        <v>0</v>
      </c>
      <c r="AO200" s="55">
        <f t="shared" si="50"/>
        <v>0</v>
      </c>
      <c r="AP200" s="24"/>
      <c r="AQ200" s="24"/>
      <c r="AR200" s="24"/>
      <c r="AS200" s="24"/>
      <c r="AT200" s="24"/>
      <c r="AU200" s="24"/>
      <c r="AV200" s="24"/>
      <c r="AW200" s="24"/>
      <c r="AX200" s="24"/>
      <c r="AY200" s="24"/>
    </row>
    <row r="201" spans="7:51">
      <c r="G201" s="12">
        <f t="shared" si="51"/>
        <v>0</v>
      </c>
      <c r="H201" s="12">
        <f t="shared" si="62"/>
        <v>0</v>
      </c>
      <c r="I201" s="12">
        <f t="shared" si="62"/>
        <v>0</v>
      </c>
      <c r="J201" s="12">
        <f t="shared" si="62"/>
        <v>0</v>
      </c>
      <c r="K201" s="12">
        <f t="shared" si="41"/>
        <v>0</v>
      </c>
      <c r="L201" s="12">
        <f t="shared" si="63"/>
        <v>0</v>
      </c>
      <c r="M201" s="12">
        <f t="shared" si="63"/>
        <v>0</v>
      </c>
      <c r="N201" s="12">
        <f t="shared" si="63"/>
        <v>0</v>
      </c>
      <c r="O201" s="12">
        <f t="shared" si="43"/>
        <v>0</v>
      </c>
      <c r="P201" s="12">
        <f t="shared" si="64"/>
        <v>0</v>
      </c>
      <c r="Q201" s="12">
        <f t="shared" si="64"/>
        <v>0</v>
      </c>
      <c r="T201" s="61"/>
      <c r="U201" s="61"/>
      <c r="V201" s="61"/>
      <c r="W201" s="53">
        <f t="shared" si="52"/>
        <v>0</v>
      </c>
      <c r="X201" s="54" t="e">
        <f t="shared" si="45"/>
        <v>#DIV/0!</v>
      </c>
      <c r="Y201" s="25">
        <f t="shared" si="53"/>
        <v>0</v>
      </c>
      <c r="Z201" s="54">
        <f t="shared" si="56"/>
        <v>0</v>
      </c>
      <c r="AA201" s="54">
        <f t="shared" si="65"/>
        <v>0</v>
      </c>
      <c r="AB201" s="54">
        <f t="shared" si="65"/>
        <v>0</v>
      </c>
      <c r="AC201" s="54">
        <f t="shared" si="65"/>
        <v>0</v>
      </c>
      <c r="AD201" s="54">
        <f t="shared" si="65"/>
        <v>0</v>
      </c>
      <c r="AE201" s="54">
        <f t="shared" si="65"/>
        <v>0</v>
      </c>
      <c r="AF201" s="54">
        <f t="shared" si="65"/>
        <v>0</v>
      </c>
      <c r="AG201" s="54">
        <f t="shared" si="65"/>
        <v>0</v>
      </c>
      <c r="AH201" s="54">
        <f t="shared" si="65"/>
        <v>0</v>
      </c>
      <c r="AI201" s="54">
        <f t="shared" si="65"/>
        <v>0</v>
      </c>
      <c r="AJ201" s="54">
        <f t="shared" si="65"/>
        <v>0</v>
      </c>
      <c r="AK201" s="54">
        <f t="shared" si="65"/>
        <v>0</v>
      </c>
      <c r="AL201" s="24">
        <f t="shared" si="47"/>
        <v>0</v>
      </c>
      <c r="AM201" s="24">
        <f t="shared" si="48"/>
        <v>0</v>
      </c>
      <c r="AN201" s="55">
        <f t="shared" si="49"/>
        <v>0</v>
      </c>
      <c r="AO201" s="55">
        <f t="shared" si="50"/>
        <v>0</v>
      </c>
      <c r="AP201" s="24"/>
      <c r="AQ201" s="24"/>
      <c r="AR201" s="24"/>
      <c r="AS201" s="24"/>
      <c r="AT201" s="24"/>
      <c r="AU201" s="24"/>
      <c r="AV201" s="24"/>
      <c r="AW201" s="24"/>
      <c r="AX201" s="24"/>
      <c r="AY201" s="24"/>
    </row>
    <row r="202" spans="7:51">
      <c r="G202" s="12">
        <f t="shared" si="51"/>
        <v>0</v>
      </c>
      <c r="H202" s="12">
        <f t="shared" si="62"/>
        <v>0</v>
      </c>
      <c r="I202" s="12">
        <f t="shared" si="62"/>
        <v>0</v>
      </c>
      <c r="J202" s="12">
        <f t="shared" si="62"/>
        <v>0</v>
      </c>
      <c r="K202" s="12">
        <f t="shared" si="41"/>
        <v>0</v>
      </c>
      <c r="L202" s="12">
        <f t="shared" si="63"/>
        <v>0</v>
      </c>
      <c r="M202" s="12">
        <f t="shared" si="63"/>
        <v>0</v>
      </c>
      <c r="N202" s="12">
        <f t="shared" si="63"/>
        <v>0</v>
      </c>
      <c r="O202" s="12">
        <f t="shared" si="43"/>
        <v>0</v>
      </c>
      <c r="P202" s="12">
        <f t="shared" si="64"/>
        <v>0</v>
      </c>
      <c r="Q202" s="12">
        <f t="shared" si="64"/>
        <v>0</v>
      </c>
      <c r="T202" s="61"/>
      <c r="U202" s="61"/>
      <c r="V202" s="61"/>
      <c r="W202" s="53">
        <f t="shared" si="52"/>
        <v>0</v>
      </c>
      <c r="X202" s="54" t="e">
        <f t="shared" si="45"/>
        <v>#DIV/0!</v>
      </c>
      <c r="Y202" s="25">
        <f t="shared" si="53"/>
        <v>0</v>
      </c>
      <c r="Z202" s="54">
        <f t="shared" si="56"/>
        <v>0</v>
      </c>
      <c r="AA202" s="54">
        <f t="shared" si="65"/>
        <v>0</v>
      </c>
      <c r="AB202" s="54">
        <f t="shared" si="65"/>
        <v>0</v>
      </c>
      <c r="AC202" s="54">
        <f t="shared" si="65"/>
        <v>0</v>
      </c>
      <c r="AD202" s="54">
        <f t="shared" si="65"/>
        <v>0</v>
      </c>
      <c r="AE202" s="54">
        <f t="shared" si="65"/>
        <v>0</v>
      </c>
      <c r="AF202" s="54">
        <f t="shared" si="65"/>
        <v>0</v>
      </c>
      <c r="AG202" s="54">
        <f t="shared" si="65"/>
        <v>0</v>
      </c>
      <c r="AH202" s="54">
        <f t="shared" si="65"/>
        <v>0</v>
      </c>
      <c r="AI202" s="54">
        <f t="shared" si="65"/>
        <v>0</v>
      </c>
      <c r="AJ202" s="54">
        <f t="shared" si="65"/>
        <v>0</v>
      </c>
      <c r="AK202" s="54">
        <f t="shared" si="65"/>
        <v>0</v>
      </c>
      <c r="AL202" s="24">
        <f t="shared" si="47"/>
        <v>0</v>
      </c>
      <c r="AM202" s="24">
        <f t="shared" si="48"/>
        <v>0</v>
      </c>
      <c r="AN202" s="55">
        <f t="shared" si="49"/>
        <v>0</v>
      </c>
      <c r="AO202" s="55">
        <f t="shared" si="50"/>
        <v>0</v>
      </c>
      <c r="AP202" s="24"/>
      <c r="AQ202" s="24"/>
      <c r="AR202" s="24"/>
      <c r="AS202" s="24"/>
      <c r="AT202" s="24"/>
      <c r="AU202" s="24"/>
      <c r="AV202" s="24"/>
      <c r="AW202" s="24"/>
      <c r="AX202" s="24"/>
      <c r="AY202" s="24"/>
    </row>
    <row r="203" spans="7:51">
      <c r="G203" s="12">
        <f t="shared" si="51"/>
        <v>0</v>
      </c>
      <c r="H203" s="12">
        <f t="shared" si="62"/>
        <v>0</v>
      </c>
      <c r="I203" s="12">
        <f t="shared" si="62"/>
        <v>0</v>
      </c>
      <c r="J203" s="12">
        <f t="shared" si="62"/>
        <v>0</v>
      </c>
      <c r="K203" s="12">
        <f t="shared" si="41"/>
        <v>0</v>
      </c>
      <c r="L203" s="12">
        <f t="shared" si="63"/>
        <v>0</v>
      </c>
      <c r="M203" s="12">
        <f t="shared" si="63"/>
        <v>0</v>
      </c>
      <c r="N203" s="12">
        <f t="shared" si="63"/>
        <v>0</v>
      </c>
      <c r="O203" s="12">
        <f t="shared" si="43"/>
        <v>0</v>
      </c>
      <c r="P203" s="12">
        <f t="shared" si="64"/>
        <v>0</v>
      </c>
      <c r="Q203" s="12">
        <f t="shared" si="64"/>
        <v>0</v>
      </c>
      <c r="T203" s="61"/>
      <c r="U203" s="61"/>
      <c r="V203" s="61"/>
      <c r="W203" s="53">
        <f t="shared" si="52"/>
        <v>0</v>
      </c>
      <c r="X203" s="54" t="e">
        <f t="shared" si="45"/>
        <v>#DIV/0!</v>
      </c>
      <c r="Y203" s="25">
        <f t="shared" si="53"/>
        <v>0</v>
      </c>
      <c r="Z203" s="54">
        <f t="shared" si="56"/>
        <v>0</v>
      </c>
      <c r="AA203" s="54">
        <f t="shared" si="65"/>
        <v>0</v>
      </c>
      <c r="AB203" s="54">
        <f t="shared" si="65"/>
        <v>0</v>
      </c>
      <c r="AC203" s="54">
        <f t="shared" si="65"/>
        <v>0</v>
      </c>
      <c r="AD203" s="54">
        <f t="shared" si="65"/>
        <v>0</v>
      </c>
      <c r="AE203" s="54">
        <f t="shared" si="65"/>
        <v>0</v>
      </c>
      <c r="AF203" s="54">
        <f t="shared" si="65"/>
        <v>0</v>
      </c>
      <c r="AG203" s="54">
        <f t="shared" si="65"/>
        <v>0</v>
      </c>
      <c r="AH203" s="54">
        <f t="shared" si="65"/>
        <v>0</v>
      </c>
      <c r="AI203" s="54">
        <f t="shared" si="65"/>
        <v>0</v>
      </c>
      <c r="AJ203" s="54">
        <f t="shared" si="65"/>
        <v>0</v>
      </c>
      <c r="AK203" s="54">
        <f t="shared" si="65"/>
        <v>0</v>
      </c>
      <c r="AL203" s="24">
        <f t="shared" si="47"/>
        <v>0</v>
      </c>
      <c r="AM203" s="24">
        <f t="shared" si="48"/>
        <v>0</v>
      </c>
      <c r="AN203" s="55">
        <f t="shared" si="49"/>
        <v>0</v>
      </c>
      <c r="AO203" s="55">
        <f t="shared" si="50"/>
        <v>0</v>
      </c>
      <c r="AP203" s="24"/>
      <c r="AQ203" s="24"/>
      <c r="AR203" s="24"/>
      <c r="AS203" s="24"/>
      <c r="AT203" s="24"/>
      <c r="AU203" s="24"/>
      <c r="AV203" s="24"/>
      <c r="AW203" s="24"/>
      <c r="AX203" s="24"/>
      <c r="AY203" s="24"/>
    </row>
    <row r="204" spans="7:51">
      <c r="G204" s="12">
        <f t="shared" si="51"/>
        <v>0</v>
      </c>
      <c r="H204" s="12">
        <f t="shared" si="62"/>
        <v>0</v>
      </c>
      <c r="I204" s="12">
        <f t="shared" si="62"/>
        <v>0</v>
      </c>
      <c r="J204" s="12">
        <f t="shared" si="62"/>
        <v>0</v>
      </c>
      <c r="K204" s="12">
        <f t="shared" si="41"/>
        <v>0</v>
      </c>
      <c r="L204" s="12">
        <f t="shared" si="63"/>
        <v>0</v>
      </c>
      <c r="M204" s="12">
        <f t="shared" si="63"/>
        <v>0</v>
      </c>
      <c r="N204" s="12">
        <f t="shared" si="63"/>
        <v>0</v>
      </c>
      <c r="O204" s="12">
        <f t="shared" si="43"/>
        <v>0</v>
      </c>
      <c r="P204" s="12">
        <f t="shared" si="64"/>
        <v>0</v>
      </c>
      <c r="Q204" s="12">
        <f t="shared" si="64"/>
        <v>0</v>
      </c>
      <c r="T204" s="61"/>
      <c r="U204" s="61"/>
      <c r="V204" s="61"/>
      <c r="W204" s="53">
        <f t="shared" si="52"/>
        <v>0</v>
      </c>
      <c r="X204" s="54" t="e">
        <f t="shared" si="45"/>
        <v>#DIV/0!</v>
      </c>
      <c r="Y204" s="25">
        <f t="shared" si="53"/>
        <v>0</v>
      </c>
      <c r="Z204" s="54">
        <f t="shared" si="56"/>
        <v>0</v>
      </c>
      <c r="AA204" s="54">
        <f t="shared" si="65"/>
        <v>0</v>
      </c>
      <c r="AB204" s="54">
        <f t="shared" si="65"/>
        <v>0</v>
      </c>
      <c r="AC204" s="54">
        <f t="shared" si="65"/>
        <v>0</v>
      </c>
      <c r="AD204" s="54">
        <f t="shared" si="65"/>
        <v>0</v>
      </c>
      <c r="AE204" s="54">
        <f t="shared" si="65"/>
        <v>0</v>
      </c>
      <c r="AF204" s="54">
        <f t="shared" si="65"/>
        <v>0</v>
      </c>
      <c r="AG204" s="54">
        <f t="shared" si="65"/>
        <v>0</v>
      </c>
      <c r="AH204" s="54">
        <f t="shared" si="65"/>
        <v>0</v>
      </c>
      <c r="AI204" s="54">
        <f t="shared" si="65"/>
        <v>0</v>
      </c>
      <c r="AJ204" s="54">
        <f t="shared" si="65"/>
        <v>0</v>
      </c>
      <c r="AK204" s="54">
        <f t="shared" si="65"/>
        <v>0</v>
      </c>
      <c r="AL204" s="24">
        <f t="shared" si="47"/>
        <v>0</v>
      </c>
      <c r="AM204" s="24">
        <f t="shared" si="48"/>
        <v>0</v>
      </c>
      <c r="AN204" s="55">
        <f t="shared" si="49"/>
        <v>0</v>
      </c>
      <c r="AO204" s="55">
        <f t="shared" si="50"/>
        <v>0</v>
      </c>
      <c r="AP204" s="24"/>
      <c r="AQ204" s="24"/>
      <c r="AR204" s="24"/>
      <c r="AS204" s="24"/>
      <c r="AT204" s="24"/>
      <c r="AU204" s="24"/>
      <c r="AV204" s="24"/>
      <c r="AW204" s="24"/>
      <c r="AX204" s="24"/>
      <c r="AY204" s="24"/>
    </row>
    <row r="205" spans="7:51">
      <c r="G205" s="12">
        <f t="shared" si="51"/>
        <v>0</v>
      </c>
      <c r="H205" s="12">
        <f t="shared" si="62"/>
        <v>0</v>
      </c>
      <c r="I205" s="12">
        <f t="shared" si="62"/>
        <v>0</v>
      </c>
      <c r="J205" s="12">
        <f t="shared" si="62"/>
        <v>0</v>
      </c>
      <c r="K205" s="12">
        <f t="shared" si="41"/>
        <v>0</v>
      </c>
      <c r="L205" s="12">
        <f t="shared" si="63"/>
        <v>0</v>
      </c>
      <c r="M205" s="12">
        <f t="shared" si="63"/>
        <v>0</v>
      </c>
      <c r="N205" s="12">
        <f t="shared" si="63"/>
        <v>0</v>
      </c>
      <c r="O205" s="12">
        <f t="shared" si="43"/>
        <v>0</v>
      </c>
      <c r="P205" s="12">
        <f t="shared" si="64"/>
        <v>0</v>
      </c>
      <c r="Q205" s="12">
        <f t="shared" si="64"/>
        <v>0</v>
      </c>
      <c r="T205" s="61"/>
      <c r="U205" s="61"/>
      <c r="V205" s="61"/>
      <c r="W205" s="53">
        <f t="shared" si="52"/>
        <v>0</v>
      </c>
      <c r="X205" s="54" t="e">
        <f t="shared" si="45"/>
        <v>#DIV/0!</v>
      </c>
      <c r="Y205" s="25">
        <f t="shared" si="53"/>
        <v>0</v>
      </c>
      <c r="Z205" s="54">
        <f t="shared" si="56"/>
        <v>0</v>
      </c>
      <c r="AA205" s="54">
        <f t="shared" si="65"/>
        <v>0</v>
      </c>
      <c r="AB205" s="54">
        <f t="shared" si="65"/>
        <v>0</v>
      </c>
      <c r="AC205" s="54">
        <f t="shared" si="65"/>
        <v>0</v>
      </c>
      <c r="AD205" s="54">
        <f t="shared" si="65"/>
        <v>0</v>
      </c>
      <c r="AE205" s="54">
        <f t="shared" si="65"/>
        <v>0</v>
      </c>
      <c r="AF205" s="54">
        <f t="shared" si="65"/>
        <v>0</v>
      </c>
      <c r="AG205" s="54">
        <f t="shared" si="65"/>
        <v>0</v>
      </c>
      <c r="AH205" s="54">
        <f t="shared" si="65"/>
        <v>0</v>
      </c>
      <c r="AI205" s="54">
        <f t="shared" si="65"/>
        <v>0</v>
      </c>
      <c r="AJ205" s="54">
        <f t="shared" si="65"/>
        <v>0</v>
      </c>
      <c r="AK205" s="54">
        <f t="shared" si="65"/>
        <v>0</v>
      </c>
      <c r="AL205" s="24">
        <f t="shared" si="47"/>
        <v>0</v>
      </c>
      <c r="AM205" s="24">
        <f t="shared" si="48"/>
        <v>0</v>
      </c>
      <c r="AN205" s="55">
        <f t="shared" si="49"/>
        <v>0</v>
      </c>
      <c r="AO205" s="55">
        <f t="shared" si="50"/>
        <v>0</v>
      </c>
      <c r="AP205" s="24"/>
      <c r="AQ205" s="24"/>
      <c r="AR205" s="24"/>
      <c r="AS205" s="24"/>
      <c r="AT205" s="24"/>
      <c r="AU205" s="24"/>
      <c r="AV205" s="24"/>
      <c r="AW205" s="24"/>
      <c r="AX205" s="24"/>
      <c r="AY205" s="24"/>
    </row>
    <row r="206" spans="7:51">
      <c r="G206" s="12">
        <f t="shared" si="51"/>
        <v>0</v>
      </c>
      <c r="H206" s="12">
        <f t="shared" si="62"/>
        <v>0</v>
      </c>
      <c r="I206" s="12">
        <f t="shared" si="62"/>
        <v>0</v>
      </c>
      <c r="J206" s="12">
        <f t="shared" si="62"/>
        <v>0</v>
      </c>
      <c r="K206" s="12">
        <f t="shared" si="41"/>
        <v>0</v>
      </c>
      <c r="L206" s="12">
        <f t="shared" si="63"/>
        <v>0</v>
      </c>
      <c r="M206" s="12">
        <f t="shared" si="63"/>
        <v>0</v>
      </c>
      <c r="N206" s="12">
        <f t="shared" si="63"/>
        <v>0</v>
      </c>
      <c r="O206" s="12">
        <f t="shared" si="43"/>
        <v>0</v>
      </c>
      <c r="P206" s="12">
        <f t="shared" si="64"/>
        <v>0</v>
      </c>
      <c r="Q206" s="12">
        <f t="shared" si="64"/>
        <v>0</v>
      </c>
      <c r="T206" s="61"/>
      <c r="U206" s="61"/>
      <c r="V206" s="61"/>
      <c r="W206" s="53">
        <f t="shared" si="52"/>
        <v>0</v>
      </c>
      <c r="X206" s="54" t="e">
        <f t="shared" si="45"/>
        <v>#DIV/0!</v>
      </c>
      <c r="Y206" s="25">
        <f t="shared" si="53"/>
        <v>0</v>
      </c>
      <c r="Z206" s="54">
        <f t="shared" si="56"/>
        <v>0</v>
      </c>
      <c r="AA206" s="54">
        <f t="shared" si="65"/>
        <v>0</v>
      </c>
      <c r="AB206" s="54">
        <f t="shared" si="65"/>
        <v>0</v>
      </c>
      <c r="AC206" s="54">
        <f t="shared" si="65"/>
        <v>0</v>
      </c>
      <c r="AD206" s="54">
        <f t="shared" si="65"/>
        <v>0</v>
      </c>
      <c r="AE206" s="54">
        <f t="shared" si="65"/>
        <v>0</v>
      </c>
      <c r="AF206" s="54">
        <f t="shared" si="65"/>
        <v>0</v>
      </c>
      <c r="AG206" s="54">
        <f t="shared" si="65"/>
        <v>0</v>
      </c>
      <c r="AH206" s="54">
        <f t="shared" si="65"/>
        <v>0</v>
      </c>
      <c r="AI206" s="54">
        <f t="shared" si="65"/>
        <v>0</v>
      </c>
      <c r="AJ206" s="54">
        <f t="shared" si="65"/>
        <v>0</v>
      </c>
      <c r="AK206" s="54">
        <f t="shared" si="65"/>
        <v>0</v>
      </c>
      <c r="AL206" s="24">
        <f t="shared" si="47"/>
        <v>0</v>
      </c>
      <c r="AM206" s="24">
        <f t="shared" si="48"/>
        <v>0</v>
      </c>
      <c r="AN206" s="55">
        <f t="shared" si="49"/>
        <v>0</v>
      </c>
      <c r="AO206" s="55">
        <f t="shared" si="50"/>
        <v>0</v>
      </c>
      <c r="AP206" s="24"/>
      <c r="AQ206" s="24"/>
      <c r="AR206" s="24"/>
      <c r="AS206" s="24"/>
      <c r="AT206" s="24"/>
      <c r="AU206" s="24"/>
      <c r="AV206" s="24"/>
      <c r="AW206" s="24"/>
      <c r="AX206" s="24"/>
      <c r="AY206" s="24"/>
    </row>
    <row r="207" spans="7:51">
      <c r="G207" s="12">
        <f t="shared" si="51"/>
        <v>0</v>
      </c>
      <c r="H207" s="12">
        <f t="shared" si="62"/>
        <v>0</v>
      </c>
      <c r="I207" s="12">
        <f t="shared" si="62"/>
        <v>0</v>
      </c>
      <c r="J207" s="12">
        <f t="shared" si="62"/>
        <v>0</v>
      </c>
      <c r="K207" s="12">
        <f t="shared" si="41"/>
        <v>0</v>
      </c>
      <c r="L207" s="12">
        <f t="shared" si="63"/>
        <v>0</v>
      </c>
      <c r="M207" s="12">
        <f t="shared" si="63"/>
        <v>0</v>
      </c>
      <c r="N207" s="12">
        <f t="shared" si="63"/>
        <v>0</v>
      </c>
      <c r="O207" s="12">
        <f t="shared" si="43"/>
        <v>0</v>
      </c>
      <c r="P207" s="12">
        <f t="shared" si="64"/>
        <v>0</v>
      </c>
      <c r="Q207" s="12">
        <f t="shared" si="64"/>
        <v>0</v>
      </c>
      <c r="T207" s="61"/>
      <c r="U207" s="61"/>
      <c r="V207" s="61"/>
      <c r="W207" s="53">
        <f t="shared" si="52"/>
        <v>0</v>
      </c>
      <c r="X207" s="54" t="e">
        <f t="shared" si="45"/>
        <v>#DIV/0!</v>
      </c>
      <c r="Y207" s="25">
        <f t="shared" si="53"/>
        <v>0</v>
      </c>
      <c r="Z207" s="54">
        <f t="shared" si="56"/>
        <v>0</v>
      </c>
      <c r="AA207" s="54">
        <f t="shared" si="65"/>
        <v>0</v>
      </c>
      <c r="AB207" s="54">
        <f t="shared" si="65"/>
        <v>0</v>
      </c>
      <c r="AC207" s="54">
        <f t="shared" si="65"/>
        <v>0</v>
      </c>
      <c r="AD207" s="54">
        <f t="shared" si="65"/>
        <v>0</v>
      </c>
      <c r="AE207" s="54">
        <f t="shared" si="65"/>
        <v>0</v>
      </c>
      <c r="AF207" s="54">
        <f t="shared" si="65"/>
        <v>0</v>
      </c>
      <c r="AG207" s="54">
        <f t="shared" si="65"/>
        <v>0</v>
      </c>
      <c r="AH207" s="54">
        <f t="shared" si="65"/>
        <v>0</v>
      </c>
      <c r="AI207" s="54">
        <f t="shared" si="65"/>
        <v>0</v>
      </c>
      <c r="AJ207" s="54">
        <f t="shared" si="65"/>
        <v>0</v>
      </c>
      <c r="AK207" s="54">
        <f t="shared" si="65"/>
        <v>0</v>
      </c>
      <c r="AL207" s="24">
        <f t="shared" si="47"/>
        <v>0</v>
      </c>
      <c r="AM207" s="24">
        <f t="shared" si="48"/>
        <v>0</v>
      </c>
      <c r="AN207" s="55">
        <f t="shared" si="49"/>
        <v>0</v>
      </c>
      <c r="AO207" s="55">
        <f t="shared" si="50"/>
        <v>0</v>
      </c>
      <c r="AP207" s="24"/>
      <c r="AQ207" s="24"/>
      <c r="AR207" s="24"/>
      <c r="AS207" s="24"/>
      <c r="AT207" s="24"/>
      <c r="AU207" s="24"/>
      <c r="AV207" s="24"/>
      <c r="AW207" s="24"/>
      <c r="AX207" s="24"/>
      <c r="AY207" s="24"/>
    </row>
    <row r="208" spans="7:51">
      <c r="G208" s="12">
        <f t="shared" si="51"/>
        <v>0</v>
      </c>
      <c r="H208" s="12">
        <f t="shared" si="62"/>
        <v>0</v>
      </c>
      <c r="I208" s="12">
        <f t="shared" si="62"/>
        <v>0</v>
      </c>
      <c r="J208" s="12">
        <f t="shared" si="62"/>
        <v>0</v>
      </c>
      <c r="K208" s="12">
        <f t="shared" si="41"/>
        <v>0</v>
      </c>
      <c r="L208" s="12">
        <f t="shared" si="63"/>
        <v>0</v>
      </c>
      <c r="M208" s="12">
        <f t="shared" si="63"/>
        <v>0</v>
      </c>
      <c r="N208" s="12">
        <f t="shared" si="63"/>
        <v>0</v>
      </c>
      <c r="O208" s="12">
        <f t="shared" si="43"/>
        <v>0</v>
      </c>
      <c r="P208" s="12">
        <f t="shared" si="64"/>
        <v>0</v>
      </c>
      <c r="Q208" s="12">
        <f t="shared" si="64"/>
        <v>0</v>
      </c>
      <c r="T208" s="61"/>
      <c r="U208" s="61"/>
      <c r="V208" s="61"/>
      <c r="W208" s="53">
        <f t="shared" si="52"/>
        <v>0</v>
      </c>
      <c r="X208" s="54" t="e">
        <f t="shared" si="45"/>
        <v>#DIV/0!</v>
      </c>
      <c r="Y208" s="25">
        <f t="shared" si="53"/>
        <v>0</v>
      </c>
      <c r="Z208" s="54">
        <f t="shared" si="56"/>
        <v>0</v>
      </c>
      <c r="AA208" s="54">
        <f t="shared" si="65"/>
        <v>0</v>
      </c>
      <c r="AB208" s="54">
        <f t="shared" si="65"/>
        <v>0</v>
      </c>
      <c r="AC208" s="54">
        <f t="shared" si="65"/>
        <v>0</v>
      </c>
      <c r="AD208" s="54">
        <f t="shared" si="65"/>
        <v>0</v>
      </c>
      <c r="AE208" s="54">
        <f t="shared" si="65"/>
        <v>0</v>
      </c>
      <c r="AF208" s="54">
        <f t="shared" si="65"/>
        <v>0</v>
      </c>
      <c r="AG208" s="54">
        <f t="shared" si="65"/>
        <v>0</v>
      </c>
      <c r="AH208" s="54">
        <f t="shared" si="65"/>
        <v>0</v>
      </c>
      <c r="AI208" s="54">
        <f t="shared" si="65"/>
        <v>0</v>
      </c>
      <c r="AJ208" s="54">
        <f t="shared" si="65"/>
        <v>0</v>
      </c>
      <c r="AK208" s="54">
        <f t="shared" si="65"/>
        <v>0</v>
      </c>
      <c r="AL208" s="24">
        <f t="shared" si="47"/>
        <v>0</v>
      </c>
      <c r="AM208" s="24">
        <f t="shared" si="48"/>
        <v>0</v>
      </c>
      <c r="AN208" s="55">
        <f t="shared" si="49"/>
        <v>0</v>
      </c>
      <c r="AO208" s="55">
        <f t="shared" si="50"/>
        <v>0</v>
      </c>
      <c r="AP208" s="24"/>
      <c r="AQ208" s="24"/>
      <c r="AR208" s="24"/>
      <c r="AS208" s="24"/>
      <c r="AT208" s="24"/>
      <c r="AU208" s="24"/>
      <c r="AV208" s="24"/>
      <c r="AW208" s="24"/>
      <c r="AX208" s="24"/>
      <c r="AY208" s="24"/>
    </row>
    <row r="209" spans="6:51">
      <c r="G209" s="12">
        <f t="shared" si="51"/>
        <v>0</v>
      </c>
      <c r="H209" s="12">
        <f t="shared" si="62"/>
        <v>0</v>
      </c>
      <c r="I209" s="12">
        <f t="shared" si="62"/>
        <v>0</v>
      </c>
      <c r="J209" s="12">
        <f t="shared" si="62"/>
        <v>0</v>
      </c>
      <c r="K209" s="12">
        <f t="shared" si="41"/>
        <v>0</v>
      </c>
      <c r="L209" s="12">
        <f t="shared" si="63"/>
        <v>0</v>
      </c>
      <c r="M209" s="12">
        <f t="shared" si="63"/>
        <v>0</v>
      </c>
      <c r="N209" s="12">
        <f t="shared" si="63"/>
        <v>0</v>
      </c>
      <c r="O209" s="12">
        <f t="shared" si="43"/>
        <v>0</v>
      </c>
      <c r="P209" s="12">
        <f t="shared" si="64"/>
        <v>0</v>
      </c>
      <c r="Q209" s="12">
        <f t="shared" si="64"/>
        <v>0</v>
      </c>
      <c r="T209" s="61"/>
      <c r="U209" s="61"/>
      <c r="V209" s="61"/>
      <c r="W209" s="53">
        <f t="shared" si="52"/>
        <v>0</v>
      </c>
      <c r="X209" s="54" t="e">
        <f t="shared" si="45"/>
        <v>#DIV/0!</v>
      </c>
      <c r="Y209" s="25">
        <f t="shared" si="53"/>
        <v>0</v>
      </c>
      <c r="Z209" s="54">
        <f t="shared" si="56"/>
        <v>0</v>
      </c>
      <c r="AA209" s="54">
        <f t="shared" si="65"/>
        <v>0</v>
      </c>
      <c r="AB209" s="54">
        <f t="shared" si="65"/>
        <v>0</v>
      </c>
      <c r="AC209" s="54">
        <f t="shared" si="65"/>
        <v>0</v>
      </c>
      <c r="AD209" s="54">
        <f t="shared" si="65"/>
        <v>0</v>
      </c>
      <c r="AE209" s="54">
        <f t="shared" si="65"/>
        <v>0</v>
      </c>
      <c r="AF209" s="54">
        <f t="shared" si="65"/>
        <v>0</v>
      </c>
      <c r="AG209" s="54">
        <f t="shared" si="65"/>
        <v>0</v>
      </c>
      <c r="AH209" s="54">
        <f t="shared" si="65"/>
        <v>0</v>
      </c>
      <c r="AI209" s="54">
        <f t="shared" si="65"/>
        <v>0</v>
      </c>
      <c r="AJ209" s="54">
        <f t="shared" si="65"/>
        <v>0</v>
      </c>
      <c r="AK209" s="54">
        <f t="shared" si="65"/>
        <v>0</v>
      </c>
      <c r="AL209" s="24">
        <f t="shared" si="47"/>
        <v>0</v>
      </c>
      <c r="AM209" s="24">
        <f t="shared" si="48"/>
        <v>0</v>
      </c>
      <c r="AN209" s="55">
        <f t="shared" si="49"/>
        <v>0</v>
      </c>
      <c r="AO209" s="55">
        <f t="shared" si="50"/>
        <v>0</v>
      </c>
      <c r="AP209" s="24"/>
      <c r="AQ209" s="24"/>
      <c r="AR209" s="24"/>
      <c r="AS209" s="24"/>
      <c r="AT209" s="24"/>
      <c r="AU209" s="24"/>
      <c r="AV209" s="24"/>
      <c r="AW209" s="24"/>
      <c r="AX209" s="24"/>
      <c r="AY209" s="24"/>
    </row>
    <row r="210" spans="6:51">
      <c r="T210" s="61"/>
      <c r="U210" s="61"/>
      <c r="V210" s="61"/>
      <c r="W210" s="53">
        <f t="shared" si="52"/>
        <v>0</v>
      </c>
      <c r="X210" s="54" t="e">
        <f t="shared" si="45"/>
        <v>#DIV/0!</v>
      </c>
      <c r="Y210" s="25">
        <f t="shared" si="53"/>
        <v>0</v>
      </c>
      <c r="Z210" s="54">
        <f t="shared" si="56"/>
        <v>0</v>
      </c>
      <c r="AA210" s="54">
        <f t="shared" si="65"/>
        <v>0</v>
      </c>
      <c r="AB210" s="54">
        <f t="shared" si="65"/>
        <v>0</v>
      </c>
      <c r="AC210" s="54">
        <f t="shared" si="65"/>
        <v>0</v>
      </c>
      <c r="AD210" s="54">
        <f t="shared" si="65"/>
        <v>0</v>
      </c>
      <c r="AE210" s="54">
        <f t="shared" si="65"/>
        <v>0</v>
      </c>
      <c r="AF210" s="54">
        <f t="shared" si="65"/>
        <v>0</v>
      </c>
      <c r="AG210" s="54">
        <f t="shared" si="65"/>
        <v>0</v>
      </c>
      <c r="AH210" s="54">
        <f t="shared" si="65"/>
        <v>0</v>
      </c>
      <c r="AI210" s="54">
        <f t="shared" si="65"/>
        <v>0</v>
      </c>
      <c r="AJ210" s="54">
        <f t="shared" si="65"/>
        <v>0</v>
      </c>
      <c r="AK210" s="54">
        <f t="shared" si="65"/>
        <v>0</v>
      </c>
      <c r="AL210" s="24">
        <f t="shared" si="47"/>
        <v>0</v>
      </c>
      <c r="AM210" s="24">
        <f t="shared" si="48"/>
        <v>0</v>
      </c>
      <c r="AN210" s="55">
        <f t="shared" si="49"/>
        <v>0</v>
      </c>
      <c r="AO210" s="55">
        <f t="shared" si="50"/>
        <v>0</v>
      </c>
      <c r="AP210" s="24"/>
      <c r="AQ210" s="24"/>
      <c r="AR210" s="24"/>
      <c r="AS210" s="24"/>
      <c r="AT210" s="24"/>
      <c r="AU210" s="24"/>
      <c r="AV210" s="24"/>
      <c r="AW210" s="24"/>
      <c r="AX210" s="24"/>
      <c r="AY210" s="24"/>
    </row>
    <row r="211" spans="6:51">
      <c r="T211" s="61"/>
      <c r="U211" s="61"/>
      <c r="V211" s="61"/>
      <c r="W211" s="53">
        <f t="shared" si="52"/>
        <v>0</v>
      </c>
      <c r="X211" s="54" t="e">
        <f t="shared" si="45"/>
        <v>#DIV/0!</v>
      </c>
      <c r="Y211" s="25">
        <f t="shared" si="53"/>
        <v>0</v>
      </c>
      <c r="Z211" s="54">
        <f t="shared" si="56"/>
        <v>0</v>
      </c>
      <c r="AA211" s="54">
        <f t="shared" si="65"/>
        <v>0</v>
      </c>
      <c r="AB211" s="54">
        <f t="shared" si="65"/>
        <v>0</v>
      </c>
      <c r="AC211" s="54">
        <f t="shared" si="65"/>
        <v>0</v>
      </c>
      <c r="AD211" s="54">
        <f t="shared" si="65"/>
        <v>0</v>
      </c>
      <c r="AE211" s="54">
        <f t="shared" si="65"/>
        <v>0</v>
      </c>
      <c r="AF211" s="54">
        <f t="shared" si="65"/>
        <v>0</v>
      </c>
      <c r="AG211" s="54">
        <f t="shared" si="65"/>
        <v>0</v>
      </c>
      <c r="AH211" s="54">
        <f t="shared" si="65"/>
        <v>0</v>
      </c>
      <c r="AI211" s="54">
        <f t="shared" si="65"/>
        <v>0</v>
      </c>
      <c r="AJ211" s="54">
        <f t="shared" si="65"/>
        <v>0</v>
      </c>
      <c r="AK211" s="54">
        <f t="shared" si="65"/>
        <v>0</v>
      </c>
      <c r="AL211" s="24">
        <f t="shared" si="47"/>
        <v>0</v>
      </c>
      <c r="AM211" s="24">
        <f t="shared" si="48"/>
        <v>0</v>
      </c>
      <c r="AN211" s="55">
        <f t="shared" si="49"/>
        <v>0</v>
      </c>
      <c r="AO211" s="55">
        <f t="shared" si="50"/>
        <v>0</v>
      </c>
      <c r="AP211" s="25"/>
      <c r="AQ211" s="24"/>
      <c r="AR211" s="24"/>
      <c r="AS211" s="24"/>
      <c r="AT211" s="24"/>
      <c r="AU211" s="24"/>
      <c r="AV211" s="24"/>
      <c r="AW211" s="24"/>
      <c r="AX211" s="24"/>
      <c r="AY211" s="24"/>
    </row>
    <row r="212" spans="6:51">
      <c r="T212" s="61"/>
      <c r="U212" s="61"/>
      <c r="V212" s="61"/>
      <c r="W212" s="53"/>
      <c r="X212" s="54"/>
      <c r="Y212" s="25">
        <f t="shared" si="53"/>
        <v>0</v>
      </c>
      <c r="Z212" s="54">
        <f t="shared" si="56"/>
        <v>0</v>
      </c>
      <c r="AA212" s="54">
        <f t="shared" si="65"/>
        <v>0</v>
      </c>
      <c r="AB212" s="54">
        <f t="shared" si="65"/>
        <v>0</v>
      </c>
      <c r="AC212" s="54">
        <f t="shared" si="65"/>
        <v>0</v>
      </c>
      <c r="AD212" s="54">
        <f t="shared" si="65"/>
        <v>0</v>
      </c>
      <c r="AE212" s="54">
        <f t="shared" si="65"/>
        <v>0</v>
      </c>
      <c r="AF212" s="54">
        <f t="shared" si="65"/>
        <v>0</v>
      </c>
      <c r="AG212" s="54">
        <f t="shared" si="65"/>
        <v>0</v>
      </c>
      <c r="AH212" s="54">
        <f t="shared" si="65"/>
        <v>0</v>
      </c>
      <c r="AI212" s="54">
        <f t="shared" si="65"/>
        <v>0</v>
      </c>
      <c r="AJ212" s="54">
        <f t="shared" si="65"/>
        <v>0</v>
      </c>
      <c r="AK212" s="54">
        <f t="shared" si="65"/>
        <v>0</v>
      </c>
      <c r="AL212" s="24">
        <f t="shared" si="47"/>
        <v>0</v>
      </c>
      <c r="AM212" s="24">
        <f t="shared" si="48"/>
        <v>0</v>
      </c>
      <c r="AN212" s="55">
        <f t="shared" si="49"/>
        <v>0</v>
      </c>
      <c r="AO212" s="55">
        <f t="shared" si="50"/>
        <v>0</v>
      </c>
      <c r="AP212" s="24"/>
      <c r="AQ212" s="24"/>
      <c r="AR212" s="24"/>
      <c r="AS212" s="24"/>
      <c r="AT212" s="24"/>
      <c r="AU212" s="24"/>
      <c r="AV212" s="24"/>
      <c r="AW212" s="24"/>
      <c r="AX212" s="24"/>
      <c r="AY212" s="24"/>
    </row>
    <row r="213" spans="6:51">
      <c r="T213" s="61"/>
      <c r="U213" s="61"/>
      <c r="V213" s="61"/>
      <c r="W213" s="53"/>
      <c r="X213" s="54"/>
      <c r="Y213" s="25">
        <f t="shared" si="53"/>
        <v>0</v>
      </c>
      <c r="Z213" s="54">
        <f t="shared" si="56"/>
        <v>0</v>
      </c>
      <c r="AA213" s="54">
        <f t="shared" si="65"/>
        <v>0</v>
      </c>
      <c r="AB213" s="54">
        <f t="shared" si="65"/>
        <v>0</v>
      </c>
      <c r="AC213" s="54">
        <f t="shared" si="65"/>
        <v>0</v>
      </c>
      <c r="AD213" s="54">
        <f t="shared" si="65"/>
        <v>0</v>
      </c>
      <c r="AE213" s="54">
        <f t="shared" si="65"/>
        <v>0</v>
      </c>
      <c r="AF213" s="54">
        <f t="shared" si="65"/>
        <v>0</v>
      </c>
      <c r="AG213" s="54">
        <f t="shared" si="65"/>
        <v>0</v>
      </c>
      <c r="AH213" s="54">
        <f t="shared" si="65"/>
        <v>0</v>
      </c>
      <c r="AI213" s="54">
        <f t="shared" si="65"/>
        <v>0</v>
      </c>
      <c r="AJ213" s="54">
        <f t="shared" si="65"/>
        <v>0</v>
      </c>
      <c r="AK213" s="54">
        <f t="shared" si="65"/>
        <v>0</v>
      </c>
      <c r="AL213" s="24">
        <f t="shared" si="47"/>
        <v>0</v>
      </c>
      <c r="AM213" s="24">
        <f t="shared" si="48"/>
        <v>0</v>
      </c>
      <c r="AN213" s="55">
        <f t="shared" si="49"/>
        <v>0</v>
      </c>
      <c r="AO213" s="55">
        <f t="shared" si="50"/>
        <v>0</v>
      </c>
      <c r="AP213" s="24"/>
      <c r="AQ213" s="24"/>
      <c r="AR213" s="24"/>
      <c r="AS213" s="24"/>
      <c r="AT213" s="24"/>
      <c r="AU213" s="24"/>
      <c r="AV213" s="24"/>
      <c r="AW213" s="24"/>
      <c r="AX213" s="24"/>
      <c r="AY213" s="24"/>
    </row>
    <row r="214" spans="6:51" ht="13">
      <c r="F214" s="187" t="s">
        <v>490</v>
      </c>
      <c r="G214" s="187">
        <f>SUM(G167:G213)</f>
        <v>-20</v>
      </c>
      <c r="H214" s="187">
        <f t="shared" ref="H214:Q214" si="66">SUM(H167:H213)</f>
        <v>-20</v>
      </c>
      <c r="I214" s="187">
        <f t="shared" si="66"/>
        <v>-560</v>
      </c>
      <c r="J214" s="187">
        <f t="shared" si="66"/>
        <v>-690</v>
      </c>
      <c r="K214" s="187">
        <f t="shared" si="66"/>
        <v>-710</v>
      </c>
      <c r="L214" s="187">
        <f t="shared" si="66"/>
        <v>-710</v>
      </c>
      <c r="M214" s="187">
        <f t="shared" si="66"/>
        <v>-720</v>
      </c>
      <c r="N214" s="187">
        <f t="shared" si="66"/>
        <v>-730</v>
      </c>
      <c r="O214" s="187">
        <f t="shared" si="66"/>
        <v>-860</v>
      </c>
      <c r="P214" s="187">
        <f t="shared" si="66"/>
        <v>-860</v>
      </c>
      <c r="Q214" s="187">
        <f t="shared" si="66"/>
        <v>-860</v>
      </c>
      <c r="R214" s="187"/>
      <c r="S214" s="187"/>
      <c r="T214" s="190"/>
      <c r="U214" s="190"/>
      <c r="V214" s="190"/>
      <c r="W214" s="191"/>
      <c r="X214" s="192" t="e">
        <f>SUM(X168:X213)</f>
        <v>#DIV/0!</v>
      </c>
      <c r="Y214" s="157" t="s">
        <v>84</v>
      </c>
      <c r="AA214" s="155">
        <f>VLOOKUP($A$2,Assumptions!$B$124:$G$147,6,0)*SUM(AA167:AA213)</f>
        <v>0</v>
      </c>
      <c r="AB214" s="155">
        <f>VLOOKUP($A$2,Assumptions!$B$124:$G$147,6,0)*SUM(AB167:AB213)</f>
        <v>-0.49814753881467511</v>
      </c>
      <c r="AC214" s="155">
        <f>VLOOKUP($A$2,Assumptions!$B$124:$G$147,6,0)*SUM(AC167:AC213)</f>
        <v>-13.948131086810903</v>
      </c>
      <c r="AD214" s="155">
        <f>VLOOKUP($A$2,Assumptions!$B$124:$G$147,6,0)*SUM(AD167:AD213)</f>
        <v>-17.956344263530386</v>
      </c>
      <c r="AE214" s="155">
        <f>VLOOKUP($A$2,Assumptions!$B$124:$G$147,6,0)*SUM(AE167:AE213)</f>
        <v>-18.265396841601895</v>
      </c>
      <c r="AF214" s="155">
        <f>VLOOKUP($A$2,Assumptions!$B$124:$G$147,6,0)*SUM(AF167:AF213)</f>
        <v>-18.574449419673407</v>
      </c>
      <c r="AG214" s="155">
        <f>VLOOKUP($A$2,Assumptions!$B$124:$G$147,6,0)*SUM(AG167:AG213)</f>
        <v>-18.883501997744915</v>
      </c>
      <c r="AH214" s="155">
        <f>VLOOKUP($A$2,Assumptions!$B$124:$G$147,6,0)*SUM(AH167:AH213)</f>
        <v>-19.192554575816423</v>
      </c>
      <c r="AI214" s="155">
        <f>VLOOKUP($A$2,Assumptions!$B$124:$G$147,6,0)*SUM(AI167:AI213)</f>
        <v>-19.192554575816423</v>
      </c>
      <c r="AJ214" s="155">
        <f>VLOOKUP($A$2,Assumptions!$B$124:$G$147,6,0)*SUM(AJ167:AJ213)</f>
        <v>-23.219708428956171</v>
      </c>
      <c r="AK214" s="155">
        <f>VLOOKUP($A$2,Assumptions!$B$124:$G$147,6,0)*SUM(AK167:AK213)</f>
        <v>-23.219708428956171</v>
      </c>
      <c r="AL214" s="155">
        <f>VLOOKUP($A$2,Assumptions!$B$124:$G$147,6,0)*SUM(AL167:AL213)</f>
        <v>-645</v>
      </c>
      <c r="AM214" s="155">
        <f>VLOOKUP($A$2,Assumptions!$B$124:$G$147,6,0)*SUM(AM167:AM213)</f>
        <v>-855</v>
      </c>
      <c r="AN214" s="55">
        <f>SUM(AN167:AN213)</f>
        <v>10893095</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64</v>
      </c>
      <c r="AA215" s="156">
        <f>$C$64+AA214</f>
        <v>64</v>
      </c>
      <c r="AB215" s="156">
        <f t="shared" ref="AB215:AE215" si="67">$C$64+AB214</f>
        <v>63.501852461185322</v>
      </c>
      <c r="AC215" s="156">
        <f t="shared" si="67"/>
        <v>50.051868913189097</v>
      </c>
      <c r="AD215" s="156">
        <f t="shared" si="67"/>
        <v>46.043655736469617</v>
      </c>
      <c r="AE215" s="156">
        <f t="shared" si="67"/>
        <v>45.734603158398102</v>
      </c>
      <c r="AF215" s="156">
        <f>$C$64+AF214</f>
        <v>45.425550580326593</v>
      </c>
      <c r="AG215" s="156">
        <f t="shared" ref="AG215:AK215" si="68">$C$64+AG214</f>
        <v>45.116498002255085</v>
      </c>
      <c r="AH215" s="156">
        <f>$C$64+AH214</f>
        <v>44.807445424183577</v>
      </c>
      <c r="AI215" s="156">
        <f t="shared" si="68"/>
        <v>44.807445424183577</v>
      </c>
      <c r="AJ215" s="156">
        <f t="shared" si="68"/>
        <v>40.780291571043833</v>
      </c>
      <c r="AK215" s="156">
        <f t="shared" si="68"/>
        <v>40.780291571043833</v>
      </c>
      <c r="AN215" s="347">
        <f>SUM(AL215:AM215)</f>
        <v>0</v>
      </c>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I216" si="69">IF(Z215&lt;$BB$154,(6+(1-Z215/$BB$154)),IF(Z215&lt;$BB$155,5.5+(0.5*(($BB$155-Z215)/($BB$155-$BB$154))),IF(Z215&lt;$BB$156,5-0.5*((Z215)-$BB$156)/($BB$156-$BB$155),IF(Z215&lt;$BB$157,4.5-0.5*((Z215-$BB$157)/($BB$157-$BB$156)),5-0.5*((Z215-$BB$156)/$BH$166)))))</f>
        <v>5.1606552665612879</v>
      </c>
      <c r="AA216" s="154">
        <f t="shared" si="69"/>
        <v>5.1606552665612879</v>
      </c>
      <c r="AB216" s="154">
        <f t="shared" si="69"/>
        <v>5.1749719079986978</v>
      </c>
      <c r="AC216" s="154">
        <f t="shared" si="69"/>
        <v>5.5615212268087628</v>
      </c>
      <c r="AD216" s="154">
        <f t="shared" si="69"/>
        <v>5.6767163173884292</v>
      </c>
      <c r="AE216" s="154">
        <f t="shared" si="69"/>
        <v>5.6855984147607961</v>
      </c>
      <c r="AF216" s="154">
        <f t="shared" si="69"/>
        <v>5.694480512133163</v>
      </c>
      <c r="AG216" s="154">
        <f t="shared" si="69"/>
        <v>5.7033626095055299</v>
      </c>
      <c r="AH216" s="154">
        <f t="shared" si="69"/>
        <v>5.7122447068778968</v>
      </c>
      <c r="AI216" s="154">
        <f t="shared" si="69"/>
        <v>5.7122447068778968</v>
      </c>
      <c r="AJ216" s="154">
        <f>IF(AJ215&lt;$BB$154,(6+(1-AJ215/$BB$154)),IF(AJ215&lt;$BB$155,5.5+(0.5*(($BB$155-AJ215)/($BB$155-$BB$154))),IF(AJ215&lt;$BB$156,5-0.5*((AJ215)-$BB$156)/($BB$156-$BB$155),IF(AJ215&lt;$BB$157,4.5-0.5*((AJ215-$BB$157)/($BB$157-$BB$156)),5-0.5*((AJ215-$BB$156)/$BH$166)))))</f>
        <v>5.8279841479797723</v>
      </c>
      <c r="AK216" s="154">
        <f>IF(AK215&lt;$BB$154,(6+(1-AK215/$BB$154)),IF(AK215&lt;$BB$155,5.5+(0.5*(($BB$155-AK215)/($BB$155-$BB$154))),IF(AK215&lt;$BB$156,5-0.5*((AK215)-$BB$156)/($BB$156-$BB$155),IF(AK215&lt;$BB$157,4.5-0.5*((AK215-$BB$157)/($BB$157-$BB$156)),5-0.5*((AK215-$BB$156)/$BH$166)))))</f>
        <v>5.8279841479797723</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70">IF($E69&lt;G$66,$D69,0)</f>
        <v>0</v>
      </c>
      <c r="H220" s="12">
        <f t="shared" ref="H220:Q235" si="71">IF($E69&gt;H$66,0,IF($E69&lt;H$66-365,$D69,0))</f>
        <v>0</v>
      </c>
      <c r="I220" s="12">
        <f t="shared" si="71"/>
        <v>0</v>
      </c>
      <c r="J220" s="12">
        <f t="shared" si="71"/>
        <v>0</v>
      </c>
      <c r="K220" s="12">
        <f t="shared" si="71"/>
        <v>0</v>
      </c>
      <c r="L220" s="12">
        <f t="shared" si="71"/>
        <v>0</v>
      </c>
      <c r="M220" s="12">
        <f t="shared" si="71"/>
        <v>0</v>
      </c>
      <c r="N220" s="12">
        <f t="shared" si="71"/>
        <v>0</v>
      </c>
      <c r="O220" s="12">
        <f t="shared" si="71"/>
        <v>0</v>
      </c>
      <c r="P220" s="12">
        <f t="shared" si="71"/>
        <v>0</v>
      </c>
      <c r="Q220" s="12">
        <f t="shared" si="71"/>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70"/>
        <v>0</v>
      </c>
      <c r="H221" s="12">
        <f t="shared" si="71"/>
        <v>0</v>
      </c>
      <c r="I221" s="12">
        <f t="shared" si="71"/>
        <v>0</v>
      </c>
      <c r="J221" s="12">
        <f t="shared" si="71"/>
        <v>0</v>
      </c>
      <c r="K221" s="12">
        <f t="shared" si="71"/>
        <v>0</v>
      </c>
      <c r="L221" s="12">
        <f t="shared" si="71"/>
        <v>0</v>
      </c>
      <c r="M221" s="12">
        <f t="shared" si="71"/>
        <v>0</v>
      </c>
      <c r="N221" s="12">
        <f t="shared" si="71"/>
        <v>0</v>
      </c>
      <c r="O221" s="12">
        <f t="shared" si="71"/>
        <v>0</v>
      </c>
      <c r="P221" s="12">
        <f t="shared" si="71"/>
        <v>0</v>
      </c>
      <c r="Q221" s="12">
        <f t="shared" si="7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70"/>
        <v>0</v>
      </c>
      <c r="H222" s="12">
        <f t="shared" si="71"/>
        <v>0</v>
      </c>
      <c r="I222" s="12">
        <f t="shared" si="71"/>
        <v>0</v>
      </c>
      <c r="J222" s="12">
        <f t="shared" si="71"/>
        <v>0</v>
      </c>
      <c r="K222" s="12">
        <f t="shared" si="71"/>
        <v>0</v>
      </c>
      <c r="L222" s="12">
        <f t="shared" si="71"/>
        <v>0</v>
      </c>
      <c r="M222" s="12">
        <f t="shared" si="71"/>
        <v>0</v>
      </c>
      <c r="N222" s="12">
        <f t="shared" si="71"/>
        <v>0</v>
      </c>
      <c r="O222" s="12">
        <f t="shared" si="71"/>
        <v>0</v>
      </c>
      <c r="P222" s="12">
        <f t="shared" si="71"/>
        <v>0</v>
      </c>
      <c r="Q222" s="12">
        <f t="shared" si="71"/>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70"/>
        <v>0</v>
      </c>
      <c r="H223" s="12">
        <f t="shared" si="71"/>
        <v>0</v>
      </c>
      <c r="I223" s="12">
        <f t="shared" si="71"/>
        <v>0</v>
      </c>
      <c r="J223" s="12">
        <f t="shared" si="71"/>
        <v>0</v>
      </c>
      <c r="K223" s="12">
        <f t="shared" si="71"/>
        <v>0</v>
      </c>
      <c r="L223" s="12">
        <f t="shared" si="71"/>
        <v>0</v>
      </c>
      <c r="M223" s="12">
        <f t="shared" si="71"/>
        <v>0</v>
      </c>
      <c r="N223" s="12">
        <f t="shared" si="71"/>
        <v>0</v>
      </c>
      <c r="O223" s="12">
        <f t="shared" si="71"/>
        <v>0</v>
      </c>
      <c r="P223" s="12">
        <f t="shared" si="71"/>
        <v>0</v>
      </c>
      <c r="Q223" s="12">
        <f t="shared" si="71"/>
        <v>0</v>
      </c>
      <c r="T223" s="20"/>
      <c r="U223" s="20"/>
      <c r="V223" s="20"/>
    </row>
    <row r="224" spans="6:51">
      <c r="G224" s="12">
        <f t="shared" si="70"/>
        <v>0</v>
      </c>
      <c r="H224" s="12">
        <f t="shared" si="71"/>
        <v>0</v>
      </c>
      <c r="I224" s="12">
        <f t="shared" si="71"/>
        <v>0</v>
      </c>
      <c r="J224" s="12">
        <f t="shared" si="71"/>
        <v>0</v>
      </c>
      <c r="K224" s="12">
        <f t="shared" si="71"/>
        <v>0</v>
      </c>
      <c r="L224" s="12">
        <f t="shared" si="71"/>
        <v>0</v>
      </c>
      <c r="M224" s="12">
        <f t="shared" si="71"/>
        <v>0</v>
      </c>
      <c r="N224" s="12">
        <f t="shared" si="71"/>
        <v>0</v>
      </c>
      <c r="O224" s="12">
        <f t="shared" si="71"/>
        <v>0</v>
      </c>
      <c r="P224" s="12">
        <f t="shared" si="71"/>
        <v>0</v>
      </c>
      <c r="Q224" s="12">
        <f t="shared" si="71"/>
        <v>0</v>
      </c>
      <c r="T224" s="20"/>
      <c r="U224" s="20"/>
      <c r="V224" s="20"/>
    </row>
    <row r="225" spans="7:28">
      <c r="G225" s="12">
        <f t="shared" si="70"/>
        <v>0</v>
      </c>
      <c r="H225" s="12">
        <f t="shared" si="71"/>
        <v>0</v>
      </c>
      <c r="I225" s="12">
        <f t="shared" si="71"/>
        <v>0</v>
      </c>
      <c r="J225" s="12">
        <f t="shared" si="71"/>
        <v>0</v>
      </c>
      <c r="K225" s="12">
        <f t="shared" si="71"/>
        <v>0</v>
      </c>
      <c r="L225" s="12">
        <f t="shared" si="71"/>
        <v>0</v>
      </c>
      <c r="M225" s="12">
        <f t="shared" si="71"/>
        <v>0</v>
      </c>
      <c r="N225" s="12">
        <f t="shared" si="71"/>
        <v>0</v>
      </c>
      <c r="O225" s="12">
        <f t="shared" si="71"/>
        <v>0</v>
      </c>
      <c r="P225" s="12">
        <f t="shared" si="71"/>
        <v>0</v>
      </c>
      <c r="Q225" s="12">
        <f t="shared" si="71"/>
        <v>0</v>
      </c>
      <c r="T225" s="20"/>
      <c r="U225" s="20"/>
      <c r="V225" s="20"/>
      <c r="AA225" s="55">
        <f>SUM(AN167:AN213)</f>
        <v>10893095</v>
      </c>
      <c r="AB225" s="24">
        <f>SUM(AO167:AO213)</f>
        <v>0</v>
      </c>
    </row>
    <row r="226" spans="7:28">
      <c r="G226" s="12">
        <f t="shared" si="70"/>
        <v>0</v>
      </c>
      <c r="H226" s="12">
        <f t="shared" si="71"/>
        <v>0</v>
      </c>
      <c r="I226" s="12">
        <f t="shared" si="71"/>
        <v>0</v>
      </c>
      <c r="J226" s="12">
        <f t="shared" si="71"/>
        <v>0</v>
      </c>
      <c r="K226" s="12">
        <f t="shared" si="71"/>
        <v>0</v>
      </c>
      <c r="L226" s="12">
        <f t="shared" si="71"/>
        <v>0</v>
      </c>
      <c r="M226" s="12">
        <f t="shared" si="71"/>
        <v>0</v>
      </c>
      <c r="N226" s="12">
        <f t="shared" si="71"/>
        <v>0</v>
      </c>
      <c r="O226" s="12">
        <f t="shared" si="71"/>
        <v>0</v>
      </c>
      <c r="P226" s="12">
        <f t="shared" si="71"/>
        <v>0</v>
      </c>
      <c r="Q226" s="12">
        <f t="shared" si="71"/>
        <v>0</v>
      </c>
      <c r="T226" s="20"/>
      <c r="U226" s="20"/>
      <c r="V226" s="20"/>
      <c r="AA226" s="24">
        <f>AA225*1.35</f>
        <v>14705678.250000002</v>
      </c>
      <c r="AB226" s="24">
        <f>AB225*1.35</f>
        <v>0</v>
      </c>
    </row>
    <row r="227" spans="7:28">
      <c r="G227" s="12">
        <f t="shared" si="70"/>
        <v>0</v>
      </c>
      <c r="H227" s="12">
        <f t="shared" si="71"/>
        <v>0</v>
      </c>
      <c r="I227" s="12">
        <f t="shared" si="71"/>
        <v>0</v>
      </c>
      <c r="J227" s="12">
        <f t="shared" si="71"/>
        <v>-450</v>
      </c>
      <c r="K227" s="12">
        <f t="shared" si="71"/>
        <v>-450</v>
      </c>
      <c r="L227" s="12">
        <f t="shared" si="71"/>
        <v>-450</v>
      </c>
      <c r="M227" s="12">
        <f t="shared" si="71"/>
        <v>-450</v>
      </c>
      <c r="N227" s="12">
        <f t="shared" si="71"/>
        <v>-450</v>
      </c>
      <c r="O227" s="12">
        <f t="shared" si="71"/>
        <v>-450</v>
      </c>
      <c r="P227" s="12">
        <f t="shared" si="71"/>
        <v>-450</v>
      </c>
      <c r="Q227" s="12">
        <f t="shared" si="71"/>
        <v>-450</v>
      </c>
    </row>
    <row r="228" spans="7:28">
      <c r="G228" s="12">
        <f t="shared" si="70"/>
        <v>0</v>
      </c>
      <c r="H228" s="12">
        <f t="shared" si="71"/>
        <v>0</v>
      </c>
      <c r="I228" s="12">
        <f t="shared" si="71"/>
        <v>0</v>
      </c>
      <c r="J228" s="12">
        <f t="shared" si="71"/>
        <v>0</v>
      </c>
      <c r="K228" s="12">
        <f t="shared" si="71"/>
        <v>0</v>
      </c>
      <c r="L228" s="12">
        <f t="shared" si="71"/>
        <v>0</v>
      </c>
      <c r="M228" s="12">
        <f t="shared" si="71"/>
        <v>0</v>
      </c>
      <c r="N228" s="12">
        <f t="shared" si="71"/>
        <v>0</v>
      </c>
      <c r="O228" s="12">
        <f t="shared" si="71"/>
        <v>0</v>
      </c>
      <c r="P228" s="12">
        <f t="shared" si="71"/>
        <v>0</v>
      </c>
      <c r="Q228" s="12">
        <f t="shared" si="71"/>
        <v>0</v>
      </c>
    </row>
    <row r="229" spans="7:28">
      <c r="G229" s="12">
        <f t="shared" si="70"/>
        <v>0</v>
      </c>
      <c r="H229" s="12">
        <f t="shared" si="71"/>
        <v>0</v>
      </c>
      <c r="I229" s="12">
        <f t="shared" si="71"/>
        <v>0</v>
      </c>
      <c r="J229" s="12">
        <f t="shared" si="71"/>
        <v>0</v>
      </c>
      <c r="K229" s="12">
        <f t="shared" si="71"/>
        <v>0</v>
      </c>
      <c r="L229" s="12">
        <f t="shared" si="71"/>
        <v>0</v>
      </c>
      <c r="M229" s="12">
        <f t="shared" si="71"/>
        <v>0</v>
      </c>
      <c r="N229" s="12">
        <f t="shared" si="71"/>
        <v>0</v>
      </c>
      <c r="O229" s="12">
        <f t="shared" si="71"/>
        <v>0</v>
      </c>
      <c r="P229" s="12">
        <f t="shared" si="71"/>
        <v>0</v>
      </c>
      <c r="Q229" s="12">
        <f t="shared" si="71"/>
        <v>0</v>
      </c>
    </row>
    <row r="230" spans="7:28">
      <c r="G230" s="12">
        <f t="shared" si="70"/>
        <v>0</v>
      </c>
      <c r="H230" s="12">
        <f t="shared" si="71"/>
        <v>0</v>
      </c>
      <c r="I230" s="12">
        <f t="shared" si="71"/>
        <v>0</v>
      </c>
      <c r="J230" s="12">
        <f t="shared" si="71"/>
        <v>0</v>
      </c>
      <c r="K230" s="12">
        <f t="shared" si="71"/>
        <v>0</v>
      </c>
      <c r="L230" s="12">
        <f t="shared" si="71"/>
        <v>0</v>
      </c>
      <c r="M230" s="12">
        <f t="shared" si="71"/>
        <v>0</v>
      </c>
      <c r="N230" s="12">
        <f t="shared" si="71"/>
        <v>0</v>
      </c>
      <c r="O230" s="12">
        <f t="shared" si="71"/>
        <v>0</v>
      </c>
      <c r="P230" s="12">
        <f t="shared" si="71"/>
        <v>0</v>
      </c>
      <c r="Q230" s="12">
        <f t="shared" si="71"/>
        <v>0</v>
      </c>
    </row>
    <row r="231" spans="7:28">
      <c r="G231" s="12">
        <f t="shared" si="70"/>
        <v>0</v>
      </c>
      <c r="H231" s="12">
        <f t="shared" si="71"/>
        <v>0</v>
      </c>
      <c r="I231" s="12">
        <f t="shared" si="71"/>
        <v>0</v>
      </c>
      <c r="J231" s="12">
        <f t="shared" si="71"/>
        <v>0</v>
      </c>
      <c r="K231" s="12">
        <f t="shared" si="71"/>
        <v>0</v>
      </c>
      <c r="L231" s="12">
        <f t="shared" si="71"/>
        <v>0</v>
      </c>
      <c r="M231" s="12">
        <f t="shared" si="71"/>
        <v>0</v>
      </c>
      <c r="N231" s="12">
        <f t="shared" si="71"/>
        <v>0</v>
      </c>
      <c r="O231" s="12">
        <f t="shared" si="71"/>
        <v>0</v>
      </c>
      <c r="P231" s="12">
        <f t="shared" si="71"/>
        <v>0</v>
      </c>
      <c r="Q231" s="12">
        <f t="shared" si="71"/>
        <v>0</v>
      </c>
    </row>
    <row r="232" spans="7:28">
      <c r="G232" s="12">
        <f t="shared" si="70"/>
        <v>0</v>
      </c>
      <c r="H232" s="12">
        <f t="shared" si="71"/>
        <v>0</v>
      </c>
      <c r="I232" s="12">
        <f t="shared" si="71"/>
        <v>0</v>
      </c>
      <c r="J232" s="12">
        <f t="shared" si="71"/>
        <v>-38</v>
      </c>
      <c r="K232" s="12">
        <f t="shared" si="71"/>
        <v>-38</v>
      </c>
      <c r="L232" s="12">
        <f t="shared" si="71"/>
        <v>-38</v>
      </c>
      <c r="M232" s="12">
        <f t="shared" si="71"/>
        <v>-38</v>
      </c>
      <c r="N232" s="12">
        <f t="shared" si="71"/>
        <v>-38</v>
      </c>
      <c r="O232" s="12">
        <f t="shared" si="71"/>
        <v>-38</v>
      </c>
      <c r="P232" s="12">
        <f t="shared" si="71"/>
        <v>-38</v>
      </c>
      <c r="Q232" s="12">
        <f t="shared" si="71"/>
        <v>-38</v>
      </c>
    </row>
    <row r="233" spans="7:28">
      <c r="G233" s="12">
        <f t="shared" si="70"/>
        <v>0</v>
      </c>
      <c r="H233" s="12">
        <f t="shared" si="71"/>
        <v>0</v>
      </c>
      <c r="I233" s="12">
        <f t="shared" si="71"/>
        <v>0</v>
      </c>
      <c r="J233" s="12">
        <f t="shared" si="71"/>
        <v>0</v>
      </c>
      <c r="K233" s="12">
        <f t="shared" si="71"/>
        <v>-38</v>
      </c>
      <c r="L233" s="12">
        <f t="shared" si="71"/>
        <v>-38</v>
      </c>
      <c r="M233" s="12">
        <f t="shared" si="71"/>
        <v>-38</v>
      </c>
      <c r="N233" s="12">
        <f t="shared" si="71"/>
        <v>-38</v>
      </c>
      <c r="O233" s="12">
        <f t="shared" si="71"/>
        <v>-38</v>
      </c>
      <c r="P233" s="12">
        <f t="shared" si="71"/>
        <v>-38</v>
      </c>
      <c r="Q233" s="12">
        <f t="shared" si="71"/>
        <v>-38</v>
      </c>
    </row>
    <row r="234" spans="7:28">
      <c r="G234" s="12">
        <f t="shared" si="70"/>
        <v>0</v>
      </c>
      <c r="H234" s="12">
        <f t="shared" si="71"/>
        <v>0</v>
      </c>
      <c r="I234" s="12">
        <f t="shared" si="71"/>
        <v>0</v>
      </c>
      <c r="J234" s="12">
        <f t="shared" si="71"/>
        <v>0</v>
      </c>
      <c r="K234" s="12">
        <f t="shared" si="71"/>
        <v>0</v>
      </c>
      <c r="L234" s="12">
        <f t="shared" si="71"/>
        <v>-38</v>
      </c>
      <c r="M234" s="12">
        <f t="shared" si="71"/>
        <v>-38</v>
      </c>
      <c r="N234" s="12">
        <f t="shared" si="71"/>
        <v>-38</v>
      </c>
      <c r="O234" s="12">
        <f t="shared" si="71"/>
        <v>-38</v>
      </c>
      <c r="P234" s="12">
        <f t="shared" si="71"/>
        <v>-38</v>
      </c>
      <c r="Q234" s="12">
        <f t="shared" si="71"/>
        <v>-38</v>
      </c>
    </row>
    <row r="235" spans="7:28">
      <c r="G235" s="12">
        <f t="shared" si="70"/>
        <v>0</v>
      </c>
      <c r="H235" s="12">
        <f t="shared" si="71"/>
        <v>0</v>
      </c>
      <c r="I235" s="12">
        <f t="shared" si="71"/>
        <v>0</v>
      </c>
      <c r="J235" s="12">
        <f t="shared" si="71"/>
        <v>0</v>
      </c>
      <c r="K235" s="12">
        <f t="shared" si="71"/>
        <v>0</v>
      </c>
      <c r="L235" s="12">
        <f t="shared" si="71"/>
        <v>0</v>
      </c>
      <c r="M235" s="12">
        <f t="shared" si="71"/>
        <v>-38</v>
      </c>
      <c r="N235" s="12">
        <f t="shared" si="71"/>
        <v>-38</v>
      </c>
      <c r="O235" s="12">
        <f t="shared" si="71"/>
        <v>-38</v>
      </c>
      <c r="P235" s="12">
        <f t="shared" si="71"/>
        <v>-38</v>
      </c>
      <c r="Q235" s="12">
        <f t="shared" si="71"/>
        <v>-38</v>
      </c>
    </row>
    <row r="236" spans="7:28">
      <c r="G236" s="12">
        <f t="shared" si="70"/>
        <v>0</v>
      </c>
      <c r="H236" s="12">
        <f t="shared" ref="H236:Q251" si="72">IF($E85&gt;H$66,0,IF($E85&lt;H$66-365,$D85,0))</f>
        <v>0</v>
      </c>
      <c r="I236" s="12">
        <f t="shared" si="72"/>
        <v>0</v>
      </c>
      <c r="J236" s="12">
        <f t="shared" si="72"/>
        <v>0</v>
      </c>
      <c r="K236" s="12">
        <f t="shared" si="72"/>
        <v>0</v>
      </c>
      <c r="L236" s="12">
        <f t="shared" si="72"/>
        <v>0</v>
      </c>
      <c r="M236" s="12">
        <f t="shared" si="72"/>
        <v>0</v>
      </c>
      <c r="N236" s="12">
        <f t="shared" si="72"/>
        <v>-38</v>
      </c>
      <c r="O236" s="12">
        <f t="shared" si="72"/>
        <v>-38</v>
      </c>
      <c r="P236" s="12">
        <f t="shared" si="72"/>
        <v>-38</v>
      </c>
      <c r="Q236" s="12">
        <f t="shared" si="72"/>
        <v>-38</v>
      </c>
    </row>
    <row r="237" spans="7:28">
      <c r="G237" s="12">
        <f t="shared" si="70"/>
        <v>0</v>
      </c>
      <c r="H237" s="12">
        <f t="shared" si="72"/>
        <v>0</v>
      </c>
      <c r="I237" s="12">
        <f t="shared" si="72"/>
        <v>0</v>
      </c>
      <c r="J237" s="12">
        <f t="shared" si="72"/>
        <v>0</v>
      </c>
      <c r="K237" s="12">
        <f t="shared" si="72"/>
        <v>0</v>
      </c>
      <c r="L237" s="12">
        <f t="shared" si="72"/>
        <v>0</v>
      </c>
      <c r="M237" s="12">
        <f t="shared" si="72"/>
        <v>0</v>
      </c>
      <c r="N237" s="12">
        <f t="shared" si="72"/>
        <v>0</v>
      </c>
      <c r="O237" s="12">
        <f t="shared" si="72"/>
        <v>0</v>
      </c>
      <c r="P237" s="12">
        <f t="shared" si="72"/>
        <v>-500</v>
      </c>
      <c r="Q237" s="12">
        <f t="shared" si="72"/>
        <v>-500</v>
      </c>
    </row>
    <row r="238" spans="7:28">
      <c r="G238" s="12">
        <f t="shared" si="70"/>
        <v>0</v>
      </c>
      <c r="H238" s="12">
        <f t="shared" si="72"/>
        <v>0</v>
      </c>
      <c r="I238" s="12">
        <f t="shared" si="72"/>
        <v>0</v>
      </c>
      <c r="J238" s="12">
        <f t="shared" si="72"/>
        <v>0</v>
      </c>
      <c r="K238" s="12">
        <f t="shared" si="72"/>
        <v>0</v>
      </c>
      <c r="L238" s="12">
        <f t="shared" si="72"/>
        <v>0</v>
      </c>
      <c r="M238" s="12">
        <f t="shared" si="72"/>
        <v>0</v>
      </c>
      <c r="N238" s="12">
        <f t="shared" si="72"/>
        <v>0</v>
      </c>
      <c r="O238" s="12">
        <f t="shared" si="72"/>
        <v>0</v>
      </c>
      <c r="P238" s="12">
        <f t="shared" si="72"/>
        <v>0</v>
      </c>
      <c r="Q238" s="12">
        <f t="shared" si="72"/>
        <v>0</v>
      </c>
    </row>
    <row r="239" spans="7:28">
      <c r="G239" s="12">
        <f t="shared" si="70"/>
        <v>0</v>
      </c>
      <c r="H239" s="12">
        <f t="shared" si="72"/>
        <v>0</v>
      </c>
      <c r="I239" s="12">
        <f t="shared" si="72"/>
        <v>0</v>
      </c>
      <c r="J239" s="12">
        <f t="shared" si="72"/>
        <v>0</v>
      </c>
      <c r="K239" s="12">
        <f t="shared" si="72"/>
        <v>0</v>
      </c>
      <c r="L239" s="12">
        <f t="shared" si="72"/>
        <v>0</v>
      </c>
      <c r="M239" s="12">
        <f t="shared" si="72"/>
        <v>0</v>
      </c>
      <c r="N239" s="12">
        <f t="shared" si="72"/>
        <v>0</v>
      </c>
      <c r="O239" s="12">
        <f t="shared" si="72"/>
        <v>0</v>
      </c>
      <c r="P239" s="12">
        <f t="shared" si="72"/>
        <v>0</v>
      </c>
      <c r="Q239" s="12">
        <f t="shared" si="72"/>
        <v>0</v>
      </c>
    </row>
    <row r="240" spans="7:28">
      <c r="G240" s="12">
        <f t="shared" si="70"/>
        <v>0</v>
      </c>
      <c r="H240" s="12">
        <f t="shared" si="72"/>
        <v>0</v>
      </c>
      <c r="I240" s="12">
        <f t="shared" si="72"/>
        <v>0</v>
      </c>
      <c r="J240" s="12">
        <f t="shared" si="72"/>
        <v>0</v>
      </c>
      <c r="K240" s="12">
        <f t="shared" si="72"/>
        <v>0</v>
      </c>
      <c r="L240" s="12">
        <f t="shared" si="72"/>
        <v>0</v>
      </c>
      <c r="M240" s="12">
        <f t="shared" si="72"/>
        <v>0</v>
      </c>
      <c r="N240" s="12">
        <f t="shared" si="72"/>
        <v>0</v>
      </c>
      <c r="O240" s="12">
        <f t="shared" si="72"/>
        <v>0</v>
      </c>
      <c r="P240" s="12">
        <f t="shared" si="72"/>
        <v>0</v>
      </c>
      <c r="Q240" s="12">
        <f t="shared" si="72"/>
        <v>0</v>
      </c>
    </row>
    <row r="241" spans="7:17">
      <c r="G241" s="12">
        <f t="shared" si="70"/>
        <v>0</v>
      </c>
      <c r="H241" s="12">
        <f t="shared" si="72"/>
        <v>0</v>
      </c>
      <c r="I241" s="12">
        <f t="shared" si="72"/>
        <v>0</v>
      </c>
      <c r="J241" s="12">
        <f t="shared" si="72"/>
        <v>0</v>
      </c>
      <c r="K241" s="12">
        <f t="shared" si="72"/>
        <v>0</v>
      </c>
      <c r="L241" s="12">
        <f t="shared" si="72"/>
        <v>0</v>
      </c>
      <c r="M241" s="12">
        <f t="shared" si="72"/>
        <v>0</v>
      </c>
      <c r="N241" s="12">
        <f t="shared" si="72"/>
        <v>0</v>
      </c>
      <c r="O241" s="12">
        <f t="shared" si="72"/>
        <v>0</v>
      </c>
      <c r="P241" s="12">
        <f t="shared" si="72"/>
        <v>0</v>
      </c>
      <c r="Q241" s="12">
        <f t="shared" si="72"/>
        <v>0</v>
      </c>
    </row>
    <row r="242" spans="7:17">
      <c r="G242" s="12">
        <f t="shared" si="70"/>
        <v>0</v>
      </c>
      <c r="H242" s="12">
        <f t="shared" si="72"/>
        <v>0</v>
      </c>
      <c r="I242" s="12">
        <f t="shared" si="72"/>
        <v>0</v>
      </c>
      <c r="J242" s="12">
        <f t="shared" si="72"/>
        <v>0</v>
      </c>
      <c r="K242" s="12">
        <f t="shared" si="72"/>
        <v>0</v>
      </c>
      <c r="L242" s="12">
        <f t="shared" si="72"/>
        <v>0</v>
      </c>
      <c r="M242" s="12">
        <f t="shared" si="72"/>
        <v>0</v>
      </c>
      <c r="N242" s="12">
        <f t="shared" si="72"/>
        <v>0</v>
      </c>
      <c r="O242" s="12">
        <f t="shared" si="72"/>
        <v>0</v>
      </c>
      <c r="P242" s="12">
        <f t="shared" si="72"/>
        <v>0</v>
      </c>
      <c r="Q242" s="12">
        <f t="shared" si="72"/>
        <v>0</v>
      </c>
    </row>
    <row r="243" spans="7:17">
      <c r="G243" s="12">
        <f t="shared" si="70"/>
        <v>0</v>
      </c>
      <c r="H243" s="12">
        <f t="shared" si="72"/>
        <v>0</v>
      </c>
      <c r="I243" s="12">
        <f t="shared" si="72"/>
        <v>0</v>
      </c>
      <c r="J243" s="12">
        <f t="shared" si="72"/>
        <v>0</v>
      </c>
      <c r="K243" s="12">
        <f t="shared" si="72"/>
        <v>0</v>
      </c>
      <c r="L243" s="12">
        <f t="shared" si="72"/>
        <v>0</v>
      </c>
      <c r="M243" s="12">
        <f t="shared" si="72"/>
        <v>0</v>
      </c>
      <c r="N243" s="12">
        <f t="shared" si="72"/>
        <v>0</v>
      </c>
      <c r="O243" s="12">
        <f t="shared" si="72"/>
        <v>0</v>
      </c>
      <c r="P243" s="12">
        <f t="shared" si="72"/>
        <v>0</v>
      </c>
      <c r="Q243" s="12">
        <f t="shared" si="72"/>
        <v>0</v>
      </c>
    </row>
    <row r="244" spans="7:17">
      <c r="G244" s="12">
        <f t="shared" si="70"/>
        <v>0</v>
      </c>
      <c r="H244" s="12">
        <f t="shared" si="72"/>
        <v>0</v>
      </c>
      <c r="I244" s="12">
        <f t="shared" si="72"/>
        <v>0</v>
      </c>
      <c r="J244" s="12">
        <f t="shared" si="72"/>
        <v>0</v>
      </c>
      <c r="K244" s="12">
        <f t="shared" si="72"/>
        <v>0</v>
      </c>
      <c r="L244" s="12">
        <f t="shared" si="72"/>
        <v>0</v>
      </c>
      <c r="M244" s="12">
        <f t="shared" si="72"/>
        <v>0</v>
      </c>
      <c r="N244" s="12">
        <f t="shared" si="72"/>
        <v>0</v>
      </c>
      <c r="O244" s="12">
        <f t="shared" si="72"/>
        <v>0</v>
      </c>
      <c r="P244" s="12">
        <f t="shared" si="72"/>
        <v>0</v>
      </c>
      <c r="Q244" s="12">
        <f t="shared" si="72"/>
        <v>0</v>
      </c>
    </row>
    <row r="245" spans="7:17">
      <c r="G245" s="12">
        <f t="shared" si="70"/>
        <v>0</v>
      </c>
      <c r="H245" s="12">
        <f t="shared" si="72"/>
        <v>0</v>
      </c>
      <c r="I245" s="12">
        <f t="shared" si="72"/>
        <v>0</v>
      </c>
      <c r="J245" s="12">
        <f t="shared" si="72"/>
        <v>0</v>
      </c>
      <c r="K245" s="12">
        <f t="shared" si="72"/>
        <v>0</v>
      </c>
      <c r="L245" s="12">
        <f t="shared" si="72"/>
        <v>0</v>
      </c>
      <c r="M245" s="12">
        <f t="shared" si="72"/>
        <v>0</v>
      </c>
      <c r="N245" s="12">
        <f t="shared" si="72"/>
        <v>0</v>
      </c>
      <c r="O245" s="12">
        <f t="shared" si="72"/>
        <v>0</v>
      </c>
      <c r="P245" s="12">
        <f t="shared" si="72"/>
        <v>0</v>
      </c>
      <c r="Q245" s="12">
        <f t="shared" si="72"/>
        <v>0</v>
      </c>
    </row>
    <row r="246" spans="7:17">
      <c r="G246" s="12">
        <f t="shared" si="70"/>
        <v>0</v>
      </c>
      <c r="H246" s="12">
        <f t="shared" si="72"/>
        <v>0</v>
      </c>
      <c r="I246" s="12">
        <f t="shared" si="72"/>
        <v>0</v>
      </c>
      <c r="J246" s="12">
        <f t="shared" si="72"/>
        <v>0</v>
      </c>
      <c r="K246" s="12">
        <f t="shared" si="72"/>
        <v>0</v>
      </c>
      <c r="L246" s="12">
        <f t="shared" si="72"/>
        <v>0</v>
      </c>
      <c r="M246" s="12">
        <f t="shared" si="72"/>
        <v>0</v>
      </c>
      <c r="N246" s="12">
        <f t="shared" si="72"/>
        <v>0</v>
      </c>
      <c r="O246" s="12">
        <f t="shared" si="72"/>
        <v>0</v>
      </c>
      <c r="P246" s="12">
        <f t="shared" si="72"/>
        <v>0</v>
      </c>
      <c r="Q246" s="12">
        <f t="shared" si="72"/>
        <v>0</v>
      </c>
    </row>
    <row r="247" spans="7:17">
      <c r="G247" s="12">
        <f t="shared" si="70"/>
        <v>0</v>
      </c>
      <c r="H247" s="12">
        <f t="shared" si="72"/>
        <v>0</v>
      </c>
      <c r="I247" s="12">
        <f t="shared" si="72"/>
        <v>0</v>
      </c>
      <c r="J247" s="12">
        <f t="shared" si="72"/>
        <v>0</v>
      </c>
      <c r="K247" s="12">
        <f t="shared" si="72"/>
        <v>0</v>
      </c>
      <c r="L247" s="12">
        <f t="shared" si="72"/>
        <v>0</v>
      </c>
      <c r="M247" s="12">
        <f t="shared" si="72"/>
        <v>0</v>
      </c>
      <c r="N247" s="12">
        <f t="shared" si="72"/>
        <v>0</v>
      </c>
      <c r="O247" s="12">
        <f t="shared" si="72"/>
        <v>0</v>
      </c>
      <c r="P247" s="12">
        <f t="shared" si="72"/>
        <v>0</v>
      </c>
      <c r="Q247" s="12">
        <f t="shared" si="72"/>
        <v>0</v>
      </c>
    </row>
    <row r="248" spans="7:17">
      <c r="G248" s="12">
        <f t="shared" si="70"/>
        <v>0</v>
      </c>
      <c r="H248" s="12">
        <f t="shared" si="72"/>
        <v>0</v>
      </c>
      <c r="I248" s="12">
        <f t="shared" si="72"/>
        <v>0</v>
      </c>
      <c r="J248" s="12">
        <f t="shared" si="72"/>
        <v>0</v>
      </c>
      <c r="K248" s="12">
        <f t="shared" si="72"/>
        <v>0</v>
      </c>
      <c r="L248" s="12">
        <f t="shared" si="72"/>
        <v>0</v>
      </c>
      <c r="M248" s="12">
        <f t="shared" si="72"/>
        <v>0</v>
      </c>
      <c r="N248" s="12">
        <f t="shared" si="72"/>
        <v>0</v>
      </c>
      <c r="O248" s="12">
        <f t="shared" si="72"/>
        <v>0</v>
      </c>
      <c r="P248" s="12">
        <f t="shared" si="72"/>
        <v>0</v>
      </c>
      <c r="Q248" s="12">
        <f t="shared" si="72"/>
        <v>0</v>
      </c>
    </row>
    <row r="249" spans="7:17">
      <c r="G249" s="12">
        <f t="shared" si="70"/>
        <v>0</v>
      </c>
      <c r="H249" s="12">
        <f t="shared" si="72"/>
        <v>0</v>
      </c>
      <c r="I249" s="12">
        <f t="shared" si="72"/>
        <v>0</v>
      </c>
      <c r="J249" s="12">
        <f t="shared" si="72"/>
        <v>0</v>
      </c>
      <c r="K249" s="12">
        <f t="shared" si="72"/>
        <v>0</v>
      </c>
      <c r="L249" s="12">
        <f t="shared" si="72"/>
        <v>0</v>
      </c>
      <c r="M249" s="12">
        <f t="shared" si="72"/>
        <v>0</v>
      </c>
      <c r="N249" s="12">
        <f t="shared" si="72"/>
        <v>0</v>
      </c>
      <c r="O249" s="12">
        <f t="shared" si="72"/>
        <v>0</v>
      </c>
      <c r="P249" s="12">
        <f t="shared" si="72"/>
        <v>0</v>
      </c>
      <c r="Q249" s="12">
        <f t="shared" si="72"/>
        <v>0</v>
      </c>
    </row>
    <row r="250" spans="7:17">
      <c r="G250" s="12">
        <f t="shared" si="70"/>
        <v>0</v>
      </c>
      <c r="H250" s="12">
        <f t="shared" si="72"/>
        <v>0</v>
      </c>
      <c r="I250" s="12">
        <f t="shared" si="72"/>
        <v>0</v>
      </c>
      <c r="J250" s="12">
        <f t="shared" si="72"/>
        <v>0</v>
      </c>
      <c r="K250" s="12">
        <f t="shared" si="72"/>
        <v>0</v>
      </c>
      <c r="L250" s="12">
        <f t="shared" si="72"/>
        <v>0</v>
      </c>
      <c r="M250" s="12">
        <f t="shared" si="72"/>
        <v>0</v>
      </c>
      <c r="N250" s="12">
        <f t="shared" si="72"/>
        <v>0</v>
      </c>
      <c r="O250" s="12">
        <f t="shared" si="72"/>
        <v>0</v>
      </c>
      <c r="P250" s="12">
        <f t="shared" si="72"/>
        <v>0</v>
      </c>
      <c r="Q250" s="12">
        <f t="shared" si="72"/>
        <v>0</v>
      </c>
    </row>
    <row r="251" spans="7:17">
      <c r="G251" s="12">
        <f t="shared" si="70"/>
        <v>0</v>
      </c>
      <c r="H251" s="12">
        <f t="shared" si="72"/>
        <v>0</v>
      </c>
      <c r="I251" s="12">
        <f t="shared" si="72"/>
        <v>0</v>
      </c>
      <c r="J251" s="12">
        <f t="shared" si="72"/>
        <v>0</v>
      </c>
      <c r="K251" s="12">
        <f t="shared" si="72"/>
        <v>0</v>
      </c>
      <c r="L251" s="12">
        <f t="shared" si="72"/>
        <v>0</v>
      </c>
      <c r="M251" s="12">
        <f t="shared" si="72"/>
        <v>0</v>
      </c>
      <c r="N251" s="12">
        <f t="shared" si="72"/>
        <v>0</v>
      </c>
      <c r="O251" s="12">
        <f t="shared" si="72"/>
        <v>0</v>
      </c>
      <c r="P251" s="12">
        <f t="shared" si="72"/>
        <v>0</v>
      </c>
      <c r="Q251" s="12">
        <f t="shared" si="72"/>
        <v>0</v>
      </c>
    </row>
    <row r="252" spans="7:17">
      <c r="G252" s="12">
        <f t="shared" si="70"/>
        <v>0</v>
      </c>
      <c r="H252" s="12">
        <f t="shared" ref="H252:Q265" si="73">IF($E101&gt;H$66,0,IF($E101&lt;H$66-365,$D101,0))</f>
        <v>0</v>
      </c>
      <c r="I252" s="12">
        <f t="shared" si="73"/>
        <v>0</v>
      </c>
      <c r="J252" s="12">
        <f t="shared" si="73"/>
        <v>0</v>
      </c>
      <c r="K252" s="12">
        <f t="shared" si="73"/>
        <v>0</v>
      </c>
      <c r="L252" s="12">
        <f t="shared" si="73"/>
        <v>0</v>
      </c>
      <c r="M252" s="12">
        <f t="shared" si="73"/>
        <v>0</v>
      </c>
      <c r="N252" s="12">
        <f t="shared" si="73"/>
        <v>0</v>
      </c>
      <c r="O252" s="12">
        <f t="shared" si="73"/>
        <v>0</v>
      </c>
      <c r="P252" s="12">
        <f t="shared" si="73"/>
        <v>0</v>
      </c>
      <c r="Q252" s="12">
        <f t="shared" si="73"/>
        <v>0</v>
      </c>
    </row>
    <row r="253" spans="7:17">
      <c r="G253" s="12">
        <f t="shared" si="70"/>
        <v>0</v>
      </c>
      <c r="H253" s="12">
        <f t="shared" si="73"/>
        <v>0</v>
      </c>
      <c r="I253" s="12">
        <f t="shared" si="73"/>
        <v>0</v>
      </c>
      <c r="J253" s="12">
        <f t="shared" si="73"/>
        <v>0</v>
      </c>
      <c r="K253" s="12">
        <f t="shared" si="73"/>
        <v>0</v>
      </c>
      <c r="L253" s="12">
        <f t="shared" si="73"/>
        <v>0</v>
      </c>
      <c r="M253" s="12">
        <f t="shared" si="73"/>
        <v>0</v>
      </c>
      <c r="N253" s="12">
        <f t="shared" si="73"/>
        <v>0</v>
      </c>
      <c r="O253" s="12">
        <f t="shared" si="73"/>
        <v>0</v>
      </c>
      <c r="P253" s="12">
        <f t="shared" si="73"/>
        <v>0</v>
      </c>
      <c r="Q253" s="12">
        <f t="shared" si="73"/>
        <v>0</v>
      </c>
    </row>
    <row r="254" spans="7:17">
      <c r="G254" s="12">
        <f t="shared" si="70"/>
        <v>0</v>
      </c>
      <c r="H254" s="12">
        <f t="shared" si="73"/>
        <v>0</v>
      </c>
      <c r="I254" s="12">
        <f t="shared" si="73"/>
        <v>0</v>
      </c>
      <c r="J254" s="12">
        <f t="shared" si="73"/>
        <v>0</v>
      </c>
      <c r="K254" s="12">
        <f t="shared" si="73"/>
        <v>0</v>
      </c>
      <c r="L254" s="12">
        <f t="shared" si="73"/>
        <v>0</v>
      </c>
      <c r="M254" s="12">
        <f t="shared" si="73"/>
        <v>0</v>
      </c>
      <c r="N254" s="12">
        <f t="shared" si="73"/>
        <v>0</v>
      </c>
      <c r="O254" s="12">
        <f t="shared" si="73"/>
        <v>0</v>
      </c>
      <c r="P254" s="12">
        <f t="shared" si="73"/>
        <v>0</v>
      </c>
      <c r="Q254" s="12">
        <f t="shared" si="73"/>
        <v>0</v>
      </c>
    </row>
    <row r="255" spans="7:17">
      <c r="G255" s="12">
        <f t="shared" si="70"/>
        <v>0</v>
      </c>
      <c r="H255" s="12">
        <f t="shared" si="73"/>
        <v>0</v>
      </c>
      <c r="I255" s="12">
        <f t="shared" si="73"/>
        <v>0</v>
      </c>
      <c r="J255" s="12">
        <f t="shared" si="73"/>
        <v>0</v>
      </c>
      <c r="K255" s="12">
        <f t="shared" si="73"/>
        <v>0</v>
      </c>
      <c r="L255" s="12">
        <f t="shared" si="73"/>
        <v>0</v>
      </c>
      <c r="M255" s="12">
        <f t="shared" si="73"/>
        <v>0</v>
      </c>
      <c r="N255" s="12">
        <f t="shared" si="73"/>
        <v>0</v>
      </c>
      <c r="O255" s="12">
        <f t="shared" si="73"/>
        <v>0</v>
      </c>
      <c r="P255" s="12">
        <f t="shared" si="73"/>
        <v>0</v>
      </c>
      <c r="Q255" s="12">
        <f t="shared" si="73"/>
        <v>0</v>
      </c>
    </row>
    <row r="256" spans="7:17">
      <c r="G256" s="12">
        <f t="shared" si="70"/>
        <v>0</v>
      </c>
      <c r="H256" s="12">
        <f t="shared" si="73"/>
        <v>0</v>
      </c>
      <c r="I256" s="12">
        <f t="shared" si="73"/>
        <v>0</v>
      </c>
      <c r="J256" s="12">
        <f t="shared" si="73"/>
        <v>0</v>
      </c>
      <c r="K256" s="12">
        <f t="shared" si="73"/>
        <v>0</v>
      </c>
      <c r="L256" s="12">
        <f t="shared" si="73"/>
        <v>0</v>
      </c>
      <c r="M256" s="12">
        <f t="shared" si="73"/>
        <v>0</v>
      </c>
      <c r="N256" s="12">
        <f t="shared" si="73"/>
        <v>0</v>
      </c>
      <c r="O256" s="12">
        <f t="shared" si="73"/>
        <v>0</v>
      </c>
      <c r="P256" s="12">
        <f t="shared" si="73"/>
        <v>0</v>
      </c>
      <c r="Q256" s="12">
        <f t="shared" si="73"/>
        <v>0</v>
      </c>
    </row>
    <row r="257" spans="5:17">
      <c r="G257" s="12">
        <f t="shared" si="70"/>
        <v>0</v>
      </c>
      <c r="H257" s="12">
        <f t="shared" si="73"/>
        <v>0</v>
      </c>
      <c r="I257" s="12">
        <f t="shared" si="73"/>
        <v>0</v>
      </c>
      <c r="J257" s="12">
        <f t="shared" si="73"/>
        <v>0</v>
      </c>
      <c r="K257" s="12">
        <f t="shared" si="73"/>
        <v>0</v>
      </c>
      <c r="L257" s="12">
        <f t="shared" si="73"/>
        <v>0</v>
      </c>
      <c r="M257" s="12">
        <f t="shared" si="73"/>
        <v>0</v>
      </c>
      <c r="N257" s="12">
        <f t="shared" si="73"/>
        <v>0</v>
      </c>
      <c r="O257" s="12">
        <f t="shared" si="73"/>
        <v>0</v>
      </c>
      <c r="P257" s="12">
        <f t="shared" si="73"/>
        <v>0</v>
      </c>
      <c r="Q257" s="12">
        <f t="shared" si="73"/>
        <v>0</v>
      </c>
    </row>
    <row r="258" spans="5:17">
      <c r="G258" s="12">
        <f t="shared" si="70"/>
        <v>0</v>
      </c>
      <c r="H258" s="12">
        <f t="shared" si="73"/>
        <v>0</v>
      </c>
      <c r="I258" s="12">
        <f t="shared" si="73"/>
        <v>0</v>
      </c>
      <c r="J258" s="12">
        <f t="shared" si="73"/>
        <v>0</v>
      </c>
      <c r="K258" s="12">
        <f t="shared" si="73"/>
        <v>0</v>
      </c>
      <c r="L258" s="12">
        <f t="shared" si="73"/>
        <v>0</v>
      </c>
      <c r="M258" s="12">
        <f t="shared" si="73"/>
        <v>0</v>
      </c>
      <c r="N258" s="12">
        <f t="shared" si="73"/>
        <v>0</v>
      </c>
      <c r="O258" s="12">
        <f t="shared" si="73"/>
        <v>0</v>
      </c>
      <c r="P258" s="12">
        <f t="shared" si="73"/>
        <v>0</v>
      </c>
      <c r="Q258" s="12">
        <f t="shared" si="73"/>
        <v>0</v>
      </c>
    </row>
    <row r="259" spans="5:17">
      <c r="G259" s="12">
        <f t="shared" si="70"/>
        <v>0</v>
      </c>
      <c r="H259" s="12">
        <f t="shared" si="73"/>
        <v>0</v>
      </c>
      <c r="I259" s="12">
        <f t="shared" si="73"/>
        <v>0</v>
      </c>
      <c r="J259" s="12">
        <f t="shared" si="73"/>
        <v>0</v>
      </c>
      <c r="K259" s="12">
        <f t="shared" si="73"/>
        <v>0</v>
      </c>
      <c r="L259" s="12">
        <f t="shared" si="73"/>
        <v>0</v>
      </c>
      <c r="M259" s="12">
        <f t="shared" si="73"/>
        <v>0</v>
      </c>
      <c r="N259" s="12">
        <f t="shared" si="73"/>
        <v>0</v>
      </c>
      <c r="O259" s="12">
        <f t="shared" si="73"/>
        <v>0</v>
      </c>
      <c r="P259" s="12">
        <f t="shared" si="73"/>
        <v>0</v>
      </c>
      <c r="Q259" s="12">
        <f t="shared" si="73"/>
        <v>0</v>
      </c>
    </row>
    <row r="260" spans="5:17">
      <c r="G260" s="12">
        <f t="shared" si="70"/>
        <v>0</v>
      </c>
      <c r="H260" s="12">
        <f t="shared" si="73"/>
        <v>0</v>
      </c>
      <c r="I260" s="12">
        <f t="shared" si="73"/>
        <v>0</v>
      </c>
      <c r="J260" s="12">
        <f t="shared" si="73"/>
        <v>0</v>
      </c>
      <c r="K260" s="12">
        <f t="shared" si="73"/>
        <v>0</v>
      </c>
      <c r="L260" s="12">
        <f t="shared" si="73"/>
        <v>0</v>
      </c>
      <c r="M260" s="12">
        <f t="shared" si="73"/>
        <v>0</v>
      </c>
      <c r="N260" s="12">
        <f t="shared" si="73"/>
        <v>0</v>
      </c>
      <c r="O260" s="12">
        <f t="shared" si="73"/>
        <v>0</v>
      </c>
      <c r="P260" s="12">
        <f t="shared" si="73"/>
        <v>0</v>
      </c>
      <c r="Q260" s="12">
        <f t="shared" si="73"/>
        <v>0</v>
      </c>
    </row>
    <row r="261" spans="5:17">
      <c r="G261" s="12">
        <f t="shared" si="70"/>
        <v>0</v>
      </c>
      <c r="H261" s="12">
        <f t="shared" si="73"/>
        <v>0</v>
      </c>
      <c r="I261" s="12">
        <f t="shared" si="73"/>
        <v>0</v>
      </c>
      <c r="J261" s="12">
        <f t="shared" si="73"/>
        <v>0</v>
      </c>
      <c r="K261" s="12">
        <f t="shared" si="73"/>
        <v>0</v>
      </c>
      <c r="L261" s="12">
        <f t="shared" si="73"/>
        <v>0</v>
      </c>
      <c r="M261" s="12">
        <f t="shared" si="73"/>
        <v>0</v>
      </c>
      <c r="N261" s="12">
        <f t="shared" si="73"/>
        <v>0</v>
      </c>
      <c r="O261" s="12">
        <f t="shared" si="73"/>
        <v>0</v>
      </c>
      <c r="P261" s="12">
        <f t="shared" si="73"/>
        <v>0</v>
      </c>
      <c r="Q261" s="12">
        <f t="shared" si="73"/>
        <v>0</v>
      </c>
    </row>
    <row r="262" spans="5:17">
      <c r="G262" s="12">
        <f t="shared" si="70"/>
        <v>0</v>
      </c>
      <c r="H262" s="12">
        <f t="shared" si="73"/>
        <v>0</v>
      </c>
      <c r="I262" s="12">
        <f t="shared" si="73"/>
        <v>0</v>
      </c>
      <c r="J262" s="12">
        <f t="shared" si="73"/>
        <v>0</v>
      </c>
      <c r="K262" s="12">
        <f t="shared" si="73"/>
        <v>0</v>
      </c>
      <c r="L262" s="12">
        <f t="shared" si="73"/>
        <v>0</v>
      </c>
      <c r="M262" s="12">
        <f t="shared" si="73"/>
        <v>0</v>
      </c>
      <c r="N262" s="12">
        <f t="shared" si="73"/>
        <v>0</v>
      </c>
      <c r="O262" s="12">
        <f t="shared" si="73"/>
        <v>0</v>
      </c>
      <c r="P262" s="12">
        <f t="shared" si="73"/>
        <v>0</v>
      </c>
      <c r="Q262" s="12">
        <f t="shared" si="73"/>
        <v>0</v>
      </c>
    </row>
    <row r="263" spans="5:17">
      <c r="G263" s="12">
        <f t="shared" si="70"/>
        <v>0</v>
      </c>
      <c r="H263" s="12">
        <f t="shared" si="73"/>
        <v>0</v>
      </c>
      <c r="I263" s="12">
        <f t="shared" si="73"/>
        <v>0</v>
      </c>
      <c r="J263" s="12">
        <f t="shared" si="73"/>
        <v>0</v>
      </c>
      <c r="K263" s="12">
        <f t="shared" si="73"/>
        <v>0</v>
      </c>
      <c r="L263" s="12">
        <f t="shared" si="73"/>
        <v>0</v>
      </c>
      <c r="M263" s="12">
        <f t="shared" si="73"/>
        <v>0</v>
      </c>
      <c r="N263" s="12">
        <f t="shared" si="73"/>
        <v>0</v>
      </c>
      <c r="O263" s="12">
        <f t="shared" si="73"/>
        <v>0</v>
      </c>
      <c r="P263" s="12">
        <f t="shared" si="73"/>
        <v>0</v>
      </c>
      <c r="Q263" s="12">
        <f t="shared" si="73"/>
        <v>0</v>
      </c>
    </row>
    <row r="264" spans="5:17">
      <c r="G264" s="12">
        <f t="shared" si="70"/>
        <v>0</v>
      </c>
      <c r="H264" s="12">
        <f t="shared" si="73"/>
        <v>0</v>
      </c>
      <c r="I264" s="12">
        <f t="shared" si="73"/>
        <v>0</v>
      </c>
      <c r="J264" s="12">
        <f t="shared" si="73"/>
        <v>0</v>
      </c>
      <c r="K264" s="12">
        <f t="shared" si="73"/>
        <v>0</v>
      </c>
      <c r="L264" s="12">
        <f t="shared" si="73"/>
        <v>0</v>
      </c>
      <c r="M264" s="12">
        <f t="shared" si="73"/>
        <v>0</v>
      </c>
      <c r="N264" s="12">
        <f t="shared" si="73"/>
        <v>0</v>
      </c>
      <c r="O264" s="12">
        <f t="shared" si="73"/>
        <v>0</v>
      </c>
      <c r="P264" s="12">
        <f t="shared" si="73"/>
        <v>0</v>
      </c>
      <c r="Q264" s="12">
        <f t="shared" si="73"/>
        <v>0</v>
      </c>
    </row>
    <row r="265" spans="5:17">
      <c r="G265" s="12">
        <f t="shared" si="70"/>
        <v>0</v>
      </c>
      <c r="H265" s="12">
        <f t="shared" si="73"/>
        <v>0</v>
      </c>
      <c r="I265" s="12">
        <f t="shared" si="73"/>
        <v>0</v>
      </c>
      <c r="J265" s="12">
        <f t="shared" si="73"/>
        <v>0</v>
      </c>
      <c r="K265" s="12">
        <f t="shared" si="73"/>
        <v>0</v>
      </c>
      <c r="L265" s="12">
        <f t="shared" si="73"/>
        <v>0</v>
      </c>
      <c r="M265" s="12">
        <f t="shared" si="73"/>
        <v>0</v>
      </c>
      <c r="N265" s="12">
        <f t="shared" si="73"/>
        <v>0</v>
      </c>
      <c r="O265" s="12">
        <f t="shared" si="73"/>
        <v>0</v>
      </c>
      <c r="P265" s="12">
        <f t="shared" si="73"/>
        <v>0</v>
      </c>
      <c r="Q265" s="12">
        <f t="shared" si="73"/>
        <v>0</v>
      </c>
    </row>
    <row r="267" spans="5:17">
      <c r="F267" s="187" t="s">
        <v>493</v>
      </c>
      <c r="G267" s="187">
        <f>SUM(G220:G265)</f>
        <v>0</v>
      </c>
      <c r="H267" s="187">
        <f t="shared" ref="H267:Q267" si="74">SUM(H220:H265)</f>
        <v>0</v>
      </c>
      <c r="I267" s="187">
        <f t="shared" si="74"/>
        <v>0</v>
      </c>
      <c r="J267" s="187">
        <f t="shared" si="74"/>
        <v>-488</v>
      </c>
      <c r="K267" s="187">
        <f t="shared" si="74"/>
        <v>-526</v>
      </c>
      <c r="L267" s="187">
        <f t="shared" si="74"/>
        <v>-564</v>
      </c>
      <c r="M267" s="187">
        <f t="shared" si="74"/>
        <v>-602</v>
      </c>
      <c r="N267" s="187">
        <f t="shared" si="74"/>
        <v>-640</v>
      </c>
      <c r="O267" s="187">
        <f t="shared" si="74"/>
        <v>-640</v>
      </c>
      <c r="P267" s="187">
        <f t="shared" si="74"/>
        <v>-1140</v>
      </c>
      <c r="Q267" s="187">
        <f t="shared" si="74"/>
        <v>-1140</v>
      </c>
    </row>
    <row r="271" spans="5:17">
      <c r="F271" s="207" t="s">
        <v>486</v>
      </c>
      <c r="G271" s="361">
        <f>G66</f>
        <v>45473</v>
      </c>
      <c r="H271" s="361">
        <f>DATE(YEAR(G271)+1,MONTH(G271),DAY(G271))</f>
        <v>45838</v>
      </c>
      <c r="I271" s="361">
        <f t="shared" ref="I271:Q271" si="75">DATE(YEAR(H271)+1,MONTH(H271),DAY(H271))</f>
        <v>46203</v>
      </c>
      <c r="J271" s="361">
        <f t="shared" si="75"/>
        <v>46568</v>
      </c>
      <c r="K271" s="361">
        <f t="shared" si="75"/>
        <v>46934</v>
      </c>
      <c r="L271" s="361">
        <f t="shared" si="75"/>
        <v>47299</v>
      </c>
      <c r="M271" s="361">
        <f t="shared" si="75"/>
        <v>47664</v>
      </c>
      <c r="N271" s="361">
        <f t="shared" si="75"/>
        <v>48029</v>
      </c>
      <c r="O271" s="361">
        <f t="shared" si="75"/>
        <v>48395</v>
      </c>
      <c r="P271" s="361">
        <f t="shared" si="75"/>
        <v>48760</v>
      </c>
      <c r="Q271" s="361">
        <f t="shared" si="75"/>
        <v>49125</v>
      </c>
    </row>
    <row r="272" spans="5:17">
      <c r="E272" s="12" t="s">
        <v>399</v>
      </c>
      <c r="F272" s="348">
        <f t="shared" ref="F272:Q272" si="76">Z216</f>
        <v>5.1606552665612879</v>
      </c>
      <c r="G272" s="348">
        <f>AA216</f>
        <v>5.1606552665612879</v>
      </c>
      <c r="H272" s="348">
        <f t="shared" si="76"/>
        <v>5.1749719079986978</v>
      </c>
      <c r="I272" s="348">
        <f t="shared" si="76"/>
        <v>5.5615212268087628</v>
      </c>
      <c r="J272" s="348">
        <f t="shared" si="76"/>
        <v>5.6767163173884292</v>
      </c>
      <c r="K272" s="348">
        <f t="shared" si="76"/>
        <v>5.6855984147607961</v>
      </c>
      <c r="L272" s="348">
        <f t="shared" si="76"/>
        <v>5.694480512133163</v>
      </c>
      <c r="M272" s="348">
        <f t="shared" si="76"/>
        <v>5.7033626095055299</v>
      </c>
      <c r="N272" s="348">
        <f t="shared" si="76"/>
        <v>5.7122447068778968</v>
      </c>
      <c r="O272" s="348">
        <f t="shared" si="76"/>
        <v>5.7122447068778968</v>
      </c>
      <c r="P272" s="348">
        <f t="shared" si="76"/>
        <v>5.8279841479797723</v>
      </c>
      <c r="Q272" s="348">
        <f t="shared" si="76"/>
        <v>5.8279841479797723</v>
      </c>
    </row>
    <row r="282" spans="7:7">
      <c r="G282" s="205">
        <f>S135</f>
        <v>0.64566190401369283</v>
      </c>
    </row>
    <row r="283" spans="7:7">
      <c r="G283" s="205" t="e">
        <f>#REF!</f>
        <v>#REF!</v>
      </c>
    </row>
    <row r="284" spans="7:7">
      <c r="G284" s="205">
        <f t="shared" ref="G284:G289" si="77">S136</f>
        <v>0</v>
      </c>
    </row>
    <row r="285" spans="7:7">
      <c r="G285" s="205">
        <f t="shared" si="77"/>
        <v>0</v>
      </c>
    </row>
    <row r="286" spans="7:7">
      <c r="G286" s="205">
        <f t="shared" si="77"/>
        <v>0</v>
      </c>
    </row>
    <row r="287" spans="7:7">
      <c r="G287" s="205">
        <f t="shared" si="77"/>
        <v>0</v>
      </c>
    </row>
    <row r="288" spans="7:7">
      <c r="G288" s="205">
        <f t="shared" si="77"/>
        <v>0</v>
      </c>
    </row>
    <row r="289" spans="7:7">
      <c r="G289" s="205">
        <f t="shared" si="77"/>
        <v>0</v>
      </c>
    </row>
  </sheetData>
  <sheetProtection formatCells="0" formatColumns="0" formatRows="0" selectLockedCells="1"/>
  <customSheetViews>
    <customSheetView guid="{0FAFE012-8D9E-4ED0-86A4-A997E430971B}" scale="70" showGridLines="0" fitToPage="1" hiddenRows="1" topLeftCell="A16">
      <selection activeCell="F57" sqref="F57"/>
      <pageMargins left="0.74803149606299213" right="0.74803149606299213" top="0.51181102362204722" bottom="0.62992125984251968" header="0.51181102362204722" footer="0.51181102362204722"/>
      <pageSetup paperSize="9" scale="22" orientation="landscape" r:id="rId1"/>
      <headerFooter alignWithMargins="0"/>
    </customSheetView>
  </customSheetViews>
  <mergeCells count="9">
    <mergeCell ref="AS156:AS164"/>
    <mergeCell ref="V164:X165"/>
    <mergeCell ref="Z164:AB164"/>
    <mergeCell ref="V216:X216"/>
    <mergeCell ref="R55:S55"/>
    <mergeCell ref="T55:U55"/>
    <mergeCell ref="V55:W55"/>
    <mergeCell ref="Z155:AC157"/>
    <mergeCell ref="AL156:AL164"/>
  </mergeCells>
  <conditionalFormatting sqref="F7:Q7 F9:Q9">
    <cfRule type="cellIs" dxfId="74" priority="1" operator="lessThan">
      <formula>0</formula>
    </cfRule>
  </conditionalFormatting>
  <conditionalFormatting sqref="F46:Q47">
    <cfRule type="cellIs" dxfId="73" priority="3" operator="lessThan">
      <formula>0</formula>
    </cfRule>
  </conditionalFormatting>
  <conditionalFormatting sqref="F50:Q50">
    <cfRule type="cellIs" dxfId="72" priority="2" operator="lessThan">
      <formula>0</formula>
    </cfRule>
  </conditionalFormatting>
  <dataValidations disablePrompts="1" count="1">
    <dataValidation type="list" allowBlank="1" showInputMessage="1" showErrorMessage="1" sqref="F141:G141" xr:uid="{CB3A9695-0595-461F-8E40-F059E0BA8A79}">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1" orientation="landscape" r:id="rId2"/>
  <headerFooter alignWithMargins="0"/>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54D00-680E-488E-9D27-11940F330AE3}">
  <sheetPr codeName="Sheet77">
    <tabColor rgb="FFF8696B"/>
  </sheetPr>
  <dimension ref="A2:G145"/>
  <sheetViews>
    <sheetView topLeftCell="A37" zoomScaleNormal="100" workbookViewId="0">
      <selection activeCell="F2" sqref="F2"/>
    </sheetView>
  </sheetViews>
  <sheetFormatPr defaultRowHeight="12.5"/>
  <cols>
    <col min="2" max="2" width="38.7265625" bestFit="1" customWidth="1"/>
    <col min="3" max="3" width="54" customWidth="1"/>
    <col min="4" max="5" width="17" customWidth="1"/>
    <col min="6" max="6" width="15.453125" customWidth="1"/>
    <col min="7" max="7" width="16.54296875" customWidth="1"/>
  </cols>
  <sheetData>
    <row r="2" spans="1:7" ht="43" thickTop="1" thickBot="1">
      <c r="A2" s="184" t="s">
        <v>494</v>
      </c>
      <c r="B2" s="184" t="s">
        <v>391</v>
      </c>
      <c r="C2" s="184" t="s">
        <v>392</v>
      </c>
      <c r="D2" s="370" t="s">
        <v>393</v>
      </c>
      <c r="E2" s="370" t="s">
        <v>394</v>
      </c>
      <c r="F2" s="370" t="s">
        <v>395</v>
      </c>
      <c r="G2" s="370" t="s">
        <v>396</v>
      </c>
    </row>
    <row r="3" spans="1:7" ht="13" thickTop="1">
      <c r="A3" t="s">
        <v>353</v>
      </c>
      <c r="B3" t="s">
        <v>403</v>
      </c>
      <c r="C3" t="s">
        <v>404</v>
      </c>
      <c r="D3" s="573">
        <v>-20</v>
      </c>
      <c r="E3" s="574"/>
      <c r="F3" s="570">
        <v>45382</v>
      </c>
      <c r="G3">
        <v>143895</v>
      </c>
    </row>
    <row r="4" spans="1:7">
      <c r="A4" t="s">
        <v>353</v>
      </c>
      <c r="B4" s="571" t="s">
        <v>405</v>
      </c>
      <c r="C4" t="s">
        <v>406</v>
      </c>
      <c r="D4" s="573">
        <v>0</v>
      </c>
      <c r="E4" s="574"/>
      <c r="F4" s="570">
        <v>45382</v>
      </c>
      <c r="G4">
        <v>30000</v>
      </c>
    </row>
    <row r="5" spans="1:7">
      <c r="A5" t="s">
        <v>353</v>
      </c>
      <c r="B5" t="s">
        <v>407</v>
      </c>
      <c r="C5" t="s">
        <v>408</v>
      </c>
      <c r="D5" s="573">
        <v>-100</v>
      </c>
      <c r="E5" s="574"/>
      <c r="F5" s="570">
        <v>45747</v>
      </c>
      <c r="G5">
        <v>143000</v>
      </c>
    </row>
    <row r="6" spans="1:7">
      <c r="A6" t="s">
        <v>353</v>
      </c>
      <c r="B6" s="577" t="s">
        <v>409</v>
      </c>
      <c r="C6" t="s">
        <v>410</v>
      </c>
      <c r="D6" s="573">
        <v>-240</v>
      </c>
      <c r="E6" s="574"/>
      <c r="F6" s="570">
        <v>45747</v>
      </c>
      <c r="G6">
        <v>81100</v>
      </c>
    </row>
    <row r="7" spans="1:7">
      <c r="A7" t="s">
        <v>353</v>
      </c>
      <c r="B7" s="577" t="s">
        <v>409</v>
      </c>
      <c r="C7" t="s">
        <v>411</v>
      </c>
      <c r="D7" s="573">
        <v>-80</v>
      </c>
      <c r="E7" s="574"/>
      <c r="F7" s="570">
        <v>45747</v>
      </c>
      <c r="G7">
        <v>168800</v>
      </c>
    </row>
    <row r="8" spans="1:7">
      <c r="A8" t="s">
        <v>353</v>
      </c>
      <c r="B8" s="577" t="s">
        <v>409</v>
      </c>
      <c r="C8" t="s">
        <v>412</v>
      </c>
      <c r="D8" s="573">
        <v>0</v>
      </c>
      <c r="E8" s="574"/>
      <c r="F8" s="570">
        <v>45747</v>
      </c>
      <c r="G8">
        <v>56300</v>
      </c>
    </row>
    <row r="9" spans="1:7">
      <c r="A9" t="s">
        <v>353</v>
      </c>
      <c r="B9" s="577" t="s">
        <v>409</v>
      </c>
      <c r="C9" t="s">
        <v>413</v>
      </c>
      <c r="D9" s="573">
        <v>-120</v>
      </c>
      <c r="E9" s="574"/>
      <c r="F9" s="570">
        <v>45747</v>
      </c>
      <c r="G9">
        <v>1897200</v>
      </c>
    </row>
    <row r="10" spans="1:7">
      <c r="A10" t="s">
        <v>353</v>
      </c>
      <c r="B10" s="578" t="s">
        <v>414</v>
      </c>
      <c r="C10" t="s">
        <v>415</v>
      </c>
      <c r="D10" s="573">
        <v>-40</v>
      </c>
      <c r="E10" s="574">
        <v>-450</v>
      </c>
      <c r="F10" s="570">
        <v>46112</v>
      </c>
      <c r="G10">
        <v>675400</v>
      </c>
    </row>
    <row r="11" spans="1:7">
      <c r="A11" t="s">
        <v>353</v>
      </c>
      <c r="B11" s="578" t="s">
        <v>416</v>
      </c>
      <c r="C11" t="s">
        <v>417</v>
      </c>
      <c r="D11" s="573">
        <v>-15</v>
      </c>
      <c r="E11" s="574"/>
      <c r="F11" s="570">
        <v>46112</v>
      </c>
      <c r="G11">
        <v>168900</v>
      </c>
    </row>
    <row r="12" spans="1:7">
      <c r="A12" t="s">
        <v>353</v>
      </c>
      <c r="B12" s="578" t="s">
        <v>418</v>
      </c>
      <c r="C12" t="s">
        <v>419</v>
      </c>
      <c r="D12" s="573">
        <v>-10</v>
      </c>
      <c r="E12" s="574"/>
      <c r="F12" s="570">
        <v>46112</v>
      </c>
      <c r="G12">
        <v>50700</v>
      </c>
    </row>
    <row r="13" spans="1:7">
      <c r="A13" t="s">
        <v>353</v>
      </c>
      <c r="B13" s="578" t="s">
        <v>418</v>
      </c>
      <c r="C13" t="s">
        <v>420</v>
      </c>
      <c r="D13" s="573">
        <v>-15</v>
      </c>
      <c r="E13" s="574"/>
      <c r="F13" s="570">
        <v>46112</v>
      </c>
      <c r="G13">
        <v>84400</v>
      </c>
    </row>
    <row r="14" spans="1:7">
      <c r="A14" t="s">
        <v>353</v>
      </c>
      <c r="B14" s="578" t="s">
        <v>418</v>
      </c>
      <c r="C14" t="s">
        <v>421</v>
      </c>
      <c r="D14" s="573">
        <v>-40</v>
      </c>
      <c r="E14" s="574"/>
      <c r="F14" s="570">
        <v>46112</v>
      </c>
      <c r="G14">
        <v>84400</v>
      </c>
    </row>
    <row r="15" spans="1:7">
      <c r="A15" t="s">
        <v>353</v>
      </c>
      <c r="B15" t="s">
        <v>422</v>
      </c>
      <c r="C15" t="s">
        <v>423</v>
      </c>
      <c r="D15" s="573">
        <v>-10</v>
      </c>
      <c r="E15" s="574">
        <v>-38</v>
      </c>
      <c r="F15" s="570">
        <v>46112</v>
      </c>
      <c r="G15">
        <f>567000+800000</f>
        <v>1367000</v>
      </c>
    </row>
    <row r="16" spans="1:7">
      <c r="A16" t="s">
        <v>353</v>
      </c>
      <c r="B16" t="s">
        <v>422</v>
      </c>
      <c r="C16" t="s">
        <v>423</v>
      </c>
      <c r="D16" s="573">
        <v>-10</v>
      </c>
      <c r="E16" s="574">
        <v>-38</v>
      </c>
      <c r="F16" s="570">
        <v>46477</v>
      </c>
      <c r="G16">
        <v>1100000</v>
      </c>
    </row>
    <row r="17" spans="1:7">
      <c r="A17" t="s">
        <v>353</v>
      </c>
      <c r="B17" t="s">
        <v>422</v>
      </c>
      <c r="C17" t="s">
        <v>423</v>
      </c>
      <c r="D17" s="573">
        <v>-10</v>
      </c>
      <c r="E17" s="574">
        <v>-38</v>
      </c>
      <c r="F17" s="570">
        <v>46843</v>
      </c>
      <c r="G17">
        <v>1100000</v>
      </c>
    </row>
    <row r="18" spans="1:7">
      <c r="A18" t="s">
        <v>353</v>
      </c>
      <c r="B18" t="s">
        <v>422</v>
      </c>
      <c r="C18" t="s">
        <v>423</v>
      </c>
      <c r="D18" s="573">
        <v>-10</v>
      </c>
      <c r="E18" s="574">
        <v>-38</v>
      </c>
      <c r="F18" s="570">
        <v>47208</v>
      </c>
      <c r="G18">
        <v>1100000</v>
      </c>
    </row>
    <row r="19" spans="1:7">
      <c r="A19" t="s">
        <v>353</v>
      </c>
      <c r="B19" t="s">
        <v>422</v>
      </c>
      <c r="C19" t="s">
        <v>423</v>
      </c>
      <c r="D19" s="573">
        <v>-10</v>
      </c>
      <c r="E19" s="574">
        <v>-38</v>
      </c>
      <c r="F19" s="570">
        <v>47573</v>
      </c>
      <c r="G19">
        <v>1100000</v>
      </c>
    </row>
    <row r="20" spans="1:7">
      <c r="A20" t="s">
        <v>353</v>
      </c>
      <c r="B20" s="571" t="s">
        <v>405</v>
      </c>
      <c r="C20" t="s">
        <v>424</v>
      </c>
      <c r="D20" s="573">
        <v>-130</v>
      </c>
      <c r="E20" s="574">
        <v>-500</v>
      </c>
      <c r="F20" s="570">
        <v>48304</v>
      </c>
      <c r="G20">
        <v>1542000</v>
      </c>
    </row>
    <row r="21" spans="1:7">
      <c r="A21" t="s">
        <v>495</v>
      </c>
      <c r="B21" t="s">
        <v>496</v>
      </c>
      <c r="C21" t="s">
        <v>497</v>
      </c>
      <c r="D21" s="573">
        <v>0</v>
      </c>
      <c r="E21" s="574"/>
      <c r="F21" s="570">
        <v>45747</v>
      </c>
      <c r="G21">
        <v>85000</v>
      </c>
    </row>
    <row r="22" spans="1:7">
      <c r="A22" t="s">
        <v>495</v>
      </c>
      <c r="B22" t="s">
        <v>498</v>
      </c>
      <c r="C22" t="s">
        <v>499</v>
      </c>
      <c r="D22" s="573"/>
      <c r="E22" s="574"/>
      <c r="F22" s="570">
        <v>46477</v>
      </c>
      <c r="G22">
        <v>250000</v>
      </c>
    </row>
    <row r="23" spans="1:7">
      <c r="A23" t="s">
        <v>495</v>
      </c>
      <c r="B23" t="s">
        <v>500</v>
      </c>
      <c r="C23" t="s">
        <v>501</v>
      </c>
      <c r="D23" s="573"/>
      <c r="E23" s="574"/>
      <c r="F23" s="570">
        <v>46112</v>
      </c>
      <c r="G23">
        <v>650000</v>
      </c>
    </row>
    <row r="24" spans="1:7">
      <c r="A24" t="s">
        <v>495</v>
      </c>
      <c r="B24" t="s">
        <v>502</v>
      </c>
      <c r="C24" t="s">
        <v>503</v>
      </c>
      <c r="D24" s="573"/>
      <c r="E24" s="574"/>
      <c r="F24" s="570">
        <v>46843</v>
      </c>
      <c r="G24">
        <v>650000</v>
      </c>
    </row>
    <row r="25" spans="1:7">
      <c r="A25" t="s">
        <v>495</v>
      </c>
      <c r="B25" t="s">
        <v>504</v>
      </c>
      <c r="C25" t="s">
        <v>505</v>
      </c>
      <c r="D25" s="573"/>
      <c r="E25" s="574"/>
      <c r="F25" s="570">
        <v>46112</v>
      </c>
      <c r="G25">
        <v>237500</v>
      </c>
    </row>
    <row r="26" spans="1:7">
      <c r="A26" t="s">
        <v>495</v>
      </c>
      <c r="B26" t="s">
        <v>506</v>
      </c>
      <c r="D26" s="573"/>
      <c r="E26" s="574"/>
      <c r="F26" s="570">
        <v>46112</v>
      </c>
      <c r="G26">
        <v>300000</v>
      </c>
    </row>
    <row r="27" spans="1:7">
      <c r="A27" t="s">
        <v>495</v>
      </c>
      <c r="B27" t="s">
        <v>507</v>
      </c>
      <c r="D27" s="573"/>
      <c r="E27" s="574"/>
      <c r="F27" s="570">
        <v>46477</v>
      </c>
      <c r="G27">
        <v>632500</v>
      </c>
    </row>
    <row r="28" spans="1:7">
      <c r="A28" t="s">
        <v>508</v>
      </c>
      <c r="B28" t="s">
        <v>509</v>
      </c>
      <c r="C28" t="s">
        <v>510</v>
      </c>
      <c r="D28" s="573">
        <v>-320</v>
      </c>
      <c r="E28" s="574">
        <v>-1100</v>
      </c>
      <c r="F28" s="570">
        <v>47573</v>
      </c>
      <c r="G28">
        <v>3680000</v>
      </c>
    </row>
    <row r="29" spans="1:7">
      <c r="A29" t="s">
        <v>508</v>
      </c>
      <c r="B29" t="s">
        <v>511</v>
      </c>
      <c r="C29" t="s">
        <v>512</v>
      </c>
      <c r="D29" s="573">
        <v>-90</v>
      </c>
      <c r="E29" s="574">
        <v>-160</v>
      </c>
      <c r="F29" s="570">
        <v>46843</v>
      </c>
      <c r="G29">
        <v>736000</v>
      </c>
    </row>
    <row r="30" spans="1:7">
      <c r="A30" t="s">
        <v>508</v>
      </c>
      <c r="B30" t="s">
        <v>513</v>
      </c>
      <c r="C30" t="s">
        <v>514</v>
      </c>
      <c r="D30" s="573">
        <v>30</v>
      </c>
      <c r="E30" s="574">
        <v>-150</v>
      </c>
      <c r="F30" s="570">
        <v>46843</v>
      </c>
      <c r="G30">
        <v>600000</v>
      </c>
    </row>
    <row r="31" spans="1:7">
      <c r="A31" t="s">
        <v>508</v>
      </c>
      <c r="B31" t="s">
        <v>509</v>
      </c>
      <c r="C31" t="s">
        <v>515</v>
      </c>
      <c r="D31" s="573">
        <v>0</v>
      </c>
      <c r="E31" s="574"/>
      <c r="F31" s="570">
        <v>47573</v>
      </c>
      <c r="G31">
        <v>207000</v>
      </c>
    </row>
    <row r="32" spans="1:7">
      <c r="A32" t="s">
        <v>508</v>
      </c>
      <c r="B32" t="s">
        <v>509</v>
      </c>
      <c r="C32" t="s">
        <v>516</v>
      </c>
      <c r="D32" s="573">
        <v>-180</v>
      </c>
      <c r="E32" s="574"/>
      <c r="F32" s="570">
        <v>47573</v>
      </c>
      <c r="G32">
        <v>276000</v>
      </c>
    </row>
    <row r="33" spans="1:7">
      <c r="A33" t="s">
        <v>508</v>
      </c>
      <c r="B33" t="s">
        <v>509</v>
      </c>
      <c r="C33" t="s">
        <v>517</v>
      </c>
      <c r="D33" s="573">
        <v>0</v>
      </c>
      <c r="E33" s="574"/>
      <c r="F33" s="570">
        <v>47573</v>
      </c>
      <c r="G33">
        <v>161000</v>
      </c>
    </row>
    <row r="34" spans="1:7">
      <c r="A34" t="s">
        <v>508</v>
      </c>
      <c r="B34" t="s">
        <v>518</v>
      </c>
      <c r="C34" t="s">
        <v>519</v>
      </c>
      <c r="D34" s="573">
        <v>-20</v>
      </c>
      <c r="E34" s="574"/>
      <c r="F34" s="570">
        <v>45382</v>
      </c>
      <c r="G34">
        <v>117000</v>
      </c>
    </row>
    <row r="35" spans="1:7">
      <c r="A35" t="s">
        <v>508</v>
      </c>
      <c r="B35" t="s">
        <v>520</v>
      </c>
      <c r="C35" t="s">
        <v>521</v>
      </c>
      <c r="D35" s="573">
        <v>-75</v>
      </c>
      <c r="E35" s="574"/>
      <c r="F35" s="570">
        <v>45747</v>
      </c>
      <c r="G35">
        <v>119460</v>
      </c>
    </row>
    <row r="36" spans="1:7">
      <c r="A36" t="s">
        <v>508</v>
      </c>
      <c r="B36" t="s">
        <v>522</v>
      </c>
      <c r="C36" t="s">
        <v>523</v>
      </c>
      <c r="D36" s="573">
        <v>-75</v>
      </c>
      <c r="E36" s="574"/>
      <c r="F36" s="570">
        <v>45382</v>
      </c>
      <c r="G36">
        <v>214934</v>
      </c>
    </row>
    <row r="37" spans="1:7">
      <c r="A37" t="s">
        <v>508</v>
      </c>
      <c r="B37" s="571" t="s">
        <v>405</v>
      </c>
      <c r="C37" t="s">
        <v>524</v>
      </c>
      <c r="D37" s="573">
        <v>-200</v>
      </c>
      <c r="E37" s="574"/>
      <c r="F37" s="570">
        <v>48304</v>
      </c>
      <c r="G37">
        <v>3500000</v>
      </c>
    </row>
    <row r="38" spans="1:7">
      <c r="A38" t="s">
        <v>508</v>
      </c>
      <c r="B38" s="571" t="s">
        <v>405</v>
      </c>
      <c r="C38" t="s">
        <v>525</v>
      </c>
      <c r="D38" s="573">
        <v>0</v>
      </c>
      <c r="E38" s="574"/>
      <c r="F38" s="570"/>
    </row>
    <row r="39" spans="1:7">
      <c r="A39" t="s">
        <v>526</v>
      </c>
      <c r="B39" t="s">
        <v>527</v>
      </c>
      <c r="C39" t="s">
        <v>528</v>
      </c>
      <c r="D39" s="573">
        <v>-25</v>
      </c>
      <c r="E39" s="574"/>
      <c r="F39" s="570">
        <v>46477</v>
      </c>
      <c r="G39">
        <v>1484359</v>
      </c>
    </row>
    <row r="40" spans="1:7">
      <c r="A40" t="s">
        <v>526</v>
      </c>
      <c r="B40" t="s">
        <v>529</v>
      </c>
      <c r="C40" t="s">
        <v>530</v>
      </c>
      <c r="D40" s="573">
        <v>-25</v>
      </c>
      <c r="E40" s="574"/>
      <c r="F40" s="570">
        <v>46477</v>
      </c>
      <c r="G40">
        <v>985600</v>
      </c>
    </row>
    <row r="41" spans="1:7">
      <c r="A41" t="s">
        <v>526</v>
      </c>
      <c r="B41" t="s">
        <v>531</v>
      </c>
      <c r="C41" t="s">
        <v>532</v>
      </c>
      <c r="D41" s="573">
        <v>-20</v>
      </c>
      <c r="E41" s="574">
        <v>-420</v>
      </c>
      <c r="F41" s="570">
        <v>46477</v>
      </c>
      <c r="G41">
        <v>878400</v>
      </c>
    </row>
    <row r="42" spans="1:7">
      <c r="A42" t="s">
        <v>526</v>
      </c>
      <c r="B42" t="s">
        <v>533</v>
      </c>
      <c r="C42" t="s">
        <v>534</v>
      </c>
      <c r="D42" s="573">
        <v>-40</v>
      </c>
      <c r="E42" s="574"/>
      <c r="F42" s="570">
        <v>46477</v>
      </c>
      <c r="G42">
        <v>117100</v>
      </c>
    </row>
    <row r="43" spans="1:7">
      <c r="A43" t="s">
        <v>526</v>
      </c>
      <c r="B43" t="s">
        <v>535</v>
      </c>
      <c r="C43" t="s">
        <v>536</v>
      </c>
      <c r="D43" s="573">
        <v>20</v>
      </c>
      <c r="E43" s="574">
        <v>-60</v>
      </c>
      <c r="F43" s="570">
        <v>47573</v>
      </c>
      <c r="G43">
        <v>466100</v>
      </c>
    </row>
    <row r="44" spans="1:7">
      <c r="A44" t="s">
        <v>526</v>
      </c>
      <c r="B44" t="s">
        <v>537</v>
      </c>
      <c r="C44" t="s">
        <v>538</v>
      </c>
      <c r="D44" s="573"/>
      <c r="E44" s="574"/>
      <c r="F44" s="570">
        <v>48304</v>
      </c>
      <c r="G44">
        <v>484900</v>
      </c>
    </row>
    <row r="45" spans="1:7">
      <c r="A45" t="s">
        <v>526</v>
      </c>
      <c r="B45" t="s">
        <v>539</v>
      </c>
      <c r="C45" t="s">
        <v>540</v>
      </c>
      <c r="D45" s="573">
        <v>-80</v>
      </c>
      <c r="E45" s="574"/>
      <c r="F45" s="570">
        <v>46843</v>
      </c>
      <c r="G45">
        <v>155100</v>
      </c>
    </row>
    <row r="46" spans="1:7">
      <c r="A46" t="s">
        <v>526</v>
      </c>
      <c r="B46" t="s">
        <v>541</v>
      </c>
      <c r="C46" t="s">
        <v>542</v>
      </c>
      <c r="D46" s="573">
        <v>-40</v>
      </c>
      <c r="E46" s="574"/>
      <c r="F46" s="570">
        <v>46843</v>
      </c>
      <c r="G46">
        <v>209100</v>
      </c>
    </row>
    <row r="47" spans="1:7">
      <c r="A47" t="s">
        <v>526</v>
      </c>
      <c r="B47" t="s">
        <v>543</v>
      </c>
      <c r="C47" t="s">
        <v>544</v>
      </c>
      <c r="D47" s="573">
        <v>0</v>
      </c>
      <c r="E47" s="574"/>
      <c r="F47" s="570">
        <v>45747</v>
      </c>
      <c r="G47">
        <v>25000</v>
      </c>
    </row>
    <row r="48" spans="1:7">
      <c r="A48" t="s">
        <v>545</v>
      </c>
      <c r="B48" t="s">
        <v>546</v>
      </c>
      <c r="C48" t="s">
        <v>547</v>
      </c>
      <c r="D48" s="573">
        <v>30</v>
      </c>
      <c r="E48" s="574">
        <v>-209</v>
      </c>
      <c r="F48" s="570">
        <v>45382</v>
      </c>
      <c r="G48">
        <v>552000</v>
      </c>
    </row>
    <row r="49" spans="1:7">
      <c r="A49" t="s">
        <v>545</v>
      </c>
      <c r="B49" t="s">
        <v>546</v>
      </c>
      <c r="C49" t="s">
        <v>548</v>
      </c>
      <c r="D49" s="573">
        <v>0</v>
      </c>
      <c r="E49" s="574">
        <v>0</v>
      </c>
      <c r="F49" s="570">
        <v>45382</v>
      </c>
      <c r="G49">
        <v>46000</v>
      </c>
    </row>
    <row r="50" spans="1:7">
      <c r="A50" t="s">
        <v>545</v>
      </c>
      <c r="B50" t="s">
        <v>549</v>
      </c>
      <c r="C50" t="s">
        <v>550</v>
      </c>
      <c r="D50" s="573">
        <v>-60</v>
      </c>
      <c r="E50" s="574"/>
      <c r="F50" s="570">
        <v>46112</v>
      </c>
      <c r="G50">
        <v>1518000</v>
      </c>
    </row>
    <row r="51" spans="1:7">
      <c r="A51" t="s">
        <v>545</v>
      </c>
      <c r="B51" s="571" t="s">
        <v>405</v>
      </c>
      <c r="C51" t="s">
        <v>551</v>
      </c>
      <c r="D51" s="573">
        <v>20</v>
      </c>
      <c r="E51" s="574">
        <v>-78</v>
      </c>
      <c r="F51" s="570">
        <v>47573</v>
      </c>
      <c r="G51">
        <v>388000</v>
      </c>
    </row>
    <row r="52" spans="1:7">
      <c r="A52" t="s">
        <v>545</v>
      </c>
      <c r="B52" s="185" t="s">
        <v>552</v>
      </c>
      <c r="C52" t="s">
        <v>553</v>
      </c>
      <c r="D52" s="573">
        <v>-40</v>
      </c>
      <c r="E52" s="574"/>
      <c r="F52" s="570">
        <v>46477</v>
      </c>
      <c r="G52">
        <v>409200</v>
      </c>
    </row>
    <row r="53" spans="1:7">
      <c r="A53" t="s">
        <v>554</v>
      </c>
      <c r="B53" t="s">
        <v>555</v>
      </c>
      <c r="C53" t="s">
        <v>556</v>
      </c>
      <c r="D53" s="573">
        <v>-80</v>
      </c>
      <c r="E53" s="574"/>
      <c r="F53" s="570">
        <v>45016</v>
      </c>
      <c r="G53">
        <v>126100</v>
      </c>
    </row>
    <row r="54" spans="1:7">
      <c r="A54" t="s">
        <v>554</v>
      </c>
      <c r="B54" t="s">
        <v>557</v>
      </c>
      <c r="C54" t="s">
        <v>558</v>
      </c>
      <c r="D54" s="573"/>
      <c r="E54" s="574"/>
      <c r="F54" s="570">
        <v>45747</v>
      </c>
    </row>
    <row r="55" spans="1:7">
      <c r="A55" t="s">
        <v>554</v>
      </c>
      <c r="B55" t="s">
        <v>559</v>
      </c>
      <c r="C55" t="s">
        <v>560</v>
      </c>
      <c r="D55" s="573">
        <v>-200</v>
      </c>
      <c r="E55" s="574"/>
      <c r="F55" s="570">
        <v>46112</v>
      </c>
      <c r="G55">
        <v>1491000</v>
      </c>
    </row>
    <row r="56" spans="1:7">
      <c r="A56" t="s">
        <v>554</v>
      </c>
      <c r="B56" t="s">
        <v>559</v>
      </c>
      <c r="C56" t="s">
        <v>561</v>
      </c>
      <c r="D56" s="573">
        <v>0</v>
      </c>
      <c r="E56" s="574"/>
      <c r="F56" s="570">
        <v>46112</v>
      </c>
    </row>
    <row r="57" spans="1:7">
      <c r="A57" t="s">
        <v>554</v>
      </c>
      <c r="B57" t="s">
        <v>562</v>
      </c>
      <c r="C57" t="s">
        <v>563</v>
      </c>
      <c r="D57" s="573">
        <v>0</v>
      </c>
      <c r="E57" s="574"/>
      <c r="F57" s="570">
        <v>47208</v>
      </c>
    </row>
    <row r="58" spans="1:7">
      <c r="A58" t="s">
        <v>554</v>
      </c>
      <c r="B58" t="s">
        <v>564</v>
      </c>
      <c r="C58" t="s">
        <v>565</v>
      </c>
      <c r="D58" s="573">
        <v>-40</v>
      </c>
      <c r="E58" s="574">
        <v>-450</v>
      </c>
      <c r="F58" s="570">
        <v>47573</v>
      </c>
      <c r="G58">
        <v>2316000</v>
      </c>
    </row>
    <row r="59" spans="1:7">
      <c r="A59" t="s">
        <v>554</v>
      </c>
      <c r="B59" t="s">
        <v>566</v>
      </c>
      <c r="C59" t="s">
        <v>567</v>
      </c>
      <c r="D59" s="573">
        <v>20</v>
      </c>
      <c r="E59" s="574">
        <v>-140</v>
      </c>
      <c r="F59" s="570">
        <v>47938</v>
      </c>
      <c r="G59">
        <v>2300000</v>
      </c>
    </row>
    <row r="60" spans="1:7">
      <c r="A60" t="s">
        <v>554</v>
      </c>
      <c r="B60" t="s">
        <v>568</v>
      </c>
      <c r="C60" t="s">
        <v>569</v>
      </c>
      <c r="D60" s="573">
        <v>-30</v>
      </c>
      <c r="E60" s="574"/>
      <c r="F60" s="570">
        <v>48304</v>
      </c>
      <c r="G60">
        <v>78000</v>
      </c>
    </row>
    <row r="61" spans="1:7">
      <c r="A61" t="s">
        <v>554</v>
      </c>
      <c r="B61" t="s">
        <v>570</v>
      </c>
      <c r="C61" t="s">
        <v>571</v>
      </c>
      <c r="D61" s="573">
        <v>-25</v>
      </c>
      <c r="E61" s="574"/>
      <c r="F61" s="570">
        <v>48304</v>
      </c>
      <c r="G61">
        <v>180000</v>
      </c>
    </row>
    <row r="62" spans="1:7">
      <c r="A62" t="s">
        <v>572</v>
      </c>
      <c r="B62" s="571" t="s">
        <v>405</v>
      </c>
      <c r="C62" t="s">
        <v>573</v>
      </c>
      <c r="D62" s="573">
        <v>0</v>
      </c>
      <c r="E62" s="574"/>
      <c r="F62" s="570">
        <v>45016</v>
      </c>
      <c r="G62">
        <v>70400</v>
      </c>
    </row>
    <row r="63" spans="1:7">
      <c r="A63" t="s">
        <v>572</v>
      </c>
      <c r="B63" t="s">
        <v>574</v>
      </c>
      <c r="C63" t="s">
        <v>575</v>
      </c>
      <c r="D63" s="573">
        <v>-40</v>
      </c>
      <c r="E63" s="574"/>
      <c r="F63" s="570">
        <v>45747</v>
      </c>
      <c r="G63">
        <v>39000</v>
      </c>
    </row>
    <row r="64" spans="1:7">
      <c r="A64" t="s">
        <v>572</v>
      </c>
      <c r="B64" s="571" t="s">
        <v>405</v>
      </c>
      <c r="C64" t="s">
        <v>576</v>
      </c>
      <c r="D64" s="573">
        <v>0</v>
      </c>
      <c r="E64" s="574"/>
      <c r="F64" s="570">
        <v>45382</v>
      </c>
      <c r="G64">
        <v>29940</v>
      </c>
    </row>
    <row r="65" spans="1:7">
      <c r="A65" t="s">
        <v>572</v>
      </c>
      <c r="B65" t="s">
        <v>577</v>
      </c>
      <c r="C65" t="s">
        <v>578</v>
      </c>
      <c r="D65" s="573">
        <v>-30</v>
      </c>
      <c r="E65" s="574"/>
      <c r="F65" s="570">
        <v>45747</v>
      </c>
      <c r="G65">
        <v>234000</v>
      </c>
    </row>
    <row r="66" spans="1:7">
      <c r="A66" t="s">
        <v>572</v>
      </c>
      <c r="B66" t="s">
        <v>577</v>
      </c>
      <c r="C66" t="s">
        <v>579</v>
      </c>
      <c r="D66" s="573">
        <v>-180</v>
      </c>
      <c r="E66" s="574"/>
      <c r="F66" s="570">
        <v>45747</v>
      </c>
      <c r="G66">
        <v>936000</v>
      </c>
    </row>
    <row r="67" spans="1:7">
      <c r="A67" t="s">
        <v>572</v>
      </c>
      <c r="B67" t="s">
        <v>577</v>
      </c>
      <c r="C67" t="s">
        <v>580</v>
      </c>
      <c r="D67" s="573">
        <v>-50</v>
      </c>
      <c r="E67" s="574">
        <v>-360</v>
      </c>
      <c r="F67" s="570">
        <v>45747</v>
      </c>
      <c r="G67">
        <v>1118000</v>
      </c>
    </row>
    <row r="68" spans="1:7">
      <c r="A68" t="s">
        <v>572</v>
      </c>
      <c r="B68" t="s">
        <v>577</v>
      </c>
      <c r="C68" t="s">
        <v>581</v>
      </c>
      <c r="D68" s="573">
        <v>-80</v>
      </c>
      <c r="E68" s="574"/>
      <c r="F68" s="570">
        <v>45747</v>
      </c>
      <c r="G68">
        <v>520000</v>
      </c>
    </row>
    <row r="69" spans="1:7">
      <c r="A69" t="s">
        <v>572</v>
      </c>
      <c r="B69" t="s">
        <v>577</v>
      </c>
      <c r="C69" t="s">
        <v>582</v>
      </c>
      <c r="D69" s="573">
        <v>-25</v>
      </c>
      <c r="E69" s="574"/>
      <c r="F69" s="570">
        <v>45747</v>
      </c>
      <c r="G69">
        <v>845000</v>
      </c>
    </row>
    <row r="70" spans="1:7">
      <c r="A70" t="s">
        <v>572</v>
      </c>
      <c r="B70" t="s">
        <v>577</v>
      </c>
      <c r="C70" t="s">
        <v>583</v>
      </c>
      <c r="D70" s="573">
        <v>-30</v>
      </c>
      <c r="E70" s="574"/>
      <c r="F70" s="570">
        <v>45747</v>
      </c>
      <c r="G70">
        <v>460000</v>
      </c>
    </row>
    <row r="71" spans="1:7">
      <c r="A71" t="s">
        <v>572</v>
      </c>
      <c r="B71" t="s">
        <v>584</v>
      </c>
      <c r="C71" t="s">
        <v>585</v>
      </c>
      <c r="D71" s="573">
        <v>-50</v>
      </c>
      <c r="E71" s="574"/>
      <c r="F71" s="570">
        <v>47573</v>
      </c>
      <c r="G71">
        <v>52000</v>
      </c>
    </row>
    <row r="72" spans="1:7">
      <c r="A72" t="s">
        <v>572</v>
      </c>
      <c r="B72" t="s">
        <v>584</v>
      </c>
      <c r="C72" t="s">
        <v>586</v>
      </c>
      <c r="D72" s="573">
        <v>-20</v>
      </c>
      <c r="E72" s="574"/>
      <c r="F72" s="570">
        <v>47573</v>
      </c>
      <c r="G72">
        <v>65000</v>
      </c>
    </row>
    <row r="73" spans="1:7">
      <c r="A73" t="s">
        <v>572</v>
      </c>
      <c r="B73" t="s">
        <v>584</v>
      </c>
      <c r="C73" t="s">
        <v>587</v>
      </c>
      <c r="D73" s="573">
        <v>-20</v>
      </c>
      <c r="E73" s="574"/>
      <c r="F73" s="570">
        <v>47573</v>
      </c>
      <c r="G73">
        <v>117000</v>
      </c>
    </row>
    <row r="74" spans="1:7">
      <c r="A74" t="s">
        <v>572</v>
      </c>
      <c r="B74" t="s">
        <v>588</v>
      </c>
      <c r="C74" t="s">
        <v>589</v>
      </c>
      <c r="D74" s="573">
        <v>-40</v>
      </c>
      <c r="E74" s="574"/>
      <c r="F74" s="570">
        <v>45747</v>
      </c>
      <c r="G74">
        <v>1040000</v>
      </c>
    </row>
    <row r="75" spans="1:7">
      <c r="A75" t="s">
        <v>572</v>
      </c>
      <c r="B75" s="571" t="s">
        <v>405</v>
      </c>
      <c r="C75" t="s">
        <v>590</v>
      </c>
      <c r="D75" s="573">
        <v>-15</v>
      </c>
      <c r="E75" s="574"/>
      <c r="F75" s="570">
        <v>46477</v>
      </c>
      <c r="G75">
        <v>234000</v>
      </c>
    </row>
    <row r="76" spans="1:7">
      <c r="A76" t="s">
        <v>572</v>
      </c>
      <c r="B76" s="571" t="s">
        <v>405</v>
      </c>
      <c r="C76" t="s">
        <v>591</v>
      </c>
      <c r="D76" s="573">
        <v>-10</v>
      </c>
      <c r="E76" s="574"/>
      <c r="F76" s="570">
        <v>46477</v>
      </c>
      <c r="G76">
        <v>585000</v>
      </c>
    </row>
    <row r="77" spans="1:7">
      <c r="A77" t="s">
        <v>572</v>
      </c>
      <c r="B77" t="s">
        <v>592</v>
      </c>
      <c r="C77" t="s">
        <v>593</v>
      </c>
      <c r="D77" s="573">
        <v>-30</v>
      </c>
      <c r="E77" s="574"/>
      <c r="F77" s="570">
        <v>45382</v>
      </c>
      <c r="G77">
        <v>156000</v>
      </c>
    </row>
    <row r="78" spans="1:7">
      <c r="A78" t="s">
        <v>572</v>
      </c>
      <c r="B78" s="571" t="s">
        <v>405</v>
      </c>
      <c r="C78" t="s">
        <v>594</v>
      </c>
      <c r="D78" s="573">
        <v>60</v>
      </c>
      <c r="E78" s="574">
        <v>-400</v>
      </c>
      <c r="F78" s="570">
        <v>47573</v>
      </c>
      <c r="G78">
        <v>390000</v>
      </c>
    </row>
    <row r="79" spans="1:7">
      <c r="A79" t="s">
        <v>572</v>
      </c>
      <c r="B79" s="571" t="s">
        <v>405</v>
      </c>
      <c r="C79" t="s">
        <v>595</v>
      </c>
      <c r="D79" s="573">
        <v>-240</v>
      </c>
      <c r="E79" s="574"/>
      <c r="F79" s="570">
        <v>48304</v>
      </c>
      <c r="G79">
        <v>1456000</v>
      </c>
    </row>
    <row r="80" spans="1:7">
      <c r="A80" t="s">
        <v>572</v>
      </c>
      <c r="B80" s="571" t="s">
        <v>405</v>
      </c>
      <c r="C80" t="s">
        <v>596</v>
      </c>
      <c r="D80" s="573">
        <v>40</v>
      </c>
      <c r="E80" s="574">
        <v>-360</v>
      </c>
      <c r="F80" s="570">
        <v>48304</v>
      </c>
      <c r="G80">
        <v>805000</v>
      </c>
    </row>
    <row r="81" spans="1:7">
      <c r="A81" t="s">
        <v>572</v>
      </c>
      <c r="B81" s="571" t="s">
        <v>405</v>
      </c>
      <c r="C81" t="s">
        <v>597</v>
      </c>
      <c r="D81" s="573">
        <v>-180</v>
      </c>
      <c r="E81" s="574"/>
      <c r="F81" s="570">
        <v>48304</v>
      </c>
      <c r="G81">
        <v>1454000</v>
      </c>
    </row>
    <row r="82" spans="1:7">
      <c r="A82" t="s">
        <v>572</v>
      </c>
      <c r="B82" s="571" t="s">
        <v>405</v>
      </c>
      <c r="C82" t="s">
        <v>598</v>
      </c>
      <c r="D82" s="573">
        <v>-130</v>
      </c>
      <c r="E82" s="574"/>
      <c r="F82" s="570">
        <v>48304</v>
      </c>
      <c r="G82">
        <v>396000</v>
      </c>
    </row>
    <row r="83" spans="1:7">
      <c r="A83" t="s">
        <v>572</v>
      </c>
      <c r="B83" s="571" t="s">
        <v>405</v>
      </c>
      <c r="C83" t="s">
        <v>599</v>
      </c>
      <c r="D83" s="573">
        <v>-160</v>
      </c>
      <c r="E83" s="574"/>
      <c r="F83" s="570">
        <v>47938</v>
      </c>
      <c r="G83">
        <v>1380000</v>
      </c>
    </row>
    <row r="84" spans="1:7">
      <c r="A84" t="s">
        <v>572</v>
      </c>
      <c r="B84" s="571" t="s">
        <v>405</v>
      </c>
      <c r="C84" t="s">
        <v>600</v>
      </c>
      <c r="D84" s="573">
        <v>-90</v>
      </c>
      <c r="E84" s="574"/>
      <c r="F84" s="570">
        <v>47938</v>
      </c>
      <c r="G84">
        <v>1265000</v>
      </c>
    </row>
    <row r="85" spans="1:7">
      <c r="A85" t="s">
        <v>601</v>
      </c>
      <c r="B85" s="571" t="s">
        <v>405</v>
      </c>
      <c r="C85" t="s">
        <v>602</v>
      </c>
      <c r="D85" s="573">
        <v>0</v>
      </c>
      <c r="E85" s="574"/>
      <c r="F85" s="570">
        <v>45016</v>
      </c>
      <c r="G85">
        <v>31200</v>
      </c>
    </row>
    <row r="86" spans="1:7">
      <c r="A86" t="s">
        <v>601</v>
      </c>
      <c r="B86" s="571" t="s">
        <v>405</v>
      </c>
      <c r="C86" t="s">
        <v>603</v>
      </c>
      <c r="D86" s="573">
        <v>30</v>
      </c>
      <c r="E86" s="574">
        <v>-145</v>
      </c>
      <c r="F86" s="570">
        <v>45382</v>
      </c>
      <c r="G86">
        <v>195000</v>
      </c>
    </row>
    <row r="87" spans="1:7">
      <c r="A87" t="s">
        <v>601</v>
      </c>
      <c r="B87" s="571" t="s">
        <v>405</v>
      </c>
      <c r="C87" t="s">
        <v>604</v>
      </c>
      <c r="D87" s="573">
        <v>0</v>
      </c>
      <c r="E87" s="574"/>
      <c r="F87" s="570">
        <v>46112</v>
      </c>
      <c r="G87">
        <v>104000</v>
      </c>
    </row>
    <row r="88" spans="1:7">
      <c r="A88" t="s">
        <v>601</v>
      </c>
      <c r="B88" s="571" t="s">
        <v>405</v>
      </c>
      <c r="C88" t="s">
        <v>605</v>
      </c>
      <c r="D88" s="573">
        <v>-25</v>
      </c>
      <c r="E88" s="574"/>
      <c r="F88" s="570">
        <v>46112</v>
      </c>
      <c r="G88">
        <v>117000</v>
      </c>
    </row>
    <row r="89" spans="1:7">
      <c r="A89" t="s">
        <v>601</v>
      </c>
      <c r="B89" s="571" t="s">
        <v>405</v>
      </c>
      <c r="C89" t="s">
        <v>606</v>
      </c>
      <c r="D89" s="573">
        <v>-5</v>
      </c>
      <c r="E89" s="574"/>
      <c r="F89" s="570">
        <v>46477</v>
      </c>
      <c r="G89">
        <v>97500</v>
      </c>
    </row>
    <row r="90" spans="1:7">
      <c r="A90" t="s">
        <v>601</v>
      </c>
      <c r="B90" s="571" t="s">
        <v>405</v>
      </c>
      <c r="C90" t="s">
        <v>607</v>
      </c>
      <c r="D90" s="573">
        <v>10</v>
      </c>
      <c r="E90" s="574">
        <v>-123</v>
      </c>
      <c r="F90" s="570">
        <v>46477</v>
      </c>
      <c r="G90">
        <v>572000</v>
      </c>
    </row>
    <row r="91" spans="1:7">
      <c r="A91" t="s">
        <v>601</v>
      </c>
      <c r="B91" s="571" t="s">
        <v>405</v>
      </c>
      <c r="C91" t="s">
        <v>608</v>
      </c>
      <c r="D91" s="573">
        <v>-15</v>
      </c>
      <c r="E91" s="574"/>
      <c r="F91" s="570">
        <v>46477</v>
      </c>
      <c r="G91">
        <v>546000</v>
      </c>
    </row>
    <row r="92" spans="1:7">
      <c r="A92" t="s">
        <v>601</v>
      </c>
      <c r="B92" s="571" t="s">
        <v>405</v>
      </c>
      <c r="C92" t="s">
        <v>609</v>
      </c>
      <c r="D92" s="573">
        <v>-15</v>
      </c>
      <c r="E92" s="574"/>
      <c r="F92" s="570">
        <v>46477</v>
      </c>
      <c r="G92">
        <v>546000</v>
      </c>
    </row>
    <row r="93" spans="1:7">
      <c r="A93" t="s">
        <v>601</v>
      </c>
      <c r="B93" s="571" t="s">
        <v>405</v>
      </c>
      <c r="C93" t="s">
        <v>610</v>
      </c>
      <c r="D93" s="573">
        <v>-5</v>
      </c>
      <c r="E93" s="574"/>
      <c r="F93" s="570">
        <v>46477</v>
      </c>
      <c r="G93">
        <v>390000</v>
      </c>
    </row>
    <row r="94" spans="1:7">
      <c r="A94" t="s">
        <v>601</v>
      </c>
      <c r="B94" s="571" t="s">
        <v>405</v>
      </c>
      <c r="C94" t="s">
        <v>611</v>
      </c>
      <c r="D94" s="573">
        <v>-180</v>
      </c>
      <c r="E94" s="574">
        <v>-123</v>
      </c>
      <c r="F94" s="570">
        <v>47573</v>
      </c>
      <c r="G94">
        <v>1690000</v>
      </c>
    </row>
    <row r="95" spans="1:7">
      <c r="A95" t="s">
        <v>601</v>
      </c>
      <c r="B95" s="571" t="s">
        <v>405</v>
      </c>
      <c r="C95" t="s">
        <v>612</v>
      </c>
      <c r="D95" s="573">
        <v>0</v>
      </c>
      <c r="E95" s="574"/>
      <c r="F95" s="570">
        <v>47573</v>
      </c>
      <c r="G95">
        <v>52000</v>
      </c>
    </row>
    <row r="96" spans="1:7">
      <c r="A96" t="s">
        <v>601</v>
      </c>
      <c r="B96" s="571" t="s">
        <v>405</v>
      </c>
      <c r="C96" t="s">
        <v>613</v>
      </c>
      <c r="D96" s="573">
        <v>-80</v>
      </c>
      <c r="E96" s="574"/>
      <c r="F96" s="570">
        <v>47573</v>
      </c>
      <c r="G96">
        <v>460000</v>
      </c>
    </row>
    <row r="97" spans="1:7">
      <c r="A97" t="s">
        <v>601</v>
      </c>
      <c r="B97" s="571" t="s">
        <v>405</v>
      </c>
      <c r="C97" t="s">
        <v>614</v>
      </c>
      <c r="D97" s="573">
        <v>-130</v>
      </c>
      <c r="E97" s="574"/>
      <c r="F97" s="570">
        <v>47573</v>
      </c>
      <c r="G97">
        <v>287500</v>
      </c>
    </row>
    <row r="98" spans="1:7">
      <c r="A98" s="185" t="s">
        <v>615</v>
      </c>
      <c r="B98" s="571" t="s">
        <v>405</v>
      </c>
      <c r="C98" s="185" t="s">
        <v>616</v>
      </c>
      <c r="D98" s="575">
        <v>100</v>
      </c>
      <c r="E98" s="576">
        <v>-699</v>
      </c>
      <c r="F98" s="572">
        <v>48304</v>
      </c>
      <c r="G98" s="185">
        <v>250000</v>
      </c>
    </row>
    <row r="99" spans="1:7">
      <c r="A99" s="185" t="s">
        <v>615</v>
      </c>
      <c r="B99" s="571" t="s">
        <v>405</v>
      </c>
      <c r="C99" s="185" t="s">
        <v>617</v>
      </c>
      <c r="D99" s="575">
        <v>0</v>
      </c>
      <c r="E99" s="576">
        <v>0</v>
      </c>
      <c r="F99" s="572">
        <v>48304</v>
      </c>
      <c r="G99" s="185">
        <v>500000</v>
      </c>
    </row>
    <row r="100" spans="1:7">
      <c r="A100" s="185" t="s">
        <v>615</v>
      </c>
      <c r="B100" s="571" t="s">
        <v>405</v>
      </c>
      <c r="C100" s="185" t="s">
        <v>618</v>
      </c>
      <c r="D100" s="575">
        <v>0</v>
      </c>
      <c r="E100" s="576">
        <v>0</v>
      </c>
      <c r="F100" s="572">
        <v>48304</v>
      </c>
      <c r="G100" s="185">
        <v>250000</v>
      </c>
    </row>
    <row r="101" spans="1:7">
      <c r="A101" s="185" t="s">
        <v>615</v>
      </c>
      <c r="B101" s="571" t="s">
        <v>405</v>
      </c>
      <c r="C101" s="185" t="s">
        <v>619</v>
      </c>
      <c r="D101" s="575">
        <v>20</v>
      </c>
      <c r="E101" s="576">
        <v>-68</v>
      </c>
      <c r="F101" s="572">
        <v>48304</v>
      </c>
      <c r="G101" s="185">
        <v>287500</v>
      </c>
    </row>
    <row r="102" spans="1:7">
      <c r="A102" s="185" t="s">
        <v>620</v>
      </c>
      <c r="B102" s="571" t="s">
        <v>405</v>
      </c>
      <c r="C102" s="185" t="s">
        <v>621</v>
      </c>
      <c r="D102" s="575"/>
      <c r="E102" s="576"/>
      <c r="F102" s="572">
        <v>45016</v>
      </c>
      <c r="G102" s="185"/>
    </row>
    <row r="103" spans="1:7">
      <c r="A103" s="185" t="s">
        <v>620</v>
      </c>
      <c r="B103" s="571" t="s">
        <v>405</v>
      </c>
      <c r="C103" s="185" t="s">
        <v>622</v>
      </c>
      <c r="D103" s="575"/>
      <c r="E103" s="576"/>
      <c r="F103" s="572">
        <v>45016</v>
      </c>
      <c r="G103" s="185"/>
    </row>
    <row r="104" spans="1:7">
      <c r="A104" s="185" t="s">
        <v>620</v>
      </c>
      <c r="B104" s="571" t="s">
        <v>405</v>
      </c>
      <c r="C104" s="185" t="s">
        <v>623</v>
      </c>
      <c r="D104" s="575">
        <v>-20</v>
      </c>
      <c r="E104" s="576"/>
      <c r="F104" s="572">
        <v>45747</v>
      </c>
      <c r="G104" s="185">
        <v>52039</v>
      </c>
    </row>
    <row r="105" spans="1:7">
      <c r="A105" s="185" t="s">
        <v>620</v>
      </c>
      <c r="B105" s="571" t="s">
        <v>405</v>
      </c>
      <c r="C105" s="185" t="s">
        <v>624</v>
      </c>
      <c r="D105" s="575">
        <v>40</v>
      </c>
      <c r="E105" s="576">
        <v>-555</v>
      </c>
      <c r="F105" s="572">
        <v>45747</v>
      </c>
      <c r="G105" s="185">
        <v>549296</v>
      </c>
    </row>
    <row r="106" spans="1:7">
      <c r="A106" s="185" t="s">
        <v>620</v>
      </c>
      <c r="B106" s="571" t="s">
        <v>405</v>
      </c>
      <c r="C106" s="185" t="s">
        <v>625</v>
      </c>
      <c r="D106" s="575">
        <v>-160</v>
      </c>
      <c r="E106" s="576"/>
      <c r="F106" s="572">
        <v>46112</v>
      </c>
      <c r="G106" s="185">
        <v>1115400</v>
      </c>
    </row>
    <row r="107" spans="1:7">
      <c r="A107" s="185" t="s">
        <v>620</v>
      </c>
      <c r="B107" s="571" t="s">
        <v>405</v>
      </c>
      <c r="C107" s="185" t="s">
        <v>626</v>
      </c>
      <c r="D107" s="575">
        <v>-40</v>
      </c>
      <c r="E107" s="576"/>
      <c r="F107" s="572">
        <v>46112</v>
      </c>
      <c r="G107" s="185">
        <v>366614</v>
      </c>
    </row>
    <row r="108" spans="1:7">
      <c r="A108" s="185" t="s">
        <v>620</v>
      </c>
      <c r="B108" s="571" t="s">
        <v>405</v>
      </c>
      <c r="C108" s="185" t="s">
        <v>627</v>
      </c>
      <c r="D108" s="575">
        <v>0</v>
      </c>
      <c r="E108" s="576"/>
      <c r="F108" s="572">
        <v>46112</v>
      </c>
      <c r="G108" s="185">
        <v>104014</v>
      </c>
    </row>
    <row r="109" spans="1:7">
      <c r="A109" s="185" t="s">
        <v>620</v>
      </c>
      <c r="B109" s="571" t="s">
        <v>405</v>
      </c>
      <c r="C109" s="185" t="s">
        <v>628</v>
      </c>
      <c r="D109" s="575">
        <v>-10</v>
      </c>
      <c r="E109" s="576"/>
      <c r="F109" s="572">
        <v>46112</v>
      </c>
      <c r="G109" s="185">
        <v>117014.39999999999</v>
      </c>
    </row>
    <row r="110" spans="1:7">
      <c r="A110" s="185" t="s">
        <v>620</v>
      </c>
      <c r="B110" s="571" t="s">
        <v>405</v>
      </c>
      <c r="C110" s="185" t="s">
        <v>629</v>
      </c>
      <c r="D110" s="575"/>
      <c r="E110" s="576"/>
      <c r="F110" s="572">
        <v>46112</v>
      </c>
      <c r="G110" s="185">
        <v>104011</v>
      </c>
    </row>
    <row r="111" spans="1:7">
      <c r="A111" s="185" t="s">
        <v>620</v>
      </c>
      <c r="B111" s="571" t="s">
        <v>405</v>
      </c>
      <c r="C111" s="185" t="s">
        <v>630</v>
      </c>
      <c r="D111" s="575"/>
      <c r="E111" s="576"/>
      <c r="F111" s="572">
        <v>47573</v>
      </c>
      <c r="G111" s="185">
        <v>52032</v>
      </c>
    </row>
    <row r="112" spans="1:7">
      <c r="A112" s="185" t="s">
        <v>620</v>
      </c>
      <c r="B112" s="571" t="s">
        <v>405</v>
      </c>
      <c r="C112" s="185" t="s">
        <v>619</v>
      </c>
      <c r="D112" s="575">
        <v>20</v>
      </c>
      <c r="E112" s="576">
        <v>-79</v>
      </c>
      <c r="F112" s="572">
        <v>47573</v>
      </c>
      <c r="G112" s="185">
        <v>431282</v>
      </c>
    </row>
    <row r="113" spans="1:7">
      <c r="A113" s="185" t="s">
        <v>620</v>
      </c>
      <c r="B113" s="571" t="s">
        <v>405</v>
      </c>
      <c r="C113" s="185" t="s">
        <v>613</v>
      </c>
      <c r="D113" s="575">
        <v>-150</v>
      </c>
      <c r="E113" s="576"/>
      <c r="F113" s="572">
        <v>48304</v>
      </c>
      <c r="G113" s="185">
        <v>740629</v>
      </c>
    </row>
    <row r="114" spans="1:7">
      <c r="A114" s="185" t="s">
        <v>620</v>
      </c>
      <c r="B114" s="571" t="s">
        <v>405</v>
      </c>
      <c r="C114" s="185" t="s">
        <v>631</v>
      </c>
      <c r="D114" s="575">
        <v>60</v>
      </c>
      <c r="E114" s="576">
        <v>-608</v>
      </c>
      <c r="F114" s="572">
        <v>48304</v>
      </c>
      <c r="G114" s="185">
        <v>777661</v>
      </c>
    </row>
    <row r="115" spans="1:7">
      <c r="A115" s="185" t="s">
        <v>620</v>
      </c>
      <c r="B115" s="571" t="s">
        <v>405</v>
      </c>
      <c r="C115" s="185" t="s">
        <v>632</v>
      </c>
      <c r="D115" s="575"/>
      <c r="E115" s="576"/>
      <c r="F115" s="572"/>
      <c r="G115" s="185"/>
    </row>
    <row r="116" spans="1:7">
      <c r="A116" s="185" t="s">
        <v>620</v>
      </c>
      <c r="B116" s="571" t="s">
        <v>405</v>
      </c>
      <c r="C116" s="185" t="s">
        <v>598</v>
      </c>
      <c r="D116" s="575">
        <v>-130</v>
      </c>
      <c r="E116" s="576"/>
      <c r="F116" s="572">
        <v>48304</v>
      </c>
      <c r="G116" s="185">
        <v>357711</v>
      </c>
    </row>
    <row r="117" spans="1:7">
      <c r="A117" s="185" t="s">
        <v>633</v>
      </c>
      <c r="B117" s="571" t="s">
        <v>405</v>
      </c>
      <c r="C117" s="185" t="s">
        <v>634</v>
      </c>
      <c r="D117" s="575"/>
      <c r="E117" s="576"/>
      <c r="F117" s="572"/>
      <c r="G117" s="185"/>
    </row>
    <row r="118" spans="1:7">
      <c r="A118" s="185" t="s">
        <v>633</v>
      </c>
      <c r="B118" s="571" t="s">
        <v>405</v>
      </c>
      <c r="C118" s="185" t="s">
        <v>635</v>
      </c>
      <c r="D118" s="575"/>
      <c r="E118" s="576"/>
      <c r="F118" s="572"/>
      <c r="G118" s="185"/>
    </row>
    <row r="119" spans="1:7">
      <c r="A119" s="185" t="s">
        <v>633</v>
      </c>
      <c r="B119" s="571" t="s">
        <v>405</v>
      </c>
      <c r="C119" s="185" t="s">
        <v>636</v>
      </c>
      <c r="D119" s="575"/>
      <c r="E119" s="576"/>
      <c r="F119" s="572"/>
      <c r="G119" s="185"/>
    </row>
    <row r="120" spans="1:7">
      <c r="A120" s="185" t="s">
        <v>637</v>
      </c>
      <c r="B120" s="571" t="s">
        <v>405</v>
      </c>
      <c r="C120" s="185" t="s">
        <v>638</v>
      </c>
      <c r="D120" s="575">
        <v>-98.7</v>
      </c>
      <c r="E120" s="576">
        <v>0</v>
      </c>
      <c r="F120" s="572">
        <v>48304</v>
      </c>
      <c r="G120" s="185">
        <v>165500</v>
      </c>
    </row>
    <row r="121" spans="1:7">
      <c r="A121" s="185" t="s">
        <v>637</v>
      </c>
      <c r="B121" s="571" t="s">
        <v>405</v>
      </c>
      <c r="C121" s="185" t="s">
        <v>639</v>
      </c>
      <c r="D121" s="575">
        <v>-94</v>
      </c>
      <c r="E121" s="576">
        <v>0</v>
      </c>
      <c r="F121" s="572">
        <v>48304</v>
      </c>
      <c r="G121" s="185">
        <v>110000</v>
      </c>
    </row>
    <row r="122" spans="1:7">
      <c r="A122" s="185" t="s">
        <v>637</v>
      </c>
      <c r="B122" s="571" t="s">
        <v>405</v>
      </c>
      <c r="C122" s="185" t="s">
        <v>640</v>
      </c>
      <c r="D122" s="575">
        <v>-67.8</v>
      </c>
      <c r="E122" s="576">
        <v>-34.746037706584097</v>
      </c>
      <c r="F122" s="572">
        <v>45016</v>
      </c>
      <c r="G122" s="185">
        <v>4500</v>
      </c>
    </row>
    <row r="123" spans="1:7">
      <c r="A123" s="185" t="s">
        <v>637</v>
      </c>
      <c r="B123" s="571" t="s">
        <v>405</v>
      </c>
      <c r="C123" s="185" t="s">
        <v>641</v>
      </c>
      <c r="D123" s="575">
        <v>-59.7</v>
      </c>
      <c r="E123" s="576">
        <v>0</v>
      </c>
      <c r="F123" s="572">
        <v>45382</v>
      </c>
      <c r="G123" s="185">
        <v>5000</v>
      </c>
    </row>
    <row r="124" spans="1:7">
      <c r="A124" s="185" t="s">
        <v>637</v>
      </c>
      <c r="B124" s="571" t="s">
        <v>405</v>
      </c>
      <c r="C124" s="185" t="s">
        <v>642</v>
      </c>
      <c r="D124" s="575">
        <v>-20.3</v>
      </c>
      <c r="E124" s="576">
        <v>-522.00651951750694</v>
      </c>
      <c r="F124" s="572">
        <v>48304</v>
      </c>
      <c r="G124" s="185">
        <v>122700</v>
      </c>
    </row>
    <row r="125" spans="1:7">
      <c r="A125" s="185" t="s">
        <v>637</v>
      </c>
      <c r="B125" s="571" t="s">
        <v>405</v>
      </c>
      <c r="C125" s="185" t="s">
        <v>643</v>
      </c>
      <c r="D125" s="575">
        <v>-54.9</v>
      </c>
      <c r="E125" s="576">
        <v>0</v>
      </c>
      <c r="F125" s="572">
        <v>45016</v>
      </c>
      <c r="G125" s="185">
        <v>5000</v>
      </c>
    </row>
    <row r="126" spans="1:7">
      <c r="A126" s="185" t="s">
        <v>637</v>
      </c>
      <c r="B126" s="571" t="s">
        <v>405</v>
      </c>
      <c r="C126" s="185" t="s">
        <v>644</v>
      </c>
      <c r="D126" s="575">
        <v>-25.7</v>
      </c>
      <c r="E126" s="576">
        <v>-174.00217317250201</v>
      </c>
      <c r="F126" s="572">
        <v>45382</v>
      </c>
      <c r="G126" s="185">
        <v>5000</v>
      </c>
    </row>
    <row r="127" spans="1:7">
      <c r="A127" s="185" t="s">
        <v>637</v>
      </c>
      <c r="B127" s="571" t="s">
        <v>405</v>
      </c>
      <c r="C127" s="185" t="s">
        <v>645</v>
      </c>
      <c r="D127" s="575">
        <v>-18.3</v>
      </c>
      <c r="E127" s="576">
        <v>-174.00217317250201</v>
      </c>
      <c r="F127" s="572">
        <v>45382</v>
      </c>
      <c r="G127" s="185">
        <v>5000</v>
      </c>
    </row>
    <row r="128" spans="1:7">
      <c r="A128" s="185" t="s">
        <v>637</v>
      </c>
      <c r="B128" s="571" t="s">
        <v>405</v>
      </c>
      <c r="C128" s="185" t="s">
        <v>646</v>
      </c>
      <c r="D128" s="575">
        <v>-20.3</v>
      </c>
      <c r="E128" s="576">
        <v>-69.560071573063595</v>
      </c>
      <c r="F128" s="572">
        <v>45382</v>
      </c>
      <c r="G128" s="185">
        <v>5000</v>
      </c>
    </row>
    <row r="129" spans="1:7">
      <c r="A129" s="185" t="s">
        <v>637</v>
      </c>
      <c r="B129" s="571" t="s">
        <v>405</v>
      </c>
      <c r="C129" s="185" t="s">
        <v>647</v>
      </c>
      <c r="D129" s="575"/>
      <c r="E129" s="576"/>
      <c r="F129" s="572"/>
      <c r="G129" s="185"/>
    </row>
    <row r="130" spans="1:7">
      <c r="A130" s="185" t="s">
        <v>637</v>
      </c>
      <c r="B130" s="571" t="s">
        <v>405</v>
      </c>
      <c r="C130" s="185" t="s">
        <v>648</v>
      </c>
      <c r="D130" s="575">
        <v>-13</v>
      </c>
      <c r="E130" s="576">
        <v>0</v>
      </c>
      <c r="F130" s="572">
        <v>45382</v>
      </c>
      <c r="G130" s="185">
        <v>5000</v>
      </c>
    </row>
    <row r="131" spans="1:7">
      <c r="A131" s="185" t="s">
        <v>637</v>
      </c>
      <c r="B131" s="571" t="s">
        <v>405</v>
      </c>
      <c r="C131" s="185" t="s">
        <v>649</v>
      </c>
      <c r="D131" s="575">
        <v>437</v>
      </c>
      <c r="E131" s="576">
        <v>-3947</v>
      </c>
      <c r="F131" s="572">
        <v>48669</v>
      </c>
      <c r="G131" s="185">
        <v>4500000</v>
      </c>
    </row>
    <row r="132" spans="1:7">
      <c r="A132" s="185" t="s">
        <v>637</v>
      </c>
      <c r="B132" s="571" t="s">
        <v>405</v>
      </c>
      <c r="C132" s="185" t="s">
        <v>650</v>
      </c>
      <c r="D132" s="575">
        <v>53.4</v>
      </c>
      <c r="E132" s="576">
        <v>-176.722019568321</v>
      </c>
      <c r="F132" s="572">
        <v>48669</v>
      </c>
      <c r="G132" s="185">
        <v>80000</v>
      </c>
    </row>
    <row r="133" spans="1:7">
      <c r="A133" s="185" t="s">
        <v>651</v>
      </c>
      <c r="B133" s="571" t="s">
        <v>405</v>
      </c>
      <c r="C133" s="185" t="s">
        <v>652</v>
      </c>
      <c r="D133" s="575">
        <v>-110</v>
      </c>
      <c r="E133" s="576">
        <v>0</v>
      </c>
      <c r="F133" s="572">
        <v>45382</v>
      </c>
      <c r="G133" s="185">
        <v>140500</v>
      </c>
    </row>
    <row r="134" spans="1:7">
      <c r="A134" s="185" t="s">
        <v>651</v>
      </c>
      <c r="B134" s="571" t="s">
        <v>405</v>
      </c>
      <c r="C134" s="185" t="s">
        <v>653</v>
      </c>
      <c r="D134" s="575">
        <v>-63.5</v>
      </c>
      <c r="E134" s="576">
        <v>0</v>
      </c>
      <c r="F134" s="572">
        <v>45382</v>
      </c>
      <c r="G134" s="185">
        <v>1200000</v>
      </c>
    </row>
    <row r="135" spans="1:7">
      <c r="A135" s="185" t="s">
        <v>651</v>
      </c>
      <c r="B135" s="571" t="s">
        <v>405</v>
      </c>
      <c r="C135" s="185" t="s">
        <v>654</v>
      </c>
      <c r="D135" s="575">
        <v>-60.1</v>
      </c>
      <c r="E135" s="576">
        <v>-134.1</v>
      </c>
      <c r="F135" s="572">
        <v>45747</v>
      </c>
      <c r="G135" s="185">
        <v>80000</v>
      </c>
    </row>
    <row r="136" spans="1:7">
      <c r="A136" s="185" t="s">
        <v>651</v>
      </c>
      <c r="B136" s="571" t="s">
        <v>405</v>
      </c>
      <c r="C136" s="185" t="s">
        <v>655</v>
      </c>
      <c r="D136" s="575">
        <v>-40.1</v>
      </c>
      <c r="E136" s="576">
        <v>-134.1</v>
      </c>
      <c r="F136" s="572">
        <v>45747</v>
      </c>
      <c r="G136" s="185">
        <v>180000</v>
      </c>
    </row>
    <row r="137" spans="1:7">
      <c r="A137" s="185" t="s">
        <v>651</v>
      </c>
      <c r="B137" s="571" t="s">
        <v>405</v>
      </c>
      <c r="C137" s="185" t="s">
        <v>656</v>
      </c>
      <c r="D137" s="575">
        <v>-14.8</v>
      </c>
      <c r="E137" s="576">
        <v>-67</v>
      </c>
      <c r="F137" s="572">
        <v>46112</v>
      </c>
      <c r="G137" s="185">
        <v>25000</v>
      </c>
    </row>
    <row r="138" spans="1:7">
      <c r="A138" s="185" t="s">
        <v>651</v>
      </c>
      <c r="B138" s="571" t="s">
        <v>405</v>
      </c>
      <c r="C138" s="185" t="s">
        <v>657</v>
      </c>
      <c r="D138" s="575">
        <v>-3.9</v>
      </c>
      <c r="E138" s="576">
        <v>-268.2</v>
      </c>
      <c r="F138" s="572">
        <v>46112</v>
      </c>
      <c r="G138" s="185">
        <v>15000</v>
      </c>
    </row>
    <row r="139" spans="1:7">
      <c r="A139" s="185" t="s">
        <v>651</v>
      </c>
      <c r="B139" s="571" t="s">
        <v>405</v>
      </c>
      <c r="C139" s="185" t="s">
        <v>658</v>
      </c>
      <c r="D139" s="575">
        <v>-27.5</v>
      </c>
      <c r="E139" s="576">
        <v>0</v>
      </c>
      <c r="F139" s="572">
        <v>46112</v>
      </c>
      <c r="G139" s="185">
        <v>30000</v>
      </c>
    </row>
    <row r="140" spans="1:7">
      <c r="A140" s="185" t="s">
        <v>651</v>
      </c>
      <c r="B140" s="571" t="s">
        <v>405</v>
      </c>
      <c r="C140" s="185" t="s">
        <v>659</v>
      </c>
      <c r="D140" s="575">
        <v>-11.3</v>
      </c>
      <c r="E140" s="576">
        <v>0</v>
      </c>
      <c r="F140" s="572">
        <v>46477</v>
      </c>
      <c r="G140" s="185">
        <v>50000</v>
      </c>
    </row>
    <row r="141" spans="1:7">
      <c r="A141" s="185" t="s">
        <v>651</v>
      </c>
      <c r="B141" s="571" t="s">
        <v>405</v>
      </c>
      <c r="C141" s="185" t="s">
        <v>660</v>
      </c>
      <c r="D141" s="575">
        <v>-10.9</v>
      </c>
      <c r="E141" s="576">
        <v>0</v>
      </c>
      <c r="F141" s="572">
        <v>46477</v>
      </c>
      <c r="G141" s="185">
        <v>30000</v>
      </c>
    </row>
    <row r="142" spans="1:7">
      <c r="A142" s="185" t="s">
        <v>651</v>
      </c>
      <c r="B142" s="571" t="s">
        <v>405</v>
      </c>
      <c r="C142" s="185" t="s">
        <v>661</v>
      </c>
      <c r="D142" s="575">
        <v>-9.6</v>
      </c>
      <c r="E142" s="576">
        <v>0</v>
      </c>
      <c r="F142" s="572">
        <v>46843</v>
      </c>
      <c r="G142" s="185">
        <v>1400</v>
      </c>
    </row>
    <row r="143" spans="1:7">
      <c r="A143" s="185" t="s">
        <v>651</v>
      </c>
      <c r="B143" s="571" t="s">
        <v>405</v>
      </c>
      <c r="C143" s="185" t="s">
        <v>662</v>
      </c>
      <c r="D143" s="575">
        <v>-8.1999999999999993</v>
      </c>
      <c r="E143" s="576">
        <v>-33.5</v>
      </c>
      <c r="F143" s="572">
        <v>47573</v>
      </c>
      <c r="G143" s="185">
        <v>7500</v>
      </c>
    </row>
    <row r="144" spans="1:7">
      <c r="A144" s="185" t="s">
        <v>651</v>
      </c>
      <c r="B144" s="571" t="s">
        <v>405</v>
      </c>
      <c r="C144" s="185" t="s">
        <v>663</v>
      </c>
      <c r="D144" s="575">
        <v>-68.7</v>
      </c>
      <c r="E144" s="576">
        <v>-148.9</v>
      </c>
      <c r="F144" s="572">
        <v>45382</v>
      </c>
      <c r="G144" s="185">
        <v>25000</v>
      </c>
    </row>
    <row r="145" spans="1:7">
      <c r="A145" s="185" t="s">
        <v>651</v>
      </c>
      <c r="B145" s="571" t="s">
        <v>405</v>
      </c>
      <c r="C145" s="185" t="s">
        <v>664</v>
      </c>
      <c r="D145" s="575"/>
      <c r="E145" s="575"/>
      <c r="F145" s="572">
        <v>45382</v>
      </c>
      <c r="G145" s="185"/>
    </row>
  </sheetData>
  <customSheetViews>
    <customSheetView guid="{0FAFE012-8D9E-4ED0-86A4-A997E430971B}" topLeftCell="A37">
      <selection activeCell="F2" sqref="F2"/>
      <pageMargins left="0.7" right="0.7" top="0.75" bottom="0.75" header="0.3" footer="0.3"/>
    </customSheetView>
  </customSheetViews>
  <phoneticPr fontId="93"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52038-B932-43C5-BE64-E14359B1F018}">
  <sheetPr>
    <tabColor rgb="FF7030A0"/>
  </sheetPr>
  <dimension ref="A1:CA75"/>
  <sheetViews>
    <sheetView zoomScale="85" zoomScaleNormal="85" workbookViewId="0">
      <selection activeCell="G25" sqref="G25"/>
    </sheetView>
  </sheetViews>
  <sheetFormatPr defaultRowHeight="12.5"/>
  <cols>
    <col min="1" max="1" width="29.08984375" style="939" customWidth="1"/>
    <col min="2" max="2" width="113.54296875" style="939" customWidth="1"/>
    <col min="3" max="3" width="19.7265625" style="939" customWidth="1"/>
    <col min="4" max="4" width="17" style="939" customWidth="1"/>
    <col min="5" max="5" width="36" style="939" customWidth="1"/>
    <col min="6" max="6" width="27.7265625" style="939" customWidth="1"/>
    <col min="7" max="7" width="22.7265625" style="939" customWidth="1"/>
    <col min="8" max="8" width="82" style="939" customWidth="1"/>
    <col min="9" max="9" width="25.6328125" style="939" bestFit="1" customWidth="1"/>
    <col min="10" max="10" width="25" style="939" bestFit="1" customWidth="1"/>
    <col min="11" max="11" width="10.1796875" style="939" bestFit="1" customWidth="1"/>
    <col min="12" max="12" width="12.08984375" style="939" customWidth="1"/>
    <col min="13" max="13" width="21.26953125" style="939" customWidth="1"/>
    <col min="14" max="38" width="8.7265625" style="939"/>
    <col min="39" max="39" width="20.81640625" style="939" customWidth="1"/>
    <col min="40" max="40" width="15.36328125" style="939" customWidth="1"/>
    <col min="41" max="41" width="8.7265625" style="939"/>
    <col min="42" max="42" width="9.90625" style="939" bestFit="1" customWidth="1"/>
    <col min="43" max="43" width="8.7265625" style="939"/>
    <col min="44" max="44" width="9.90625" style="939" bestFit="1" customWidth="1"/>
    <col min="45" max="45" width="8.7265625" style="939"/>
    <col min="46" max="46" width="11.7265625" style="939" bestFit="1" customWidth="1"/>
    <col min="47" max="48" width="8.81640625" style="939" bestFit="1" customWidth="1"/>
    <col min="49" max="16384" width="8.7265625" style="939"/>
  </cols>
  <sheetData>
    <row r="1" spans="1:51" ht="42.5">
      <c r="A1" s="756" t="s">
        <v>953</v>
      </c>
    </row>
    <row r="2" spans="1:51" ht="42.5">
      <c r="A2" s="756" t="s">
        <v>31</v>
      </c>
    </row>
    <row r="4" spans="1:51" ht="18.5" customHeight="1">
      <c r="J4" s="760"/>
    </row>
    <row r="5" spans="1:51" ht="45" customHeight="1" thickBot="1">
      <c r="A5" s="933" t="s">
        <v>952</v>
      </c>
      <c r="B5" s="760"/>
      <c r="C5" s="760"/>
      <c r="D5" s="760"/>
      <c r="E5" s="760"/>
      <c r="F5" s="760"/>
      <c r="G5" s="760"/>
      <c r="H5" s="760"/>
      <c r="I5" s="760"/>
      <c r="J5" s="760" t="s">
        <v>957</v>
      </c>
      <c r="K5" s="760" t="s">
        <v>958</v>
      </c>
      <c r="L5" s="760"/>
    </row>
    <row r="6" spans="1:51" ht="60.5" customHeight="1" thickTop="1" thickBot="1">
      <c r="A6" s="943" t="s">
        <v>391</v>
      </c>
      <c r="B6" s="943" t="s">
        <v>392</v>
      </c>
      <c r="C6" s="942" t="s">
        <v>393</v>
      </c>
      <c r="D6" s="942" t="s">
        <v>394</v>
      </c>
      <c r="E6" s="942" t="s">
        <v>396</v>
      </c>
      <c r="F6" s="942" t="s">
        <v>960</v>
      </c>
      <c r="G6" s="942" t="s">
        <v>961</v>
      </c>
      <c r="J6" s="760" t="s">
        <v>946</v>
      </c>
      <c r="K6" s="947">
        <v>54878</v>
      </c>
      <c r="L6" s="760"/>
      <c r="M6" s="947" t="e">
        <f t="shared" ref="M6:M25" si="0">VLOOKUP($G6,$J$6:$K$23,2,0)</f>
        <v>#N/A</v>
      </c>
      <c r="N6" s="760"/>
      <c r="O6" s="760"/>
      <c r="P6" s="760"/>
      <c r="Q6" s="760"/>
      <c r="W6" s="946"/>
      <c r="X6" s="946"/>
      <c r="Y6" s="946"/>
    </row>
    <row r="7" spans="1:51" ht="22" customHeight="1" thickTop="1" thickBot="1">
      <c r="A7" s="953" t="s">
        <v>403</v>
      </c>
      <c r="B7" s="954" t="s">
        <v>404</v>
      </c>
      <c r="C7" s="955">
        <f t="shared" ref="C7:C25" si="1">IF(G7="Reject",0,P7)</f>
        <v>-20</v>
      </c>
      <c r="D7" s="955">
        <f t="shared" ref="D7:D25" si="2">IF(G7="Reject",0,Q7)</f>
        <v>0</v>
      </c>
      <c r="E7" s="956">
        <f t="shared" ref="E7:E25" si="3">IF(G7="Reject",0,O7)</f>
        <v>143895</v>
      </c>
      <c r="F7" s="957">
        <v>45382</v>
      </c>
      <c r="G7" s="958" t="s">
        <v>287</v>
      </c>
      <c r="J7" s="760" t="s">
        <v>287</v>
      </c>
      <c r="K7" s="947">
        <v>45382</v>
      </c>
      <c r="L7" s="947" t="str">
        <f t="shared" ref="L7:L25" si="4">G7</f>
        <v>FY24</v>
      </c>
      <c r="M7" s="947">
        <f t="shared" si="0"/>
        <v>45382</v>
      </c>
      <c r="N7" s="948" t="s">
        <v>945</v>
      </c>
      <c r="O7" s="887">
        <v>143895</v>
      </c>
      <c r="P7" s="911">
        <v>-20</v>
      </c>
      <c r="Q7" s="911"/>
      <c r="W7" s="946"/>
      <c r="X7" s="946"/>
      <c r="Y7" s="946"/>
    </row>
    <row r="8" spans="1:51" ht="22" customHeight="1" thickBot="1">
      <c r="A8" s="959" t="s">
        <v>405</v>
      </c>
      <c r="B8" s="960" t="s">
        <v>406</v>
      </c>
      <c r="C8" s="961">
        <f t="shared" si="1"/>
        <v>0</v>
      </c>
      <c r="D8" s="961">
        <f t="shared" si="2"/>
        <v>0</v>
      </c>
      <c r="E8" s="962">
        <f t="shared" si="3"/>
        <v>30000</v>
      </c>
      <c r="F8" s="963">
        <v>45382</v>
      </c>
      <c r="G8" s="964" t="s">
        <v>287</v>
      </c>
      <c r="J8" s="760" t="s">
        <v>190</v>
      </c>
      <c r="K8" s="947">
        <v>45747</v>
      </c>
      <c r="L8" s="947" t="str">
        <f t="shared" si="4"/>
        <v>FY24</v>
      </c>
      <c r="M8" s="947">
        <f t="shared" si="0"/>
        <v>45382</v>
      </c>
      <c r="N8" s="948" t="s">
        <v>946</v>
      </c>
      <c r="O8" s="887">
        <v>30000</v>
      </c>
      <c r="P8" s="911"/>
      <c r="Q8" s="911"/>
      <c r="W8" s="946"/>
      <c r="X8" s="946"/>
      <c r="Y8" s="946"/>
    </row>
    <row r="9" spans="1:51" ht="22" customHeight="1" thickBot="1">
      <c r="A9" s="959" t="s">
        <v>407</v>
      </c>
      <c r="B9" s="960" t="s">
        <v>408</v>
      </c>
      <c r="C9" s="961">
        <f t="shared" si="1"/>
        <v>-100</v>
      </c>
      <c r="D9" s="961">
        <f t="shared" si="2"/>
        <v>0</v>
      </c>
      <c r="E9" s="962">
        <f t="shared" si="3"/>
        <v>143000</v>
      </c>
      <c r="F9" s="963">
        <v>45747</v>
      </c>
      <c r="G9" s="964" t="s">
        <v>190</v>
      </c>
      <c r="J9" s="760" t="s">
        <v>191</v>
      </c>
      <c r="K9" s="947">
        <v>46112</v>
      </c>
      <c r="L9" s="947" t="str">
        <f t="shared" si="4"/>
        <v>FY25</v>
      </c>
      <c r="M9" s="947">
        <f t="shared" si="0"/>
        <v>45747</v>
      </c>
      <c r="N9" s="949"/>
      <c r="O9" s="887">
        <v>143000</v>
      </c>
      <c r="P9" s="911">
        <v>-100</v>
      </c>
      <c r="Q9" s="911"/>
      <c r="W9" s="946"/>
      <c r="X9" s="946"/>
      <c r="Y9" s="946"/>
    </row>
    <row r="10" spans="1:51" ht="22" customHeight="1" thickBot="1">
      <c r="A10" s="959" t="s">
        <v>409</v>
      </c>
      <c r="B10" s="960" t="s">
        <v>410</v>
      </c>
      <c r="C10" s="961">
        <f t="shared" si="1"/>
        <v>-240</v>
      </c>
      <c r="D10" s="961">
        <f t="shared" si="2"/>
        <v>0</v>
      </c>
      <c r="E10" s="962">
        <f t="shared" si="3"/>
        <v>81100</v>
      </c>
      <c r="F10" s="963">
        <v>45747</v>
      </c>
      <c r="G10" s="964" t="s">
        <v>190</v>
      </c>
      <c r="J10" s="760" t="s">
        <v>192</v>
      </c>
      <c r="K10" s="947">
        <v>46477</v>
      </c>
      <c r="L10" s="947" t="str">
        <f t="shared" si="4"/>
        <v>FY25</v>
      </c>
      <c r="M10" s="947">
        <f t="shared" si="0"/>
        <v>45747</v>
      </c>
      <c r="N10" s="949"/>
      <c r="O10" s="887">
        <v>81100</v>
      </c>
      <c r="P10" s="911">
        <v>-240</v>
      </c>
      <c r="Q10" s="911"/>
      <c r="W10" s="946"/>
      <c r="X10" s="946"/>
      <c r="Y10" s="946"/>
    </row>
    <row r="11" spans="1:51" ht="22" customHeight="1" thickBot="1">
      <c r="A11" s="959" t="s">
        <v>409</v>
      </c>
      <c r="B11" s="960" t="s">
        <v>411</v>
      </c>
      <c r="C11" s="961">
        <f t="shared" si="1"/>
        <v>-80</v>
      </c>
      <c r="D11" s="961">
        <f t="shared" si="2"/>
        <v>0</v>
      </c>
      <c r="E11" s="962">
        <f t="shared" si="3"/>
        <v>168800</v>
      </c>
      <c r="F11" s="963">
        <v>45747</v>
      </c>
      <c r="G11" s="964" t="s">
        <v>190</v>
      </c>
      <c r="J11" s="760" t="s">
        <v>193</v>
      </c>
      <c r="K11" s="947">
        <v>46843</v>
      </c>
      <c r="L11" s="947" t="str">
        <f t="shared" si="4"/>
        <v>FY25</v>
      </c>
      <c r="M11" s="947">
        <f t="shared" si="0"/>
        <v>45747</v>
      </c>
      <c r="N11" s="949"/>
      <c r="O11" s="887">
        <v>168800</v>
      </c>
      <c r="P11" s="911">
        <v>-80</v>
      </c>
      <c r="Q11" s="911"/>
      <c r="W11" s="946"/>
      <c r="X11" s="946"/>
      <c r="Y11" s="946"/>
    </row>
    <row r="12" spans="1:51" ht="22" customHeight="1" thickBot="1">
      <c r="A12" s="959" t="s">
        <v>409</v>
      </c>
      <c r="B12" s="960" t="s">
        <v>412</v>
      </c>
      <c r="C12" s="961">
        <f t="shared" si="1"/>
        <v>0</v>
      </c>
      <c r="D12" s="961">
        <f t="shared" si="2"/>
        <v>0</v>
      </c>
      <c r="E12" s="962">
        <f t="shared" si="3"/>
        <v>56300</v>
      </c>
      <c r="F12" s="963">
        <v>45747</v>
      </c>
      <c r="G12" s="964" t="s">
        <v>190</v>
      </c>
      <c r="I12" s="940"/>
      <c r="J12" s="760" t="s">
        <v>194</v>
      </c>
      <c r="K12" s="947">
        <v>47208</v>
      </c>
      <c r="L12" s="947" t="str">
        <f t="shared" si="4"/>
        <v>FY25</v>
      </c>
      <c r="M12" s="947">
        <f t="shared" si="0"/>
        <v>45747</v>
      </c>
      <c r="N12" s="949"/>
      <c r="O12" s="887">
        <v>56300</v>
      </c>
      <c r="P12" s="911">
        <v>0</v>
      </c>
      <c r="Q12" s="911"/>
      <c r="W12" s="946"/>
      <c r="X12" s="946"/>
      <c r="Y12" s="946"/>
      <c r="AV12" s="940"/>
      <c r="AW12" s="940"/>
      <c r="AX12" s="940"/>
      <c r="AY12" s="940"/>
    </row>
    <row r="13" spans="1:51" ht="22" customHeight="1" thickBot="1">
      <c r="A13" s="959" t="s">
        <v>409</v>
      </c>
      <c r="B13" s="960" t="s">
        <v>413</v>
      </c>
      <c r="C13" s="961">
        <f t="shared" si="1"/>
        <v>-120</v>
      </c>
      <c r="D13" s="961">
        <f t="shared" si="2"/>
        <v>0</v>
      </c>
      <c r="E13" s="962">
        <f t="shared" si="3"/>
        <v>1897200</v>
      </c>
      <c r="F13" s="963">
        <v>45747</v>
      </c>
      <c r="G13" s="964" t="s">
        <v>190</v>
      </c>
      <c r="I13" s="940"/>
      <c r="J13" s="760" t="s">
        <v>195</v>
      </c>
      <c r="K13" s="947">
        <v>47573</v>
      </c>
      <c r="L13" s="947" t="str">
        <f t="shared" si="4"/>
        <v>FY25</v>
      </c>
      <c r="M13" s="947">
        <f t="shared" si="0"/>
        <v>45747</v>
      </c>
      <c r="N13" s="949"/>
      <c r="O13" s="887">
        <v>1897200</v>
      </c>
      <c r="P13" s="911">
        <v>-120</v>
      </c>
      <c r="Q13" s="911"/>
      <c r="W13" s="946"/>
      <c r="X13" s="946"/>
      <c r="Y13" s="946"/>
      <c r="AV13" s="940"/>
      <c r="AW13" s="940"/>
      <c r="AX13" s="940"/>
      <c r="AY13" s="940"/>
    </row>
    <row r="14" spans="1:51" ht="22" customHeight="1" thickBot="1">
      <c r="A14" s="959" t="s">
        <v>414</v>
      </c>
      <c r="B14" s="960" t="s">
        <v>415</v>
      </c>
      <c r="C14" s="961">
        <f t="shared" si="1"/>
        <v>40</v>
      </c>
      <c r="D14" s="961">
        <f t="shared" si="2"/>
        <v>-450</v>
      </c>
      <c r="E14" s="962">
        <f t="shared" si="3"/>
        <v>675400</v>
      </c>
      <c r="F14" s="963">
        <v>46112</v>
      </c>
      <c r="G14" s="964" t="s">
        <v>191</v>
      </c>
      <c r="I14" s="940"/>
      <c r="J14" s="760" t="s">
        <v>196</v>
      </c>
      <c r="K14" s="947">
        <v>47938</v>
      </c>
      <c r="L14" s="947" t="str">
        <f t="shared" si="4"/>
        <v>FY26</v>
      </c>
      <c r="M14" s="947">
        <f t="shared" si="0"/>
        <v>46112</v>
      </c>
      <c r="N14" s="949"/>
      <c r="O14" s="887">
        <v>675400</v>
      </c>
      <c r="P14" s="911">
        <v>40</v>
      </c>
      <c r="Q14" s="911">
        <v>-450</v>
      </c>
      <c r="W14" s="946"/>
      <c r="X14" s="946"/>
      <c r="Y14" s="946"/>
      <c r="AV14" s="940"/>
      <c r="AW14" s="940"/>
      <c r="AX14" s="940"/>
      <c r="AY14" s="940"/>
    </row>
    <row r="15" spans="1:51" ht="22" customHeight="1" thickBot="1">
      <c r="A15" s="959" t="s">
        <v>416</v>
      </c>
      <c r="B15" s="960" t="s">
        <v>417</v>
      </c>
      <c r="C15" s="961">
        <f t="shared" si="1"/>
        <v>-15</v>
      </c>
      <c r="D15" s="961">
        <f t="shared" si="2"/>
        <v>0</v>
      </c>
      <c r="E15" s="962">
        <f t="shared" si="3"/>
        <v>168900</v>
      </c>
      <c r="F15" s="963">
        <v>46112</v>
      </c>
      <c r="G15" s="964" t="s">
        <v>191</v>
      </c>
      <c r="I15" s="940"/>
      <c r="J15" s="760" t="s">
        <v>197</v>
      </c>
      <c r="K15" s="947">
        <v>48304</v>
      </c>
      <c r="L15" s="947" t="str">
        <f t="shared" si="4"/>
        <v>FY26</v>
      </c>
      <c r="M15" s="947">
        <f t="shared" si="0"/>
        <v>46112</v>
      </c>
      <c r="N15" s="949"/>
      <c r="O15" s="887">
        <v>168900</v>
      </c>
      <c r="P15" s="911">
        <v>-15</v>
      </c>
      <c r="Q15" s="911"/>
      <c r="W15" s="946"/>
      <c r="X15" s="946"/>
      <c r="Y15" s="946"/>
      <c r="AV15" s="940"/>
      <c r="AW15" s="940"/>
      <c r="AX15" s="940"/>
      <c r="AY15" s="940"/>
    </row>
    <row r="16" spans="1:51" ht="22" customHeight="1" thickBot="1">
      <c r="A16" s="959" t="s">
        <v>418</v>
      </c>
      <c r="B16" s="960" t="s">
        <v>419</v>
      </c>
      <c r="C16" s="961">
        <f t="shared" si="1"/>
        <v>-10</v>
      </c>
      <c r="D16" s="961">
        <f t="shared" si="2"/>
        <v>0</v>
      </c>
      <c r="E16" s="962">
        <f t="shared" si="3"/>
        <v>50700</v>
      </c>
      <c r="F16" s="963">
        <v>46112</v>
      </c>
      <c r="G16" s="964" t="s">
        <v>191</v>
      </c>
      <c r="I16" s="940"/>
      <c r="J16" s="760" t="s">
        <v>198</v>
      </c>
      <c r="K16" s="947">
        <v>48669</v>
      </c>
      <c r="L16" s="947" t="str">
        <f t="shared" si="4"/>
        <v>FY26</v>
      </c>
      <c r="M16" s="947">
        <f t="shared" si="0"/>
        <v>46112</v>
      </c>
      <c r="N16" s="949"/>
      <c r="O16" s="887">
        <v>50700</v>
      </c>
      <c r="P16" s="911">
        <v>-10</v>
      </c>
      <c r="Q16" s="911"/>
      <c r="W16" s="946"/>
      <c r="X16" s="946"/>
      <c r="Y16" s="946"/>
      <c r="AV16" s="940"/>
      <c r="AW16" s="940"/>
      <c r="AX16" s="940"/>
      <c r="AY16" s="940"/>
    </row>
    <row r="17" spans="1:51" ht="22" customHeight="1" thickBot="1">
      <c r="A17" s="959" t="s">
        <v>418</v>
      </c>
      <c r="B17" s="960" t="s">
        <v>420</v>
      </c>
      <c r="C17" s="961">
        <f t="shared" si="1"/>
        <v>-15</v>
      </c>
      <c r="D17" s="961">
        <f t="shared" si="2"/>
        <v>0</v>
      </c>
      <c r="E17" s="962">
        <f t="shared" si="3"/>
        <v>84400</v>
      </c>
      <c r="F17" s="963">
        <v>46112</v>
      </c>
      <c r="G17" s="964" t="s">
        <v>191</v>
      </c>
      <c r="I17" s="940"/>
      <c r="J17" s="760" t="s">
        <v>199</v>
      </c>
      <c r="K17" s="947">
        <v>49034</v>
      </c>
      <c r="L17" s="947" t="str">
        <f t="shared" si="4"/>
        <v>FY26</v>
      </c>
      <c r="M17" s="947">
        <f t="shared" si="0"/>
        <v>46112</v>
      </c>
      <c r="N17" s="949"/>
      <c r="O17" s="887">
        <v>84400</v>
      </c>
      <c r="P17" s="911">
        <v>-15</v>
      </c>
      <c r="Q17" s="911"/>
      <c r="W17" s="946"/>
      <c r="X17" s="946"/>
      <c r="Y17" s="946"/>
      <c r="AV17" s="940"/>
      <c r="AW17" s="940"/>
      <c r="AX17" s="940"/>
      <c r="AY17" s="940"/>
    </row>
    <row r="18" spans="1:51" ht="22" customHeight="1" thickBot="1">
      <c r="A18" s="959" t="s">
        <v>418</v>
      </c>
      <c r="B18" s="960" t="s">
        <v>421</v>
      </c>
      <c r="C18" s="961">
        <f t="shared" si="1"/>
        <v>-40</v>
      </c>
      <c r="D18" s="961">
        <f t="shared" si="2"/>
        <v>0</v>
      </c>
      <c r="E18" s="962">
        <f t="shared" si="3"/>
        <v>84400</v>
      </c>
      <c r="F18" s="963">
        <v>46112</v>
      </c>
      <c r="G18" s="964" t="s">
        <v>191</v>
      </c>
      <c r="I18" s="940"/>
      <c r="J18" s="760" t="s">
        <v>939</v>
      </c>
      <c r="K18" s="947">
        <v>49399</v>
      </c>
      <c r="L18" s="947" t="str">
        <f t="shared" si="4"/>
        <v>FY26</v>
      </c>
      <c r="M18" s="947">
        <f t="shared" si="0"/>
        <v>46112</v>
      </c>
      <c r="N18" s="949"/>
      <c r="O18" s="887">
        <v>84400</v>
      </c>
      <c r="P18" s="911">
        <v>-40</v>
      </c>
      <c r="Q18" s="911"/>
      <c r="W18" s="946"/>
      <c r="X18" s="946"/>
      <c r="Y18" s="946"/>
      <c r="AV18" s="940"/>
      <c r="AW18" s="940"/>
      <c r="AX18" s="940"/>
      <c r="AY18" s="940"/>
    </row>
    <row r="19" spans="1:51" ht="19" customHeight="1" thickBot="1">
      <c r="A19" s="965" t="s">
        <v>959</v>
      </c>
      <c r="B19" s="945" t="s">
        <v>956</v>
      </c>
      <c r="C19" s="961">
        <f t="shared" si="1"/>
        <v>-10</v>
      </c>
      <c r="D19" s="961">
        <f t="shared" si="2"/>
        <v>-38</v>
      </c>
      <c r="E19" s="962">
        <f t="shared" si="3"/>
        <v>1367000</v>
      </c>
      <c r="F19" s="963">
        <v>46112</v>
      </c>
      <c r="G19" s="964" t="s">
        <v>191</v>
      </c>
      <c r="I19" s="940"/>
      <c r="J19" s="760" t="s">
        <v>940</v>
      </c>
      <c r="K19" s="947">
        <v>49765</v>
      </c>
      <c r="L19" s="947" t="str">
        <f t="shared" si="4"/>
        <v>FY26</v>
      </c>
      <c r="M19" s="947">
        <f t="shared" si="0"/>
        <v>46112</v>
      </c>
      <c r="N19" s="949"/>
      <c r="O19" s="887">
        <f>567000+800000</f>
        <v>1367000</v>
      </c>
      <c r="P19" s="911">
        <v>-10</v>
      </c>
      <c r="Q19" s="911">
        <v>-38</v>
      </c>
      <c r="W19" s="946"/>
      <c r="X19" s="946"/>
      <c r="Y19" s="946"/>
      <c r="AV19" s="940"/>
      <c r="AW19" s="940"/>
      <c r="AX19" s="940"/>
      <c r="AY19" s="940"/>
    </row>
    <row r="20" spans="1:51" ht="22" customHeight="1" thickBot="1">
      <c r="A20" s="965" t="s">
        <v>959</v>
      </c>
      <c r="B20" s="960" t="s">
        <v>938</v>
      </c>
      <c r="C20" s="961">
        <f t="shared" si="1"/>
        <v>-10</v>
      </c>
      <c r="D20" s="961">
        <f t="shared" si="2"/>
        <v>-38</v>
      </c>
      <c r="E20" s="962">
        <f t="shared" si="3"/>
        <v>1100000</v>
      </c>
      <c r="F20" s="963">
        <v>46477</v>
      </c>
      <c r="G20" s="964" t="s">
        <v>192</v>
      </c>
      <c r="I20" s="940"/>
      <c r="J20" s="760" t="s">
        <v>941</v>
      </c>
      <c r="K20" s="947">
        <v>50130</v>
      </c>
      <c r="L20" s="947" t="str">
        <f t="shared" si="4"/>
        <v>FY27</v>
      </c>
      <c r="M20" s="947">
        <f t="shared" si="0"/>
        <v>46477</v>
      </c>
      <c r="N20" s="949"/>
      <c r="O20" s="887">
        <v>1100000</v>
      </c>
      <c r="P20" s="911">
        <v>-10</v>
      </c>
      <c r="Q20" s="911">
        <v>-38</v>
      </c>
      <c r="W20" s="946"/>
      <c r="X20" s="946"/>
      <c r="Y20" s="946"/>
      <c r="AV20" s="940"/>
      <c r="AW20" s="940"/>
      <c r="AX20" s="940"/>
      <c r="AY20" s="940"/>
    </row>
    <row r="21" spans="1:51" ht="22" customHeight="1" thickBot="1">
      <c r="A21" s="965" t="s">
        <v>959</v>
      </c>
      <c r="B21" s="960" t="s">
        <v>938</v>
      </c>
      <c r="C21" s="961">
        <f t="shared" si="1"/>
        <v>-10</v>
      </c>
      <c r="D21" s="961">
        <f t="shared" si="2"/>
        <v>-38</v>
      </c>
      <c r="E21" s="962">
        <f t="shared" si="3"/>
        <v>1100000</v>
      </c>
      <c r="F21" s="963">
        <v>46843</v>
      </c>
      <c r="G21" s="964" t="s">
        <v>193</v>
      </c>
      <c r="I21" s="940"/>
      <c r="J21" s="760" t="s">
        <v>942</v>
      </c>
      <c r="K21" s="947">
        <v>50495</v>
      </c>
      <c r="L21" s="947" t="str">
        <f t="shared" si="4"/>
        <v>FY28</v>
      </c>
      <c r="M21" s="947">
        <f t="shared" si="0"/>
        <v>46843</v>
      </c>
      <c r="N21" s="949"/>
      <c r="O21" s="887">
        <v>1100000</v>
      </c>
      <c r="P21" s="911">
        <v>-10</v>
      </c>
      <c r="Q21" s="911">
        <v>-38</v>
      </c>
      <c r="W21" s="946"/>
      <c r="X21" s="946"/>
      <c r="Y21" s="946"/>
      <c r="AV21" s="940"/>
      <c r="AW21" s="940"/>
      <c r="AX21" s="940"/>
      <c r="AY21" s="940"/>
    </row>
    <row r="22" spans="1:51" ht="22" customHeight="1" thickBot="1">
      <c r="A22" s="965" t="s">
        <v>959</v>
      </c>
      <c r="B22" s="960" t="s">
        <v>938</v>
      </c>
      <c r="C22" s="961">
        <f t="shared" si="1"/>
        <v>-10</v>
      </c>
      <c r="D22" s="961">
        <f t="shared" si="2"/>
        <v>-38</v>
      </c>
      <c r="E22" s="962">
        <f t="shared" si="3"/>
        <v>1100000</v>
      </c>
      <c r="F22" s="963">
        <v>47208</v>
      </c>
      <c r="G22" s="964" t="s">
        <v>194</v>
      </c>
      <c r="I22" s="940"/>
      <c r="J22" s="760" t="s">
        <v>943</v>
      </c>
      <c r="K22" s="947">
        <v>50860</v>
      </c>
      <c r="L22" s="947" t="str">
        <f t="shared" si="4"/>
        <v>FY29</v>
      </c>
      <c r="M22" s="947">
        <f t="shared" si="0"/>
        <v>47208</v>
      </c>
      <c r="N22" s="949"/>
      <c r="O22" s="887">
        <v>1100000</v>
      </c>
      <c r="P22" s="911">
        <v>-10</v>
      </c>
      <c r="Q22" s="911">
        <v>-38</v>
      </c>
      <c r="W22" s="946"/>
      <c r="X22" s="946"/>
      <c r="Y22" s="946"/>
      <c r="AV22" s="940"/>
      <c r="AW22" s="940"/>
      <c r="AX22" s="940"/>
      <c r="AY22" s="940"/>
    </row>
    <row r="23" spans="1:51" ht="22" customHeight="1" thickBot="1">
      <c r="A23" s="965" t="s">
        <v>959</v>
      </c>
      <c r="B23" s="960" t="s">
        <v>938</v>
      </c>
      <c r="C23" s="961">
        <f t="shared" si="1"/>
        <v>-10</v>
      </c>
      <c r="D23" s="961">
        <f t="shared" si="2"/>
        <v>-38</v>
      </c>
      <c r="E23" s="962">
        <f t="shared" si="3"/>
        <v>1100000</v>
      </c>
      <c r="F23" s="963">
        <v>47573</v>
      </c>
      <c r="G23" s="964" t="s">
        <v>195</v>
      </c>
      <c r="I23" s="940"/>
      <c r="J23" s="760" t="s">
        <v>944</v>
      </c>
      <c r="K23" s="947">
        <v>51226</v>
      </c>
      <c r="L23" s="947" t="str">
        <f t="shared" si="4"/>
        <v>FY30</v>
      </c>
      <c r="M23" s="947">
        <f t="shared" si="0"/>
        <v>47573</v>
      </c>
      <c r="N23" s="949"/>
      <c r="O23" s="887">
        <v>1100000</v>
      </c>
      <c r="P23" s="911">
        <v>-10</v>
      </c>
      <c r="Q23" s="911">
        <v>-38</v>
      </c>
      <c r="W23" s="946"/>
      <c r="X23" s="946"/>
      <c r="Y23" s="946"/>
      <c r="AV23" s="940"/>
      <c r="AW23" s="940"/>
      <c r="AX23" s="940"/>
      <c r="AY23" s="940"/>
    </row>
    <row r="24" spans="1:51" ht="22" customHeight="1" thickBot="1">
      <c r="A24" s="959" t="s">
        <v>418</v>
      </c>
      <c r="B24" s="960" t="s">
        <v>424</v>
      </c>
      <c r="C24" s="961">
        <f t="shared" si="1"/>
        <v>-130</v>
      </c>
      <c r="D24" s="961">
        <f t="shared" si="2"/>
        <v>-500</v>
      </c>
      <c r="E24" s="962">
        <f t="shared" si="3"/>
        <v>1542000</v>
      </c>
      <c r="F24" s="963">
        <v>48304</v>
      </c>
      <c r="G24" s="964" t="s">
        <v>195</v>
      </c>
      <c r="I24" s="940"/>
      <c r="J24" s="760"/>
      <c r="K24" s="947"/>
      <c r="L24" s="947" t="str">
        <f t="shared" si="4"/>
        <v>FY30</v>
      </c>
      <c r="M24" s="947">
        <f t="shared" si="0"/>
        <v>47573</v>
      </c>
      <c r="N24" s="949"/>
      <c r="O24" s="887">
        <v>1542000</v>
      </c>
      <c r="P24" s="911">
        <v>-130</v>
      </c>
      <c r="Q24" s="911">
        <v>-500</v>
      </c>
      <c r="W24" s="946"/>
      <c r="X24" s="946"/>
      <c r="Y24" s="946"/>
      <c r="AV24" s="940"/>
      <c r="AW24" s="940"/>
      <c r="AX24" s="940"/>
      <c r="AY24" s="940"/>
    </row>
    <row r="25" spans="1:51" ht="22" customHeight="1" thickBot="1">
      <c r="A25" s="959" t="s">
        <v>951</v>
      </c>
      <c r="B25" s="960" t="s">
        <v>948</v>
      </c>
      <c r="C25" s="961">
        <f t="shared" si="1"/>
        <v>0</v>
      </c>
      <c r="D25" s="961">
        <f t="shared" si="2"/>
        <v>0</v>
      </c>
      <c r="E25" s="962">
        <f t="shared" si="3"/>
        <v>0</v>
      </c>
      <c r="F25" s="963">
        <v>46477</v>
      </c>
      <c r="G25" s="964" t="s">
        <v>946</v>
      </c>
      <c r="I25" s="940"/>
      <c r="J25" s="760"/>
      <c r="K25" s="760"/>
      <c r="L25" s="760" t="str">
        <f t="shared" si="4"/>
        <v>Reject</v>
      </c>
      <c r="M25" s="947">
        <f t="shared" si="0"/>
        <v>54878</v>
      </c>
      <c r="N25" s="760"/>
      <c r="O25" s="887">
        <v>250000</v>
      </c>
      <c r="P25" s="911">
        <v>-10</v>
      </c>
      <c r="Q25" s="911">
        <v>-200</v>
      </c>
      <c r="W25" s="946"/>
      <c r="X25" s="946"/>
      <c r="Y25" s="946"/>
      <c r="AV25" s="940"/>
      <c r="AW25" s="940"/>
      <c r="AX25" s="940"/>
      <c r="AY25" s="940"/>
    </row>
    <row r="26" spans="1:51">
      <c r="G26" s="944"/>
      <c r="H26" s="944"/>
      <c r="Q26" s="946"/>
      <c r="R26" s="946"/>
      <c r="S26" s="946"/>
      <c r="T26" s="946"/>
      <c r="U26" s="946"/>
      <c r="V26" s="946"/>
      <c r="W26" s="946"/>
      <c r="X26" s="946"/>
      <c r="Y26" s="946"/>
      <c r="AM26" s="940"/>
      <c r="AN26" s="944"/>
      <c r="AO26" s="944"/>
      <c r="AP26" s="944"/>
      <c r="AQ26" s="944"/>
      <c r="AR26" s="944"/>
      <c r="AS26" s="946"/>
      <c r="AT26" s="946"/>
      <c r="AU26" s="946"/>
      <c r="AV26" s="940"/>
      <c r="AW26" s="940"/>
      <c r="AX26" s="940"/>
      <c r="AY26" s="940"/>
    </row>
    <row r="27" spans="1:51">
      <c r="AM27" s="940"/>
      <c r="AN27" s="940"/>
      <c r="AO27" s="940"/>
      <c r="AP27" s="940"/>
      <c r="AQ27" s="940"/>
      <c r="AR27" s="940"/>
      <c r="AS27" s="940"/>
      <c r="AT27" s="940"/>
      <c r="AU27" s="940"/>
      <c r="AV27" s="940"/>
      <c r="AW27" s="940"/>
      <c r="AX27" s="940"/>
      <c r="AY27" s="940"/>
    </row>
    <row r="28" spans="1:51">
      <c r="AM28" s="940"/>
      <c r="AN28" s="940"/>
      <c r="AO28" s="940"/>
      <c r="AP28" s="940"/>
      <c r="AQ28" s="940"/>
      <c r="AR28" s="940"/>
      <c r="AS28" s="940"/>
      <c r="AT28" s="940"/>
      <c r="AU28" s="940"/>
      <c r="AV28" s="940"/>
      <c r="AW28" s="940"/>
      <c r="AX28" s="940"/>
      <c r="AY28" s="940"/>
    </row>
    <row r="29" spans="1:51">
      <c r="AM29" s="940"/>
      <c r="AN29" s="940"/>
      <c r="AO29" s="940"/>
      <c r="AP29" s="940"/>
      <c r="AQ29" s="940"/>
      <c r="AR29" s="940"/>
      <c r="AS29" s="940"/>
      <c r="AT29" s="940"/>
      <c r="AU29" s="940"/>
      <c r="AV29" s="940"/>
      <c r="AW29" s="940"/>
      <c r="AX29" s="940"/>
      <c r="AY29" s="940"/>
    </row>
    <row r="30" spans="1:51">
      <c r="AM30" s="940"/>
      <c r="AN30" s="940"/>
      <c r="AO30" s="940"/>
      <c r="AP30" s="940"/>
      <c r="AQ30" s="940"/>
      <c r="AR30" s="940"/>
      <c r="AS30" s="940"/>
      <c r="AT30" s="940"/>
      <c r="AU30" s="940"/>
      <c r="AV30" s="940"/>
    </row>
    <row r="31" spans="1:51">
      <c r="AM31" s="940"/>
      <c r="AN31" s="940"/>
      <c r="AO31" s="940"/>
      <c r="AP31" s="940"/>
      <c r="AQ31" s="940"/>
      <c r="AR31" s="940"/>
      <c r="AS31" s="940"/>
      <c r="AT31" s="940"/>
      <c r="AU31" s="940"/>
      <c r="AV31" s="940"/>
    </row>
    <row r="32" spans="1:51">
      <c r="AM32" s="940"/>
      <c r="AN32" s="940"/>
      <c r="AO32" s="940"/>
      <c r="AP32" s="940"/>
      <c r="AQ32" s="940"/>
      <c r="AR32" s="940"/>
      <c r="AS32" s="940"/>
      <c r="AT32" s="940"/>
      <c r="AU32" s="940"/>
      <c r="AV32" s="940"/>
    </row>
    <row r="33" spans="5:79" ht="43" thickBot="1">
      <c r="AJ33" s="766" t="s">
        <v>349</v>
      </c>
      <c r="AK33" s="756"/>
      <c r="AL33" s="754"/>
      <c r="AM33" s="766" t="s">
        <v>351</v>
      </c>
      <c r="AN33" s="760"/>
      <c r="AO33" s="760"/>
      <c r="AP33" s="760"/>
      <c r="AQ33" s="803"/>
      <c r="AR33" s="760"/>
      <c r="AT33" s="940"/>
      <c r="AU33" s="940"/>
      <c r="AV33" s="940"/>
    </row>
    <row r="34" spans="5:79" ht="18.5" thickTop="1" thickBot="1">
      <c r="AJ34" s="943" t="s">
        <v>352</v>
      </c>
      <c r="AK34" s="755"/>
      <c r="AL34" s="755" t="s">
        <v>353</v>
      </c>
      <c r="AM34" s="975" t="s">
        <v>354</v>
      </c>
      <c r="AN34" s="975"/>
      <c r="AO34" s="975" t="s">
        <v>355</v>
      </c>
      <c r="AP34" s="975"/>
      <c r="AQ34" s="975" t="s">
        <v>356</v>
      </c>
      <c r="AR34" s="975"/>
      <c r="AT34" s="940"/>
      <c r="AU34" s="940"/>
      <c r="AV34" s="940"/>
    </row>
    <row r="35" spans="5:79" ht="16" thickTop="1">
      <c r="AJ35" s="805" t="s">
        <v>357</v>
      </c>
      <c r="AK35" s="806"/>
      <c r="AL35" s="913">
        <v>45016</v>
      </c>
      <c r="AM35" s="810" t="s">
        <v>358</v>
      </c>
      <c r="AN35" s="934" t="s">
        <v>18</v>
      </c>
      <c r="AO35" s="810" t="s">
        <v>358</v>
      </c>
      <c r="AP35" s="934" t="s">
        <v>18</v>
      </c>
      <c r="AQ35" s="810" t="s">
        <v>358</v>
      </c>
      <c r="AR35" s="935" t="str">
        <f>IF(AR37=1,"Complete",IF(AR39&lt;&gt;0,"Complete","Outstanding"))</f>
        <v>Outstanding</v>
      </c>
      <c r="AT35" s="940"/>
      <c r="AU35" s="940"/>
      <c r="AV35" s="940"/>
    </row>
    <row r="36" spans="5:79" ht="45.5">
      <c r="AJ36" s="805" t="s">
        <v>6</v>
      </c>
      <c r="AK36" s="803"/>
      <c r="AL36" s="914" t="s">
        <v>118</v>
      </c>
      <c r="AM36" s="810" t="s">
        <v>359</v>
      </c>
      <c r="AN36" s="935" t="e">
        <f>#REF!</f>
        <v>#REF!</v>
      </c>
      <c r="AO36" s="814" t="s">
        <v>360</v>
      </c>
      <c r="AP36" s="935">
        <f>E89</f>
        <v>0</v>
      </c>
      <c r="AQ36" s="814" t="s">
        <v>361</v>
      </c>
      <c r="AR36" s="934" t="s">
        <v>362</v>
      </c>
      <c r="AT36" s="940"/>
      <c r="AU36" s="940"/>
      <c r="AV36" s="940"/>
    </row>
    <row r="37" spans="5:79" ht="45.5">
      <c r="E37" s="940" t="s">
        <v>97</v>
      </c>
      <c r="AJ37" s="805" t="s">
        <v>363</v>
      </c>
      <c r="AK37" s="803"/>
      <c r="AL37" s="914" t="s">
        <v>364</v>
      </c>
      <c r="AM37" s="815" t="s">
        <v>366</v>
      </c>
      <c r="AN37" s="935" t="e">
        <f>-1*(1000*X188*#REF!+Y188*#REF!)</f>
        <v>#REF!</v>
      </c>
      <c r="AO37" s="814" t="s">
        <v>367</v>
      </c>
      <c r="AP37" s="934" t="e">
        <f>-1*AN43</f>
        <v>#REF!</v>
      </c>
      <c r="AQ37" s="814" t="s">
        <v>368</v>
      </c>
      <c r="AR37" s="934">
        <v>0.21</v>
      </c>
      <c r="AT37" s="940"/>
      <c r="AU37" s="940"/>
      <c r="AV37" s="940"/>
    </row>
    <row r="38" spans="5:79" ht="60.5">
      <c r="AJ38" s="805" t="s">
        <v>369</v>
      </c>
      <c r="AK38" s="803"/>
      <c r="AL38" s="915">
        <v>2000</v>
      </c>
      <c r="AM38" s="810" t="s">
        <v>370</v>
      </c>
      <c r="AN38" s="936">
        <f>H89</f>
        <v>0</v>
      </c>
      <c r="AO38" s="814" t="s">
        <v>371</v>
      </c>
      <c r="AP38" s="938">
        <f>E90</f>
        <v>0</v>
      </c>
      <c r="AQ38" s="817" t="s">
        <v>372</v>
      </c>
      <c r="AR38" s="935">
        <f>F89</f>
        <v>0</v>
      </c>
      <c r="AT38" s="940"/>
      <c r="AU38" s="940"/>
      <c r="AV38" s="940"/>
    </row>
    <row r="39" spans="5:79" ht="60.5">
      <c r="AJ39" s="805" t="s">
        <v>373</v>
      </c>
      <c r="AK39" s="803"/>
      <c r="AL39" s="916">
        <v>25698</v>
      </c>
      <c r="AM39" s="810" t="s">
        <v>374</v>
      </c>
      <c r="AN39" s="937">
        <f>G89</f>
        <v>0</v>
      </c>
      <c r="AO39" s="803"/>
      <c r="AP39" s="803"/>
      <c r="AQ39" s="814" t="s">
        <v>375</v>
      </c>
      <c r="AR39" s="938">
        <f>F90</f>
        <v>0</v>
      </c>
      <c r="AT39" s="940"/>
      <c r="AU39" s="940"/>
      <c r="AV39" s="940"/>
    </row>
    <row r="40" spans="5:79" ht="45.5">
      <c r="AJ40" s="805" t="s">
        <v>376</v>
      </c>
      <c r="AK40" s="803"/>
      <c r="AL40" s="916">
        <v>50.2</v>
      </c>
      <c r="AM40" s="815" t="s">
        <v>377</v>
      </c>
      <c r="AN40" s="937">
        <f>C246</f>
        <v>0</v>
      </c>
      <c r="AO40" s="803"/>
      <c r="AP40" s="803"/>
      <c r="AQ40" s="814" t="s">
        <v>378</v>
      </c>
      <c r="AR40" s="934">
        <v>0</v>
      </c>
      <c r="AT40" s="940"/>
      <c r="AU40" s="940"/>
      <c r="AV40" s="940"/>
    </row>
    <row r="41" spans="5:79" ht="15.5">
      <c r="AJ41" s="805" t="s">
        <v>379</v>
      </c>
      <c r="AK41" s="803"/>
      <c r="AL41" s="916">
        <v>1824.81</v>
      </c>
      <c r="AM41" s="815" t="s">
        <v>380</v>
      </c>
      <c r="AN41" s="937">
        <f>D246</f>
        <v>0</v>
      </c>
      <c r="AO41" s="821" t="s">
        <v>381</v>
      </c>
      <c r="AP41" s="803"/>
      <c r="AQ41" s="803"/>
      <c r="AR41" s="803"/>
      <c r="AT41" s="940"/>
      <c r="AU41" s="940"/>
      <c r="AV41" s="940"/>
    </row>
    <row r="42" spans="5:79" ht="15.5">
      <c r="AJ42" s="805" t="s">
        <v>382</v>
      </c>
      <c r="AK42" s="803"/>
      <c r="AL42" s="916">
        <v>1614.7909999999999</v>
      </c>
      <c r="AM42" s="815" t="s">
        <v>383</v>
      </c>
      <c r="AN42" s="936" t="e">
        <f>#REF!/#REF!</f>
        <v>#REF!</v>
      </c>
      <c r="AO42" s="821" t="s">
        <v>384</v>
      </c>
      <c r="AP42" s="803"/>
      <c r="AQ42" s="803"/>
      <c r="AR42" s="803"/>
      <c r="AT42" s="941" t="s">
        <v>949</v>
      </c>
      <c r="AU42" s="941"/>
      <c r="AV42" s="941"/>
    </row>
    <row r="43" spans="5:79" ht="45" customHeight="1">
      <c r="S43" s="946"/>
      <c r="T43" s="946"/>
      <c r="U43" s="946"/>
      <c r="V43" s="946"/>
      <c r="W43" s="946"/>
      <c r="X43" s="946"/>
      <c r="Y43" s="946"/>
      <c r="Z43" s="946"/>
      <c r="AA43" s="946"/>
      <c r="AB43" s="946"/>
      <c r="AC43" s="946"/>
      <c r="AD43" s="946"/>
      <c r="AE43" s="946"/>
      <c r="AF43" s="946"/>
      <c r="AG43" s="946"/>
      <c r="AH43" s="946"/>
      <c r="AI43" s="946"/>
      <c r="AJ43" s="883" t="s">
        <v>385</v>
      </c>
      <c r="AK43" s="884"/>
      <c r="AL43" s="917">
        <v>64</v>
      </c>
      <c r="AM43" s="815" t="s">
        <v>386</v>
      </c>
      <c r="AN43" s="936" t="e">
        <f>#REF!/#REF!</f>
        <v>#REF!</v>
      </c>
      <c r="AO43" s="803"/>
      <c r="AP43" s="803"/>
      <c r="AQ43" s="803"/>
      <c r="AR43" s="803"/>
      <c r="BD43" s="946"/>
      <c r="BE43" s="946"/>
      <c r="BF43" s="946"/>
      <c r="BG43" s="946"/>
      <c r="BH43" s="946"/>
      <c r="BI43" s="946"/>
      <c r="BJ43" s="946"/>
      <c r="BK43" s="946"/>
      <c r="BL43" s="946"/>
      <c r="BM43" s="946"/>
      <c r="BN43" s="946"/>
      <c r="BO43" s="946"/>
      <c r="BP43" s="946"/>
      <c r="BQ43" s="946"/>
      <c r="BR43" s="946"/>
      <c r="BS43" s="946"/>
      <c r="BT43" s="946"/>
      <c r="BU43" s="946"/>
      <c r="BV43" s="946"/>
      <c r="BW43" s="946"/>
      <c r="BX43" s="946"/>
      <c r="BY43" s="946"/>
      <c r="BZ43" s="946"/>
      <c r="CA43" s="946"/>
    </row>
    <row r="44" spans="5:79" ht="15.5">
      <c r="S44" s="946"/>
      <c r="T44" s="946"/>
      <c r="U44" s="946"/>
      <c r="V44" s="946"/>
      <c r="W44" s="946"/>
      <c r="X44" s="946"/>
      <c r="Y44" s="946"/>
      <c r="Z44" s="946"/>
      <c r="AA44" s="946"/>
      <c r="AB44" s="946"/>
      <c r="AC44" s="946"/>
      <c r="AD44" s="946"/>
      <c r="AE44" s="946"/>
      <c r="AF44" s="946"/>
      <c r="AG44" s="946"/>
      <c r="AH44" s="946"/>
      <c r="AI44" s="946"/>
      <c r="AJ44" s="822" t="s">
        <v>387</v>
      </c>
      <c r="AL44" s="818">
        <f>Y190</f>
        <v>0</v>
      </c>
      <c r="AM44" s="946"/>
      <c r="AN44" s="946"/>
      <c r="BD44" s="946"/>
      <c r="BE44" s="946"/>
      <c r="BF44" s="946"/>
      <c r="BG44" s="946"/>
      <c r="BH44" s="946"/>
      <c r="BI44" s="946"/>
      <c r="BJ44" s="946"/>
      <c r="BK44" s="946"/>
      <c r="BL44" s="946"/>
      <c r="BM44" s="946"/>
      <c r="BN44" s="946"/>
      <c r="BO44" s="946"/>
      <c r="BP44" s="946"/>
      <c r="BQ44" s="946"/>
      <c r="BR44" s="946"/>
      <c r="BS44" s="946"/>
      <c r="BT44" s="946"/>
      <c r="BU44" s="946"/>
      <c r="BV44" s="946"/>
      <c r="BW44" s="946"/>
      <c r="BX44" s="946"/>
      <c r="BY44" s="946"/>
      <c r="BZ44" s="946"/>
      <c r="CA44" s="946"/>
    </row>
    <row r="45" spans="5:79">
      <c r="S45" s="946"/>
      <c r="T45" s="946"/>
      <c r="U45" s="946"/>
      <c r="V45" s="946"/>
      <c r="W45" s="946"/>
      <c r="X45" s="946"/>
      <c r="Y45" s="946"/>
      <c r="Z45" s="946"/>
      <c r="AA45" s="946"/>
      <c r="AB45" s="946"/>
      <c r="AC45" s="946"/>
      <c r="AD45" s="946"/>
      <c r="AE45" s="946"/>
      <c r="AF45" s="946"/>
      <c r="AG45" s="946"/>
      <c r="AH45" s="946"/>
      <c r="AI45" s="946"/>
      <c r="AJ45" s="946"/>
      <c r="AK45" s="946"/>
      <c r="AL45" s="946"/>
      <c r="AM45" s="946"/>
      <c r="AN45" s="946"/>
      <c r="BD45" s="946"/>
      <c r="BE45" s="946"/>
      <c r="BF45" s="946"/>
      <c r="BG45" s="946"/>
      <c r="BH45" s="946"/>
      <c r="BI45" s="946"/>
      <c r="BJ45" s="946"/>
      <c r="BK45" s="946"/>
      <c r="BL45" s="946"/>
      <c r="BM45" s="946"/>
      <c r="BN45" s="946"/>
      <c r="BO45" s="946"/>
      <c r="BP45" s="946"/>
      <c r="BQ45" s="946"/>
      <c r="BR45" s="946"/>
      <c r="BS45" s="946"/>
      <c r="BT45" s="946"/>
      <c r="BU45" s="946"/>
      <c r="BV45" s="946"/>
      <c r="BW45" s="946"/>
      <c r="BX45" s="946"/>
      <c r="BY45" s="946"/>
      <c r="BZ45" s="946"/>
      <c r="CA45" s="946"/>
    </row>
    <row r="46" spans="5:79">
      <c r="S46" s="946"/>
      <c r="T46" s="946"/>
      <c r="U46" s="946"/>
      <c r="V46" s="946"/>
      <c r="W46" s="946"/>
      <c r="X46" s="946"/>
      <c r="Y46" s="946"/>
      <c r="Z46" s="946"/>
      <c r="AA46" s="946"/>
      <c r="AB46" s="946"/>
      <c r="AC46" s="946"/>
      <c r="AD46" s="946"/>
      <c r="AE46" s="946"/>
      <c r="AF46" s="946"/>
      <c r="AG46" s="946"/>
      <c r="AH46" s="946"/>
      <c r="AI46" s="946"/>
      <c r="AJ46" s="946"/>
      <c r="AK46" s="946"/>
      <c r="AL46" s="946"/>
      <c r="AM46" s="946"/>
      <c r="AN46" s="946"/>
      <c r="BD46" s="946"/>
      <c r="BE46" s="946"/>
      <c r="BF46" s="946"/>
      <c r="BG46" s="946"/>
      <c r="BH46" s="946"/>
      <c r="BI46" s="946"/>
      <c r="BJ46" s="946"/>
      <c r="BK46" s="946"/>
      <c r="BL46" s="946"/>
      <c r="BM46" s="946"/>
      <c r="BN46" s="946"/>
      <c r="BO46" s="946"/>
      <c r="BP46" s="946"/>
      <c r="BQ46" s="946"/>
      <c r="BR46" s="946"/>
      <c r="BS46" s="946"/>
      <c r="BT46" s="946"/>
      <c r="BU46" s="946"/>
      <c r="BV46" s="946"/>
      <c r="BW46" s="946"/>
      <c r="BX46" s="946"/>
      <c r="BY46" s="946"/>
      <c r="BZ46" s="946"/>
      <c r="CA46" s="946"/>
    </row>
    <row r="47" spans="5:79">
      <c r="S47" s="946"/>
      <c r="T47" s="946"/>
      <c r="U47" s="946"/>
      <c r="V47" s="946"/>
      <c r="W47" s="946"/>
      <c r="X47" s="946"/>
      <c r="Y47" s="946"/>
      <c r="Z47" s="946"/>
      <c r="AA47" s="946"/>
      <c r="AB47" s="946"/>
      <c r="AC47" s="946"/>
      <c r="AD47" s="946"/>
      <c r="AE47" s="946"/>
      <c r="AF47" s="946"/>
      <c r="AG47" s="946"/>
      <c r="AH47" s="946"/>
      <c r="AI47" s="946"/>
      <c r="AJ47" s="946"/>
      <c r="AK47" s="946"/>
      <c r="AL47" s="946"/>
      <c r="AM47" s="946"/>
      <c r="AN47" s="946"/>
      <c r="BD47" s="946"/>
      <c r="BE47" s="946"/>
      <c r="BF47" s="946"/>
      <c r="BG47" s="946"/>
      <c r="BH47" s="946"/>
      <c r="BI47" s="946"/>
      <c r="BJ47" s="946"/>
      <c r="BK47" s="946"/>
      <c r="BL47" s="946"/>
      <c r="BM47" s="946"/>
      <c r="BN47" s="946"/>
      <c r="BO47" s="946"/>
      <c r="BP47" s="946"/>
      <c r="BQ47" s="946"/>
      <c r="BR47" s="946"/>
      <c r="BS47" s="946"/>
      <c r="BT47" s="946"/>
      <c r="BU47" s="946"/>
      <c r="BV47" s="946"/>
      <c r="BW47" s="946"/>
      <c r="BX47" s="946"/>
      <c r="BY47" s="946"/>
      <c r="BZ47" s="946"/>
      <c r="CA47" s="946"/>
    </row>
    <row r="48" spans="5:79">
      <c r="S48" s="946"/>
      <c r="T48" s="946"/>
      <c r="U48" s="946"/>
      <c r="V48" s="946"/>
      <c r="W48" s="946"/>
      <c r="X48" s="946"/>
      <c r="Y48" s="946"/>
      <c r="Z48" s="946"/>
      <c r="AA48" s="946"/>
      <c r="AB48" s="946"/>
      <c r="AC48" s="946"/>
      <c r="AD48" s="946"/>
      <c r="AE48" s="946"/>
      <c r="AF48" s="946"/>
      <c r="AG48" s="946"/>
      <c r="AH48" s="946"/>
      <c r="AI48" s="946"/>
      <c r="AJ48" s="946"/>
      <c r="AK48" s="946"/>
      <c r="AL48" s="946"/>
      <c r="AM48" s="946"/>
      <c r="AN48" s="946"/>
      <c r="BD48" s="946"/>
      <c r="BE48" s="946"/>
      <c r="BF48" s="946"/>
      <c r="BG48" s="946"/>
      <c r="BH48" s="946"/>
      <c r="BI48" s="946"/>
      <c r="BJ48" s="946"/>
      <c r="BK48" s="946"/>
      <c r="BL48" s="946"/>
      <c r="BM48" s="946"/>
      <c r="BN48" s="946"/>
      <c r="BO48" s="946"/>
      <c r="BP48" s="946"/>
      <c r="BQ48" s="946"/>
      <c r="BR48" s="946"/>
      <c r="BS48" s="946"/>
      <c r="BT48" s="946"/>
      <c r="BU48" s="946"/>
      <c r="BV48" s="946"/>
      <c r="BW48" s="946"/>
      <c r="BX48" s="946"/>
      <c r="BY48" s="946"/>
      <c r="BZ48" s="946"/>
      <c r="CA48" s="946"/>
    </row>
    <row r="49" spans="19:79">
      <c r="S49" s="946"/>
      <c r="T49" s="946"/>
      <c r="U49" s="946"/>
      <c r="V49" s="946"/>
      <c r="W49" s="946"/>
      <c r="X49" s="946"/>
      <c r="Y49" s="946"/>
      <c r="Z49" s="946"/>
      <c r="AA49" s="946"/>
      <c r="AB49" s="946"/>
      <c r="AC49" s="946"/>
      <c r="AD49" s="946"/>
      <c r="AE49" s="946"/>
      <c r="AF49" s="946"/>
      <c r="AG49" s="946"/>
      <c r="AH49" s="946"/>
      <c r="AI49" s="946"/>
      <c r="AJ49" s="946"/>
      <c r="AK49" s="946"/>
      <c r="AL49" s="946"/>
      <c r="AM49" s="946"/>
      <c r="AN49" s="946"/>
      <c r="BD49" s="946"/>
      <c r="BE49" s="946"/>
      <c r="BF49" s="946"/>
      <c r="BG49" s="946"/>
      <c r="BH49" s="946"/>
      <c r="BI49" s="946"/>
      <c r="BJ49" s="946"/>
      <c r="BK49" s="946"/>
      <c r="BL49" s="946"/>
      <c r="BM49" s="946"/>
      <c r="BN49" s="946"/>
      <c r="BO49" s="946"/>
      <c r="BP49" s="946"/>
      <c r="BQ49" s="946"/>
      <c r="BR49" s="946"/>
      <c r="BS49" s="946"/>
      <c r="BT49" s="946"/>
      <c r="BU49" s="946"/>
      <c r="BV49" s="946"/>
      <c r="BW49" s="946"/>
      <c r="BX49" s="946"/>
      <c r="BY49" s="946"/>
      <c r="BZ49" s="946"/>
      <c r="CA49" s="946"/>
    </row>
    <row r="50" spans="19:79">
      <c r="S50" s="946"/>
      <c r="T50" s="946"/>
      <c r="U50" s="946"/>
      <c r="V50" s="946"/>
      <c r="W50" s="946"/>
      <c r="X50" s="946"/>
      <c r="Y50" s="946"/>
      <c r="Z50" s="946"/>
      <c r="AA50" s="946"/>
      <c r="AB50" s="946"/>
      <c r="AC50" s="946"/>
      <c r="AD50" s="946"/>
      <c r="AE50" s="946"/>
      <c r="AF50" s="946"/>
      <c r="AG50" s="946"/>
      <c r="AH50" s="946"/>
      <c r="AI50" s="946"/>
      <c r="AJ50" s="946"/>
      <c r="AK50" s="946"/>
      <c r="AL50" s="946"/>
      <c r="AM50" s="946"/>
      <c r="AN50" s="946"/>
      <c r="BD50" s="946"/>
      <c r="BE50" s="946"/>
      <c r="BF50" s="946"/>
      <c r="BG50" s="946"/>
      <c r="BH50" s="946"/>
      <c r="BI50" s="946"/>
      <c r="BJ50" s="946"/>
      <c r="BK50" s="946"/>
      <c r="BL50" s="946"/>
      <c r="BM50" s="946"/>
      <c r="BN50" s="946"/>
      <c r="BO50" s="946"/>
      <c r="BP50" s="946"/>
      <c r="BQ50" s="946"/>
      <c r="BR50" s="946"/>
      <c r="BS50" s="946"/>
      <c r="BT50" s="946"/>
      <c r="BU50" s="946"/>
      <c r="BV50" s="946"/>
      <c r="BW50" s="946"/>
      <c r="BX50" s="946"/>
      <c r="BY50" s="946"/>
      <c r="BZ50" s="946"/>
      <c r="CA50" s="946"/>
    </row>
    <row r="51" spans="19:79">
      <c r="S51" s="946"/>
      <c r="T51" s="946"/>
      <c r="U51" s="946"/>
      <c r="V51" s="946"/>
      <c r="W51" s="946"/>
      <c r="X51" s="946"/>
      <c r="Y51" s="946"/>
      <c r="Z51" s="946"/>
      <c r="AA51" s="946"/>
      <c r="AB51" s="946"/>
      <c r="AC51" s="946"/>
      <c r="AD51" s="946"/>
      <c r="AE51" s="946"/>
      <c r="AF51" s="946"/>
      <c r="AG51" s="946"/>
      <c r="AH51" s="946"/>
      <c r="AI51" s="946"/>
      <c r="AJ51" s="946"/>
      <c r="AK51" s="946"/>
      <c r="AL51" s="946"/>
      <c r="AM51" s="946"/>
      <c r="AN51" s="946"/>
      <c r="BD51" s="946"/>
      <c r="BE51" s="946"/>
      <c r="BF51" s="946"/>
      <c r="BG51" s="946"/>
      <c r="BH51" s="946"/>
      <c r="BI51" s="946"/>
      <c r="BJ51" s="946"/>
      <c r="BK51" s="946"/>
      <c r="BL51" s="946"/>
      <c r="BM51" s="946"/>
      <c r="BN51" s="946"/>
      <c r="BO51" s="946"/>
      <c r="BP51" s="946"/>
      <c r="BQ51" s="946"/>
      <c r="BR51" s="946"/>
      <c r="BS51" s="946"/>
      <c r="BT51" s="946"/>
      <c r="BU51" s="946"/>
      <c r="BV51" s="946"/>
      <c r="BW51" s="946"/>
      <c r="BX51" s="946"/>
      <c r="BY51" s="946"/>
      <c r="BZ51" s="946"/>
      <c r="CA51" s="946"/>
    </row>
    <row r="52" spans="19:79">
      <c r="S52" s="946"/>
      <c r="T52" s="946"/>
      <c r="U52" s="946"/>
      <c r="V52" s="946"/>
      <c r="W52" s="946"/>
      <c r="X52" s="946"/>
      <c r="Y52" s="946"/>
      <c r="Z52" s="946"/>
      <c r="AA52" s="946"/>
      <c r="AB52" s="946"/>
      <c r="AC52" s="946"/>
      <c r="AD52" s="946"/>
      <c r="AE52" s="946"/>
      <c r="AF52" s="946"/>
      <c r="AG52" s="946"/>
      <c r="AH52" s="946"/>
      <c r="AI52" s="946"/>
      <c r="AJ52" s="946"/>
      <c r="AK52" s="946"/>
      <c r="AL52" s="946"/>
      <c r="AM52" s="946"/>
      <c r="AN52" s="946"/>
      <c r="BD52" s="946"/>
      <c r="BE52" s="946"/>
      <c r="BF52" s="946"/>
      <c r="BG52" s="946"/>
      <c r="BH52" s="946"/>
      <c r="BI52" s="946"/>
      <c r="BJ52" s="946"/>
      <c r="BK52" s="946"/>
      <c r="BL52" s="946"/>
      <c r="BM52" s="946"/>
      <c r="BN52" s="946"/>
      <c r="BO52" s="946"/>
      <c r="BP52" s="946"/>
      <c r="BQ52" s="946"/>
      <c r="BR52" s="946"/>
      <c r="BS52" s="946"/>
      <c r="BT52" s="946"/>
      <c r="BU52" s="946"/>
      <c r="BV52" s="946"/>
      <c r="BW52" s="946"/>
      <c r="BX52" s="946"/>
      <c r="BY52" s="946"/>
      <c r="BZ52" s="946"/>
      <c r="CA52" s="946"/>
    </row>
    <row r="53" spans="19:79">
      <c r="S53" s="946"/>
      <c r="T53" s="946"/>
      <c r="U53" s="946"/>
      <c r="V53" s="946"/>
      <c r="W53" s="946"/>
      <c r="X53" s="946"/>
      <c r="Y53" s="946"/>
      <c r="Z53" s="946"/>
      <c r="AA53" s="946"/>
      <c r="AB53" s="946"/>
      <c r="AC53" s="946"/>
      <c r="AD53" s="946"/>
      <c r="AE53" s="946"/>
      <c r="AF53" s="946"/>
      <c r="AG53" s="946"/>
      <c r="AH53" s="946"/>
      <c r="AI53" s="946"/>
      <c r="AJ53" s="946"/>
      <c r="AK53" s="946"/>
      <c r="AL53" s="946"/>
      <c r="AM53" s="946"/>
      <c r="AN53" s="946"/>
      <c r="BD53" s="946"/>
      <c r="BE53" s="946"/>
      <c r="BF53" s="946"/>
      <c r="BG53" s="946"/>
      <c r="BH53" s="946"/>
      <c r="BI53" s="946"/>
      <c r="BJ53" s="946"/>
      <c r="BK53" s="946"/>
      <c r="BL53" s="946"/>
      <c r="BM53" s="946"/>
      <c r="BN53" s="946"/>
      <c r="BO53" s="946"/>
      <c r="BP53" s="946"/>
      <c r="BQ53" s="946"/>
      <c r="BR53" s="946"/>
      <c r="BS53" s="946"/>
      <c r="BT53" s="946"/>
      <c r="BU53" s="946"/>
      <c r="BV53" s="946"/>
      <c r="BW53" s="946"/>
      <c r="BX53" s="946"/>
      <c r="BY53" s="946"/>
      <c r="BZ53" s="946"/>
      <c r="CA53" s="946"/>
    </row>
    <row r="54" spans="19:79" ht="25" customHeight="1">
      <c r="S54" s="946"/>
      <c r="T54" s="946"/>
      <c r="U54" s="946"/>
      <c r="V54" s="946"/>
      <c r="W54" s="946"/>
      <c r="X54" s="946"/>
      <c r="Y54" s="946"/>
      <c r="Z54" s="946"/>
      <c r="AA54" s="946"/>
      <c r="AB54" s="946"/>
      <c r="AC54" s="946"/>
      <c r="AD54" s="946"/>
      <c r="AE54" s="946"/>
      <c r="AF54" s="946"/>
      <c r="AG54" s="946"/>
      <c r="AH54" s="946"/>
      <c r="AI54" s="946"/>
      <c r="AJ54" s="946"/>
      <c r="AK54" s="946"/>
      <c r="AL54" s="946"/>
      <c r="AM54" s="946"/>
      <c r="AN54" s="946"/>
      <c r="BD54" s="946"/>
      <c r="BE54" s="946"/>
      <c r="BF54" s="946"/>
      <c r="BG54" s="946"/>
      <c r="BH54" s="946"/>
      <c r="BI54" s="946"/>
      <c r="BJ54" s="946"/>
      <c r="BK54" s="946"/>
      <c r="BL54" s="946"/>
      <c r="BM54" s="946"/>
      <c r="BN54" s="946"/>
      <c r="BO54" s="946"/>
      <c r="BP54" s="946"/>
      <c r="BQ54" s="946"/>
      <c r="BR54" s="946"/>
      <c r="BS54" s="946"/>
      <c r="BT54" s="946"/>
      <c r="BU54" s="946"/>
      <c r="BV54" s="946"/>
      <c r="BW54" s="946"/>
      <c r="BX54" s="946"/>
      <c r="BY54" s="946"/>
      <c r="BZ54" s="946"/>
      <c r="CA54" s="946"/>
    </row>
    <row r="55" spans="19:79">
      <c r="S55" s="946"/>
      <c r="T55" s="946"/>
      <c r="U55" s="946"/>
      <c r="V55" s="946"/>
      <c r="W55" s="946"/>
      <c r="X55" s="946"/>
      <c r="Y55" s="946"/>
      <c r="Z55" s="946"/>
      <c r="AA55" s="946"/>
      <c r="AB55" s="946"/>
      <c r="AC55" s="946"/>
      <c r="AD55" s="946"/>
      <c r="AE55" s="946"/>
      <c r="AF55" s="946"/>
      <c r="AG55" s="946"/>
      <c r="AH55" s="946"/>
      <c r="AI55" s="946"/>
      <c r="AJ55" s="946"/>
      <c r="AK55" s="946"/>
      <c r="AL55" s="946"/>
      <c r="AM55" s="946"/>
      <c r="AN55" s="946"/>
      <c r="BD55" s="946"/>
      <c r="BE55" s="946"/>
      <c r="BF55" s="946"/>
      <c r="BG55" s="946"/>
      <c r="BH55" s="946"/>
      <c r="BI55" s="946"/>
      <c r="BJ55" s="946"/>
      <c r="BK55" s="946"/>
      <c r="BL55" s="946"/>
      <c r="BM55" s="946"/>
      <c r="BN55" s="946"/>
      <c r="BO55" s="946"/>
      <c r="BP55" s="946"/>
      <c r="BQ55" s="946"/>
      <c r="BR55" s="946"/>
      <c r="BS55" s="946"/>
      <c r="BT55" s="946"/>
      <c r="BU55" s="946"/>
      <c r="BV55" s="946"/>
      <c r="BW55" s="946"/>
      <c r="BX55" s="946"/>
      <c r="BY55" s="946"/>
      <c r="BZ55" s="946"/>
      <c r="CA55" s="946"/>
    </row>
    <row r="56" spans="19:79" ht="53.5" customHeight="1">
      <c r="S56" s="946"/>
      <c r="T56" s="946"/>
      <c r="U56" s="946"/>
      <c r="V56" s="946"/>
      <c r="W56" s="946"/>
      <c r="X56" s="946"/>
      <c r="Y56" s="946"/>
      <c r="Z56" s="946"/>
      <c r="AA56" s="946"/>
      <c r="AB56" s="946"/>
      <c r="AC56" s="946"/>
      <c r="AD56" s="946"/>
      <c r="AE56" s="946"/>
      <c r="AF56" s="946"/>
      <c r="AG56" s="946"/>
      <c r="AH56" s="946"/>
      <c r="AI56" s="946"/>
      <c r="AJ56" s="946"/>
      <c r="AK56" s="946"/>
      <c r="AL56" s="946"/>
      <c r="AM56" s="946"/>
      <c r="AN56" s="946"/>
      <c r="BD56" s="946"/>
      <c r="BE56" s="946"/>
      <c r="BF56" s="946"/>
      <c r="BG56" s="946"/>
      <c r="BH56" s="946"/>
      <c r="BI56" s="946"/>
      <c r="BJ56" s="946"/>
      <c r="BK56" s="946"/>
      <c r="BL56" s="946"/>
      <c r="BM56" s="946"/>
      <c r="BN56" s="946"/>
      <c r="BO56" s="946"/>
      <c r="BP56" s="946"/>
      <c r="BQ56" s="946"/>
      <c r="BR56" s="946"/>
      <c r="BS56" s="946"/>
      <c r="BT56" s="946"/>
      <c r="BU56" s="946"/>
      <c r="BV56" s="946"/>
      <c r="BW56" s="946"/>
      <c r="BX56" s="946"/>
      <c r="BY56" s="946"/>
      <c r="BZ56" s="946"/>
      <c r="CA56" s="946"/>
    </row>
    <row r="57" spans="19:79">
      <c r="S57" s="946"/>
      <c r="T57" s="946"/>
      <c r="U57" s="946"/>
      <c r="V57" s="946"/>
      <c r="W57" s="946"/>
      <c r="X57" s="946"/>
      <c r="Y57" s="946"/>
      <c r="Z57" s="946"/>
      <c r="AA57" s="946"/>
      <c r="AB57" s="946"/>
      <c r="AC57" s="946"/>
      <c r="AD57" s="946"/>
      <c r="AE57" s="946"/>
      <c r="AF57" s="946"/>
      <c r="AG57" s="946"/>
      <c r="AH57" s="946"/>
      <c r="AI57" s="946"/>
      <c r="AJ57" s="946"/>
      <c r="AK57" s="946"/>
      <c r="AL57" s="946"/>
      <c r="AM57" s="946"/>
      <c r="AN57" s="946"/>
      <c r="BD57" s="946"/>
      <c r="BE57" s="946"/>
      <c r="BF57" s="946"/>
      <c r="BG57" s="946"/>
      <c r="BH57" s="946"/>
      <c r="BI57" s="946"/>
      <c r="BJ57" s="946"/>
      <c r="BK57" s="946"/>
      <c r="BL57" s="946"/>
      <c r="BM57" s="946"/>
      <c r="BN57" s="946"/>
      <c r="BO57" s="946"/>
      <c r="BP57" s="946"/>
      <c r="BQ57" s="946"/>
      <c r="BR57" s="946"/>
      <c r="BS57" s="946"/>
      <c r="BT57" s="946"/>
      <c r="BU57" s="946"/>
      <c r="BV57" s="946"/>
      <c r="BW57" s="946"/>
      <c r="BX57" s="946"/>
      <c r="BY57" s="946"/>
      <c r="BZ57" s="946"/>
      <c r="CA57" s="946"/>
    </row>
    <row r="58" spans="19:79">
      <c r="S58" s="946"/>
      <c r="T58" s="946"/>
      <c r="U58" s="946"/>
      <c r="V58" s="946"/>
      <c r="W58" s="946"/>
      <c r="X58" s="946"/>
      <c r="Y58" s="946"/>
      <c r="Z58" s="946"/>
      <c r="AA58" s="946"/>
      <c r="AB58" s="946"/>
      <c r="AC58" s="946"/>
      <c r="AD58" s="946"/>
      <c r="AE58" s="946"/>
      <c r="AF58" s="946"/>
      <c r="AG58" s="946"/>
      <c r="AH58" s="946"/>
      <c r="AI58" s="946"/>
      <c r="AJ58" s="946"/>
      <c r="AK58" s="946"/>
      <c r="AL58" s="946"/>
      <c r="AM58" s="946"/>
      <c r="AN58" s="946"/>
      <c r="BD58" s="946"/>
      <c r="BE58" s="946"/>
      <c r="BF58" s="946"/>
      <c r="BG58" s="946"/>
      <c r="BH58" s="946"/>
      <c r="BI58" s="946"/>
      <c r="BJ58" s="946"/>
      <c r="BK58" s="946"/>
      <c r="BL58" s="946"/>
      <c r="BM58" s="946"/>
      <c r="BN58" s="946"/>
      <c r="BO58" s="946"/>
      <c r="BP58" s="946"/>
      <c r="BQ58" s="946"/>
      <c r="BR58" s="946"/>
      <c r="BS58" s="946"/>
      <c r="BT58" s="946"/>
      <c r="BU58" s="946"/>
      <c r="BV58" s="946"/>
      <c r="BW58" s="946"/>
      <c r="BX58" s="946"/>
      <c r="BY58" s="946"/>
      <c r="BZ58" s="946"/>
      <c r="CA58" s="946"/>
    </row>
    <row r="59" spans="19:79">
      <c r="S59" s="946"/>
      <c r="T59" s="946"/>
      <c r="U59" s="946"/>
      <c r="V59" s="946"/>
      <c r="W59" s="946"/>
      <c r="X59" s="946"/>
      <c r="Y59" s="946"/>
      <c r="Z59" s="946"/>
      <c r="AA59" s="946"/>
      <c r="AB59" s="946"/>
      <c r="AC59" s="946"/>
      <c r="AD59" s="946"/>
      <c r="AE59" s="946"/>
      <c r="AF59" s="946"/>
      <c r="AG59" s="946"/>
      <c r="AH59" s="946"/>
      <c r="AI59" s="946"/>
      <c r="AJ59" s="946"/>
      <c r="AK59" s="946"/>
      <c r="AL59" s="946"/>
      <c r="AM59" s="946"/>
      <c r="AN59" s="946"/>
      <c r="BD59" s="946"/>
      <c r="BE59" s="946"/>
      <c r="BF59" s="946"/>
      <c r="BG59" s="946"/>
      <c r="BH59" s="946"/>
      <c r="BI59" s="946"/>
      <c r="BJ59" s="946"/>
      <c r="BK59" s="946"/>
      <c r="BL59" s="946"/>
      <c r="BM59" s="946"/>
      <c r="BN59" s="946"/>
      <c r="BO59" s="946"/>
      <c r="BP59" s="946"/>
      <c r="BQ59" s="946"/>
      <c r="BR59" s="946"/>
      <c r="BS59" s="946"/>
      <c r="BT59" s="946"/>
      <c r="BU59" s="946"/>
      <c r="BV59" s="946"/>
      <c r="BW59" s="946"/>
      <c r="BX59" s="946"/>
      <c r="BY59" s="946"/>
      <c r="BZ59" s="946"/>
      <c r="CA59" s="946"/>
    </row>
    <row r="60" spans="19:79">
      <c r="S60" s="946"/>
      <c r="T60" s="946"/>
      <c r="U60" s="946"/>
      <c r="V60" s="946"/>
      <c r="W60" s="946"/>
      <c r="X60" s="946"/>
      <c r="Y60" s="946"/>
      <c r="Z60" s="946"/>
      <c r="AA60" s="946"/>
      <c r="AB60" s="946"/>
      <c r="AC60" s="946"/>
      <c r="AD60" s="946"/>
      <c r="AE60" s="946"/>
      <c r="AF60" s="946"/>
      <c r="AG60" s="946"/>
      <c r="AH60" s="946"/>
      <c r="AI60" s="946"/>
      <c r="AJ60" s="946"/>
      <c r="AK60" s="946"/>
      <c r="AL60" s="946"/>
      <c r="AM60" s="946"/>
      <c r="AN60" s="946"/>
      <c r="BD60" s="946"/>
      <c r="BE60" s="946"/>
      <c r="BF60" s="946"/>
      <c r="BG60" s="946"/>
      <c r="BH60" s="946"/>
      <c r="BI60" s="946"/>
      <c r="BJ60" s="946"/>
      <c r="BK60" s="946"/>
      <c r="BL60" s="946"/>
      <c r="BM60" s="946"/>
      <c r="BN60" s="946"/>
      <c r="BO60" s="946"/>
      <c r="BP60" s="946"/>
      <c r="BQ60" s="946"/>
      <c r="BR60" s="946"/>
      <c r="BS60" s="946"/>
      <c r="BT60" s="946"/>
      <c r="BU60" s="946"/>
      <c r="BV60" s="946"/>
      <c r="BW60" s="946"/>
      <c r="BX60" s="946"/>
      <c r="BY60" s="946"/>
      <c r="BZ60" s="946"/>
      <c r="CA60" s="946"/>
    </row>
    <row r="61" spans="19:79">
      <c r="S61" s="946"/>
      <c r="T61" s="946"/>
      <c r="U61" s="946"/>
      <c r="V61" s="946"/>
      <c r="W61" s="946"/>
      <c r="X61" s="946"/>
      <c r="Y61" s="946"/>
      <c r="Z61" s="946"/>
      <c r="AA61" s="946"/>
      <c r="AB61" s="946"/>
      <c r="AC61" s="946"/>
      <c r="AD61" s="946"/>
      <c r="AE61" s="946"/>
      <c r="AF61" s="946"/>
      <c r="AG61" s="946"/>
      <c r="AH61" s="946"/>
      <c r="AI61" s="946"/>
      <c r="AJ61" s="946"/>
      <c r="AK61" s="946"/>
      <c r="AL61" s="946"/>
      <c r="AM61" s="946"/>
      <c r="AN61" s="946"/>
      <c r="BD61" s="946"/>
      <c r="BE61" s="946"/>
      <c r="BF61" s="946"/>
      <c r="BG61" s="946"/>
      <c r="BH61" s="946"/>
      <c r="BI61" s="946"/>
      <c r="BJ61" s="946"/>
      <c r="BK61" s="946"/>
      <c r="BL61" s="946"/>
      <c r="BM61" s="946"/>
      <c r="BN61" s="946"/>
      <c r="BO61" s="946"/>
      <c r="BP61" s="946"/>
      <c r="BQ61" s="946"/>
      <c r="BR61" s="946"/>
      <c r="BS61" s="946"/>
      <c r="BT61" s="946"/>
      <c r="BU61" s="946"/>
      <c r="BV61" s="946"/>
      <c r="BW61" s="946"/>
      <c r="BX61" s="946"/>
      <c r="BY61" s="946"/>
      <c r="BZ61" s="946"/>
      <c r="CA61" s="946"/>
    </row>
    <row r="62" spans="19:79">
      <c r="S62" s="946"/>
      <c r="T62" s="946"/>
      <c r="U62" s="946"/>
      <c r="V62" s="946"/>
      <c r="W62" s="946"/>
      <c r="X62" s="946"/>
      <c r="Y62" s="946"/>
      <c r="Z62" s="946"/>
      <c r="AA62" s="946"/>
      <c r="AB62" s="946"/>
      <c r="AC62" s="946"/>
      <c r="AD62" s="946"/>
      <c r="AE62" s="946"/>
      <c r="AF62" s="946"/>
      <c r="AG62" s="946"/>
      <c r="AH62" s="946"/>
      <c r="AI62" s="946"/>
      <c r="AJ62" s="946"/>
      <c r="AK62" s="946"/>
      <c r="AL62" s="946"/>
      <c r="AM62" s="946"/>
      <c r="AN62" s="946"/>
      <c r="BD62" s="946"/>
      <c r="BE62" s="946"/>
      <c r="BF62" s="946"/>
      <c r="BG62" s="946"/>
      <c r="BH62" s="946"/>
      <c r="BI62" s="946"/>
      <c r="BJ62" s="946"/>
      <c r="BK62" s="946"/>
      <c r="BL62" s="946"/>
      <c r="BM62" s="946"/>
      <c r="BN62" s="946"/>
      <c r="BO62" s="946"/>
      <c r="BP62" s="946"/>
      <c r="BQ62" s="946"/>
      <c r="BR62" s="946"/>
      <c r="BS62" s="946"/>
      <c r="BT62" s="946"/>
      <c r="BU62" s="946"/>
      <c r="BV62" s="946"/>
      <c r="BW62" s="946"/>
      <c r="BX62" s="946"/>
      <c r="BY62" s="946"/>
      <c r="BZ62" s="946"/>
      <c r="CA62" s="946"/>
    </row>
    <row r="63" spans="19:79">
      <c r="S63" s="946"/>
      <c r="T63" s="946"/>
      <c r="U63" s="946"/>
      <c r="V63" s="946"/>
      <c r="W63" s="946"/>
      <c r="X63" s="946"/>
      <c r="Y63" s="946"/>
      <c r="Z63" s="946"/>
      <c r="AA63" s="946"/>
      <c r="AB63" s="946"/>
      <c r="AC63" s="946"/>
      <c r="AD63" s="946"/>
      <c r="AE63" s="946"/>
      <c r="AF63" s="946"/>
      <c r="AG63" s="946"/>
      <c r="AH63" s="946"/>
      <c r="AI63" s="946"/>
      <c r="AJ63" s="946"/>
      <c r="AK63" s="946"/>
      <c r="AL63" s="946"/>
      <c r="AM63" s="946"/>
      <c r="AN63" s="946"/>
      <c r="BD63" s="946"/>
      <c r="BE63" s="946"/>
      <c r="BF63" s="946"/>
      <c r="BG63" s="946"/>
      <c r="BH63" s="946"/>
      <c r="BI63" s="946"/>
      <c r="BJ63" s="946"/>
      <c r="BK63" s="946"/>
      <c r="BL63" s="946"/>
      <c r="BM63" s="946"/>
      <c r="BN63" s="946"/>
      <c r="BO63" s="946"/>
      <c r="BP63" s="946"/>
      <c r="BQ63" s="946"/>
      <c r="BR63" s="946"/>
      <c r="BS63" s="946"/>
      <c r="BT63" s="946"/>
      <c r="BU63" s="946"/>
      <c r="BV63" s="946"/>
      <c r="BW63" s="946"/>
      <c r="BX63" s="946"/>
      <c r="BY63" s="946"/>
      <c r="BZ63" s="946"/>
      <c r="CA63" s="946"/>
    </row>
    <row r="64" spans="19:79">
      <c r="AM64" s="940"/>
      <c r="AN64" s="946"/>
      <c r="AO64" s="946"/>
      <c r="AP64" s="946"/>
      <c r="AQ64" s="946"/>
      <c r="AR64" s="946"/>
      <c r="AS64" s="946"/>
      <c r="AT64" s="946"/>
      <c r="AU64" s="946"/>
      <c r="AV64" s="946"/>
      <c r="AW64" s="946"/>
      <c r="AX64" s="946"/>
      <c r="AY64" s="946"/>
      <c r="AZ64" s="946"/>
      <c r="BA64" s="946"/>
      <c r="BB64" s="946"/>
      <c r="BC64" s="946"/>
      <c r="BD64" s="946"/>
      <c r="BE64" s="946"/>
      <c r="BF64" s="946"/>
      <c r="BG64" s="946"/>
      <c r="BH64" s="946"/>
      <c r="BI64" s="946"/>
      <c r="BJ64" s="946"/>
      <c r="BK64" s="946"/>
      <c r="BL64" s="946"/>
      <c r="BM64" s="946"/>
      <c r="BN64" s="946"/>
      <c r="BO64" s="946"/>
      <c r="BP64" s="946"/>
      <c r="BQ64" s="946"/>
      <c r="BR64" s="946"/>
      <c r="BS64" s="946"/>
      <c r="BT64" s="946"/>
      <c r="BU64" s="946"/>
      <c r="BV64" s="946"/>
      <c r="BW64" s="946"/>
      <c r="BX64" s="946"/>
      <c r="BY64" s="946"/>
      <c r="BZ64" s="946"/>
      <c r="CA64" s="946"/>
    </row>
    <row r="65" spans="39:79">
      <c r="AM65" s="940"/>
      <c r="AN65" s="946"/>
      <c r="AO65" s="946"/>
      <c r="AP65" s="946"/>
      <c r="AQ65" s="946"/>
      <c r="AR65" s="946"/>
      <c r="AS65" s="946"/>
      <c r="AT65" s="946"/>
      <c r="AU65" s="946"/>
      <c r="AV65" s="946"/>
      <c r="AW65" s="946"/>
      <c r="AX65" s="946"/>
      <c r="AY65" s="946"/>
      <c r="AZ65" s="946"/>
      <c r="BA65" s="946"/>
      <c r="BB65" s="946"/>
      <c r="BC65" s="946"/>
      <c r="BD65" s="946"/>
      <c r="BE65" s="946"/>
      <c r="BF65" s="946"/>
      <c r="BG65" s="946"/>
      <c r="BH65" s="946"/>
      <c r="BI65" s="946"/>
      <c r="BJ65" s="946"/>
      <c r="BK65" s="946"/>
      <c r="BL65" s="946"/>
      <c r="BM65" s="946"/>
      <c r="BN65" s="946"/>
      <c r="BO65" s="946"/>
      <c r="BP65" s="946"/>
      <c r="BQ65" s="946"/>
      <c r="BR65" s="946"/>
      <c r="BS65" s="946"/>
      <c r="BT65" s="946"/>
      <c r="BU65" s="946"/>
      <c r="BV65" s="946"/>
      <c r="BW65" s="946"/>
      <c r="BX65" s="946"/>
      <c r="BY65" s="946"/>
      <c r="BZ65" s="946"/>
      <c r="CA65" s="946"/>
    </row>
    <row r="66" spans="39:79">
      <c r="AM66" s="940"/>
      <c r="AN66" s="946"/>
      <c r="AO66" s="946"/>
      <c r="AP66" s="946"/>
      <c r="AQ66" s="946"/>
      <c r="AR66" s="946"/>
      <c r="AS66" s="946"/>
      <c r="AT66" s="946"/>
      <c r="AU66" s="946"/>
      <c r="AV66" s="946"/>
      <c r="AW66" s="946"/>
      <c r="AX66" s="946"/>
      <c r="AY66" s="946"/>
      <c r="AZ66" s="946"/>
      <c r="BA66" s="946"/>
      <c r="BB66" s="946"/>
      <c r="BC66" s="946"/>
      <c r="BD66" s="946"/>
      <c r="BE66" s="946"/>
      <c r="BF66" s="946"/>
      <c r="BG66" s="946"/>
      <c r="BH66" s="946"/>
      <c r="BI66" s="946"/>
      <c r="BJ66" s="946"/>
      <c r="BK66" s="946"/>
      <c r="BL66" s="946"/>
      <c r="BM66" s="946"/>
      <c r="BN66" s="946"/>
      <c r="BO66" s="946"/>
      <c r="BP66" s="946"/>
      <c r="BQ66" s="946"/>
      <c r="BR66" s="946"/>
      <c r="BS66" s="946"/>
      <c r="BT66" s="946"/>
      <c r="BU66" s="946"/>
      <c r="BV66" s="946"/>
      <c r="BW66" s="946"/>
      <c r="BX66" s="946"/>
      <c r="BY66" s="946"/>
      <c r="BZ66" s="946"/>
      <c r="CA66" s="946"/>
    </row>
    <row r="67" spans="39:79">
      <c r="AM67" s="940"/>
      <c r="AN67" s="946"/>
      <c r="AO67" s="946"/>
      <c r="AP67" s="946"/>
      <c r="AQ67" s="946"/>
      <c r="AR67" s="946"/>
      <c r="AS67" s="946"/>
      <c r="AT67" s="946"/>
      <c r="AU67" s="946"/>
      <c r="AV67" s="946"/>
      <c r="AW67" s="946"/>
      <c r="AX67" s="946"/>
      <c r="AY67" s="946"/>
      <c r="AZ67" s="946"/>
      <c r="BA67" s="946"/>
      <c r="BB67" s="946"/>
      <c r="BC67" s="946"/>
      <c r="BD67" s="946"/>
      <c r="BE67" s="946"/>
      <c r="BF67" s="946"/>
      <c r="BG67" s="946"/>
      <c r="BH67" s="946"/>
      <c r="BI67" s="946"/>
      <c r="BJ67" s="946"/>
      <c r="BK67" s="946"/>
      <c r="BL67" s="946"/>
      <c r="BM67" s="946"/>
      <c r="BN67" s="946"/>
      <c r="BO67" s="946"/>
      <c r="BP67" s="946"/>
      <c r="BQ67" s="946"/>
      <c r="BR67" s="946"/>
      <c r="BS67" s="946"/>
      <c r="BT67" s="946"/>
      <c r="BU67" s="946"/>
      <c r="BV67" s="946"/>
      <c r="BW67" s="946"/>
      <c r="BX67" s="946"/>
      <c r="BY67" s="946"/>
      <c r="BZ67" s="946"/>
      <c r="CA67" s="946"/>
    </row>
    <row r="68" spans="39:79">
      <c r="AN68" s="946"/>
      <c r="AO68" s="946"/>
      <c r="AP68" s="946"/>
      <c r="AQ68" s="946"/>
      <c r="AR68" s="946"/>
      <c r="AS68" s="946"/>
      <c r="AT68" s="946"/>
      <c r="AU68" s="946"/>
      <c r="AV68" s="946"/>
      <c r="AW68" s="946"/>
      <c r="AX68" s="946"/>
      <c r="AY68" s="946"/>
      <c r="AZ68" s="946"/>
      <c r="BA68" s="946"/>
      <c r="BB68" s="946"/>
      <c r="BC68" s="946"/>
      <c r="BD68" s="946"/>
      <c r="BE68" s="946"/>
      <c r="BF68" s="946"/>
      <c r="BG68" s="946"/>
      <c r="BH68" s="946"/>
      <c r="BI68" s="946"/>
      <c r="BJ68" s="946"/>
      <c r="BK68" s="946"/>
      <c r="BL68" s="946"/>
      <c r="BM68" s="946"/>
      <c r="BN68" s="946"/>
      <c r="BO68" s="946"/>
      <c r="BP68" s="946"/>
      <c r="BQ68" s="946"/>
      <c r="BR68" s="946"/>
      <c r="BS68" s="946"/>
      <c r="BT68" s="946"/>
      <c r="BU68" s="946"/>
      <c r="BV68" s="946"/>
      <c r="BW68" s="946"/>
      <c r="BX68" s="946"/>
      <c r="BY68" s="946"/>
      <c r="BZ68" s="946"/>
      <c r="CA68" s="946"/>
    </row>
    <row r="69" spans="39:79">
      <c r="AN69" s="946"/>
      <c r="AO69" s="946"/>
      <c r="AP69" s="946"/>
      <c r="AQ69" s="946"/>
      <c r="AR69" s="946"/>
      <c r="AS69" s="946"/>
      <c r="AT69" s="946"/>
      <c r="AU69" s="946"/>
      <c r="AV69" s="946"/>
      <c r="AW69" s="946"/>
      <c r="AX69" s="946"/>
      <c r="AY69" s="946"/>
      <c r="AZ69" s="946"/>
      <c r="BA69" s="946"/>
      <c r="BB69" s="946"/>
      <c r="BC69" s="946"/>
      <c r="BD69" s="946"/>
      <c r="BE69" s="946"/>
      <c r="BF69" s="946"/>
      <c r="BG69" s="946"/>
      <c r="BH69" s="946"/>
      <c r="BI69" s="946"/>
      <c r="BJ69" s="946"/>
      <c r="BK69" s="946"/>
      <c r="BL69" s="946"/>
      <c r="BM69" s="946"/>
      <c r="BN69" s="946"/>
      <c r="BO69" s="946"/>
      <c r="BP69" s="946"/>
      <c r="BQ69" s="946"/>
      <c r="BR69" s="946"/>
      <c r="BS69" s="946"/>
      <c r="BT69" s="946"/>
      <c r="BU69" s="946"/>
      <c r="BV69" s="946"/>
      <c r="BW69" s="946"/>
      <c r="BX69" s="946"/>
      <c r="BY69" s="946"/>
      <c r="BZ69" s="946"/>
      <c r="CA69" s="946"/>
    </row>
    <row r="70" spans="39:79">
      <c r="AN70" s="946"/>
      <c r="AO70" s="946"/>
      <c r="AP70" s="946"/>
      <c r="AQ70" s="946"/>
      <c r="AR70" s="946"/>
      <c r="AS70" s="946"/>
      <c r="AT70" s="946"/>
      <c r="AU70" s="946"/>
      <c r="AV70" s="946"/>
      <c r="AW70" s="946"/>
      <c r="AX70" s="946"/>
      <c r="AY70" s="946"/>
      <c r="AZ70" s="946"/>
      <c r="BA70" s="946"/>
      <c r="BB70" s="946"/>
      <c r="BC70" s="946"/>
      <c r="BD70" s="946"/>
      <c r="BE70" s="946"/>
      <c r="BF70" s="946"/>
      <c r="BG70" s="946"/>
      <c r="BH70" s="946"/>
      <c r="BI70" s="946"/>
      <c r="BJ70" s="946"/>
      <c r="BK70" s="946"/>
      <c r="BL70" s="946"/>
      <c r="BM70" s="946"/>
      <c r="BN70" s="946"/>
      <c r="BO70" s="946"/>
      <c r="BP70" s="946"/>
      <c r="BQ70" s="946"/>
      <c r="BR70" s="946"/>
      <c r="BS70" s="946"/>
      <c r="BT70" s="946"/>
      <c r="BU70" s="946"/>
      <c r="BV70" s="946"/>
      <c r="BW70" s="946"/>
      <c r="BX70" s="946"/>
      <c r="BY70" s="946"/>
      <c r="BZ70" s="946"/>
      <c r="CA70" s="946"/>
    </row>
    <row r="71" spans="39:79">
      <c r="AN71" s="946"/>
      <c r="AO71" s="946"/>
      <c r="AP71" s="946"/>
      <c r="AQ71" s="946"/>
      <c r="AR71" s="946"/>
      <c r="AS71" s="946"/>
      <c r="AT71" s="946"/>
      <c r="AU71" s="946"/>
      <c r="AV71" s="946"/>
      <c r="AW71" s="946"/>
      <c r="AX71" s="946"/>
      <c r="AY71" s="946"/>
      <c r="AZ71" s="946"/>
      <c r="BA71" s="946"/>
      <c r="BB71" s="946"/>
      <c r="BC71" s="946"/>
      <c r="BD71" s="946"/>
      <c r="BE71" s="946"/>
      <c r="BF71" s="946"/>
      <c r="BG71" s="946"/>
      <c r="BH71" s="946"/>
      <c r="BI71" s="946"/>
      <c r="BJ71" s="946"/>
      <c r="BK71" s="946"/>
      <c r="BL71" s="946"/>
      <c r="BM71" s="946"/>
      <c r="BN71" s="946"/>
      <c r="BO71" s="946"/>
      <c r="BP71" s="946"/>
      <c r="BQ71" s="946"/>
      <c r="BR71" s="946"/>
      <c r="BS71" s="946"/>
      <c r="BT71" s="946"/>
      <c r="BU71" s="946"/>
      <c r="BV71" s="946"/>
      <c r="BW71" s="946"/>
      <c r="BX71" s="946"/>
      <c r="BY71" s="946"/>
      <c r="BZ71" s="946"/>
      <c r="CA71" s="946"/>
    </row>
    <row r="72" spans="39:79">
      <c r="AN72" s="946"/>
      <c r="AO72" s="946"/>
      <c r="AP72" s="946"/>
      <c r="AQ72" s="946"/>
      <c r="AR72" s="946"/>
      <c r="AS72" s="946"/>
      <c r="AT72" s="946"/>
      <c r="AU72" s="946"/>
      <c r="AV72" s="946"/>
      <c r="AW72" s="946"/>
      <c r="AX72" s="946"/>
      <c r="AY72" s="946"/>
      <c r="AZ72" s="946"/>
      <c r="BA72" s="946"/>
      <c r="BB72" s="946"/>
      <c r="BC72" s="946"/>
      <c r="BD72" s="946"/>
      <c r="BE72" s="946"/>
      <c r="BF72" s="946"/>
      <c r="BG72" s="946"/>
      <c r="BH72" s="946"/>
      <c r="BI72" s="946"/>
      <c r="BJ72" s="946"/>
      <c r="BK72" s="946"/>
      <c r="BL72" s="946"/>
      <c r="BM72" s="946"/>
      <c r="BN72" s="946"/>
      <c r="BO72" s="946"/>
      <c r="BP72" s="946"/>
      <c r="BQ72" s="946"/>
      <c r="BR72" s="946"/>
      <c r="BS72" s="946"/>
      <c r="BT72" s="946"/>
      <c r="BU72" s="946"/>
      <c r="BV72" s="946"/>
      <c r="BW72" s="946"/>
      <c r="BX72" s="946"/>
      <c r="BY72" s="946"/>
      <c r="BZ72" s="946"/>
      <c r="CA72" s="946"/>
    </row>
    <row r="73" spans="39:79">
      <c r="AN73" s="946"/>
      <c r="AO73" s="946"/>
      <c r="AP73" s="946"/>
      <c r="AQ73" s="946"/>
      <c r="AR73" s="946"/>
      <c r="AS73" s="946"/>
      <c r="AT73" s="946"/>
      <c r="AU73" s="946"/>
      <c r="AV73" s="946"/>
      <c r="AW73" s="946"/>
      <c r="AX73" s="946"/>
      <c r="AY73" s="946"/>
      <c r="AZ73" s="946"/>
      <c r="BA73" s="946"/>
      <c r="BB73" s="946"/>
      <c r="BC73" s="946"/>
      <c r="BD73" s="946"/>
      <c r="BE73" s="946"/>
      <c r="BF73" s="946"/>
      <c r="BG73" s="946"/>
      <c r="BH73" s="946"/>
      <c r="BI73" s="946"/>
      <c r="BJ73" s="946"/>
      <c r="BK73" s="946"/>
      <c r="BL73" s="946"/>
      <c r="BM73" s="946"/>
      <c r="BN73" s="946"/>
      <c r="BO73" s="946"/>
      <c r="BP73" s="946"/>
      <c r="BQ73" s="946"/>
      <c r="BR73" s="946"/>
      <c r="BS73" s="946"/>
      <c r="BT73" s="946"/>
      <c r="BU73" s="946"/>
      <c r="BV73" s="946"/>
      <c r="BW73" s="946"/>
      <c r="BX73" s="946"/>
      <c r="BY73" s="946"/>
      <c r="BZ73" s="946"/>
      <c r="CA73" s="946"/>
    </row>
    <row r="74" spans="39:79">
      <c r="AN74" s="946"/>
      <c r="AO74" s="946"/>
      <c r="AP74" s="946"/>
      <c r="AQ74" s="946"/>
      <c r="AR74" s="946"/>
      <c r="AS74" s="946"/>
      <c r="AT74" s="946"/>
      <c r="AU74" s="946"/>
      <c r="AV74" s="946"/>
      <c r="AW74" s="946"/>
      <c r="AX74" s="946"/>
      <c r="AY74" s="946"/>
      <c r="AZ74" s="946"/>
      <c r="BA74" s="946"/>
      <c r="BB74" s="946"/>
      <c r="BC74" s="946"/>
      <c r="BD74" s="946"/>
      <c r="BE74" s="946"/>
      <c r="BF74" s="946"/>
      <c r="BG74" s="946"/>
      <c r="BH74" s="946"/>
      <c r="BI74" s="946"/>
      <c r="BJ74" s="946"/>
      <c r="BK74" s="946"/>
      <c r="BL74" s="946"/>
      <c r="BM74" s="946"/>
      <c r="BN74" s="946"/>
      <c r="BO74" s="946"/>
      <c r="BP74" s="946"/>
      <c r="BQ74" s="946"/>
      <c r="BR74" s="946"/>
      <c r="BS74" s="946"/>
      <c r="BT74" s="946"/>
      <c r="BU74" s="946"/>
      <c r="BV74" s="946"/>
      <c r="BW74" s="946"/>
      <c r="BX74" s="946"/>
      <c r="BY74" s="946"/>
      <c r="BZ74" s="946"/>
      <c r="CA74" s="946"/>
    </row>
    <row r="75" spans="39:79">
      <c r="AN75" s="946"/>
      <c r="AO75" s="946"/>
      <c r="AP75" s="946"/>
      <c r="AQ75" s="946"/>
      <c r="AR75" s="946"/>
      <c r="AS75" s="946"/>
      <c r="AT75" s="946"/>
      <c r="AU75" s="946"/>
      <c r="AV75" s="946"/>
      <c r="AW75" s="946"/>
      <c r="AX75" s="946"/>
      <c r="AY75" s="946"/>
      <c r="AZ75" s="946"/>
      <c r="BA75" s="946"/>
      <c r="BB75" s="946"/>
      <c r="BC75" s="946"/>
      <c r="BD75" s="946"/>
      <c r="BE75" s="946"/>
      <c r="BF75" s="946"/>
      <c r="BG75" s="946"/>
      <c r="BH75" s="946"/>
      <c r="BI75" s="946"/>
      <c r="BJ75" s="946"/>
      <c r="BK75" s="946"/>
      <c r="BL75" s="946"/>
      <c r="BM75" s="946"/>
      <c r="BN75" s="946"/>
      <c r="BO75" s="946"/>
      <c r="BP75" s="946"/>
      <c r="BQ75" s="946"/>
      <c r="BR75" s="946"/>
      <c r="BS75" s="946"/>
      <c r="BT75" s="946"/>
      <c r="BU75" s="946"/>
      <c r="BV75" s="946"/>
      <c r="BW75" s="946"/>
      <c r="BX75" s="946"/>
      <c r="BY75" s="946"/>
      <c r="BZ75" s="946"/>
      <c r="CA75" s="946"/>
    </row>
  </sheetData>
  <mergeCells count="3">
    <mergeCell ref="AM34:AN34"/>
    <mergeCell ref="AO34:AP34"/>
    <mergeCell ref="AQ34:AR34"/>
  </mergeCells>
  <conditionalFormatting sqref="G7:G25">
    <cfRule type="cellIs" dxfId="71" priority="1" operator="equal">
      <formula>"Reject"</formula>
    </cfRule>
    <cfRule type="cellIs" dxfId="70" priority="2" operator="notEqual">
      <formula>$AT$4</formula>
    </cfRule>
    <cfRule type="cellIs" dxfId="69" priority="3" operator="equal">
      <formula>$AT$4</formula>
    </cfRule>
  </conditionalFormatting>
  <dataValidations count="1">
    <dataValidation type="list" allowBlank="1" showInputMessage="1" showErrorMessage="1" sqref="G7:G25" xr:uid="{9B133A88-26CE-4FE8-84B8-163A300488A9}">
      <formula1>$J$6:$J$23</formula1>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5"/>
    <pageSetUpPr fitToPage="1"/>
  </sheetPr>
  <dimension ref="A1:CJ289"/>
  <sheetViews>
    <sheetView showGridLines="0" showZeros="0" tabSelected="1" zoomScale="57" zoomScaleNormal="57" zoomScaleSheetLayoutView="70" zoomScalePageLayoutView="40" workbookViewId="0">
      <selection activeCell="AB77" sqref="AB77"/>
    </sheetView>
  </sheetViews>
  <sheetFormatPr defaultColWidth="9.1796875" defaultRowHeight="12.5"/>
  <cols>
    <col min="1" max="1" width="14.81640625" style="803" customWidth="1"/>
    <col min="2" max="2" width="54" style="803" customWidth="1"/>
    <col min="3" max="4" width="17" style="803" customWidth="1"/>
    <col min="5" max="5" width="15.453125" style="803" customWidth="1"/>
    <col min="6" max="6" width="16.54296875" style="803" customWidth="1"/>
    <col min="7" max="16" width="18.1796875" style="803" customWidth="1"/>
    <col min="17" max="17" width="17.54296875" style="803" customWidth="1"/>
    <col min="18" max="19" width="23.1796875" style="803" customWidth="1"/>
    <col min="20" max="20" width="25.81640625" style="803" customWidth="1"/>
    <col min="21" max="22" width="23.1796875" style="803" customWidth="1"/>
    <col min="23" max="23" width="23.1796875" style="811" customWidth="1"/>
    <col min="24" max="24" width="21.453125" style="811" customWidth="1"/>
    <col min="25" max="25" width="19.81640625" style="811" customWidth="1"/>
    <col min="26" max="26" width="13.54296875" style="811" customWidth="1"/>
    <col min="27" max="27" width="28" style="811" customWidth="1"/>
    <col min="28" max="28" width="38.1796875" style="811" customWidth="1"/>
    <col min="29" max="29" width="14.1796875" style="811" customWidth="1"/>
    <col min="30" max="30" width="57.54296875" style="811" customWidth="1"/>
    <col min="31" max="31" width="91.36328125" style="811" bestFit="1" customWidth="1"/>
    <col min="32" max="32" width="18.81640625" style="811" customWidth="1"/>
    <col min="33" max="33" width="17" style="811" customWidth="1"/>
    <col min="34" max="34" width="16.6328125" style="811" customWidth="1"/>
    <col min="35" max="35" width="21.26953125" style="811" customWidth="1"/>
    <col min="36" max="36" width="14.1796875" style="811" customWidth="1"/>
    <col min="37" max="37" width="24.6328125" style="811" customWidth="1"/>
    <col min="38" max="38" width="12" style="811" customWidth="1"/>
    <col min="39" max="39" width="12.81640625" style="811" bestFit="1" customWidth="1"/>
    <col min="40" max="40" width="11.26953125" style="811" customWidth="1"/>
    <col min="41" max="44" width="9.26953125" style="811" customWidth="1"/>
    <col min="45" max="45" width="9.26953125" style="811" bestFit="1" customWidth="1"/>
    <col min="46" max="46" width="10" style="811" bestFit="1" customWidth="1"/>
    <col min="47" max="47" width="9.36328125" style="811" bestFit="1" customWidth="1"/>
    <col min="48" max="48" width="11.7265625" style="811" bestFit="1" customWidth="1"/>
    <col min="49" max="51" width="9.36328125" style="811" bestFit="1" customWidth="1"/>
    <col min="52" max="54" width="9.26953125" style="811" bestFit="1" customWidth="1"/>
    <col min="55" max="55" width="9.1796875" style="811"/>
    <col min="56" max="56" width="9.26953125" style="811" bestFit="1" customWidth="1"/>
    <col min="57" max="57" width="10.26953125" style="811" bestFit="1" customWidth="1"/>
    <col min="58" max="67" width="12.54296875" style="811" customWidth="1"/>
    <col min="68" max="68" width="14" style="811" customWidth="1"/>
    <col min="69" max="70" width="9.26953125" style="811" bestFit="1" customWidth="1"/>
    <col min="71" max="71" width="21.1796875" style="811" customWidth="1"/>
    <col min="72" max="72" width="29.453125" style="811" bestFit="1" customWidth="1"/>
    <col min="73" max="73" width="21.1796875" style="811" bestFit="1" customWidth="1"/>
    <col min="74" max="74" width="8.36328125" style="811" bestFit="1" customWidth="1"/>
    <col min="75" max="75" width="9.1796875" style="803"/>
    <col min="76" max="76" width="31.26953125" style="803" bestFit="1" customWidth="1"/>
    <col min="77" max="77" width="13.90625" style="803" bestFit="1" customWidth="1"/>
    <col min="78" max="78" width="6.26953125" style="803" bestFit="1" customWidth="1"/>
    <col min="79" max="81" width="9.1796875" style="803"/>
    <col min="82" max="84" width="9.26953125" style="803" bestFit="1" customWidth="1"/>
    <col min="85" max="85" width="9.1796875" style="803"/>
    <col min="86" max="88" width="9.26953125" style="803" bestFit="1" customWidth="1"/>
    <col min="89" max="16384" width="9.1796875" style="803"/>
  </cols>
  <sheetData>
    <row r="1" spans="1:28" s="760" customFormat="1" ht="53.25" customHeight="1">
      <c r="A1" s="756" t="s">
        <v>301</v>
      </c>
      <c r="B1" s="756"/>
      <c r="C1" s="754"/>
      <c r="D1" s="754"/>
      <c r="E1" s="757"/>
      <c r="F1" s="754"/>
      <c r="G1" s="758"/>
      <c r="H1" s="759"/>
      <c r="I1" s="758"/>
      <c r="J1" s="758"/>
      <c r="K1" s="758"/>
      <c r="L1" s="758"/>
      <c r="M1" s="758"/>
      <c r="N1" s="758"/>
      <c r="O1" s="758"/>
      <c r="P1" s="758"/>
      <c r="Q1" s="758"/>
      <c r="R1" s="758"/>
      <c r="S1" s="758"/>
    </row>
    <row r="2" spans="1:28" s="760" customFormat="1" ht="36.75" customHeight="1">
      <c r="A2" s="756" t="s">
        <v>31</v>
      </c>
      <c r="B2" s="756"/>
      <c r="C2" s="754"/>
      <c r="D2" s="754"/>
      <c r="E2" s="757"/>
      <c r="F2" s="754"/>
      <c r="G2" s="758"/>
      <c r="H2" s="758"/>
      <c r="Q2" s="758"/>
      <c r="R2" s="761"/>
      <c r="S2" s="762"/>
      <c r="Y2" s="763" t="s">
        <v>934</v>
      </c>
    </row>
    <row r="3" spans="1:28" s="760" customFormat="1" ht="26.5" customHeight="1">
      <c r="A3" s="756"/>
      <c r="B3" s="756"/>
      <c r="C3" s="754"/>
      <c r="D3" s="754"/>
      <c r="E3" s="757"/>
      <c r="F3" s="754"/>
      <c r="G3" s="758"/>
      <c r="H3" s="758"/>
      <c r="P3" s="764" t="s">
        <v>302</v>
      </c>
      <c r="Q3" s="765"/>
      <c r="R3" s="761"/>
      <c r="S3" s="758"/>
      <c r="Y3" s="979">
        <f>P51</f>
        <v>15.14026165194938</v>
      </c>
      <c r="Z3" s="980"/>
      <c r="AA3" s="980"/>
      <c r="AB3" s="986"/>
    </row>
    <row r="4" spans="1:28" s="760" customFormat="1" ht="36.75" customHeight="1" thickBot="1">
      <c r="A4" s="766" t="s">
        <v>303</v>
      </c>
      <c r="B4" s="767"/>
      <c r="C4" s="754"/>
      <c r="D4" s="754"/>
      <c r="E4" s="757"/>
      <c r="F4" s="768"/>
      <c r="G4" s="768"/>
      <c r="H4" s="768"/>
      <c r="I4" s="768"/>
      <c r="J4" s="768"/>
      <c r="K4" s="768"/>
      <c r="L4" s="768"/>
      <c r="M4" s="768"/>
      <c r="N4" s="768"/>
      <c r="O4" s="768"/>
      <c r="P4" s="768"/>
      <c r="Q4" s="768"/>
      <c r="R4" s="761"/>
      <c r="S4" s="758"/>
      <c r="Y4" s="980"/>
      <c r="Z4" s="980"/>
      <c r="AA4" s="980"/>
      <c r="AB4" s="986"/>
    </row>
    <row r="5" spans="1:28" s="760" customFormat="1" ht="36" customHeight="1" thickTop="1" thickBot="1">
      <c r="A5" s="769" t="s">
        <v>282</v>
      </c>
      <c r="B5" s="769" t="s">
        <v>304</v>
      </c>
      <c r="C5" s="755" t="s">
        <v>305</v>
      </c>
      <c r="D5" s="755" t="s">
        <v>306</v>
      </c>
      <c r="E5" s="755" t="s">
        <v>307</v>
      </c>
      <c r="F5" s="755" t="str">
        <f>F55</f>
        <v>BASE</v>
      </c>
      <c r="G5" s="755" t="str">
        <f t="shared" ref="G5:P5" si="0">G67</f>
        <v>CURRENT</v>
      </c>
      <c r="H5" s="755" t="str">
        <f t="shared" si="0"/>
        <v>FY25</v>
      </c>
      <c r="I5" s="755" t="str">
        <f t="shared" si="0"/>
        <v>FY26</v>
      </c>
      <c r="J5" s="755" t="str">
        <f t="shared" si="0"/>
        <v>FY27</v>
      </c>
      <c r="K5" s="755" t="str">
        <f t="shared" si="0"/>
        <v>FY28</v>
      </c>
      <c r="L5" s="755" t="str">
        <f t="shared" si="0"/>
        <v>FY29</v>
      </c>
      <c r="M5" s="755" t="str">
        <f t="shared" si="0"/>
        <v>FY30</v>
      </c>
      <c r="N5" s="755" t="str">
        <f t="shared" si="0"/>
        <v>FY31</v>
      </c>
      <c r="O5" s="755" t="str">
        <f t="shared" si="0"/>
        <v>FY32</v>
      </c>
      <c r="P5" s="755" t="str">
        <f t="shared" si="0"/>
        <v>FY33</v>
      </c>
      <c r="Q5" s="755" t="s">
        <v>308</v>
      </c>
      <c r="R5" s="761"/>
      <c r="S5" s="758"/>
      <c r="Y5" s="920"/>
      <c r="Z5" s="920"/>
      <c r="AA5" s="920"/>
      <c r="AB5" s="986"/>
    </row>
    <row r="6" spans="1:28" s="760" customFormat="1" ht="24" customHeight="1" thickTop="1">
      <c r="A6" s="767" t="str">
        <f>VLOOKUP($A$2,'Asset Attributes'!$B$3:$D$25,2,0)</f>
        <v>NSW2</v>
      </c>
      <c r="B6" s="767" t="s">
        <v>309</v>
      </c>
      <c r="C6" s="770" t="s">
        <v>310</v>
      </c>
      <c r="D6" s="771">
        <f>(VLOOKUP($A$2,Assumptions!$B$41:$C$63,2,0))/1000</f>
        <v>0.24541426976422628</v>
      </c>
      <c r="E6" s="772" t="s">
        <v>311</v>
      </c>
      <c r="F6" s="772">
        <f>VLOOKUP($A$2,'Footprint Summary'!$B$4:$R$26,COLUMNS('Footprint Summary'!$B$4:F$26)+1,0)</f>
        <v>1824.81</v>
      </c>
      <c r="G6" s="772">
        <f>VLOOKUP($A$2,'Footprint Summary'!$B$4:$R$26,COLUMNS('Footprint Summary'!$B$4:G$26)+1,0)</f>
        <v>1804.81</v>
      </c>
      <c r="H6" s="772">
        <f>VLOOKUP($A$2,'Footprint Summary'!$B$4:$R$26,COLUMNS('Footprint Summary'!$B$4:H$26)+1,0)</f>
        <v>1804.81</v>
      </c>
      <c r="I6" s="772">
        <f>VLOOKUP($A$2,'Footprint Summary'!$B$4:$R$26,COLUMNS('Footprint Summary'!$B$4:I$26)+1,0)</f>
        <v>1264.81</v>
      </c>
      <c r="J6" s="772">
        <f>VLOOKUP($A$2,'Footprint Summary'!$B$4:$R$26,COLUMNS('Footprint Summary'!$B$4:J$26)+1,0)</f>
        <v>1214.81</v>
      </c>
      <c r="K6" s="772">
        <f>VLOOKUP($A$2,'Footprint Summary'!$B$4:$R$26,COLUMNS('Footprint Summary'!$B$4:K$26)+1,0)</f>
        <v>1194.81</v>
      </c>
      <c r="L6" s="772">
        <f>VLOOKUP($A$2,'Footprint Summary'!$B$4:$R$26,COLUMNS('Footprint Summary'!$B$4:L$26)+1,0)</f>
        <v>1194.81</v>
      </c>
      <c r="M6" s="772">
        <f>VLOOKUP($A$2,'Footprint Summary'!$B$4:$R$26,COLUMNS('Footprint Summary'!$B$4:M$26)+1,0)</f>
        <v>1184.81</v>
      </c>
      <c r="N6" s="772">
        <f>VLOOKUP($A$2,'Footprint Summary'!$B$4:$R$26,COLUMNS('Footprint Summary'!$B$4:N$26)+1,0)</f>
        <v>1044.81</v>
      </c>
      <c r="O6" s="772">
        <f>VLOOKUP($A$2,'Footprint Summary'!$B$4:$R$26,COLUMNS('Footprint Summary'!$B$4:O$26)+1,0)</f>
        <v>1044.81</v>
      </c>
      <c r="P6" s="772">
        <f>VLOOKUP($A$2,'Footprint Summary'!$B$4:$R$26,COLUMNS('Footprint Summary'!$B$4:P$26)+1,0)</f>
        <v>1044.81</v>
      </c>
      <c r="Q6" s="773">
        <f>(P6-F6)/F6</f>
        <v>-0.4274417610600556</v>
      </c>
      <c r="R6" s="761"/>
      <c r="S6" s="758"/>
      <c r="Y6" s="763" t="s">
        <v>936</v>
      </c>
      <c r="AB6" s="763" t="s">
        <v>935</v>
      </c>
    </row>
    <row r="7" spans="1:28" s="760" customFormat="1" ht="17.25" customHeight="1">
      <c r="A7" s="767" t="str">
        <f>VLOOKUP($A$2,'Asset Attributes'!$B$3:$D$25,2,0)</f>
        <v>NSW2</v>
      </c>
      <c r="B7" s="767" t="s">
        <v>312</v>
      </c>
      <c r="E7" s="772" t="s">
        <v>311</v>
      </c>
      <c r="F7" s="774">
        <f t="shared" ref="F7:P7" si="1">F6-$F$6</f>
        <v>0</v>
      </c>
      <c r="G7" s="774">
        <f t="shared" si="1"/>
        <v>-20</v>
      </c>
      <c r="H7" s="774">
        <f t="shared" si="1"/>
        <v>-20</v>
      </c>
      <c r="I7" s="774">
        <f t="shared" si="1"/>
        <v>-560</v>
      </c>
      <c r="J7" s="774">
        <f t="shared" si="1"/>
        <v>-610</v>
      </c>
      <c r="K7" s="774">
        <f t="shared" si="1"/>
        <v>-630</v>
      </c>
      <c r="L7" s="774">
        <f t="shared" si="1"/>
        <v>-630</v>
      </c>
      <c r="M7" s="774">
        <f t="shared" si="1"/>
        <v>-640</v>
      </c>
      <c r="N7" s="774">
        <f t="shared" si="1"/>
        <v>-780</v>
      </c>
      <c r="O7" s="774">
        <f t="shared" si="1"/>
        <v>-780</v>
      </c>
      <c r="P7" s="774">
        <f t="shared" si="1"/>
        <v>-780</v>
      </c>
      <c r="Q7" s="774">
        <f>SUM(F7:P7)</f>
        <v>-5450</v>
      </c>
      <c r="R7" s="761"/>
      <c r="S7" s="758"/>
      <c r="Y7" s="763"/>
      <c r="AB7" s="763"/>
    </row>
    <row r="8" spans="1:28" s="760" customFormat="1" ht="17.25" customHeight="1">
      <c r="A8" s="775" t="s">
        <v>284</v>
      </c>
      <c r="B8" s="767" t="s">
        <v>313</v>
      </c>
      <c r="C8" s="754"/>
      <c r="D8" s="776">
        <f>(VLOOKUP($A$2,Assumptions!$B$69:$C$91,2,0))</f>
        <v>29.261555104226325</v>
      </c>
      <c r="E8" s="777" t="s">
        <v>314</v>
      </c>
      <c r="F8" s="778">
        <f>VLOOKUP($A$2,'Footprint Summary'!$B$33:$R$55,COLUMNS('Footprint Summary'!$B$33:F$55)+1,0)</f>
        <v>1614.7909999999999</v>
      </c>
      <c r="G8" s="778">
        <f>VLOOKUP($A$2,'Footprint Summary'!$B$33:$R$55,COLUMNS('Footprint Summary'!$B$33:G$55)+1,0)</f>
        <v>1614.7909999999999</v>
      </c>
      <c r="H8" s="778">
        <f>VLOOKUP($A$2,'Footprint Summary'!$B$33:$R$55,COLUMNS('Footprint Summary'!$B$33:H$55)+1,0)</f>
        <v>1614.7909999999999</v>
      </c>
      <c r="I8" s="778">
        <f>VLOOKUP($A$2,'Footprint Summary'!$B$33:$R$55,COLUMNS('Footprint Summary'!$B$33:I$55)+1,0)</f>
        <v>1614.7909999999999</v>
      </c>
      <c r="J8" s="778">
        <f>VLOOKUP($A$2,'Footprint Summary'!$B$33:$R$55,COLUMNS('Footprint Summary'!$B$33:J$55)+1,0)</f>
        <v>1126.7909999999999</v>
      </c>
      <c r="K8" s="778">
        <f>VLOOKUP($A$2,'Footprint Summary'!$B$33:$R$55,COLUMNS('Footprint Summary'!$B$33:K$55)+1,0)</f>
        <v>1088.7909999999999</v>
      </c>
      <c r="L8" s="778">
        <f>VLOOKUP($A$2,'Footprint Summary'!$B$33:$R$55,COLUMNS('Footprint Summary'!$B$33:L$55)+1,0)</f>
        <v>1050.7909999999999</v>
      </c>
      <c r="M8" s="778">
        <f>VLOOKUP($A$2,'Footprint Summary'!$B$33:$R$55,COLUMNS('Footprint Summary'!$B$33:M$55)+1,0)</f>
        <v>1012.7909999999999</v>
      </c>
      <c r="N8" s="778">
        <f>VLOOKUP($A$2,'Footprint Summary'!$B$33:$R$55,COLUMNS('Footprint Summary'!$B$33:N$55)+1,0)</f>
        <v>474.79099999999994</v>
      </c>
      <c r="O8" s="778">
        <f>VLOOKUP($A$2,'Footprint Summary'!$B$33:$R$55,COLUMNS('Footprint Summary'!$B$33:O$55)+1,0)</f>
        <v>474.79099999999994</v>
      </c>
      <c r="P8" s="778">
        <f>VLOOKUP($A$2,'Footprint Summary'!$B$33:$R$55,COLUMNS('Footprint Summary'!$B$33:P$55)+1,0)</f>
        <v>474.79099999999994</v>
      </c>
      <c r="Q8" s="773">
        <f>(P8-F8)/F8</f>
        <v>-0.70597371424537292</v>
      </c>
      <c r="R8" s="761"/>
      <c r="S8" s="758"/>
      <c r="Y8" s="987">
        <f>P6*1000/C60</f>
        <v>40.65724959140789</v>
      </c>
      <c r="Z8" s="988"/>
      <c r="AA8" s="988"/>
      <c r="AB8" s="989">
        <f>Q6</f>
        <v>-0.4274417610600556</v>
      </c>
    </row>
    <row r="9" spans="1:28" s="760" customFormat="1" ht="17.25" customHeight="1">
      <c r="A9" s="775" t="s">
        <v>284</v>
      </c>
      <c r="B9" s="767" t="s">
        <v>315</v>
      </c>
      <c r="C9" s="754"/>
      <c r="D9" s="754"/>
      <c r="E9" s="777" t="s">
        <v>314</v>
      </c>
      <c r="F9" s="774">
        <f t="shared" ref="F9:P9" si="2">F8-$F$8</f>
        <v>0</v>
      </c>
      <c r="G9" s="774">
        <f t="shared" si="2"/>
        <v>0</v>
      </c>
      <c r="H9" s="774">
        <f t="shared" si="2"/>
        <v>0</v>
      </c>
      <c r="I9" s="774">
        <f t="shared" si="2"/>
        <v>0</v>
      </c>
      <c r="J9" s="774">
        <f t="shared" si="2"/>
        <v>-488</v>
      </c>
      <c r="K9" s="774">
        <f t="shared" si="2"/>
        <v>-526</v>
      </c>
      <c r="L9" s="774">
        <f t="shared" si="2"/>
        <v>-564</v>
      </c>
      <c r="M9" s="774">
        <f t="shared" si="2"/>
        <v>-602</v>
      </c>
      <c r="N9" s="774">
        <f t="shared" si="2"/>
        <v>-1140</v>
      </c>
      <c r="O9" s="774">
        <f t="shared" si="2"/>
        <v>-1140</v>
      </c>
      <c r="P9" s="774">
        <f t="shared" si="2"/>
        <v>-1140</v>
      </c>
      <c r="Q9" s="774">
        <f>SUM(F9:P9)</f>
        <v>-5600</v>
      </c>
      <c r="R9" s="761"/>
      <c r="S9" s="758"/>
      <c r="Y9" s="988"/>
      <c r="Z9" s="988"/>
      <c r="AA9" s="988"/>
      <c r="AB9" s="990"/>
    </row>
    <row r="10" spans="1:28" s="760" customFormat="1" ht="17.25" customHeight="1">
      <c r="R10" s="761"/>
      <c r="S10" s="758"/>
      <c r="Y10" s="988"/>
      <c r="Z10" s="988"/>
      <c r="AA10" s="988"/>
      <c r="AB10" s="990"/>
    </row>
    <row r="11" spans="1:28" s="760" customFormat="1" ht="24" customHeight="1" thickBot="1">
      <c r="A11" s="766" t="s">
        <v>316</v>
      </c>
      <c r="R11" s="761"/>
      <c r="S11" s="758"/>
      <c r="Y11" s="988"/>
      <c r="Z11" s="988"/>
      <c r="AA11" s="988"/>
      <c r="AB11" s="990"/>
    </row>
    <row r="12" spans="1:28" s="760" customFormat="1" ht="36.75" customHeight="1" thickTop="1" thickBot="1">
      <c r="A12" s="769" t="s">
        <v>282</v>
      </c>
      <c r="B12" s="769" t="s">
        <v>304</v>
      </c>
      <c r="C12" s="779"/>
      <c r="D12" s="779"/>
      <c r="E12" s="755" t="s">
        <v>307</v>
      </c>
      <c r="F12" s="755" t="str">
        <f>F55</f>
        <v>BASE</v>
      </c>
      <c r="G12" s="755" t="str">
        <f t="shared" ref="G12:P12" si="3">G67</f>
        <v>CURRENT</v>
      </c>
      <c r="H12" s="755" t="str">
        <f t="shared" si="3"/>
        <v>FY25</v>
      </c>
      <c r="I12" s="755" t="str">
        <f t="shared" si="3"/>
        <v>FY26</v>
      </c>
      <c r="J12" s="755" t="str">
        <f t="shared" si="3"/>
        <v>FY27</v>
      </c>
      <c r="K12" s="755" t="str">
        <f t="shared" si="3"/>
        <v>FY28</v>
      </c>
      <c r="L12" s="755" t="str">
        <f t="shared" si="3"/>
        <v>FY29</v>
      </c>
      <c r="M12" s="755" t="str">
        <f t="shared" si="3"/>
        <v>FY30</v>
      </c>
      <c r="N12" s="755" t="str">
        <f t="shared" si="3"/>
        <v>FY31</v>
      </c>
      <c r="O12" s="755" t="str">
        <f t="shared" si="3"/>
        <v>FY32</v>
      </c>
      <c r="P12" s="755" t="str">
        <f t="shared" si="3"/>
        <v>FY33</v>
      </c>
      <c r="Q12" s="755" t="s">
        <v>308</v>
      </c>
      <c r="R12" s="761"/>
      <c r="S12" s="758"/>
    </row>
    <row r="13" spans="1:28" s="760" customFormat="1" ht="17.25" customHeight="1" thickTop="1">
      <c r="A13" s="767" t="str">
        <f>VLOOKUP($A$2,'Asset Attributes'!$B$3:$D$25,2,0)</f>
        <v>NSW2</v>
      </c>
      <c r="B13" s="767" t="s">
        <v>317</v>
      </c>
      <c r="C13" s="772"/>
      <c r="D13" s="754"/>
      <c r="E13" s="772" t="s">
        <v>321</v>
      </c>
      <c r="F13" s="772">
        <f>VLOOKUP($A$2,'Footprint Summary'!$B$4:$R$26,COLUMNS('Footprint Summary'!$B$4:F$26)+1,0)*VLOOKUP($A$13,Assumptions!$A$4:$N$14,COLUMNS(Assumptions!$A$4:B$14)+1,0)</f>
        <v>1441.5998999999999</v>
      </c>
      <c r="G13" s="772">
        <f>VLOOKUP($A$2,'Footprint Summary'!$B$4:$R$26,COLUMNS('Footprint Summary'!$B$4:G$26)+1,0)*VLOOKUP($A$13,Assumptions!$A$4:$N$14,COLUMNS(Assumptions!$A$4:C$14)+1,0)</f>
        <v>0</v>
      </c>
      <c r="H13" s="772">
        <f>VLOOKUP($A$2,'Footprint Summary'!$B$4:$R$26,COLUMNS('Footprint Summary'!$B$4:H$26)+1,0)*VLOOKUP($A$13,Assumptions!$A$4:$N$14,COLUMNS(Assumptions!$A$4:D$14)+1,0)</f>
        <v>0</v>
      </c>
      <c r="I13" s="772">
        <f>VLOOKUP($A$2,'Footprint Summary'!$B$4:$R$26,COLUMNS('Footprint Summary'!$B$4:I$26)+1,0)*VLOOKUP($A$13,Assumptions!$A$4:$N$14,COLUMNS(Assumptions!$A$4:E$14)+1,0)</f>
        <v>0</v>
      </c>
      <c r="J13" s="772">
        <f>VLOOKUP($A$2,'Footprint Summary'!$B$4:$R$26,COLUMNS('Footprint Summary'!$B$4:J$26)+1,0)*VLOOKUP($A$13,Assumptions!$A$4:$N$14,COLUMNS(Assumptions!$A$4:F$14)+1,0)</f>
        <v>0</v>
      </c>
      <c r="K13" s="772">
        <f>VLOOKUP($A$2,'Footprint Summary'!$B$4:$R$26,COLUMNS('Footprint Summary'!$B$4:K$26)+1,0)*VLOOKUP($A$13,Assumptions!$A$4:$N$14,COLUMNS(Assumptions!$A$4:G$14)+1,0)</f>
        <v>0</v>
      </c>
      <c r="L13" s="772">
        <f>VLOOKUP($A$2,'Footprint Summary'!$B$4:$R$26,COLUMNS('Footprint Summary'!$B$4:L$26)+1,0)*VLOOKUP($A$13,Assumptions!$A$4:$N$14,COLUMNS(Assumptions!$A$4:H$14)+1,0)</f>
        <v>0</v>
      </c>
      <c r="M13" s="772">
        <f>VLOOKUP($A$2,'Footprint Summary'!$B$4:$R$26,COLUMNS('Footprint Summary'!$B$4:M$26)+1,0)*VLOOKUP($A$13,Assumptions!$A$4:$N$14,COLUMNS(Assumptions!$A$4:I$14)+1,0)</f>
        <v>0</v>
      </c>
      <c r="N13" s="772">
        <f>VLOOKUP($A$2,'Footprint Summary'!$B$4:$R$26,COLUMNS('Footprint Summary'!$B$4:N$26)+1,0)*VLOOKUP($A$13,Assumptions!$A$4:$N$14,COLUMNS(Assumptions!$A$4:J$14)+1,0)</f>
        <v>0</v>
      </c>
      <c r="O13" s="772">
        <f>VLOOKUP($A$2,'Footprint Summary'!$B$4:$R$26,COLUMNS('Footprint Summary'!$B$4:O$26)+1,0)*VLOOKUP($A$13,Assumptions!$A$4:$N$14,COLUMNS(Assumptions!$A$4:K$14)+1,0)</f>
        <v>0</v>
      </c>
      <c r="P13" s="772">
        <f>VLOOKUP($A$2,'Footprint Summary'!$B$4:$R$26,COLUMNS('Footprint Summary'!$B$4:P$26)+1,0)*VLOOKUP($A$13,Assumptions!$A$4:$N$14,COLUMNS(Assumptions!$A$4:L$14)+1,0)</f>
        <v>0</v>
      </c>
      <c r="Q13" s="773">
        <f>IF(F13=0,"0",(F13-P13)/F13)</f>
        <v>1</v>
      </c>
      <c r="R13" s="761"/>
      <c r="S13" s="758"/>
    </row>
    <row r="14" spans="1:28" s="760" customFormat="1" ht="15.5">
      <c r="A14" s="767" t="s">
        <v>284</v>
      </c>
      <c r="B14" s="767" t="s">
        <v>285</v>
      </c>
      <c r="C14" s="754"/>
      <c r="D14" s="754"/>
      <c r="E14" s="772" t="s">
        <v>321</v>
      </c>
      <c r="F14" s="772">
        <f>(VLOOKUP($A$2,'Footprint Summary'!$B$33:$R$55,COLUMNS('Footprint Summary'!$B$33:F$55)+1,0)*VLOOKUP($B$14,Assumptions!$B$17:$N$29,COLUMNS(Assumptions!$B$18:B$29)+1,0)/1000)-F22</f>
        <v>83.210180229999992</v>
      </c>
      <c r="G14" s="772">
        <f>(VLOOKUP($A$2,'Footprint Summary'!$B$33:$R$55,COLUMNS('Footprint Summary'!$B$33:G$55)+1,0)*VLOOKUP($B$14,Assumptions!$B$17:$N$29,COLUMNS(Assumptions!$B$18:C$29)+1,0)/1000)-G22</f>
        <v>0</v>
      </c>
      <c r="H14" s="772">
        <f>(VLOOKUP($A$2,'Footprint Summary'!$B$33:$R$55,COLUMNS('Footprint Summary'!$B$33:H$55)+1,0)*VLOOKUP($B$14,Assumptions!$B$17:$N$29,COLUMNS(Assumptions!$B$18:D$29)+1,0)/1000)-H22</f>
        <v>0</v>
      </c>
      <c r="I14" s="772">
        <f>(VLOOKUP($A$2,'Footprint Summary'!$B$33:$R$55,COLUMNS('Footprint Summary'!$B$33:I$55)+1,0)*VLOOKUP($B$14,Assumptions!$B$17:$N$29,COLUMNS(Assumptions!$B$18:E$29)+1,0)/1000)-I22</f>
        <v>0</v>
      </c>
      <c r="J14" s="772">
        <f>(VLOOKUP($A$2,'Footprint Summary'!$B$33:$R$55,COLUMNS('Footprint Summary'!$B$33:J$55)+1,0)*VLOOKUP($B$14,Assumptions!$B$17:$N$29,COLUMNS(Assumptions!$B$18:F$29)+1,0)/1000)-J22</f>
        <v>0</v>
      </c>
      <c r="K14" s="772">
        <f>(VLOOKUP($A$2,'Footprint Summary'!$B$33:$R$55,COLUMNS('Footprint Summary'!$B$33:K$55)+1,0)*VLOOKUP($B$14,Assumptions!$B$17:$N$29,COLUMNS(Assumptions!$B$18:G$29)+1,0)/1000)-K22</f>
        <v>0</v>
      </c>
      <c r="L14" s="772">
        <f>(VLOOKUP($A$2,'Footprint Summary'!$B$33:$R$55,COLUMNS('Footprint Summary'!$B$33:L$55)+1,0)*VLOOKUP($B$14,Assumptions!$B$17:$N$29,COLUMNS(Assumptions!$B$18:H$29)+1,0)/1000)-L22</f>
        <v>0</v>
      </c>
      <c r="M14" s="772">
        <f>(VLOOKUP($A$2,'Footprint Summary'!$B$33:$R$55,COLUMNS('Footprint Summary'!$B$33:M$55)+1,0)*VLOOKUP($B$14,Assumptions!$B$17:$N$29,COLUMNS(Assumptions!$B$18:I$29)+1,0)/1000)-M22</f>
        <v>0</v>
      </c>
      <c r="N14" s="772">
        <f>(VLOOKUP($A$2,'Footprint Summary'!$B$33:$R$55,COLUMNS('Footprint Summary'!$B$33:N$55)+1,0)*VLOOKUP($B$14,Assumptions!$B$17:$N$29,COLUMNS(Assumptions!$B$18:J$29)+1,0)/1000)-N22</f>
        <v>0</v>
      </c>
      <c r="O14" s="772">
        <f>(VLOOKUP($A$2,'Footprint Summary'!$B$33:$R$55,COLUMNS('Footprint Summary'!$B$33:O$55)+1,0)*VLOOKUP($B$14,Assumptions!$B$17:$N$29,COLUMNS(Assumptions!$B$18:K$29)+1,0)/1000)-O22</f>
        <v>0</v>
      </c>
      <c r="P14" s="772">
        <f>(VLOOKUP($A$2,'Footprint Summary'!$B$33:$R$55,COLUMNS('Footprint Summary'!$B$33:P$55)+1,0)*VLOOKUP($B$14,Assumptions!$B$17:$N$29,COLUMNS(Assumptions!$B$18:L$29)+1,0)/1000)-P22</f>
        <v>0</v>
      </c>
      <c r="Q14" s="773">
        <f>(F14-P14)/F14</f>
        <v>1</v>
      </c>
      <c r="R14" s="761"/>
      <c r="S14" s="758"/>
    </row>
    <row r="15" spans="1:28" s="760" customFormat="1" ht="15.5">
      <c r="A15" s="780" t="s">
        <v>319</v>
      </c>
      <c r="B15" s="780" t="s">
        <v>320</v>
      </c>
      <c r="C15" s="781"/>
      <c r="D15" s="781"/>
      <c r="E15" s="782" t="s">
        <v>321</v>
      </c>
      <c r="F15" s="772">
        <f>VLOOKUP($A$2,'Footprint Summary'!$B$216:$R$238,COLUMNS('Footprint Summary'!$B$216:F238)+1,0)-F24</f>
        <v>77.1795357617506</v>
      </c>
      <c r="G15" s="772">
        <f>VLOOKUP($A$2,'Footprint Summary'!$B$216:$R$238,COLUMNS('Footprint Summary'!$B$216:G238)+1,0)-G24</f>
        <v>0</v>
      </c>
      <c r="H15" s="772">
        <f>VLOOKUP($A$2,'Footprint Summary'!$B$216:$R$238,COLUMNS('Footprint Summary'!$B$216:H238)+1,0)-H24</f>
        <v>0</v>
      </c>
      <c r="I15" s="772">
        <f>VLOOKUP($A$2,'Footprint Summary'!$B$216:$R$238,COLUMNS('Footprint Summary'!$B$216:I238)+1,0)-I24</f>
        <v>0</v>
      </c>
      <c r="J15" s="772">
        <f>VLOOKUP($A$2,'Footprint Summary'!$B$216:$R$238,COLUMNS('Footprint Summary'!$B$216:J238)+1,0)-J24</f>
        <v>0</v>
      </c>
      <c r="K15" s="772">
        <f>VLOOKUP($A$2,'Footprint Summary'!$B$216:$R$238,COLUMNS('Footprint Summary'!$B$216:K238)+1,0)-K24</f>
        <v>0</v>
      </c>
      <c r="L15" s="772">
        <f>VLOOKUP($A$2,'Footprint Summary'!$B$216:$R$238,COLUMNS('Footprint Summary'!$B$216:L238)+1,0)-L24</f>
        <v>0</v>
      </c>
      <c r="M15" s="772">
        <f>VLOOKUP($A$2,'Footprint Summary'!$B$216:$R$238,COLUMNS('Footprint Summary'!$B$216:M238)+1,0)-M24</f>
        <v>0</v>
      </c>
      <c r="N15" s="772">
        <f>VLOOKUP($A$2,'Footprint Summary'!$B$216:$R$238,COLUMNS('Footprint Summary'!$B$216:N238)+1,0)-N24</f>
        <v>0</v>
      </c>
      <c r="O15" s="772">
        <f>VLOOKUP($A$2,'Footprint Summary'!$B$216:$R$238,COLUMNS('Footprint Summary'!$B$216:O238)+1,0)-O24</f>
        <v>0</v>
      </c>
      <c r="P15" s="772">
        <f>VLOOKUP($A$2,'Footprint Summary'!$B$216:$R$238,COLUMNS('Footprint Summary'!$B$216:P238)+1,0)-P24</f>
        <v>0</v>
      </c>
      <c r="Q15" s="773">
        <f>(F15-P15)/F15</f>
        <v>1</v>
      </c>
      <c r="R15" s="761"/>
      <c r="S15" s="758"/>
    </row>
    <row r="16" spans="1:28" s="760" customFormat="1" ht="17" customHeight="1" thickBot="1">
      <c r="A16" s="756"/>
      <c r="B16" s="767"/>
      <c r="C16" s="754"/>
      <c r="D16" s="754"/>
      <c r="E16" s="772" t="s">
        <v>321</v>
      </c>
      <c r="F16" s="783">
        <f t="shared" ref="F16:P16" si="4">SUM(F13:F15)</f>
        <v>1601.9896159917507</v>
      </c>
      <c r="G16" s="783">
        <f t="shared" si="4"/>
        <v>0</v>
      </c>
      <c r="H16" s="783">
        <f t="shared" si="4"/>
        <v>0</v>
      </c>
      <c r="I16" s="783">
        <f t="shared" si="4"/>
        <v>0</v>
      </c>
      <c r="J16" s="783">
        <f t="shared" si="4"/>
        <v>0</v>
      </c>
      <c r="K16" s="783">
        <f t="shared" si="4"/>
        <v>0</v>
      </c>
      <c r="L16" s="783">
        <f t="shared" si="4"/>
        <v>0</v>
      </c>
      <c r="M16" s="783">
        <f t="shared" si="4"/>
        <v>0</v>
      </c>
      <c r="N16" s="783">
        <f t="shared" si="4"/>
        <v>0</v>
      </c>
      <c r="O16" s="783">
        <f t="shared" si="4"/>
        <v>0</v>
      </c>
      <c r="P16" s="783">
        <f t="shared" si="4"/>
        <v>0</v>
      </c>
      <c r="Q16" s="784">
        <f>(F16-P16)/F16</f>
        <v>1</v>
      </c>
      <c r="R16" s="761"/>
      <c r="S16" s="758"/>
    </row>
    <row r="17" spans="1:36" s="760" customFormat="1" ht="16" thickTop="1">
      <c r="E17" s="772" t="s">
        <v>322</v>
      </c>
      <c r="F17" s="785">
        <f>1000*F16/(VLOOKUP($A$2,'Asset Attributes'!$B$3:$D$25,3,0))</f>
        <v>54.926613728030951</v>
      </c>
      <c r="G17" s="785">
        <f>1000*G16/(VLOOKUP($A$2,'Asset Attributes'!$B$3:$D$25,3,0))</f>
        <v>0</v>
      </c>
      <c r="H17" s="785">
        <f>1000*H16/(VLOOKUP($A$2,'Asset Attributes'!$B$3:$D$25,3,0))</f>
        <v>0</v>
      </c>
      <c r="I17" s="785">
        <f>1000*I16/(VLOOKUP($A$2,'Asset Attributes'!$B$3:$D$25,3,0))</f>
        <v>0</v>
      </c>
      <c r="J17" s="785">
        <f>1000*J16/(VLOOKUP($A$2,'Asset Attributes'!$B$3:$D$25,3,0))</f>
        <v>0</v>
      </c>
      <c r="K17" s="785">
        <f>1000*K16/(VLOOKUP($A$2,'Asset Attributes'!$B$3:$D$25,3,0))</f>
        <v>0</v>
      </c>
      <c r="L17" s="785">
        <f>1000*L16/(VLOOKUP($A$2,'Asset Attributes'!$B$3:$D$25,3,0))</f>
        <v>0</v>
      </c>
      <c r="M17" s="785">
        <f>1000*M16/(VLOOKUP($A$2,'Asset Attributes'!$B$3:$D$25,3,0))</f>
        <v>0</v>
      </c>
      <c r="N17" s="785">
        <f>1000*N16/(VLOOKUP($A$2,'Asset Attributes'!$B$3:$D$25,3,0))</f>
        <v>0</v>
      </c>
      <c r="O17" s="785">
        <f>1000*O16/(VLOOKUP($A$2,'Asset Attributes'!$B$3:$D$25,3,0))</f>
        <v>0</v>
      </c>
      <c r="P17" s="785">
        <f>1000*P16/(VLOOKUP($A$2,'Asset Attributes'!$B$3:$D$25,3,0))</f>
        <v>0</v>
      </c>
      <c r="R17" s="761"/>
      <c r="S17" s="758"/>
    </row>
    <row r="18" spans="1:36" s="760" customFormat="1" ht="28.5" customHeight="1" thickBot="1">
      <c r="A18" s="766" t="s">
        <v>323</v>
      </c>
      <c r="E18" s="772"/>
      <c r="F18" s="785"/>
      <c r="G18" s="785"/>
      <c r="H18" s="785"/>
      <c r="I18" s="785"/>
      <c r="J18" s="785"/>
      <c r="K18" s="785"/>
      <c r="L18" s="785"/>
      <c r="M18" s="785"/>
      <c r="N18" s="785"/>
      <c r="O18" s="785"/>
      <c r="P18" s="785"/>
      <c r="R18" s="761"/>
      <c r="S18" s="758"/>
    </row>
    <row r="19" spans="1:36" s="760" customFormat="1" ht="21" customHeight="1" thickTop="1" thickBot="1">
      <c r="A19" s="769" t="s">
        <v>282</v>
      </c>
      <c r="B19" s="769" t="s">
        <v>304</v>
      </c>
      <c r="C19" s="779"/>
      <c r="D19" s="769"/>
      <c r="E19" s="755" t="s">
        <v>307</v>
      </c>
      <c r="F19" s="755" t="str">
        <f t="shared" ref="F19:P19" si="5">F55</f>
        <v>BASE</v>
      </c>
      <c r="G19" s="755" t="str">
        <f t="shared" si="5"/>
        <v>CURRENT</v>
      </c>
      <c r="H19" s="755" t="str">
        <f t="shared" si="5"/>
        <v>FY25</v>
      </c>
      <c r="I19" s="755" t="str">
        <f t="shared" si="5"/>
        <v>FY26</v>
      </c>
      <c r="J19" s="755" t="str">
        <f t="shared" si="5"/>
        <v>FY27</v>
      </c>
      <c r="K19" s="755" t="str">
        <f t="shared" si="5"/>
        <v>FY28</v>
      </c>
      <c r="L19" s="755" t="str">
        <f t="shared" si="5"/>
        <v>FY29</v>
      </c>
      <c r="M19" s="755" t="str">
        <f t="shared" si="5"/>
        <v>FY30</v>
      </c>
      <c r="N19" s="755" t="str">
        <f t="shared" si="5"/>
        <v>FY31</v>
      </c>
      <c r="O19" s="755" t="str">
        <f t="shared" si="5"/>
        <v>FY32</v>
      </c>
      <c r="P19" s="755" t="str">
        <f t="shared" si="5"/>
        <v>FY33</v>
      </c>
      <c r="Q19" s="755" t="s">
        <v>308</v>
      </c>
      <c r="R19" s="761"/>
      <c r="S19" s="758"/>
    </row>
    <row r="20" spans="1:36" s="760" customFormat="1" ht="46" customHeight="1" thickTop="1">
      <c r="A20" s="767" t="s">
        <v>324</v>
      </c>
      <c r="B20" s="767" t="s">
        <v>325</v>
      </c>
      <c r="E20" s="772" t="s">
        <v>321</v>
      </c>
      <c r="F20" s="786">
        <f>-1*(VLOOKUP($A$2,'Footprint Summary'!$B$244:$R$266,COLUMNS('Footprint Summary'!$B$244:F$266)+1,0))</f>
        <v>0</v>
      </c>
      <c r="G20" s="786">
        <f>-1*(VLOOKUP($A$2,'Footprint Summary'!$B$244:$R$266,COLUMNS('Footprint Summary'!$B$244:G$266)+1,0))</f>
        <v>14.84</v>
      </c>
      <c r="H20" s="786">
        <f>-1*(VLOOKUP($A$2,'Footprint Summary'!$B$244:$R$266,COLUMNS('Footprint Summary'!$B$244:H$266)+1,0))</f>
        <v>14.6</v>
      </c>
      <c r="I20" s="786">
        <f>-1*(VLOOKUP($A$2,'Footprint Summary'!$B$244:$R$266,COLUMNS('Footprint Summary'!$B$244:I$266)+1,0))</f>
        <v>370.72</v>
      </c>
      <c r="J20" s="786">
        <f>-1*(VLOOKUP($A$2,'Footprint Summary'!$B$244:$R$266,COLUMNS('Footprint Summary'!$B$244:J$266)+1,0))</f>
        <v>380.64</v>
      </c>
      <c r="K20" s="786">
        <f>-1*(VLOOKUP($A$2,'Footprint Summary'!$B$244:$R$266,COLUMNS('Footprint Summary'!$B$244:K$266)+1,0))</f>
        <v>344.61</v>
      </c>
      <c r="L20" s="786">
        <f>-1*(VLOOKUP($A$2,'Footprint Summary'!$B$244:$R$266,COLUMNS('Footprint Summary'!$B$244:L$266)+1,0))</f>
        <v>289.8</v>
      </c>
      <c r="M20" s="786">
        <f>-1*(VLOOKUP($A$2,'Footprint Summary'!$B$244:$R$266,COLUMNS('Footprint Summary'!$B$244:M$266)+1,0))</f>
        <v>245.12</v>
      </c>
      <c r="N20" s="786">
        <f>-1*(VLOOKUP($A$2,'Footprint Summary'!$B$244:$R$266,COLUMNS('Footprint Summary'!$B$244:N$266)+1,0))</f>
        <v>253.5</v>
      </c>
      <c r="O20" s="786">
        <f>-1*(VLOOKUP($A$2,'Footprint Summary'!$B$244:$R$266,COLUMNS('Footprint Summary'!$B$244:O$266)+1,0))</f>
        <v>224.64</v>
      </c>
      <c r="P20" s="786">
        <f>-1*(VLOOKUP($A$2,'Footprint Summary'!$B$244:$R$266,COLUMNS('Footprint Summary'!$B$244:P$266)+1,0))</f>
        <v>205.92000000000002</v>
      </c>
      <c r="Q20" s="786">
        <f t="shared" ref="Q20:Q27" si="6">SUM(G20:P20)</f>
        <v>2344.39</v>
      </c>
      <c r="R20" s="761"/>
      <c r="S20" s="758"/>
    </row>
    <row r="21" spans="1:36" s="760" customFormat="1" ht="21" customHeight="1">
      <c r="A21" s="767" t="str">
        <f>VLOOKUP($A$2,'Asset Attributes'!$B$3:$D$25,2,0)</f>
        <v>NSW2</v>
      </c>
      <c r="B21" s="767" t="s">
        <v>326</v>
      </c>
      <c r="E21" s="772" t="s">
        <v>321</v>
      </c>
      <c r="F21" s="786">
        <f>-1*(VLOOKUP($A$2,'Footprint Summary'!$B$302:$R$324,COLUMNS('Footprint Summary'!$B$302:F324)+1,0))</f>
        <v>0</v>
      </c>
      <c r="G21" s="786">
        <f>-1*(VLOOKUP($A$2,'Footprint Summary'!$B$302:$R$324,COLUMNS('Footprint Summary'!$B$302:G324)+1,0))</f>
        <v>1339.16902</v>
      </c>
      <c r="H21" s="786">
        <f>-1*(VLOOKUP($A$2,'Footprint Summary'!$B$302:$R$324,COLUMNS('Footprint Summary'!$B$302:H324)+1,0))</f>
        <v>1317.5112999999999</v>
      </c>
      <c r="I21" s="786">
        <f>-1*(VLOOKUP($A$2,'Footprint Summary'!$B$302:$R$324,COLUMNS('Footprint Summary'!$B$302:I324)+1,0))</f>
        <v>837.30421999999999</v>
      </c>
      <c r="J21" s="786">
        <f>-1*(VLOOKUP($A$2,'Footprint Summary'!$B$302:$R$324,COLUMNS('Footprint Summary'!$B$302:J324)+1,0))</f>
        <v>758.04143999999997</v>
      </c>
      <c r="K21" s="786">
        <f>-1*(VLOOKUP($A$2,'Footprint Summary'!$B$302:$R$324,COLUMNS('Footprint Summary'!$B$302:K324)+1,0))</f>
        <v>653.56106999999997</v>
      </c>
      <c r="L21" s="786">
        <f>-1*(VLOOKUP($A$2,'Footprint Summary'!$B$302:$R$324,COLUMNS('Footprint Summary'!$B$302:L324)+1,0))</f>
        <v>549.61260000000004</v>
      </c>
      <c r="M21" s="786">
        <f>-1*(VLOOKUP($A$2,'Footprint Summary'!$B$302:$R$324,COLUMNS('Footprint Summary'!$B$302:M324)+1,0))</f>
        <v>453.78222999999997</v>
      </c>
      <c r="N21" s="786">
        <f>-1*(VLOOKUP($A$2,'Footprint Summary'!$B$302:$R$324,COLUMNS('Footprint Summary'!$B$302:N324)+1,0))</f>
        <v>339.56324999999998</v>
      </c>
      <c r="O21" s="786">
        <f>-1*(VLOOKUP($A$2,'Footprint Summary'!$B$302:$R$324,COLUMNS('Footprint Summary'!$B$302:O324)+1,0))</f>
        <v>300.90527999999995</v>
      </c>
      <c r="P21" s="786">
        <f>-1*(VLOOKUP($A$2,'Footprint Summary'!$B$302:$R$324,COLUMNS('Footprint Summary'!$B$302:P324)+1,0))</f>
        <v>275.82983999999999</v>
      </c>
      <c r="Q21" s="786">
        <f t="shared" si="6"/>
        <v>6825.2802500000007</v>
      </c>
      <c r="R21" s="761"/>
      <c r="S21" s="758"/>
    </row>
    <row r="22" spans="1:36" s="760" customFormat="1" ht="21" customHeight="1">
      <c r="A22" s="767" t="s">
        <v>284</v>
      </c>
      <c r="B22" s="767" t="s">
        <v>327</v>
      </c>
      <c r="E22" s="778" t="s">
        <v>321</v>
      </c>
      <c r="F22" s="786">
        <v>0</v>
      </c>
      <c r="G22" s="786">
        <f>(VLOOKUP($A$2,'Footprint Summary'!$B$33:$R$55,COLUMNS('Footprint Summary'!$B$33:G$55)+1,0)*VLOOKUP($B$14,Assumptions!$B$17:$N$29,COLUMNS(Assumptions!$B$18:C$29)+1,0)/1000)</f>
        <v>83.210180229999992</v>
      </c>
      <c r="H22" s="786">
        <f>(VLOOKUP($A$2,'Footprint Summary'!$B$33:$R$55,COLUMNS('Footprint Summary'!$B$33:H$55)+1,0)*VLOOKUP($B$14,Assumptions!$B$17:$N$29,COLUMNS(Assumptions!$B$18:D$29)+1,0)/1000)</f>
        <v>83.210180229999992</v>
      </c>
      <c r="I22" s="786">
        <f>(VLOOKUP($A$2,'Footprint Summary'!$B$33:$R$55,COLUMNS('Footprint Summary'!$B$33:I$55)+1,0)*VLOOKUP($B$14,Assumptions!$B$17:$N$29,COLUMNS(Assumptions!$B$18:E$29)+1,0)/1000)</f>
        <v>83.210180229999992</v>
      </c>
      <c r="J22" s="786">
        <f>(VLOOKUP($A$2,'Footprint Summary'!$B$33:$R$55,COLUMNS('Footprint Summary'!$B$33:J$55)+1,0)*VLOOKUP($B$14,Assumptions!$B$17:$N$29,COLUMNS(Assumptions!$B$18:F$29)+1,0)/1000)</f>
        <v>58.063540230000001</v>
      </c>
      <c r="K22" s="786">
        <f>(VLOOKUP($A$2,'Footprint Summary'!$B$33:$R$55,COLUMNS('Footprint Summary'!$B$33:K$55)+1,0)*VLOOKUP($B$14,Assumptions!$B$17:$N$29,COLUMNS(Assumptions!$B$18:G$29)+1,0)/1000)</f>
        <v>56.105400230000001</v>
      </c>
      <c r="L22" s="786">
        <f>(VLOOKUP($A$2,'Footprint Summary'!$B$33:$R$55,COLUMNS('Footprint Summary'!$B$33:L$55)+1,0)*VLOOKUP($B$14,Assumptions!$B$17:$N$29,COLUMNS(Assumptions!$B$18:H$29)+1,0)/1000)</f>
        <v>54.147260230000001</v>
      </c>
      <c r="M22" s="786">
        <f>(VLOOKUP($A$2,'Footprint Summary'!$B$33:$R$55,COLUMNS('Footprint Summary'!$B$33:M$55)+1,0)*VLOOKUP($B$14,Assumptions!$B$17:$N$29,COLUMNS(Assumptions!$B$18:I$29)+1,0)/1000)</f>
        <v>52.18912023</v>
      </c>
      <c r="N22" s="786">
        <f>(VLOOKUP($A$2,'Footprint Summary'!$B$33:$R$55,COLUMNS('Footprint Summary'!$B$33:N$55)+1,0)*VLOOKUP($B$14,Assumptions!$B$17:$N$29,COLUMNS(Assumptions!$B$18:J$29)+1,0)/1000)</f>
        <v>24.465980229999996</v>
      </c>
      <c r="O22" s="786">
        <f>(VLOOKUP($A$2,'Footprint Summary'!$B$33:$R$55,COLUMNS('Footprint Summary'!$B$33:O$55)+1,0)*VLOOKUP($B$14,Assumptions!$B$17:$N$29,COLUMNS(Assumptions!$B$18:K$29)+1,0)/1000)</f>
        <v>24.465980229999996</v>
      </c>
      <c r="P22" s="786">
        <f>(VLOOKUP($A$2,'Footprint Summary'!$B$33:$R$55,COLUMNS('Footprint Summary'!$B$33:P$55)+1,0)*VLOOKUP($B$14,Assumptions!$B$17:$N$29,COLUMNS(Assumptions!$B$18:L$29)+1,0)/1000)</f>
        <v>24.465980229999996</v>
      </c>
      <c r="Q22" s="786">
        <f t="shared" si="6"/>
        <v>543.53380229999993</v>
      </c>
      <c r="R22" s="761"/>
      <c r="S22" s="758"/>
      <c r="AD22" s="885"/>
      <c r="AE22" s="910"/>
      <c r="AF22" s="911"/>
      <c r="AG22" s="911"/>
      <c r="AH22" s="886"/>
      <c r="AI22" s="887"/>
      <c r="AJ22" s="887"/>
    </row>
    <row r="23" spans="1:36" s="760" customFormat="1" ht="21" customHeight="1">
      <c r="A23" s="767" t="s">
        <v>284</v>
      </c>
      <c r="B23" s="767" t="s">
        <v>328</v>
      </c>
      <c r="E23" s="778" t="s">
        <v>321</v>
      </c>
      <c r="F23" s="786">
        <f>-1*(VLOOKUP($A$2,'Footprint Summary'!$B$273:R$295,COLUMNS('Footprint Summary'!$B$273:F$295)+1,0))</f>
        <v>0</v>
      </c>
      <c r="G23" s="786">
        <f>-1*(VLOOKUP($A$2,'Footprint Summary'!$B$273:S$295,COLUMNS('Footprint Summary'!$B$273:G$295)+1,0))</f>
        <v>0</v>
      </c>
      <c r="H23" s="786">
        <f>-1*(VLOOKUP($A$2,'Footprint Summary'!$B$273:T$295,COLUMNS('Footprint Summary'!$B$273:H$295)+1,0))</f>
        <v>0</v>
      </c>
      <c r="I23" s="786">
        <f>-1*(VLOOKUP($A$2,'Footprint Summary'!$B$273:U$295,COLUMNS('Footprint Summary'!$B$273:I$295)+1,0))</f>
        <v>0</v>
      </c>
      <c r="J23" s="786">
        <f>-1*(VLOOKUP($A$2,'Footprint Summary'!$B$273:V$295,COLUMNS('Footprint Summary'!$B$273:J$295)+1,0))</f>
        <v>25.146639999999998</v>
      </c>
      <c r="K23" s="786">
        <f>-1*(VLOOKUP($A$2,'Footprint Summary'!$B$273:W$295,COLUMNS('Footprint Summary'!$B$273:K$295)+1,0))</f>
        <v>27.104779999999998</v>
      </c>
      <c r="L23" s="786">
        <f>-1*(VLOOKUP($A$2,'Footprint Summary'!$B$273:X$295,COLUMNS('Footprint Summary'!$B$273:L$295)+1,0))</f>
        <v>29.062920000000002</v>
      </c>
      <c r="M23" s="786">
        <f>-1*(VLOOKUP($A$2,'Footprint Summary'!$B$273:Y$295,COLUMNS('Footprint Summary'!$B$273:M$295)+1,0))</f>
        <v>31.021060000000002</v>
      </c>
      <c r="N23" s="786">
        <f>-1*(VLOOKUP($A$2,'Footprint Summary'!$B$273:Z$295,COLUMNS('Footprint Summary'!$B$273:N$295)+1,0))</f>
        <v>58.744200000000006</v>
      </c>
      <c r="O23" s="786">
        <f>-1*(VLOOKUP($A$2,'Footprint Summary'!$B$273:AA$295,COLUMNS('Footprint Summary'!$B$273:O$295)+1,0))</f>
        <v>58.744200000000006</v>
      </c>
      <c r="P23" s="786">
        <f>-1*(VLOOKUP($A$2,'Footprint Summary'!$B$273:AB$295,COLUMNS('Footprint Summary'!$B$273:P$295)+1,0))</f>
        <v>58.744200000000006</v>
      </c>
      <c r="Q23" s="786">
        <f t="shared" si="6"/>
        <v>288.56800000000004</v>
      </c>
      <c r="R23" s="761"/>
      <c r="S23" s="758"/>
    </row>
    <row r="24" spans="1:36" s="760" customFormat="1" ht="21" customHeight="1">
      <c r="A24" s="775" t="s">
        <v>319</v>
      </c>
      <c r="B24" s="775" t="s">
        <v>329</v>
      </c>
      <c r="E24" s="778" t="s">
        <v>321</v>
      </c>
      <c r="F24" s="786">
        <v>0</v>
      </c>
      <c r="G24" s="786">
        <f>VLOOKUP($A$2,'Footprint Summary'!$B$216:$R$238,COLUMNS('Footprint Summary'!$B$216:G238)+1,0)</f>
        <v>70.452715501556085</v>
      </c>
      <c r="H24" s="786">
        <f>VLOOKUP($A$2,'Footprint Summary'!$B$216:$R$238,COLUMNS('Footprint Summary'!$B$216:H238)+1,0)</f>
        <v>63.72589524136157</v>
      </c>
      <c r="I24" s="786">
        <f>VLOOKUP($A$2,'Footprint Summary'!$B$216:$R$238,COLUMNS('Footprint Summary'!$B$216:I238)+1,0)</f>
        <v>56.999074981167055</v>
      </c>
      <c r="J24" s="786">
        <f>VLOOKUP($A$2,'Footprint Summary'!$B$216:$R$238,COLUMNS('Footprint Summary'!$B$216:J238)+1,0)</f>
        <v>50.272254720972541</v>
      </c>
      <c r="K24" s="786">
        <f>VLOOKUP($A$2,'Footprint Summary'!$B$216:$R$238,COLUMNS('Footprint Summary'!$B$216:K238)+1,0)</f>
        <v>43.545434460778033</v>
      </c>
      <c r="L24" s="786">
        <f>VLOOKUP($A$2,'Footprint Summary'!$B$216:$R$238,COLUMNS('Footprint Summary'!$B$216:L238)+1,0)</f>
        <v>36.818614200583525</v>
      </c>
      <c r="M24" s="786">
        <f>VLOOKUP($A$2,'Footprint Summary'!$B$216:$R$238,COLUMNS('Footprint Summary'!$B$216:M238)+1,0)</f>
        <v>30.09179394038901</v>
      </c>
      <c r="N24" s="786">
        <f>VLOOKUP($A$2,'Footprint Summary'!$B$216:$R$238,COLUMNS('Footprint Summary'!$B$216:N238)+1,0)</f>
        <v>23.364973680194499</v>
      </c>
      <c r="O24" s="786">
        <f>VLOOKUP($A$2,'Footprint Summary'!$B$216:$R$238,COLUMNS('Footprint Summary'!$B$216:O238)+1,0)</f>
        <v>16.638153419999988</v>
      </c>
      <c r="P24" s="786">
        <f>VLOOKUP($A$2,'Footprint Summary'!$B$216:$R$238,COLUMNS('Footprint Summary'!$B$216:P238)+1,0)</f>
        <v>16.638153419999998</v>
      </c>
      <c r="Q24" s="786">
        <f t="shared" si="6"/>
        <v>408.54706356700223</v>
      </c>
      <c r="R24" s="761"/>
      <c r="S24" s="758"/>
    </row>
    <row r="25" spans="1:36" s="760" customFormat="1" ht="21" customHeight="1">
      <c r="A25" s="775" t="s">
        <v>319</v>
      </c>
      <c r="B25" s="775" t="s">
        <v>319</v>
      </c>
      <c r="E25" s="778" t="s">
        <v>321</v>
      </c>
      <c r="F25" s="786">
        <f>VLOOKUP($A$2,'Footprint Summary'!$B$216:$R$238,COLUMNS('Footprint Summary'!$B$216:F238)+1,0)-F24</f>
        <v>77.1795357617506</v>
      </c>
      <c r="G25" s="786">
        <f>VLOOKUP($A$2,'Footprint Summary'!$B$216:$R$238,COLUMNS('Footprint Summary'!$B$216:G238)+1,0)-G24</f>
        <v>0</v>
      </c>
      <c r="H25" s="786">
        <f>VLOOKUP($A$2,'Footprint Summary'!$B$216:$R$238,COLUMNS('Footprint Summary'!$B$216:H238)+1,0)-H24</f>
        <v>0</v>
      </c>
      <c r="I25" s="786">
        <f>VLOOKUP($A$2,'Footprint Summary'!$B$216:$R$238,COLUMNS('Footprint Summary'!$B$216:I238)+1,0)-I24</f>
        <v>0</v>
      </c>
      <c r="J25" s="786">
        <f>VLOOKUP($A$2,'Footprint Summary'!$B$216:$R$238,COLUMNS('Footprint Summary'!$B$216:J238)+1,0)-J24</f>
        <v>0</v>
      </c>
      <c r="K25" s="786">
        <f>VLOOKUP($A$2,'Footprint Summary'!$B$216:$R$238,COLUMNS('Footprint Summary'!$B$216:K238)+1,0)-K24</f>
        <v>0</v>
      </c>
      <c r="L25" s="786">
        <f>VLOOKUP($A$2,'Footprint Summary'!$B$216:$R$238,COLUMNS('Footprint Summary'!$B$216:L238)+1,0)-L24</f>
        <v>0</v>
      </c>
      <c r="M25" s="786">
        <f>VLOOKUP($A$2,'Footprint Summary'!$B$216:$R$238,COLUMNS('Footprint Summary'!$B$216:M238)+1,0)-M24</f>
        <v>0</v>
      </c>
      <c r="N25" s="786">
        <f>VLOOKUP($A$2,'Footprint Summary'!$B$216:$R$238,COLUMNS('Footprint Summary'!$B$216:N238)+1,0)-N24</f>
        <v>0</v>
      </c>
      <c r="O25" s="786">
        <f>VLOOKUP($A$2,'Footprint Summary'!$B$216:$R$238,COLUMNS('Footprint Summary'!$B$216:O238)+1,0)-O24</f>
        <v>0</v>
      </c>
      <c r="P25" s="786">
        <f>VLOOKUP($A$2,'Footprint Summary'!$B$216:$R$238,COLUMNS('Footprint Summary'!$B$216:P238)+1,0)-P24</f>
        <v>0</v>
      </c>
      <c r="Q25" s="786">
        <f t="shared" si="6"/>
        <v>0</v>
      </c>
      <c r="R25" s="761"/>
      <c r="S25" s="758"/>
    </row>
    <row r="26" spans="1:36" s="760" customFormat="1" ht="21" customHeight="1">
      <c r="A26" s="775" t="s">
        <v>284</v>
      </c>
      <c r="B26" s="767" t="s">
        <v>285</v>
      </c>
      <c r="E26" s="778" t="s">
        <v>321</v>
      </c>
      <c r="F26" s="786">
        <f>(VLOOKUP($A$2,'Footprint Summary'!$B$33:$R$55,COLUMNS('Footprint Summary'!$B$33:F$55)+1,0)*VLOOKUP($B$14,Assumptions!$B$17:$N$29,COLUMNS(Assumptions!$B$18:B$29)+1,0)/1000)-F22</f>
        <v>83.210180229999992</v>
      </c>
      <c r="G26" s="786">
        <f>(VLOOKUP($A$2,'Footprint Summary'!$B$33:$R$55,COLUMNS('Footprint Summary'!$B$33:G$55)+1,0)*VLOOKUP($B$14,Assumptions!$B$17:$N$29,COLUMNS(Assumptions!$B$18:C$29)+1,0)/1000)-G22</f>
        <v>0</v>
      </c>
      <c r="H26" s="786">
        <f>(VLOOKUP($A$2,'Footprint Summary'!$B$33:$R$55,COLUMNS('Footprint Summary'!$B$33:H$55)+1,0)*VLOOKUP($B$14,Assumptions!$B$17:$N$29,COLUMNS(Assumptions!$B$18:D$29)+1,0)/1000)-H22</f>
        <v>0</v>
      </c>
      <c r="I26" s="786">
        <f>(VLOOKUP($A$2,'Footprint Summary'!$B$33:$R$55,COLUMNS('Footprint Summary'!$B$33:I$55)+1,0)*VLOOKUP($B$14,Assumptions!$B$17:$N$29,COLUMNS(Assumptions!$B$18:E$29)+1,0)/1000)-I22</f>
        <v>0</v>
      </c>
      <c r="J26" s="786">
        <f>(VLOOKUP($A$2,'Footprint Summary'!$B$33:$R$55,COLUMNS('Footprint Summary'!$B$33:J$55)+1,0)*VLOOKUP($B$14,Assumptions!$B$17:$N$29,COLUMNS(Assumptions!$B$18:F$29)+1,0)/1000)-J22</f>
        <v>0</v>
      </c>
      <c r="K26" s="786">
        <f>(VLOOKUP($A$2,'Footprint Summary'!$B$33:$R$55,COLUMNS('Footprint Summary'!$B$33:K$55)+1,0)*VLOOKUP($B$14,Assumptions!$B$17:$N$29,COLUMNS(Assumptions!$B$18:G$29)+1,0)/1000)-K22</f>
        <v>0</v>
      </c>
      <c r="L26" s="786">
        <f>(VLOOKUP($A$2,'Footprint Summary'!$B$33:$R$55,COLUMNS('Footprint Summary'!$B$33:L$55)+1,0)*VLOOKUP($B$14,Assumptions!$B$17:$N$29,COLUMNS(Assumptions!$B$18:H$29)+1,0)/1000)-L22</f>
        <v>0</v>
      </c>
      <c r="M26" s="786">
        <f>(VLOOKUP($A$2,'Footprint Summary'!$B$33:$R$55,COLUMNS('Footprint Summary'!$B$33:M$55)+1,0)*VLOOKUP($B$14,Assumptions!$B$17:$N$29,COLUMNS(Assumptions!$B$18:I$29)+1,0)/1000)-M22</f>
        <v>0</v>
      </c>
      <c r="N26" s="786">
        <f>(VLOOKUP($A$2,'Footprint Summary'!$B$33:$R$55,COLUMNS('Footprint Summary'!$B$33:N$55)+1,0)*VLOOKUP($B$14,Assumptions!$B$17:$N$29,COLUMNS(Assumptions!$B$18:J$29)+1,0)/1000)-N22</f>
        <v>0</v>
      </c>
      <c r="O26" s="786">
        <f>(VLOOKUP($A$2,'Footprint Summary'!$B$33:$R$55,COLUMNS('Footprint Summary'!$B$33:O$55)+1,0)*VLOOKUP($B$14,Assumptions!$B$17:$N$29,COLUMNS(Assumptions!$B$18:K$29)+1,0)/1000)-O22</f>
        <v>0</v>
      </c>
      <c r="P26" s="786">
        <f>(VLOOKUP($A$2,'Footprint Summary'!$B$33:$R$55,COLUMNS('Footprint Summary'!$B$33:P$55)+1,0)*VLOOKUP($B$14,Assumptions!$B$17:$N$29,COLUMNS(Assumptions!$B$18:L$29)+1,0)/1000)-P22</f>
        <v>0</v>
      </c>
      <c r="Q26" s="786">
        <f t="shared" si="6"/>
        <v>0</v>
      </c>
      <c r="R26" s="761"/>
      <c r="S26" s="758"/>
    </row>
    <row r="27" spans="1:36" s="760" customFormat="1" ht="21" customHeight="1">
      <c r="A27" s="767" t="str">
        <f>VLOOKUP($A$2,'Asset Attributes'!$B$3:$D$25,2,0)</f>
        <v>NSW2</v>
      </c>
      <c r="B27" s="767" t="s">
        <v>330</v>
      </c>
      <c r="E27" s="778" t="s">
        <v>321</v>
      </c>
      <c r="F27" s="772">
        <f>VLOOKUP($A$2,'Footprint Summary'!$B$4:$R$26,COLUMNS('Footprint Summary'!$B$4:F$26)+1,0)*VLOOKUP($A$13,Assumptions!$A$4:$N$14,COLUMNS(Assumptions!$A$4:B$14)+1,0)</f>
        <v>1441.5998999999999</v>
      </c>
      <c r="G27" s="786">
        <f>VLOOKUP($A$2,'Footprint Summary'!$B$4:$R$26,COLUMNS('Footprint Summary'!$B$4:G$26)+1,0)*VLOOKUP($A$13,Assumptions!$A$4:$N$14,COLUMNS(Assumptions!$A$4:C$14)+1,0)</f>
        <v>0</v>
      </c>
      <c r="H27" s="786">
        <f>VLOOKUP($A$2,'Footprint Summary'!$B$4:$R$26,COLUMNS('Footprint Summary'!$B$4:H$26)+1,0)*VLOOKUP($A$13,Assumptions!$A$4:$N$14,COLUMNS(Assumptions!$A$4:D$14)+1,0)</f>
        <v>0</v>
      </c>
      <c r="I27" s="786">
        <f>VLOOKUP($A$2,'Footprint Summary'!$B$4:$R$26,COLUMNS('Footprint Summary'!$B$4:I$26)+1,0)*VLOOKUP($A$13,Assumptions!$A$4:$N$14,COLUMNS(Assumptions!$A$4:E$14)+1,0)</f>
        <v>0</v>
      </c>
      <c r="J27" s="786">
        <f>VLOOKUP($A$2,'Footprint Summary'!$B$4:$R$26,COLUMNS('Footprint Summary'!$B$4:J$26)+1,0)*VLOOKUP($A$13,Assumptions!$A$4:$N$14,COLUMNS(Assumptions!$A$4:F$14)+1,0)</f>
        <v>0</v>
      </c>
      <c r="K27" s="786">
        <f>VLOOKUP($A$2,'Footprint Summary'!$B$4:$R$26,COLUMNS('Footprint Summary'!$B$4:K$26)+1,0)*VLOOKUP($A$13,Assumptions!$A$4:$N$14,COLUMNS(Assumptions!$A$4:G$14)+1,0)</f>
        <v>0</v>
      </c>
      <c r="L27" s="786">
        <f>VLOOKUP($A$2,'Footprint Summary'!$B$4:$R$26,COLUMNS('Footprint Summary'!$B$4:L$26)+1,0)*VLOOKUP($A$13,Assumptions!$A$4:$N$14,COLUMNS(Assumptions!$A$4:H$14)+1,0)</f>
        <v>0</v>
      </c>
      <c r="M27" s="786">
        <f>VLOOKUP($A$2,'Footprint Summary'!$B$4:$R$26,COLUMNS('Footprint Summary'!$B$4:M$26)+1,0)*VLOOKUP($A$13,Assumptions!$A$4:$N$14,COLUMNS(Assumptions!$A$4:I$14)+1,0)</f>
        <v>0</v>
      </c>
      <c r="N27" s="786">
        <f>VLOOKUP($A$2,'Footprint Summary'!$B$4:$R$26,COLUMNS('Footprint Summary'!$B$4:N$26)+1,0)*VLOOKUP($A$13,Assumptions!$A$4:$N$14,COLUMNS(Assumptions!$A$4:J$14)+1,0)</f>
        <v>0</v>
      </c>
      <c r="O27" s="786">
        <f>VLOOKUP($A$2,'Footprint Summary'!$B$4:$R$26,COLUMNS('Footprint Summary'!$B$4:O$26)+1,0)*VLOOKUP($A$13,Assumptions!$A$4:$N$14,COLUMNS(Assumptions!$A$4:K$14)+1,0)</f>
        <v>0</v>
      </c>
      <c r="P27" s="786">
        <f>VLOOKUP($A$2,'Footprint Summary'!$B$4:$R$26,COLUMNS('Footprint Summary'!$B$4:P$26)+1,0)*VLOOKUP($A$13,Assumptions!$A$4:$N$14,COLUMNS(Assumptions!$A$4:L$14)+1,0)</f>
        <v>0</v>
      </c>
      <c r="Q27" s="786">
        <f t="shared" si="6"/>
        <v>0</v>
      </c>
      <c r="R27" s="761"/>
      <c r="S27" s="758"/>
    </row>
    <row r="28" spans="1:36" s="760" customFormat="1" ht="21" customHeight="1" thickBot="1">
      <c r="E28" s="778" t="s">
        <v>321</v>
      </c>
      <c r="F28" s="783">
        <f t="shared" ref="F28:Q28" si="7">SUM(F20:F24)</f>
        <v>0</v>
      </c>
      <c r="G28" s="783">
        <f>SUM(G20:G24)</f>
        <v>1507.6719157315558</v>
      </c>
      <c r="H28" s="783">
        <f t="shared" si="7"/>
        <v>1479.0473754713614</v>
      </c>
      <c r="I28" s="783">
        <f t="shared" si="7"/>
        <v>1348.2334752111672</v>
      </c>
      <c r="J28" s="783">
        <f t="shared" si="7"/>
        <v>1272.1638749509723</v>
      </c>
      <c r="K28" s="783">
        <f t="shared" si="7"/>
        <v>1124.9266846907781</v>
      </c>
      <c r="L28" s="783">
        <f t="shared" si="7"/>
        <v>959.44139443058361</v>
      </c>
      <c r="M28" s="783">
        <f t="shared" si="7"/>
        <v>812.20420417038895</v>
      </c>
      <c r="N28" s="783">
        <f t="shared" si="7"/>
        <v>699.63840391019437</v>
      </c>
      <c r="O28" s="783">
        <f t="shared" si="7"/>
        <v>625.39361364999991</v>
      </c>
      <c r="P28" s="783">
        <f t="shared" si="7"/>
        <v>581.59817365000004</v>
      </c>
      <c r="Q28" s="783">
        <f t="shared" si="7"/>
        <v>10410.319115867003</v>
      </c>
      <c r="R28" s="761"/>
      <c r="S28" s="758"/>
    </row>
    <row r="29" spans="1:36" s="760" customFormat="1" ht="36.75" customHeight="1" thickTop="1" thickBot="1">
      <c r="A29" s="766" t="s">
        <v>331</v>
      </c>
      <c r="B29" s="756"/>
      <c r="C29" s="754" t="s">
        <v>30</v>
      </c>
      <c r="D29" s="754"/>
      <c r="E29" s="757"/>
      <c r="F29" s="754"/>
      <c r="G29" s="758"/>
      <c r="H29" s="758"/>
      <c r="Q29" s="758"/>
      <c r="R29" s="761"/>
      <c r="S29" s="758"/>
    </row>
    <row r="30" spans="1:36" s="760" customFormat="1" ht="33" customHeight="1" thickTop="1" thickBot="1">
      <c r="A30" s="769" t="s">
        <v>282</v>
      </c>
      <c r="B30" s="769" t="s">
        <v>304</v>
      </c>
      <c r="C30" s="779"/>
      <c r="D30" s="779"/>
      <c r="E30" s="779"/>
      <c r="F30" s="755" t="s">
        <v>188</v>
      </c>
      <c r="G30" s="755" t="s">
        <v>189</v>
      </c>
      <c r="H30" s="755" t="s">
        <v>190</v>
      </c>
      <c r="I30" s="755" t="s">
        <v>191</v>
      </c>
      <c r="J30" s="755" t="s">
        <v>192</v>
      </c>
      <c r="K30" s="755" t="s">
        <v>193</v>
      </c>
      <c r="L30" s="755" t="s">
        <v>194</v>
      </c>
      <c r="M30" s="755" t="s">
        <v>195</v>
      </c>
      <c r="N30" s="755" t="s">
        <v>196</v>
      </c>
      <c r="O30" s="755" t="s">
        <v>197</v>
      </c>
      <c r="P30" s="755" t="s">
        <v>198</v>
      </c>
      <c r="Q30" s="755" t="s">
        <v>84</v>
      </c>
      <c r="R30" s="761"/>
      <c r="S30" s="758"/>
      <c r="Y30" s="763" t="s">
        <v>932</v>
      </c>
      <c r="AB30" s="763" t="s">
        <v>935</v>
      </c>
    </row>
    <row r="31" spans="1:36" s="760" customFormat="1" ht="17" customHeight="1" thickTop="1">
      <c r="A31" s="787" t="s">
        <v>332</v>
      </c>
      <c r="B31" s="788"/>
      <c r="C31" s="789"/>
      <c r="S31" s="758"/>
      <c r="Y31" s="983">
        <f>P56</f>
        <v>5.7707175822301329</v>
      </c>
      <c r="Z31" s="980"/>
      <c r="AA31" s="980"/>
      <c r="AB31" s="991">
        <f>Q56</f>
        <v>0.61006231566884495</v>
      </c>
    </row>
    <row r="32" spans="1:36" s="760" customFormat="1" ht="17.25" customHeight="1">
      <c r="A32" s="767" t="s">
        <v>30</v>
      </c>
      <c r="B32" s="767" t="s">
        <v>334</v>
      </c>
      <c r="D32" s="790"/>
      <c r="F32" s="791">
        <f>VLOOKUP($A$2,'Costs Summary'!$B$154:$R$176,COLUMNS('Costs Summary'!$B$154:F$176)+1,0)</f>
        <v>469437.38000000006</v>
      </c>
      <c r="G32" s="791">
        <f>VLOOKUP($A$2,'Costs Summary'!$B$154:$R$176,COLUMNS('Costs Summary'!$B$154:G$176)+1,0)</f>
        <v>582184.7376909951</v>
      </c>
      <c r="H32" s="791">
        <f>VLOOKUP($A$2,'Costs Summary'!$B$154:$R$176,COLUMNS('Costs Summary'!$B$154:H$176)+1,0)</f>
        <v>602561.20351017988</v>
      </c>
      <c r="I32" s="791">
        <f>VLOOKUP($A$2,'Costs Summary'!$B$154:$R$176,COLUMNS('Costs Summary'!$B$154:I$176)+1,0)</f>
        <v>623650.84563303611</v>
      </c>
      <c r="J32" s="791">
        <f>VLOOKUP($A$2,'Costs Summary'!$B$154:$R$176,COLUMNS('Costs Summary'!$B$154:J$176)+1,0)</f>
        <v>645478.62523019232</v>
      </c>
      <c r="K32" s="791">
        <f>VLOOKUP($A$2,'Costs Summary'!$B$154:$R$176,COLUMNS('Costs Summary'!$B$154:K$176)+1,0)</f>
        <v>668070.37711324904</v>
      </c>
      <c r="L32" s="791">
        <f>VLOOKUP($A$2,'Costs Summary'!$B$154:$R$176,COLUMNS('Costs Summary'!$B$154:L$176)+1,0)</f>
        <v>691452.84031221271</v>
      </c>
      <c r="M32" s="791">
        <f>VLOOKUP($A$2,'Costs Summary'!$B$154:$R$176,COLUMNS('Costs Summary'!$B$154:M$176)+1,0)</f>
        <v>715653.68972314009</v>
      </c>
      <c r="N32" s="791">
        <f>VLOOKUP($A$2,'Costs Summary'!$B$154:$R$176,COLUMNS('Costs Summary'!$B$154:N$176)+1,0)</f>
        <v>858784.42766776797</v>
      </c>
      <c r="O32" s="791">
        <f>VLOOKUP($A$2,'Costs Summary'!$B$154:$R$176,COLUMNS('Costs Summary'!$B$154:O$176)+1,0)</f>
        <v>888841.88263613987</v>
      </c>
      <c r="P32" s="791">
        <f>VLOOKUP($A$2,'Costs Summary'!$B$154:$R$176,COLUMNS('Costs Summary'!$B$154:P$176)+1,0)</f>
        <v>919951.3485284046</v>
      </c>
      <c r="Q32" s="791">
        <f>SUM(G32:P32)</f>
        <v>7196629.9780453173</v>
      </c>
      <c r="R32" s="761"/>
      <c r="S32" s="758"/>
      <c r="Y32" s="980"/>
      <c r="Z32" s="980"/>
      <c r="AA32" s="980"/>
      <c r="AB32" s="980"/>
    </row>
    <row r="33" spans="1:28" s="760" customFormat="1" ht="17.25" customHeight="1">
      <c r="A33" s="767" t="s">
        <v>284</v>
      </c>
      <c r="B33" s="767" t="s">
        <v>335</v>
      </c>
      <c r="C33" s="792"/>
      <c r="D33" s="793"/>
      <c r="F33" s="791">
        <f>VLOOKUP($A$2,'Costs Summary'!$B$183:$R$205,COLUMNS('Costs Summary'!$B$183:F$205)+1,0)</f>
        <v>41724.339299999992</v>
      </c>
      <c r="G33" s="791">
        <f>VLOOKUP($A$2,'Costs Summary'!$B$183:$R$205,COLUMNS('Costs Summary'!$B$183:G$205)+1,0)</f>
        <v>48668.834703157998</v>
      </c>
      <c r="H33" s="791">
        <f>VLOOKUP($A$2,'Costs Summary'!$B$183:$R$205,COLUMNS('Costs Summary'!$B$183:H$205)+1,0)</f>
        <v>50128.899744252732</v>
      </c>
      <c r="I33" s="791">
        <f>VLOOKUP($A$2,'Costs Summary'!$B$183:$R$205,COLUMNS('Costs Summary'!$B$183:I$205)+1,0)</f>
        <v>51632.766736580314</v>
      </c>
      <c r="J33" s="791">
        <f>VLOOKUP($A$2,'Costs Summary'!$B$183:$R$205,COLUMNS('Costs Summary'!$B$183:J$205)+1,0)</f>
        <v>53181.749738677732</v>
      </c>
      <c r="K33" s="791">
        <f>VLOOKUP($A$2,'Costs Summary'!$B$183:$R$205,COLUMNS('Costs Summary'!$B$183:K$205)+1,0)</f>
        <v>54777.202230838069</v>
      </c>
      <c r="L33" s="791">
        <f>VLOOKUP($A$2,'Costs Summary'!$B$183:$R$205,COLUMNS('Costs Summary'!$B$183:L$205)+1,0)</f>
        <v>56420.518297763214</v>
      </c>
      <c r="M33" s="791">
        <f>VLOOKUP($A$2,'Costs Summary'!$B$183:$R$205,COLUMNS('Costs Summary'!$B$183:M$205)+1,0)</f>
        <v>58113.133846696117</v>
      </c>
      <c r="N33" s="791">
        <f>VLOOKUP($A$2,'Costs Summary'!$B$183:$R$205,COLUMNS('Costs Summary'!$B$183:N$205)+1,0)</f>
        <v>59856.527862097006</v>
      </c>
      <c r="O33" s="791">
        <f>VLOOKUP($A$2,'Costs Summary'!$B$183:$R$205,COLUMNS('Costs Summary'!$B$183:O$205)+1,0)</f>
        <v>61652.223697959911</v>
      </c>
      <c r="P33" s="791">
        <f>VLOOKUP($A$2,'Costs Summary'!$B$183:$R$205,COLUMNS('Costs Summary'!$B$183:P$205)+1,0)</f>
        <v>63501.790408898712</v>
      </c>
      <c r="Q33" s="791">
        <f>SUM(G33:P33)</f>
        <v>557933.64726692182</v>
      </c>
      <c r="R33" s="761"/>
      <c r="S33" s="758"/>
      <c r="Y33" s="980"/>
      <c r="Z33" s="980"/>
      <c r="AA33" s="980"/>
      <c r="AB33" s="980"/>
    </row>
    <row r="34" spans="1:28" s="760" customFormat="1" ht="17.25" customHeight="1">
      <c r="A34" s="767" t="s">
        <v>284</v>
      </c>
      <c r="B34" s="767" t="s">
        <v>336</v>
      </c>
      <c r="D34" s="790"/>
      <c r="F34" s="905"/>
      <c r="G34" s="791">
        <f>VLOOKUP($A$2,'Costs Summary'!$B$241:$R$263,COLUMNS('Costs Summary'!$B$241:G263)+1,0)</f>
        <v>0</v>
      </c>
      <c r="H34" s="791">
        <f>VLOOKUP($A$2,'Costs Summary'!$B$241:$R$263,COLUMNS('Costs Summary'!$B$241:H263)+1,0)</f>
        <v>4992.6108138</v>
      </c>
      <c r="I34" s="791">
        <f>VLOOKUP($A$2,'Costs Summary'!$B$241:$R$263,COLUMNS('Costs Summary'!$B$241:I263)+1,0)</f>
        <v>4992.6108138</v>
      </c>
      <c r="J34" s="791">
        <f>VLOOKUP($A$2,'Costs Summary'!$B$241:$R$263,COLUMNS('Costs Summary'!$B$241:J263)+1,0)</f>
        <v>4992.6108138</v>
      </c>
      <c r="K34" s="791">
        <f>VLOOKUP($A$2,'Costs Summary'!$B$241:$R$263,COLUMNS('Costs Summary'!$B$241:K263)+1,0)</f>
        <v>4992.6108138</v>
      </c>
      <c r="L34" s="791">
        <f>VLOOKUP($A$2,'Costs Summary'!$B$241:$R$263,COLUMNS('Costs Summary'!$B$241:L263)+1,0)</f>
        <v>4992.6108138</v>
      </c>
      <c r="M34" s="791">
        <f>VLOOKUP($A$2,'Costs Summary'!$B$241:$R$263,COLUMNS('Costs Summary'!$B$241:M263)+1,0)</f>
        <v>4992.6108138</v>
      </c>
      <c r="N34" s="791">
        <f>VLOOKUP($A$2,'Costs Summary'!$B$241:$R$263,COLUMNS('Costs Summary'!$B$241:N263)+1,0)</f>
        <v>4992.6108138</v>
      </c>
      <c r="O34" s="791">
        <f>VLOOKUP($A$2,'Costs Summary'!$B$241:$R$263,COLUMNS('Costs Summary'!$B$241:O263)+1,0)</f>
        <v>4992.6108138</v>
      </c>
      <c r="P34" s="791">
        <f>VLOOKUP($A$2,'Costs Summary'!$B$241:$R$263,COLUMNS('Costs Summary'!$B$241:P263)+1,0)</f>
        <v>4992.6108138</v>
      </c>
      <c r="Q34" s="791">
        <f>SUM(G34:P34)</f>
        <v>44933.497324199991</v>
      </c>
      <c r="R34" s="761"/>
      <c r="S34" s="758"/>
      <c r="Y34" s="980"/>
      <c r="Z34" s="980"/>
      <c r="AA34" s="980"/>
      <c r="AB34" s="980"/>
    </row>
    <row r="35" spans="1:28" s="760" customFormat="1" ht="17.25" customHeight="1">
      <c r="A35" s="775" t="s">
        <v>319</v>
      </c>
      <c r="B35" s="775" t="s">
        <v>665</v>
      </c>
      <c r="C35" s="792"/>
      <c r="D35" s="793"/>
      <c r="F35" s="906"/>
      <c r="G35" s="906"/>
      <c r="H35" s="791">
        <f>VLOOKUP($A$2,'Costs Summary'!$B$212:$R$234,COLUMNS('Costs Summary'!$B$212:H$234)+1,0)</f>
        <v>3823.5537144816944</v>
      </c>
      <c r="I35" s="791">
        <f>VLOOKUP($A$2,'Costs Summary'!$B$212:$R$234,COLUMNS('Costs Summary'!$B$212:I$234)+1,0)</f>
        <v>3419.9444988700234</v>
      </c>
      <c r="J35" s="791">
        <f>VLOOKUP($A$2,'Costs Summary'!$B$212:$R$234,COLUMNS('Costs Summary'!$B$212:J$234)+1,0)</f>
        <v>3016.3352832583523</v>
      </c>
      <c r="K35" s="791">
        <f>VLOOKUP($A$2,'Costs Summary'!$B$212:$R$234,COLUMNS('Costs Summary'!$B$212:K$234)+1,0)</f>
        <v>2612.7260676466822</v>
      </c>
      <c r="L35" s="791">
        <f>VLOOKUP($A$2,'Costs Summary'!$B$212:$R$234,COLUMNS('Costs Summary'!$B$212:L$234)+1,0)</f>
        <v>2209.1168520350116</v>
      </c>
      <c r="M35" s="791">
        <f>VLOOKUP($A$2,'Costs Summary'!$B$212:$R$234,COLUMNS('Costs Summary'!$B$212:M$234)+1,0)</f>
        <v>1805.5076364233405</v>
      </c>
      <c r="N35" s="791">
        <f>VLOOKUP($A$2,'Costs Summary'!$B$212:$R$234,COLUMNS('Costs Summary'!$B$212:N$234)+1,0)</f>
        <v>1401.8984208116699</v>
      </c>
      <c r="O35" s="791">
        <f>VLOOKUP($A$2,'Costs Summary'!$B$212:$R$234,COLUMNS('Costs Summary'!$B$212:O$234)+1,0)</f>
        <v>998.28920519999929</v>
      </c>
      <c r="P35" s="791">
        <f>VLOOKUP($A$2,'Costs Summary'!$B$212:$R$234,COLUMNS('Costs Summary'!$B$212:P$234)+1,0)</f>
        <v>998.28920519999986</v>
      </c>
      <c r="Q35" s="791">
        <f>SUM(G35:P35)</f>
        <v>20285.660883926772</v>
      </c>
      <c r="R35" s="761"/>
      <c r="S35" s="758"/>
      <c r="Y35" s="980"/>
      <c r="Z35" s="980"/>
      <c r="AA35" s="980"/>
      <c r="AB35" s="980"/>
    </row>
    <row r="36" spans="1:28" s="760" customFormat="1" ht="17.25" customHeight="1" thickBot="1">
      <c r="A36" s="794" t="s">
        <v>338</v>
      </c>
      <c r="C36" s="792"/>
      <c r="E36" s="795" t="s">
        <v>339</v>
      </c>
      <c r="F36" s="796">
        <f t="shared" ref="F36:Q36" si="8">SUM(F32:F35)</f>
        <v>511161.71930000006</v>
      </c>
      <c r="G36" s="796">
        <f t="shared" si="8"/>
        <v>630853.5723941531</v>
      </c>
      <c r="H36" s="796">
        <f t="shared" si="8"/>
        <v>661506.26778271422</v>
      </c>
      <c r="I36" s="796">
        <f t="shared" si="8"/>
        <v>683696.16768228647</v>
      </c>
      <c r="J36" s="796">
        <f t="shared" si="8"/>
        <v>706669.32106592844</v>
      </c>
      <c r="K36" s="796">
        <f t="shared" si="8"/>
        <v>730452.9162255337</v>
      </c>
      <c r="L36" s="796">
        <f t="shared" si="8"/>
        <v>755075.08627581096</v>
      </c>
      <c r="M36" s="796">
        <f t="shared" si="8"/>
        <v>780564.94202005956</v>
      </c>
      <c r="N36" s="796">
        <f t="shared" si="8"/>
        <v>925035.46476447664</v>
      </c>
      <c r="O36" s="796">
        <f t="shared" si="8"/>
        <v>956485.00635309983</v>
      </c>
      <c r="P36" s="796">
        <f t="shared" si="8"/>
        <v>989444.03895630338</v>
      </c>
      <c r="Q36" s="796">
        <f t="shared" si="8"/>
        <v>7819782.7835203661</v>
      </c>
      <c r="R36" s="761"/>
      <c r="S36" s="758"/>
      <c r="Y36" s="920"/>
      <c r="Z36" s="920"/>
      <c r="AA36" s="920"/>
      <c r="AB36" s="921"/>
    </row>
    <row r="37" spans="1:28" s="760" customFormat="1" ht="24" customHeight="1" thickTop="1" thickBot="1">
      <c r="C37" s="792"/>
      <c r="E37" s="950" t="s">
        <v>340</v>
      </c>
      <c r="F37" s="951">
        <f>F36/(VLOOKUP($A$2,'Asset Attributes'!$B$3:$D$25,3,0))</f>
        <v>17.525945254748681</v>
      </c>
      <c r="G37" s="951">
        <f>G36/(VLOOKUP($A$2,'Asset Attributes'!$B$3:$D$25,3,0))</f>
        <v>21.629759733736307</v>
      </c>
      <c r="H37" s="951">
        <f>H36/(VLOOKUP($A$2,'Asset Attributes'!$B$3:$D$25,3,0))</f>
        <v>22.680733312168766</v>
      </c>
      <c r="I37" s="951">
        <f>I36/(VLOOKUP($A$2,'Asset Attributes'!$B$3:$D$25,3,0))</f>
        <v>23.441547270187424</v>
      </c>
      <c r="J37" s="951">
        <f>J36/(VLOOKUP($A$2,'Asset Attributes'!$B$3:$D$25,3,0))</f>
        <v>24.229216247203198</v>
      </c>
      <c r="K37" s="951">
        <f>K36/(VLOOKUP($A$2,'Asset Attributes'!$B$3:$D$25,3,0))</f>
        <v>25.044672434531087</v>
      </c>
      <c r="L37" s="951">
        <f>L36/(VLOOKUP($A$2,'Asset Attributes'!$B$3:$D$25,3,0))</f>
        <v>25.888880418151647</v>
      </c>
      <c r="M37" s="951">
        <f>M36/(VLOOKUP($A$2,'Asset Attributes'!$B$3:$D$25,3,0))</f>
        <v>26.762838305563314</v>
      </c>
      <c r="N37" s="951">
        <f>N36/(VLOOKUP($A$2,'Asset Attributes'!$B$3:$D$25,3,0))</f>
        <v>31.716226591389859</v>
      </c>
      <c r="O37" s="951">
        <f>O36/(VLOOKUP($A$2,'Asset Attributes'!$B$3:$D$25,3,0))</f>
        <v>32.794521235448805</v>
      </c>
      <c r="P37" s="951">
        <f>P36/(VLOOKUP($A$2,'Asset Attributes'!$B$3:$D$25,3,0))</f>
        <v>33.924571040125606</v>
      </c>
      <c r="Q37" s="952">
        <f>P37-F37</f>
        <v>16.398625785376925</v>
      </c>
      <c r="R37" s="761"/>
      <c r="S37" s="758"/>
      <c r="Y37" s="922"/>
      <c r="Z37" s="922"/>
      <c r="AA37" s="922"/>
      <c r="AB37" s="922"/>
    </row>
    <row r="38" spans="1:28" s="760" customFormat="1" ht="17.25" customHeight="1" thickTop="1">
      <c r="A38" s="797" t="s">
        <v>341</v>
      </c>
      <c r="E38" s="790"/>
      <c r="F38" s="905"/>
      <c r="G38" s="905"/>
      <c r="H38" s="905"/>
      <c r="I38" s="905"/>
      <c r="J38" s="905"/>
      <c r="K38" s="905"/>
      <c r="L38" s="905"/>
      <c r="M38" s="905"/>
      <c r="N38" s="905"/>
      <c r="O38" s="905"/>
      <c r="P38" s="905"/>
      <c r="Q38" s="905"/>
      <c r="R38" s="761"/>
      <c r="S38" s="758"/>
      <c r="Y38" s="763" t="s">
        <v>933</v>
      </c>
      <c r="Z38" s="798"/>
      <c r="AA38" s="798"/>
      <c r="AB38" s="798"/>
    </row>
    <row r="39" spans="1:28" s="760" customFormat="1" ht="17.25" customHeight="1">
      <c r="A39" s="767" t="str">
        <f>VLOOKUP($A$2,'Asset Attributes'!$B$3:$D$25,2,0)</f>
        <v>NSW2</v>
      </c>
      <c r="B39" s="767" t="s">
        <v>342</v>
      </c>
      <c r="C39" s="792"/>
      <c r="E39" s="795"/>
      <c r="F39" s="791">
        <f>VLOOKUP($A$2,'Costs Summary'!$B$4:$R$26,COLUMNS('Costs Summary'!$B$4:F$26)+1,0)</f>
        <v>469437.38000000006</v>
      </c>
      <c r="G39" s="791">
        <f>VLOOKUP($A$2,'Costs Summary'!$B$4:$R$26,COLUMNS('Costs Summary'!$B$4:G$26)+1,0)</f>
        <v>575803.96667712519</v>
      </c>
      <c r="H39" s="791">
        <f>VLOOKUP($A$2,'Costs Summary'!$B$4:$R$26,COLUMNS('Costs Summary'!$B$4:H$26)+1,0)</f>
        <v>595957.10551082448</v>
      </c>
      <c r="I39" s="791">
        <f>VLOOKUP($A$2,'Costs Summary'!$B$4:$R$26,COLUMNS('Costs Summary'!$B$4:I$26)+1,0)</f>
        <v>432264.08561171871</v>
      </c>
      <c r="J39" s="791">
        <f>VLOOKUP($A$2,'Costs Summary'!$B$4:$R$26,COLUMNS('Costs Summary'!$B$4:J$26)+1,0)</f>
        <v>429707.14140973031</v>
      </c>
      <c r="K39" s="791">
        <f>VLOOKUP($A$2,'Costs Summary'!$B$4:$R$26,COLUMNS('Costs Summary'!$B$4:K$26)+1,0)</f>
        <v>437424.80985893379</v>
      </c>
      <c r="L39" s="791">
        <f>VLOOKUP($A$2,'Costs Summary'!$B$4:$R$26,COLUMNS('Costs Summary'!$B$4:L$26)+1,0)</f>
        <v>452734.67820399645</v>
      </c>
      <c r="M39" s="791">
        <f>VLOOKUP($A$2,'Costs Summary'!$B$4:$R$26,COLUMNS('Costs Summary'!$B$4:M$26)+1,0)</f>
        <v>464658.59356364422</v>
      </c>
      <c r="N39" s="791">
        <f>VLOOKUP($A$2,'Costs Summary'!$B$4:$R$26,COLUMNS('Costs Summary'!$B$4:N$26)+1,0)</f>
        <v>491704.09953450534</v>
      </c>
      <c r="O39" s="791">
        <f>VLOOKUP($A$2,'Costs Summary'!$B$4:$R$26,COLUMNS('Costs Summary'!$B$4:O$26)+1,0)</f>
        <v>508913.74301821296</v>
      </c>
      <c r="P39" s="791">
        <f>VLOOKUP($A$2,'Costs Summary'!$B$4:$R$26,COLUMNS('Costs Summary'!$B$4:P$26)+1,0)</f>
        <v>526725.7240238504</v>
      </c>
      <c r="Q39" s="791">
        <f>SUM(G39:P39)</f>
        <v>4915893.9474125421</v>
      </c>
      <c r="R39" s="761"/>
      <c r="S39" s="758"/>
      <c r="Y39" s="798"/>
      <c r="Z39" s="798"/>
      <c r="AA39" s="798"/>
      <c r="AB39" s="798"/>
    </row>
    <row r="40" spans="1:28" s="760" customFormat="1" ht="17.25" customHeight="1">
      <c r="A40" s="767" t="s">
        <v>284</v>
      </c>
      <c r="B40" s="767" t="s">
        <v>343</v>
      </c>
      <c r="C40" s="792"/>
      <c r="E40" s="793"/>
      <c r="F40" s="791">
        <f>VLOOKUP($A$2,'Costs Summary'!$B$33:$R$55,COLUMNS('Costs Summary'!$B$33:F$55)+1,0)</f>
        <v>41724.339299999992</v>
      </c>
      <c r="G40" s="791">
        <f>VLOOKUP($A$2,'Costs Summary'!$B$33:$R$55,COLUMNS('Costs Summary'!$B$33:G$55)+1,0)</f>
        <v>48668.834703157998</v>
      </c>
      <c r="H40" s="791">
        <f>VLOOKUP($A$2,'Costs Summary'!$B$33:$R$55,COLUMNS('Costs Summary'!$B$33:H$55)+1,0)</f>
        <v>50128.899744252732</v>
      </c>
      <c r="I40" s="791">
        <f>VLOOKUP($A$2,'Costs Summary'!$B$33:$R$55,COLUMNS('Costs Summary'!$B$33:I$55)+1,0)</f>
        <v>51632.766736580314</v>
      </c>
      <c r="J40" s="791">
        <f>VLOOKUP($A$2,'Costs Summary'!$B$33:$R$55,COLUMNS('Costs Summary'!$B$33:J$55)+1,0)</f>
        <v>37109.890363393417</v>
      </c>
      <c r="K40" s="791">
        <f>VLOOKUP($A$2,'Costs Summary'!$B$33:$R$55,COLUMNS('Costs Summary'!$B$33:K$55)+1,0)</f>
        <v>36934.144910466064</v>
      </c>
      <c r="L40" s="791">
        <f>VLOOKUP($A$2,'Costs Summary'!$B$33:$R$55,COLUMNS('Costs Summary'!$B$33:L$55)+1,0)</f>
        <v>36714.455829036022</v>
      </c>
      <c r="M40" s="791">
        <f>VLOOKUP($A$2,'Costs Summary'!$B$33:$R$55,COLUMNS('Costs Summary'!$B$33:M$55)+1,0)</f>
        <v>36448.344672300751</v>
      </c>
      <c r="N40" s="791">
        <f>VLOOKUP($A$2,'Costs Summary'!$B$33:$R$55,COLUMNS('Costs Summary'!$B$33:N$55)+1,0)</f>
        <v>17599.39256546073</v>
      </c>
      <c r="O40" s="791">
        <f>VLOOKUP($A$2,'Costs Summary'!$B$33:$R$55,COLUMNS('Costs Summary'!$B$33:O$55)+1,0)</f>
        <v>18127.374342424548</v>
      </c>
      <c r="P40" s="791">
        <f>VLOOKUP($A$2,'Costs Summary'!$B$33:$R$55,COLUMNS('Costs Summary'!$B$33:P$55)+1,0)</f>
        <v>18671.195572697288</v>
      </c>
      <c r="Q40" s="791">
        <f>SUM(G40:P40)</f>
        <v>352035.29943976988</v>
      </c>
      <c r="R40" s="761"/>
      <c r="S40" s="758"/>
      <c r="Y40" s="981">
        <f>U59</f>
        <v>47573</v>
      </c>
      <c r="Z40" s="982"/>
      <c r="AA40" s="982"/>
      <c r="AB40" s="798"/>
    </row>
    <row r="41" spans="1:28" s="760" customFormat="1" ht="17.25" customHeight="1">
      <c r="A41" s="767" t="s">
        <v>284</v>
      </c>
      <c r="B41" s="767" t="s">
        <v>336</v>
      </c>
      <c r="E41" s="790"/>
      <c r="F41" s="905"/>
      <c r="G41" s="905"/>
      <c r="H41" s="791">
        <f>VLOOKUP($A$2,'Costs Summary'!$B$125:$R$147,COLUMNS('Costs Summary'!$B$125:H$147)+1,0)</f>
        <v>4992.6108138</v>
      </c>
      <c r="I41" s="791">
        <f>VLOOKUP($A$2,'Costs Summary'!$B$125:$R$147,COLUMNS('Costs Summary'!$B$125:I$147)+1,0)</f>
        <v>4992.6108138</v>
      </c>
      <c r="J41" s="791">
        <f>VLOOKUP($A$2,'Costs Summary'!$B$125:$R$147,COLUMNS('Costs Summary'!$B$125:J$147)+1,0)</f>
        <v>3483.8124138000003</v>
      </c>
      <c r="K41" s="791">
        <f>VLOOKUP($A$2,'Costs Summary'!$B$125:$R$147,COLUMNS('Costs Summary'!$B$125:K$147)+1,0)</f>
        <v>3366.3240138000001</v>
      </c>
      <c r="L41" s="791">
        <f>VLOOKUP($A$2,'Costs Summary'!$B$125:$R$147,COLUMNS('Costs Summary'!$B$125:L$147)+1,0)</f>
        <v>3248.8356137999999</v>
      </c>
      <c r="M41" s="791">
        <f>VLOOKUP($A$2,'Costs Summary'!$B$125:$R$147,COLUMNS('Costs Summary'!$B$125:M$147)+1,0)</f>
        <v>3131.3472138000002</v>
      </c>
      <c r="N41" s="791">
        <f>VLOOKUP($A$2,'Costs Summary'!$B$125:$R$147,COLUMNS('Costs Summary'!$B$125:N$147)+1,0)</f>
        <v>1467.9588137999997</v>
      </c>
      <c r="O41" s="791">
        <f>VLOOKUP($A$2,'Costs Summary'!$B$125:$R$147,COLUMNS('Costs Summary'!$B$125:O$147)+1,0)</f>
        <v>1467.9588137999997</v>
      </c>
      <c r="P41" s="791">
        <f>VLOOKUP($A$2,'Costs Summary'!$B$125:$R$147,COLUMNS('Costs Summary'!$B$125:P$147)+1,0)</f>
        <v>1467.9588137999997</v>
      </c>
      <c r="Q41" s="791">
        <f>SUM(G41:P41)</f>
        <v>27619.4173242</v>
      </c>
      <c r="R41" s="761"/>
      <c r="S41" s="758"/>
      <c r="Y41" s="982"/>
      <c r="Z41" s="982"/>
      <c r="AA41" s="982"/>
      <c r="AB41" s="798"/>
    </row>
    <row r="42" spans="1:28" s="760" customFormat="1" ht="17.25" customHeight="1">
      <c r="A42" s="775" t="s">
        <v>319</v>
      </c>
      <c r="B42" s="775" t="s">
        <v>666</v>
      </c>
      <c r="C42" s="792"/>
      <c r="E42" s="793"/>
      <c r="F42" s="906"/>
      <c r="G42" s="906"/>
      <c r="H42" s="791">
        <f>VLOOKUP($A$2,'Costs Summary'!$B$212:$R$234,COLUMNS('Costs Summary'!$B$212:H$234)+1,0)</f>
        <v>3823.5537144816944</v>
      </c>
      <c r="I42" s="791">
        <f>VLOOKUP($A$2,'Costs Summary'!$B$212:$R$234,COLUMNS('Costs Summary'!$B$212:I$234)+1,0)</f>
        <v>3419.9444988700234</v>
      </c>
      <c r="J42" s="791">
        <f>VLOOKUP($A$2,'Costs Summary'!$B$212:$R$234,COLUMNS('Costs Summary'!$B$212:J$234)+1,0)</f>
        <v>3016.3352832583523</v>
      </c>
      <c r="K42" s="791">
        <f>VLOOKUP($A$2,'Costs Summary'!$B$212:$R$234,COLUMNS('Costs Summary'!$B$212:K$234)+1,0)</f>
        <v>2612.7260676466822</v>
      </c>
      <c r="L42" s="791">
        <f>VLOOKUP($A$2,'Costs Summary'!$B$212:$R$234,COLUMNS('Costs Summary'!$B$212:L$234)+1,0)</f>
        <v>2209.1168520350116</v>
      </c>
      <c r="M42" s="791">
        <f>VLOOKUP($A$2,'Costs Summary'!$B$212:$R$234,COLUMNS('Costs Summary'!$B$212:M$234)+1,0)</f>
        <v>1805.5076364233405</v>
      </c>
      <c r="N42" s="791">
        <f>VLOOKUP($A$2,'Costs Summary'!$B$212:$R$234,COLUMNS('Costs Summary'!$B$212:N$234)+1,0)</f>
        <v>1401.8984208116699</v>
      </c>
      <c r="O42" s="791">
        <f>VLOOKUP($A$2,'Costs Summary'!$B$212:$R$234,COLUMNS('Costs Summary'!$B$212:O$234)+1,0)</f>
        <v>998.28920519999929</v>
      </c>
      <c r="P42" s="791">
        <f>VLOOKUP($A$2,'Costs Summary'!$B$212:$R$234,COLUMNS('Costs Summary'!$B$212:P$234)+1,0)</f>
        <v>998.28920519999986</v>
      </c>
      <c r="Q42" s="791">
        <f>SUM(G42:P42)</f>
        <v>20285.660883926772</v>
      </c>
      <c r="R42" s="761"/>
      <c r="S42" s="758"/>
      <c r="Y42" s="982"/>
      <c r="Z42" s="982"/>
      <c r="AA42" s="982"/>
      <c r="AB42" s="798"/>
    </row>
    <row r="43" spans="1:28" s="760" customFormat="1" ht="17.25" customHeight="1" thickBot="1">
      <c r="A43" s="794" t="s">
        <v>338</v>
      </c>
      <c r="E43" s="795" t="s">
        <v>339</v>
      </c>
      <c r="F43" s="796">
        <f t="shared" ref="F43:Q43" si="9">SUM(F39:F42)</f>
        <v>511161.71930000006</v>
      </c>
      <c r="G43" s="796">
        <f t="shared" si="9"/>
        <v>624472.8013802832</v>
      </c>
      <c r="H43" s="796">
        <f t="shared" si="9"/>
        <v>654902.16978335893</v>
      </c>
      <c r="I43" s="796">
        <f t="shared" si="9"/>
        <v>492309.40766096901</v>
      </c>
      <c r="J43" s="796">
        <f t="shared" si="9"/>
        <v>473317.17947018205</v>
      </c>
      <c r="K43" s="796">
        <f t="shared" si="9"/>
        <v>480338.00485084654</v>
      </c>
      <c r="L43" s="796">
        <f t="shared" si="9"/>
        <v>494907.08649886743</v>
      </c>
      <c r="M43" s="796">
        <f t="shared" si="9"/>
        <v>506043.7930861683</v>
      </c>
      <c r="N43" s="796">
        <f t="shared" si="9"/>
        <v>512173.34933457774</v>
      </c>
      <c r="O43" s="796">
        <f t="shared" si="9"/>
        <v>529507.36537963757</v>
      </c>
      <c r="P43" s="796">
        <f t="shared" si="9"/>
        <v>547863.16761554778</v>
      </c>
      <c r="Q43" s="796">
        <f t="shared" si="9"/>
        <v>5315834.3250604393</v>
      </c>
      <c r="R43" s="761"/>
      <c r="S43" s="758"/>
      <c r="Y43" s="982"/>
      <c r="Z43" s="982"/>
      <c r="AA43" s="982"/>
      <c r="AB43" s="923"/>
    </row>
    <row r="44" spans="1:28" s="760" customFormat="1" ht="17.25" customHeight="1" thickTop="1" thickBot="1">
      <c r="E44" s="950" t="s">
        <v>340</v>
      </c>
      <c r="F44" s="951">
        <f>F43/(VLOOKUP($A$2,'Asset Attributes'!$B$3:$D$25,3,0))</f>
        <v>17.525945254748681</v>
      </c>
      <c r="G44" s="951">
        <f>G43/(VLOOKUP($A$2,'Asset Attributes'!$B$3:$D$25,3,0))</f>
        <v>21.410985441276939</v>
      </c>
      <c r="H44" s="951">
        <f>H43/(VLOOKUP($A$2,'Asset Attributes'!$B$3:$D$25,3,0))</f>
        <v>22.454301919473323</v>
      </c>
      <c r="I44" s="951">
        <f>I43/(VLOOKUP($A$2,'Asset Attributes'!$B$3:$D$25,3,0))</f>
        <v>16.879565509873448</v>
      </c>
      <c r="J44" s="951">
        <f>J43/(VLOOKUP($A$2,'Asset Attributes'!$B$3:$D$25,3,0))</f>
        <v>16.228388516429476</v>
      </c>
      <c r="K44" s="951">
        <f>K43/(VLOOKUP($A$2,'Asset Attributes'!$B$3:$D$25,3,0))</f>
        <v>16.469108031641177</v>
      </c>
      <c r="L44" s="951">
        <f>L43/(VLOOKUP($A$2,'Asset Attributes'!$B$3:$D$25,3,0))</f>
        <v>16.968630820094198</v>
      </c>
      <c r="M44" s="951">
        <f>M43/(VLOOKUP($A$2,'Asset Attributes'!$B$3:$D$25,3,0))</f>
        <v>17.35046948797121</v>
      </c>
      <c r="N44" s="951">
        <f>N43/(VLOOKUP($A$2,'Asset Attributes'!$B$3:$D$25,3,0))</f>
        <v>17.560630505882799</v>
      </c>
      <c r="O44" s="951">
        <f>O43/(VLOOKUP($A$2,'Asset Attributes'!$B$3:$D$25,3,0))</f>
        <v>18.154953211946705</v>
      </c>
      <c r="P44" s="951">
        <f>P43/(VLOOKUP($A$2,'Asset Attributes'!$B$3:$D$25,3,0))</f>
        <v>18.784309388176226</v>
      </c>
      <c r="Q44" s="952">
        <f>P44-F44</f>
        <v>1.2583641334275448</v>
      </c>
      <c r="R44" s="761"/>
      <c r="S44" s="758"/>
      <c r="Y44" s="982"/>
      <c r="Z44" s="982"/>
      <c r="AA44" s="982"/>
      <c r="AB44" s="923"/>
    </row>
    <row r="45" spans="1:28" s="760" customFormat="1" ht="17.25" customHeight="1" thickTop="1">
      <c r="B45" s="756"/>
      <c r="C45" s="754"/>
      <c r="E45" s="799"/>
      <c r="F45" s="905"/>
      <c r="G45" s="905"/>
      <c r="H45" s="905"/>
      <c r="I45" s="905"/>
      <c r="J45" s="905"/>
      <c r="K45" s="905"/>
      <c r="L45" s="905"/>
      <c r="M45" s="905"/>
      <c r="N45" s="905"/>
      <c r="O45" s="905"/>
      <c r="P45" s="905"/>
      <c r="Q45" s="905"/>
      <c r="R45" s="761"/>
      <c r="S45" s="758"/>
      <c r="Y45" s="763" t="s">
        <v>937</v>
      </c>
      <c r="Z45" s="924"/>
      <c r="AA45" s="924"/>
      <c r="AB45" s="923"/>
    </row>
    <row r="46" spans="1:28" s="760" customFormat="1" ht="17.25" customHeight="1" thickBot="1">
      <c r="A46" s="766"/>
      <c r="B46" s="756"/>
      <c r="C46" s="754"/>
      <c r="E46" s="795" t="s">
        <v>344</v>
      </c>
      <c r="F46" s="796">
        <f t="shared" ref="F46:P46" si="10">F43-F36</f>
        <v>0</v>
      </c>
      <c r="G46" s="796">
        <f t="shared" si="10"/>
        <v>-6380.771013869904</v>
      </c>
      <c r="H46" s="796">
        <f t="shared" si="10"/>
        <v>-6604.0979993552901</v>
      </c>
      <c r="I46" s="796">
        <f t="shared" si="10"/>
        <v>-191386.76002131746</v>
      </c>
      <c r="J46" s="796">
        <f t="shared" si="10"/>
        <v>-233352.14159574639</v>
      </c>
      <c r="K46" s="796">
        <f t="shared" si="10"/>
        <v>-250114.91137468716</v>
      </c>
      <c r="L46" s="796">
        <f t="shared" si="10"/>
        <v>-260167.99977694353</v>
      </c>
      <c r="M46" s="796">
        <f t="shared" si="10"/>
        <v>-274521.14893389127</v>
      </c>
      <c r="N46" s="796">
        <f t="shared" si="10"/>
        <v>-412862.1154298989</v>
      </c>
      <c r="O46" s="796">
        <f t="shared" si="10"/>
        <v>-426977.64097346226</v>
      </c>
      <c r="P46" s="796">
        <f t="shared" si="10"/>
        <v>-441580.87134075561</v>
      </c>
      <c r="Q46" s="796">
        <f>SUM(F46:P46)</f>
        <v>-2503948.4584599277</v>
      </c>
      <c r="R46" s="773"/>
      <c r="S46" s="758"/>
      <c r="Y46" s="924"/>
      <c r="Z46" s="924"/>
      <c r="AA46" s="924"/>
      <c r="AB46" s="923"/>
    </row>
    <row r="47" spans="1:28" s="760" customFormat="1" ht="17.25" customHeight="1" thickTop="1" thickBot="1">
      <c r="A47" s="766"/>
      <c r="B47" s="756"/>
      <c r="C47" s="754"/>
      <c r="E47" s="795" t="s">
        <v>340</v>
      </c>
      <c r="F47" s="908">
        <f>F46/(VLOOKUP($A$2,'Asset Attributes'!$B$3:$D$25,3,0))</f>
        <v>0</v>
      </c>
      <c r="G47" s="908">
        <f>G46/(VLOOKUP($A$2,'Asset Attributes'!$B$3:$D$25,3,0))</f>
        <v>-0.21877429245936722</v>
      </c>
      <c r="H47" s="908">
        <f>H46/(VLOOKUP($A$2,'Asset Attributes'!$B$3:$D$25,3,0))</f>
        <v>-0.22643139269544299</v>
      </c>
      <c r="I47" s="908">
        <f>I46/(VLOOKUP($A$2,'Asset Attributes'!$B$3:$D$25,3,0))</f>
        <v>-6.5619817603139774</v>
      </c>
      <c r="J47" s="908">
        <f>J46/(VLOOKUP($A$2,'Asset Attributes'!$B$3:$D$25,3,0))</f>
        <v>-8.0008277307737217</v>
      </c>
      <c r="K47" s="908">
        <f>K46/(VLOOKUP($A$2,'Asset Attributes'!$B$3:$D$25,3,0))</f>
        <v>-8.5755644028899116</v>
      </c>
      <c r="L47" s="908">
        <f>L46/(VLOOKUP($A$2,'Asset Attributes'!$B$3:$D$25,3,0))</f>
        <v>-8.9202495980574472</v>
      </c>
      <c r="M47" s="908">
        <f>M46/(VLOOKUP($A$2,'Asset Attributes'!$B$3:$D$25,3,0))</f>
        <v>-9.4123688175921032</v>
      </c>
      <c r="N47" s="908">
        <f>N46/(VLOOKUP($A$2,'Asset Attributes'!$B$3:$D$25,3,0))</f>
        <v>-14.15559608550706</v>
      </c>
      <c r="O47" s="908">
        <f>O46/(VLOOKUP($A$2,'Asset Attributes'!$B$3:$D$25,3,0))</f>
        <v>-14.6395680235021</v>
      </c>
      <c r="P47" s="908">
        <f>P46/(VLOOKUP($A$2,'Asset Attributes'!$B$3:$D$25,3,0))</f>
        <v>-15.14026165194938</v>
      </c>
      <c r="Q47" s="952">
        <f>Q37-Q44</f>
        <v>15.14026165194938</v>
      </c>
      <c r="R47" s="761"/>
      <c r="S47" s="758"/>
      <c r="Y47" s="981">
        <f>W60</f>
        <v>45747</v>
      </c>
      <c r="Z47" s="982"/>
      <c r="AA47" s="982"/>
      <c r="AB47" s="923"/>
    </row>
    <row r="48" spans="1:28" s="760" customFormat="1" ht="17.25" customHeight="1" thickTop="1">
      <c r="A48" s="797" t="s">
        <v>345</v>
      </c>
      <c r="B48" s="756"/>
      <c r="C48" s="754"/>
      <c r="E48" s="795"/>
      <c r="F48" s="801"/>
      <c r="G48" s="801"/>
      <c r="H48" s="801"/>
      <c r="I48" s="801"/>
      <c r="J48" s="801"/>
      <c r="K48" s="801"/>
      <c r="L48" s="801"/>
      <c r="M48" s="801"/>
      <c r="N48" s="801"/>
      <c r="O48" s="801"/>
      <c r="P48" s="801"/>
      <c r="Q48" s="907"/>
      <c r="R48" s="761"/>
      <c r="S48" s="758"/>
      <c r="Y48" s="982"/>
      <c r="Z48" s="982"/>
      <c r="AA48" s="982"/>
      <c r="AB48" s="923"/>
    </row>
    <row r="49" spans="1:28" s="760" customFormat="1" ht="17.25" customHeight="1">
      <c r="B49" s="767" t="s">
        <v>346</v>
      </c>
      <c r="C49" s="754"/>
      <c r="E49" s="795" t="s">
        <v>347</v>
      </c>
      <c r="F49" s="905"/>
      <c r="G49" s="801">
        <f t="shared" ref="G49:P49" si="11">G115</f>
        <v>173896</v>
      </c>
      <c r="H49" s="801">
        <f t="shared" si="11"/>
        <v>2346400</v>
      </c>
      <c r="I49" s="801">
        <f t="shared" si="11"/>
        <v>2430800</v>
      </c>
      <c r="J49" s="801">
        <f t="shared" si="11"/>
        <v>1100000</v>
      </c>
      <c r="K49" s="801">
        <f t="shared" si="11"/>
        <v>1100000</v>
      </c>
      <c r="L49" s="801">
        <f t="shared" si="11"/>
        <v>1100000</v>
      </c>
      <c r="M49" s="801">
        <f t="shared" si="11"/>
        <v>2642000</v>
      </c>
      <c r="N49" s="801">
        <f t="shared" si="11"/>
        <v>0</v>
      </c>
      <c r="O49" s="801">
        <f t="shared" si="11"/>
        <v>0</v>
      </c>
      <c r="P49" s="801">
        <f t="shared" si="11"/>
        <v>0</v>
      </c>
      <c r="Q49" s="801">
        <f>+SUM(F49:P49)</f>
        <v>10893096</v>
      </c>
      <c r="R49" s="761"/>
      <c r="S49" s="758"/>
      <c r="Y49" s="982"/>
      <c r="Z49" s="982"/>
      <c r="AA49" s="982"/>
      <c r="AB49" s="798"/>
    </row>
    <row r="50" spans="1:28" s="760" customFormat="1" ht="17.25" customHeight="1">
      <c r="A50" s="766"/>
      <c r="B50" s="767"/>
      <c r="C50" s="754"/>
      <c r="E50" s="795" t="s">
        <v>348</v>
      </c>
      <c r="F50" s="802">
        <f t="shared" ref="F50:Q50" si="12">F46</f>
        <v>0</v>
      </c>
      <c r="G50" s="802">
        <f t="shared" si="12"/>
        <v>-6380.771013869904</v>
      </c>
      <c r="H50" s="802">
        <f t="shared" si="12"/>
        <v>-6604.0979993552901</v>
      </c>
      <c r="I50" s="802">
        <f t="shared" si="12"/>
        <v>-191386.76002131746</v>
      </c>
      <c r="J50" s="802">
        <f t="shared" si="12"/>
        <v>-233352.14159574639</v>
      </c>
      <c r="K50" s="802">
        <f t="shared" si="12"/>
        <v>-250114.91137468716</v>
      </c>
      <c r="L50" s="802">
        <f t="shared" si="12"/>
        <v>-260167.99977694353</v>
      </c>
      <c r="M50" s="802">
        <f t="shared" si="12"/>
        <v>-274521.14893389127</v>
      </c>
      <c r="N50" s="802">
        <f t="shared" si="12"/>
        <v>-412862.1154298989</v>
      </c>
      <c r="O50" s="802">
        <f t="shared" si="12"/>
        <v>-426977.64097346226</v>
      </c>
      <c r="P50" s="802">
        <f t="shared" si="12"/>
        <v>-441580.87134075561</v>
      </c>
      <c r="Q50" s="802">
        <f t="shared" si="12"/>
        <v>-2503948.4584599277</v>
      </c>
      <c r="R50" s="761"/>
      <c r="S50" s="758"/>
      <c r="Y50" s="982"/>
      <c r="Z50" s="982"/>
      <c r="AA50" s="982"/>
    </row>
    <row r="51" spans="1:28" s="760" customFormat="1" ht="17.25" customHeight="1">
      <c r="A51" s="766"/>
      <c r="B51" s="767"/>
      <c r="C51" s="754"/>
      <c r="D51" s="754"/>
      <c r="E51" s="795" t="s">
        <v>931</v>
      </c>
      <c r="F51" s="800">
        <f>-1*F50</f>
        <v>0</v>
      </c>
      <c r="G51" s="800">
        <f>-1*G50/(VLOOKUP($A$2,'Asset Attributes'!$B$3:$D$25,3,0))</f>
        <v>0.21877429245936722</v>
      </c>
      <c r="H51" s="800">
        <f>-1*H50/(VLOOKUP($A$2,'Asset Attributes'!$B$3:$D$25,3,0))</f>
        <v>0.22643139269544299</v>
      </c>
      <c r="I51" s="800">
        <f>-1*I50/(VLOOKUP($A$2,'Asset Attributes'!$B$3:$D$25,3,0))</f>
        <v>6.5619817603139774</v>
      </c>
      <c r="J51" s="800">
        <f>-1*J50/(VLOOKUP($A$2,'Asset Attributes'!$B$3:$D$25,3,0))</f>
        <v>8.0008277307737217</v>
      </c>
      <c r="K51" s="800">
        <f>-1*K50/(VLOOKUP($A$2,'Asset Attributes'!$B$3:$D$25,3,0))</f>
        <v>8.5755644028899116</v>
      </c>
      <c r="L51" s="800">
        <f>-1*L50/(VLOOKUP($A$2,'Asset Attributes'!$B$3:$D$25,3,0))</f>
        <v>8.9202495980574472</v>
      </c>
      <c r="M51" s="800">
        <f>-1*M50/(VLOOKUP($A$2,'Asset Attributes'!$B$3:$D$25,3,0))</f>
        <v>9.4123688175921032</v>
      </c>
      <c r="N51" s="800">
        <f>-1*N50/(VLOOKUP($A$2,'Asset Attributes'!$B$3:$D$25,3,0))</f>
        <v>14.15559608550706</v>
      </c>
      <c r="O51" s="800">
        <f>-1*O50/(VLOOKUP($A$2,'Asset Attributes'!$B$3:$D$25,3,0))</f>
        <v>14.6395680235021</v>
      </c>
      <c r="P51" s="800">
        <f>-1*P50/(VLOOKUP($A$2,'Asset Attributes'!$B$3:$D$25,3,0))</f>
        <v>15.14026165194938</v>
      </c>
      <c r="Q51" s="925">
        <f>Q46/(10*((VLOOKUP($A$2,'Asset Attributes'!$B$3:$D$25,3,0))))</f>
        <v>-8.5851623755740505</v>
      </c>
      <c r="R51" s="761"/>
      <c r="S51" s="758"/>
      <c r="Y51" s="982"/>
      <c r="Z51" s="982"/>
      <c r="AA51" s="982"/>
    </row>
    <row r="52" spans="1:28" s="760" customFormat="1" ht="17.25" customHeight="1">
      <c r="A52" s="766"/>
      <c r="B52" s="756"/>
      <c r="C52" s="754"/>
      <c r="D52" s="754"/>
      <c r="E52" s="757"/>
      <c r="F52" s="800"/>
      <c r="G52" s="800"/>
      <c r="H52" s="800"/>
      <c r="I52" s="800"/>
      <c r="J52" s="800"/>
      <c r="K52" s="800"/>
      <c r="L52" s="800"/>
      <c r="M52" s="800"/>
      <c r="N52" s="800"/>
      <c r="O52" s="800"/>
      <c r="P52" s="800"/>
      <c r="Q52" s="758"/>
      <c r="R52" s="761"/>
      <c r="S52" s="758"/>
      <c r="Y52" s="924"/>
      <c r="Z52" s="924"/>
      <c r="AA52" s="924"/>
    </row>
    <row r="53" spans="1:28" s="760" customFormat="1" ht="17.25" customHeight="1">
      <c r="A53" s="766"/>
      <c r="B53" s="756"/>
      <c r="C53" s="754"/>
      <c r="D53" s="754"/>
      <c r="E53" s="757"/>
      <c r="F53" s="800"/>
      <c r="G53" s="800"/>
      <c r="H53" s="800"/>
      <c r="I53" s="800"/>
      <c r="J53" s="800"/>
      <c r="K53" s="800"/>
      <c r="L53" s="800"/>
      <c r="M53" s="800"/>
      <c r="N53" s="800"/>
      <c r="O53" s="800"/>
      <c r="P53" s="800"/>
      <c r="Q53" s="758"/>
      <c r="R53" s="761"/>
      <c r="S53" s="758"/>
      <c r="Y53" s="924"/>
      <c r="Z53" s="924"/>
      <c r="AA53" s="924"/>
    </row>
    <row r="54" spans="1:28" s="760" customFormat="1" ht="36.75" customHeight="1" thickBot="1">
      <c r="A54" s="766" t="s">
        <v>349</v>
      </c>
      <c r="B54" s="756"/>
      <c r="C54" s="754"/>
      <c r="D54" s="754"/>
      <c r="E54" s="766" t="s">
        <v>350</v>
      </c>
      <c r="F54" s="800"/>
      <c r="G54" s="800"/>
      <c r="H54" s="800"/>
      <c r="I54" s="800"/>
      <c r="J54" s="800"/>
      <c r="K54" s="800"/>
      <c r="L54" s="800"/>
      <c r="M54" s="800"/>
      <c r="N54" s="800"/>
      <c r="O54" s="800"/>
      <c r="P54" s="800"/>
      <c r="Q54" s="758"/>
      <c r="R54" s="766" t="s">
        <v>351</v>
      </c>
      <c r="V54" s="803"/>
    </row>
    <row r="55" spans="1:28" s="760" customFormat="1" ht="30" customHeight="1" thickTop="1" thickBot="1">
      <c r="A55" s="769" t="s">
        <v>352</v>
      </c>
      <c r="B55" s="755"/>
      <c r="C55" s="755" t="s">
        <v>353</v>
      </c>
      <c r="D55" s="803"/>
      <c r="E55" s="804" t="s">
        <v>205</v>
      </c>
      <c r="F55" s="755" t="s">
        <v>188</v>
      </c>
      <c r="G55" s="755" t="str">
        <f t="shared" ref="G55:P55" si="13">G67</f>
        <v>CURRENT</v>
      </c>
      <c r="H55" s="755" t="str">
        <f t="shared" si="13"/>
        <v>FY25</v>
      </c>
      <c r="I55" s="755" t="str">
        <f t="shared" si="13"/>
        <v>FY26</v>
      </c>
      <c r="J55" s="755" t="str">
        <f t="shared" si="13"/>
        <v>FY27</v>
      </c>
      <c r="K55" s="755" t="str">
        <f t="shared" si="13"/>
        <v>FY28</v>
      </c>
      <c r="L55" s="755" t="str">
        <f t="shared" si="13"/>
        <v>FY29</v>
      </c>
      <c r="M55" s="755" t="str">
        <f t="shared" si="13"/>
        <v>FY30</v>
      </c>
      <c r="N55" s="755" t="str">
        <f t="shared" si="13"/>
        <v>FY31</v>
      </c>
      <c r="O55" s="755" t="str">
        <f t="shared" si="13"/>
        <v>FY32</v>
      </c>
      <c r="P55" s="755" t="str">
        <f t="shared" si="13"/>
        <v>FY33</v>
      </c>
      <c r="Q55" s="755" t="s">
        <v>84</v>
      </c>
      <c r="R55" s="977" t="s">
        <v>354</v>
      </c>
      <c r="S55" s="977"/>
      <c r="T55" s="977" t="s">
        <v>355</v>
      </c>
      <c r="U55" s="977"/>
      <c r="V55" s="977" t="s">
        <v>356</v>
      </c>
      <c r="W55" s="977"/>
    </row>
    <row r="56" spans="1:28" ht="24.75" customHeight="1" thickTop="1">
      <c r="A56" s="805" t="s">
        <v>357</v>
      </c>
      <c r="B56" s="806"/>
      <c r="C56" s="913">
        <v>45016</v>
      </c>
      <c r="D56" s="928" t="str">
        <f>A2</f>
        <v>1 Market Street</v>
      </c>
      <c r="E56" s="904" t="s">
        <v>7</v>
      </c>
      <c r="F56" s="808">
        <f>F272</f>
        <v>5.1606552665612879</v>
      </c>
      <c r="G56" s="808">
        <f>G272</f>
        <v>5.1606552665612879</v>
      </c>
      <c r="H56" s="808">
        <f t="shared" ref="H56:P56" si="14">H272</f>
        <v>5.1749719079986978</v>
      </c>
      <c r="I56" s="808">
        <f t="shared" si="14"/>
        <v>5.5615212268087628</v>
      </c>
      <c r="J56" s="808">
        <f t="shared" si="14"/>
        <v>5.6194497516387898</v>
      </c>
      <c r="K56" s="808">
        <f t="shared" si="14"/>
        <v>5.6283318490111567</v>
      </c>
      <c r="L56" s="808">
        <f t="shared" si="14"/>
        <v>5.6372139463835236</v>
      </c>
      <c r="M56" s="808">
        <f t="shared" si="14"/>
        <v>5.6460960437558905</v>
      </c>
      <c r="N56" s="808">
        <f t="shared" si="14"/>
        <v>5.7707175822301329</v>
      </c>
      <c r="O56" s="808">
        <f t="shared" si="14"/>
        <v>5.7707175822301329</v>
      </c>
      <c r="P56" s="808">
        <f t="shared" si="14"/>
        <v>5.7707175822301329</v>
      </c>
      <c r="Q56" s="809">
        <f>IF(D56="",0,P56-F56)</f>
        <v>0.61006231566884495</v>
      </c>
      <c r="R56" s="810" t="s">
        <v>358</v>
      </c>
      <c r="S56" s="934" t="s">
        <v>18</v>
      </c>
      <c r="T56" s="810" t="s">
        <v>358</v>
      </c>
      <c r="U56" s="934" t="s">
        <v>18</v>
      </c>
      <c r="V56" s="810" t="s">
        <v>358</v>
      </c>
      <c r="W56" s="935" t="str">
        <f>IF(W58=1,"Complete",IF(W60&lt;&gt;0,"Complete","Outstanding"))</f>
        <v>Complete</v>
      </c>
      <c r="X56" s="803"/>
      <c r="Y56" s="803"/>
      <c r="Z56" s="803"/>
    </row>
    <row r="57" spans="1:28" ht="24.75" customHeight="1">
      <c r="A57" s="805" t="s">
        <v>6</v>
      </c>
      <c r="C57" s="914" t="s">
        <v>118</v>
      </c>
      <c r="D57" s="929" t="str">
        <f>IF(VLOOKUP($A$2,'Asset Attributes'!B3:G25,4,0)&gt;0.001,"ICPF","")</f>
        <v>ICPF</v>
      </c>
      <c r="E57" s="904" t="s">
        <v>930</v>
      </c>
      <c r="F57" s="813">
        <f>IF($D$57="ICPF",(SUMPRODUCT('Footprint Summary'!G153:G175,'Footprint Summary'!$C153:$C175,'Footprint Summary'!$D153:$D175)/SUMPRODUCT('Footprint Summary'!$C153:$C175,'Footprint Summary'!$D153:$D175)),"")</f>
        <v>5.2939894644512195</v>
      </c>
      <c r="G57" s="813">
        <f>IF($D$57="ICPF",(SUMPRODUCT('Footprint Summary'!H153:H175,'Footprint Summary'!$C153:$C175,'Footprint Summary'!$D153:$D175)/SUMPRODUCT('Footprint Summary'!$C153:$C175,'Footprint Summary'!$D153:$D175)),"")</f>
        <v>5.2979162441742069</v>
      </c>
      <c r="H57" s="813">
        <f>IF($D$57="ICPF",(SUMPRODUCT('Footprint Summary'!I153:I175,'Footprint Summary'!$C153:$C175,'Footprint Summary'!$D153:$D175)/SUMPRODUCT('Footprint Summary'!$C153:$C175,'Footprint Summary'!$D153:$D175)),"")</f>
        <v>5.3084382327323487</v>
      </c>
      <c r="I57" s="813">
        <f>IF($D$57="ICPF",(SUMPRODUCT('Footprint Summary'!J153:J175,'Footprint Summary'!$C153:$C175,'Footprint Summary'!$D153:$D175)/SUMPRODUCT('Footprint Summary'!$C153:$C175,'Footprint Summary'!$D153:$D175)),"")</f>
        <v>5.3896758583664868</v>
      </c>
      <c r="J57" s="813">
        <f>IF($D$57="ICPF",(SUMPRODUCT('Footprint Summary'!K153:K175,'Footprint Summary'!$C153:$C175,'Footprint Summary'!$D153:$D175)/SUMPRODUCT('Footprint Summary'!$C153:$C175,'Footprint Summary'!$D153:$D175)),"")</f>
        <v>5.3955950251223559</v>
      </c>
      <c r="K57" s="813">
        <f>IF($D$57="ICPF",(SUMPRODUCT('Footprint Summary'!L153:L175,'Footprint Summary'!$C153:$C175,'Footprint Summary'!$D153:$D175)/SUMPRODUCT('Footprint Summary'!$C153:$C175,'Footprint Summary'!$D153:$D175)),"")</f>
        <v>5.4346681904031584</v>
      </c>
      <c r="L57" s="813">
        <f>IF($D$57="ICPF",(SUMPRODUCT('Footprint Summary'!M153:M175,'Footprint Summary'!$C153:$C175,'Footprint Summary'!$D153:$D175)/SUMPRODUCT('Footprint Summary'!$C153:$C175,'Footprint Summary'!$D153:$D175)),"")</f>
        <v>5.4494614148100462</v>
      </c>
      <c r="M57" s="813">
        <f>IF($D$57="ICPF",(SUMPRODUCT('Footprint Summary'!N153:N175,'Footprint Summary'!$C153:$C175,'Footprint Summary'!$D153:$D175)/SUMPRODUCT('Footprint Summary'!$C153:$C175,'Footprint Summary'!$D153:$D175)),"")</f>
        <v>5.4515664832300406</v>
      </c>
      <c r="N57" s="813">
        <f>IF($D$57="ICPF",(SUMPRODUCT('Footprint Summary'!O153:O175,'Footprint Summary'!$C153:$C175,'Footprint Summary'!$D153:$D175)/SUMPRODUCT('Footprint Summary'!$C153:$C175,'Footprint Summary'!$D153:$D175)),"")</f>
        <v>5.4802157545291266</v>
      </c>
      <c r="O57" s="813">
        <f>IF($D$57="ICPF",(SUMPRODUCT('Footprint Summary'!P153:P175,'Footprint Summary'!$C153:$C175,'Footprint Summary'!$D153:$D175)/SUMPRODUCT('Footprint Summary'!$C153:$C175,'Footprint Summary'!$D153:$D175)),"")</f>
        <v>5.5092024034949612</v>
      </c>
      <c r="P57" s="813">
        <f>IF($D$57="ICPF",(SUMPRODUCT('Footprint Summary'!Q153:Q175,'Footprint Summary'!$C153:$C175,'Footprint Summary'!$D153:$D175)/SUMPRODUCT('Footprint Summary'!$C153:$C175,'Footprint Summary'!$D153:$D175)),"")</f>
        <v>5.558571873208872</v>
      </c>
      <c r="Q57" s="809">
        <f>IF(D57="","",P57-F57)</f>
        <v>0.26458240875765249</v>
      </c>
      <c r="R57" s="810" t="s">
        <v>359</v>
      </c>
      <c r="S57" s="935">
        <f>R115</f>
        <v>6533195</v>
      </c>
      <c r="T57" s="814" t="s">
        <v>360</v>
      </c>
      <c r="U57" s="935">
        <f>S115</f>
        <v>4329900</v>
      </c>
      <c r="V57" s="814" t="s">
        <v>361</v>
      </c>
      <c r="W57" s="934" t="s">
        <v>362</v>
      </c>
      <c r="X57" s="803"/>
      <c r="Y57" s="803"/>
      <c r="Z57" s="803"/>
    </row>
    <row r="58" spans="1:28" ht="24.75" customHeight="1">
      <c r="A58" s="805" t="s">
        <v>363</v>
      </c>
      <c r="C58" s="914" t="s">
        <v>364</v>
      </c>
      <c r="D58" s="929" t="str">
        <f>IF(VLOOKUP($A$2,'Asset Attributes'!B3:G25,5,0)&gt;0.001,"IGO","")</f>
        <v/>
      </c>
      <c r="E58" s="904" t="s">
        <v>950</v>
      </c>
      <c r="F58" s="813" t="str">
        <f>IF($D$58="IGO",SUMPRODUCT('Footprint Summary'!G153:G175,'Footprint Summary'!$C153:$C175,'Footprint Summary'!$E153:$E175)/SUMPRODUCT('Footprint Summary'!$C153:$C175,'Footprint Summary'!$E153:$E175),"")</f>
        <v/>
      </c>
      <c r="G58" s="813" t="str">
        <f>IF($D$58="IGO",SUMPRODUCT('Footprint Summary'!H153:H175,'Footprint Summary'!$C153:$C175,'Footprint Summary'!$E153:$E175)/SUMPRODUCT('Footprint Summary'!$C153:$C175,'Footprint Summary'!$E153:$E175),"")</f>
        <v/>
      </c>
      <c r="H58" s="813" t="str">
        <f>IF($D$58="IGO",SUMPRODUCT('Footprint Summary'!I153:I175,'Footprint Summary'!$C153:$C175,'Footprint Summary'!$E153:$E175)/SUMPRODUCT('Footprint Summary'!$C153:$C175,'Footprint Summary'!$E153:$E175),"")</f>
        <v/>
      </c>
      <c r="I58" s="813" t="str">
        <f>IF($D$58="IGO",SUMPRODUCT('Footprint Summary'!J153:J175,'Footprint Summary'!$C153:$C175,'Footprint Summary'!$E153:$E175)/SUMPRODUCT('Footprint Summary'!$C153:$C175,'Footprint Summary'!$E153:$E175),"")</f>
        <v/>
      </c>
      <c r="J58" s="813" t="str">
        <f>IF($D$58="IGO",SUMPRODUCT('Footprint Summary'!K153:K175,'Footprint Summary'!$C153:$C175,'Footprint Summary'!$E153:$E175)/SUMPRODUCT('Footprint Summary'!$C153:$C175,'Footprint Summary'!$E153:$E175),"")</f>
        <v/>
      </c>
      <c r="K58" s="813" t="str">
        <f>IF($D$58="IGO",SUMPRODUCT('Footprint Summary'!L153:L175,'Footprint Summary'!$C153:$C175,'Footprint Summary'!$E153:$E175)/SUMPRODUCT('Footprint Summary'!$C153:$C175,'Footprint Summary'!$E153:$E175),"")</f>
        <v/>
      </c>
      <c r="L58" s="813" t="str">
        <f>IF($D$58="IGO",SUMPRODUCT('Footprint Summary'!M153:M175,'Footprint Summary'!$C153:$C175,'Footprint Summary'!$E153:$E175)/SUMPRODUCT('Footprint Summary'!$C153:$C175,'Footprint Summary'!$E153:$E175),"")</f>
        <v/>
      </c>
      <c r="M58" s="813" t="str">
        <f>IF($D$58="IGO",SUMPRODUCT('Footprint Summary'!N153:N175,'Footprint Summary'!$C153:$C175,'Footprint Summary'!$E153:$E175)/SUMPRODUCT('Footprint Summary'!$C153:$C175,'Footprint Summary'!$E153:$E175),"")</f>
        <v/>
      </c>
      <c r="N58" s="813" t="str">
        <f>IF($D$58="IGO",SUMPRODUCT('Footprint Summary'!O153:O175,'Footprint Summary'!$C153:$C175,'Footprint Summary'!$E153:$E175)/SUMPRODUCT('Footprint Summary'!$C153:$C175,'Footprint Summary'!$E153:$E175),"")</f>
        <v/>
      </c>
      <c r="O58" s="813" t="str">
        <f>IF($D$58="IGO",SUMPRODUCT('Footprint Summary'!P153:P175,'Footprint Summary'!$C153:$C175,'Footprint Summary'!$E153:$E175)/SUMPRODUCT('Footprint Summary'!$C153:$C175,'Footprint Summary'!$E153:$E175),"")</f>
        <v/>
      </c>
      <c r="P58" s="813" t="str">
        <f>IF($D$58="IGO",SUMPRODUCT('Footprint Summary'!Q153:Q175,'Footprint Summary'!$C153:$C175,'Footprint Summary'!$E153:$E175)/SUMPRODUCT('Footprint Summary'!$C153:$C175,'Footprint Summary'!$E153:$E175),"")</f>
        <v/>
      </c>
      <c r="Q58" s="809" t="str">
        <f>IF(D58="","",P58-F58)</f>
        <v/>
      </c>
      <c r="R58" s="815" t="s">
        <v>366</v>
      </c>
      <c r="S58" s="935">
        <f>-1*(1000*AL214*D6+AM214*D8)</f>
        <v>168585.97742618588</v>
      </c>
      <c r="T58" s="814" t="s">
        <v>367</v>
      </c>
      <c r="U58" s="934">
        <f>-1*S64</f>
        <v>0.70597371424537292</v>
      </c>
      <c r="V58" s="814" t="s">
        <v>368</v>
      </c>
      <c r="W58" s="934">
        <v>0.21</v>
      </c>
      <c r="X58" s="803"/>
      <c r="Y58" s="803"/>
      <c r="Z58" s="803"/>
    </row>
    <row r="59" spans="1:28" ht="24.75" customHeight="1">
      <c r="A59" s="805" t="s">
        <v>369</v>
      </c>
      <c r="C59" s="915">
        <v>2000</v>
      </c>
      <c r="D59" s="930" t="str">
        <f>IF(VLOOKUP($A$2,'Asset Attributes'!B3:G25,6,0)&gt;0.001,"IOM","")</f>
        <v>IOM</v>
      </c>
      <c r="E59" s="904" t="s">
        <v>12</v>
      </c>
      <c r="F59" s="813">
        <f>IF($D$59="IOM",(SUMPRODUCT('Footprint Summary'!G153:G175,'Footprint Summary'!$C153:$C175,'Footprint Summary'!$F153:$F175)/SUMPRODUCT('Footprint Summary'!$C153:$C175,'Footprint Summary'!$F153:$F175)),"")</f>
        <v>5.2362114353485207</v>
      </c>
      <c r="G59" s="813">
        <f>IF($D$59="IOM",(SUMPRODUCT('Footprint Summary'!H153:H175,'Footprint Summary'!$C153:$C175,'Footprint Summary'!$F153:$F175)/SUMPRODUCT('Footprint Summary'!$C153:$C175,'Footprint Summary'!$F153:$F175)),"")</f>
        <v>5.2411379167279479</v>
      </c>
      <c r="H59" s="813">
        <f>IF($D$59="IOM",(SUMPRODUCT('Footprint Summary'!I153:I175,'Footprint Summary'!$C153:$C175,'Footprint Summary'!$F153:$F175)/SUMPRODUCT('Footprint Summary'!$C153:$C175,'Footprint Summary'!$F153:$F175)),"")</f>
        <v>5.2496818726451897</v>
      </c>
      <c r="I59" s="813">
        <f>IF($D$59="IOM",(SUMPRODUCT('Footprint Summary'!J153:J175,'Footprint Summary'!$C153:$C175,'Footprint Summary'!$F153:$F175)/SUMPRODUCT('Footprint Summary'!$C153:$C175,'Footprint Summary'!$F153:$F175)),"")</f>
        <v>5.320108554869873</v>
      </c>
      <c r="J59" s="813">
        <f>IF($D$59="IOM",(SUMPRODUCT('Footprint Summary'!K153:K175,'Footprint Summary'!$C153:$C175,'Footprint Summary'!$F153:$F175)/SUMPRODUCT('Footprint Summary'!$C153:$C175,'Footprint Summary'!$F153:$F175)),"")</f>
        <v>5.3391845328632543</v>
      </c>
      <c r="K59" s="813">
        <f>IF($D$59="IOM",(SUMPRODUCT('Footprint Summary'!L153:L175,'Footprint Summary'!$C153:$C175,'Footprint Summary'!$F153:$F175)/SUMPRODUCT('Footprint Summary'!$C153:$C175,'Footprint Summary'!$F153:$F175)),"")</f>
        <v>5.3755072640861155</v>
      </c>
      <c r="L59" s="813">
        <f>IF($D$59="IOM",(SUMPRODUCT('Footprint Summary'!M153:M175,'Footprint Summary'!$C153:$C175,'Footprint Summary'!$F153:$F175)/SUMPRODUCT('Footprint Summary'!$C153:$C175,'Footprint Summary'!$F153:$F175)),"")</f>
        <v>5.390749690844074</v>
      </c>
      <c r="M59" s="813">
        <f>IF($D$59="IOM",(SUMPRODUCT('Footprint Summary'!N153:N175,'Footprint Summary'!$C153:$C175,'Footprint Summary'!$F153:$F175)/SUMPRODUCT('Footprint Summary'!$C153:$C175,'Footprint Summary'!$F153:$F175)),"")</f>
        <v>5.3929057608146413</v>
      </c>
      <c r="N59" s="813">
        <f>IF($D$59="IOM",(SUMPRODUCT('Footprint Summary'!O153:O175,'Footprint Summary'!$C153:$C175,'Footprint Summary'!$F153:$F175)/SUMPRODUCT('Footprint Summary'!$C153:$C175,'Footprint Summary'!$F153:$F175)),"")</f>
        <v>5.4401140698252073</v>
      </c>
      <c r="O59" s="813">
        <f>IF($D$59="IOM",(SUMPRODUCT('Footprint Summary'!P153:P175,'Footprint Summary'!$C153:$C175,'Footprint Summary'!$F153:$F175)/SUMPRODUCT('Footprint Summary'!$C153:$C175,'Footprint Summary'!$F153:$F175)),"")</f>
        <v>5.4606208482479177</v>
      </c>
      <c r="P59" s="813">
        <f>IF($D$59="IOM",(SUMPRODUCT('Footprint Summary'!Q153:Q175,'Footprint Summary'!$C153:$C175,'Footprint Summary'!$F153:$F175)/SUMPRODUCT('Footprint Summary'!$C153:$C175,'Footprint Summary'!$F153:$F175)),"")</f>
        <v>5.4929511999918361</v>
      </c>
      <c r="Q59" s="809">
        <f>IF(D59="","",P59-F59)</f>
        <v>0.25673976464331538</v>
      </c>
      <c r="R59" s="810" t="s">
        <v>370</v>
      </c>
      <c r="S59" s="936">
        <f>V115</f>
        <v>2.0635210033045203E-2</v>
      </c>
      <c r="T59" s="814" t="s">
        <v>371</v>
      </c>
      <c r="U59" s="938">
        <f>S116</f>
        <v>47573</v>
      </c>
      <c r="V59" s="817" t="s">
        <v>372</v>
      </c>
      <c r="W59" s="935">
        <f>T115</f>
        <v>173000</v>
      </c>
      <c r="X59" s="803"/>
      <c r="Y59" s="803"/>
      <c r="Z59" s="803"/>
    </row>
    <row r="60" spans="1:28" ht="24.75" customHeight="1">
      <c r="A60" s="805" t="s">
        <v>373</v>
      </c>
      <c r="C60" s="916">
        <v>25698</v>
      </c>
      <c r="D60" s="812"/>
      <c r="R60" s="810" t="s">
        <v>374</v>
      </c>
      <c r="S60" s="937">
        <f>U115</f>
        <v>0.68282543019581143</v>
      </c>
      <c r="V60" s="814" t="s">
        <v>375</v>
      </c>
      <c r="W60" s="938">
        <f>T116</f>
        <v>45747</v>
      </c>
      <c r="X60" s="803"/>
      <c r="Y60" s="803"/>
      <c r="Z60" s="803"/>
    </row>
    <row r="61" spans="1:28" ht="24.75" customHeight="1">
      <c r="A61" s="805" t="s">
        <v>376</v>
      </c>
      <c r="C61" s="916">
        <v>50.2</v>
      </c>
      <c r="D61" s="819"/>
      <c r="R61" s="815" t="s">
        <v>377</v>
      </c>
      <c r="S61" s="937">
        <f>P272</f>
        <v>5.7707175822301329</v>
      </c>
      <c r="V61" s="814" t="s">
        <v>378</v>
      </c>
      <c r="W61" s="934">
        <v>0</v>
      </c>
      <c r="X61" s="803"/>
      <c r="Y61" s="803"/>
      <c r="Z61" s="803"/>
    </row>
    <row r="62" spans="1:28" ht="24.75" customHeight="1">
      <c r="A62" s="805" t="s">
        <v>379</v>
      </c>
      <c r="C62" s="916">
        <v>1824.81</v>
      </c>
      <c r="D62" s="931">
        <f>C115/C62</f>
        <v>-0.4274417610600556</v>
      </c>
      <c r="H62" s="904"/>
      <c r="L62" s="820"/>
      <c r="R62" s="815" t="s">
        <v>380</v>
      </c>
      <c r="S62" s="937">
        <f>Q272</f>
        <v>5.7707175822301329</v>
      </c>
      <c r="T62" s="821" t="s">
        <v>381</v>
      </c>
      <c r="W62" s="803"/>
      <c r="X62" s="803"/>
      <c r="Y62" s="803"/>
      <c r="Z62" s="803"/>
    </row>
    <row r="63" spans="1:28" ht="24.75" customHeight="1">
      <c r="A63" s="805" t="s">
        <v>382</v>
      </c>
      <c r="C63" s="916">
        <v>1614.7909999999999</v>
      </c>
      <c r="D63" s="931"/>
      <c r="H63" s="904"/>
      <c r="R63" s="815" t="s">
        <v>383</v>
      </c>
      <c r="S63" s="936">
        <f>C115/C62</f>
        <v>-0.4274417610600556</v>
      </c>
      <c r="T63" s="821" t="s">
        <v>384</v>
      </c>
      <c r="W63" s="803"/>
      <c r="X63" s="803"/>
      <c r="Y63" s="803"/>
      <c r="Z63" s="803"/>
    </row>
    <row r="64" spans="1:28" ht="24.75" customHeight="1">
      <c r="A64" s="883" t="s">
        <v>385</v>
      </c>
      <c r="B64" s="884"/>
      <c r="C64" s="917">
        <v>64</v>
      </c>
      <c r="D64" s="932">
        <f>(AJ215-C64)/C64</f>
        <v>-0.33167372302652298</v>
      </c>
      <c r="H64" s="904"/>
      <c r="R64" s="815" t="s">
        <v>386</v>
      </c>
      <c r="S64" s="936">
        <f>D115/C63</f>
        <v>-0.70597371424537292</v>
      </c>
      <c r="W64" s="803"/>
      <c r="X64" s="803"/>
      <c r="Y64" s="803"/>
      <c r="Z64" s="803"/>
    </row>
    <row r="65" spans="1:26" ht="19.5" customHeight="1">
      <c r="B65" s="822" t="s">
        <v>387</v>
      </c>
      <c r="C65" s="823">
        <f>Z216</f>
        <v>5.1606552665612879</v>
      </c>
      <c r="D65" s="926" t="s">
        <v>388</v>
      </c>
      <c r="H65" s="904"/>
      <c r="W65" s="803"/>
      <c r="X65" s="803"/>
      <c r="Y65" s="803"/>
      <c r="Z65" s="803"/>
    </row>
    <row r="66" spans="1:26" ht="36" customHeight="1" thickBot="1">
      <c r="A66" s="766" t="s">
        <v>929</v>
      </c>
      <c r="B66" s="824"/>
      <c r="E66" s="824"/>
      <c r="G66" s="927">
        <v>45473</v>
      </c>
      <c r="H66" s="927">
        <f t="shared" ref="H66:Q66" si="15">DATE(YEAR(G66)+1,MONTH(G66),DAY(G66))</f>
        <v>45838</v>
      </c>
      <c r="I66" s="927">
        <f t="shared" si="15"/>
        <v>46203</v>
      </c>
      <c r="J66" s="927">
        <f t="shared" si="15"/>
        <v>46568</v>
      </c>
      <c r="K66" s="927">
        <f t="shared" si="15"/>
        <v>46934</v>
      </c>
      <c r="L66" s="927">
        <f t="shared" si="15"/>
        <v>47299</v>
      </c>
      <c r="M66" s="927">
        <f t="shared" si="15"/>
        <v>47664</v>
      </c>
      <c r="N66" s="927">
        <f t="shared" si="15"/>
        <v>48029</v>
      </c>
      <c r="O66" s="927">
        <f t="shared" si="15"/>
        <v>48395</v>
      </c>
      <c r="P66" s="927">
        <f t="shared" si="15"/>
        <v>48760</v>
      </c>
      <c r="Q66" s="927">
        <f t="shared" si="15"/>
        <v>49125</v>
      </c>
      <c r="R66" s="766" t="s">
        <v>390</v>
      </c>
      <c r="S66" s="825"/>
      <c r="W66" s="803"/>
      <c r="X66" s="803"/>
      <c r="Y66" s="803"/>
      <c r="Z66" s="803"/>
    </row>
    <row r="67" spans="1:26" s="807" customFormat="1" ht="43" thickTop="1" thickBot="1">
      <c r="A67" s="769" t="s">
        <v>391</v>
      </c>
      <c r="B67" s="769" t="s">
        <v>392</v>
      </c>
      <c r="C67" s="779" t="s">
        <v>393</v>
      </c>
      <c r="D67" s="779" t="s">
        <v>394</v>
      </c>
      <c r="E67" s="779" t="s">
        <v>395</v>
      </c>
      <c r="F67" s="779" t="s">
        <v>396</v>
      </c>
      <c r="G67" s="755" t="s">
        <v>189</v>
      </c>
      <c r="H67" s="755" t="s">
        <v>190</v>
      </c>
      <c r="I67" s="755" t="s">
        <v>191</v>
      </c>
      <c r="J67" s="755" t="s">
        <v>192</v>
      </c>
      <c r="K67" s="755" t="s">
        <v>193</v>
      </c>
      <c r="L67" s="755" t="s">
        <v>194</v>
      </c>
      <c r="M67" s="755" t="s">
        <v>195</v>
      </c>
      <c r="N67" s="755" t="s">
        <v>196</v>
      </c>
      <c r="O67" s="755" t="s">
        <v>197</v>
      </c>
      <c r="P67" s="755" t="s">
        <v>198</v>
      </c>
      <c r="Q67" s="755" t="s">
        <v>667</v>
      </c>
      <c r="R67" s="755" t="s">
        <v>397</v>
      </c>
      <c r="S67" s="755" t="s">
        <v>328</v>
      </c>
      <c r="T67" s="755" t="s">
        <v>398</v>
      </c>
      <c r="U67" s="755" t="s">
        <v>399</v>
      </c>
      <c r="V67" s="755" t="s">
        <v>370</v>
      </c>
      <c r="W67" s="755" t="s">
        <v>400</v>
      </c>
      <c r="X67" s="755" t="s">
        <v>401</v>
      </c>
      <c r="Y67" s="755" t="s">
        <v>402</v>
      </c>
      <c r="Z67" s="826"/>
    </row>
    <row r="68" spans="1:26" ht="15.5" hidden="1" thickTop="1">
      <c r="A68" s="824"/>
      <c r="B68" s="824"/>
      <c r="C68" s="824"/>
      <c r="D68" s="824"/>
      <c r="E68" s="824"/>
      <c r="P68" s="827"/>
      <c r="Q68" s="827"/>
      <c r="S68" s="827"/>
      <c r="W68" s="803"/>
      <c r="X68" s="803"/>
      <c r="Y68" s="803"/>
      <c r="Z68" s="814"/>
    </row>
    <row r="69" spans="1:26" ht="21.75" customHeight="1" thickTop="1">
      <c r="A69" s="885" t="s">
        <v>403</v>
      </c>
      <c r="B69" s="910" t="s">
        <v>404</v>
      </c>
      <c r="C69" s="911">
        <f>'Asset Roadmap'!C7</f>
        <v>-20</v>
      </c>
      <c r="D69" s="911">
        <f>'Asset Roadmap'!D7</f>
        <v>0</v>
      </c>
      <c r="E69" s="886">
        <f>IFERROR('Asset Roadmap'!M7,"")</f>
        <v>45382</v>
      </c>
      <c r="F69" s="887">
        <f>'Asset Roadmap'!E7</f>
        <v>143895</v>
      </c>
      <c r="G69" s="888">
        <f>IF($E69&lt;G$66,$F69-$V8+1,0)</f>
        <v>143896</v>
      </c>
      <c r="H69" s="888">
        <f>IF($E69&gt;H$66,0,IF($E69&gt;H$66-365,$F69-$W69+0.000001,0))</f>
        <v>0</v>
      </c>
      <c r="I69" s="888">
        <f t="shared" ref="I69:P69" si="16">IF($E69&gt;I$66,0,IF($E69&gt;I$66-365,$F69-$W69+1,0))</f>
        <v>0</v>
      </c>
      <c r="J69" s="888">
        <f t="shared" si="16"/>
        <v>0</v>
      </c>
      <c r="K69" s="888">
        <f t="shared" si="16"/>
        <v>0</v>
      </c>
      <c r="L69" s="888">
        <f t="shared" si="16"/>
        <v>0</v>
      </c>
      <c r="M69" s="888">
        <f t="shared" si="16"/>
        <v>0</v>
      </c>
      <c r="N69" s="888">
        <f t="shared" si="16"/>
        <v>0</v>
      </c>
      <c r="O69" s="888">
        <f t="shared" si="16"/>
        <v>0</v>
      </c>
      <c r="P69" s="888">
        <f t="shared" si="16"/>
        <v>0</v>
      </c>
      <c r="Q69" s="888">
        <f t="shared" ref="Q69:Q88" si="17">IF($E69&gt;Q$66,0,IF($E69&gt;Q$66-365,$F69,0))</f>
        <v>0</v>
      </c>
      <c r="R69" s="889" t="str">
        <f>IF(C69&lt;0,"Yes",IF(D69&gt;0,"","Yes"))</f>
        <v>Yes</v>
      </c>
      <c r="S69" s="918" t="str">
        <f t="shared" ref="S69:S114" si="18">IF(D69&lt;0,"Yes","")</f>
        <v/>
      </c>
      <c r="T69" s="914" t="str">
        <f t="shared" ref="T69:T87" si="19">IF(ISNUMBER(SEARCH("metering",B69)),"Yes","")</f>
        <v/>
      </c>
      <c r="U69" s="890">
        <f>IF(-0.75*((C69/(VLOOKUP($A$2,Assumptions!$B$124:$G$147,2,0)))+D69/(VLOOKUP($A$2,Assumptions!$B$124:$G$147,5,0)))=0,"",-0.75*((C69/(VLOOKUP($A$2,Assumptions!$B$124:$G$147,2,0)))+D69/(VLOOKUP($A$2,Assumptions!$B$124:$G$147,5,0))))</f>
        <v>1.3032145960034753E-2</v>
      </c>
      <c r="V69" s="816">
        <f t="shared" ref="V69:V88" si="20">IF(ISERROR(((-1*C69*1000*$D$6)+(-1*D69*$D$8))/F69),"",((-1*C69*1000*$D$6)+(-1*D69*$D$8))/F69)</f>
        <v>3.411018725657268E-2</v>
      </c>
      <c r="W69" s="919"/>
      <c r="X69" s="919"/>
      <c r="Y69" s="919"/>
      <c r="Z69" s="814"/>
    </row>
    <row r="70" spans="1:26" ht="21.75" customHeight="1">
      <c r="A70" s="885" t="s">
        <v>405</v>
      </c>
      <c r="B70" s="910" t="s">
        <v>406</v>
      </c>
      <c r="C70" s="911">
        <f>'Asset Roadmap'!C8</f>
        <v>0</v>
      </c>
      <c r="D70" s="911">
        <f>'Asset Roadmap'!D8</f>
        <v>0</v>
      </c>
      <c r="E70" s="886">
        <f>IFERROR('Asset Roadmap'!M8,"")</f>
        <v>45382</v>
      </c>
      <c r="F70" s="887">
        <f>'Asset Roadmap'!E8</f>
        <v>30000</v>
      </c>
      <c r="G70" s="888">
        <f t="shared" ref="G70:G88" si="21">IF($E70&lt;G$66,$F70,0)</f>
        <v>30000</v>
      </c>
      <c r="H70" s="888">
        <f t="shared" ref="H70:P79" si="22">IF($E70&gt;H$66,0,IF($E70&gt;H$66-365,$F70,0))</f>
        <v>0</v>
      </c>
      <c r="I70" s="888">
        <f t="shared" si="22"/>
        <v>0</v>
      </c>
      <c r="J70" s="888">
        <f t="shared" si="22"/>
        <v>0</v>
      </c>
      <c r="K70" s="888">
        <f t="shared" si="22"/>
        <v>0</v>
      </c>
      <c r="L70" s="888">
        <f t="shared" si="22"/>
        <v>0</v>
      </c>
      <c r="M70" s="888">
        <f t="shared" si="22"/>
        <v>0</v>
      </c>
      <c r="N70" s="888">
        <f t="shared" si="22"/>
        <v>0</v>
      </c>
      <c r="O70" s="888">
        <f t="shared" si="22"/>
        <v>0</v>
      </c>
      <c r="P70" s="888">
        <f t="shared" si="22"/>
        <v>0</v>
      </c>
      <c r="Q70" s="888">
        <f t="shared" si="17"/>
        <v>0</v>
      </c>
      <c r="R70" s="889" t="str">
        <f>IF(C70&lt;-0.1,"Yes",IF(D7&lt;-0.1,"Yes",""))</f>
        <v/>
      </c>
      <c r="S70" s="918" t="str">
        <f t="shared" si="18"/>
        <v/>
      </c>
      <c r="T70" s="914" t="str">
        <f t="shared" si="19"/>
        <v>Yes</v>
      </c>
      <c r="U70" s="890" t="str">
        <f>IF(-0.75*((C70/(VLOOKUP($A$2,Assumptions!$B$124:$G$147,2,0)))+D70/(VLOOKUP($A$2,Assumptions!$B$124:$G$147,5,0)))=0,"",-0.75*((C70/(VLOOKUP($A$2,Assumptions!$B$124:$G$147,2,0)))+D70/(VLOOKUP($A$2,Assumptions!$B$124:$G$147,5,0))))</f>
        <v/>
      </c>
      <c r="V70" s="816">
        <f t="shared" si="20"/>
        <v>0</v>
      </c>
      <c r="W70" s="919"/>
      <c r="X70" s="919"/>
      <c r="Y70" s="919" t="s">
        <v>32</v>
      </c>
    </row>
    <row r="71" spans="1:26" ht="31.5" customHeight="1">
      <c r="A71" s="885" t="s">
        <v>407</v>
      </c>
      <c r="B71" s="910" t="s">
        <v>408</v>
      </c>
      <c r="C71" s="911">
        <f>'Asset Roadmap'!C9</f>
        <v>-100</v>
      </c>
      <c r="D71" s="911">
        <f>'Asset Roadmap'!D9</f>
        <v>0</v>
      </c>
      <c r="E71" s="886">
        <f>IFERROR('Asset Roadmap'!M9,"")</f>
        <v>45747</v>
      </c>
      <c r="F71" s="887">
        <f>'Asset Roadmap'!E9</f>
        <v>143000</v>
      </c>
      <c r="G71" s="888">
        <f t="shared" si="21"/>
        <v>0</v>
      </c>
      <c r="H71" s="888">
        <f t="shared" si="22"/>
        <v>143000</v>
      </c>
      <c r="I71" s="888">
        <f t="shared" si="22"/>
        <v>0</v>
      </c>
      <c r="J71" s="888">
        <f t="shared" si="22"/>
        <v>0</v>
      </c>
      <c r="K71" s="888">
        <f t="shared" si="22"/>
        <v>0</v>
      </c>
      <c r="L71" s="888">
        <f t="shared" si="22"/>
        <v>0</v>
      </c>
      <c r="M71" s="888">
        <f t="shared" si="22"/>
        <v>0</v>
      </c>
      <c r="N71" s="888">
        <f t="shared" si="22"/>
        <v>0</v>
      </c>
      <c r="O71" s="888">
        <f t="shared" si="22"/>
        <v>0</v>
      </c>
      <c r="P71" s="888">
        <f t="shared" si="22"/>
        <v>0</v>
      </c>
      <c r="Q71" s="888">
        <f t="shared" si="17"/>
        <v>0</v>
      </c>
      <c r="R71" s="889" t="str">
        <f>IF(C71&lt;0,"Yes",IF(D71&lt;0,"","Yes"))</f>
        <v>Yes</v>
      </c>
      <c r="S71" s="918" t="str">
        <f t="shared" si="18"/>
        <v/>
      </c>
      <c r="T71" s="914" t="str">
        <f t="shared" si="19"/>
        <v>Yes</v>
      </c>
      <c r="U71" s="890">
        <f>IF(-0.75*((C71/(VLOOKUP($A$2,Assumptions!$B$124:$G$147,2,0)))+D71/(VLOOKUP($A$2,Assumptions!$B$124:$G$147,5,0)))=0,"",-0.75*((C71/(VLOOKUP($A$2,Assumptions!$B$124:$G$147,2,0)))+D71/(VLOOKUP($A$2,Assumptions!$B$124:$G$147,5,0))))</f>
        <v>6.5160729800173761E-2</v>
      </c>
      <c r="V71" s="816">
        <f t="shared" si="20"/>
        <v>0.17161837046449391</v>
      </c>
      <c r="W71" s="919"/>
      <c r="X71" s="919"/>
      <c r="Y71" s="919" t="s">
        <v>32</v>
      </c>
      <c r="Z71" s="759"/>
    </row>
    <row r="72" spans="1:26" ht="21.75" customHeight="1">
      <c r="A72" s="885" t="s">
        <v>409</v>
      </c>
      <c r="B72" s="910" t="s">
        <v>410</v>
      </c>
      <c r="C72" s="911">
        <f>'Asset Roadmap'!C10</f>
        <v>-240</v>
      </c>
      <c r="D72" s="911">
        <f>'Asset Roadmap'!D10</f>
        <v>0</v>
      </c>
      <c r="E72" s="886">
        <f>IFERROR('Asset Roadmap'!M10,"")</f>
        <v>45747</v>
      </c>
      <c r="F72" s="887">
        <f>'Asset Roadmap'!E10</f>
        <v>81100</v>
      </c>
      <c r="G72" s="888">
        <f t="shared" si="21"/>
        <v>0</v>
      </c>
      <c r="H72" s="888">
        <f t="shared" si="22"/>
        <v>81100</v>
      </c>
      <c r="I72" s="888">
        <f t="shared" si="22"/>
        <v>0</v>
      </c>
      <c r="J72" s="888">
        <f t="shared" si="22"/>
        <v>0</v>
      </c>
      <c r="K72" s="888">
        <f t="shared" si="22"/>
        <v>0</v>
      </c>
      <c r="L72" s="888">
        <f t="shared" si="22"/>
        <v>0</v>
      </c>
      <c r="M72" s="888">
        <f t="shared" si="22"/>
        <v>0</v>
      </c>
      <c r="N72" s="888">
        <f t="shared" si="22"/>
        <v>0</v>
      </c>
      <c r="O72" s="888">
        <f t="shared" si="22"/>
        <v>0</v>
      </c>
      <c r="P72" s="888">
        <f t="shared" si="22"/>
        <v>0</v>
      </c>
      <c r="Q72" s="888">
        <f t="shared" si="17"/>
        <v>0</v>
      </c>
      <c r="R72" s="889" t="str">
        <f>IF(C72&lt;0,"Yes",IF(D72&lt;0,"","Yes"))</f>
        <v>Yes</v>
      </c>
      <c r="S72" s="918" t="str">
        <f t="shared" si="18"/>
        <v/>
      </c>
      <c r="T72" s="914" t="str">
        <f t="shared" si="19"/>
        <v/>
      </c>
      <c r="U72" s="890">
        <f>IF(-0.75*((C72/(VLOOKUP($A$2,Assumptions!$B$124:$G$147,2,0)))+D72/(VLOOKUP($A$2,Assumptions!$B$124:$G$147,5,0)))=0,"",-0.75*((C72/(VLOOKUP($A$2,Assumptions!$B$124:$G$147,2,0)))+D72/(VLOOKUP($A$2,Assumptions!$B$124:$G$147,5,0))))</f>
        <v>0.156385751520417</v>
      </c>
      <c r="V72" s="816">
        <f t="shared" si="20"/>
        <v>0.72625677858710613</v>
      </c>
      <c r="W72" s="919"/>
      <c r="X72" s="919" t="s">
        <v>32</v>
      </c>
      <c r="Y72" s="919"/>
      <c r="Z72" s="803"/>
    </row>
    <row r="73" spans="1:26" ht="34.5" customHeight="1">
      <c r="A73" s="885" t="s">
        <v>409</v>
      </c>
      <c r="B73" s="910" t="s">
        <v>411</v>
      </c>
      <c r="C73" s="911">
        <f>'Asset Roadmap'!C11</f>
        <v>-80</v>
      </c>
      <c r="D73" s="911">
        <f>'Asset Roadmap'!D11</f>
        <v>0</v>
      </c>
      <c r="E73" s="886">
        <f>IFERROR('Asset Roadmap'!M11,"")</f>
        <v>45747</v>
      </c>
      <c r="F73" s="887">
        <f>'Asset Roadmap'!E11</f>
        <v>168800</v>
      </c>
      <c r="G73" s="888">
        <f t="shared" si="21"/>
        <v>0</v>
      </c>
      <c r="H73" s="888">
        <f t="shared" si="22"/>
        <v>168800</v>
      </c>
      <c r="I73" s="888">
        <f t="shared" si="22"/>
        <v>0</v>
      </c>
      <c r="J73" s="888">
        <f t="shared" si="22"/>
        <v>0</v>
      </c>
      <c r="K73" s="888">
        <f t="shared" si="22"/>
        <v>0</v>
      </c>
      <c r="L73" s="888">
        <f t="shared" si="22"/>
        <v>0</v>
      </c>
      <c r="M73" s="888">
        <f t="shared" si="22"/>
        <v>0</v>
      </c>
      <c r="N73" s="888">
        <f t="shared" si="22"/>
        <v>0</v>
      </c>
      <c r="O73" s="888">
        <f t="shared" si="22"/>
        <v>0</v>
      </c>
      <c r="P73" s="888">
        <f t="shared" si="22"/>
        <v>0</v>
      </c>
      <c r="Q73" s="888">
        <f t="shared" si="17"/>
        <v>0</v>
      </c>
      <c r="R73" s="889" t="str">
        <f>IF(C73&lt;0,"Yes",IF(D73&lt;0,"","Yes"))</f>
        <v>Yes</v>
      </c>
      <c r="S73" s="918" t="str">
        <f t="shared" si="18"/>
        <v/>
      </c>
      <c r="T73" s="914" t="str">
        <f t="shared" si="19"/>
        <v/>
      </c>
      <c r="U73" s="890">
        <f>IF(-0.75*((C73/(VLOOKUP($A$2,Assumptions!$B$124:$G$147,2,0)))+D73/(VLOOKUP($A$2,Assumptions!$B$124:$G$147,5,0)))=0,"",-0.75*((C73/(VLOOKUP($A$2,Assumptions!$B$124:$G$147,2,0)))+D73/(VLOOKUP($A$2,Assumptions!$B$124:$G$147,5,0))))</f>
        <v>5.2128583840139013E-2</v>
      </c>
      <c r="V73" s="816">
        <f t="shared" si="20"/>
        <v>0.11631008045697927</v>
      </c>
      <c r="W73" s="919"/>
      <c r="X73" s="919" t="s">
        <v>32</v>
      </c>
      <c r="Y73" s="919"/>
      <c r="Z73" s="803"/>
    </row>
    <row r="74" spans="1:26" ht="21.75" customHeight="1">
      <c r="A74" s="885" t="s">
        <v>409</v>
      </c>
      <c r="B74" s="910" t="s">
        <v>412</v>
      </c>
      <c r="C74" s="911">
        <f>'Asset Roadmap'!C12</f>
        <v>0</v>
      </c>
      <c r="D74" s="911">
        <f>'Asset Roadmap'!D12</f>
        <v>0</v>
      </c>
      <c r="E74" s="886">
        <f>IFERROR('Asset Roadmap'!M12,"")</f>
        <v>45747</v>
      </c>
      <c r="F74" s="887">
        <f>'Asset Roadmap'!E12</f>
        <v>56300</v>
      </c>
      <c r="G74" s="888">
        <f t="shared" si="21"/>
        <v>0</v>
      </c>
      <c r="H74" s="888">
        <f t="shared" si="22"/>
        <v>56300</v>
      </c>
      <c r="I74" s="888">
        <f t="shared" si="22"/>
        <v>0</v>
      </c>
      <c r="J74" s="888">
        <f t="shared" si="22"/>
        <v>0</v>
      </c>
      <c r="K74" s="888">
        <f t="shared" si="22"/>
        <v>0</v>
      </c>
      <c r="L74" s="888">
        <f t="shared" si="22"/>
        <v>0</v>
      </c>
      <c r="M74" s="888">
        <f t="shared" si="22"/>
        <v>0</v>
      </c>
      <c r="N74" s="888">
        <f t="shared" si="22"/>
        <v>0</v>
      </c>
      <c r="O74" s="888">
        <f t="shared" si="22"/>
        <v>0</v>
      </c>
      <c r="P74" s="888">
        <f t="shared" si="22"/>
        <v>0</v>
      </c>
      <c r="Q74" s="888">
        <f t="shared" si="17"/>
        <v>0</v>
      </c>
      <c r="R74" s="889" t="str">
        <f>IF(C74&lt;0,"Yes",IF(D74&lt;0,"","Yes"))</f>
        <v>Yes</v>
      </c>
      <c r="S74" s="918" t="str">
        <f t="shared" si="18"/>
        <v/>
      </c>
      <c r="T74" s="914" t="str">
        <f t="shared" si="19"/>
        <v/>
      </c>
      <c r="U74" s="890" t="str">
        <f>IF(-0.75*((C74/(VLOOKUP($A$2,Assumptions!$B$124:$G$147,2,0)))+D74/(VLOOKUP($A$2,Assumptions!$B$124:$G$147,5,0)))=0,"",-0.75*((C74/(VLOOKUP($A$2,Assumptions!$B$124:$G$147,2,0)))+D74/(VLOOKUP($A$2,Assumptions!$B$124:$G$147,5,0))))</f>
        <v/>
      </c>
      <c r="V74" s="816">
        <f t="shared" si="20"/>
        <v>0</v>
      </c>
      <c r="W74" s="919"/>
      <c r="X74" s="919" t="s">
        <v>32</v>
      </c>
      <c r="Y74" s="919"/>
      <c r="Z74" s="803"/>
    </row>
    <row r="75" spans="1:26" ht="30.75" customHeight="1">
      <c r="A75" s="885" t="s">
        <v>409</v>
      </c>
      <c r="B75" s="910" t="s">
        <v>413</v>
      </c>
      <c r="C75" s="911">
        <f>'Asset Roadmap'!C13</f>
        <v>-120</v>
      </c>
      <c r="D75" s="911">
        <f>'Asset Roadmap'!D13</f>
        <v>0</v>
      </c>
      <c r="E75" s="886">
        <f>IFERROR('Asset Roadmap'!M13,"")</f>
        <v>45747</v>
      </c>
      <c r="F75" s="887">
        <f>'Asset Roadmap'!E13</f>
        <v>1897200</v>
      </c>
      <c r="G75" s="888">
        <f t="shared" si="21"/>
        <v>0</v>
      </c>
      <c r="H75" s="888">
        <f t="shared" si="22"/>
        <v>1897200</v>
      </c>
      <c r="I75" s="888">
        <f t="shared" si="22"/>
        <v>0</v>
      </c>
      <c r="J75" s="888">
        <f t="shared" si="22"/>
        <v>0</v>
      </c>
      <c r="K75" s="888">
        <f t="shared" si="22"/>
        <v>0</v>
      </c>
      <c r="L75" s="888">
        <f t="shared" si="22"/>
        <v>0</v>
      </c>
      <c r="M75" s="888">
        <f t="shared" si="22"/>
        <v>0</v>
      </c>
      <c r="N75" s="888">
        <f t="shared" si="22"/>
        <v>0</v>
      </c>
      <c r="O75" s="888">
        <f t="shared" si="22"/>
        <v>0</v>
      </c>
      <c r="P75" s="888">
        <f t="shared" si="22"/>
        <v>0</v>
      </c>
      <c r="Q75" s="888">
        <f t="shared" si="17"/>
        <v>0</v>
      </c>
      <c r="R75" s="889" t="str">
        <f>IF(C75&lt;0,"Yes",IF(D75&lt;0,"","Yes"))</f>
        <v>Yes</v>
      </c>
      <c r="S75" s="918" t="str">
        <f t="shared" si="18"/>
        <v/>
      </c>
      <c r="T75" s="914" t="str">
        <f t="shared" si="19"/>
        <v/>
      </c>
      <c r="U75" s="890">
        <f>IF(-0.75*((C75/(VLOOKUP($A$2,Assumptions!$B$124:$G$147,2,0)))+D75/(VLOOKUP($A$2,Assumptions!$B$124:$G$147,5,0)))=0,"",-0.75*((C75/(VLOOKUP($A$2,Assumptions!$B$124:$G$147,2,0)))+D75/(VLOOKUP($A$2,Assumptions!$B$124:$G$147,5,0))))</f>
        <v>7.8192875760208502E-2</v>
      </c>
      <c r="V75" s="816">
        <f t="shared" si="20"/>
        <v>1.5522724210260993E-2</v>
      </c>
      <c r="W75" s="919"/>
      <c r="X75" s="919" t="s">
        <v>32</v>
      </c>
      <c r="Y75" s="919"/>
      <c r="Z75" s="803"/>
    </row>
    <row r="76" spans="1:26" ht="30.75" customHeight="1">
      <c r="A76" s="885" t="s">
        <v>414</v>
      </c>
      <c r="B76" s="910" t="s">
        <v>415</v>
      </c>
      <c r="C76" s="911">
        <f>'Asset Roadmap'!C14</f>
        <v>40</v>
      </c>
      <c r="D76" s="911">
        <f>'Asset Roadmap'!D14</f>
        <v>-450</v>
      </c>
      <c r="E76" s="886">
        <f>IFERROR('Asset Roadmap'!M14,"")</f>
        <v>46112</v>
      </c>
      <c r="F76" s="887">
        <f>'Asset Roadmap'!E14</f>
        <v>675400</v>
      </c>
      <c r="G76" s="888">
        <f t="shared" si="21"/>
        <v>0</v>
      </c>
      <c r="H76" s="888">
        <f t="shared" si="22"/>
        <v>0</v>
      </c>
      <c r="I76" s="888">
        <f t="shared" si="22"/>
        <v>675400</v>
      </c>
      <c r="J76" s="888">
        <f t="shared" si="22"/>
        <v>0</v>
      </c>
      <c r="K76" s="888">
        <f t="shared" si="22"/>
        <v>0</v>
      </c>
      <c r="L76" s="888">
        <f t="shared" si="22"/>
        <v>0</v>
      </c>
      <c r="M76" s="888">
        <f t="shared" si="22"/>
        <v>0</v>
      </c>
      <c r="N76" s="888">
        <f t="shared" si="22"/>
        <v>0</v>
      </c>
      <c r="O76" s="888">
        <f t="shared" si="22"/>
        <v>0</v>
      </c>
      <c r="P76" s="888">
        <f t="shared" si="22"/>
        <v>0</v>
      </c>
      <c r="Q76" s="888">
        <f t="shared" si="17"/>
        <v>0</v>
      </c>
      <c r="R76" s="889" t="str">
        <f t="shared" ref="R76:R88" si="23">IF(C76&lt;-0.1,"Yes",IF(D13&lt;-0.1,"Yes",""))</f>
        <v/>
      </c>
      <c r="S76" s="918" t="str">
        <f t="shared" si="18"/>
        <v>Yes</v>
      </c>
      <c r="T76" s="914" t="str">
        <f t="shared" si="19"/>
        <v/>
      </c>
      <c r="U76" s="890">
        <f>IF(-0.75*((C76/(VLOOKUP($A$2,Assumptions!$B$124:$G$147,2,0)))+D76/(VLOOKUP($A$2,Assumptions!$B$124:$G$147,5,0)))=0,"",-0.75*((C76/(VLOOKUP($A$2,Assumptions!$B$124:$G$147,2,0)))+D76/(VLOOKUP($A$2,Assumptions!$B$124:$G$147,5,0))))</f>
        <v>4.2845604561952674E-2</v>
      </c>
      <c r="V76" s="816">
        <f t="shared" si="20"/>
        <v>4.9616953010553685E-3</v>
      </c>
      <c r="W76" s="919"/>
      <c r="X76" s="919" t="s">
        <v>32</v>
      </c>
      <c r="Y76" s="919"/>
      <c r="Z76" s="891"/>
    </row>
    <row r="77" spans="1:26" ht="21.75" customHeight="1">
      <c r="A77" s="885" t="s">
        <v>416</v>
      </c>
      <c r="B77" s="910" t="s">
        <v>417</v>
      </c>
      <c r="C77" s="911">
        <f>'Asset Roadmap'!C15</f>
        <v>-15</v>
      </c>
      <c r="D77" s="911">
        <f>'Asset Roadmap'!D15</f>
        <v>0</v>
      </c>
      <c r="E77" s="886">
        <f>IFERROR('Asset Roadmap'!M15,"")</f>
        <v>46112</v>
      </c>
      <c r="F77" s="887">
        <f>'Asset Roadmap'!E15</f>
        <v>168900</v>
      </c>
      <c r="G77" s="888">
        <f t="shared" si="21"/>
        <v>0</v>
      </c>
      <c r="H77" s="888">
        <f t="shared" si="22"/>
        <v>0</v>
      </c>
      <c r="I77" s="888">
        <f t="shared" si="22"/>
        <v>168900</v>
      </c>
      <c r="J77" s="888">
        <f t="shared" si="22"/>
        <v>0</v>
      </c>
      <c r="K77" s="888">
        <f t="shared" si="22"/>
        <v>0</v>
      </c>
      <c r="L77" s="888">
        <f t="shared" si="22"/>
        <v>0</v>
      </c>
      <c r="M77" s="888">
        <f t="shared" si="22"/>
        <v>0</v>
      </c>
      <c r="N77" s="888">
        <f t="shared" si="22"/>
        <v>0</v>
      </c>
      <c r="O77" s="888">
        <f t="shared" si="22"/>
        <v>0</v>
      </c>
      <c r="P77" s="888">
        <f t="shared" si="22"/>
        <v>0</v>
      </c>
      <c r="Q77" s="888">
        <f t="shared" si="17"/>
        <v>0</v>
      </c>
      <c r="R77" s="889" t="str">
        <f t="shared" si="23"/>
        <v>Yes</v>
      </c>
      <c r="S77" s="918" t="str">
        <f t="shared" si="18"/>
        <v/>
      </c>
      <c r="T77" s="914" t="str">
        <f t="shared" si="19"/>
        <v/>
      </c>
      <c r="U77" s="890">
        <f>IF(-0.75*((C77/(VLOOKUP($A$2,Assumptions!$B$124:$G$147,2,0)))+D77/(VLOOKUP($A$2,Assumptions!$B$124:$G$147,5,0)))=0,"",-0.75*((C77/(VLOOKUP($A$2,Assumptions!$B$124:$G$147,2,0)))+D77/(VLOOKUP($A$2,Assumptions!$B$124:$G$147,5,0))))</f>
        <v>9.7741094700260628E-3</v>
      </c>
      <c r="V77" s="816">
        <f t="shared" si="20"/>
        <v>2.1795228220624005E-2</v>
      </c>
      <c r="W77" s="919"/>
      <c r="X77" s="919" t="s">
        <v>32</v>
      </c>
      <c r="Y77" s="919"/>
      <c r="Z77" s="803"/>
    </row>
    <row r="78" spans="1:26" ht="21.75" customHeight="1">
      <c r="A78" s="885" t="s">
        <v>418</v>
      </c>
      <c r="B78" s="910" t="s">
        <v>419</v>
      </c>
      <c r="C78" s="911">
        <f>'Asset Roadmap'!C16</f>
        <v>-10</v>
      </c>
      <c r="D78" s="911">
        <f>'Asset Roadmap'!D16</f>
        <v>0</v>
      </c>
      <c r="E78" s="886">
        <f>IFERROR('Asset Roadmap'!M16,"")</f>
        <v>46112</v>
      </c>
      <c r="F78" s="887">
        <f>'Asset Roadmap'!E16</f>
        <v>50700</v>
      </c>
      <c r="G78" s="888">
        <f t="shared" si="21"/>
        <v>0</v>
      </c>
      <c r="H78" s="888">
        <f t="shared" si="22"/>
        <v>0</v>
      </c>
      <c r="I78" s="888">
        <f t="shared" si="22"/>
        <v>50700</v>
      </c>
      <c r="J78" s="888">
        <f t="shared" si="22"/>
        <v>0</v>
      </c>
      <c r="K78" s="888">
        <f t="shared" si="22"/>
        <v>0</v>
      </c>
      <c r="L78" s="888">
        <f t="shared" si="22"/>
        <v>0</v>
      </c>
      <c r="M78" s="888">
        <f t="shared" si="22"/>
        <v>0</v>
      </c>
      <c r="N78" s="888">
        <f t="shared" si="22"/>
        <v>0</v>
      </c>
      <c r="O78" s="888">
        <f t="shared" si="22"/>
        <v>0</v>
      </c>
      <c r="P78" s="888">
        <f t="shared" si="22"/>
        <v>0</v>
      </c>
      <c r="Q78" s="888">
        <f t="shared" si="17"/>
        <v>0</v>
      </c>
      <c r="R78" s="889" t="str">
        <f t="shared" si="23"/>
        <v>Yes</v>
      </c>
      <c r="S78" s="918" t="str">
        <f t="shared" si="18"/>
        <v/>
      </c>
      <c r="T78" s="914" t="str">
        <f t="shared" si="19"/>
        <v/>
      </c>
      <c r="U78" s="890">
        <f>IF(-0.75*((C78/(VLOOKUP($A$2,Assumptions!$B$124:$G$147,2,0)))+D78/(VLOOKUP($A$2,Assumptions!$B$124:$G$147,5,0)))=0,"",-0.75*((C78/(VLOOKUP($A$2,Assumptions!$B$124:$G$147,2,0)))+D78/(VLOOKUP($A$2,Assumptions!$B$124:$G$147,5,0))))</f>
        <v>6.5160729800173766E-3</v>
      </c>
      <c r="V78" s="816">
        <f t="shared" si="20"/>
        <v>4.8405181413062381E-2</v>
      </c>
      <c r="W78" s="919"/>
      <c r="X78" s="919" t="s">
        <v>32</v>
      </c>
      <c r="Y78" s="919"/>
      <c r="Z78" s="803"/>
    </row>
    <row r="79" spans="1:26" ht="30.75" customHeight="1">
      <c r="A79" s="885" t="s">
        <v>418</v>
      </c>
      <c r="B79" s="910" t="s">
        <v>420</v>
      </c>
      <c r="C79" s="911">
        <f>'Asset Roadmap'!C17</f>
        <v>-15</v>
      </c>
      <c r="D79" s="911">
        <f>'Asset Roadmap'!D17</f>
        <v>0</v>
      </c>
      <c r="E79" s="886">
        <f>IFERROR('Asset Roadmap'!M17,"")</f>
        <v>46112</v>
      </c>
      <c r="F79" s="887">
        <f>'Asset Roadmap'!E17</f>
        <v>84400</v>
      </c>
      <c r="G79" s="888">
        <f t="shared" si="21"/>
        <v>0</v>
      </c>
      <c r="H79" s="888">
        <f t="shared" si="22"/>
        <v>0</v>
      </c>
      <c r="I79" s="888">
        <f t="shared" si="22"/>
        <v>84400</v>
      </c>
      <c r="J79" s="888">
        <f t="shared" si="22"/>
        <v>0</v>
      </c>
      <c r="K79" s="888">
        <f t="shared" si="22"/>
        <v>0</v>
      </c>
      <c r="L79" s="888">
        <f t="shared" si="22"/>
        <v>0</v>
      </c>
      <c r="M79" s="888">
        <f t="shared" si="22"/>
        <v>0</v>
      </c>
      <c r="N79" s="888">
        <f t="shared" si="22"/>
        <v>0</v>
      </c>
      <c r="O79" s="888">
        <f t="shared" si="22"/>
        <v>0</v>
      </c>
      <c r="P79" s="888">
        <f t="shared" si="22"/>
        <v>0</v>
      </c>
      <c r="Q79" s="888">
        <f t="shared" si="17"/>
        <v>0</v>
      </c>
      <c r="R79" s="889" t="str">
        <f t="shared" si="23"/>
        <v>Yes</v>
      </c>
      <c r="S79" s="918" t="str">
        <f t="shared" si="18"/>
        <v/>
      </c>
      <c r="T79" s="914" t="str">
        <f t="shared" si="19"/>
        <v/>
      </c>
      <c r="U79" s="890">
        <f>IF(-0.75*((C79/(VLOOKUP($A$2,Assumptions!$B$124:$G$147,2,0)))+D79/(VLOOKUP($A$2,Assumptions!$B$124:$G$147,5,0)))=0,"",-0.75*((C79/(VLOOKUP($A$2,Assumptions!$B$124:$G$147,2,0)))+D79/(VLOOKUP($A$2,Assumptions!$B$124:$G$147,5,0))))</f>
        <v>9.7741094700260628E-3</v>
      </c>
      <c r="V79" s="816">
        <f t="shared" si="20"/>
        <v>4.3616280171367233E-2</v>
      </c>
      <c r="W79" s="919"/>
      <c r="X79" s="919" t="s">
        <v>32</v>
      </c>
      <c r="Y79" s="919"/>
      <c r="Z79" s="803"/>
    </row>
    <row r="80" spans="1:26" ht="30.75" customHeight="1">
      <c r="A80" s="885" t="s">
        <v>418</v>
      </c>
      <c r="B80" s="910" t="s">
        <v>421</v>
      </c>
      <c r="C80" s="911">
        <f>'Asset Roadmap'!C18</f>
        <v>-40</v>
      </c>
      <c r="D80" s="911">
        <f>'Asset Roadmap'!D18</f>
        <v>0</v>
      </c>
      <c r="E80" s="886">
        <f>IFERROR('Asset Roadmap'!M18,"")</f>
        <v>46112</v>
      </c>
      <c r="F80" s="887">
        <f>'Asset Roadmap'!E18</f>
        <v>84400</v>
      </c>
      <c r="G80" s="888">
        <f t="shared" si="21"/>
        <v>0</v>
      </c>
      <c r="H80" s="888">
        <f t="shared" ref="H80:P88" si="24">IF($E80&gt;H$66,0,IF($E80&gt;H$66-365,$F80,0))</f>
        <v>0</v>
      </c>
      <c r="I80" s="888">
        <f t="shared" si="24"/>
        <v>84400</v>
      </c>
      <c r="J80" s="888">
        <f t="shared" si="24"/>
        <v>0</v>
      </c>
      <c r="K80" s="888">
        <f t="shared" si="24"/>
        <v>0</v>
      </c>
      <c r="L80" s="888">
        <f t="shared" si="24"/>
        <v>0</v>
      </c>
      <c r="M80" s="888">
        <f t="shared" si="24"/>
        <v>0</v>
      </c>
      <c r="N80" s="888">
        <f t="shared" si="24"/>
        <v>0</v>
      </c>
      <c r="O80" s="888">
        <f t="shared" si="24"/>
        <v>0</v>
      </c>
      <c r="P80" s="888">
        <f t="shared" si="24"/>
        <v>0</v>
      </c>
      <c r="Q80" s="888">
        <f t="shared" si="17"/>
        <v>0</v>
      </c>
      <c r="R80" s="889" t="str">
        <f t="shared" si="23"/>
        <v>Yes</v>
      </c>
      <c r="S80" s="918" t="str">
        <f t="shared" si="18"/>
        <v/>
      </c>
      <c r="T80" s="914" t="str">
        <f t="shared" si="19"/>
        <v/>
      </c>
      <c r="U80" s="890">
        <f>IF(-0.75*((C80/(VLOOKUP($A$2,Assumptions!$B$124:$G$147,2,0)))+D80/(VLOOKUP($A$2,Assumptions!$B$124:$G$147,5,0)))=0,"",-0.75*((C80/(VLOOKUP($A$2,Assumptions!$B$124:$G$147,2,0)))+D80/(VLOOKUP($A$2,Assumptions!$B$124:$G$147,5,0))))</f>
        <v>2.6064291920069507E-2</v>
      </c>
      <c r="V80" s="816">
        <f t="shared" si="20"/>
        <v>0.11631008045697927</v>
      </c>
      <c r="W80" s="919"/>
      <c r="X80" s="919" t="s">
        <v>32</v>
      </c>
      <c r="Y80" s="919"/>
      <c r="Z80" s="803"/>
    </row>
    <row r="81" spans="1:26" ht="81.75" customHeight="1">
      <c r="A81" s="912" t="s">
        <v>422</v>
      </c>
      <c r="B81" s="910" t="s">
        <v>423</v>
      </c>
      <c r="C81" s="911">
        <f>'Asset Roadmap'!C19</f>
        <v>-10</v>
      </c>
      <c r="D81" s="911">
        <f>'Asset Roadmap'!D19</f>
        <v>-38</v>
      </c>
      <c r="E81" s="886">
        <f>IFERROR('Asset Roadmap'!M19,"")</f>
        <v>46112</v>
      </c>
      <c r="F81" s="887">
        <f>'Asset Roadmap'!E19</f>
        <v>1367000</v>
      </c>
      <c r="G81" s="888">
        <f t="shared" si="21"/>
        <v>0</v>
      </c>
      <c r="H81" s="888">
        <f t="shared" si="24"/>
        <v>0</v>
      </c>
      <c r="I81" s="888">
        <f t="shared" si="24"/>
        <v>1367000</v>
      </c>
      <c r="J81" s="888">
        <f t="shared" si="24"/>
        <v>0</v>
      </c>
      <c r="K81" s="888">
        <f t="shared" si="24"/>
        <v>0</v>
      </c>
      <c r="L81" s="888">
        <f t="shared" si="24"/>
        <v>0</v>
      </c>
      <c r="M81" s="888">
        <f t="shared" si="24"/>
        <v>0</v>
      </c>
      <c r="N81" s="888">
        <f t="shared" si="24"/>
        <v>0</v>
      </c>
      <c r="O81" s="888">
        <f t="shared" si="24"/>
        <v>0</v>
      </c>
      <c r="P81" s="888">
        <f t="shared" si="24"/>
        <v>0</v>
      </c>
      <c r="Q81" s="888">
        <f t="shared" si="17"/>
        <v>0</v>
      </c>
      <c r="R81" s="889" t="str">
        <f t="shared" si="23"/>
        <v>Yes</v>
      </c>
      <c r="S81" s="918" t="str">
        <f t="shared" si="18"/>
        <v>Yes</v>
      </c>
      <c r="T81" s="914" t="str">
        <f t="shared" si="19"/>
        <v/>
      </c>
      <c r="U81" s="890">
        <f>IF(-0.75*((C81/(VLOOKUP($A$2,Assumptions!$B$124:$G$147,2,0)))+D81/(VLOOKUP($A$2,Assumptions!$B$124:$G$147,5,0)))=0,"",-0.75*((C81/(VLOOKUP($A$2,Assumptions!$B$124:$G$147,2,0)))+D81/(VLOOKUP($A$2,Assumptions!$B$124:$G$147,5,0))))</f>
        <v>1.2335130905165918E-2</v>
      </c>
      <c r="V81" s="816">
        <f t="shared" si="20"/>
        <v>2.6086918738865124E-3</v>
      </c>
      <c r="W81" s="919"/>
      <c r="X81" s="919" t="s">
        <v>32</v>
      </c>
      <c r="Y81" s="919"/>
      <c r="Z81" s="803"/>
    </row>
    <row r="82" spans="1:26" ht="75">
      <c r="A82" s="912" t="s">
        <v>422</v>
      </c>
      <c r="B82" s="910" t="s">
        <v>423</v>
      </c>
      <c r="C82" s="911">
        <f>'Asset Roadmap'!C20</f>
        <v>-10</v>
      </c>
      <c r="D82" s="911">
        <f>'Asset Roadmap'!D20</f>
        <v>-38</v>
      </c>
      <c r="E82" s="886">
        <f>IFERROR('Asset Roadmap'!M20,"")</f>
        <v>46477</v>
      </c>
      <c r="F82" s="887">
        <f>'Asset Roadmap'!E20</f>
        <v>1100000</v>
      </c>
      <c r="G82" s="888">
        <f t="shared" si="21"/>
        <v>0</v>
      </c>
      <c r="H82" s="888">
        <f t="shared" si="24"/>
        <v>0</v>
      </c>
      <c r="I82" s="888">
        <f t="shared" si="24"/>
        <v>0</v>
      </c>
      <c r="J82" s="888">
        <f t="shared" si="24"/>
        <v>1100000</v>
      </c>
      <c r="K82" s="888">
        <f t="shared" si="24"/>
        <v>0</v>
      </c>
      <c r="L82" s="888">
        <f t="shared" si="24"/>
        <v>0</v>
      </c>
      <c r="M82" s="888">
        <f t="shared" si="24"/>
        <v>0</v>
      </c>
      <c r="N82" s="888">
        <f t="shared" si="24"/>
        <v>0</v>
      </c>
      <c r="O82" s="888">
        <f t="shared" si="24"/>
        <v>0</v>
      </c>
      <c r="P82" s="888">
        <f t="shared" si="24"/>
        <v>0</v>
      </c>
      <c r="Q82" s="888">
        <f t="shared" si="17"/>
        <v>0</v>
      </c>
      <c r="R82" s="889" t="str">
        <f t="shared" si="23"/>
        <v>Yes</v>
      </c>
      <c r="S82" s="918" t="str">
        <f t="shared" si="18"/>
        <v>Yes</v>
      </c>
      <c r="T82" s="914" t="str">
        <f t="shared" si="19"/>
        <v/>
      </c>
      <c r="U82" s="890">
        <f>IF(-0.75*((C82/(VLOOKUP($A$2,Assumptions!$B$124:$G$147,2,0)))+D82/(VLOOKUP($A$2,Assumptions!$B$124:$G$147,5,0)))=0,"",-0.75*((C82/(VLOOKUP($A$2,Assumptions!$B$124:$G$147,2,0)))+D82/(VLOOKUP($A$2,Assumptions!$B$124:$G$147,5,0))))</f>
        <v>1.2335130905165918E-2</v>
      </c>
      <c r="V82" s="816">
        <f t="shared" si="20"/>
        <v>3.2418925378207841E-3</v>
      </c>
      <c r="W82" s="919"/>
      <c r="X82" s="919" t="s">
        <v>32</v>
      </c>
      <c r="Y82" s="919"/>
      <c r="Z82" s="803"/>
    </row>
    <row r="83" spans="1:26" ht="75">
      <c r="A83" s="912" t="s">
        <v>422</v>
      </c>
      <c r="B83" s="910" t="s">
        <v>423</v>
      </c>
      <c r="C83" s="911">
        <f>'Asset Roadmap'!C21</f>
        <v>-10</v>
      </c>
      <c r="D83" s="911">
        <f>'Asset Roadmap'!D21</f>
        <v>-38</v>
      </c>
      <c r="E83" s="886">
        <f>IFERROR('Asset Roadmap'!M21,"")</f>
        <v>46843</v>
      </c>
      <c r="F83" s="887">
        <f>'Asset Roadmap'!E21</f>
        <v>1100000</v>
      </c>
      <c r="G83" s="888">
        <f t="shared" si="21"/>
        <v>0</v>
      </c>
      <c r="H83" s="888">
        <f t="shared" si="24"/>
        <v>0</v>
      </c>
      <c r="I83" s="888">
        <f t="shared" si="24"/>
        <v>0</v>
      </c>
      <c r="J83" s="888">
        <f t="shared" si="24"/>
        <v>0</v>
      </c>
      <c r="K83" s="888">
        <f t="shared" si="24"/>
        <v>1100000</v>
      </c>
      <c r="L83" s="888">
        <f t="shared" si="24"/>
        <v>0</v>
      </c>
      <c r="M83" s="888">
        <f t="shared" si="24"/>
        <v>0</v>
      </c>
      <c r="N83" s="888">
        <f t="shared" si="24"/>
        <v>0</v>
      </c>
      <c r="O83" s="888">
        <f t="shared" si="24"/>
        <v>0</v>
      </c>
      <c r="P83" s="888">
        <f t="shared" si="24"/>
        <v>0</v>
      </c>
      <c r="Q83" s="888">
        <f t="shared" si="17"/>
        <v>0</v>
      </c>
      <c r="R83" s="889" t="str">
        <f t="shared" si="23"/>
        <v>Yes</v>
      </c>
      <c r="S83" s="918" t="str">
        <f t="shared" si="18"/>
        <v>Yes</v>
      </c>
      <c r="T83" s="914" t="str">
        <f t="shared" si="19"/>
        <v/>
      </c>
      <c r="U83" s="890">
        <f>IF(-0.75*((C83/(VLOOKUP($A$2,Assumptions!$B$124:$G$147,2,0)))+D83/(VLOOKUP($A$2,Assumptions!$B$124:$G$147,5,0)))=0,"",-0.75*((C83/(VLOOKUP($A$2,Assumptions!$B$124:$G$147,2,0)))+D83/(VLOOKUP($A$2,Assumptions!$B$124:$G$147,5,0))))</f>
        <v>1.2335130905165918E-2</v>
      </c>
      <c r="V83" s="816">
        <f t="shared" si="20"/>
        <v>3.2418925378207841E-3</v>
      </c>
      <c r="W83" s="919"/>
      <c r="X83" s="919" t="s">
        <v>32</v>
      </c>
      <c r="Y83" s="919"/>
      <c r="Z83" s="803"/>
    </row>
    <row r="84" spans="1:26" ht="75">
      <c r="A84" s="912" t="s">
        <v>422</v>
      </c>
      <c r="B84" s="910" t="s">
        <v>423</v>
      </c>
      <c r="C84" s="911">
        <f>'Asset Roadmap'!C22</f>
        <v>-10</v>
      </c>
      <c r="D84" s="911">
        <f>'Asset Roadmap'!D22</f>
        <v>-38</v>
      </c>
      <c r="E84" s="886">
        <f>IFERROR('Asset Roadmap'!M22,"")</f>
        <v>47208</v>
      </c>
      <c r="F84" s="887">
        <f>'Asset Roadmap'!E22</f>
        <v>1100000</v>
      </c>
      <c r="G84" s="888">
        <f t="shared" si="21"/>
        <v>0</v>
      </c>
      <c r="H84" s="888">
        <f t="shared" si="24"/>
        <v>0</v>
      </c>
      <c r="I84" s="888">
        <f t="shared" si="24"/>
        <v>0</v>
      </c>
      <c r="J84" s="888">
        <f t="shared" si="24"/>
        <v>0</v>
      </c>
      <c r="K84" s="888">
        <f t="shared" si="24"/>
        <v>0</v>
      </c>
      <c r="L84" s="888">
        <f t="shared" si="24"/>
        <v>1100000</v>
      </c>
      <c r="M84" s="888">
        <f t="shared" si="24"/>
        <v>0</v>
      </c>
      <c r="N84" s="888">
        <f t="shared" si="24"/>
        <v>0</v>
      </c>
      <c r="O84" s="888">
        <f t="shared" si="24"/>
        <v>0</v>
      </c>
      <c r="P84" s="888">
        <f t="shared" si="24"/>
        <v>0</v>
      </c>
      <c r="Q84" s="888">
        <f t="shared" si="17"/>
        <v>0</v>
      </c>
      <c r="R84" s="889" t="str">
        <f t="shared" si="23"/>
        <v>Yes</v>
      </c>
      <c r="S84" s="918" t="str">
        <f t="shared" si="18"/>
        <v>Yes</v>
      </c>
      <c r="T84" s="914" t="str">
        <f t="shared" si="19"/>
        <v/>
      </c>
      <c r="U84" s="890">
        <f>IF(-0.75*((C84/(VLOOKUP($A$2,Assumptions!$B$124:$G$147,2,0)))+D84/(VLOOKUP($A$2,Assumptions!$B$124:$G$147,5,0)))=0,"",-0.75*((C84/(VLOOKUP($A$2,Assumptions!$B$124:$G$147,2,0)))+D84/(VLOOKUP($A$2,Assumptions!$B$124:$G$147,5,0))))</f>
        <v>1.2335130905165918E-2</v>
      </c>
      <c r="V84" s="816">
        <f t="shared" si="20"/>
        <v>3.2418925378207841E-3</v>
      </c>
      <c r="W84" s="919"/>
      <c r="X84" s="919" t="s">
        <v>32</v>
      </c>
      <c r="Y84" s="919"/>
      <c r="Z84" s="803"/>
    </row>
    <row r="85" spans="1:26" ht="75">
      <c r="A85" s="912" t="s">
        <v>422</v>
      </c>
      <c r="B85" s="910" t="s">
        <v>423</v>
      </c>
      <c r="C85" s="911">
        <f>'Asset Roadmap'!C23</f>
        <v>-10</v>
      </c>
      <c r="D85" s="911">
        <f>'Asset Roadmap'!D23</f>
        <v>-38</v>
      </c>
      <c r="E85" s="886">
        <f>IFERROR('Asset Roadmap'!M23,"")</f>
        <v>47573</v>
      </c>
      <c r="F85" s="887">
        <f>'Asset Roadmap'!E23</f>
        <v>1100000</v>
      </c>
      <c r="G85" s="888">
        <f t="shared" si="21"/>
        <v>0</v>
      </c>
      <c r="H85" s="888">
        <f t="shared" si="24"/>
        <v>0</v>
      </c>
      <c r="I85" s="888">
        <f t="shared" si="24"/>
        <v>0</v>
      </c>
      <c r="J85" s="888">
        <f t="shared" si="24"/>
        <v>0</v>
      </c>
      <c r="K85" s="888">
        <f t="shared" si="24"/>
        <v>0</v>
      </c>
      <c r="L85" s="888">
        <f t="shared" si="24"/>
        <v>0</v>
      </c>
      <c r="M85" s="888">
        <f t="shared" si="24"/>
        <v>1100000</v>
      </c>
      <c r="N85" s="888">
        <f t="shared" si="24"/>
        <v>0</v>
      </c>
      <c r="O85" s="888">
        <f t="shared" si="24"/>
        <v>0</v>
      </c>
      <c r="P85" s="888">
        <f t="shared" si="24"/>
        <v>0</v>
      </c>
      <c r="Q85" s="888">
        <f t="shared" si="17"/>
        <v>0</v>
      </c>
      <c r="R85" s="889" t="str">
        <f t="shared" si="23"/>
        <v>Yes</v>
      </c>
      <c r="S85" s="918" t="str">
        <f t="shared" si="18"/>
        <v>Yes</v>
      </c>
      <c r="T85" s="914" t="str">
        <f t="shared" si="19"/>
        <v/>
      </c>
      <c r="U85" s="890">
        <f>IF(-0.75*((C85/(VLOOKUP($A$2,Assumptions!$B$124:$G$147,2,0)))+D85/(VLOOKUP($A$2,Assumptions!$B$124:$G$147,5,0)))=0,"",-0.75*((C85/(VLOOKUP($A$2,Assumptions!$B$124:$G$147,2,0)))+D85/(VLOOKUP($A$2,Assumptions!$B$124:$G$147,5,0))))</f>
        <v>1.2335130905165918E-2</v>
      </c>
      <c r="V85" s="816">
        <f t="shared" si="20"/>
        <v>3.2418925378207841E-3</v>
      </c>
      <c r="W85" s="919"/>
      <c r="X85" s="919" t="s">
        <v>32</v>
      </c>
      <c r="Y85" s="919"/>
      <c r="Z85" s="803"/>
    </row>
    <row r="86" spans="1:26" ht="30.75" customHeight="1">
      <c r="A86" s="885" t="s">
        <v>418</v>
      </c>
      <c r="B86" s="910" t="s">
        <v>424</v>
      </c>
      <c r="C86" s="911">
        <f>'Asset Roadmap'!C24</f>
        <v>-130</v>
      </c>
      <c r="D86" s="911">
        <f>'Asset Roadmap'!D24</f>
        <v>-500</v>
      </c>
      <c r="E86" s="886">
        <f>IFERROR('Asset Roadmap'!M24,"")</f>
        <v>47573</v>
      </c>
      <c r="F86" s="887">
        <f>'Asset Roadmap'!E24</f>
        <v>1542000</v>
      </c>
      <c r="G86" s="888">
        <f t="shared" si="21"/>
        <v>0</v>
      </c>
      <c r="H86" s="888">
        <f t="shared" si="24"/>
        <v>0</v>
      </c>
      <c r="I86" s="888">
        <f t="shared" si="24"/>
        <v>0</v>
      </c>
      <c r="J86" s="888">
        <f t="shared" si="24"/>
        <v>0</v>
      </c>
      <c r="K86" s="888">
        <f t="shared" si="24"/>
        <v>0</v>
      </c>
      <c r="L86" s="888">
        <f t="shared" si="24"/>
        <v>0</v>
      </c>
      <c r="M86" s="888">
        <f t="shared" si="24"/>
        <v>1542000</v>
      </c>
      <c r="N86" s="888">
        <f t="shared" si="24"/>
        <v>0</v>
      </c>
      <c r="O86" s="888">
        <f t="shared" si="24"/>
        <v>0</v>
      </c>
      <c r="P86" s="888">
        <f t="shared" si="24"/>
        <v>0</v>
      </c>
      <c r="Q86" s="888">
        <f t="shared" si="17"/>
        <v>0</v>
      </c>
      <c r="R86" s="889" t="str">
        <f t="shared" si="23"/>
        <v>Yes</v>
      </c>
      <c r="S86" s="918" t="str">
        <f t="shared" si="18"/>
        <v>Yes</v>
      </c>
      <c r="T86" s="914" t="str">
        <f t="shared" si="19"/>
        <v/>
      </c>
      <c r="U86" s="890">
        <f>IF(-0.75*((C86/(VLOOKUP($A$2,Assumptions!$B$124:$G$147,2,0)))+D86/(VLOOKUP($A$2,Assumptions!$B$124:$G$147,5,0)))=0,"",-0.75*((C86/(VLOOKUP($A$2,Assumptions!$B$124:$G$147,2,0)))+D86/(VLOOKUP($A$2,Assumptions!$B$124:$G$147,5,0))))</f>
        <v>0.16127550038691721</v>
      </c>
      <c r="V86" s="816">
        <f t="shared" si="20"/>
        <v>3.0178101570338896E-2</v>
      </c>
      <c r="W86" s="919"/>
      <c r="X86" s="919" t="s">
        <v>32</v>
      </c>
      <c r="Y86" s="919"/>
      <c r="Z86" s="803"/>
    </row>
    <row r="87" spans="1:26" ht="30.75" customHeight="1">
      <c r="A87" s="885" t="s">
        <v>947</v>
      </c>
      <c r="B87" s="910" t="s">
        <v>948</v>
      </c>
      <c r="C87" s="911">
        <f>'Asset Roadmap'!C25</f>
        <v>0</v>
      </c>
      <c r="D87" s="911">
        <f>'Asset Roadmap'!D25</f>
        <v>0</v>
      </c>
      <c r="E87" s="886">
        <f>IFERROR('Asset Roadmap'!M25,"")</f>
        <v>54878</v>
      </c>
      <c r="F87" s="887">
        <f>'Asset Roadmap'!E25</f>
        <v>0</v>
      </c>
      <c r="G87" s="888">
        <f t="shared" si="21"/>
        <v>0</v>
      </c>
      <c r="H87" s="888">
        <f t="shared" si="24"/>
        <v>0</v>
      </c>
      <c r="I87" s="888">
        <f t="shared" si="24"/>
        <v>0</v>
      </c>
      <c r="J87" s="888">
        <f t="shared" si="24"/>
        <v>0</v>
      </c>
      <c r="K87" s="888">
        <f t="shared" si="24"/>
        <v>0</v>
      </c>
      <c r="L87" s="888">
        <f t="shared" si="24"/>
        <v>0</v>
      </c>
      <c r="M87" s="888">
        <f t="shared" si="24"/>
        <v>0</v>
      </c>
      <c r="N87" s="888">
        <f t="shared" si="24"/>
        <v>0</v>
      </c>
      <c r="O87" s="888">
        <f t="shared" si="24"/>
        <v>0</v>
      </c>
      <c r="P87" s="888">
        <f t="shared" si="24"/>
        <v>0</v>
      </c>
      <c r="Q87" s="888">
        <f t="shared" si="17"/>
        <v>0</v>
      </c>
      <c r="R87" s="889" t="str">
        <f t="shared" si="23"/>
        <v/>
      </c>
      <c r="S87" s="918" t="str">
        <f t="shared" si="18"/>
        <v/>
      </c>
      <c r="T87" s="812" t="str">
        <f t="shared" si="19"/>
        <v/>
      </c>
      <c r="U87" s="890" t="str">
        <f>IF(-0.75*((C87/(VLOOKUP($A$2,Assumptions!$B$124:$G$147,2,0)))+D87/(VLOOKUP($A$2,Assumptions!$B$124:$G$147,5,0)))=0,"",-0.75*((C87/(VLOOKUP($A$2,Assumptions!$B$124:$G$147,2,0)))+D87/(VLOOKUP($A$2,Assumptions!$B$124:$G$147,5,0))))</f>
        <v/>
      </c>
      <c r="V87" s="816" t="str">
        <f t="shared" si="20"/>
        <v/>
      </c>
      <c r="W87" s="919"/>
      <c r="X87" s="919"/>
      <c r="Y87" s="919"/>
      <c r="Z87" s="803"/>
    </row>
    <row r="88" spans="1:26" ht="32.25" customHeight="1">
      <c r="A88" s="885"/>
      <c r="B88" s="910"/>
      <c r="C88" s="911"/>
      <c r="D88" s="911"/>
      <c r="E88" s="886"/>
      <c r="F88" s="887"/>
      <c r="G88" s="888">
        <f t="shared" si="21"/>
        <v>0</v>
      </c>
      <c r="H88" s="888">
        <f t="shared" si="24"/>
        <v>0</v>
      </c>
      <c r="I88" s="888">
        <f t="shared" si="24"/>
        <v>0</v>
      </c>
      <c r="J88" s="888">
        <f t="shared" si="24"/>
        <v>0</v>
      </c>
      <c r="K88" s="888">
        <f t="shared" si="24"/>
        <v>0</v>
      </c>
      <c r="L88" s="888">
        <f t="shared" si="24"/>
        <v>0</v>
      </c>
      <c r="M88" s="888">
        <f t="shared" si="24"/>
        <v>0</v>
      </c>
      <c r="N88" s="888">
        <f t="shared" si="24"/>
        <v>0</v>
      </c>
      <c r="O88" s="888">
        <f t="shared" si="24"/>
        <v>0</v>
      </c>
      <c r="P88" s="888">
        <f t="shared" si="24"/>
        <v>0</v>
      </c>
      <c r="Q88" s="888">
        <f t="shared" si="17"/>
        <v>0</v>
      </c>
      <c r="R88" s="889" t="str">
        <f t="shared" si="23"/>
        <v/>
      </c>
      <c r="S88" s="918" t="str">
        <f t="shared" si="18"/>
        <v/>
      </c>
      <c r="T88" s="812"/>
      <c r="U88" s="890" t="str">
        <f>IF(-0.75*((C88/(VLOOKUP($A$2,Assumptions!$B$124:$G$147,2,0)))+D88/(VLOOKUP($A$2,Assumptions!$B$124:$G$147,5,0)))=0,"",-0.75*((C88/(VLOOKUP($A$2,Assumptions!$B$124:$G$147,2,0)))+D88/(VLOOKUP($A$2,Assumptions!$B$124:$G$147,5,0))))</f>
        <v/>
      </c>
      <c r="V88" s="816" t="str">
        <f t="shared" si="20"/>
        <v/>
      </c>
      <c r="W88" s="919"/>
      <c r="X88" s="919"/>
      <c r="Y88" s="919"/>
      <c r="Z88" s="803"/>
    </row>
    <row r="89" spans="1:26" ht="15" hidden="1">
      <c r="A89" s="885"/>
      <c r="B89" s="893"/>
      <c r="C89" s="812"/>
      <c r="D89" s="812"/>
      <c r="E89" s="886"/>
      <c r="F89" s="887"/>
      <c r="G89" s="887"/>
      <c r="H89" s="892"/>
      <c r="I89" s="892"/>
      <c r="J89" s="892"/>
      <c r="K89" s="892"/>
      <c r="L89" s="892"/>
      <c r="M89" s="892"/>
      <c r="N89" s="892"/>
      <c r="O89" s="892"/>
      <c r="P89" s="892"/>
      <c r="Q89" s="892"/>
      <c r="R89" s="889"/>
      <c r="S89" s="889" t="str">
        <f t="shared" si="18"/>
        <v/>
      </c>
      <c r="T89" s="812"/>
      <c r="U89" s="890" t="str">
        <f>IF(-0.75*((C89/(VLOOKUP($A$2,Assumptions!$B$124:$G$147,2,0)))+D89/(VLOOKUP($A$2,Assumptions!$B$124:$G$147,5,0)))=0,"",-0.75*((C89/(VLOOKUP($A$2,Assumptions!$B$124:$G$147,2,0)))+D89/(VLOOKUP($A$2,Assumptions!$B$124:$G$147,5,0))))</f>
        <v/>
      </c>
      <c r="V89" s="770" t="str">
        <f t="shared" ref="V89:V114" si="25">IF(ISERROR(((-C89*1000*$W$162)/F89)),"",((-C89*1000*$W$162)/F89))</f>
        <v/>
      </c>
      <c r="W89" s="770" t="str">
        <f t="shared" ref="W89:W114" si="26">IF(ISERROR(((-D89*1000*$W$162)/G89)),"",((-D89*1000*$W$162)/G89))</f>
        <v/>
      </c>
      <c r="X89" s="770"/>
      <c r="Y89" s="770"/>
    </row>
    <row r="90" spans="1:26" ht="15" hidden="1">
      <c r="A90" s="885"/>
      <c r="B90" s="893"/>
      <c r="C90" s="812"/>
      <c r="D90" s="812"/>
      <c r="E90" s="886"/>
      <c r="F90" s="887"/>
      <c r="G90" s="887"/>
      <c r="H90" s="892"/>
      <c r="I90" s="892"/>
      <c r="J90" s="892"/>
      <c r="K90" s="892"/>
      <c r="L90" s="892"/>
      <c r="M90" s="892"/>
      <c r="N90" s="892"/>
      <c r="O90" s="892"/>
      <c r="P90" s="892"/>
      <c r="Q90" s="892"/>
      <c r="R90" s="892"/>
      <c r="S90" s="889" t="str">
        <f t="shared" si="18"/>
        <v/>
      </c>
      <c r="T90" s="812"/>
      <c r="U90" s="890"/>
      <c r="V90" s="894" t="str">
        <f t="shared" si="25"/>
        <v/>
      </c>
      <c r="W90" s="894" t="str">
        <f t="shared" si="26"/>
        <v/>
      </c>
      <c r="X90" s="894"/>
      <c r="Y90" s="894"/>
    </row>
    <row r="91" spans="1:26" ht="15" hidden="1">
      <c r="A91" s="885"/>
      <c r="B91" s="893"/>
      <c r="C91" s="812"/>
      <c r="D91" s="812"/>
      <c r="E91" s="886"/>
      <c r="F91" s="887"/>
      <c r="G91" s="887"/>
      <c r="H91" s="892"/>
      <c r="I91" s="892"/>
      <c r="J91" s="892"/>
      <c r="K91" s="892"/>
      <c r="L91" s="892"/>
      <c r="M91" s="892"/>
      <c r="N91" s="892"/>
      <c r="O91" s="892"/>
      <c r="P91" s="892"/>
      <c r="Q91" s="892"/>
      <c r="R91" s="892"/>
      <c r="S91" s="889" t="str">
        <f t="shared" si="18"/>
        <v/>
      </c>
      <c r="T91" s="812"/>
      <c r="U91" s="890"/>
      <c r="V91" s="894" t="str">
        <f t="shared" si="25"/>
        <v/>
      </c>
      <c r="W91" s="894" t="str">
        <f t="shared" si="26"/>
        <v/>
      </c>
      <c r="X91" s="894"/>
      <c r="Y91" s="894"/>
    </row>
    <row r="92" spans="1:26" ht="15" hidden="1">
      <c r="A92" s="885"/>
      <c r="B92" s="893"/>
      <c r="C92" s="812"/>
      <c r="D92" s="812"/>
      <c r="E92" s="886"/>
      <c r="F92" s="887"/>
      <c r="G92" s="887"/>
      <c r="H92" s="892"/>
      <c r="I92" s="892"/>
      <c r="J92" s="892"/>
      <c r="K92" s="892"/>
      <c r="L92" s="892"/>
      <c r="M92" s="892"/>
      <c r="N92" s="892"/>
      <c r="O92" s="892"/>
      <c r="P92" s="892"/>
      <c r="Q92" s="892"/>
      <c r="R92" s="892"/>
      <c r="S92" s="889" t="str">
        <f t="shared" si="18"/>
        <v/>
      </c>
      <c r="T92" s="812"/>
      <c r="U92" s="890"/>
      <c r="V92" s="894" t="str">
        <f t="shared" si="25"/>
        <v/>
      </c>
      <c r="W92" s="894" t="str">
        <f t="shared" si="26"/>
        <v/>
      </c>
      <c r="X92" s="894"/>
      <c r="Y92" s="894"/>
    </row>
    <row r="93" spans="1:26" ht="15" hidden="1">
      <c r="A93" s="885"/>
      <c r="B93" s="893"/>
      <c r="C93" s="812"/>
      <c r="D93" s="812"/>
      <c r="E93" s="886"/>
      <c r="F93" s="887"/>
      <c r="G93" s="887"/>
      <c r="H93" s="892"/>
      <c r="I93" s="892"/>
      <c r="J93" s="892"/>
      <c r="K93" s="892"/>
      <c r="L93" s="892"/>
      <c r="M93" s="892"/>
      <c r="N93" s="892"/>
      <c r="O93" s="892"/>
      <c r="P93" s="892"/>
      <c r="Q93" s="892"/>
      <c r="R93" s="892"/>
      <c r="S93" s="889" t="str">
        <f t="shared" si="18"/>
        <v/>
      </c>
      <c r="T93" s="812"/>
      <c r="U93" s="890"/>
      <c r="V93" s="894" t="str">
        <f t="shared" si="25"/>
        <v/>
      </c>
      <c r="W93" s="894" t="str">
        <f t="shared" si="26"/>
        <v/>
      </c>
      <c r="X93" s="894"/>
      <c r="Y93" s="894"/>
    </row>
    <row r="94" spans="1:26" ht="15" hidden="1">
      <c r="A94" s="885"/>
      <c r="B94" s="893"/>
      <c r="C94" s="812"/>
      <c r="D94" s="812"/>
      <c r="E94" s="886"/>
      <c r="F94" s="887"/>
      <c r="G94" s="887"/>
      <c r="H94" s="892"/>
      <c r="I94" s="892"/>
      <c r="J94" s="892"/>
      <c r="K94" s="892"/>
      <c r="L94" s="892"/>
      <c r="M94" s="892"/>
      <c r="N94" s="892"/>
      <c r="O94" s="892"/>
      <c r="P94" s="892"/>
      <c r="Q94" s="892"/>
      <c r="R94" s="892"/>
      <c r="S94" s="889" t="str">
        <f t="shared" si="18"/>
        <v/>
      </c>
      <c r="T94" s="812"/>
      <c r="U94" s="890"/>
      <c r="V94" s="894" t="str">
        <f t="shared" si="25"/>
        <v/>
      </c>
      <c r="W94" s="894" t="str">
        <f t="shared" si="26"/>
        <v/>
      </c>
      <c r="X94" s="894"/>
      <c r="Y94" s="894"/>
    </row>
    <row r="95" spans="1:26" ht="15" hidden="1">
      <c r="A95" s="885"/>
      <c r="B95" s="893"/>
      <c r="C95" s="812"/>
      <c r="D95" s="812"/>
      <c r="E95" s="886"/>
      <c r="F95" s="887"/>
      <c r="G95" s="887"/>
      <c r="H95" s="892"/>
      <c r="I95" s="892"/>
      <c r="J95" s="892"/>
      <c r="K95" s="892"/>
      <c r="L95" s="892"/>
      <c r="M95" s="892"/>
      <c r="N95" s="892"/>
      <c r="O95" s="892"/>
      <c r="P95" s="892"/>
      <c r="Q95" s="892"/>
      <c r="R95" s="892"/>
      <c r="S95" s="889" t="str">
        <f t="shared" si="18"/>
        <v/>
      </c>
      <c r="T95" s="812"/>
      <c r="U95" s="890"/>
      <c r="V95" s="894" t="str">
        <f t="shared" si="25"/>
        <v/>
      </c>
      <c r="W95" s="894" t="str">
        <f t="shared" si="26"/>
        <v/>
      </c>
      <c r="X95" s="894"/>
      <c r="Y95" s="894"/>
    </row>
    <row r="96" spans="1:26" ht="15" hidden="1">
      <c r="A96" s="885"/>
      <c r="B96" s="893"/>
      <c r="C96" s="812"/>
      <c r="D96" s="812"/>
      <c r="E96" s="886"/>
      <c r="F96" s="887"/>
      <c r="G96" s="887"/>
      <c r="H96" s="892"/>
      <c r="I96" s="892"/>
      <c r="J96" s="892"/>
      <c r="K96" s="892"/>
      <c r="L96" s="892"/>
      <c r="M96" s="892"/>
      <c r="N96" s="892"/>
      <c r="O96" s="892"/>
      <c r="P96" s="892"/>
      <c r="Q96" s="892"/>
      <c r="R96" s="892"/>
      <c r="S96" s="889" t="str">
        <f t="shared" si="18"/>
        <v/>
      </c>
      <c r="T96" s="812"/>
      <c r="U96" s="890"/>
      <c r="V96" s="894" t="str">
        <f t="shared" si="25"/>
        <v/>
      </c>
      <c r="W96" s="894" t="str">
        <f t="shared" si="26"/>
        <v/>
      </c>
      <c r="X96" s="894"/>
      <c r="Y96" s="894"/>
    </row>
    <row r="97" spans="1:25" ht="15" hidden="1">
      <c r="A97" s="885"/>
      <c r="B97" s="893"/>
      <c r="C97" s="812"/>
      <c r="D97" s="812"/>
      <c r="E97" s="886"/>
      <c r="F97" s="887"/>
      <c r="G97" s="887"/>
      <c r="H97" s="892"/>
      <c r="I97" s="892"/>
      <c r="J97" s="892"/>
      <c r="K97" s="892"/>
      <c r="L97" s="892"/>
      <c r="M97" s="892"/>
      <c r="N97" s="892"/>
      <c r="O97" s="892"/>
      <c r="P97" s="892"/>
      <c r="Q97" s="892"/>
      <c r="R97" s="892"/>
      <c r="S97" s="889" t="str">
        <f t="shared" si="18"/>
        <v/>
      </c>
      <c r="T97" s="812"/>
      <c r="U97" s="890"/>
      <c r="V97" s="894" t="str">
        <f t="shared" si="25"/>
        <v/>
      </c>
      <c r="W97" s="894" t="str">
        <f t="shared" si="26"/>
        <v/>
      </c>
      <c r="X97" s="894"/>
      <c r="Y97" s="894"/>
    </row>
    <row r="98" spans="1:25" ht="15" hidden="1">
      <c r="A98" s="885"/>
      <c r="B98" s="893"/>
      <c r="C98" s="812"/>
      <c r="D98" s="812"/>
      <c r="E98" s="886"/>
      <c r="F98" s="887"/>
      <c r="G98" s="887"/>
      <c r="H98" s="892"/>
      <c r="I98" s="892"/>
      <c r="J98" s="892"/>
      <c r="K98" s="892"/>
      <c r="L98" s="892"/>
      <c r="M98" s="892"/>
      <c r="N98" s="892"/>
      <c r="O98" s="892"/>
      <c r="P98" s="892"/>
      <c r="Q98" s="892"/>
      <c r="R98" s="892"/>
      <c r="S98" s="889" t="str">
        <f t="shared" si="18"/>
        <v/>
      </c>
      <c r="T98" s="812"/>
      <c r="U98" s="890"/>
      <c r="V98" s="894" t="str">
        <f t="shared" si="25"/>
        <v/>
      </c>
      <c r="W98" s="894" t="str">
        <f t="shared" si="26"/>
        <v/>
      </c>
      <c r="X98" s="894"/>
      <c r="Y98" s="894"/>
    </row>
    <row r="99" spans="1:25" ht="15" hidden="1">
      <c r="A99" s="885"/>
      <c r="B99" s="893"/>
      <c r="C99" s="812"/>
      <c r="D99" s="812"/>
      <c r="E99" s="886"/>
      <c r="F99" s="887"/>
      <c r="G99" s="887"/>
      <c r="H99" s="892"/>
      <c r="I99" s="892"/>
      <c r="J99" s="892"/>
      <c r="K99" s="892"/>
      <c r="L99" s="892"/>
      <c r="M99" s="892"/>
      <c r="N99" s="892"/>
      <c r="O99" s="892"/>
      <c r="P99" s="892"/>
      <c r="Q99" s="892"/>
      <c r="R99" s="892"/>
      <c r="S99" s="889" t="str">
        <f t="shared" si="18"/>
        <v/>
      </c>
      <c r="T99" s="812"/>
      <c r="U99" s="890"/>
      <c r="V99" s="894" t="str">
        <f t="shared" si="25"/>
        <v/>
      </c>
      <c r="W99" s="894" t="str">
        <f t="shared" si="26"/>
        <v/>
      </c>
      <c r="X99" s="894"/>
      <c r="Y99" s="894"/>
    </row>
    <row r="100" spans="1:25" ht="15" hidden="1">
      <c r="A100" s="885"/>
      <c r="B100" s="893"/>
      <c r="C100" s="812"/>
      <c r="D100" s="812"/>
      <c r="E100" s="886"/>
      <c r="F100" s="887"/>
      <c r="G100" s="887"/>
      <c r="H100" s="892"/>
      <c r="I100" s="892"/>
      <c r="J100" s="892"/>
      <c r="K100" s="892"/>
      <c r="L100" s="892"/>
      <c r="M100" s="892"/>
      <c r="N100" s="892"/>
      <c r="O100" s="892"/>
      <c r="P100" s="892"/>
      <c r="Q100" s="892"/>
      <c r="R100" s="892"/>
      <c r="S100" s="889" t="str">
        <f t="shared" si="18"/>
        <v/>
      </c>
      <c r="T100" s="812"/>
      <c r="U100" s="890"/>
      <c r="V100" s="894" t="str">
        <f t="shared" si="25"/>
        <v/>
      </c>
      <c r="W100" s="894" t="str">
        <f t="shared" si="26"/>
        <v/>
      </c>
      <c r="X100" s="894"/>
      <c r="Y100" s="894"/>
    </row>
    <row r="101" spans="1:25" ht="15" hidden="1">
      <c r="A101" s="885"/>
      <c r="B101" s="893"/>
      <c r="C101" s="812"/>
      <c r="D101" s="812"/>
      <c r="E101" s="886"/>
      <c r="F101" s="887"/>
      <c r="G101" s="887"/>
      <c r="H101" s="892"/>
      <c r="I101" s="892"/>
      <c r="J101" s="892"/>
      <c r="K101" s="892"/>
      <c r="L101" s="892"/>
      <c r="M101" s="892"/>
      <c r="N101" s="892"/>
      <c r="O101" s="892"/>
      <c r="P101" s="892"/>
      <c r="Q101" s="892"/>
      <c r="R101" s="892"/>
      <c r="S101" s="889" t="str">
        <f t="shared" si="18"/>
        <v/>
      </c>
      <c r="T101" s="812"/>
      <c r="U101" s="890"/>
      <c r="V101" s="894" t="str">
        <f t="shared" si="25"/>
        <v/>
      </c>
      <c r="W101" s="894" t="str">
        <f t="shared" si="26"/>
        <v/>
      </c>
      <c r="X101" s="894"/>
      <c r="Y101" s="894"/>
    </row>
    <row r="102" spans="1:25" ht="15" hidden="1">
      <c r="A102" s="885"/>
      <c r="B102" s="893"/>
      <c r="C102" s="812"/>
      <c r="D102" s="812"/>
      <c r="E102" s="886"/>
      <c r="F102" s="887"/>
      <c r="G102" s="887"/>
      <c r="H102" s="892"/>
      <c r="I102" s="892"/>
      <c r="J102" s="892"/>
      <c r="K102" s="892"/>
      <c r="L102" s="892"/>
      <c r="M102" s="892"/>
      <c r="N102" s="892"/>
      <c r="O102" s="892"/>
      <c r="P102" s="892"/>
      <c r="Q102" s="892"/>
      <c r="R102" s="892"/>
      <c r="S102" s="889" t="str">
        <f t="shared" si="18"/>
        <v/>
      </c>
      <c r="T102" s="812"/>
      <c r="U102" s="890"/>
      <c r="V102" s="894" t="str">
        <f t="shared" si="25"/>
        <v/>
      </c>
      <c r="W102" s="894" t="str">
        <f t="shared" si="26"/>
        <v/>
      </c>
      <c r="X102" s="894"/>
      <c r="Y102" s="894"/>
    </row>
    <row r="103" spans="1:25" ht="15" hidden="1">
      <c r="A103" s="885"/>
      <c r="B103" s="893"/>
      <c r="C103" s="812"/>
      <c r="D103" s="812"/>
      <c r="E103" s="886"/>
      <c r="F103" s="887"/>
      <c r="G103" s="887"/>
      <c r="H103" s="892"/>
      <c r="I103" s="892"/>
      <c r="J103" s="892"/>
      <c r="K103" s="892"/>
      <c r="L103" s="892"/>
      <c r="M103" s="892"/>
      <c r="N103" s="892"/>
      <c r="O103" s="892"/>
      <c r="P103" s="892"/>
      <c r="Q103" s="892"/>
      <c r="R103" s="892"/>
      <c r="S103" s="889" t="str">
        <f t="shared" si="18"/>
        <v/>
      </c>
      <c r="T103" s="812"/>
      <c r="U103" s="890"/>
      <c r="V103" s="894" t="str">
        <f t="shared" si="25"/>
        <v/>
      </c>
      <c r="W103" s="894" t="str">
        <f t="shared" si="26"/>
        <v/>
      </c>
      <c r="X103" s="894"/>
      <c r="Y103" s="894"/>
    </row>
    <row r="104" spans="1:25" ht="15" hidden="1">
      <c r="A104" s="885"/>
      <c r="B104" s="893"/>
      <c r="C104" s="812"/>
      <c r="D104" s="812"/>
      <c r="E104" s="886"/>
      <c r="F104" s="887"/>
      <c r="G104" s="887"/>
      <c r="H104" s="892"/>
      <c r="I104" s="892"/>
      <c r="J104" s="892"/>
      <c r="K104" s="892"/>
      <c r="L104" s="892"/>
      <c r="M104" s="892"/>
      <c r="N104" s="892"/>
      <c r="O104" s="892"/>
      <c r="P104" s="892"/>
      <c r="Q104" s="892"/>
      <c r="R104" s="892"/>
      <c r="S104" s="889" t="str">
        <f t="shared" si="18"/>
        <v/>
      </c>
      <c r="T104" s="812"/>
      <c r="U104" s="890"/>
      <c r="V104" s="894" t="str">
        <f t="shared" si="25"/>
        <v/>
      </c>
      <c r="W104" s="894" t="str">
        <f t="shared" si="26"/>
        <v/>
      </c>
      <c r="X104" s="894"/>
      <c r="Y104" s="894"/>
    </row>
    <row r="105" spans="1:25" ht="15" hidden="1">
      <c r="A105" s="885"/>
      <c r="B105" s="893"/>
      <c r="C105" s="812"/>
      <c r="D105" s="812"/>
      <c r="E105" s="886"/>
      <c r="F105" s="887"/>
      <c r="G105" s="887"/>
      <c r="H105" s="892"/>
      <c r="I105" s="892"/>
      <c r="J105" s="892"/>
      <c r="K105" s="892"/>
      <c r="L105" s="892"/>
      <c r="M105" s="892"/>
      <c r="N105" s="892"/>
      <c r="O105" s="892"/>
      <c r="P105" s="892"/>
      <c r="Q105" s="892"/>
      <c r="R105" s="892"/>
      <c r="S105" s="889" t="str">
        <f t="shared" si="18"/>
        <v/>
      </c>
      <c r="T105" s="812"/>
      <c r="U105" s="890"/>
      <c r="V105" s="894" t="str">
        <f t="shared" si="25"/>
        <v/>
      </c>
      <c r="W105" s="894" t="str">
        <f t="shared" si="26"/>
        <v/>
      </c>
      <c r="X105" s="894"/>
      <c r="Y105" s="894"/>
    </row>
    <row r="106" spans="1:25" ht="15" hidden="1">
      <c r="A106" s="885"/>
      <c r="B106" s="893"/>
      <c r="C106" s="812"/>
      <c r="D106" s="812"/>
      <c r="E106" s="886"/>
      <c r="F106" s="887"/>
      <c r="G106" s="887"/>
      <c r="H106" s="892"/>
      <c r="I106" s="892"/>
      <c r="J106" s="892"/>
      <c r="K106" s="892"/>
      <c r="L106" s="892"/>
      <c r="M106" s="892"/>
      <c r="N106" s="892"/>
      <c r="O106" s="892"/>
      <c r="P106" s="892"/>
      <c r="Q106" s="892"/>
      <c r="R106" s="892"/>
      <c r="S106" s="889" t="str">
        <f t="shared" si="18"/>
        <v/>
      </c>
      <c r="T106" s="812"/>
      <c r="U106" s="890"/>
      <c r="V106" s="894" t="str">
        <f t="shared" si="25"/>
        <v/>
      </c>
      <c r="W106" s="894" t="str">
        <f t="shared" si="26"/>
        <v/>
      </c>
      <c r="X106" s="894"/>
      <c r="Y106" s="894"/>
    </row>
    <row r="107" spans="1:25" ht="15" hidden="1">
      <c r="A107" s="885"/>
      <c r="B107" s="893"/>
      <c r="C107" s="812"/>
      <c r="D107" s="812"/>
      <c r="E107" s="886"/>
      <c r="F107" s="887"/>
      <c r="G107" s="887"/>
      <c r="H107" s="892"/>
      <c r="I107" s="892"/>
      <c r="J107" s="892"/>
      <c r="K107" s="892"/>
      <c r="L107" s="892"/>
      <c r="M107" s="892"/>
      <c r="N107" s="892"/>
      <c r="O107" s="892"/>
      <c r="P107" s="892"/>
      <c r="Q107" s="892"/>
      <c r="R107" s="892"/>
      <c r="S107" s="889" t="str">
        <f t="shared" si="18"/>
        <v/>
      </c>
      <c r="T107" s="812"/>
      <c r="U107" s="890"/>
      <c r="V107" s="894" t="str">
        <f t="shared" si="25"/>
        <v/>
      </c>
      <c r="W107" s="894" t="str">
        <f t="shared" si="26"/>
        <v/>
      </c>
      <c r="X107" s="894"/>
      <c r="Y107" s="894"/>
    </row>
    <row r="108" spans="1:25" ht="15" hidden="1">
      <c r="A108" s="885"/>
      <c r="B108" s="893"/>
      <c r="C108" s="812"/>
      <c r="D108" s="812"/>
      <c r="E108" s="886"/>
      <c r="F108" s="887"/>
      <c r="G108" s="887"/>
      <c r="H108" s="892"/>
      <c r="I108" s="892"/>
      <c r="J108" s="892"/>
      <c r="K108" s="892"/>
      <c r="L108" s="892"/>
      <c r="M108" s="892"/>
      <c r="N108" s="892"/>
      <c r="O108" s="892"/>
      <c r="P108" s="892"/>
      <c r="Q108" s="892"/>
      <c r="R108" s="892"/>
      <c r="S108" s="889" t="str">
        <f t="shared" si="18"/>
        <v/>
      </c>
      <c r="T108" s="812"/>
      <c r="U108" s="890"/>
      <c r="V108" s="894" t="str">
        <f t="shared" si="25"/>
        <v/>
      </c>
      <c r="W108" s="894" t="str">
        <f t="shared" si="26"/>
        <v/>
      </c>
      <c r="X108" s="894"/>
      <c r="Y108" s="894"/>
    </row>
    <row r="109" spans="1:25" ht="15" hidden="1">
      <c r="A109" s="885"/>
      <c r="B109" s="893"/>
      <c r="C109" s="812"/>
      <c r="D109" s="812"/>
      <c r="E109" s="886"/>
      <c r="F109" s="887"/>
      <c r="G109" s="887"/>
      <c r="H109" s="892"/>
      <c r="I109" s="892"/>
      <c r="J109" s="892"/>
      <c r="K109" s="892"/>
      <c r="L109" s="892"/>
      <c r="M109" s="892"/>
      <c r="N109" s="892"/>
      <c r="O109" s="892"/>
      <c r="P109" s="892"/>
      <c r="Q109" s="892"/>
      <c r="R109" s="892"/>
      <c r="S109" s="889" t="str">
        <f t="shared" si="18"/>
        <v/>
      </c>
      <c r="T109" s="812"/>
      <c r="U109" s="890"/>
      <c r="V109" s="894" t="str">
        <f t="shared" si="25"/>
        <v/>
      </c>
      <c r="W109" s="894" t="str">
        <f t="shared" si="26"/>
        <v/>
      </c>
      <c r="X109" s="894"/>
      <c r="Y109" s="894"/>
    </row>
    <row r="110" spans="1:25" ht="15" hidden="1">
      <c r="A110" s="885"/>
      <c r="B110" s="893"/>
      <c r="C110" s="812"/>
      <c r="D110" s="812"/>
      <c r="E110" s="886"/>
      <c r="F110" s="887"/>
      <c r="G110" s="887"/>
      <c r="H110" s="892"/>
      <c r="I110" s="892"/>
      <c r="J110" s="892"/>
      <c r="K110" s="892"/>
      <c r="L110" s="892"/>
      <c r="M110" s="892"/>
      <c r="N110" s="892"/>
      <c r="O110" s="892"/>
      <c r="P110" s="892"/>
      <c r="Q110" s="892"/>
      <c r="R110" s="892"/>
      <c r="S110" s="889" t="str">
        <f t="shared" si="18"/>
        <v/>
      </c>
      <c r="T110" s="812"/>
      <c r="U110" s="890"/>
      <c r="V110" s="894" t="str">
        <f t="shared" si="25"/>
        <v/>
      </c>
      <c r="W110" s="894" t="str">
        <f t="shared" si="26"/>
        <v/>
      </c>
      <c r="X110" s="894"/>
      <c r="Y110" s="894"/>
    </row>
    <row r="111" spans="1:25" ht="15" hidden="1">
      <c r="A111" s="885"/>
      <c r="B111" s="893"/>
      <c r="C111" s="812"/>
      <c r="D111" s="812"/>
      <c r="E111" s="886"/>
      <c r="F111" s="887"/>
      <c r="G111" s="887"/>
      <c r="H111" s="892"/>
      <c r="I111" s="892"/>
      <c r="J111" s="892"/>
      <c r="K111" s="892"/>
      <c r="L111" s="892"/>
      <c r="M111" s="892"/>
      <c r="N111" s="892"/>
      <c r="O111" s="892"/>
      <c r="P111" s="892"/>
      <c r="Q111" s="892"/>
      <c r="R111" s="892"/>
      <c r="S111" s="889" t="str">
        <f t="shared" si="18"/>
        <v/>
      </c>
      <c r="T111" s="812"/>
      <c r="U111" s="890"/>
      <c r="V111" s="894" t="str">
        <f t="shared" si="25"/>
        <v/>
      </c>
      <c r="W111" s="894" t="str">
        <f t="shared" si="26"/>
        <v/>
      </c>
      <c r="X111" s="894"/>
      <c r="Y111" s="894"/>
    </row>
    <row r="112" spans="1:25" ht="15" hidden="1">
      <c r="A112" s="885"/>
      <c r="B112" s="893"/>
      <c r="C112" s="812"/>
      <c r="D112" s="812"/>
      <c r="E112" s="886"/>
      <c r="F112" s="887"/>
      <c r="G112" s="887"/>
      <c r="H112" s="892"/>
      <c r="I112" s="892"/>
      <c r="J112" s="892"/>
      <c r="K112" s="892"/>
      <c r="L112" s="892"/>
      <c r="M112" s="892"/>
      <c r="N112" s="892"/>
      <c r="O112" s="892"/>
      <c r="P112" s="892"/>
      <c r="Q112" s="892"/>
      <c r="R112" s="892"/>
      <c r="S112" s="889" t="str">
        <f t="shared" si="18"/>
        <v/>
      </c>
      <c r="T112" s="812"/>
      <c r="U112" s="890"/>
      <c r="V112" s="894" t="str">
        <f t="shared" si="25"/>
        <v/>
      </c>
      <c r="W112" s="894" t="str">
        <f t="shared" si="26"/>
        <v/>
      </c>
      <c r="X112" s="894"/>
      <c r="Y112" s="894"/>
    </row>
    <row r="113" spans="1:25" ht="18.75" hidden="1" customHeight="1">
      <c r="A113" s="885"/>
      <c r="B113" s="893"/>
      <c r="C113" s="812"/>
      <c r="D113" s="812"/>
      <c r="E113" s="886"/>
      <c r="F113" s="887"/>
      <c r="G113" s="887"/>
      <c r="H113" s="892"/>
      <c r="I113" s="892"/>
      <c r="J113" s="892"/>
      <c r="K113" s="892"/>
      <c r="L113" s="892"/>
      <c r="M113" s="892"/>
      <c r="N113" s="892"/>
      <c r="O113" s="892"/>
      <c r="P113" s="892"/>
      <c r="Q113" s="892"/>
      <c r="R113" s="892"/>
      <c r="S113" s="889" t="str">
        <f t="shared" si="18"/>
        <v/>
      </c>
      <c r="T113" s="812"/>
      <c r="U113" s="890"/>
      <c r="V113" s="894" t="str">
        <f t="shared" si="25"/>
        <v/>
      </c>
      <c r="W113" s="894" t="str">
        <f t="shared" si="26"/>
        <v/>
      </c>
      <c r="X113" s="894"/>
      <c r="Y113" s="894"/>
    </row>
    <row r="114" spans="1:25" ht="15" hidden="1">
      <c r="A114" s="885"/>
      <c r="B114" s="893"/>
      <c r="C114" s="812"/>
      <c r="D114" s="812"/>
      <c r="E114" s="886"/>
      <c r="F114" s="887"/>
      <c r="G114" s="887"/>
      <c r="H114" s="892"/>
      <c r="I114" s="892"/>
      <c r="J114" s="892"/>
      <c r="K114" s="892"/>
      <c r="L114" s="892"/>
      <c r="M114" s="892"/>
      <c r="N114" s="892"/>
      <c r="O114" s="892"/>
      <c r="P114" s="892"/>
      <c r="Q114" s="892"/>
      <c r="R114" s="892"/>
      <c r="S114" s="889" t="str">
        <f t="shared" si="18"/>
        <v/>
      </c>
      <c r="T114" s="812"/>
      <c r="U114" s="890"/>
      <c r="V114" s="894" t="str">
        <f t="shared" si="25"/>
        <v/>
      </c>
      <c r="W114" s="894" t="str">
        <f t="shared" si="26"/>
        <v/>
      </c>
      <c r="X114" s="894"/>
      <c r="Y114" s="894"/>
    </row>
    <row r="115" spans="1:25" ht="15">
      <c r="A115" s="903"/>
      <c r="B115" s="903"/>
      <c r="C115" s="895">
        <f>(SUM(C69:C88))</f>
        <v>-780</v>
      </c>
      <c r="D115" s="895">
        <f>SUM(D69:D88)</f>
        <v>-1140</v>
      </c>
      <c r="E115" s="896"/>
      <c r="F115" s="897">
        <f t="shared" ref="F115:Q115" si="27">SUM(F69:F114)</f>
        <v>10893095</v>
      </c>
      <c r="G115" s="898">
        <f t="shared" si="27"/>
        <v>173896</v>
      </c>
      <c r="H115" s="898">
        <f t="shared" si="27"/>
        <v>2346400</v>
      </c>
      <c r="I115" s="898">
        <f t="shared" si="27"/>
        <v>2430800</v>
      </c>
      <c r="J115" s="898">
        <f t="shared" si="27"/>
        <v>1100000</v>
      </c>
      <c r="K115" s="898">
        <f t="shared" si="27"/>
        <v>1100000</v>
      </c>
      <c r="L115" s="898">
        <f t="shared" si="27"/>
        <v>1100000</v>
      </c>
      <c r="M115" s="898">
        <f t="shared" si="27"/>
        <v>2642000</v>
      </c>
      <c r="N115" s="898">
        <f t="shared" si="27"/>
        <v>0</v>
      </c>
      <c r="O115" s="898">
        <f t="shared" si="27"/>
        <v>0</v>
      </c>
      <c r="P115" s="898">
        <f t="shared" si="27"/>
        <v>0</v>
      </c>
      <c r="Q115" s="898">
        <f t="shared" si="27"/>
        <v>0</v>
      </c>
      <c r="R115" s="898">
        <f>SUMIFS(F69:F114,R69:R114,"Yes")-0.5*SUMIFS(F69:F114,R69:R114,"Yes",S69:S114,"Yes")</f>
        <v>6533195</v>
      </c>
      <c r="S115" s="898">
        <f>SUMIFS(F69:F114,S69:S114,"Yes")-0.5*SUMIFS(F69:F114,S69:S114,"Yes",R69:R114,"Yes")</f>
        <v>4329900</v>
      </c>
      <c r="T115" s="898">
        <f>SUMIFS(F69:F114,T69:T114,"Yes")</f>
        <v>173000</v>
      </c>
      <c r="U115" s="899">
        <f>SUM(U69:U114)</f>
        <v>0.68282543019581143</v>
      </c>
      <c r="V115" s="900">
        <f>IF(ISERROR(((-1*C115*1000*$D$6)+(-1*D115*$D$8))/F115),"",((-1*C115*1000*$D$6)+(-1*D115*$D$8))/F115)</f>
        <v>2.0635210033045203E-2</v>
      </c>
      <c r="W115" s="901">
        <f>SUMIFS(F69:F114,W69:W114,"Yes")</f>
        <v>0</v>
      </c>
      <c r="X115" s="901">
        <f>SUMIFS(F68:F113,X69:X114,"Yes")</f>
        <v>9177200</v>
      </c>
      <c r="Y115" s="901">
        <f>SUMIFS(F69:F114,Y69:Y114,"Yes")</f>
        <v>173000</v>
      </c>
    </row>
    <row r="116" spans="1:25" ht="15">
      <c r="S116" s="902">
        <f>_xlfn.AGGREGATE(14, 6, E69:E113/(S69:S113="Yes"), 1)</f>
        <v>47573</v>
      </c>
      <c r="T116" s="909">
        <f>_xlfn.AGGREGATE(14, 6, E69:E113/(T69:T113="Yes"), 1)</f>
        <v>45747</v>
      </c>
      <c r="U116" s="812"/>
    </row>
    <row r="117" spans="1:25">
      <c r="B117" s="803">
        <f>456/5</f>
        <v>91.2</v>
      </c>
    </row>
    <row r="120" spans="1:25" ht="13">
      <c r="R120" s="828" t="s">
        <v>425</v>
      </c>
      <c r="S120" s="829">
        <f>-AL214</f>
        <v>585</v>
      </c>
    </row>
    <row r="121" spans="1:25" s="811" customFormat="1">
      <c r="A121" s="803"/>
      <c r="B121" s="803"/>
      <c r="C121" s="803"/>
      <c r="D121" s="803"/>
      <c r="E121" s="803"/>
      <c r="F121" s="803"/>
      <c r="G121" s="803"/>
      <c r="H121" s="803"/>
      <c r="I121" s="803"/>
      <c r="J121" s="803"/>
      <c r="K121" s="803"/>
      <c r="L121" s="803"/>
      <c r="M121" s="803"/>
      <c r="N121" s="803"/>
      <c r="O121" s="803"/>
      <c r="P121" s="803"/>
      <c r="Q121" s="803"/>
      <c r="R121" s="803"/>
      <c r="S121" s="803"/>
      <c r="T121" s="803"/>
      <c r="U121" s="803"/>
      <c r="V121" s="803"/>
    </row>
    <row r="122" spans="1:25" s="811" customFormat="1">
      <c r="A122" s="803"/>
      <c r="B122" s="803"/>
      <c r="C122" s="803"/>
      <c r="D122" s="803"/>
      <c r="E122" s="803"/>
      <c r="F122" s="803"/>
      <c r="G122" s="803"/>
      <c r="H122" s="803"/>
      <c r="I122" s="803"/>
      <c r="J122" s="803"/>
      <c r="K122" s="803"/>
      <c r="L122" s="803"/>
      <c r="M122" s="803"/>
      <c r="N122" s="803"/>
      <c r="O122" s="803"/>
      <c r="P122" s="803"/>
      <c r="Q122" s="803"/>
      <c r="R122" s="803"/>
      <c r="S122" s="803"/>
      <c r="T122" s="803"/>
      <c r="U122" s="803"/>
      <c r="V122" s="803"/>
    </row>
    <row r="123" spans="1:25" s="811" customFormat="1" ht="13">
      <c r="A123" s="803"/>
      <c r="B123" s="803"/>
      <c r="C123" s="803"/>
      <c r="D123" s="803"/>
      <c r="E123" s="803"/>
      <c r="F123" s="803"/>
      <c r="G123" s="803"/>
      <c r="H123" s="803"/>
      <c r="I123" s="803"/>
      <c r="J123" s="803"/>
      <c r="K123" s="803"/>
      <c r="L123" s="803"/>
      <c r="M123" s="803"/>
      <c r="N123" s="803"/>
      <c r="O123" s="803"/>
      <c r="P123" s="803"/>
      <c r="Q123" s="803"/>
      <c r="R123" s="828" t="s">
        <v>426</v>
      </c>
      <c r="S123" s="830">
        <f>BZ161</f>
        <v>5.1823222439660794</v>
      </c>
      <c r="T123" s="803"/>
      <c r="U123" s="803"/>
      <c r="V123" s="803"/>
    </row>
    <row r="124" spans="1:25" s="811" customFormat="1" ht="13">
      <c r="A124" s="803"/>
      <c r="B124" s="803"/>
      <c r="C124" s="803"/>
      <c r="D124" s="803"/>
      <c r="E124" s="803"/>
      <c r="F124" s="803"/>
      <c r="G124" s="803"/>
      <c r="H124" s="803"/>
      <c r="K124" s="803"/>
      <c r="L124" s="803"/>
      <c r="M124" s="803"/>
      <c r="N124" s="803"/>
      <c r="R124" s="828" t="str">
        <f>"Expected Rating at "&amp;DAY(AA166)&amp;"/"&amp;MONTH(AA166)&amp;"/"&amp;YEAR(AA166)&amp;":"</f>
        <v>Expected Rating at 31/3/2024:</v>
      </c>
      <c r="S124" s="829">
        <f>AA216</f>
        <v>5.1606552665612879</v>
      </c>
      <c r="T124" s="803"/>
      <c r="U124" s="803"/>
      <c r="V124" s="803"/>
    </row>
    <row r="125" spans="1:25" s="811" customFormat="1" ht="13">
      <c r="A125" s="803"/>
      <c r="B125" s="803"/>
      <c r="C125" s="803"/>
      <c r="D125" s="803"/>
      <c r="E125" s="803"/>
      <c r="F125" s="803"/>
      <c r="G125" s="803"/>
      <c r="H125" s="803"/>
      <c r="K125" s="803"/>
      <c r="L125" s="803"/>
      <c r="M125" s="803"/>
      <c r="N125" s="803"/>
      <c r="R125" s="828" t="str">
        <f>"Expected Rating at "&amp;DAY(AB166)&amp;"/"&amp;MONTH(AB166)&amp;"/"&amp;YEAR(AB166)&amp;":"</f>
        <v>Expected Rating at 31/3/2025:</v>
      </c>
      <c r="S125" s="829">
        <f>AB216</f>
        <v>5.1749719079986978</v>
      </c>
      <c r="T125" s="803"/>
      <c r="U125" s="803"/>
      <c r="V125" s="803"/>
    </row>
    <row r="126" spans="1:25" s="811" customFormat="1" ht="13">
      <c r="A126" s="803"/>
      <c r="B126" s="803"/>
      <c r="C126" s="803"/>
      <c r="D126" s="803"/>
      <c r="E126" s="803"/>
      <c r="F126" s="803"/>
      <c r="G126" s="803"/>
      <c r="H126" s="803"/>
      <c r="K126" s="803"/>
      <c r="L126" s="803"/>
      <c r="M126" s="803"/>
      <c r="N126" s="803"/>
      <c r="R126" s="828" t="str">
        <f>"Expected Rating at "&amp;DAY(AC166)&amp;"/"&amp;MONTH(AC166)&amp;"/"&amp;YEAR(AC166)&amp;":"</f>
        <v>Expected Rating at 31/3/2026:</v>
      </c>
      <c r="S126" s="829">
        <f>AC216</f>
        <v>5.5615212268087628</v>
      </c>
    </row>
    <row r="127" spans="1:25" s="811" customFormat="1" ht="13">
      <c r="A127" s="803"/>
      <c r="B127" s="803"/>
      <c r="C127" s="803"/>
      <c r="D127" s="803"/>
      <c r="E127" s="803"/>
      <c r="F127" s="803"/>
      <c r="G127" s="803"/>
      <c r="H127" s="803"/>
      <c r="K127" s="803"/>
      <c r="L127" s="803"/>
      <c r="M127" s="803"/>
      <c r="N127" s="803"/>
      <c r="R127" s="828" t="str">
        <f>"Expected Rating at "&amp;DAY(AD166)&amp;"/"&amp;MONTH(AD166)&amp;"/"&amp;YEAR(AD166)&amp;":"</f>
        <v>Expected Rating at 31/3/2027:</v>
      </c>
      <c r="S127" s="829">
        <f>AD216</f>
        <v>5.6194497516387898</v>
      </c>
      <c r="T127" s="803"/>
      <c r="U127" s="803"/>
      <c r="V127" s="803"/>
    </row>
    <row r="128" spans="1:25" s="811" customFormat="1" ht="13">
      <c r="A128" s="803"/>
      <c r="B128" s="803"/>
      <c r="C128" s="803"/>
      <c r="D128" s="803"/>
      <c r="E128" s="803"/>
      <c r="F128" s="803"/>
      <c r="G128" s="803"/>
      <c r="H128" s="803"/>
      <c r="K128" s="803"/>
      <c r="L128" s="803"/>
      <c r="M128" s="803"/>
      <c r="N128" s="803"/>
      <c r="R128" s="828" t="str">
        <f>"Expected Rating at "&amp;DAY(AE166)&amp;"/"&amp;MONTH(AE166)&amp;"/"&amp;YEAR(AE166)&amp;":"</f>
        <v>Expected Rating at 31/3/2028:</v>
      </c>
      <c r="S128" s="829">
        <f>AE216</f>
        <v>5.6283318490111567</v>
      </c>
      <c r="T128" s="803"/>
      <c r="U128" s="803"/>
      <c r="V128" s="803"/>
    </row>
    <row r="129" spans="18:19" s="811" customFormat="1" ht="13">
      <c r="R129" s="828" t="str">
        <f>"Expected Rating at "&amp;DAY(AF166)&amp;"/"&amp;MONTH(AF166)&amp;"/"&amp;YEAR(AF166)&amp;":"</f>
        <v>Expected Rating at 31/3/2029:</v>
      </c>
      <c r="S129" s="829">
        <f>AF216</f>
        <v>5.6372139463835236</v>
      </c>
    </row>
    <row r="130" spans="18:19" s="811" customFormat="1" ht="13">
      <c r="R130" s="828" t="str">
        <f>"Expected Rating at "&amp;DAY(AG166)&amp;"/"&amp;MONTH(AG166)&amp;"/"&amp;YEAR(AG166)&amp;":"</f>
        <v>Expected Rating at 31/3/2030:</v>
      </c>
      <c r="S130" s="829">
        <f>AG216</f>
        <v>5.6460960437558905</v>
      </c>
    </row>
    <row r="131" spans="18:19" s="811" customFormat="1" ht="13">
      <c r="R131" s="828" t="str">
        <f>"Expected Rating at "&amp;DAY(AH166)&amp;"/"&amp;MONTH(AH166)&amp;"/"&amp;YEAR(AH166)&amp;":"</f>
        <v>Expected Rating at 31/3/2031:</v>
      </c>
      <c r="S131" s="829">
        <f>AH216</f>
        <v>5.7707175822301329</v>
      </c>
    </row>
    <row r="132" spans="18:19" s="811" customFormat="1" ht="13">
      <c r="R132" s="828" t="str">
        <f>"Expected Rating at "&amp;DAY(AI166)&amp;"/"&amp;MONTH(AI166)&amp;"/"&amp;YEAR(AI166)&amp;":"</f>
        <v>Expected Rating at 31/3/2032:</v>
      </c>
      <c r="S132" s="829">
        <f>AI216</f>
        <v>5.7707175822301329</v>
      </c>
    </row>
    <row r="133" spans="18:19" s="811" customFormat="1" ht="13">
      <c r="R133" s="828" t="str">
        <f>"Expected Rating at "&amp;DAY(AJ166)&amp;"/"&amp;MONTH(AJ166)&amp;"/"&amp;YEAR(AJ166)&amp;":"</f>
        <v>Expected Rating at 31/3/2033:</v>
      </c>
      <c r="S133" s="830">
        <f>AJ216</f>
        <v>5.7707175822301329</v>
      </c>
    </row>
    <row r="134" spans="18:19" s="811" customFormat="1">
      <c r="S134" s="830">
        <f>AK216</f>
        <v>5.7707175822301329</v>
      </c>
    </row>
    <row r="135" spans="18:19" s="811" customFormat="1">
      <c r="R135" s="803"/>
      <c r="S135" s="830">
        <f>S133-S123</f>
        <v>0.58839533826405344</v>
      </c>
    </row>
    <row r="153" spans="20:78" ht="25">
      <c r="T153" s="760"/>
      <c r="U153" s="760"/>
      <c r="V153" s="760"/>
      <c r="W153" s="760"/>
      <c r="X153" s="760"/>
      <c r="Y153" s="760"/>
      <c r="Z153" s="760"/>
      <c r="AA153" s="760"/>
      <c r="AB153" s="760"/>
      <c r="AC153" s="760"/>
      <c r="AD153" s="760"/>
      <c r="AE153" s="760"/>
      <c r="AF153" s="760"/>
      <c r="AG153" s="760"/>
      <c r="AH153" s="760"/>
      <c r="AI153" s="760"/>
      <c r="AJ153" s="760"/>
      <c r="AK153" s="760"/>
      <c r="AL153" s="760"/>
      <c r="AM153" s="831" t="s">
        <v>388</v>
      </c>
      <c r="AN153" s="832" t="s">
        <v>427</v>
      </c>
      <c r="AO153" s="832" t="s">
        <v>428</v>
      </c>
      <c r="AP153" s="832" t="s">
        <v>429</v>
      </c>
      <c r="AQ153" s="832" t="s">
        <v>430</v>
      </c>
      <c r="AR153" s="832" t="s">
        <v>431</v>
      </c>
      <c r="AS153" s="760"/>
      <c r="AT153" s="831" t="s">
        <v>388</v>
      </c>
      <c r="AU153" s="832" t="s">
        <v>427</v>
      </c>
      <c r="AV153" s="833" t="s">
        <v>428</v>
      </c>
      <c r="AW153" s="833" t="s">
        <v>429</v>
      </c>
      <c r="AX153" s="833" t="s">
        <v>430</v>
      </c>
      <c r="AY153" s="833" t="s">
        <v>431</v>
      </c>
      <c r="BA153" s="831" t="s">
        <v>388</v>
      </c>
      <c r="BB153" s="834" t="s">
        <v>432</v>
      </c>
      <c r="BC153" s="811" t="s">
        <v>433</v>
      </c>
      <c r="BD153" s="811" t="s">
        <v>434</v>
      </c>
      <c r="BF153" s="811" t="s">
        <v>364</v>
      </c>
      <c r="BG153" s="811" t="s">
        <v>435</v>
      </c>
      <c r="BH153" s="760"/>
      <c r="BI153" s="760"/>
      <c r="BJ153" s="760"/>
      <c r="BK153" s="760"/>
      <c r="BL153" s="760"/>
      <c r="BM153" s="760"/>
      <c r="BN153" s="760"/>
      <c r="BO153" s="760"/>
      <c r="BP153" s="760"/>
      <c r="BQ153" s="760"/>
      <c r="BR153" s="760"/>
      <c r="BS153" s="760"/>
      <c r="BT153" s="760"/>
      <c r="BU153" s="760"/>
      <c r="BV153" s="760"/>
      <c r="BW153" s="760"/>
      <c r="BX153" s="760"/>
      <c r="BY153" s="760"/>
      <c r="BZ153" s="760"/>
    </row>
    <row r="154" spans="20:78">
      <c r="T154" s="760"/>
      <c r="U154" s="760"/>
      <c r="V154" s="760"/>
      <c r="W154" s="760"/>
      <c r="X154" s="760"/>
      <c r="Y154" s="760"/>
      <c r="Z154" s="760"/>
      <c r="AA154" s="760"/>
      <c r="AB154" s="760"/>
      <c r="AC154" s="760"/>
      <c r="AD154" s="760"/>
      <c r="AE154" s="760"/>
      <c r="AF154" s="760"/>
      <c r="AG154" s="760"/>
      <c r="AH154" s="760"/>
      <c r="AI154" s="760"/>
      <c r="AJ154" s="760"/>
      <c r="AK154" s="760"/>
      <c r="AL154" s="760"/>
      <c r="AM154" s="831">
        <v>6</v>
      </c>
      <c r="AN154" s="835">
        <f>AN156*0.5</f>
        <v>34.795000000000002</v>
      </c>
      <c r="AO154" s="835">
        <f>AO156*0.5</f>
        <v>42.145000000000003</v>
      </c>
      <c r="AP154" s="835">
        <f>AP156*0.5</f>
        <v>35.585000000000001</v>
      </c>
      <c r="AQ154" s="835">
        <f t="shared" ref="AQ154:AR154" si="28">AQ156*0.5</f>
        <v>20.914999999999999</v>
      </c>
      <c r="AR154" s="835">
        <f t="shared" si="28"/>
        <v>26.98</v>
      </c>
      <c r="AS154" s="760"/>
      <c r="AT154" s="831">
        <v>6</v>
      </c>
      <c r="AU154" s="835">
        <f>AU156*0.5</f>
        <v>64.760000000000005</v>
      </c>
      <c r="AV154" s="835">
        <f t="shared" ref="AV154:AY154" si="29">AV156*0.5</f>
        <v>69.5</v>
      </c>
      <c r="AW154" s="835">
        <f t="shared" si="29"/>
        <v>59.814999999999998</v>
      </c>
      <c r="AX154" s="835">
        <f t="shared" si="29"/>
        <v>33.69</v>
      </c>
      <c r="AY154" s="835">
        <f t="shared" si="29"/>
        <v>44.87</v>
      </c>
      <c r="AZ154" s="760"/>
      <c r="BA154" s="831">
        <v>6</v>
      </c>
      <c r="BB154" s="811">
        <f t="shared" ref="BB154:BB164" si="30">IF($C$58="Base",BF154,BG154)</f>
        <v>34.795000000000002</v>
      </c>
      <c r="BC154" s="811" t="s">
        <v>436</v>
      </c>
      <c r="BD154" s="760"/>
      <c r="BE154" s="760"/>
      <c r="BF154" s="811">
        <f t="shared" ref="BF154:BF164" si="31">IF($C$59&gt;7000,"error",IF($C$59&gt;5999,AR154,IF($C$59&gt;4999,AQ154,IF($C$59&gt;3999,AP154,IF($C$59&gt;2999,AO154,IF($C$59&gt;1999,AN154,"Error"))))))</f>
        <v>34.795000000000002</v>
      </c>
      <c r="BG154" s="811">
        <f t="shared" ref="BG154:BG164" si="32">IF($C$59&gt;7000,"error",IF($C$59&gt;5999,AY154,IF($C$59&gt;4999,AX154,IF($C$59&gt;3999,AW154,IF($C$59&gt;2999,AV154,IF($C$59&gt;1999,AU154,"Error"))))))</f>
        <v>64.760000000000005</v>
      </c>
      <c r="BH154" s="760"/>
      <c r="BI154" s="760"/>
      <c r="BJ154" s="760"/>
      <c r="BK154" s="760"/>
      <c r="BL154" s="760"/>
      <c r="BM154" s="760"/>
      <c r="BN154" s="760"/>
      <c r="BO154" s="760"/>
      <c r="BP154" s="760"/>
      <c r="BQ154" s="760"/>
      <c r="BR154" s="760"/>
      <c r="BS154" s="760"/>
      <c r="BT154" s="760"/>
      <c r="BU154" s="760"/>
      <c r="BV154" s="760"/>
      <c r="BW154" s="760"/>
      <c r="BX154" s="760"/>
      <c r="BY154" s="760"/>
      <c r="BZ154" s="760"/>
    </row>
    <row r="155" spans="20:78" ht="13">
      <c r="T155" s="811"/>
      <c r="U155" s="811"/>
      <c r="V155" s="811"/>
      <c r="Z155" s="985" t="s">
        <v>437</v>
      </c>
      <c r="AA155" s="985"/>
      <c r="AB155" s="985"/>
      <c r="AC155" s="985"/>
      <c r="AD155" s="836"/>
      <c r="AE155" s="836"/>
      <c r="AF155" s="836"/>
      <c r="AG155" s="836"/>
      <c r="AH155" s="836"/>
      <c r="AI155" s="836"/>
      <c r="AJ155" s="836"/>
      <c r="AL155" s="837"/>
      <c r="AM155" s="831">
        <v>5.5</v>
      </c>
      <c r="AN155" s="835">
        <f>AN156*0.75</f>
        <v>52.192500000000003</v>
      </c>
      <c r="AO155" s="838">
        <f>AO156*0.75</f>
        <v>63.217500000000001</v>
      </c>
      <c r="AP155" s="835">
        <f>AP156*0.75</f>
        <v>53.377499999999998</v>
      </c>
      <c r="AQ155" s="835">
        <f t="shared" ref="AQ155:AR155" si="33">AQ156*0.75</f>
        <v>31.372499999999999</v>
      </c>
      <c r="AR155" s="835">
        <f t="shared" si="33"/>
        <v>40.47</v>
      </c>
      <c r="AT155" s="831">
        <v>5.5</v>
      </c>
      <c r="AU155" s="835">
        <f>AU156*0.75</f>
        <v>97.140000000000015</v>
      </c>
      <c r="AV155" s="835">
        <f t="shared" ref="AV155:AY155" si="34">AV156*0.75</f>
        <v>104.25</v>
      </c>
      <c r="AW155" s="835">
        <f t="shared" si="34"/>
        <v>89.722499999999997</v>
      </c>
      <c r="AX155" s="835">
        <f t="shared" si="34"/>
        <v>50.534999999999997</v>
      </c>
      <c r="AY155" s="835">
        <f t="shared" si="34"/>
        <v>67.304999999999993</v>
      </c>
      <c r="BA155" s="831">
        <v>5.5</v>
      </c>
      <c r="BB155" s="811">
        <f t="shared" si="30"/>
        <v>52.192500000000003</v>
      </c>
      <c r="BC155" s="811" t="s">
        <v>436</v>
      </c>
      <c r="BF155" s="811">
        <f t="shared" si="31"/>
        <v>52.192500000000003</v>
      </c>
      <c r="BG155" s="811">
        <f t="shared" si="32"/>
        <v>97.140000000000015</v>
      </c>
      <c r="BJ155" s="811" t="s">
        <v>438</v>
      </c>
      <c r="BK155" s="811" t="s">
        <v>439</v>
      </c>
      <c r="BM155" s="831"/>
      <c r="BN155" s="834"/>
      <c r="BT155" s="803"/>
      <c r="BU155" s="803"/>
      <c r="BV155" s="803"/>
    </row>
    <row r="156" spans="20:78" ht="12.75" customHeight="1">
      <c r="T156" s="811"/>
      <c r="U156" s="811"/>
      <c r="V156" s="811"/>
      <c r="Z156" s="985"/>
      <c r="AA156" s="985"/>
      <c r="AB156" s="985"/>
      <c r="AC156" s="985"/>
      <c r="AD156" s="836"/>
      <c r="AE156" s="836"/>
      <c r="AF156" s="836"/>
      <c r="AG156" s="836"/>
      <c r="AH156" s="836"/>
      <c r="AI156" s="836"/>
      <c r="AJ156" s="836"/>
      <c r="AL156" s="976" t="s">
        <v>440</v>
      </c>
      <c r="AM156" s="831">
        <v>5</v>
      </c>
      <c r="AN156" s="835">
        <v>69.59</v>
      </c>
      <c r="AO156" s="835">
        <v>84.29</v>
      </c>
      <c r="AP156" s="835">
        <v>71.17</v>
      </c>
      <c r="AQ156" s="835">
        <v>41.83</v>
      </c>
      <c r="AR156" s="835">
        <v>53.96</v>
      </c>
      <c r="AS156" s="976" t="s">
        <v>435</v>
      </c>
      <c r="AT156" s="831">
        <v>5</v>
      </c>
      <c r="AU156" s="835">
        <v>129.52000000000001</v>
      </c>
      <c r="AV156" s="835">
        <v>139</v>
      </c>
      <c r="AW156" s="835">
        <v>119.63</v>
      </c>
      <c r="AX156" s="835">
        <v>67.38</v>
      </c>
      <c r="AY156" s="835">
        <v>89.74</v>
      </c>
      <c r="BA156" s="831">
        <v>5</v>
      </c>
      <c r="BB156" s="811">
        <f t="shared" si="30"/>
        <v>69.59</v>
      </c>
      <c r="BC156" s="811" t="s">
        <v>436</v>
      </c>
      <c r="BD156" s="811">
        <f>IF(C58="base",BF156,BG156)</f>
        <v>69.59</v>
      </c>
      <c r="BF156" s="811">
        <f t="shared" si="31"/>
        <v>69.59</v>
      </c>
      <c r="BG156" s="811">
        <f t="shared" si="32"/>
        <v>129.52000000000001</v>
      </c>
      <c r="BI156" s="839" t="s">
        <v>142</v>
      </c>
      <c r="BJ156" s="839">
        <v>810</v>
      </c>
      <c r="BK156" s="839">
        <v>51.33</v>
      </c>
      <c r="BL156" s="811">
        <v>2000</v>
      </c>
      <c r="BM156" s="831"/>
      <c r="BQ156" s="839" t="s">
        <v>441</v>
      </c>
      <c r="BR156" s="839" t="s">
        <v>442</v>
      </c>
      <c r="BS156" s="839" t="s">
        <v>443</v>
      </c>
      <c r="BT156" s="803"/>
      <c r="BU156" s="824" t="s">
        <v>444</v>
      </c>
      <c r="BV156" s="840">
        <f>C60</f>
        <v>25698</v>
      </c>
      <c r="BW156" s="803" t="s">
        <v>445</v>
      </c>
      <c r="BX156" s="803" t="s">
        <v>13</v>
      </c>
      <c r="BY156" s="803">
        <f>BY157/BV156</f>
        <v>60.743377773756713</v>
      </c>
    </row>
    <row r="157" spans="20:78" ht="13">
      <c r="T157" s="837">
        <f>Assumptions!C41</f>
        <v>245.41426976422628</v>
      </c>
      <c r="U157" s="811" t="s">
        <v>446</v>
      </c>
      <c r="V157" s="811"/>
      <c r="Z157" s="985"/>
      <c r="AA157" s="985"/>
      <c r="AB157" s="985"/>
      <c r="AC157" s="985"/>
      <c r="AD157" s="836"/>
      <c r="AE157" s="836"/>
      <c r="AF157" s="836"/>
      <c r="AG157" s="836"/>
      <c r="AH157" s="836"/>
      <c r="AI157" s="836"/>
      <c r="AJ157" s="836"/>
      <c r="AL157" s="976"/>
      <c r="AM157" s="831">
        <v>4.5</v>
      </c>
      <c r="AN157" s="835">
        <v>84.92</v>
      </c>
      <c r="AO157" s="835">
        <v>101.75</v>
      </c>
      <c r="AP157" s="835">
        <v>80.290000000000006</v>
      </c>
      <c r="AQ157" s="835">
        <v>51.46</v>
      </c>
      <c r="AR157" s="835">
        <v>62.39</v>
      </c>
      <c r="AS157" s="976"/>
      <c r="AT157" s="831">
        <v>4.5</v>
      </c>
      <c r="AU157" s="835">
        <v>158.69</v>
      </c>
      <c r="AV157" s="835">
        <v>166.57</v>
      </c>
      <c r="AW157" s="835">
        <v>142.47</v>
      </c>
      <c r="AX157" s="835">
        <v>84.06</v>
      </c>
      <c r="AY157" s="835">
        <v>105.77</v>
      </c>
      <c r="BA157" s="831">
        <v>4.5</v>
      </c>
      <c r="BB157" s="811">
        <f t="shared" si="30"/>
        <v>84.92</v>
      </c>
      <c r="BC157" s="811" t="s">
        <v>436</v>
      </c>
      <c r="BD157" s="811">
        <f>BB157-BB156</f>
        <v>15.329999999999998</v>
      </c>
      <c r="BF157" s="811">
        <f t="shared" si="31"/>
        <v>84.92</v>
      </c>
      <c r="BG157" s="811">
        <f t="shared" si="32"/>
        <v>158.69</v>
      </c>
      <c r="BI157" s="839" t="s">
        <v>118</v>
      </c>
      <c r="BJ157" s="839">
        <v>810</v>
      </c>
      <c r="BK157" s="839">
        <v>51.33</v>
      </c>
      <c r="BL157" s="811">
        <v>2000</v>
      </c>
      <c r="BM157" s="831"/>
      <c r="BN157" s="811">
        <f>BV161/BV158</f>
        <v>30.111560995949077</v>
      </c>
      <c r="BO157" s="841" t="s">
        <v>447</v>
      </c>
      <c r="BP157" s="811">
        <f>$BY$158/SUM($BY$158:$BY$159)*C64</f>
        <v>60.601640686960486</v>
      </c>
      <c r="BQ157" s="839" t="s">
        <v>448</v>
      </c>
      <c r="BR157" s="839" t="s">
        <v>449</v>
      </c>
      <c r="BS157" s="839" t="s">
        <v>450</v>
      </c>
      <c r="BT157" s="803"/>
      <c r="BU157" s="824" t="s">
        <v>451</v>
      </c>
      <c r="BV157" s="842">
        <f xml:space="preserve"> 5 - 0.5*(BV158-BB156)/BH166</f>
        <v>5.2931624042087257</v>
      </c>
      <c r="BW157" s="803" t="s">
        <v>452</v>
      </c>
      <c r="BX157" s="803" t="s">
        <v>453</v>
      </c>
      <c r="BY157" s="803">
        <f>SUM(BY158:BY159)</f>
        <v>1560983.3220299999</v>
      </c>
    </row>
    <row r="158" spans="20:78" ht="13">
      <c r="T158" s="811"/>
      <c r="U158" s="811"/>
      <c r="V158" s="811"/>
      <c r="AL158" s="976"/>
      <c r="AM158" s="831">
        <v>4</v>
      </c>
      <c r="AN158" s="835">
        <v>100.25</v>
      </c>
      <c r="AO158" s="835">
        <v>120.31</v>
      </c>
      <c r="AP158" s="835">
        <v>89.42</v>
      </c>
      <c r="AQ158" s="835">
        <v>61.1</v>
      </c>
      <c r="AR158" s="835">
        <v>70.83</v>
      </c>
      <c r="AS158" s="976"/>
      <c r="AT158" s="831">
        <v>4</v>
      </c>
      <c r="AU158" s="835">
        <v>187.86</v>
      </c>
      <c r="AV158" s="835">
        <v>194.15</v>
      </c>
      <c r="AW158" s="835">
        <v>165.3</v>
      </c>
      <c r="AX158" s="835">
        <v>100.73</v>
      </c>
      <c r="AY158" s="835">
        <v>121.79</v>
      </c>
      <c r="BA158" s="831">
        <v>4</v>
      </c>
      <c r="BB158" s="811">
        <f t="shared" si="30"/>
        <v>100.25</v>
      </c>
      <c r="BC158" s="811" t="s">
        <v>436</v>
      </c>
      <c r="BD158" s="811">
        <f t="shared" ref="BD158:BD164" si="35">BB158-BB157</f>
        <v>15.329999999999998</v>
      </c>
      <c r="BF158" s="811">
        <f t="shared" si="31"/>
        <v>100.25</v>
      </c>
      <c r="BG158" s="811">
        <f t="shared" si="32"/>
        <v>187.86</v>
      </c>
      <c r="BI158" s="839" t="s">
        <v>150</v>
      </c>
      <c r="BJ158" s="839">
        <v>810</v>
      </c>
      <c r="BK158" s="839">
        <v>51.33</v>
      </c>
      <c r="BL158" s="811">
        <v>3000</v>
      </c>
      <c r="BM158" s="831"/>
      <c r="BN158" s="811">
        <f>BV162/BV163</f>
        <v>475.16782401556111</v>
      </c>
      <c r="BO158" s="811" t="s">
        <v>454</v>
      </c>
      <c r="BP158" s="843">
        <f>$BY$159/SUM($BY$158:$BY$159)*C64</f>
        <v>3.3983593130395078</v>
      </c>
      <c r="BQ158" s="839" t="s">
        <v>455</v>
      </c>
      <c r="BR158" s="839" t="s">
        <v>456</v>
      </c>
      <c r="BS158" s="839" t="s">
        <v>457</v>
      </c>
      <c r="BT158" s="803"/>
      <c r="BU158" s="824" t="s">
        <v>458</v>
      </c>
      <c r="BV158" s="840">
        <f>BP157</f>
        <v>60.601640686960486</v>
      </c>
      <c r="BW158" s="803" t="s">
        <v>436</v>
      </c>
      <c r="BX158" s="803" t="s">
        <v>459</v>
      </c>
      <c r="BY158" s="844">
        <f>INDEX($BJ$156:$BJ$161,MATCH($C$57,$BI$156:$BI$161,0))*$C$62</f>
        <v>1478096.0999999999</v>
      </c>
      <c r="BZ158" s="811"/>
    </row>
    <row r="159" spans="20:78" ht="13">
      <c r="T159" s="811"/>
      <c r="U159" s="811"/>
      <c r="V159" s="811"/>
      <c r="AL159" s="976"/>
      <c r="AM159" s="831">
        <v>3.5</v>
      </c>
      <c r="AN159" s="835">
        <v>115.57</v>
      </c>
      <c r="AO159" s="835">
        <v>138.88</v>
      </c>
      <c r="AP159" s="835">
        <v>98.54</v>
      </c>
      <c r="AQ159" s="835">
        <v>70.739999999999995</v>
      </c>
      <c r="AR159" s="835">
        <v>79.260000000000005</v>
      </c>
      <c r="AS159" s="976"/>
      <c r="AT159" s="831">
        <v>3.5</v>
      </c>
      <c r="AU159" s="835">
        <v>217.04</v>
      </c>
      <c r="AV159" s="835">
        <v>221.73</v>
      </c>
      <c r="AW159" s="835">
        <v>188.13</v>
      </c>
      <c r="AX159" s="835">
        <v>117.41</v>
      </c>
      <c r="AY159" s="835">
        <v>137.82</v>
      </c>
      <c r="BA159" s="831">
        <v>3.5</v>
      </c>
      <c r="BB159" s="811">
        <f t="shared" si="30"/>
        <v>115.57</v>
      </c>
      <c r="BC159" s="811" t="s">
        <v>436</v>
      </c>
      <c r="BD159" s="811">
        <f t="shared" si="35"/>
        <v>15.319999999999993</v>
      </c>
      <c r="BF159" s="811">
        <f t="shared" si="31"/>
        <v>115.57</v>
      </c>
      <c r="BG159" s="811">
        <f t="shared" si="32"/>
        <v>217.04</v>
      </c>
      <c r="BI159" s="839" t="s">
        <v>460</v>
      </c>
      <c r="BJ159" s="839">
        <v>770</v>
      </c>
      <c r="BK159" s="839">
        <v>51.33</v>
      </c>
      <c r="BL159" s="811">
        <v>4000</v>
      </c>
      <c r="BM159" s="831"/>
      <c r="BQ159" s="839" t="s">
        <v>461</v>
      </c>
      <c r="BR159" s="839" t="s">
        <v>462</v>
      </c>
      <c r="BS159" s="839" t="s">
        <v>463</v>
      </c>
      <c r="BT159" s="845"/>
      <c r="BU159" s="824" t="s">
        <v>464</v>
      </c>
      <c r="BV159" s="846"/>
      <c r="BW159" s="803" t="s">
        <v>452</v>
      </c>
      <c r="BX159" s="803" t="s">
        <v>465</v>
      </c>
      <c r="BY159" s="847">
        <f>INDEX($BK$156:$BK$161,MATCH($C$57,$BI$156:$BI$161,0))*$C$63</f>
        <v>82887.22202999999</v>
      </c>
      <c r="BZ159" s="811"/>
    </row>
    <row r="160" spans="20:78" ht="13">
      <c r="T160" s="811"/>
      <c r="U160" s="811"/>
      <c r="V160" s="811"/>
      <c r="AL160" s="976"/>
      <c r="AM160" s="831">
        <v>3</v>
      </c>
      <c r="AN160" s="835">
        <v>130.9</v>
      </c>
      <c r="AO160" s="835">
        <v>157.44999999999999</v>
      </c>
      <c r="AP160" s="835">
        <v>107.66</v>
      </c>
      <c r="AQ160" s="835">
        <v>80.38</v>
      </c>
      <c r="AR160" s="835">
        <v>87.69</v>
      </c>
      <c r="AS160" s="976"/>
      <c r="AT160" s="831">
        <v>3</v>
      </c>
      <c r="AU160" s="835">
        <v>246.21</v>
      </c>
      <c r="AV160" s="835">
        <v>249.31</v>
      </c>
      <c r="AW160" s="835">
        <v>210.96</v>
      </c>
      <c r="AX160" s="835">
        <v>134.09</v>
      </c>
      <c r="AY160" s="835">
        <v>153.85</v>
      </c>
      <c r="BA160" s="831">
        <v>3</v>
      </c>
      <c r="BB160" s="811">
        <f t="shared" si="30"/>
        <v>130.9</v>
      </c>
      <c r="BC160" s="811" t="s">
        <v>436</v>
      </c>
      <c r="BD160" s="811">
        <f t="shared" si="35"/>
        <v>15.330000000000013</v>
      </c>
      <c r="BF160" s="811">
        <f t="shared" si="31"/>
        <v>130.9</v>
      </c>
      <c r="BG160" s="811">
        <f t="shared" si="32"/>
        <v>246.21</v>
      </c>
      <c r="BI160" s="839" t="s">
        <v>129</v>
      </c>
      <c r="BJ160" s="839">
        <v>980</v>
      </c>
      <c r="BK160" s="839">
        <v>51.33</v>
      </c>
      <c r="BL160" s="811">
        <v>5000</v>
      </c>
      <c r="BM160" s="831"/>
      <c r="BN160" s="811">
        <f>W162</f>
        <v>0.247</v>
      </c>
      <c r="BQ160" s="839" t="s">
        <v>466</v>
      </c>
      <c r="BR160" s="839" t="s">
        <v>467</v>
      </c>
      <c r="BS160" s="839"/>
      <c r="BT160" s="845"/>
      <c r="BU160" s="824" t="s">
        <v>468</v>
      </c>
      <c r="BV160" s="824" t="s">
        <v>469</v>
      </c>
      <c r="BW160" s="824" t="s">
        <v>433</v>
      </c>
      <c r="BY160" s="811">
        <f>((BY158+BY159)/$C$60)*(50/$C$61)</f>
        <v>60.501372284618235</v>
      </c>
      <c r="BZ160" s="848"/>
    </row>
    <row r="161" spans="7:88">
      <c r="T161" s="811"/>
      <c r="U161" s="811"/>
      <c r="V161" s="811"/>
      <c r="AL161" s="976"/>
      <c r="AM161" s="831">
        <v>2.5</v>
      </c>
      <c r="AN161" s="835">
        <v>146.22999999999999</v>
      </c>
      <c r="AO161" s="835">
        <v>176.01</v>
      </c>
      <c r="AP161" s="835">
        <v>116.79</v>
      </c>
      <c r="AQ161" s="835">
        <v>90.02</v>
      </c>
      <c r="AR161" s="835">
        <v>96.12</v>
      </c>
      <c r="AS161" s="976"/>
      <c r="AT161" s="831">
        <v>2.5</v>
      </c>
      <c r="AU161" s="835">
        <v>275.38</v>
      </c>
      <c r="AV161" s="835">
        <v>276.89</v>
      </c>
      <c r="AW161" s="835">
        <v>233.79</v>
      </c>
      <c r="AX161" s="835">
        <v>150.77000000000001</v>
      </c>
      <c r="AY161" s="835">
        <v>169.87</v>
      </c>
      <c r="BA161" s="831">
        <v>2.5</v>
      </c>
      <c r="BB161" s="811">
        <f t="shared" si="30"/>
        <v>146.22999999999999</v>
      </c>
      <c r="BC161" s="811" t="s">
        <v>436</v>
      </c>
      <c r="BD161" s="811">
        <f t="shared" si="35"/>
        <v>15.329999999999984</v>
      </c>
      <c r="BF161" s="811">
        <f t="shared" si="31"/>
        <v>146.22999999999999</v>
      </c>
      <c r="BG161" s="811">
        <f t="shared" si="32"/>
        <v>275.38</v>
      </c>
      <c r="BI161" s="839" t="s">
        <v>147</v>
      </c>
      <c r="BJ161" s="839">
        <v>680</v>
      </c>
      <c r="BK161" s="839">
        <v>51.33</v>
      </c>
      <c r="BL161" s="811">
        <v>6000</v>
      </c>
      <c r="BM161" s="849"/>
      <c r="BN161" s="849"/>
      <c r="BO161" s="849"/>
      <c r="BP161" s="849"/>
      <c r="BQ161" s="839" t="s">
        <v>470</v>
      </c>
      <c r="BR161" s="839" t="s">
        <v>18</v>
      </c>
      <c r="BS161" s="839"/>
      <c r="BT161" s="803"/>
      <c r="BU161" s="803" t="s">
        <v>471</v>
      </c>
      <c r="BV161" s="840">
        <f>C62</f>
        <v>1824.81</v>
      </c>
      <c r="BW161" s="803" t="s">
        <v>311</v>
      </c>
      <c r="BZ161" s="850">
        <f>5-(0.5*(C64-CE177)/(CE176-CE177))</f>
        <v>5.1823222439660794</v>
      </c>
      <c r="CE161" s="811"/>
      <c r="CF161" s="811"/>
    </row>
    <row r="162" spans="7:88">
      <c r="T162" s="811"/>
      <c r="U162" s="811"/>
      <c r="V162" s="803" t="str">
        <f>A2</f>
        <v>1 Market Street</v>
      </c>
      <c r="W162" s="851">
        <v>0.247</v>
      </c>
      <c r="X162" s="852" t="s">
        <v>472</v>
      </c>
      <c r="AL162" s="976"/>
      <c r="AM162" s="831">
        <v>2</v>
      </c>
      <c r="AN162" s="835">
        <v>161.56</v>
      </c>
      <c r="AO162" s="835">
        <v>194.58</v>
      </c>
      <c r="AP162" s="835">
        <v>125.91</v>
      </c>
      <c r="AQ162" s="835">
        <v>99.65</v>
      </c>
      <c r="AR162" s="835">
        <v>104.55</v>
      </c>
      <c r="AS162" s="976"/>
      <c r="AT162" s="831">
        <v>2</v>
      </c>
      <c r="AU162" s="835">
        <v>304.55</v>
      </c>
      <c r="AV162" s="835">
        <v>304.47000000000003</v>
      </c>
      <c r="AW162" s="835">
        <v>256.62</v>
      </c>
      <c r="AX162" s="835">
        <v>167.44</v>
      </c>
      <c r="AY162" s="835">
        <v>185.9</v>
      </c>
      <c r="BA162" s="831">
        <v>2</v>
      </c>
      <c r="BB162" s="811">
        <f t="shared" si="30"/>
        <v>161.56</v>
      </c>
      <c r="BC162" s="811" t="s">
        <v>436</v>
      </c>
      <c r="BD162" s="811">
        <f t="shared" si="35"/>
        <v>15.330000000000013</v>
      </c>
      <c r="BF162" s="811">
        <f t="shared" si="31"/>
        <v>161.56</v>
      </c>
      <c r="BG162" s="811">
        <f t="shared" si="32"/>
        <v>304.55</v>
      </c>
      <c r="BM162" s="849"/>
      <c r="BN162" s="849"/>
      <c r="BO162" s="849"/>
      <c r="BP162" s="849"/>
      <c r="BQ162" s="839" t="s">
        <v>473</v>
      </c>
      <c r="BT162" s="803"/>
      <c r="BU162" s="803" t="s">
        <v>474</v>
      </c>
      <c r="BV162" s="840">
        <f>C63</f>
        <v>1614.7909999999999</v>
      </c>
      <c r="BW162" s="803" t="s">
        <v>314</v>
      </c>
      <c r="BY162" s="803">
        <f>C63*BK156</f>
        <v>82887.22202999999</v>
      </c>
      <c r="CE162" s="811"/>
      <c r="CF162" s="811"/>
    </row>
    <row r="163" spans="7:88">
      <c r="T163" s="811"/>
      <c r="U163" s="811"/>
      <c r="V163" s="811"/>
      <c r="AL163" s="976"/>
      <c r="AM163" s="831">
        <v>1.5</v>
      </c>
      <c r="AN163" s="835">
        <v>176.89</v>
      </c>
      <c r="AO163" s="835">
        <v>213.15</v>
      </c>
      <c r="AP163" s="835">
        <v>135.04</v>
      </c>
      <c r="AQ163" s="835">
        <v>109.29</v>
      </c>
      <c r="AR163" s="835">
        <v>112.98</v>
      </c>
      <c r="AS163" s="976"/>
      <c r="AT163" s="831">
        <v>1.5</v>
      </c>
      <c r="AU163" s="835">
        <v>333.72</v>
      </c>
      <c r="AV163" s="835">
        <v>332.05</v>
      </c>
      <c r="AW163" s="835">
        <v>279.45</v>
      </c>
      <c r="AX163" s="835">
        <v>184.12</v>
      </c>
      <c r="AY163" s="835">
        <v>201.92</v>
      </c>
      <c r="BA163" s="831">
        <v>1.5</v>
      </c>
      <c r="BB163" s="811">
        <f t="shared" si="30"/>
        <v>176.89</v>
      </c>
      <c r="BC163" s="811" t="s">
        <v>436</v>
      </c>
      <c r="BD163" s="811">
        <f t="shared" si="35"/>
        <v>15.329999999999984</v>
      </c>
      <c r="BF163" s="811">
        <f t="shared" si="31"/>
        <v>176.89</v>
      </c>
      <c r="BG163" s="811">
        <f t="shared" si="32"/>
        <v>333.72</v>
      </c>
      <c r="BM163" s="849"/>
      <c r="BN163" s="849"/>
      <c r="BO163" s="849"/>
      <c r="BP163" s="849"/>
      <c r="BQ163" s="839" t="s">
        <v>475</v>
      </c>
      <c r="BT163" s="803"/>
      <c r="BU163" s="803" t="s">
        <v>476</v>
      </c>
      <c r="BV163" s="803">
        <f>BP158</f>
        <v>3.3983593130395078</v>
      </c>
      <c r="CE163" s="811"/>
      <c r="CF163" s="811"/>
    </row>
    <row r="164" spans="7:88" ht="13">
      <c r="T164" s="811"/>
      <c r="U164" s="811"/>
      <c r="V164" s="978" t="s">
        <v>477</v>
      </c>
      <c r="W164" s="978"/>
      <c r="X164" s="978"/>
      <c r="Z164" s="978"/>
      <c r="AA164" s="978"/>
      <c r="AB164" s="978"/>
      <c r="AL164" s="976"/>
      <c r="AM164" s="831">
        <v>1</v>
      </c>
      <c r="AN164" s="835">
        <v>192.21</v>
      </c>
      <c r="AO164" s="835">
        <v>231.71</v>
      </c>
      <c r="AP164" s="835">
        <v>144.16</v>
      </c>
      <c r="AQ164" s="835">
        <v>118.93</v>
      </c>
      <c r="AR164" s="835">
        <v>121.42</v>
      </c>
      <c r="AS164" s="976"/>
      <c r="AT164" s="831">
        <v>1</v>
      </c>
      <c r="AU164" s="835">
        <v>362.89</v>
      </c>
      <c r="AV164" s="835">
        <v>359.62</v>
      </c>
      <c r="AW164" s="835">
        <v>302.27999999999997</v>
      </c>
      <c r="AX164" s="835">
        <v>200.8</v>
      </c>
      <c r="AY164" s="835">
        <v>217.95</v>
      </c>
      <c r="BA164" s="831">
        <v>1</v>
      </c>
      <c r="BB164" s="811">
        <f t="shared" si="30"/>
        <v>192.21</v>
      </c>
      <c r="BC164" s="811" t="s">
        <v>436</v>
      </c>
      <c r="BD164" s="811">
        <f t="shared" si="35"/>
        <v>15.320000000000022</v>
      </c>
      <c r="BF164" s="811">
        <f t="shared" si="31"/>
        <v>192.21</v>
      </c>
      <c r="BG164" s="811">
        <f t="shared" si="32"/>
        <v>362.89</v>
      </c>
      <c r="BM164" s="849"/>
      <c r="BN164" s="849"/>
      <c r="BO164" s="849"/>
      <c r="BP164" s="849"/>
      <c r="BQ164" s="839" t="s">
        <v>478</v>
      </c>
      <c r="BT164" s="803"/>
      <c r="BU164" s="803"/>
      <c r="BV164" s="803">
        <f>BV163+BV158</f>
        <v>63.999999999999993</v>
      </c>
      <c r="CE164" s="811"/>
      <c r="CF164" s="811"/>
    </row>
    <row r="165" spans="7:88">
      <c r="T165" s="811"/>
      <c r="U165" s="811"/>
      <c r="V165" s="978"/>
      <c r="W165" s="978"/>
      <c r="X165" s="978"/>
      <c r="AN165" s="853" t="s">
        <v>118</v>
      </c>
      <c r="AO165" s="853" t="s">
        <v>129</v>
      </c>
      <c r="AP165" s="854" t="s">
        <v>150</v>
      </c>
      <c r="AQ165" s="854" t="s">
        <v>460</v>
      </c>
      <c r="AR165" s="854" t="s">
        <v>147</v>
      </c>
      <c r="AU165" s="853" t="s">
        <v>118</v>
      </c>
      <c r="AV165" s="853" t="s">
        <v>129</v>
      </c>
      <c r="AW165" s="854" t="s">
        <v>150</v>
      </c>
      <c r="AX165" s="854" t="s">
        <v>460</v>
      </c>
      <c r="AY165" s="854" t="s">
        <v>147</v>
      </c>
      <c r="BM165" s="849"/>
      <c r="BN165" s="849"/>
      <c r="BO165" s="849"/>
      <c r="BP165" s="849"/>
      <c r="BQ165" s="839" t="s">
        <v>479</v>
      </c>
      <c r="BT165" s="803"/>
      <c r="BU165" s="803"/>
      <c r="BV165" s="803"/>
      <c r="CE165" s="811"/>
      <c r="CF165" s="811"/>
    </row>
    <row r="166" spans="7:88" ht="15.5">
      <c r="G166" s="855">
        <v>45473</v>
      </c>
      <c r="H166" s="855">
        <f>DATE(YEAR(G166)+1,MONTH(G166),DAY(G166))</f>
        <v>45838</v>
      </c>
      <c r="I166" s="855">
        <f t="shared" ref="I166:Q166" si="36">DATE(YEAR(H166)+1,MONTH(H166),DAY(H166))</f>
        <v>46203</v>
      </c>
      <c r="J166" s="855">
        <f t="shared" si="36"/>
        <v>46568</v>
      </c>
      <c r="K166" s="855">
        <f t="shared" si="36"/>
        <v>46934</v>
      </c>
      <c r="L166" s="855">
        <f t="shared" si="36"/>
        <v>47299</v>
      </c>
      <c r="M166" s="855">
        <f t="shared" si="36"/>
        <v>47664</v>
      </c>
      <c r="N166" s="855">
        <f t="shared" si="36"/>
        <v>48029</v>
      </c>
      <c r="O166" s="855">
        <f t="shared" si="36"/>
        <v>48395</v>
      </c>
      <c r="P166" s="855">
        <f t="shared" si="36"/>
        <v>48760</v>
      </c>
      <c r="Q166" s="855">
        <f t="shared" si="36"/>
        <v>49125</v>
      </c>
      <c r="T166" s="856"/>
      <c r="U166" s="856"/>
      <c r="V166" s="856"/>
      <c r="W166" s="857" t="s">
        <v>200</v>
      </c>
      <c r="X166" s="857" t="s">
        <v>480</v>
      </c>
      <c r="Y166" s="858" t="s">
        <v>481</v>
      </c>
      <c r="Z166" s="857" t="s">
        <v>436</v>
      </c>
      <c r="AA166" s="859">
        <f>DATE(YEAR(C56)+1,MONTH(C56),DAY(C56))</f>
        <v>45382</v>
      </c>
      <c r="AB166" s="859">
        <f>DATE(YEAR(AA166)+1,MONTH(AA166),DAY(AA166))</f>
        <v>45747</v>
      </c>
      <c r="AC166" s="859">
        <f t="shared" ref="AC166:AK166" si="37">DATE(YEAR(AB166)+1,MONTH(AB166),DAY(AB166))</f>
        <v>46112</v>
      </c>
      <c r="AD166" s="859">
        <f t="shared" si="37"/>
        <v>46477</v>
      </c>
      <c r="AE166" s="859">
        <f t="shared" si="37"/>
        <v>46843</v>
      </c>
      <c r="AF166" s="859">
        <f t="shared" si="37"/>
        <v>47208</v>
      </c>
      <c r="AG166" s="859">
        <f t="shared" si="37"/>
        <v>47573</v>
      </c>
      <c r="AH166" s="859">
        <f t="shared" si="37"/>
        <v>47938</v>
      </c>
      <c r="AI166" s="859">
        <f t="shared" si="37"/>
        <v>48304</v>
      </c>
      <c r="AJ166" s="859">
        <f t="shared" si="37"/>
        <v>48669</v>
      </c>
      <c r="AK166" s="859">
        <f t="shared" si="37"/>
        <v>49034</v>
      </c>
      <c r="AL166" s="860" t="s">
        <v>482</v>
      </c>
      <c r="AM166" s="861"/>
      <c r="AN166" s="861" t="s">
        <v>483</v>
      </c>
      <c r="AO166" s="861" t="s">
        <v>484</v>
      </c>
      <c r="AP166" s="860"/>
      <c r="AQ166" s="860"/>
      <c r="AR166" s="860"/>
      <c r="AS166" s="860"/>
      <c r="AT166" s="860"/>
      <c r="AU166" s="860"/>
      <c r="AV166" s="860"/>
      <c r="AW166" s="860"/>
      <c r="AX166" s="860"/>
      <c r="AY166" s="860"/>
      <c r="AZ166" s="860"/>
      <c r="BA166" s="860"/>
      <c r="BB166" s="862"/>
      <c r="BC166" s="863"/>
      <c r="BD166" s="860"/>
      <c r="BE166" s="860">
        <f t="shared" ref="BE166:BE176" si="38">IF($C$58="base",INDEX($AN$157:$AR$157,MATCH($C$57,$AN$165:$AR$165,0)),INDEX($AU$157:$AY$157,MATCH($C$57,$AU$165:$AY$165,0)))</f>
        <v>84.92</v>
      </c>
      <c r="BF166" s="860" t="s">
        <v>388</v>
      </c>
      <c r="BG166" s="860">
        <f>BD156</f>
        <v>69.59</v>
      </c>
      <c r="BH166" s="860">
        <f>BD157</f>
        <v>15.329999999999998</v>
      </c>
      <c r="BI166" s="860">
        <f>BD158</f>
        <v>15.329999999999998</v>
      </c>
      <c r="BJ166" s="860">
        <f>BD159</f>
        <v>15.319999999999993</v>
      </c>
      <c r="BK166" s="860">
        <f>BD160</f>
        <v>15.330000000000013</v>
      </c>
      <c r="BL166" s="860">
        <f>BD161</f>
        <v>15.329999999999984</v>
      </c>
      <c r="BM166" s="860">
        <f>BD162</f>
        <v>15.330000000000013</v>
      </c>
      <c r="BN166" s="860">
        <f>BD163</f>
        <v>15.329999999999984</v>
      </c>
      <c r="BO166" s="860">
        <f>BD164</f>
        <v>15.320000000000022</v>
      </c>
      <c r="BP166" s="860"/>
      <c r="BQ166" s="860"/>
      <c r="BR166" s="864"/>
      <c r="BS166" s="864"/>
      <c r="BT166" s="865" t="s">
        <v>485</v>
      </c>
      <c r="BU166" s="860"/>
      <c r="BV166" s="860"/>
      <c r="BW166" s="807"/>
      <c r="BX166" s="807"/>
      <c r="BY166" s="807"/>
      <c r="BZ166" s="807"/>
      <c r="CA166" s="807"/>
      <c r="CB166" s="807"/>
      <c r="CC166" s="807"/>
      <c r="CD166" s="807"/>
      <c r="CE166" s="807" t="s">
        <v>364</v>
      </c>
      <c r="CF166" s="807" t="s">
        <v>435</v>
      </c>
      <c r="CG166" s="807"/>
      <c r="CH166" s="807"/>
      <c r="CI166" s="807"/>
      <c r="CJ166" s="807"/>
    </row>
    <row r="167" spans="7:88">
      <c r="G167" s="803">
        <f t="shared" ref="G167:G209" si="39">IF($E69&lt;G$66,$C69,0)</f>
        <v>-20</v>
      </c>
      <c r="H167" s="803">
        <f t="shared" ref="H167:J186" si="40">IF($E69&gt;H$66,0,IF($E69&lt;H$66-365,$C69,0))</f>
        <v>-20</v>
      </c>
      <c r="I167" s="803">
        <f t="shared" si="40"/>
        <v>-20</v>
      </c>
      <c r="J167" s="803">
        <f t="shared" si="40"/>
        <v>-20</v>
      </c>
      <c r="K167" s="803">
        <f t="shared" ref="K167:K209" si="41">IF($E69&lt;K$66,$C69,0)</f>
        <v>-20</v>
      </c>
      <c r="L167" s="803">
        <f t="shared" ref="L167:N186" si="42">IF($E69&gt;L$66,0,IF($E69&lt;L$66-365,$C69,0))</f>
        <v>-20</v>
      </c>
      <c r="M167" s="803">
        <f t="shared" si="42"/>
        <v>-20</v>
      </c>
      <c r="N167" s="803">
        <f t="shared" si="42"/>
        <v>-20</v>
      </c>
      <c r="O167" s="803">
        <f t="shared" ref="O167:O209" si="43">IF($E69&lt;O$66,$C69,0)</f>
        <v>-20</v>
      </c>
      <c r="P167" s="803">
        <f t="shared" ref="P167:Q186" si="44">IF($E69&gt;P$66,0,IF($E69&lt;P$66-365,$C69,0))</f>
        <v>-20</v>
      </c>
      <c r="Q167" s="803">
        <f t="shared" si="44"/>
        <v>-20</v>
      </c>
      <c r="W167" s="866"/>
      <c r="X167" s="838" t="e">
        <f t="shared" ref="X167:X211" si="45">-1*F68/W167</f>
        <v>#DIV/0!</v>
      </c>
      <c r="Y167" s="831">
        <f>Z167/$BH$166</f>
        <v>0</v>
      </c>
      <c r="Z167" s="838">
        <f>C68/$BN$157</f>
        <v>0</v>
      </c>
      <c r="AA167" s="838">
        <f t="shared" ref="AA167:AK167" si="46">IF($E68+365&lt;$C$56,0,IF($E68&lt;$C$56,(($E68+365-$C$56)/365)*(($C68/$BN$157)+($D68/$BN$158)),IF($E68&gt;AA$166,0,IF($E68+365&lt;AA$166,($C68/$BN$157)+($D68/$BN$158),((AA$166-$E68)/365)*(($C68/$BN$157)+($D68/$BN$158))))))</f>
        <v>0</v>
      </c>
      <c r="AB167" s="838">
        <f t="shared" si="46"/>
        <v>0</v>
      </c>
      <c r="AC167" s="838">
        <f t="shared" si="46"/>
        <v>0</v>
      </c>
      <c r="AD167" s="838">
        <f t="shared" si="46"/>
        <v>0</v>
      </c>
      <c r="AE167" s="838">
        <f t="shared" si="46"/>
        <v>0</v>
      </c>
      <c r="AF167" s="838">
        <f t="shared" si="46"/>
        <v>0</v>
      </c>
      <c r="AG167" s="838">
        <f t="shared" si="46"/>
        <v>0</v>
      </c>
      <c r="AH167" s="838">
        <f t="shared" si="46"/>
        <v>0</v>
      </c>
      <c r="AI167" s="838">
        <f t="shared" si="46"/>
        <v>0</v>
      </c>
      <c r="AJ167" s="838">
        <f t="shared" si="46"/>
        <v>0</v>
      </c>
      <c r="AK167" s="838">
        <f t="shared" si="46"/>
        <v>0</v>
      </c>
      <c r="AL167" s="811">
        <f t="shared" ref="AL167:AL213" si="47">IF(G68&lt;&gt;"",C68,0)</f>
        <v>0</v>
      </c>
      <c r="AM167" s="811">
        <f t="shared" ref="AM167:AM213" si="48">IF(G68&lt;&gt;"",D68,0)</f>
        <v>0</v>
      </c>
      <c r="AN167" s="867">
        <f t="shared" ref="AN167:AN213" si="49">IF(W68="Yes",0,F68)</f>
        <v>0</v>
      </c>
      <c r="AO167" s="867">
        <f t="shared" ref="AO167:AO213" si="50">IF(W68="Yes",F68,0)</f>
        <v>0</v>
      </c>
      <c r="BB167" s="831"/>
      <c r="BE167" s="811">
        <f t="shared" si="38"/>
        <v>84.92</v>
      </c>
      <c r="BF167" s="811" t="s">
        <v>486</v>
      </c>
      <c r="BG167" s="837">
        <f>BV158+($C$64-$BV$158)</f>
        <v>64</v>
      </c>
      <c r="BR167" s="849"/>
      <c r="BS167" s="849"/>
      <c r="BT167" s="839" t="s">
        <v>487</v>
      </c>
    </row>
    <row r="168" spans="7:88">
      <c r="G168" s="803">
        <f t="shared" si="39"/>
        <v>0</v>
      </c>
      <c r="H168" s="803">
        <f t="shared" si="40"/>
        <v>0</v>
      </c>
      <c r="I168" s="803">
        <f t="shared" si="40"/>
        <v>0</v>
      </c>
      <c r="J168" s="803">
        <f t="shared" si="40"/>
        <v>0</v>
      </c>
      <c r="K168" s="803">
        <f t="shared" si="41"/>
        <v>0</v>
      </c>
      <c r="L168" s="803">
        <f t="shared" si="42"/>
        <v>0</v>
      </c>
      <c r="M168" s="803">
        <f t="shared" si="42"/>
        <v>0</v>
      </c>
      <c r="N168" s="803">
        <f t="shared" si="42"/>
        <v>0</v>
      </c>
      <c r="O168" s="803">
        <f t="shared" si="43"/>
        <v>0</v>
      </c>
      <c r="P168" s="803">
        <f t="shared" si="44"/>
        <v>0</v>
      </c>
      <c r="Q168" s="803">
        <f t="shared" si="44"/>
        <v>0</v>
      </c>
      <c r="T168" s="868"/>
      <c r="U168" s="868"/>
      <c r="V168" s="868"/>
      <c r="W168" s="866">
        <f t="shared" ref="W168:W211" si="51">C69*$BN$160*1000</f>
        <v>-4939.9999999999991</v>
      </c>
      <c r="X168" s="838">
        <f t="shared" si="45"/>
        <v>29.128542510121463</v>
      </c>
      <c r="Y168" s="838">
        <f t="shared" ref="Y168:Y213" si="52">Z168/$BH$166</f>
        <v>-4.3326596113474683E-2</v>
      </c>
      <c r="Z168" s="838">
        <f t="shared" ref="Z168:Z213" si="53">($C69/$BN$157)+($D69/$BN$158)</f>
        <v>-0.66419671841956684</v>
      </c>
      <c r="AA168" s="838">
        <f t="shared" ref="AA168:AK168" si="54">IF($E69+365&lt;$C$56,0,IF($E69&lt;$C$56,(($E69+365-$C$56)/365)*(($C69/$BN$157)+($D69/$BN$158)),IF($E69&gt;AA$166,0,IF($E69+365&lt;AA$166,($C69/$BN$157)+($D69/$BN$158),((AA$166-$E69)/365)*(($C69/$BN$157)+($D69/$BN$158))))))</f>
        <v>0</v>
      </c>
      <c r="AB168" s="838">
        <f t="shared" si="54"/>
        <v>-0.66419671841956684</v>
      </c>
      <c r="AC168" s="838">
        <f t="shared" si="54"/>
        <v>-0.66419671841956684</v>
      </c>
      <c r="AD168" s="838">
        <f t="shared" si="54"/>
        <v>-0.66419671841956684</v>
      </c>
      <c r="AE168" s="838">
        <f t="shared" si="54"/>
        <v>-0.66419671841956684</v>
      </c>
      <c r="AF168" s="838">
        <f t="shared" si="54"/>
        <v>-0.66419671841956684</v>
      </c>
      <c r="AG168" s="838">
        <f t="shared" si="54"/>
        <v>-0.66419671841956684</v>
      </c>
      <c r="AH168" s="838">
        <f t="shared" si="54"/>
        <v>-0.66419671841956684</v>
      </c>
      <c r="AI168" s="838">
        <f t="shared" si="54"/>
        <v>-0.66419671841956684</v>
      </c>
      <c r="AJ168" s="838">
        <f t="shared" si="54"/>
        <v>-0.66419671841956684</v>
      </c>
      <c r="AK168" s="838">
        <f t="shared" si="54"/>
        <v>-0.66419671841956684</v>
      </c>
      <c r="AL168" s="811">
        <f t="shared" si="47"/>
        <v>-20</v>
      </c>
      <c r="AM168" s="811">
        <f t="shared" si="48"/>
        <v>0</v>
      </c>
      <c r="AN168" s="867">
        <f t="shared" si="49"/>
        <v>143895</v>
      </c>
      <c r="AO168" s="867">
        <f t="shared" si="50"/>
        <v>0</v>
      </c>
      <c r="BE168" s="811">
        <f t="shared" si="38"/>
        <v>84.92</v>
      </c>
      <c r="BF168" s="869">
        <f>AB166</f>
        <v>45747</v>
      </c>
      <c r="BG168" s="848">
        <f>(BV158+AB214)+($C$64-$BV$158)</f>
        <v>63.501852461185322</v>
      </c>
      <c r="BR168" s="849"/>
      <c r="BS168" s="849"/>
      <c r="BT168" s="839" t="s">
        <v>310</v>
      </c>
      <c r="CD168" s="803" t="s">
        <v>388</v>
      </c>
      <c r="CE168" s="870" t="str">
        <f>C57</f>
        <v>NSW</v>
      </c>
      <c r="CF168" s="803" t="str">
        <f>C57</f>
        <v>NSW</v>
      </c>
      <c r="CH168" s="831" t="s">
        <v>388</v>
      </c>
      <c r="CI168" s="803" t="s">
        <v>488</v>
      </c>
    </row>
    <row r="169" spans="7:88">
      <c r="G169" s="803">
        <f t="shared" si="39"/>
        <v>0</v>
      </c>
      <c r="H169" s="803">
        <f t="shared" si="40"/>
        <v>0</v>
      </c>
      <c r="I169" s="803">
        <f t="shared" si="40"/>
        <v>-100</v>
      </c>
      <c r="J169" s="803">
        <f t="shared" si="40"/>
        <v>-100</v>
      </c>
      <c r="K169" s="803">
        <f t="shared" si="41"/>
        <v>-100</v>
      </c>
      <c r="L169" s="803">
        <f t="shared" si="42"/>
        <v>-100</v>
      </c>
      <c r="M169" s="803">
        <f t="shared" si="42"/>
        <v>-100</v>
      </c>
      <c r="N169" s="803">
        <f t="shared" si="42"/>
        <v>-100</v>
      </c>
      <c r="O169" s="803">
        <f t="shared" si="43"/>
        <v>-100</v>
      </c>
      <c r="P169" s="803">
        <f t="shared" si="44"/>
        <v>-100</v>
      </c>
      <c r="Q169" s="803">
        <f t="shared" si="44"/>
        <v>-100</v>
      </c>
      <c r="T169" s="827"/>
      <c r="U169" s="827"/>
      <c r="V169" s="827"/>
      <c r="W169" s="866">
        <f t="shared" si="51"/>
        <v>0</v>
      </c>
      <c r="X169" s="838" t="e">
        <f t="shared" si="45"/>
        <v>#DIV/0!</v>
      </c>
      <c r="Y169" s="871">
        <f>Z169/$BH$166</f>
        <v>0</v>
      </c>
      <c r="Z169" s="838">
        <f t="shared" si="53"/>
        <v>0</v>
      </c>
      <c r="AA169" s="838">
        <f t="shared" ref="AA169:AK169" si="55">IF($E70+365&lt;$C$56,0,IF($E70&lt;$C$56,(($E70+365-$C$56)/365)*(($C70/$BN$157)+($D70/$BN$158)),IF($E70&gt;AA$166,0,IF($E70+365&lt;AA$166,($C70/$BN$157)+($D70/$BN$158),((AA$166-$E70)/365)*(($C70/$BN$157)+($D70/$BN$158))))))</f>
        <v>0</v>
      </c>
      <c r="AB169" s="838">
        <f t="shared" si="55"/>
        <v>0</v>
      </c>
      <c r="AC169" s="838">
        <f t="shared" si="55"/>
        <v>0</v>
      </c>
      <c r="AD169" s="838">
        <f t="shared" si="55"/>
        <v>0</v>
      </c>
      <c r="AE169" s="838">
        <f t="shared" si="55"/>
        <v>0</v>
      </c>
      <c r="AF169" s="838">
        <f t="shared" si="55"/>
        <v>0</v>
      </c>
      <c r="AG169" s="838">
        <f t="shared" si="55"/>
        <v>0</v>
      </c>
      <c r="AH169" s="838">
        <f t="shared" si="55"/>
        <v>0</v>
      </c>
      <c r="AI169" s="838">
        <f t="shared" si="55"/>
        <v>0</v>
      </c>
      <c r="AJ169" s="838">
        <f t="shared" si="55"/>
        <v>0</v>
      </c>
      <c r="AK169" s="838">
        <f t="shared" si="55"/>
        <v>0</v>
      </c>
      <c r="AL169" s="811">
        <f t="shared" si="47"/>
        <v>0</v>
      </c>
      <c r="AM169" s="811">
        <f t="shared" si="48"/>
        <v>0</v>
      </c>
      <c r="AN169" s="867">
        <f t="shared" si="49"/>
        <v>30000</v>
      </c>
      <c r="AO169" s="867">
        <f t="shared" si="50"/>
        <v>0</v>
      </c>
      <c r="BE169" s="811">
        <f t="shared" si="38"/>
        <v>84.92</v>
      </c>
      <c r="BF169" s="869">
        <f>BF168+365</f>
        <v>46112</v>
      </c>
      <c r="BG169" s="848">
        <f>BV158+AC214+($C$64-$BV$158)</f>
        <v>50.051868913189097</v>
      </c>
      <c r="BT169" s="839" t="s">
        <v>489</v>
      </c>
      <c r="CD169" s="803">
        <v>1</v>
      </c>
      <c r="CE169" s="803">
        <f>CI177</f>
        <v>192.21</v>
      </c>
      <c r="CF169" s="803">
        <f>CJ177</f>
        <v>362.89</v>
      </c>
      <c r="CH169" s="831">
        <v>5</v>
      </c>
      <c r="CI169" s="803">
        <f t="shared" ref="CI169:CI177" si="56">INDEX(AN156:AR156,MATCH($CE$168,$AN$165:$AR$165,0))</f>
        <v>69.59</v>
      </c>
      <c r="CJ169" s="803">
        <f t="shared" ref="CJ169:CJ177" si="57">INDEX(AU156:AY156,MATCH($CE$168,$AN$165:$AR$165,0))</f>
        <v>129.52000000000001</v>
      </c>
    </row>
    <row r="170" spans="7:88">
      <c r="G170" s="803">
        <f t="shared" si="39"/>
        <v>0</v>
      </c>
      <c r="H170" s="803">
        <f t="shared" si="40"/>
        <v>0</v>
      </c>
      <c r="I170" s="803">
        <f t="shared" si="40"/>
        <v>-240</v>
      </c>
      <c r="J170" s="803">
        <f t="shared" si="40"/>
        <v>-240</v>
      </c>
      <c r="K170" s="803">
        <f t="shared" si="41"/>
        <v>-240</v>
      </c>
      <c r="L170" s="803">
        <f t="shared" si="42"/>
        <v>-240</v>
      </c>
      <c r="M170" s="803">
        <f t="shared" si="42"/>
        <v>-240</v>
      </c>
      <c r="N170" s="803">
        <f t="shared" si="42"/>
        <v>-240</v>
      </c>
      <c r="O170" s="803">
        <f t="shared" si="43"/>
        <v>-240</v>
      </c>
      <c r="P170" s="803">
        <f t="shared" si="44"/>
        <v>-240</v>
      </c>
      <c r="Q170" s="803">
        <f t="shared" si="44"/>
        <v>-240</v>
      </c>
      <c r="T170" s="827"/>
      <c r="U170" s="827"/>
      <c r="V170" s="827"/>
      <c r="W170" s="866">
        <f t="shared" si="51"/>
        <v>-24700</v>
      </c>
      <c r="X170" s="838">
        <f t="shared" si="45"/>
        <v>5.7894736842105265</v>
      </c>
      <c r="Y170" s="831">
        <f t="shared" si="52"/>
        <v>-0.2166329805673734</v>
      </c>
      <c r="Z170" s="838">
        <f t="shared" si="53"/>
        <v>-3.3209835920978339</v>
      </c>
      <c r="AA170" s="838">
        <f t="shared" ref="AA170:AK170" si="58">IF($E71+365&lt;$C$56,0,IF($E71&lt;$C$56,(($E71+365-$C$56)/365)*(($C71/$BN$157)+($D71/$BN$158)),IF($E71&gt;AA$166,0,IF($E71+365&lt;AA$166,($C71/$BN$157)+($D71/$BN$158),((AA$166-$E71)/365)*(($C71/$BN$157)+($D71/$BN$158))))))</f>
        <v>0</v>
      </c>
      <c r="AB170" s="838">
        <f t="shared" si="58"/>
        <v>0</v>
      </c>
      <c r="AC170" s="838">
        <f t="shared" si="58"/>
        <v>-3.3209835920978339</v>
      </c>
      <c r="AD170" s="838">
        <f t="shared" si="58"/>
        <v>-3.3209835920978339</v>
      </c>
      <c r="AE170" s="838">
        <f t="shared" si="58"/>
        <v>-3.3209835920978339</v>
      </c>
      <c r="AF170" s="838">
        <f t="shared" si="58"/>
        <v>-3.3209835920978339</v>
      </c>
      <c r="AG170" s="838">
        <f t="shared" si="58"/>
        <v>-3.3209835920978339</v>
      </c>
      <c r="AH170" s="838">
        <f t="shared" si="58"/>
        <v>-3.3209835920978339</v>
      </c>
      <c r="AI170" s="838">
        <f t="shared" si="58"/>
        <v>-3.3209835920978339</v>
      </c>
      <c r="AJ170" s="838">
        <f t="shared" si="58"/>
        <v>-3.3209835920978339</v>
      </c>
      <c r="AK170" s="838">
        <f t="shared" si="58"/>
        <v>-3.3209835920978339</v>
      </c>
      <c r="AL170" s="811">
        <f t="shared" si="47"/>
        <v>-100</v>
      </c>
      <c r="AM170" s="811">
        <f t="shared" si="48"/>
        <v>0</v>
      </c>
      <c r="AN170" s="867">
        <f t="shared" si="49"/>
        <v>143000</v>
      </c>
      <c r="AO170" s="867">
        <f t="shared" si="50"/>
        <v>0</v>
      </c>
      <c r="BE170" s="811">
        <f t="shared" si="38"/>
        <v>84.92</v>
      </c>
      <c r="BF170" s="869">
        <f>BF169+365</f>
        <v>46477</v>
      </c>
      <c r="BG170" s="848">
        <f>$BV$158+AD214+($C$64-$BV$158)</f>
        <v>48.036245891728313</v>
      </c>
      <c r="CD170" s="803">
        <v>1.5</v>
      </c>
      <c r="CE170" s="803">
        <f>CI176</f>
        <v>176.89</v>
      </c>
      <c r="CF170" s="803">
        <f>CJ176</f>
        <v>333.72</v>
      </c>
      <c r="CH170" s="831">
        <v>4.5</v>
      </c>
      <c r="CI170" s="803">
        <f t="shared" si="56"/>
        <v>84.92</v>
      </c>
      <c r="CJ170" s="803">
        <f t="shared" si="57"/>
        <v>158.69</v>
      </c>
    </row>
    <row r="171" spans="7:88">
      <c r="G171" s="803">
        <f t="shared" si="39"/>
        <v>0</v>
      </c>
      <c r="H171" s="803">
        <f t="shared" si="40"/>
        <v>0</v>
      </c>
      <c r="I171" s="803">
        <f t="shared" si="40"/>
        <v>-80</v>
      </c>
      <c r="J171" s="803">
        <f t="shared" si="40"/>
        <v>-80</v>
      </c>
      <c r="K171" s="803">
        <f t="shared" si="41"/>
        <v>-80</v>
      </c>
      <c r="L171" s="803">
        <f t="shared" si="42"/>
        <v>-80</v>
      </c>
      <c r="M171" s="803">
        <f t="shared" si="42"/>
        <v>-80</v>
      </c>
      <c r="N171" s="803">
        <f t="shared" si="42"/>
        <v>-80</v>
      </c>
      <c r="O171" s="803">
        <f t="shared" si="43"/>
        <v>-80</v>
      </c>
      <c r="P171" s="803">
        <f t="shared" si="44"/>
        <v>-80</v>
      </c>
      <c r="Q171" s="803">
        <f t="shared" si="44"/>
        <v>-80</v>
      </c>
      <c r="T171" s="827"/>
      <c r="U171" s="827"/>
      <c r="V171" s="827"/>
      <c r="W171" s="866">
        <f t="shared" si="51"/>
        <v>-59280</v>
      </c>
      <c r="X171" s="838">
        <f t="shared" si="45"/>
        <v>1.3680836707152497</v>
      </c>
      <c r="Y171" s="838">
        <f t="shared" si="52"/>
        <v>-0.51991915336169614</v>
      </c>
      <c r="Z171" s="838">
        <f t="shared" si="53"/>
        <v>-7.9703606210348017</v>
      </c>
      <c r="AA171" s="838">
        <f t="shared" ref="AA171:AK171" si="59">IF($E72+365&lt;$C$56,0,IF($E72&lt;$C$56,(($E72+365-$C$56)/365)*(($C72/$BN$157)+($D72/$BN$158)),IF($E72&gt;AA$166,0,IF($E72+365&lt;AA$166,($C72/$BN$157)+($D72/$BN$158),((AA$166-$E72)/365)*(($C72/$BN$157)+($D72/$BN$158))))))</f>
        <v>0</v>
      </c>
      <c r="AB171" s="838">
        <f t="shared" si="59"/>
        <v>0</v>
      </c>
      <c r="AC171" s="838">
        <f t="shared" si="59"/>
        <v>-7.9703606210348017</v>
      </c>
      <c r="AD171" s="838">
        <f t="shared" si="59"/>
        <v>-7.9703606210348017</v>
      </c>
      <c r="AE171" s="838">
        <f t="shared" si="59"/>
        <v>-7.9703606210348017</v>
      </c>
      <c r="AF171" s="838">
        <f t="shared" si="59"/>
        <v>-7.9703606210348017</v>
      </c>
      <c r="AG171" s="838">
        <f t="shared" si="59"/>
        <v>-7.9703606210348017</v>
      </c>
      <c r="AH171" s="838">
        <f t="shared" si="59"/>
        <v>-7.9703606210348017</v>
      </c>
      <c r="AI171" s="838">
        <f t="shared" si="59"/>
        <v>-7.9703606210348017</v>
      </c>
      <c r="AJ171" s="838">
        <f t="shared" si="59"/>
        <v>-7.9703606210348017</v>
      </c>
      <c r="AK171" s="838">
        <f t="shared" si="59"/>
        <v>-7.9703606210348017</v>
      </c>
      <c r="AL171" s="811">
        <f t="shared" si="47"/>
        <v>-240</v>
      </c>
      <c r="AM171" s="811">
        <f t="shared" si="48"/>
        <v>0</v>
      </c>
      <c r="AN171" s="867">
        <f t="shared" si="49"/>
        <v>81100</v>
      </c>
      <c r="AO171" s="867">
        <f t="shared" si="50"/>
        <v>0</v>
      </c>
      <c r="BE171" s="811">
        <f t="shared" si="38"/>
        <v>84.92</v>
      </c>
      <c r="BF171" s="869">
        <f t="shared" ref="BF171:BF176" si="60">BF170+365</f>
        <v>46842</v>
      </c>
      <c r="BG171" s="848">
        <f>$BV$158+AE214+($C$64-$BV$158)</f>
        <v>47.727193313656805</v>
      </c>
      <c r="CD171" s="803">
        <v>2</v>
      </c>
      <c r="CE171" s="803">
        <f>CI175</f>
        <v>161.56</v>
      </c>
      <c r="CF171" s="803">
        <f>CJ175</f>
        <v>304.55</v>
      </c>
      <c r="CH171" s="831">
        <v>4</v>
      </c>
      <c r="CI171" s="803">
        <f t="shared" si="56"/>
        <v>100.25</v>
      </c>
      <c r="CJ171" s="803">
        <f t="shared" si="57"/>
        <v>187.86</v>
      </c>
    </row>
    <row r="172" spans="7:88">
      <c r="G172" s="803">
        <f t="shared" si="39"/>
        <v>0</v>
      </c>
      <c r="H172" s="803">
        <f t="shared" si="40"/>
        <v>0</v>
      </c>
      <c r="I172" s="803">
        <f t="shared" si="40"/>
        <v>0</v>
      </c>
      <c r="J172" s="803">
        <f t="shared" si="40"/>
        <v>0</v>
      </c>
      <c r="K172" s="803">
        <f t="shared" si="41"/>
        <v>0</v>
      </c>
      <c r="L172" s="803">
        <f t="shared" si="42"/>
        <v>0</v>
      </c>
      <c r="M172" s="803">
        <f t="shared" si="42"/>
        <v>0</v>
      </c>
      <c r="N172" s="803">
        <f t="shared" si="42"/>
        <v>0</v>
      </c>
      <c r="O172" s="803">
        <f t="shared" si="43"/>
        <v>0</v>
      </c>
      <c r="P172" s="803">
        <f t="shared" si="44"/>
        <v>0</v>
      </c>
      <c r="Q172" s="803">
        <f t="shared" si="44"/>
        <v>0</v>
      </c>
      <c r="T172" s="827"/>
      <c r="U172" s="827"/>
      <c r="V172" s="827"/>
      <c r="W172" s="866">
        <f t="shared" si="51"/>
        <v>-19759.999999999996</v>
      </c>
      <c r="X172" s="838">
        <f t="shared" si="45"/>
        <v>8.5425101214574912</v>
      </c>
      <c r="Y172" s="831">
        <f>Z172/$BH$166</f>
        <v>-0.17330638445389873</v>
      </c>
      <c r="Z172" s="838">
        <f t="shared" si="53"/>
        <v>-2.6567868736782674</v>
      </c>
      <c r="AA172" s="838">
        <f t="shared" ref="AA172:AK172" si="61">IF($E73+365&lt;$C$56,0,IF($E73&lt;$C$56,(($E73+365-$C$56)/365)*(($C73/$BN$157)+($D73/$BN$158)),IF($E73&gt;AA$166,0,IF($E73+365&lt;AA$166,($C73/$BN$157)+($D73/$BN$158),((AA$166-$E73)/365)*(($C73/$BN$157)+($D73/$BN$158))))))</f>
        <v>0</v>
      </c>
      <c r="AB172" s="838">
        <f t="shared" si="61"/>
        <v>0</v>
      </c>
      <c r="AC172" s="838">
        <f t="shared" si="61"/>
        <v>-2.6567868736782674</v>
      </c>
      <c r="AD172" s="838">
        <f t="shared" si="61"/>
        <v>-2.6567868736782674</v>
      </c>
      <c r="AE172" s="838">
        <f t="shared" si="61"/>
        <v>-2.6567868736782674</v>
      </c>
      <c r="AF172" s="838">
        <f t="shared" si="61"/>
        <v>-2.6567868736782674</v>
      </c>
      <c r="AG172" s="838">
        <f t="shared" si="61"/>
        <v>-2.6567868736782674</v>
      </c>
      <c r="AH172" s="838">
        <f t="shared" si="61"/>
        <v>-2.6567868736782674</v>
      </c>
      <c r="AI172" s="838">
        <f t="shared" si="61"/>
        <v>-2.6567868736782674</v>
      </c>
      <c r="AJ172" s="838">
        <f t="shared" si="61"/>
        <v>-2.6567868736782674</v>
      </c>
      <c r="AK172" s="838">
        <f t="shared" si="61"/>
        <v>-2.6567868736782674</v>
      </c>
      <c r="AL172" s="811">
        <f t="shared" si="47"/>
        <v>-80</v>
      </c>
      <c r="AM172" s="811">
        <f t="shared" si="48"/>
        <v>0</v>
      </c>
      <c r="AN172" s="867">
        <f t="shared" si="49"/>
        <v>168800</v>
      </c>
      <c r="AO172" s="867">
        <f t="shared" si="50"/>
        <v>0</v>
      </c>
      <c r="BE172" s="811">
        <f t="shared" si="38"/>
        <v>84.92</v>
      </c>
      <c r="BF172" s="869">
        <f t="shared" si="60"/>
        <v>47207</v>
      </c>
      <c r="BG172" s="848">
        <f>$BV$158+AF214+($C$64-$BV$158)</f>
        <v>47.418140735585297</v>
      </c>
      <c r="CD172" s="803">
        <v>2.5</v>
      </c>
      <c r="CE172" s="803">
        <f>CI174</f>
        <v>146.22999999999999</v>
      </c>
      <c r="CF172" s="803">
        <f>CJ174</f>
        <v>275.38</v>
      </c>
      <c r="CH172" s="831">
        <v>3.5</v>
      </c>
      <c r="CI172" s="803">
        <f t="shared" si="56"/>
        <v>115.57</v>
      </c>
      <c r="CJ172" s="803">
        <f t="shared" si="57"/>
        <v>217.04</v>
      </c>
    </row>
    <row r="173" spans="7:88">
      <c r="G173" s="803">
        <f t="shared" si="39"/>
        <v>0</v>
      </c>
      <c r="H173" s="803">
        <f t="shared" si="40"/>
        <v>0</v>
      </c>
      <c r="I173" s="803">
        <f t="shared" si="40"/>
        <v>-120</v>
      </c>
      <c r="J173" s="803">
        <f t="shared" si="40"/>
        <v>-120</v>
      </c>
      <c r="K173" s="803">
        <f t="shared" si="41"/>
        <v>-120</v>
      </c>
      <c r="L173" s="803">
        <f t="shared" si="42"/>
        <v>-120</v>
      </c>
      <c r="M173" s="803">
        <f t="shared" si="42"/>
        <v>-120</v>
      </c>
      <c r="N173" s="803">
        <f t="shared" si="42"/>
        <v>-120</v>
      </c>
      <c r="O173" s="803">
        <f t="shared" si="43"/>
        <v>-120</v>
      </c>
      <c r="P173" s="803">
        <f t="shared" si="44"/>
        <v>-120</v>
      </c>
      <c r="Q173" s="803">
        <f t="shared" si="44"/>
        <v>-120</v>
      </c>
      <c r="T173" s="827"/>
      <c r="U173" s="827"/>
      <c r="V173" s="827"/>
      <c r="W173" s="866">
        <f t="shared" si="51"/>
        <v>0</v>
      </c>
      <c r="X173" s="838" t="e">
        <f t="shared" si="45"/>
        <v>#DIV/0!</v>
      </c>
      <c r="Y173" s="831">
        <f t="shared" si="52"/>
        <v>0</v>
      </c>
      <c r="Z173" s="838">
        <f t="shared" si="53"/>
        <v>0</v>
      </c>
      <c r="AA173" s="838">
        <f t="shared" ref="AA173:AK173" si="62">IF($E74+365&lt;$C$56,0,IF($E74&lt;$C$56,(($E74+365-$C$56)/365)*(($C74/$BN$157)+($D74/$BN$158)),IF($E74&gt;AA$166,0,IF($E74+365&lt;AA$166,($C74/$BN$157)+($D74/$BN$158),((AA$166-$E74)/365)*(($C74/$BN$157)+($D74/$BN$158))))))</f>
        <v>0</v>
      </c>
      <c r="AB173" s="838">
        <f t="shared" si="62"/>
        <v>0</v>
      </c>
      <c r="AC173" s="838">
        <f t="shared" si="62"/>
        <v>0</v>
      </c>
      <c r="AD173" s="838">
        <f t="shared" si="62"/>
        <v>0</v>
      </c>
      <c r="AE173" s="838">
        <f t="shared" si="62"/>
        <v>0</v>
      </c>
      <c r="AF173" s="838">
        <f t="shared" si="62"/>
        <v>0</v>
      </c>
      <c r="AG173" s="838">
        <f t="shared" si="62"/>
        <v>0</v>
      </c>
      <c r="AH173" s="838">
        <f t="shared" si="62"/>
        <v>0</v>
      </c>
      <c r="AI173" s="838">
        <f t="shared" si="62"/>
        <v>0</v>
      </c>
      <c r="AJ173" s="838">
        <f t="shared" si="62"/>
        <v>0</v>
      </c>
      <c r="AK173" s="838">
        <f t="shared" si="62"/>
        <v>0</v>
      </c>
      <c r="AL173" s="811">
        <f t="shared" si="47"/>
        <v>0</v>
      </c>
      <c r="AM173" s="811">
        <f t="shared" si="48"/>
        <v>0</v>
      </c>
      <c r="AN173" s="867">
        <f t="shared" si="49"/>
        <v>56300</v>
      </c>
      <c r="AO173" s="867">
        <f t="shared" si="50"/>
        <v>0</v>
      </c>
      <c r="BE173" s="811">
        <f t="shared" si="38"/>
        <v>84.92</v>
      </c>
      <c r="BF173" s="869">
        <f t="shared" si="60"/>
        <v>47572</v>
      </c>
      <c r="BG173" s="848">
        <f>$BV$158+AG214+($C$64-$BV$158)</f>
        <v>47.109088157513789</v>
      </c>
      <c r="CD173" s="803">
        <v>3</v>
      </c>
      <c r="CE173" s="803">
        <f>CI173</f>
        <v>130.9</v>
      </c>
      <c r="CF173" s="803">
        <f>CJ173</f>
        <v>246.21</v>
      </c>
      <c r="CH173" s="831">
        <v>3</v>
      </c>
      <c r="CI173" s="803">
        <f t="shared" si="56"/>
        <v>130.9</v>
      </c>
      <c r="CJ173" s="803">
        <f t="shared" si="57"/>
        <v>246.21</v>
      </c>
    </row>
    <row r="174" spans="7:88">
      <c r="G174" s="803">
        <f t="shared" si="39"/>
        <v>0</v>
      </c>
      <c r="H174" s="803">
        <f t="shared" si="40"/>
        <v>0</v>
      </c>
      <c r="I174" s="803">
        <f t="shared" si="40"/>
        <v>0</v>
      </c>
      <c r="J174" s="803">
        <f t="shared" si="40"/>
        <v>40</v>
      </c>
      <c r="K174" s="803">
        <f t="shared" si="41"/>
        <v>40</v>
      </c>
      <c r="L174" s="803">
        <f t="shared" si="42"/>
        <v>40</v>
      </c>
      <c r="M174" s="803">
        <f t="shared" si="42"/>
        <v>40</v>
      </c>
      <c r="N174" s="803">
        <f t="shared" si="42"/>
        <v>40</v>
      </c>
      <c r="O174" s="803">
        <f t="shared" si="43"/>
        <v>40</v>
      </c>
      <c r="P174" s="803">
        <f t="shared" si="44"/>
        <v>40</v>
      </c>
      <c r="Q174" s="803">
        <f t="shared" si="44"/>
        <v>40</v>
      </c>
      <c r="T174" s="827"/>
      <c r="U174" s="827"/>
      <c r="V174" s="827"/>
      <c r="W174" s="866">
        <f t="shared" si="51"/>
        <v>-29640</v>
      </c>
      <c r="X174" s="838">
        <f t="shared" si="45"/>
        <v>64.008097165991899</v>
      </c>
      <c r="Y174" s="831">
        <f t="shared" si="52"/>
        <v>-0.25995957668084807</v>
      </c>
      <c r="Z174" s="838">
        <f t="shared" si="53"/>
        <v>-3.9851803105174008</v>
      </c>
      <c r="AA174" s="838">
        <f t="shared" ref="AA174:AK174" si="63">IF($E75+365&lt;$C$56,0,IF($E75&lt;$C$56,(($E75+365-$C$56)/365)*(($C75/$BN$157)+($D75/$BN$158)),IF($E75&gt;AA$166,0,IF($E75+365&lt;AA$166,($C75/$BN$157)+($D75/$BN$158),((AA$166-$E75)/365)*(($C75/$BN$157)+($D75/$BN$158))))))</f>
        <v>0</v>
      </c>
      <c r="AB174" s="838">
        <f t="shared" si="63"/>
        <v>0</v>
      </c>
      <c r="AC174" s="838">
        <f t="shared" si="63"/>
        <v>-3.9851803105174008</v>
      </c>
      <c r="AD174" s="838">
        <f t="shared" si="63"/>
        <v>-3.9851803105174008</v>
      </c>
      <c r="AE174" s="838">
        <f t="shared" si="63"/>
        <v>-3.9851803105174008</v>
      </c>
      <c r="AF174" s="838">
        <f t="shared" si="63"/>
        <v>-3.9851803105174008</v>
      </c>
      <c r="AG174" s="838">
        <f t="shared" si="63"/>
        <v>-3.9851803105174008</v>
      </c>
      <c r="AH174" s="838">
        <f t="shared" si="63"/>
        <v>-3.9851803105174008</v>
      </c>
      <c r="AI174" s="838">
        <f t="shared" si="63"/>
        <v>-3.9851803105174008</v>
      </c>
      <c r="AJ174" s="838">
        <f t="shared" si="63"/>
        <v>-3.9851803105174008</v>
      </c>
      <c r="AK174" s="838">
        <f t="shared" si="63"/>
        <v>-3.9851803105174008</v>
      </c>
      <c r="AL174" s="811">
        <f t="shared" si="47"/>
        <v>-120</v>
      </c>
      <c r="AM174" s="811">
        <f t="shared" si="48"/>
        <v>0</v>
      </c>
      <c r="AN174" s="867">
        <f t="shared" si="49"/>
        <v>1897200</v>
      </c>
      <c r="AO174" s="867">
        <f t="shared" si="50"/>
        <v>0</v>
      </c>
      <c r="BE174" s="811">
        <f t="shared" si="38"/>
        <v>84.92</v>
      </c>
      <c r="BF174" s="869">
        <f t="shared" si="60"/>
        <v>47937</v>
      </c>
      <c r="BG174" s="848">
        <f>$BV$158+AH214+($C$64-$BV$158)</f>
        <v>42.772881726302529</v>
      </c>
      <c r="BI174" s="849"/>
      <c r="BJ174" s="849"/>
      <c r="BK174" s="849"/>
      <c r="CD174" s="803">
        <v>3.5</v>
      </c>
      <c r="CE174" s="803">
        <f>CI172</f>
        <v>115.57</v>
      </c>
      <c r="CF174" s="803">
        <f>CJ172</f>
        <v>217.04</v>
      </c>
      <c r="CH174" s="831">
        <v>2.5</v>
      </c>
      <c r="CI174" s="803">
        <f t="shared" si="56"/>
        <v>146.22999999999999</v>
      </c>
      <c r="CJ174" s="803">
        <f t="shared" si="57"/>
        <v>275.38</v>
      </c>
    </row>
    <row r="175" spans="7:88">
      <c r="G175" s="803">
        <f t="shared" si="39"/>
        <v>0</v>
      </c>
      <c r="H175" s="803">
        <f t="shared" si="40"/>
        <v>0</v>
      </c>
      <c r="I175" s="803">
        <f t="shared" si="40"/>
        <v>0</v>
      </c>
      <c r="J175" s="803">
        <f t="shared" si="40"/>
        <v>-15</v>
      </c>
      <c r="K175" s="803">
        <f t="shared" si="41"/>
        <v>-15</v>
      </c>
      <c r="L175" s="803">
        <f t="shared" si="42"/>
        <v>-15</v>
      </c>
      <c r="M175" s="803">
        <f t="shared" si="42"/>
        <v>-15</v>
      </c>
      <c r="N175" s="803">
        <f t="shared" si="42"/>
        <v>-15</v>
      </c>
      <c r="O175" s="803">
        <f t="shared" si="43"/>
        <v>-15</v>
      </c>
      <c r="P175" s="803">
        <f t="shared" si="44"/>
        <v>-15</v>
      </c>
      <c r="Q175" s="803">
        <f t="shared" si="44"/>
        <v>-15</v>
      </c>
      <c r="T175" s="827"/>
      <c r="U175" s="827"/>
      <c r="V175" s="827"/>
      <c r="W175" s="866">
        <f t="shared" si="51"/>
        <v>9879.9999999999982</v>
      </c>
      <c r="X175" s="838">
        <f t="shared" si="45"/>
        <v>-68.360323886639691</v>
      </c>
      <c r="Y175" s="831">
        <f t="shared" si="52"/>
        <v>2.4876687268486714E-2</v>
      </c>
      <c r="Z175" s="838">
        <f t="shared" si="53"/>
        <v>0.38135961582590128</v>
      </c>
      <c r="AA175" s="838">
        <f t="shared" ref="AA175:AK175" si="64">IF($E76+365&lt;$C$56,0,IF($E76&lt;$C$56,(($E76+365-$C$56)/365)*(($C76/$BN$157)+($D76/$BN$158)),IF($E76&gt;AA$166,0,IF($E76+365&lt;AA$166,($C76/$BN$157)+($D76/$BN$158),((AA$166-$E76)/365)*(($C76/$BN$157)+($D76/$BN$158))))))</f>
        <v>0</v>
      </c>
      <c r="AB175" s="838">
        <f t="shared" si="64"/>
        <v>0</v>
      </c>
      <c r="AC175" s="838">
        <f t="shared" si="64"/>
        <v>0</v>
      </c>
      <c r="AD175" s="838">
        <f t="shared" si="64"/>
        <v>0.38135961582590128</v>
      </c>
      <c r="AE175" s="838">
        <f t="shared" si="64"/>
        <v>0.38135961582590128</v>
      </c>
      <c r="AF175" s="838">
        <f t="shared" si="64"/>
        <v>0.38135961582590128</v>
      </c>
      <c r="AG175" s="838">
        <f t="shared" si="64"/>
        <v>0.38135961582590128</v>
      </c>
      <c r="AH175" s="838">
        <f t="shared" si="64"/>
        <v>0.38135961582590128</v>
      </c>
      <c r="AI175" s="838">
        <f t="shared" si="64"/>
        <v>0.38135961582590128</v>
      </c>
      <c r="AJ175" s="838">
        <f t="shared" si="64"/>
        <v>0.38135961582590128</v>
      </c>
      <c r="AK175" s="838">
        <f t="shared" si="64"/>
        <v>0.38135961582590128</v>
      </c>
      <c r="AL175" s="811">
        <f t="shared" si="47"/>
        <v>40</v>
      </c>
      <c r="AM175" s="811">
        <f t="shared" si="48"/>
        <v>-450</v>
      </c>
      <c r="AN175" s="867">
        <f t="shared" si="49"/>
        <v>675400</v>
      </c>
      <c r="AO175" s="867">
        <f t="shared" si="50"/>
        <v>0</v>
      </c>
      <c r="BE175" s="811">
        <f t="shared" si="38"/>
        <v>84.92</v>
      </c>
      <c r="BF175" s="869">
        <f t="shared" si="60"/>
        <v>48302</v>
      </c>
      <c r="BG175" s="848">
        <f>$BV$158+AI214+($C$64-$BV$158)</f>
        <v>42.772881726302529</v>
      </c>
      <c r="BI175" s="849"/>
      <c r="BJ175" s="849"/>
      <c r="BK175" s="849"/>
      <c r="CD175" s="803">
        <v>4</v>
      </c>
      <c r="CE175" s="803">
        <f>CI171</f>
        <v>100.25</v>
      </c>
      <c r="CF175" s="803">
        <f>CJ171</f>
        <v>187.86</v>
      </c>
      <c r="CH175" s="831">
        <v>2</v>
      </c>
      <c r="CI175" s="803">
        <f t="shared" si="56"/>
        <v>161.56</v>
      </c>
      <c r="CJ175" s="803">
        <f t="shared" si="57"/>
        <v>304.55</v>
      </c>
    </row>
    <row r="176" spans="7:88">
      <c r="G176" s="803">
        <f t="shared" si="39"/>
        <v>0</v>
      </c>
      <c r="H176" s="803">
        <f t="shared" si="40"/>
        <v>0</v>
      </c>
      <c r="I176" s="803">
        <f t="shared" si="40"/>
        <v>0</v>
      </c>
      <c r="J176" s="803">
        <f t="shared" si="40"/>
        <v>-10</v>
      </c>
      <c r="K176" s="803">
        <f t="shared" si="41"/>
        <v>-10</v>
      </c>
      <c r="L176" s="803">
        <f t="shared" si="42"/>
        <v>-10</v>
      </c>
      <c r="M176" s="803">
        <f t="shared" si="42"/>
        <v>-10</v>
      </c>
      <c r="N176" s="803">
        <f t="shared" si="42"/>
        <v>-10</v>
      </c>
      <c r="O176" s="803">
        <f t="shared" si="43"/>
        <v>-10</v>
      </c>
      <c r="P176" s="803">
        <f t="shared" si="44"/>
        <v>-10</v>
      </c>
      <c r="Q176" s="803">
        <f t="shared" si="44"/>
        <v>-10</v>
      </c>
      <c r="T176" s="827"/>
      <c r="U176" s="827"/>
      <c r="V176" s="827"/>
      <c r="W176" s="866">
        <f t="shared" si="51"/>
        <v>-3705</v>
      </c>
      <c r="X176" s="838">
        <f t="shared" si="45"/>
        <v>45.587044534412954</v>
      </c>
      <c r="Y176" s="831">
        <f t="shared" si="52"/>
        <v>-3.2494947085106009E-2</v>
      </c>
      <c r="Z176" s="838">
        <f t="shared" si="53"/>
        <v>-0.49814753881467511</v>
      </c>
      <c r="AA176" s="838">
        <f t="shared" ref="AA176:AK176" si="65">IF($E77+365&lt;$C$56,0,IF($E77&lt;$C$56,(($E77+365-$C$56)/365)*(($C77/$BN$157)+($D77/$BN$158)),IF($E77&gt;AA$166,0,IF($E77+365&lt;AA$166,($C77/$BN$157)+($D77/$BN$158),((AA$166-$E77)/365)*(($C77/$BN$157)+($D77/$BN$158))))))</f>
        <v>0</v>
      </c>
      <c r="AB176" s="838">
        <f t="shared" si="65"/>
        <v>0</v>
      </c>
      <c r="AC176" s="838">
        <f t="shared" si="65"/>
        <v>0</v>
      </c>
      <c r="AD176" s="838">
        <f t="shared" si="65"/>
        <v>-0.49814753881467511</v>
      </c>
      <c r="AE176" s="838">
        <f t="shared" si="65"/>
        <v>-0.49814753881467511</v>
      </c>
      <c r="AF176" s="838">
        <f t="shared" si="65"/>
        <v>-0.49814753881467511</v>
      </c>
      <c r="AG176" s="838">
        <f t="shared" si="65"/>
        <v>-0.49814753881467511</v>
      </c>
      <c r="AH176" s="838">
        <f t="shared" si="65"/>
        <v>-0.49814753881467511</v>
      </c>
      <c r="AI176" s="838">
        <f t="shared" si="65"/>
        <v>-0.49814753881467511</v>
      </c>
      <c r="AJ176" s="838">
        <f t="shared" si="65"/>
        <v>-0.49814753881467511</v>
      </c>
      <c r="AK176" s="838">
        <f t="shared" si="65"/>
        <v>-0.49814753881467511</v>
      </c>
      <c r="AL176" s="811">
        <f t="shared" si="47"/>
        <v>-15</v>
      </c>
      <c r="AM176" s="811">
        <f t="shared" si="48"/>
        <v>0</v>
      </c>
      <c r="AN176" s="867">
        <f t="shared" si="49"/>
        <v>168900</v>
      </c>
      <c r="AO176" s="867">
        <f t="shared" si="50"/>
        <v>0</v>
      </c>
      <c r="BE176" s="811">
        <f t="shared" si="38"/>
        <v>84.92</v>
      </c>
      <c r="BF176" s="869">
        <f t="shared" si="60"/>
        <v>48667</v>
      </c>
      <c r="BG176" s="848">
        <f>$BV$158+AJ214+($C$64-$BV$158)</f>
        <v>42.772881726302529</v>
      </c>
      <c r="BH176" s="849"/>
      <c r="BI176" s="849"/>
      <c r="BJ176" s="849"/>
      <c r="BK176" s="849"/>
      <c r="CD176" s="803">
        <v>4.5</v>
      </c>
      <c r="CE176" s="803">
        <f>CI170</f>
        <v>84.92</v>
      </c>
      <c r="CF176" s="803">
        <f>CJ170</f>
        <v>158.69</v>
      </c>
      <c r="CH176" s="831">
        <v>1.5</v>
      </c>
      <c r="CI176" s="803">
        <f t="shared" si="56"/>
        <v>176.89</v>
      </c>
      <c r="CJ176" s="803">
        <f t="shared" si="57"/>
        <v>333.72</v>
      </c>
    </row>
    <row r="177" spans="7:88">
      <c r="G177" s="803">
        <f t="shared" si="39"/>
        <v>0</v>
      </c>
      <c r="H177" s="803">
        <f t="shared" si="40"/>
        <v>0</v>
      </c>
      <c r="I177" s="803">
        <f t="shared" si="40"/>
        <v>0</v>
      </c>
      <c r="J177" s="803">
        <f t="shared" si="40"/>
        <v>-15</v>
      </c>
      <c r="K177" s="803">
        <f t="shared" si="41"/>
        <v>-15</v>
      </c>
      <c r="L177" s="803">
        <f t="shared" si="42"/>
        <v>-15</v>
      </c>
      <c r="M177" s="803">
        <f t="shared" si="42"/>
        <v>-15</v>
      </c>
      <c r="N177" s="803">
        <f t="shared" si="42"/>
        <v>-15</v>
      </c>
      <c r="O177" s="803">
        <f t="shared" si="43"/>
        <v>-15</v>
      </c>
      <c r="P177" s="803">
        <f t="shared" si="44"/>
        <v>-15</v>
      </c>
      <c r="Q177" s="803">
        <f t="shared" si="44"/>
        <v>-15</v>
      </c>
      <c r="T177" s="827"/>
      <c r="U177" s="827"/>
      <c r="V177" s="827"/>
      <c r="W177" s="866">
        <f t="shared" si="51"/>
        <v>-2469.9999999999995</v>
      </c>
      <c r="X177" s="838">
        <f t="shared" si="45"/>
        <v>20.526315789473689</v>
      </c>
      <c r="Y177" s="831">
        <f t="shared" si="52"/>
        <v>-2.1663298056737341E-2</v>
      </c>
      <c r="Z177" s="838">
        <f t="shared" si="53"/>
        <v>-0.33209835920978342</v>
      </c>
      <c r="AA177" s="838">
        <f t="shared" ref="AA177:AK177" si="66">IF($E78+365&lt;$C$56,0,IF($E78&lt;$C$56,(($E78+365-$C$56)/365)*(($C78/$BN$157)+($D78/$BN$158)),IF($E78&gt;AA$166,0,IF($E78+365&lt;AA$166,($C78/$BN$157)+($D78/$BN$158),((AA$166-$E78)/365)*(($C78/$BN$157)+($D78/$BN$158))))))</f>
        <v>0</v>
      </c>
      <c r="AB177" s="838">
        <f t="shared" si="66"/>
        <v>0</v>
      </c>
      <c r="AC177" s="838">
        <f t="shared" si="66"/>
        <v>0</v>
      </c>
      <c r="AD177" s="838">
        <f t="shared" si="66"/>
        <v>-0.33209835920978342</v>
      </c>
      <c r="AE177" s="838">
        <f t="shared" si="66"/>
        <v>-0.33209835920978342</v>
      </c>
      <c r="AF177" s="838">
        <f t="shared" si="66"/>
        <v>-0.33209835920978342</v>
      </c>
      <c r="AG177" s="838">
        <f t="shared" si="66"/>
        <v>-0.33209835920978342</v>
      </c>
      <c r="AH177" s="838">
        <f t="shared" si="66"/>
        <v>-0.33209835920978342</v>
      </c>
      <c r="AI177" s="838">
        <f t="shared" si="66"/>
        <v>-0.33209835920978342</v>
      </c>
      <c r="AJ177" s="838">
        <f t="shared" si="66"/>
        <v>-0.33209835920978342</v>
      </c>
      <c r="AK177" s="838">
        <f t="shared" si="66"/>
        <v>-0.33209835920978342</v>
      </c>
      <c r="AL177" s="811">
        <f t="shared" si="47"/>
        <v>-10</v>
      </c>
      <c r="AM177" s="811">
        <f t="shared" si="48"/>
        <v>0</v>
      </c>
      <c r="AN177" s="867">
        <f t="shared" si="49"/>
        <v>50700</v>
      </c>
      <c r="AO177" s="867">
        <f t="shared" si="50"/>
        <v>0</v>
      </c>
      <c r="BF177" s="869"/>
      <c r="BG177" s="849"/>
      <c r="BH177" s="849"/>
      <c r="BI177" s="849"/>
      <c r="BJ177" s="849"/>
      <c r="BK177" s="849"/>
      <c r="CD177" s="803">
        <v>5</v>
      </c>
      <c r="CE177" s="803">
        <f>CI169</f>
        <v>69.59</v>
      </c>
      <c r="CF177" s="803">
        <f>CJ169</f>
        <v>129.52000000000001</v>
      </c>
      <c r="CH177" s="831">
        <v>1</v>
      </c>
      <c r="CI177" s="803">
        <f t="shared" si="56"/>
        <v>192.21</v>
      </c>
      <c r="CJ177" s="803">
        <f t="shared" si="57"/>
        <v>362.89</v>
      </c>
    </row>
    <row r="178" spans="7:88">
      <c r="G178" s="803">
        <f t="shared" si="39"/>
        <v>0</v>
      </c>
      <c r="H178" s="803">
        <f t="shared" si="40"/>
        <v>0</v>
      </c>
      <c r="I178" s="803">
        <f t="shared" si="40"/>
        <v>0</v>
      </c>
      <c r="J178" s="803">
        <f t="shared" si="40"/>
        <v>-40</v>
      </c>
      <c r="K178" s="803">
        <f t="shared" si="41"/>
        <v>-40</v>
      </c>
      <c r="L178" s="803">
        <f t="shared" si="42"/>
        <v>-40</v>
      </c>
      <c r="M178" s="803">
        <f t="shared" si="42"/>
        <v>-40</v>
      </c>
      <c r="N178" s="803">
        <f t="shared" si="42"/>
        <v>-40</v>
      </c>
      <c r="O178" s="803">
        <f t="shared" si="43"/>
        <v>-40</v>
      </c>
      <c r="P178" s="803">
        <f t="shared" si="44"/>
        <v>-40</v>
      </c>
      <c r="Q178" s="803">
        <f t="shared" si="44"/>
        <v>-40</v>
      </c>
      <c r="T178" s="827"/>
      <c r="U178" s="827"/>
      <c r="V178" s="827"/>
      <c r="W178" s="866">
        <f t="shared" si="51"/>
        <v>-3705</v>
      </c>
      <c r="X178" s="838">
        <f t="shared" si="45"/>
        <v>22.780026990553306</v>
      </c>
      <c r="Y178" s="831">
        <f t="shared" si="52"/>
        <v>-3.2494947085106009E-2</v>
      </c>
      <c r="Z178" s="838">
        <f t="shared" si="53"/>
        <v>-0.49814753881467511</v>
      </c>
      <c r="AA178" s="838">
        <f t="shared" ref="AA178:AK178" si="67">IF($E79+365&lt;$C$56,0,IF($E79&lt;$C$56,(($E79+365-$C$56)/365)*(($C79/$BN$157)+($D79/$BN$158)),IF($E79&gt;AA$166,0,IF($E79+365&lt;AA$166,($C79/$BN$157)+($D79/$BN$158),((AA$166-$E79)/365)*(($C79/$BN$157)+($D79/$BN$158))))))</f>
        <v>0</v>
      </c>
      <c r="AB178" s="838">
        <f t="shared" si="67"/>
        <v>0</v>
      </c>
      <c r="AC178" s="838">
        <f t="shared" si="67"/>
        <v>0</v>
      </c>
      <c r="AD178" s="838">
        <f t="shared" si="67"/>
        <v>-0.49814753881467511</v>
      </c>
      <c r="AE178" s="838">
        <f t="shared" si="67"/>
        <v>-0.49814753881467511</v>
      </c>
      <c r="AF178" s="838">
        <f t="shared" si="67"/>
        <v>-0.49814753881467511</v>
      </c>
      <c r="AG178" s="838">
        <f t="shared" si="67"/>
        <v>-0.49814753881467511</v>
      </c>
      <c r="AH178" s="838">
        <f t="shared" si="67"/>
        <v>-0.49814753881467511</v>
      </c>
      <c r="AI178" s="838">
        <f t="shared" si="67"/>
        <v>-0.49814753881467511</v>
      </c>
      <c r="AJ178" s="838">
        <f t="shared" si="67"/>
        <v>-0.49814753881467511</v>
      </c>
      <c r="AK178" s="838">
        <f t="shared" si="67"/>
        <v>-0.49814753881467511</v>
      </c>
      <c r="AL178" s="811">
        <f t="shared" si="47"/>
        <v>-15</v>
      </c>
      <c r="AM178" s="811">
        <f t="shared" si="48"/>
        <v>0</v>
      </c>
      <c r="AN178" s="867">
        <f t="shared" si="49"/>
        <v>84400</v>
      </c>
      <c r="AO178" s="867">
        <f t="shared" si="50"/>
        <v>0</v>
      </c>
      <c r="BF178" s="869"/>
      <c r="BG178" s="849"/>
      <c r="BH178" s="849"/>
      <c r="BI178" s="849"/>
      <c r="BJ178" s="849"/>
      <c r="BK178" s="849"/>
    </row>
    <row r="179" spans="7:88">
      <c r="G179" s="803">
        <f t="shared" si="39"/>
        <v>0</v>
      </c>
      <c r="H179" s="803">
        <f t="shared" si="40"/>
        <v>0</v>
      </c>
      <c r="I179" s="803">
        <f t="shared" si="40"/>
        <v>0</v>
      </c>
      <c r="J179" s="803">
        <f t="shared" si="40"/>
        <v>-10</v>
      </c>
      <c r="K179" s="803">
        <f t="shared" si="41"/>
        <v>-10</v>
      </c>
      <c r="L179" s="803">
        <f t="shared" si="42"/>
        <v>-10</v>
      </c>
      <c r="M179" s="803">
        <f t="shared" si="42"/>
        <v>-10</v>
      </c>
      <c r="N179" s="803">
        <f t="shared" si="42"/>
        <v>-10</v>
      </c>
      <c r="O179" s="803">
        <f t="shared" si="43"/>
        <v>-10</v>
      </c>
      <c r="P179" s="803">
        <f t="shared" si="44"/>
        <v>-10</v>
      </c>
      <c r="Q179" s="803">
        <f t="shared" si="44"/>
        <v>-10</v>
      </c>
      <c r="T179" s="827"/>
      <c r="U179" s="827"/>
      <c r="V179" s="827"/>
      <c r="W179" s="866">
        <f t="shared" si="51"/>
        <v>-9879.9999999999982</v>
      </c>
      <c r="X179" s="838">
        <f t="shared" si="45"/>
        <v>8.5425101214574912</v>
      </c>
      <c r="Y179" s="831">
        <f t="shared" si="52"/>
        <v>-8.6653192226949366E-2</v>
      </c>
      <c r="Z179" s="838">
        <f t="shared" si="53"/>
        <v>-1.3283934368391337</v>
      </c>
      <c r="AA179" s="838">
        <f t="shared" ref="AA179:AK179" si="68">IF($E80+365&lt;$C$56,0,IF($E80&lt;$C$56,(($E80+365-$C$56)/365)*(($C80/$BN$157)+($D80/$BN$158)),IF($E80&gt;AA$166,0,IF($E80+365&lt;AA$166,($C80/$BN$157)+($D80/$BN$158),((AA$166-$E80)/365)*(($C80/$BN$157)+($D80/$BN$158))))))</f>
        <v>0</v>
      </c>
      <c r="AB179" s="838">
        <f t="shared" si="68"/>
        <v>0</v>
      </c>
      <c r="AC179" s="838">
        <f t="shared" si="68"/>
        <v>0</v>
      </c>
      <c r="AD179" s="838">
        <f t="shared" si="68"/>
        <v>-1.3283934368391337</v>
      </c>
      <c r="AE179" s="838">
        <f t="shared" si="68"/>
        <v>-1.3283934368391337</v>
      </c>
      <c r="AF179" s="838">
        <f t="shared" si="68"/>
        <v>-1.3283934368391337</v>
      </c>
      <c r="AG179" s="838">
        <f t="shared" si="68"/>
        <v>-1.3283934368391337</v>
      </c>
      <c r="AH179" s="838">
        <f t="shared" si="68"/>
        <v>-1.3283934368391337</v>
      </c>
      <c r="AI179" s="838">
        <f t="shared" si="68"/>
        <v>-1.3283934368391337</v>
      </c>
      <c r="AJ179" s="838">
        <f t="shared" si="68"/>
        <v>-1.3283934368391337</v>
      </c>
      <c r="AK179" s="838">
        <f t="shared" si="68"/>
        <v>-1.3283934368391337</v>
      </c>
      <c r="AL179" s="811">
        <f t="shared" si="47"/>
        <v>-40</v>
      </c>
      <c r="AM179" s="811">
        <f t="shared" si="48"/>
        <v>0</v>
      </c>
      <c r="AN179" s="867">
        <f t="shared" si="49"/>
        <v>84400</v>
      </c>
      <c r="AO179" s="867">
        <f t="shared" si="50"/>
        <v>0</v>
      </c>
      <c r="BF179" s="849"/>
      <c r="BG179" s="849"/>
      <c r="BH179" s="849"/>
      <c r="BI179" s="849"/>
      <c r="BJ179" s="849"/>
      <c r="BK179" s="849"/>
    </row>
    <row r="180" spans="7:88">
      <c r="G180" s="803">
        <f t="shared" si="39"/>
        <v>0</v>
      </c>
      <c r="H180" s="803">
        <f t="shared" si="40"/>
        <v>0</v>
      </c>
      <c r="I180" s="803">
        <f t="shared" si="40"/>
        <v>0</v>
      </c>
      <c r="J180" s="803">
        <f t="shared" si="40"/>
        <v>0</v>
      </c>
      <c r="K180" s="803">
        <f t="shared" si="41"/>
        <v>-10</v>
      </c>
      <c r="L180" s="803">
        <f t="shared" si="42"/>
        <v>-10</v>
      </c>
      <c r="M180" s="803">
        <f t="shared" si="42"/>
        <v>-10</v>
      </c>
      <c r="N180" s="803">
        <f t="shared" si="42"/>
        <v>-10</v>
      </c>
      <c r="O180" s="803">
        <f t="shared" si="43"/>
        <v>-10</v>
      </c>
      <c r="P180" s="803">
        <f t="shared" si="44"/>
        <v>-10</v>
      </c>
      <c r="Q180" s="803">
        <f t="shared" si="44"/>
        <v>-10</v>
      </c>
      <c r="T180" s="827"/>
      <c r="U180" s="827"/>
      <c r="V180" s="827"/>
      <c r="W180" s="866">
        <f t="shared" si="51"/>
        <v>-2469.9999999999995</v>
      </c>
      <c r="X180" s="838">
        <f t="shared" si="45"/>
        <v>553.44129554655876</v>
      </c>
      <c r="Y180" s="831">
        <f t="shared" si="52"/>
        <v>-2.687998069767419E-2</v>
      </c>
      <c r="Z180" s="838">
        <f t="shared" si="53"/>
        <v>-0.41207010409534528</v>
      </c>
      <c r="AA180" s="838">
        <f t="shared" ref="AA180:AK180" si="69">IF($E81+365&lt;$C$56,0,IF($E81&lt;$C$56,(($E81+365-$C$56)/365)*(($C81/$BN$157)+($D81/$BN$158)),IF($E81&gt;AA$166,0,IF($E81+365&lt;AA$166,($C81/$BN$157)+($D81/$BN$158),((AA$166-$E81)/365)*(($C81/$BN$157)+($D81/$BN$158))))))</f>
        <v>0</v>
      </c>
      <c r="AB180" s="838">
        <f t="shared" si="69"/>
        <v>0</v>
      </c>
      <c r="AC180" s="838">
        <f t="shared" si="69"/>
        <v>0</v>
      </c>
      <c r="AD180" s="838">
        <f t="shared" si="69"/>
        <v>-0.41207010409534528</v>
      </c>
      <c r="AE180" s="838">
        <f t="shared" si="69"/>
        <v>-0.41207010409534528</v>
      </c>
      <c r="AF180" s="838">
        <f t="shared" si="69"/>
        <v>-0.41207010409534528</v>
      </c>
      <c r="AG180" s="838">
        <f t="shared" si="69"/>
        <v>-0.41207010409534528</v>
      </c>
      <c r="AH180" s="838">
        <f t="shared" si="69"/>
        <v>-0.41207010409534528</v>
      </c>
      <c r="AI180" s="838">
        <f t="shared" si="69"/>
        <v>-0.41207010409534528</v>
      </c>
      <c r="AJ180" s="838">
        <f t="shared" si="69"/>
        <v>-0.41207010409534528</v>
      </c>
      <c r="AK180" s="838">
        <f t="shared" si="69"/>
        <v>-0.41207010409534528</v>
      </c>
      <c r="AL180" s="811">
        <f t="shared" si="47"/>
        <v>-10</v>
      </c>
      <c r="AM180" s="811">
        <f t="shared" si="48"/>
        <v>-38</v>
      </c>
      <c r="AN180" s="867">
        <f t="shared" si="49"/>
        <v>1367000</v>
      </c>
      <c r="AO180" s="867">
        <f t="shared" si="50"/>
        <v>0</v>
      </c>
      <c r="BF180" s="849"/>
      <c r="BG180" s="849"/>
      <c r="BH180" s="849"/>
      <c r="BI180" s="849"/>
      <c r="BJ180" s="849"/>
      <c r="BK180" s="849"/>
    </row>
    <row r="181" spans="7:88">
      <c r="G181" s="803">
        <f t="shared" si="39"/>
        <v>0</v>
      </c>
      <c r="H181" s="803">
        <f t="shared" si="40"/>
        <v>0</v>
      </c>
      <c r="I181" s="803">
        <f t="shared" si="40"/>
        <v>0</v>
      </c>
      <c r="J181" s="803">
        <f t="shared" si="40"/>
        <v>0</v>
      </c>
      <c r="K181" s="803">
        <f t="shared" si="41"/>
        <v>-10</v>
      </c>
      <c r="L181" s="803">
        <f t="shared" si="42"/>
        <v>-10</v>
      </c>
      <c r="M181" s="803">
        <f t="shared" si="42"/>
        <v>-10</v>
      </c>
      <c r="N181" s="803">
        <f t="shared" si="42"/>
        <v>-10</v>
      </c>
      <c r="O181" s="803">
        <f t="shared" si="43"/>
        <v>-10</v>
      </c>
      <c r="P181" s="803">
        <f t="shared" si="44"/>
        <v>-10</v>
      </c>
      <c r="Q181" s="803">
        <f t="shared" si="44"/>
        <v>-10</v>
      </c>
      <c r="T181" s="827"/>
      <c r="U181" s="827"/>
      <c r="V181" s="827"/>
      <c r="W181" s="866">
        <f t="shared" si="51"/>
        <v>-2469.9999999999995</v>
      </c>
      <c r="X181" s="838">
        <f t="shared" si="45"/>
        <v>445.34412955465598</v>
      </c>
      <c r="Y181" s="831">
        <f t="shared" si="52"/>
        <v>-2.687998069767419E-2</v>
      </c>
      <c r="Z181" s="838">
        <f t="shared" si="53"/>
        <v>-0.41207010409534528</v>
      </c>
      <c r="AA181" s="838">
        <f t="shared" ref="AA181:AK181" si="70">IF($E82+365&lt;$C$56,0,IF($E82&lt;$C$56,(($E82+365-$C$56)/365)*(($C82/$BN$157)+($D82/$BN$158)),IF($E82&gt;AA$166,0,IF($E82+365&lt;AA$166,($C82/$BN$157)+($D82/$BN$158),((AA$166-$E82)/365)*(($C82/$BN$157)+($D82/$BN$158))))))</f>
        <v>0</v>
      </c>
      <c r="AB181" s="838">
        <f t="shared" si="70"/>
        <v>0</v>
      </c>
      <c r="AC181" s="838">
        <f t="shared" si="70"/>
        <v>0</v>
      </c>
      <c r="AD181" s="838">
        <f t="shared" si="70"/>
        <v>0</v>
      </c>
      <c r="AE181" s="838">
        <f t="shared" si="70"/>
        <v>-0.41207010409534528</v>
      </c>
      <c r="AF181" s="838">
        <f t="shared" si="70"/>
        <v>-0.41207010409534528</v>
      </c>
      <c r="AG181" s="838">
        <f t="shared" si="70"/>
        <v>-0.41207010409534528</v>
      </c>
      <c r="AH181" s="838">
        <f t="shared" si="70"/>
        <v>-0.41207010409534528</v>
      </c>
      <c r="AI181" s="838">
        <f t="shared" si="70"/>
        <v>-0.41207010409534528</v>
      </c>
      <c r="AJ181" s="838">
        <f t="shared" si="70"/>
        <v>-0.41207010409534528</v>
      </c>
      <c r="AK181" s="838">
        <f t="shared" si="70"/>
        <v>-0.41207010409534528</v>
      </c>
      <c r="AL181" s="811">
        <f t="shared" si="47"/>
        <v>-10</v>
      </c>
      <c r="AM181" s="811">
        <f t="shared" si="48"/>
        <v>-38</v>
      </c>
      <c r="AN181" s="867">
        <f t="shared" si="49"/>
        <v>1100000</v>
      </c>
      <c r="AO181" s="867">
        <f t="shared" si="50"/>
        <v>0</v>
      </c>
      <c r="BF181" s="849"/>
      <c r="BG181" s="849"/>
      <c r="BH181" s="849"/>
      <c r="BI181" s="849"/>
      <c r="BJ181" s="849"/>
      <c r="BK181" s="849"/>
    </row>
    <row r="182" spans="7:88">
      <c r="G182" s="803">
        <f t="shared" si="39"/>
        <v>0</v>
      </c>
      <c r="H182" s="803">
        <f t="shared" si="40"/>
        <v>0</v>
      </c>
      <c r="I182" s="803">
        <f t="shared" si="40"/>
        <v>0</v>
      </c>
      <c r="J182" s="803">
        <f t="shared" si="40"/>
        <v>0</v>
      </c>
      <c r="K182" s="803">
        <f t="shared" si="41"/>
        <v>0</v>
      </c>
      <c r="L182" s="803">
        <f t="shared" si="42"/>
        <v>0</v>
      </c>
      <c r="M182" s="803">
        <f t="shared" si="42"/>
        <v>-10</v>
      </c>
      <c r="N182" s="803">
        <f t="shared" si="42"/>
        <v>-10</v>
      </c>
      <c r="O182" s="803">
        <f t="shared" si="43"/>
        <v>-10</v>
      </c>
      <c r="P182" s="803">
        <f t="shared" si="44"/>
        <v>-10</v>
      </c>
      <c r="Q182" s="803">
        <f t="shared" si="44"/>
        <v>-10</v>
      </c>
      <c r="T182" s="827"/>
      <c r="U182" s="827"/>
      <c r="V182" s="827"/>
      <c r="W182" s="866">
        <f t="shared" si="51"/>
        <v>-2469.9999999999995</v>
      </c>
      <c r="X182" s="838">
        <f t="shared" si="45"/>
        <v>445.34412955465598</v>
      </c>
      <c r="Y182" s="831">
        <f t="shared" si="52"/>
        <v>-2.687998069767419E-2</v>
      </c>
      <c r="Z182" s="838">
        <f t="shared" si="53"/>
        <v>-0.41207010409534528</v>
      </c>
      <c r="AA182" s="838">
        <f t="shared" ref="AA182:AK182" si="71">IF($E83+365&lt;$C$56,0,IF($E83&lt;$C$56,(($E83+365-$C$56)/365)*(($C83/$BN$157)+($D83/$BN$158)),IF($E83&gt;AA$166,0,IF($E83+365&lt;AA$166,($C83/$BN$157)+($D83/$BN$158),((AA$166-$E83)/365)*(($C83/$BN$157)+($D83/$BN$158))))))</f>
        <v>0</v>
      </c>
      <c r="AB182" s="838">
        <f t="shared" si="71"/>
        <v>0</v>
      </c>
      <c r="AC182" s="838">
        <f t="shared" si="71"/>
        <v>0</v>
      </c>
      <c r="AD182" s="838">
        <f t="shared" si="71"/>
        <v>0</v>
      </c>
      <c r="AE182" s="838">
        <f t="shared" si="71"/>
        <v>0</v>
      </c>
      <c r="AF182" s="838">
        <f t="shared" si="71"/>
        <v>-0.41207010409534528</v>
      </c>
      <c r="AG182" s="838">
        <f t="shared" si="71"/>
        <v>-0.41207010409534528</v>
      </c>
      <c r="AH182" s="838">
        <f t="shared" si="71"/>
        <v>-0.41207010409534528</v>
      </c>
      <c r="AI182" s="838">
        <f t="shared" si="71"/>
        <v>-0.41207010409534528</v>
      </c>
      <c r="AJ182" s="838">
        <f t="shared" si="71"/>
        <v>-0.41207010409534528</v>
      </c>
      <c r="AK182" s="838">
        <f t="shared" si="71"/>
        <v>-0.41207010409534528</v>
      </c>
      <c r="AL182" s="811">
        <f t="shared" si="47"/>
        <v>-10</v>
      </c>
      <c r="AM182" s="811">
        <f t="shared" si="48"/>
        <v>-38</v>
      </c>
      <c r="AN182" s="867">
        <f t="shared" si="49"/>
        <v>1100000</v>
      </c>
      <c r="AO182" s="867">
        <f t="shared" si="50"/>
        <v>0</v>
      </c>
      <c r="BF182" s="849"/>
      <c r="BG182" s="849"/>
      <c r="BH182" s="849"/>
      <c r="BI182" s="849"/>
      <c r="BJ182" s="849"/>
      <c r="BK182" s="849"/>
    </row>
    <row r="183" spans="7:88">
      <c r="G183" s="803">
        <f t="shared" si="39"/>
        <v>0</v>
      </c>
      <c r="H183" s="803">
        <f t="shared" si="40"/>
        <v>0</v>
      </c>
      <c r="I183" s="803">
        <f t="shared" si="40"/>
        <v>0</v>
      </c>
      <c r="J183" s="803">
        <f t="shared" si="40"/>
        <v>0</v>
      </c>
      <c r="K183" s="803">
        <f t="shared" si="41"/>
        <v>0</v>
      </c>
      <c r="L183" s="803">
        <f t="shared" si="42"/>
        <v>0</v>
      </c>
      <c r="M183" s="803">
        <f t="shared" si="42"/>
        <v>0</v>
      </c>
      <c r="N183" s="803">
        <f t="shared" si="42"/>
        <v>-10</v>
      </c>
      <c r="O183" s="803">
        <f t="shared" si="43"/>
        <v>-10</v>
      </c>
      <c r="P183" s="803">
        <f t="shared" si="44"/>
        <v>-10</v>
      </c>
      <c r="Q183" s="803">
        <f t="shared" si="44"/>
        <v>-10</v>
      </c>
      <c r="T183" s="827"/>
      <c r="U183" s="827"/>
      <c r="V183" s="827"/>
      <c r="W183" s="866">
        <f t="shared" si="51"/>
        <v>-2469.9999999999995</v>
      </c>
      <c r="X183" s="838">
        <f t="shared" si="45"/>
        <v>445.34412955465598</v>
      </c>
      <c r="Y183" s="831">
        <f t="shared" si="52"/>
        <v>-2.687998069767419E-2</v>
      </c>
      <c r="Z183" s="838">
        <f t="shared" si="53"/>
        <v>-0.41207010409534528</v>
      </c>
      <c r="AA183" s="838">
        <f t="shared" ref="AA183:AK183" si="72">IF($E84+365&lt;$C$56,0,IF($E84&lt;$C$56,(($E84+365-$C$56)/365)*(($C84/$BN$157)+($D84/$BN$158)),IF($E84&gt;AA$166,0,IF($E84+365&lt;AA$166,($C84/$BN$157)+($D84/$BN$158),((AA$166-$E84)/365)*(($C84/$BN$157)+($D84/$BN$158))))))</f>
        <v>0</v>
      </c>
      <c r="AB183" s="838">
        <f t="shared" si="72"/>
        <v>0</v>
      </c>
      <c r="AC183" s="838">
        <f t="shared" si="72"/>
        <v>0</v>
      </c>
      <c r="AD183" s="838">
        <f t="shared" si="72"/>
        <v>0</v>
      </c>
      <c r="AE183" s="838">
        <f t="shared" si="72"/>
        <v>0</v>
      </c>
      <c r="AF183" s="838">
        <f t="shared" si="72"/>
        <v>0</v>
      </c>
      <c r="AG183" s="838">
        <f t="shared" si="72"/>
        <v>-0.41207010409534528</v>
      </c>
      <c r="AH183" s="838">
        <f t="shared" si="72"/>
        <v>-0.41207010409534528</v>
      </c>
      <c r="AI183" s="838">
        <f t="shared" si="72"/>
        <v>-0.41207010409534528</v>
      </c>
      <c r="AJ183" s="838">
        <f t="shared" si="72"/>
        <v>-0.41207010409534528</v>
      </c>
      <c r="AK183" s="838">
        <f t="shared" si="72"/>
        <v>-0.41207010409534528</v>
      </c>
      <c r="AL183" s="811">
        <f t="shared" si="47"/>
        <v>-10</v>
      </c>
      <c r="AM183" s="811">
        <f t="shared" si="48"/>
        <v>-38</v>
      </c>
      <c r="AN183" s="867">
        <f t="shared" si="49"/>
        <v>1100000</v>
      </c>
      <c r="AO183" s="867">
        <f t="shared" si="50"/>
        <v>0</v>
      </c>
      <c r="BF183" s="849"/>
      <c r="BG183" s="849"/>
      <c r="BH183" s="849"/>
      <c r="BI183" s="849"/>
      <c r="BJ183" s="849"/>
      <c r="BK183" s="849"/>
    </row>
    <row r="184" spans="7:88">
      <c r="G184" s="803">
        <f t="shared" si="39"/>
        <v>0</v>
      </c>
      <c r="H184" s="803">
        <f t="shared" si="40"/>
        <v>0</v>
      </c>
      <c r="I184" s="803">
        <f t="shared" si="40"/>
        <v>0</v>
      </c>
      <c r="J184" s="803">
        <f t="shared" si="40"/>
        <v>0</v>
      </c>
      <c r="K184" s="803">
        <f t="shared" si="41"/>
        <v>0</v>
      </c>
      <c r="L184" s="803">
        <f t="shared" si="42"/>
        <v>0</v>
      </c>
      <c r="M184" s="803">
        <f t="shared" si="42"/>
        <v>0</v>
      </c>
      <c r="N184" s="803">
        <f t="shared" si="42"/>
        <v>-130</v>
      </c>
      <c r="O184" s="803">
        <f t="shared" si="43"/>
        <v>-130</v>
      </c>
      <c r="P184" s="803">
        <f t="shared" si="44"/>
        <v>-130</v>
      </c>
      <c r="Q184" s="803">
        <f t="shared" si="44"/>
        <v>-130</v>
      </c>
      <c r="T184" s="827"/>
      <c r="U184" s="827"/>
      <c r="V184" s="827"/>
      <c r="W184" s="866">
        <f t="shared" si="51"/>
        <v>-2469.9999999999995</v>
      </c>
      <c r="X184" s="838">
        <f t="shared" si="45"/>
        <v>445.34412955465598</v>
      </c>
      <c r="Y184" s="831">
        <f t="shared" si="52"/>
        <v>-2.687998069767419E-2</v>
      </c>
      <c r="Z184" s="838">
        <f t="shared" si="53"/>
        <v>-0.41207010409534528</v>
      </c>
      <c r="AA184" s="838">
        <f t="shared" ref="AA184:AK184" si="73">IF($E85+365&lt;$C$56,0,IF($E85&lt;$C$56,(($E85+365-$C$56)/365)*(($C85/$BN$157)+($D85/$BN$158)),IF($E85&gt;AA$166,0,IF($E85+365&lt;AA$166,($C85/$BN$157)+($D85/$BN$158),((AA$166-$E85)/365)*(($C85/$BN$157)+($D85/$BN$158))))))</f>
        <v>0</v>
      </c>
      <c r="AB184" s="838">
        <f t="shared" si="73"/>
        <v>0</v>
      </c>
      <c r="AC184" s="838">
        <f t="shared" si="73"/>
        <v>0</v>
      </c>
      <c r="AD184" s="838">
        <f t="shared" si="73"/>
        <v>0</v>
      </c>
      <c r="AE184" s="838">
        <f t="shared" si="73"/>
        <v>0</v>
      </c>
      <c r="AF184" s="838">
        <f t="shared" si="73"/>
        <v>0</v>
      </c>
      <c r="AG184" s="838">
        <f t="shared" si="73"/>
        <v>0</v>
      </c>
      <c r="AH184" s="838">
        <f t="shared" si="73"/>
        <v>-0.41207010409534528</v>
      </c>
      <c r="AI184" s="838">
        <f t="shared" si="73"/>
        <v>-0.41207010409534528</v>
      </c>
      <c r="AJ184" s="838">
        <f t="shared" si="73"/>
        <v>-0.41207010409534528</v>
      </c>
      <c r="AK184" s="838">
        <f t="shared" si="73"/>
        <v>-0.41207010409534528</v>
      </c>
      <c r="AL184" s="811">
        <f t="shared" si="47"/>
        <v>-10</v>
      </c>
      <c r="AM184" s="811">
        <f t="shared" si="48"/>
        <v>-38</v>
      </c>
      <c r="AN184" s="867">
        <f t="shared" si="49"/>
        <v>1100000</v>
      </c>
      <c r="AO184" s="867">
        <f t="shared" si="50"/>
        <v>0</v>
      </c>
      <c r="BF184" s="849"/>
      <c r="BG184" s="849"/>
      <c r="BH184" s="849"/>
      <c r="BI184" s="849"/>
      <c r="BJ184" s="849"/>
      <c r="BK184" s="849"/>
    </row>
    <row r="185" spans="7:88">
      <c r="G185" s="803">
        <f t="shared" si="39"/>
        <v>0</v>
      </c>
      <c r="H185" s="803">
        <f t="shared" si="40"/>
        <v>0</v>
      </c>
      <c r="I185" s="803">
        <f t="shared" si="40"/>
        <v>0</v>
      </c>
      <c r="J185" s="803">
        <f t="shared" si="40"/>
        <v>0</v>
      </c>
      <c r="K185" s="803">
        <f t="shared" si="41"/>
        <v>0</v>
      </c>
      <c r="L185" s="803">
        <f t="shared" si="42"/>
        <v>0</v>
      </c>
      <c r="M185" s="803">
        <f t="shared" si="42"/>
        <v>0</v>
      </c>
      <c r="N185" s="803">
        <f t="shared" si="42"/>
        <v>0</v>
      </c>
      <c r="O185" s="803">
        <f t="shared" si="43"/>
        <v>0</v>
      </c>
      <c r="P185" s="803">
        <f t="shared" si="44"/>
        <v>0</v>
      </c>
      <c r="Q185" s="803">
        <f t="shared" si="44"/>
        <v>0</v>
      </c>
      <c r="T185" s="827"/>
      <c r="U185" s="827"/>
      <c r="V185" s="827"/>
      <c r="W185" s="866">
        <f t="shared" si="51"/>
        <v>-32110</v>
      </c>
      <c r="X185" s="838">
        <f t="shared" si="45"/>
        <v>48.022422921208346</v>
      </c>
      <c r="Y185" s="831">
        <f t="shared" si="52"/>
        <v>-0.35026343580254393</v>
      </c>
      <c r="Z185" s="838">
        <f t="shared" si="53"/>
        <v>-5.3695384708529978</v>
      </c>
      <c r="AA185" s="838">
        <f t="shared" ref="AA185:AK185" si="74">IF($E86+365&lt;$C$56,0,IF($E86&lt;$C$56,(($E86+365-$C$56)/365)*(($C86/$BN$157)+($D86/$BN$158)),IF($E86&gt;AA$166,0,IF($E86+365&lt;AA$166,($C86/$BN$157)+($D86/$BN$158),((AA$166-$E86)/365)*(($C86/$BN$157)+($D86/$BN$158))))))</f>
        <v>0</v>
      </c>
      <c r="AB185" s="838">
        <f t="shared" si="74"/>
        <v>0</v>
      </c>
      <c r="AC185" s="838">
        <f t="shared" si="74"/>
        <v>0</v>
      </c>
      <c r="AD185" s="838">
        <f t="shared" si="74"/>
        <v>0</v>
      </c>
      <c r="AE185" s="838">
        <f t="shared" si="74"/>
        <v>0</v>
      </c>
      <c r="AF185" s="838">
        <f t="shared" si="74"/>
        <v>0</v>
      </c>
      <c r="AG185" s="838">
        <f t="shared" si="74"/>
        <v>0</v>
      </c>
      <c r="AH185" s="838">
        <f t="shared" si="74"/>
        <v>-5.3695384708529978</v>
      </c>
      <c r="AI185" s="838">
        <f t="shared" si="74"/>
        <v>-5.3695384708529978</v>
      </c>
      <c r="AJ185" s="838">
        <f t="shared" si="74"/>
        <v>-5.3695384708529978</v>
      </c>
      <c r="AK185" s="838">
        <f t="shared" si="74"/>
        <v>-5.3695384708529978</v>
      </c>
      <c r="AL185" s="811">
        <f t="shared" si="47"/>
        <v>-130</v>
      </c>
      <c r="AM185" s="811">
        <f t="shared" si="48"/>
        <v>-500</v>
      </c>
      <c r="AN185" s="867">
        <f t="shared" si="49"/>
        <v>1542000</v>
      </c>
      <c r="AO185" s="867">
        <f t="shared" si="50"/>
        <v>0</v>
      </c>
      <c r="BF185" s="849"/>
      <c r="BG185" s="849"/>
      <c r="BH185" s="849"/>
      <c r="BI185" s="849"/>
      <c r="BJ185" s="849"/>
      <c r="BK185" s="849"/>
    </row>
    <row r="186" spans="7:88">
      <c r="G186" s="803">
        <f t="shared" si="39"/>
        <v>0</v>
      </c>
      <c r="H186" s="803">
        <f t="shared" si="40"/>
        <v>0</v>
      </c>
      <c r="I186" s="803">
        <f t="shared" si="40"/>
        <v>0</v>
      </c>
      <c r="J186" s="803">
        <f t="shared" si="40"/>
        <v>0</v>
      </c>
      <c r="K186" s="803">
        <f t="shared" si="41"/>
        <v>0</v>
      </c>
      <c r="L186" s="803">
        <f t="shared" si="42"/>
        <v>0</v>
      </c>
      <c r="M186" s="803">
        <f t="shared" si="42"/>
        <v>0</v>
      </c>
      <c r="N186" s="803">
        <f t="shared" si="42"/>
        <v>0</v>
      </c>
      <c r="O186" s="803">
        <f t="shared" si="43"/>
        <v>0</v>
      </c>
      <c r="P186" s="803">
        <f t="shared" si="44"/>
        <v>0</v>
      </c>
      <c r="Q186" s="803">
        <f t="shared" si="44"/>
        <v>0</v>
      </c>
      <c r="T186" s="827"/>
      <c r="U186" s="827"/>
      <c r="V186" s="827"/>
      <c r="W186" s="866">
        <f t="shared" si="51"/>
        <v>0</v>
      </c>
      <c r="X186" s="838" t="e">
        <f t="shared" si="45"/>
        <v>#DIV/0!</v>
      </c>
      <c r="Y186" s="831">
        <f t="shared" si="52"/>
        <v>0</v>
      </c>
      <c r="Z186" s="838">
        <f t="shared" si="53"/>
        <v>0</v>
      </c>
      <c r="AA186" s="838">
        <f t="shared" ref="AA186:AK186" si="75">IF($E87+365&lt;$C$56,0,IF($E87&lt;$C$56,(($E87+365-$C$56)/365)*(($C87/$BN$157)+($D87/$BN$158)),IF($E87&gt;AA$166,0,IF($E87+365&lt;AA$166,($C87/$BN$157)+($D87/$BN$158),((AA$166-$E87)/365)*(($C87/$BN$157)+($D87/$BN$158))))))</f>
        <v>0</v>
      </c>
      <c r="AB186" s="838">
        <f t="shared" si="75"/>
        <v>0</v>
      </c>
      <c r="AC186" s="838">
        <f t="shared" si="75"/>
        <v>0</v>
      </c>
      <c r="AD186" s="838">
        <f t="shared" si="75"/>
        <v>0</v>
      </c>
      <c r="AE186" s="838">
        <f t="shared" si="75"/>
        <v>0</v>
      </c>
      <c r="AF186" s="838">
        <f t="shared" si="75"/>
        <v>0</v>
      </c>
      <c r="AG186" s="838">
        <f t="shared" si="75"/>
        <v>0</v>
      </c>
      <c r="AH186" s="838">
        <f t="shared" si="75"/>
        <v>0</v>
      </c>
      <c r="AI186" s="838">
        <f t="shared" si="75"/>
        <v>0</v>
      </c>
      <c r="AJ186" s="838">
        <f t="shared" si="75"/>
        <v>0</v>
      </c>
      <c r="AK186" s="838">
        <f t="shared" si="75"/>
        <v>0</v>
      </c>
      <c r="AL186" s="811">
        <f t="shared" si="47"/>
        <v>0</v>
      </c>
      <c r="AM186" s="811">
        <f t="shared" si="48"/>
        <v>0</v>
      </c>
      <c r="AN186" s="867">
        <f t="shared" si="49"/>
        <v>0</v>
      </c>
      <c r="AO186" s="867">
        <f t="shared" si="50"/>
        <v>0</v>
      </c>
      <c r="BF186" s="849"/>
      <c r="BG186" s="849"/>
      <c r="BH186" s="849"/>
      <c r="BI186" s="849"/>
      <c r="BJ186" s="849"/>
      <c r="BK186" s="849"/>
    </row>
    <row r="187" spans="7:88">
      <c r="G187" s="803">
        <f t="shared" si="39"/>
        <v>0</v>
      </c>
      <c r="H187" s="803">
        <f t="shared" ref="H187:J206" si="76">IF($E89&gt;H$66,0,IF($E89&lt;H$66-365,$C89,0))</f>
        <v>0</v>
      </c>
      <c r="I187" s="803">
        <f t="shared" si="76"/>
        <v>0</v>
      </c>
      <c r="J187" s="803">
        <f t="shared" si="76"/>
        <v>0</v>
      </c>
      <c r="K187" s="803">
        <f t="shared" si="41"/>
        <v>0</v>
      </c>
      <c r="L187" s="803">
        <f t="shared" ref="L187:N206" si="77">IF($E89&gt;L$66,0,IF($E89&lt;L$66-365,$C89,0))</f>
        <v>0</v>
      </c>
      <c r="M187" s="803">
        <f t="shared" si="77"/>
        <v>0</v>
      </c>
      <c r="N187" s="803">
        <f t="shared" si="77"/>
        <v>0</v>
      </c>
      <c r="O187" s="803">
        <f t="shared" si="43"/>
        <v>0</v>
      </c>
      <c r="P187" s="803">
        <f t="shared" ref="P187:Q206" si="78">IF($E89&gt;P$66,0,IF($E89&lt;P$66-365,$C89,0))</f>
        <v>0</v>
      </c>
      <c r="Q187" s="803">
        <f t="shared" si="78"/>
        <v>0</v>
      </c>
      <c r="T187" s="827"/>
      <c r="U187" s="827"/>
      <c r="V187" s="827"/>
      <c r="W187" s="866">
        <f t="shared" si="51"/>
        <v>0</v>
      </c>
      <c r="X187" s="838" t="e">
        <f t="shared" si="45"/>
        <v>#DIV/0!</v>
      </c>
      <c r="Y187" s="831">
        <f t="shared" si="52"/>
        <v>0</v>
      </c>
      <c r="Z187" s="838">
        <f t="shared" si="53"/>
        <v>0</v>
      </c>
      <c r="AA187" s="838">
        <f t="shared" ref="AA187:AK187" si="79">IF($E88+365&lt;$C$56,0,IF($E88&lt;$C$56,(($E88+365-$C$56)/365)*(($C88/$BN$157)+($D88/$BN$158)),IF($E88&gt;AA$166,0,IF($E88+365&lt;AA$166,($C88/$BN$157)+($D88/$BN$158),((AA$166-$E88)/365)*(($C88/$BN$157)+($D88/$BN$158))))))</f>
        <v>0</v>
      </c>
      <c r="AB187" s="838">
        <f t="shared" si="79"/>
        <v>0</v>
      </c>
      <c r="AC187" s="838">
        <f t="shared" si="79"/>
        <v>0</v>
      </c>
      <c r="AD187" s="838">
        <f t="shared" si="79"/>
        <v>0</v>
      </c>
      <c r="AE187" s="838">
        <f t="shared" si="79"/>
        <v>0</v>
      </c>
      <c r="AF187" s="838">
        <f t="shared" si="79"/>
        <v>0</v>
      </c>
      <c r="AG187" s="838">
        <f t="shared" si="79"/>
        <v>0</v>
      </c>
      <c r="AH187" s="838">
        <f t="shared" si="79"/>
        <v>0</v>
      </c>
      <c r="AI187" s="838">
        <f t="shared" si="79"/>
        <v>0</v>
      </c>
      <c r="AJ187" s="838">
        <f t="shared" si="79"/>
        <v>0</v>
      </c>
      <c r="AK187" s="838">
        <f t="shared" si="79"/>
        <v>0</v>
      </c>
      <c r="AL187" s="811">
        <f t="shared" si="47"/>
        <v>0</v>
      </c>
      <c r="AM187" s="811">
        <f t="shared" si="48"/>
        <v>0</v>
      </c>
      <c r="AN187" s="867">
        <f t="shared" si="49"/>
        <v>0</v>
      </c>
      <c r="AO187" s="867">
        <f t="shared" si="50"/>
        <v>0</v>
      </c>
      <c r="BF187" s="849"/>
      <c r="BG187" s="849"/>
      <c r="BH187" s="849"/>
      <c r="BI187" s="849"/>
      <c r="BJ187" s="849"/>
      <c r="BK187" s="849"/>
    </row>
    <row r="188" spans="7:88">
      <c r="G188" s="803">
        <f t="shared" si="39"/>
        <v>0</v>
      </c>
      <c r="H188" s="803">
        <f t="shared" si="76"/>
        <v>0</v>
      </c>
      <c r="I188" s="803">
        <f t="shared" si="76"/>
        <v>0</v>
      </c>
      <c r="J188" s="803">
        <f t="shared" si="76"/>
        <v>0</v>
      </c>
      <c r="K188" s="803">
        <f t="shared" si="41"/>
        <v>0</v>
      </c>
      <c r="L188" s="803">
        <f t="shared" si="77"/>
        <v>0</v>
      </c>
      <c r="M188" s="803">
        <f t="shared" si="77"/>
        <v>0</v>
      </c>
      <c r="N188" s="803">
        <f t="shared" si="77"/>
        <v>0</v>
      </c>
      <c r="O188" s="803">
        <f t="shared" si="43"/>
        <v>0</v>
      </c>
      <c r="P188" s="803">
        <f t="shared" si="78"/>
        <v>0</v>
      </c>
      <c r="Q188" s="803">
        <f t="shared" si="78"/>
        <v>0</v>
      </c>
      <c r="T188" s="827"/>
      <c r="U188" s="827"/>
      <c r="V188" s="827"/>
      <c r="W188" s="866">
        <f t="shared" si="51"/>
        <v>0</v>
      </c>
      <c r="X188" s="838" t="e">
        <f t="shared" si="45"/>
        <v>#DIV/0!</v>
      </c>
      <c r="Y188" s="831">
        <f t="shared" si="52"/>
        <v>0</v>
      </c>
      <c r="Z188" s="838">
        <f t="shared" si="53"/>
        <v>0</v>
      </c>
      <c r="AA188" s="838">
        <f t="shared" ref="AA188:AK188" si="80">IF($E89+365&lt;$C$56,0,IF($E89&lt;$C$56,(($E89+365-$C$56)/365)*(($C89/$BN$157)+($D89/$BN$158)),IF($E89&gt;AA$166,0,IF($E89+365&lt;AA$166,($C89/$BN$157)+($D89/$BN$158),((AA$166-$E89)/365)*(($C89/$BN$157)+($D89/$BN$158))))))</f>
        <v>0</v>
      </c>
      <c r="AB188" s="838">
        <f t="shared" si="80"/>
        <v>0</v>
      </c>
      <c r="AC188" s="838">
        <f t="shared" si="80"/>
        <v>0</v>
      </c>
      <c r="AD188" s="838">
        <f t="shared" si="80"/>
        <v>0</v>
      </c>
      <c r="AE188" s="838">
        <f t="shared" si="80"/>
        <v>0</v>
      </c>
      <c r="AF188" s="838">
        <f t="shared" si="80"/>
        <v>0</v>
      </c>
      <c r="AG188" s="838">
        <f t="shared" si="80"/>
        <v>0</v>
      </c>
      <c r="AH188" s="838">
        <f t="shared" si="80"/>
        <v>0</v>
      </c>
      <c r="AI188" s="838">
        <f t="shared" si="80"/>
        <v>0</v>
      </c>
      <c r="AJ188" s="838">
        <f t="shared" si="80"/>
        <v>0</v>
      </c>
      <c r="AK188" s="838">
        <f t="shared" si="80"/>
        <v>0</v>
      </c>
      <c r="AL188" s="811">
        <f t="shared" si="47"/>
        <v>0</v>
      </c>
      <c r="AM188" s="811">
        <f t="shared" si="48"/>
        <v>0</v>
      </c>
      <c r="AN188" s="867">
        <f t="shared" si="49"/>
        <v>0</v>
      </c>
      <c r="AO188" s="867">
        <f t="shared" si="50"/>
        <v>0</v>
      </c>
      <c r="BF188" s="849"/>
      <c r="BG188" s="849"/>
      <c r="BH188" s="849"/>
      <c r="BI188" s="849"/>
      <c r="BJ188" s="849"/>
      <c r="BK188" s="849"/>
    </row>
    <row r="189" spans="7:88">
      <c r="G189" s="803">
        <f t="shared" si="39"/>
        <v>0</v>
      </c>
      <c r="H189" s="803">
        <f t="shared" si="76"/>
        <v>0</v>
      </c>
      <c r="I189" s="803">
        <f t="shared" si="76"/>
        <v>0</v>
      </c>
      <c r="J189" s="803">
        <f t="shared" si="76"/>
        <v>0</v>
      </c>
      <c r="K189" s="803">
        <f t="shared" si="41"/>
        <v>0</v>
      </c>
      <c r="L189" s="803">
        <f t="shared" si="77"/>
        <v>0</v>
      </c>
      <c r="M189" s="803">
        <f t="shared" si="77"/>
        <v>0</v>
      </c>
      <c r="N189" s="803">
        <f t="shared" si="77"/>
        <v>0</v>
      </c>
      <c r="O189" s="803">
        <f t="shared" si="43"/>
        <v>0</v>
      </c>
      <c r="P189" s="803">
        <f t="shared" si="78"/>
        <v>0</v>
      </c>
      <c r="Q189" s="803">
        <f t="shared" si="78"/>
        <v>0</v>
      </c>
      <c r="T189" s="827"/>
      <c r="U189" s="827"/>
      <c r="V189" s="827"/>
      <c r="W189" s="866">
        <f t="shared" si="51"/>
        <v>0</v>
      </c>
      <c r="X189" s="838" t="e">
        <f t="shared" si="45"/>
        <v>#DIV/0!</v>
      </c>
      <c r="Y189" s="831">
        <f t="shared" si="52"/>
        <v>0</v>
      </c>
      <c r="Z189" s="838">
        <f t="shared" si="53"/>
        <v>0</v>
      </c>
      <c r="AA189" s="838">
        <f t="shared" ref="AA189:AK189" si="81">IF($E90+365&lt;$C$56,0,IF($E90&lt;$C$56,(($E90+365-$C$56)/365)*(($C90/$BN$157)+($D90/$BN$158)),IF($E90&gt;AA$166,0,IF($E90+365&lt;AA$166,($C90/$BN$157)+($D90/$BN$158),((AA$166-$E90)/365)*(($C90/$BN$157)+($D90/$BN$158))))))</f>
        <v>0</v>
      </c>
      <c r="AB189" s="838">
        <f t="shared" si="81"/>
        <v>0</v>
      </c>
      <c r="AC189" s="838">
        <f t="shared" si="81"/>
        <v>0</v>
      </c>
      <c r="AD189" s="838">
        <f t="shared" si="81"/>
        <v>0</v>
      </c>
      <c r="AE189" s="838">
        <f t="shared" si="81"/>
        <v>0</v>
      </c>
      <c r="AF189" s="838">
        <f t="shared" si="81"/>
        <v>0</v>
      </c>
      <c r="AG189" s="838">
        <f t="shared" si="81"/>
        <v>0</v>
      </c>
      <c r="AH189" s="838">
        <f t="shared" si="81"/>
        <v>0</v>
      </c>
      <c r="AI189" s="838">
        <f t="shared" si="81"/>
        <v>0</v>
      </c>
      <c r="AJ189" s="838">
        <f t="shared" si="81"/>
        <v>0</v>
      </c>
      <c r="AK189" s="838">
        <f t="shared" si="81"/>
        <v>0</v>
      </c>
      <c r="AL189" s="811">
        <f t="shared" si="47"/>
        <v>0</v>
      </c>
      <c r="AM189" s="811">
        <f t="shared" si="48"/>
        <v>0</v>
      </c>
      <c r="AN189" s="867">
        <f t="shared" si="49"/>
        <v>0</v>
      </c>
      <c r="AO189" s="867">
        <f t="shared" si="50"/>
        <v>0</v>
      </c>
      <c r="BF189" s="849"/>
      <c r="BG189" s="849"/>
      <c r="BH189" s="849"/>
      <c r="BI189" s="849"/>
      <c r="BJ189" s="849"/>
      <c r="BK189" s="849"/>
    </row>
    <row r="190" spans="7:88">
      <c r="G190" s="803">
        <f t="shared" si="39"/>
        <v>0</v>
      </c>
      <c r="H190" s="803">
        <f t="shared" si="76"/>
        <v>0</v>
      </c>
      <c r="I190" s="803">
        <f t="shared" si="76"/>
        <v>0</v>
      </c>
      <c r="J190" s="803">
        <f t="shared" si="76"/>
        <v>0</v>
      </c>
      <c r="K190" s="803">
        <f t="shared" si="41"/>
        <v>0</v>
      </c>
      <c r="L190" s="803">
        <f t="shared" si="77"/>
        <v>0</v>
      </c>
      <c r="M190" s="803">
        <f t="shared" si="77"/>
        <v>0</v>
      </c>
      <c r="N190" s="803">
        <f t="shared" si="77"/>
        <v>0</v>
      </c>
      <c r="O190" s="803">
        <f t="shared" si="43"/>
        <v>0</v>
      </c>
      <c r="P190" s="803">
        <f t="shared" si="78"/>
        <v>0</v>
      </c>
      <c r="Q190" s="803">
        <f t="shared" si="78"/>
        <v>0</v>
      </c>
      <c r="T190" s="827"/>
      <c r="U190" s="827"/>
      <c r="V190" s="827"/>
      <c r="W190" s="866">
        <f t="shared" si="51"/>
        <v>0</v>
      </c>
      <c r="X190" s="838" t="e">
        <f t="shared" si="45"/>
        <v>#DIV/0!</v>
      </c>
      <c r="Y190" s="831">
        <f t="shared" si="52"/>
        <v>0</v>
      </c>
      <c r="Z190" s="838">
        <f t="shared" si="53"/>
        <v>0</v>
      </c>
      <c r="AA190" s="838">
        <f t="shared" ref="AA190:AK190" si="82">IF($E91+365&lt;$C$56,0,IF($E91&lt;$C$56,(($E91+365-$C$56)/365)*(($C91/$BN$157)+($D91/$BN$158)),IF($E91&gt;AA$166,0,IF($E91+365&lt;AA$166,($C91/$BN$157)+($D91/$BN$158),((AA$166-$E91)/365)*(($C91/$BN$157)+($D91/$BN$158))))))</f>
        <v>0</v>
      </c>
      <c r="AB190" s="838">
        <f t="shared" si="82"/>
        <v>0</v>
      </c>
      <c r="AC190" s="838">
        <f t="shared" si="82"/>
        <v>0</v>
      </c>
      <c r="AD190" s="838">
        <f t="shared" si="82"/>
        <v>0</v>
      </c>
      <c r="AE190" s="838">
        <f t="shared" si="82"/>
        <v>0</v>
      </c>
      <c r="AF190" s="838">
        <f t="shared" si="82"/>
        <v>0</v>
      </c>
      <c r="AG190" s="838">
        <f t="shared" si="82"/>
        <v>0</v>
      </c>
      <c r="AH190" s="838">
        <f t="shared" si="82"/>
        <v>0</v>
      </c>
      <c r="AI190" s="838">
        <f t="shared" si="82"/>
        <v>0</v>
      </c>
      <c r="AJ190" s="838">
        <f t="shared" si="82"/>
        <v>0</v>
      </c>
      <c r="AK190" s="838">
        <f t="shared" si="82"/>
        <v>0</v>
      </c>
      <c r="AL190" s="811">
        <f t="shared" si="47"/>
        <v>0</v>
      </c>
      <c r="AM190" s="811">
        <f t="shared" si="48"/>
        <v>0</v>
      </c>
      <c r="AN190" s="867">
        <f t="shared" si="49"/>
        <v>0</v>
      </c>
      <c r="AO190" s="867">
        <f t="shared" si="50"/>
        <v>0</v>
      </c>
      <c r="BF190" s="849"/>
      <c r="BG190" s="849"/>
      <c r="BH190" s="849"/>
      <c r="BI190" s="849"/>
      <c r="BJ190" s="849"/>
      <c r="BK190" s="849"/>
    </row>
    <row r="191" spans="7:88">
      <c r="G191" s="803">
        <f t="shared" si="39"/>
        <v>0</v>
      </c>
      <c r="H191" s="803">
        <f t="shared" si="76"/>
        <v>0</v>
      </c>
      <c r="I191" s="803">
        <f t="shared" si="76"/>
        <v>0</v>
      </c>
      <c r="J191" s="803">
        <f t="shared" si="76"/>
        <v>0</v>
      </c>
      <c r="K191" s="803">
        <f t="shared" si="41"/>
        <v>0</v>
      </c>
      <c r="L191" s="803">
        <f t="shared" si="77"/>
        <v>0</v>
      </c>
      <c r="M191" s="803">
        <f t="shared" si="77"/>
        <v>0</v>
      </c>
      <c r="N191" s="803">
        <f t="shared" si="77"/>
        <v>0</v>
      </c>
      <c r="O191" s="803">
        <f t="shared" si="43"/>
        <v>0</v>
      </c>
      <c r="P191" s="803">
        <f t="shared" si="78"/>
        <v>0</v>
      </c>
      <c r="Q191" s="803">
        <f t="shared" si="78"/>
        <v>0</v>
      </c>
      <c r="T191" s="827"/>
      <c r="U191" s="827"/>
      <c r="V191" s="827"/>
      <c r="W191" s="866">
        <f t="shared" si="51"/>
        <v>0</v>
      </c>
      <c r="X191" s="838" t="e">
        <f t="shared" si="45"/>
        <v>#DIV/0!</v>
      </c>
      <c r="Y191" s="831">
        <f t="shared" si="52"/>
        <v>0</v>
      </c>
      <c r="Z191" s="838">
        <f t="shared" si="53"/>
        <v>0</v>
      </c>
      <c r="AA191" s="838">
        <f t="shared" ref="AA191:AK191" si="83">IF($E92+365&lt;$C$56,0,IF($E92&lt;$C$56,(($E92+365-$C$56)/365)*(($C92/$BN$157)+($D92/$BN$158)),IF($E92&gt;AA$166,0,IF($E92+365&lt;AA$166,($C92/$BN$157)+($D92/$BN$158),((AA$166-$E92)/365)*(($C92/$BN$157)+($D92/$BN$158))))))</f>
        <v>0</v>
      </c>
      <c r="AB191" s="838">
        <f t="shared" si="83"/>
        <v>0</v>
      </c>
      <c r="AC191" s="838">
        <f t="shared" si="83"/>
        <v>0</v>
      </c>
      <c r="AD191" s="838">
        <f t="shared" si="83"/>
        <v>0</v>
      </c>
      <c r="AE191" s="838">
        <f t="shared" si="83"/>
        <v>0</v>
      </c>
      <c r="AF191" s="838">
        <f t="shared" si="83"/>
        <v>0</v>
      </c>
      <c r="AG191" s="838">
        <f t="shared" si="83"/>
        <v>0</v>
      </c>
      <c r="AH191" s="838">
        <f t="shared" si="83"/>
        <v>0</v>
      </c>
      <c r="AI191" s="838">
        <f t="shared" si="83"/>
        <v>0</v>
      </c>
      <c r="AJ191" s="838">
        <f t="shared" si="83"/>
        <v>0</v>
      </c>
      <c r="AK191" s="838">
        <f t="shared" si="83"/>
        <v>0</v>
      </c>
      <c r="AL191" s="811">
        <f t="shared" si="47"/>
        <v>0</v>
      </c>
      <c r="AM191" s="811">
        <f t="shared" si="48"/>
        <v>0</v>
      </c>
      <c r="AN191" s="867">
        <f t="shared" si="49"/>
        <v>0</v>
      </c>
      <c r="AO191" s="867">
        <f t="shared" si="50"/>
        <v>0</v>
      </c>
      <c r="BF191" s="849"/>
      <c r="BG191" s="849"/>
      <c r="BH191" s="849"/>
      <c r="BI191" s="849"/>
      <c r="BJ191" s="849"/>
      <c r="BK191" s="849"/>
    </row>
    <row r="192" spans="7:88">
      <c r="G192" s="803">
        <f t="shared" si="39"/>
        <v>0</v>
      </c>
      <c r="H192" s="803">
        <f t="shared" si="76"/>
        <v>0</v>
      </c>
      <c r="I192" s="803">
        <f t="shared" si="76"/>
        <v>0</v>
      </c>
      <c r="J192" s="803">
        <f t="shared" si="76"/>
        <v>0</v>
      </c>
      <c r="K192" s="803">
        <f t="shared" si="41"/>
        <v>0</v>
      </c>
      <c r="L192" s="803">
        <f t="shared" si="77"/>
        <v>0</v>
      </c>
      <c r="M192" s="803">
        <f t="shared" si="77"/>
        <v>0</v>
      </c>
      <c r="N192" s="803">
        <f t="shared" si="77"/>
        <v>0</v>
      </c>
      <c r="O192" s="803">
        <f t="shared" si="43"/>
        <v>0</v>
      </c>
      <c r="P192" s="803">
        <f t="shared" si="78"/>
        <v>0</v>
      </c>
      <c r="Q192" s="803">
        <f t="shared" si="78"/>
        <v>0</v>
      </c>
      <c r="T192" s="827"/>
      <c r="U192" s="827"/>
      <c r="V192" s="827"/>
      <c r="W192" s="866">
        <f t="shared" si="51"/>
        <v>0</v>
      </c>
      <c r="X192" s="838" t="e">
        <f t="shared" si="45"/>
        <v>#DIV/0!</v>
      </c>
      <c r="Y192" s="831">
        <f t="shared" si="52"/>
        <v>0</v>
      </c>
      <c r="Z192" s="838">
        <f t="shared" si="53"/>
        <v>0</v>
      </c>
      <c r="AA192" s="838">
        <f t="shared" ref="AA192:AK192" si="84">IF($E93+365&lt;$C$56,0,IF($E93&lt;$C$56,(($E93+365-$C$56)/365)*(($C93/$BN$157)+($D93/$BN$158)),IF($E93&gt;AA$166,0,IF($E93+365&lt;AA$166,($C93/$BN$157)+($D93/$BN$158),((AA$166-$E93)/365)*(($C93/$BN$157)+($D93/$BN$158))))))</f>
        <v>0</v>
      </c>
      <c r="AB192" s="838">
        <f t="shared" si="84"/>
        <v>0</v>
      </c>
      <c r="AC192" s="838">
        <f t="shared" si="84"/>
        <v>0</v>
      </c>
      <c r="AD192" s="838">
        <f t="shared" si="84"/>
        <v>0</v>
      </c>
      <c r="AE192" s="838">
        <f t="shared" si="84"/>
        <v>0</v>
      </c>
      <c r="AF192" s="838">
        <f t="shared" si="84"/>
        <v>0</v>
      </c>
      <c r="AG192" s="838">
        <f t="shared" si="84"/>
        <v>0</v>
      </c>
      <c r="AH192" s="838">
        <f t="shared" si="84"/>
        <v>0</v>
      </c>
      <c r="AI192" s="838">
        <f t="shared" si="84"/>
        <v>0</v>
      </c>
      <c r="AJ192" s="838">
        <f t="shared" si="84"/>
        <v>0</v>
      </c>
      <c r="AK192" s="838">
        <f t="shared" si="84"/>
        <v>0</v>
      </c>
      <c r="AL192" s="811">
        <f t="shared" si="47"/>
        <v>0</v>
      </c>
      <c r="AM192" s="811">
        <f t="shared" si="48"/>
        <v>0</v>
      </c>
      <c r="AN192" s="867">
        <f t="shared" si="49"/>
        <v>0</v>
      </c>
      <c r="AO192" s="867">
        <f t="shared" si="50"/>
        <v>0</v>
      </c>
      <c r="BF192" s="849"/>
      <c r="BG192" s="849"/>
      <c r="BH192" s="849"/>
      <c r="BI192" s="849"/>
      <c r="BJ192" s="849"/>
      <c r="BK192" s="849"/>
    </row>
    <row r="193" spans="7:41">
      <c r="G193" s="803">
        <f t="shared" si="39"/>
        <v>0</v>
      </c>
      <c r="H193" s="803">
        <f t="shared" si="76"/>
        <v>0</v>
      </c>
      <c r="I193" s="803">
        <f t="shared" si="76"/>
        <v>0</v>
      </c>
      <c r="J193" s="803">
        <f t="shared" si="76"/>
        <v>0</v>
      </c>
      <c r="K193" s="803">
        <f t="shared" si="41"/>
        <v>0</v>
      </c>
      <c r="L193" s="803">
        <f t="shared" si="77"/>
        <v>0</v>
      </c>
      <c r="M193" s="803">
        <f t="shared" si="77"/>
        <v>0</v>
      </c>
      <c r="N193" s="803">
        <f t="shared" si="77"/>
        <v>0</v>
      </c>
      <c r="O193" s="803">
        <f t="shared" si="43"/>
        <v>0</v>
      </c>
      <c r="P193" s="803">
        <f t="shared" si="78"/>
        <v>0</v>
      </c>
      <c r="Q193" s="803">
        <f t="shared" si="78"/>
        <v>0</v>
      </c>
      <c r="T193" s="827"/>
      <c r="U193" s="827"/>
      <c r="V193" s="827"/>
      <c r="W193" s="866">
        <f t="shared" si="51"/>
        <v>0</v>
      </c>
      <c r="X193" s="838" t="e">
        <f t="shared" si="45"/>
        <v>#DIV/0!</v>
      </c>
      <c r="Y193" s="831">
        <f t="shared" si="52"/>
        <v>0</v>
      </c>
      <c r="Z193" s="838">
        <f t="shared" si="53"/>
        <v>0</v>
      </c>
      <c r="AA193" s="838">
        <f t="shared" ref="AA193:AK193" si="85">IF($E94+365&lt;$C$56,0,IF($E94&lt;$C$56,(($E94+365-$C$56)/365)*(($C94/$BN$157)+($D94/$BN$158)),IF($E94&gt;AA$166,0,IF($E94+365&lt;AA$166,($C94/$BN$157)+($D94/$BN$158),((AA$166-$E94)/365)*(($C94/$BN$157)+($D94/$BN$158))))))</f>
        <v>0</v>
      </c>
      <c r="AB193" s="838">
        <f t="shared" si="85"/>
        <v>0</v>
      </c>
      <c r="AC193" s="838">
        <f t="shared" si="85"/>
        <v>0</v>
      </c>
      <c r="AD193" s="838">
        <f t="shared" si="85"/>
        <v>0</v>
      </c>
      <c r="AE193" s="838">
        <f t="shared" si="85"/>
        <v>0</v>
      </c>
      <c r="AF193" s="838">
        <f t="shared" si="85"/>
        <v>0</v>
      </c>
      <c r="AG193" s="838">
        <f t="shared" si="85"/>
        <v>0</v>
      </c>
      <c r="AH193" s="838">
        <f t="shared" si="85"/>
        <v>0</v>
      </c>
      <c r="AI193" s="838">
        <f t="shared" si="85"/>
        <v>0</v>
      </c>
      <c r="AJ193" s="838">
        <f t="shared" si="85"/>
        <v>0</v>
      </c>
      <c r="AK193" s="838">
        <f t="shared" si="85"/>
        <v>0</v>
      </c>
      <c r="AL193" s="811">
        <f t="shared" si="47"/>
        <v>0</v>
      </c>
      <c r="AM193" s="811">
        <f t="shared" si="48"/>
        <v>0</v>
      </c>
      <c r="AN193" s="867">
        <f t="shared" si="49"/>
        <v>0</v>
      </c>
      <c r="AO193" s="867">
        <f t="shared" si="50"/>
        <v>0</v>
      </c>
    </row>
    <row r="194" spans="7:41">
      <c r="G194" s="803">
        <f t="shared" si="39"/>
        <v>0</v>
      </c>
      <c r="H194" s="803">
        <f t="shared" si="76"/>
        <v>0</v>
      </c>
      <c r="I194" s="803">
        <f t="shared" si="76"/>
        <v>0</v>
      </c>
      <c r="J194" s="803">
        <f t="shared" si="76"/>
        <v>0</v>
      </c>
      <c r="K194" s="803">
        <f t="shared" si="41"/>
        <v>0</v>
      </c>
      <c r="L194" s="803">
        <f t="shared" si="77"/>
        <v>0</v>
      </c>
      <c r="M194" s="803">
        <f t="shared" si="77"/>
        <v>0</v>
      </c>
      <c r="N194" s="803">
        <f t="shared" si="77"/>
        <v>0</v>
      </c>
      <c r="O194" s="803">
        <f t="shared" si="43"/>
        <v>0</v>
      </c>
      <c r="P194" s="803">
        <f t="shared" si="78"/>
        <v>0</v>
      </c>
      <c r="Q194" s="803">
        <f t="shared" si="78"/>
        <v>0</v>
      </c>
      <c r="T194" s="827"/>
      <c r="U194" s="827"/>
      <c r="V194" s="827"/>
      <c r="W194" s="866">
        <f t="shared" si="51"/>
        <v>0</v>
      </c>
      <c r="X194" s="838" t="e">
        <f t="shared" si="45"/>
        <v>#DIV/0!</v>
      </c>
      <c r="Y194" s="831">
        <f t="shared" si="52"/>
        <v>0</v>
      </c>
      <c r="Z194" s="838">
        <f t="shared" si="53"/>
        <v>0</v>
      </c>
      <c r="AA194" s="838">
        <f t="shared" ref="AA194:AK194" si="86">IF($E95+365&lt;$C$56,0,IF($E95&lt;$C$56,(($E95+365-$C$56)/365)*(($C95/$BN$157)+($D95/$BN$158)),IF($E95&gt;AA$166,0,IF($E95+365&lt;AA$166,($C95/$BN$157)+($D95/$BN$158),((AA$166-$E95)/365)*(($C95/$BN$157)+($D95/$BN$158))))))</f>
        <v>0</v>
      </c>
      <c r="AB194" s="838">
        <f t="shared" si="86"/>
        <v>0</v>
      </c>
      <c r="AC194" s="838">
        <f t="shared" si="86"/>
        <v>0</v>
      </c>
      <c r="AD194" s="838">
        <f t="shared" si="86"/>
        <v>0</v>
      </c>
      <c r="AE194" s="838">
        <f t="shared" si="86"/>
        <v>0</v>
      </c>
      <c r="AF194" s="838">
        <f t="shared" si="86"/>
        <v>0</v>
      </c>
      <c r="AG194" s="838">
        <f t="shared" si="86"/>
        <v>0</v>
      </c>
      <c r="AH194" s="838">
        <f t="shared" si="86"/>
        <v>0</v>
      </c>
      <c r="AI194" s="838">
        <f t="shared" si="86"/>
        <v>0</v>
      </c>
      <c r="AJ194" s="838">
        <f t="shared" si="86"/>
        <v>0</v>
      </c>
      <c r="AK194" s="838">
        <f t="shared" si="86"/>
        <v>0</v>
      </c>
      <c r="AL194" s="811">
        <f t="shared" si="47"/>
        <v>0</v>
      </c>
      <c r="AM194" s="811">
        <f t="shared" si="48"/>
        <v>0</v>
      </c>
      <c r="AN194" s="867">
        <f t="shared" si="49"/>
        <v>0</v>
      </c>
      <c r="AO194" s="867">
        <f t="shared" si="50"/>
        <v>0</v>
      </c>
    </row>
    <row r="195" spans="7:41">
      <c r="G195" s="803">
        <f t="shared" si="39"/>
        <v>0</v>
      </c>
      <c r="H195" s="803">
        <f t="shared" si="76"/>
        <v>0</v>
      </c>
      <c r="I195" s="803">
        <f t="shared" si="76"/>
        <v>0</v>
      </c>
      <c r="J195" s="803">
        <f t="shared" si="76"/>
        <v>0</v>
      </c>
      <c r="K195" s="803">
        <f t="shared" si="41"/>
        <v>0</v>
      </c>
      <c r="L195" s="803">
        <f t="shared" si="77"/>
        <v>0</v>
      </c>
      <c r="M195" s="803">
        <f t="shared" si="77"/>
        <v>0</v>
      </c>
      <c r="N195" s="803">
        <f t="shared" si="77"/>
        <v>0</v>
      </c>
      <c r="O195" s="803">
        <f t="shared" si="43"/>
        <v>0</v>
      </c>
      <c r="P195" s="803">
        <f t="shared" si="78"/>
        <v>0</v>
      </c>
      <c r="Q195" s="803">
        <f t="shared" si="78"/>
        <v>0</v>
      </c>
      <c r="T195" s="827"/>
      <c r="U195" s="827"/>
      <c r="V195" s="827"/>
      <c r="W195" s="866">
        <f t="shared" si="51"/>
        <v>0</v>
      </c>
      <c r="X195" s="838" t="e">
        <f t="shared" si="45"/>
        <v>#DIV/0!</v>
      </c>
      <c r="Y195" s="831">
        <f t="shared" si="52"/>
        <v>0</v>
      </c>
      <c r="Z195" s="838">
        <f t="shared" si="53"/>
        <v>0</v>
      </c>
      <c r="AA195" s="838">
        <f t="shared" ref="AA195:AK195" si="87">IF($E96+365&lt;$C$56,0,IF($E96&lt;$C$56,(($E96+365-$C$56)/365)*(($C96/$BN$157)+($D96/$BN$158)),IF($E96&gt;AA$166,0,IF($E96+365&lt;AA$166,($C96/$BN$157)+($D96/$BN$158),((AA$166-$E96)/365)*(($C96/$BN$157)+($D96/$BN$158))))))</f>
        <v>0</v>
      </c>
      <c r="AB195" s="838">
        <f t="shared" si="87"/>
        <v>0</v>
      </c>
      <c r="AC195" s="838">
        <f t="shared" si="87"/>
        <v>0</v>
      </c>
      <c r="AD195" s="838">
        <f t="shared" si="87"/>
        <v>0</v>
      </c>
      <c r="AE195" s="838">
        <f t="shared" si="87"/>
        <v>0</v>
      </c>
      <c r="AF195" s="838">
        <f t="shared" si="87"/>
        <v>0</v>
      </c>
      <c r="AG195" s="838">
        <f t="shared" si="87"/>
        <v>0</v>
      </c>
      <c r="AH195" s="838">
        <f t="shared" si="87"/>
        <v>0</v>
      </c>
      <c r="AI195" s="838">
        <f t="shared" si="87"/>
        <v>0</v>
      </c>
      <c r="AJ195" s="838">
        <f t="shared" si="87"/>
        <v>0</v>
      </c>
      <c r="AK195" s="838">
        <f t="shared" si="87"/>
        <v>0</v>
      </c>
      <c r="AL195" s="811">
        <f t="shared" si="47"/>
        <v>0</v>
      </c>
      <c r="AM195" s="811">
        <f t="shared" si="48"/>
        <v>0</v>
      </c>
      <c r="AN195" s="867">
        <f t="shared" si="49"/>
        <v>0</v>
      </c>
      <c r="AO195" s="867">
        <f t="shared" si="50"/>
        <v>0</v>
      </c>
    </row>
    <row r="196" spans="7:41">
      <c r="G196" s="803">
        <f t="shared" si="39"/>
        <v>0</v>
      </c>
      <c r="H196" s="803">
        <f t="shared" si="76"/>
        <v>0</v>
      </c>
      <c r="I196" s="803">
        <f t="shared" si="76"/>
        <v>0</v>
      </c>
      <c r="J196" s="803">
        <f t="shared" si="76"/>
        <v>0</v>
      </c>
      <c r="K196" s="803">
        <f t="shared" si="41"/>
        <v>0</v>
      </c>
      <c r="L196" s="803">
        <f t="shared" si="77"/>
        <v>0</v>
      </c>
      <c r="M196" s="803">
        <f t="shared" si="77"/>
        <v>0</v>
      </c>
      <c r="N196" s="803">
        <f t="shared" si="77"/>
        <v>0</v>
      </c>
      <c r="O196" s="803">
        <f t="shared" si="43"/>
        <v>0</v>
      </c>
      <c r="P196" s="803">
        <f t="shared" si="78"/>
        <v>0</v>
      </c>
      <c r="Q196" s="803">
        <f t="shared" si="78"/>
        <v>0</v>
      </c>
      <c r="T196" s="827"/>
      <c r="U196" s="827"/>
      <c r="V196" s="827"/>
      <c r="W196" s="866">
        <f t="shared" si="51"/>
        <v>0</v>
      </c>
      <c r="X196" s="838" t="e">
        <f t="shared" si="45"/>
        <v>#DIV/0!</v>
      </c>
      <c r="Y196" s="831">
        <f t="shared" si="52"/>
        <v>0</v>
      </c>
      <c r="Z196" s="838">
        <f t="shared" si="53"/>
        <v>0</v>
      </c>
      <c r="AA196" s="838">
        <f t="shared" ref="AA196:AK196" si="88">IF($E97+365&lt;$C$56,0,IF($E97&lt;$C$56,(($E97+365-$C$56)/365)*(($C97/$BN$157)+($D97/$BN$158)),IF($E97&gt;AA$166,0,IF($E97+365&lt;AA$166,($C97/$BN$157)+($D97/$BN$158),((AA$166-$E97)/365)*(($C97/$BN$157)+($D97/$BN$158))))))</f>
        <v>0</v>
      </c>
      <c r="AB196" s="838">
        <f t="shared" si="88"/>
        <v>0</v>
      </c>
      <c r="AC196" s="838">
        <f t="shared" si="88"/>
        <v>0</v>
      </c>
      <c r="AD196" s="838">
        <f t="shared" si="88"/>
        <v>0</v>
      </c>
      <c r="AE196" s="838">
        <f t="shared" si="88"/>
        <v>0</v>
      </c>
      <c r="AF196" s="838">
        <f t="shared" si="88"/>
        <v>0</v>
      </c>
      <c r="AG196" s="838">
        <f t="shared" si="88"/>
        <v>0</v>
      </c>
      <c r="AH196" s="838">
        <f t="shared" si="88"/>
        <v>0</v>
      </c>
      <c r="AI196" s="838">
        <f t="shared" si="88"/>
        <v>0</v>
      </c>
      <c r="AJ196" s="838">
        <f t="shared" si="88"/>
        <v>0</v>
      </c>
      <c r="AK196" s="838">
        <f t="shared" si="88"/>
        <v>0</v>
      </c>
      <c r="AL196" s="811">
        <f t="shared" si="47"/>
        <v>0</v>
      </c>
      <c r="AM196" s="811">
        <f t="shared" si="48"/>
        <v>0</v>
      </c>
      <c r="AN196" s="867">
        <f t="shared" si="49"/>
        <v>0</v>
      </c>
      <c r="AO196" s="867">
        <f t="shared" si="50"/>
        <v>0</v>
      </c>
    </row>
    <row r="197" spans="7:41">
      <c r="G197" s="803">
        <f t="shared" si="39"/>
        <v>0</v>
      </c>
      <c r="H197" s="803">
        <f t="shared" si="76"/>
        <v>0</v>
      </c>
      <c r="I197" s="803">
        <f t="shared" si="76"/>
        <v>0</v>
      </c>
      <c r="J197" s="803">
        <f t="shared" si="76"/>
        <v>0</v>
      </c>
      <c r="K197" s="803">
        <f t="shared" si="41"/>
        <v>0</v>
      </c>
      <c r="L197" s="803">
        <f t="shared" si="77"/>
        <v>0</v>
      </c>
      <c r="M197" s="803">
        <f t="shared" si="77"/>
        <v>0</v>
      </c>
      <c r="N197" s="803">
        <f t="shared" si="77"/>
        <v>0</v>
      </c>
      <c r="O197" s="803">
        <f t="shared" si="43"/>
        <v>0</v>
      </c>
      <c r="P197" s="803">
        <f t="shared" si="78"/>
        <v>0</v>
      </c>
      <c r="Q197" s="803">
        <f t="shared" si="78"/>
        <v>0</v>
      </c>
      <c r="T197" s="827"/>
      <c r="U197" s="827"/>
      <c r="V197" s="827"/>
      <c r="W197" s="866">
        <f t="shared" si="51"/>
        <v>0</v>
      </c>
      <c r="X197" s="838" t="e">
        <f t="shared" si="45"/>
        <v>#DIV/0!</v>
      </c>
      <c r="Y197" s="831">
        <f t="shared" si="52"/>
        <v>0</v>
      </c>
      <c r="Z197" s="838">
        <f t="shared" si="53"/>
        <v>0</v>
      </c>
      <c r="AA197" s="838">
        <f t="shared" ref="AA197:AK197" si="89">IF($E98+365&lt;$C$56,0,IF($E98&lt;$C$56,(($E98+365-$C$56)/365)*(($C98/$BN$157)+($D98/$BN$158)),IF($E98&gt;AA$166,0,IF($E98+365&lt;AA$166,($C98/$BN$157)+($D98/$BN$158),((AA$166-$E98)/365)*(($C98/$BN$157)+($D98/$BN$158))))))</f>
        <v>0</v>
      </c>
      <c r="AB197" s="838">
        <f t="shared" si="89"/>
        <v>0</v>
      </c>
      <c r="AC197" s="838">
        <f t="shared" si="89"/>
        <v>0</v>
      </c>
      <c r="AD197" s="838">
        <f t="shared" si="89"/>
        <v>0</v>
      </c>
      <c r="AE197" s="838">
        <f t="shared" si="89"/>
        <v>0</v>
      </c>
      <c r="AF197" s="838">
        <f t="shared" si="89"/>
        <v>0</v>
      </c>
      <c r="AG197" s="838">
        <f t="shared" si="89"/>
        <v>0</v>
      </c>
      <c r="AH197" s="838">
        <f t="shared" si="89"/>
        <v>0</v>
      </c>
      <c r="AI197" s="838">
        <f t="shared" si="89"/>
        <v>0</v>
      </c>
      <c r="AJ197" s="838">
        <f t="shared" si="89"/>
        <v>0</v>
      </c>
      <c r="AK197" s="838">
        <f t="shared" si="89"/>
        <v>0</v>
      </c>
      <c r="AL197" s="811">
        <f t="shared" si="47"/>
        <v>0</v>
      </c>
      <c r="AM197" s="811">
        <f t="shared" si="48"/>
        <v>0</v>
      </c>
      <c r="AN197" s="867">
        <f t="shared" si="49"/>
        <v>0</v>
      </c>
      <c r="AO197" s="867">
        <f t="shared" si="50"/>
        <v>0</v>
      </c>
    </row>
    <row r="198" spans="7:41">
      <c r="G198" s="803">
        <f t="shared" si="39"/>
        <v>0</v>
      </c>
      <c r="H198" s="803">
        <f t="shared" si="76"/>
        <v>0</v>
      </c>
      <c r="I198" s="803">
        <f t="shared" si="76"/>
        <v>0</v>
      </c>
      <c r="J198" s="803">
        <f t="shared" si="76"/>
        <v>0</v>
      </c>
      <c r="K198" s="803">
        <f t="shared" si="41"/>
        <v>0</v>
      </c>
      <c r="L198" s="803">
        <f t="shared" si="77"/>
        <v>0</v>
      </c>
      <c r="M198" s="803">
        <f t="shared" si="77"/>
        <v>0</v>
      </c>
      <c r="N198" s="803">
        <f t="shared" si="77"/>
        <v>0</v>
      </c>
      <c r="O198" s="803">
        <f t="shared" si="43"/>
        <v>0</v>
      </c>
      <c r="P198" s="803">
        <f t="shared" si="78"/>
        <v>0</v>
      </c>
      <c r="Q198" s="803">
        <f t="shared" si="78"/>
        <v>0</v>
      </c>
      <c r="T198" s="827"/>
      <c r="U198" s="827"/>
      <c r="V198" s="827"/>
      <c r="W198" s="866">
        <f t="shared" si="51"/>
        <v>0</v>
      </c>
      <c r="X198" s="838" t="e">
        <f t="shared" si="45"/>
        <v>#DIV/0!</v>
      </c>
      <c r="Y198" s="831">
        <f t="shared" si="52"/>
        <v>0</v>
      </c>
      <c r="Z198" s="838">
        <f t="shared" si="53"/>
        <v>0</v>
      </c>
      <c r="AA198" s="838">
        <f t="shared" ref="AA198:AK198" si="90">IF($E99+365&lt;$C$56,0,IF($E99&lt;$C$56,(($E99+365-$C$56)/365)*(($C99/$BN$157)+($D99/$BN$158)),IF($E99&gt;AA$166,0,IF($E99+365&lt;AA$166,($C99/$BN$157)+($D99/$BN$158),((AA$166-$E99)/365)*(($C99/$BN$157)+($D99/$BN$158))))))</f>
        <v>0</v>
      </c>
      <c r="AB198" s="838">
        <f t="shared" si="90"/>
        <v>0</v>
      </c>
      <c r="AC198" s="838">
        <f t="shared" si="90"/>
        <v>0</v>
      </c>
      <c r="AD198" s="838">
        <f t="shared" si="90"/>
        <v>0</v>
      </c>
      <c r="AE198" s="838">
        <f t="shared" si="90"/>
        <v>0</v>
      </c>
      <c r="AF198" s="838">
        <f t="shared" si="90"/>
        <v>0</v>
      </c>
      <c r="AG198" s="838">
        <f t="shared" si="90"/>
        <v>0</v>
      </c>
      <c r="AH198" s="838">
        <f t="shared" si="90"/>
        <v>0</v>
      </c>
      <c r="AI198" s="838">
        <f t="shared" si="90"/>
        <v>0</v>
      </c>
      <c r="AJ198" s="838">
        <f t="shared" si="90"/>
        <v>0</v>
      </c>
      <c r="AK198" s="838">
        <f t="shared" si="90"/>
        <v>0</v>
      </c>
      <c r="AL198" s="811">
        <f t="shared" si="47"/>
        <v>0</v>
      </c>
      <c r="AM198" s="811">
        <f t="shared" si="48"/>
        <v>0</v>
      </c>
      <c r="AN198" s="867">
        <f t="shared" si="49"/>
        <v>0</v>
      </c>
      <c r="AO198" s="867">
        <f t="shared" si="50"/>
        <v>0</v>
      </c>
    </row>
    <row r="199" spans="7:41">
      <c r="G199" s="803">
        <f t="shared" si="39"/>
        <v>0</v>
      </c>
      <c r="H199" s="803">
        <f t="shared" si="76"/>
        <v>0</v>
      </c>
      <c r="I199" s="803">
        <f t="shared" si="76"/>
        <v>0</v>
      </c>
      <c r="J199" s="803">
        <f t="shared" si="76"/>
        <v>0</v>
      </c>
      <c r="K199" s="803">
        <f t="shared" si="41"/>
        <v>0</v>
      </c>
      <c r="L199" s="803">
        <f t="shared" si="77"/>
        <v>0</v>
      </c>
      <c r="M199" s="803">
        <f t="shared" si="77"/>
        <v>0</v>
      </c>
      <c r="N199" s="803">
        <f t="shared" si="77"/>
        <v>0</v>
      </c>
      <c r="O199" s="803">
        <f t="shared" si="43"/>
        <v>0</v>
      </c>
      <c r="P199" s="803">
        <f t="shared" si="78"/>
        <v>0</v>
      </c>
      <c r="Q199" s="803">
        <f t="shared" si="78"/>
        <v>0</v>
      </c>
      <c r="T199" s="827"/>
      <c r="U199" s="827"/>
      <c r="V199" s="827"/>
      <c r="W199" s="866">
        <f t="shared" si="51"/>
        <v>0</v>
      </c>
      <c r="X199" s="838" t="e">
        <f t="shared" si="45"/>
        <v>#DIV/0!</v>
      </c>
      <c r="Y199" s="831">
        <f t="shared" si="52"/>
        <v>0</v>
      </c>
      <c r="Z199" s="838">
        <f t="shared" si="53"/>
        <v>0</v>
      </c>
      <c r="AA199" s="838">
        <f t="shared" ref="AA199:AK199" si="91">IF($E100+365&lt;$C$56,0,IF($E100&lt;$C$56,(($E100+365-$C$56)/365)*(($C100/$BN$157)+($D100/$BN$158)),IF($E100&gt;AA$166,0,IF($E100+365&lt;AA$166,($C100/$BN$157)+($D100/$BN$158),((AA$166-$E100)/365)*(($C100/$BN$157)+($D100/$BN$158))))))</f>
        <v>0</v>
      </c>
      <c r="AB199" s="838">
        <f t="shared" si="91"/>
        <v>0</v>
      </c>
      <c r="AC199" s="838">
        <f t="shared" si="91"/>
        <v>0</v>
      </c>
      <c r="AD199" s="838">
        <f t="shared" si="91"/>
        <v>0</v>
      </c>
      <c r="AE199" s="838">
        <f t="shared" si="91"/>
        <v>0</v>
      </c>
      <c r="AF199" s="838">
        <f t="shared" si="91"/>
        <v>0</v>
      </c>
      <c r="AG199" s="838">
        <f t="shared" si="91"/>
        <v>0</v>
      </c>
      <c r="AH199" s="838">
        <f t="shared" si="91"/>
        <v>0</v>
      </c>
      <c r="AI199" s="838">
        <f t="shared" si="91"/>
        <v>0</v>
      </c>
      <c r="AJ199" s="838">
        <f t="shared" si="91"/>
        <v>0</v>
      </c>
      <c r="AK199" s="838">
        <f t="shared" si="91"/>
        <v>0</v>
      </c>
      <c r="AL199" s="811">
        <f t="shared" si="47"/>
        <v>0</v>
      </c>
      <c r="AM199" s="811">
        <f t="shared" si="48"/>
        <v>0</v>
      </c>
      <c r="AN199" s="867">
        <f t="shared" si="49"/>
        <v>0</v>
      </c>
      <c r="AO199" s="867">
        <f t="shared" si="50"/>
        <v>0</v>
      </c>
    </row>
    <row r="200" spans="7:41">
      <c r="G200" s="803">
        <f t="shared" si="39"/>
        <v>0</v>
      </c>
      <c r="H200" s="803">
        <f t="shared" si="76"/>
        <v>0</v>
      </c>
      <c r="I200" s="803">
        <f t="shared" si="76"/>
        <v>0</v>
      </c>
      <c r="J200" s="803">
        <f t="shared" si="76"/>
        <v>0</v>
      </c>
      <c r="K200" s="803">
        <f t="shared" si="41"/>
        <v>0</v>
      </c>
      <c r="L200" s="803">
        <f t="shared" si="77"/>
        <v>0</v>
      </c>
      <c r="M200" s="803">
        <f t="shared" si="77"/>
        <v>0</v>
      </c>
      <c r="N200" s="803">
        <f t="shared" si="77"/>
        <v>0</v>
      </c>
      <c r="O200" s="803">
        <f t="shared" si="43"/>
        <v>0</v>
      </c>
      <c r="P200" s="803">
        <f t="shared" si="78"/>
        <v>0</v>
      </c>
      <c r="Q200" s="803">
        <f t="shared" si="78"/>
        <v>0</v>
      </c>
      <c r="T200" s="827"/>
      <c r="U200" s="827"/>
      <c r="V200" s="827"/>
      <c r="W200" s="866">
        <f t="shared" si="51"/>
        <v>0</v>
      </c>
      <c r="X200" s="838" t="e">
        <f t="shared" si="45"/>
        <v>#DIV/0!</v>
      </c>
      <c r="Y200" s="831">
        <f t="shared" si="52"/>
        <v>0</v>
      </c>
      <c r="Z200" s="838">
        <f t="shared" si="53"/>
        <v>0</v>
      </c>
      <c r="AA200" s="838">
        <f t="shared" ref="AA200:AK200" si="92">IF($E101+365&lt;$C$56,0,IF($E101&lt;$C$56,(($E101+365-$C$56)/365)*(($C101/$BN$157)+($D101/$BN$158)),IF($E101&gt;AA$166,0,IF($E101+365&lt;AA$166,($C101/$BN$157)+($D101/$BN$158),((AA$166-$E101)/365)*(($C101/$BN$157)+($D101/$BN$158))))))</f>
        <v>0</v>
      </c>
      <c r="AB200" s="838">
        <f t="shared" si="92"/>
        <v>0</v>
      </c>
      <c r="AC200" s="838">
        <f t="shared" si="92"/>
        <v>0</v>
      </c>
      <c r="AD200" s="838">
        <f t="shared" si="92"/>
        <v>0</v>
      </c>
      <c r="AE200" s="838">
        <f t="shared" si="92"/>
        <v>0</v>
      </c>
      <c r="AF200" s="838">
        <f t="shared" si="92"/>
        <v>0</v>
      </c>
      <c r="AG200" s="838">
        <f t="shared" si="92"/>
        <v>0</v>
      </c>
      <c r="AH200" s="838">
        <f t="shared" si="92"/>
        <v>0</v>
      </c>
      <c r="AI200" s="838">
        <f t="shared" si="92"/>
        <v>0</v>
      </c>
      <c r="AJ200" s="838">
        <f t="shared" si="92"/>
        <v>0</v>
      </c>
      <c r="AK200" s="838">
        <f t="shared" si="92"/>
        <v>0</v>
      </c>
      <c r="AL200" s="811">
        <f t="shared" si="47"/>
        <v>0</v>
      </c>
      <c r="AM200" s="811">
        <f t="shared" si="48"/>
        <v>0</v>
      </c>
      <c r="AN200" s="867">
        <f t="shared" si="49"/>
        <v>0</v>
      </c>
      <c r="AO200" s="867">
        <f t="shared" si="50"/>
        <v>0</v>
      </c>
    </row>
    <row r="201" spans="7:41">
      <c r="G201" s="803">
        <f t="shared" si="39"/>
        <v>0</v>
      </c>
      <c r="H201" s="803">
        <f t="shared" si="76"/>
        <v>0</v>
      </c>
      <c r="I201" s="803">
        <f t="shared" si="76"/>
        <v>0</v>
      </c>
      <c r="J201" s="803">
        <f t="shared" si="76"/>
        <v>0</v>
      </c>
      <c r="K201" s="803">
        <f t="shared" si="41"/>
        <v>0</v>
      </c>
      <c r="L201" s="803">
        <f t="shared" si="77"/>
        <v>0</v>
      </c>
      <c r="M201" s="803">
        <f t="shared" si="77"/>
        <v>0</v>
      </c>
      <c r="N201" s="803">
        <f t="shared" si="77"/>
        <v>0</v>
      </c>
      <c r="O201" s="803">
        <f t="shared" si="43"/>
        <v>0</v>
      </c>
      <c r="P201" s="803">
        <f t="shared" si="78"/>
        <v>0</v>
      </c>
      <c r="Q201" s="803">
        <f t="shared" si="78"/>
        <v>0</v>
      </c>
      <c r="T201" s="827"/>
      <c r="U201" s="827"/>
      <c r="V201" s="827"/>
      <c r="W201" s="866">
        <f t="shared" si="51"/>
        <v>0</v>
      </c>
      <c r="X201" s="838" t="e">
        <f t="shared" si="45"/>
        <v>#DIV/0!</v>
      </c>
      <c r="Y201" s="831">
        <f t="shared" si="52"/>
        <v>0</v>
      </c>
      <c r="Z201" s="838">
        <f t="shared" si="53"/>
        <v>0</v>
      </c>
      <c r="AA201" s="838">
        <f t="shared" ref="AA201:AK201" si="93">IF($E102+365&lt;$C$56,0,IF($E102&lt;$C$56,(($E102+365-$C$56)/365)*(($C102/$BN$157)+($D102/$BN$158)),IF($E102&gt;AA$166,0,IF($E102+365&lt;AA$166,($C102/$BN$157)+($D102/$BN$158),((AA$166-$E102)/365)*(($C102/$BN$157)+($D102/$BN$158))))))</f>
        <v>0</v>
      </c>
      <c r="AB201" s="838">
        <f t="shared" si="93"/>
        <v>0</v>
      </c>
      <c r="AC201" s="838">
        <f t="shared" si="93"/>
        <v>0</v>
      </c>
      <c r="AD201" s="838">
        <f t="shared" si="93"/>
        <v>0</v>
      </c>
      <c r="AE201" s="838">
        <f t="shared" si="93"/>
        <v>0</v>
      </c>
      <c r="AF201" s="838">
        <f t="shared" si="93"/>
        <v>0</v>
      </c>
      <c r="AG201" s="838">
        <f t="shared" si="93"/>
        <v>0</v>
      </c>
      <c r="AH201" s="838">
        <f t="shared" si="93"/>
        <v>0</v>
      </c>
      <c r="AI201" s="838">
        <f t="shared" si="93"/>
        <v>0</v>
      </c>
      <c r="AJ201" s="838">
        <f t="shared" si="93"/>
        <v>0</v>
      </c>
      <c r="AK201" s="838">
        <f t="shared" si="93"/>
        <v>0</v>
      </c>
      <c r="AL201" s="811">
        <f t="shared" si="47"/>
        <v>0</v>
      </c>
      <c r="AM201" s="811">
        <f t="shared" si="48"/>
        <v>0</v>
      </c>
      <c r="AN201" s="867">
        <f t="shared" si="49"/>
        <v>0</v>
      </c>
      <c r="AO201" s="867">
        <f t="shared" si="50"/>
        <v>0</v>
      </c>
    </row>
    <row r="202" spans="7:41">
      <c r="G202" s="803">
        <f t="shared" si="39"/>
        <v>0</v>
      </c>
      <c r="H202" s="803">
        <f t="shared" si="76"/>
        <v>0</v>
      </c>
      <c r="I202" s="803">
        <f t="shared" si="76"/>
        <v>0</v>
      </c>
      <c r="J202" s="803">
        <f t="shared" si="76"/>
        <v>0</v>
      </c>
      <c r="K202" s="803">
        <f t="shared" si="41"/>
        <v>0</v>
      </c>
      <c r="L202" s="803">
        <f t="shared" si="77"/>
        <v>0</v>
      </c>
      <c r="M202" s="803">
        <f t="shared" si="77"/>
        <v>0</v>
      </c>
      <c r="N202" s="803">
        <f t="shared" si="77"/>
        <v>0</v>
      </c>
      <c r="O202" s="803">
        <f t="shared" si="43"/>
        <v>0</v>
      </c>
      <c r="P202" s="803">
        <f t="shared" si="78"/>
        <v>0</v>
      </c>
      <c r="Q202" s="803">
        <f t="shared" si="78"/>
        <v>0</v>
      </c>
      <c r="T202" s="827"/>
      <c r="U202" s="827"/>
      <c r="V202" s="827"/>
      <c r="W202" s="866">
        <f t="shared" si="51"/>
        <v>0</v>
      </c>
      <c r="X202" s="838" t="e">
        <f t="shared" si="45"/>
        <v>#DIV/0!</v>
      </c>
      <c r="Y202" s="831">
        <f t="shared" si="52"/>
        <v>0</v>
      </c>
      <c r="Z202" s="838">
        <f t="shared" si="53"/>
        <v>0</v>
      </c>
      <c r="AA202" s="838">
        <f t="shared" ref="AA202:AK202" si="94">IF($E103+365&lt;$C$56,0,IF($E103&lt;$C$56,(($E103+365-$C$56)/365)*(($C103/$BN$157)+($D103/$BN$158)),IF($E103&gt;AA$166,0,IF($E103+365&lt;AA$166,($C103/$BN$157)+($D103/$BN$158),((AA$166-$E103)/365)*(($C103/$BN$157)+($D103/$BN$158))))))</f>
        <v>0</v>
      </c>
      <c r="AB202" s="838">
        <f t="shared" si="94"/>
        <v>0</v>
      </c>
      <c r="AC202" s="838">
        <f t="shared" si="94"/>
        <v>0</v>
      </c>
      <c r="AD202" s="838">
        <f t="shared" si="94"/>
        <v>0</v>
      </c>
      <c r="AE202" s="838">
        <f t="shared" si="94"/>
        <v>0</v>
      </c>
      <c r="AF202" s="838">
        <f t="shared" si="94"/>
        <v>0</v>
      </c>
      <c r="AG202" s="838">
        <f t="shared" si="94"/>
        <v>0</v>
      </c>
      <c r="AH202" s="838">
        <f t="shared" si="94"/>
        <v>0</v>
      </c>
      <c r="AI202" s="838">
        <f t="shared" si="94"/>
        <v>0</v>
      </c>
      <c r="AJ202" s="838">
        <f t="shared" si="94"/>
        <v>0</v>
      </c>
      <c r="AK202" s="838">
        <f t="shared" si="94"/>
        <v>0</v>
      </c>
      <c r="AL202" s="811">
        <f t="shared" si="47"/>
        <v>0</v>
      </c>
      <c r="AM202" s="811">
        <f t="shared" si="48"/>
        <v>0</v>
      </c>
      <c r="AN202" s="867">
        <f t="shared" si="49"/>
        <v>0</v>
      </c>
      <c r="AO202" s="867">
        <f t="shared" si="50"/>
        <v>0</v>
      </c>
    </row>
    <row r="203" spans="7:41">
      <c r="G203" s="803">
        <f t="shared" si="39"/>
        <v>0</v>
      </c>
      <c r="H203" s="803">
        <f t="shared" si="76"/>
        <v>0</v>
      </c>
      <c r="I203" s="803">
        <f t="shared" si="76"/>
        <v>0</v>
      </c>
      <c r="J203" s="803">
        <f t="shared" si="76"/>
        <v>0</v>
      </c>
      <c r="K203" s="803">
        <f t="shared" si="41"/>
        <v>0</v>
      </c>
      <c r="L203" s="803">
        <f t="shared" si="77"/>
        <v>0</v>
      </c>
      <c r="M203" s="803">
        <f t="shared" si="77"/>
        <v>0</v>
      </c>
      <c r="N203" s="803">
        <f t="shared" si="77"/>
        <v>0</v>
      </c>
      <c r="O203" s="803">
        <f t="shared" si="43"/>
        <v>0</v>
      </c>
      <c r="P203" s="803">
        <f t="shared" si="78"/>
        <v>0</v>
      </c>
      <c r="Q203" s="803">
        <f t="shared" si="78"/>
        <v>0</v>
      </c>
      <c r="T203" s="827"/>
      <c r="U203" s="827"/>
      <c r="V203" s="827"/>
      <c r="W203" s="866">
        <f t="shared" si="51"/>
        <v>0</v>
      </c>
      <c r="X203" s="838" t="e">
        <f t="shared" si="45"/>
        <v>#DIV/0!</v>
      </c>
      <c r="Y203" s="831">
        <f t="shared" si="52"/>
        <v>0</v>
      </c>
      <c r="Z203" s="838">
        <f t="shared" si="53"/>
        <v>0</v>
      </c>
      <c r="AA203" s="838">
        <f t="shared" ref="AA203:AK203" si="95">IF($E104+365&lt;$C$56,0,IF($E104&lt;$C$56,(($E104+365-$C$56)/365)*(($C104/$BN$157)+($D104/$BN$158)),IF($E104&gt;AA$166,0,IF($E104+365&lt;AA$166,($C104/$BN$157)+($D104/$BN$158),((AA$166-$E104)/365)*(($C104/$BN$157)+($D104/$BN$158))))))</f>
        <v>0</v>
      </c>
      <c r="AB203" s="838">
        <f t="shared" si="95"/>
        <v>0</v>
      </c>
      <c r="AC203" s="838">
        <f t="shared" si="95"/>
        <v>0</v>
      </c>
      <c r="AD203" s="838">
        <f t="shared" si="95"/>
        <v>0</v>
      </c>
      <c r="AE203" s="838">
        <f t="shared" si="95"/>
        <v>0</v>
      </c>
      <c r="AF203" s="838">
        <f t="shared" si="95"/>
        <v>0</v>
      </c>
      <c r="AG203" s="838">
        <f t="shared" si="95"/>
        <v>0</v>
      </c>
      <c r="AH203" s="838">
        <f t="shared" si="95"/>
        <v>0</v>
      </c>
      <c r="AI203" s="838">
        <f t="shared" si="95"/>
        <v>0</v>
      </c>
      <c r="AJ203" s="838">
        <f t="shared" si="95"/>
        <v>0</v>
      </c>
      <c r="AK203" s="838">
        <f t="shared" si="95"/>
        <v>0</v>
      </c>
      <c r="AL203" s="811">
        <f t="shared" si="47"/>
        <v>0</v>
      </c>
      <c r="AM203" s="811">
        <f t="shared" si="48"/>
        <v>0</v>
      </c>
      <c r="AN203" s="867">
        <f t="shared" si="49"/>
        <v>0</v>
      </c>
      <c r="AO203" s="867">
        <f t="shared" si="50"/>
        <v>0</v>
      </c>
    </row>
    <row r="204" spans="7:41">
      <c r="G204" s="803">
        <f t="shared" si="39"/>
        <v>0</v>
      </c>
      <c r="H204" s="803">
        <f t="shared" si="76"/>
        <v>0</v>
      </c>
      <c r="I204" s="803">
        <f t="shared" si="76"/>
        <v>0</v>
      </c>
      <c r="J204" s="803">
        <f t="shared" si="76"/>
        <v>0</v>
      </c>
      <c r="K204" s="803">
        <f t="shared" si="41"/>
        <v>0</v>
      </c>
      <c r="L204" s="803">
        <f t="shared" si="77"/>
        <v>0</v>
      </c>
      <c r="M204" s="803">
        <f t="shared" si="77"/>
        <v>0</v>
      </c>
      <c r="N204" s="803">
        <f t="shared" si="77"/>
        <v>0</v>
      </c>
      <c r="O204" s="803">
        <f t="shared" si="43"/>
        <v>0</v>
      </c>
      <c r="P204" s="803">
        <f t="shared" si="78"/>
        <v>0</v>
      </c>
      <c r="Q204" s="803">
        <f t="shared" si="78"/>
        <v>0</v>
      </c>
      <c r="T204" s="827"/>
      <c r="U204" s="827"/>
      <c r="V204" s="827"/>
      <c r="W204" s="866">
        <f t="shared" si="51"/>
        <v>0</v>
      </c>
      <c r="X204" s="838" t="e">
        <f t="shared" si="45"/>
        <v>#DIV/0!</v>
      </c>
      <c r="Y204" s="831">
        <f t="shared" si="52"/>
        <v>0</v>
      </c>
      <c r="Z204" s="838">
        <f t="shared" si="53"/>
        <v>0</v>
      </c>
      <c r="AA204" s="838">
        <f t="shared" ref="AA204:AK204" si="96">IF($E105+365&lt;$C$56,0,IF($E105&lt;$C$56,(($E105+365-$C$56)/365)*(($C105/$BN$157)+($D105/$BN$158)),IF($E105&gt;AA$166,0,IF($E105+365&lt;AA$166,($C105/$BN$157)+($D105/$BN$158),((AA$166-$E105)/365)*(($C105/$BN$157)+($D105/$BN$158))))))</f>
        <v>0</v>
      </c>
      <c r="AB204" s="838">
        <f t="shared" si="96"/>
        <v>0</v>
      </c>
      <c r="AC204" s="838">
        <f t="shared" si="96"/>
        <v>0</v>
      </c>
      <c r="AD204" s="838">
        <f t="shared" si="96"/>
        <v>0</v>
      </c>
      <c r="AE204" s="838">
        <f t="shared" si="96"/>
        <v>0</v>
      </c>
      <c r="AF204" s="838">
        <f t="shared" si="96"/>
        <v>0</v>
      </c>
      <c r="AG204" s="838">
        <f t="shared" si="96"/>
        <v>0</v>
      </c>
      <c r="AH204" s="838">
        <f t="shared" si="96"/>
        <v>0</v>
      </c>
      <c r="AI204" s="838">
        <f t="shared" si="96"/>
        <v>0</v>
      </c>
      <c r="AJ204" s="838">
        <f t="shared" si="96"/>
        <v>0</v>
      </c>
      <c r="AK204" s="838">
        <f t="shared" si="96"/>
        <v>0</v>
      </c>
      <c r="AL204" s="811">
        <f t="shared" si="47"/>
        <v>0</v>
      </c>
      <c r="AM204" s="811">
        <f t="shared" si="48"/>
        <v>0</v>
      </c>
      <c r="AN204" s="867">
        <f t="shared" si="49"/>
        <v>0</v>
      </c>
      <c r="AO204" s="867">
        <f t="shared" si="50"/>
        <v>0</v>
      </c>
    </row>
    <row r="205" spans="7:41">
      <c r="G205" s="803">
        <f t="shared" si="39"/>
        <v>0</v>
      </c>
      <c r="H205" s="803">
        <f t="shared" si="76"/>
        <v>0</v>
      </c>
      <c r="I205" s="803">
        <f t="shared" si="76"/>
        <v>0</v>
      </c>
      <c r="J205" s="803">
        <f t="shared" si="76"/>
        <v>0</v>
      </c>
      <c r="K205" s="803">
        <f t="shared" si="41"/>
        <v>0</v>
      </c>
      <c r="L205" s="803">
        <f t="shared" si="77"/>
        <v>0</v>
      </c>
      <c r="M205" s="803">
        <f t="shared" si="77"/>
        <v>0</v>
      </c>
      <c r="N205" s="803">
        <f t="shared" si="77"/>
        <v>0</v>
      </c>
      <c r="O205" s="803">
        <f t="shared" si="43"/>
        <v>0</v>
      </c>
      <c r="P205" s="803">
        <f t="shared" si="78"/>
        <v>0</v>
      </c>
      <c r="Q205" s="803">
        <f t="shared" si="78"/>
        <v>0</v>
      </c>
      <c r="T205" s="827"/>
      <c r="U205" s="827"/>
      <c r="V205" s="827"/>
      <c r="W205" s="866">
        <f t="shared" si="51"/>
        <v>0</v>
      </c>
      <c r="X205" s="838" t="e">
        <f t="shared" si="45"/>
        <v>#DIV/0!</v>
      </c>
      <c r="Y205" s="831">
        <f t="shared" si="52"/>
        <v>0</v>
      </c>
      <c r="Z205" s="838">
        <f t="shared" si="53"/>
        <v>0</v>
      </c>
      <c r="AA205" s="838">
        <f t="shared" ref="AA205:AK205" si="97">IF($E106+365&lt;$C$56,0,IF($E106&lt;$C$56,(($E106+365-$C$56)/365)*(($C106/$BN$157)+($D106/$BN$158)),IF($E106&gt;AA$166,0,IF($E106+365&lt;AA$166,($C106/$BN$157)+($D106/$BN$158),((AA$166-$E106)/365)*(($C106/$BN$157)+($D106/$BN$158))))))</f>
        <v>0</v>
      </c>
      <c r="AB205" s="838">
        <f t="shared" si="97"/>
        <v>0</v>
      </c>
      <c r="AC205" s="838">
        <f t="shared" si="97"/>
        <v>0</v>
      </c>
      <c r="AD205" s="838">
        <f t="shared" si="97"/>
        <v>0</v>
      </c>
      <c r="AE205" s="838">
        <f t="shared" si="97"/>
        <v>0</v>
      </c>
      <c r="AF205" s="838">
        <f t="shared" si="97"/>
        <v>0</v>
      </c>
      <c r="AG205" s="838">
        <f t="shared" si="97"/>
        <v>0</v>
      </c>
      <c r="AH205" s="838">
        <f t="shared" si="97"/>
        <v>0</v>
      </c>
      <c r="AI205" s="838">
        <f t="shared" si="97"/>
        <v>0</v>
      </c>
      <c r="AJ205" s="838">
        <f t="shared" si="97"/>
        <v>0</v>
      </c>
      <c r="AK205" s="838">
        <f t="shared" si="97"/>
        <v>0</v>
      </c>
      <c r="AL205" s="811">
        <f t="shared" si="47"/>
        <v>0</v>
      </c>
      <c r="AM205" s="811">
        <f t="shared" si="48"/>
        <v>0</v>
      </c>
      <c r="AN205" s="867">
        <f t="shared" si="49"/>
        <v>0</v>
      </c>
      <c r="AO205" s="867">
        <f t="shared" si="50"/>
        <v>0</v>
      </c>
    </row>
    <row r="206" spans="7:41">
      <c r="G206" s="803">
        <f t="shared" si="39"/>
        <v>0</v>
      </c>
      <c r="H206" s="803">
        <f t="shared" si="76"/>
        <v>0</v>
      </c>
      <c r="I206" s="803">
        <f t="shared" si="76"/>
        <v>0</v>
      </c>
      <c r="J206" s="803">
        <f t="shared" si="76"/>
        <v>0</v>
      </c>
      <c r="K206" s="803">
        <f t="shared" si="41"/>
        <v>0</v>
      </c>
      <c r="L206" s="803">
        <f t="shared" si="77"/>
        <v>0</v>
      </c>
      <c r="M206" s="803">
        <f t="shared" si="77"/>
        <v>0</v>
      </c>
      <c r="N206" s="803">
        <f t="shared" si="77"/>
        <v>0</v>
      </c>
      <c r="O206" s="803">
        <f t="shared" si="43"/>
        <v>0</v>
      </c>
      <c r="P206" s="803">
        <f t="shared" si="78"/>
        <v>0</v>
      </c>
      <c r="Q206" s="803">
        <f t="shared" si="78"/>
        <v>0</v>
      </c>
      <c r="T206" s="827"/>
      <c r="U206" s="827"/>
      <c r="V206" s="827"/>
      <c r="W206" s="866">
        <f t="shared" si="51"/>
        <v>0</v>
      </c>
      <c r="X206" s="838" t="e">
        <f t="shared" si="45"/>
        <v>#DIV/0!</v>
      </c>
      <c r="Y206" s="831">
        <f t="shared" si="52"/>
        <v>0</v>
      </c>
      <c r="Z206" s="838">
        <f t="shared" si="53"/>
        <v>0</v>
      </c>
      <c r="AA206" s="838">
        <f t="shared" ref="AA206:AK206" si="98">IF($E107+365&lt;$C$56,0,IF($E107&lt;$C$56,(($E107+365-$C$56)/365)*(($C107/$BN$157)+($D107/$BN$158)),IF($E107&gt;AA$166,0,IF($E107+365&lt;AA$166,($C107/$BN$157)+($D107/$BN$158),((AA$166-$E107)/365)*(($C107/$BN$157)+($D107/$BN$158))))))</f>
        <v>0</v>
      </c>
      <c r="AB206" s="838">
        <f t="shared" si="98"/>
        <v>0</v>
      </c>
      <c r="AC206" s="838">
        <f t="shared" si="98"/>
        <v>0</v>
      </c>
      <c r="AD206" s="838">
        <f t="shared" si="98"/>
        <v>0</v>
      </c>
      <c r="AE206" s="838">
        <f t="shared" si="98"/>
        <v>0</v>
      </c>
      <c r="AF206" s="838">
        <f t="shared" si="98"/>
        <v>0</v>
      </c>
      <c r="AG206" s="838">
        <f t="shared" si="98"/>
        <v>0</v>
      </c>
      <c r="AH206" s="838">
        <f t="shared" si="98"/>
        <v>0</v>
      </c>
      <c r="AI206" s="838">
        <f t="shared" si="98"/>
        <v>0</v>
      </c>
      <c r="AJ206" s="838">
        <f t="shared" si="98"/>
        <v>0</v>
      </c>
      <c r="AK206" s="838">
        <f t="shared" si="98"/>
        <v>0</v>
      </c>
      <c r="AL206" s="811">
        <f t="shared" si="47"/>
        <v>0</v>
      </c>
      <c r="AM206" s="811">
        <f t="shared" si="48"/>
        <v>0</v>
      </c>
      <c r="AN206" s="867">
        <f t="shared" si="49"/>
        <v>0</v>
      </c>
      <c r="AO206" s="867">
        <f t="shared" si="50"/>
        <v>0</v>
      </c>
    </row>
    <row r="207" spans="7:41">
      <c r="G207" s="803">
        <f t="shared" si="39"/>
        <v>0</v>
      </c>
      <c r="H207" s="803">
        <f t="shared" ref="H207:J209" si="99">IF($E109&gt;H$66,0,IF($E109&lt;H$66-365,$C109,0))</f>
        <v>0</v>
      </c>
      <c r="I207" s="803">
        <f t="shared" si="99"/>
        <v>0</v>
      </c>
      <c r="J207" s="803">
        <f t="shared" si="99"/>
        <v>0</v>
      </c>
      <c r="K207" s="803">
        <f t="shared" si="41"/>
        <v>0</v>
      </c>
      <c r="L207" s="803">
        <f t="shared" ref="L207:N209" si="100">IF($E109&gt;L$66,0,IF($E109&lt;L$66-365,$C109,0))</f>
        <v>0</v>
      </c>
      <c r="M207" s="803">
        <f t="shared" si="100"/>
        <v>0</v>
      </c>
      <c r="N207" s="803">
        <f t="shared" si="100"/>
        <v>0</v>
      </c>
      <c r="O207" s="803">
        <f t="shared" si="43"/>
        <v>0</v>
      </c>
      <c r="P207" s="803">
        <f t="shared" ref="P207:Q209" si="101">IF($E109&gt;P$66,0,IF($E109&lt;P$66-365,$C109,0))</f>
        <v>0</v>
      </c>
      <c r="Q207" s="803">
        <f t="shared" si="101"/>
        <v>0</v>
      </c>
      <c r="T207" s="827"/>
      <c r="U207" s="827"/>
      <c r="V207" s="827"/>
      <c r="W207" s="866">
        <f t="shared" si="51"/>
        <v>0</v>
      </c>
      <c r="X207" s="838" t="e">
        <f t="shared" si="45"/>
        <v>#DIV/0!</v>
      </c>
      <c r="Y207" s="831">
        <f t="shared" si="52"/>
        <v>0</v>
      </c>
      <c r="Z207" s="838">
        <f t="shared" si="53"/>
        <v>0</v>
      </c>
      <c r="AA207" s="838">
        <f t="shared" ref="AA207:AK207" si="102">IF($E108+365&lt;$C$56,0,IF($E108&lt;$C$56,(($E108+365-$C$56)/365)*(($C108/$BN$157)+($D108/$BN$158)),IF($E108&gt;AA$166,0,IF($E108+365&lt;AA$166,($C108/$BN$157)+($D108/$BN$158),((AA$166-$E108)/365)*(($C108/$BN$157)+($D108/$BN$158))))))</f>
        <v>0</v>
      </c>
      <c r="AB207" s="838">
        <f t="shared" si="102"/>
        <v>0</v>
      </c>
      <c r="AC207" s="838">
        <f t="shared" si="102"/>
        <v>0</v>
      </c>
      <c r="AD207" s="838">
        <f t="shared" si="102"/>
        <v>0</v>
      </c>
      <c r="AE207" s="838">
        <f t="shared" si="102"/>
        <v>0</v>
      </c>
      <c r="AF207" s="838">
        <f t="shared" si="102"/>
        <v>0</v>
      </c>
      <c r="AG207" s="838">
        <f t="shared" si="102"/>
        <v>0</v>
      </c>
      <c r="AH207" s="838">
        <f t="shared" si="102"/>
        <v>0</v>
      </c>
      <c r="AI207" s="838">
        <f t="shared" si="102"/>
        <v>0</v>
      </c>
      <c r="AJ207" s="838">
        <f t="shared" si="102"/>
        <v>0</v>
      </c>
      <c r="AK207" s="838">
        <f t="shared" si="102"/>
        <v>0</v>
      </c>
      <c r="AL207" s="811">
        <f t="shared" si="47"/>
        <v>0</v>
      </c>
      <c r="AM207" s="811">
        <f t="shared" si="48"/>
        <v>0</v>
      </c>
      <c r="AN207" s="867">
        <f t="shared" si="49"/>
        <v>0</v>
      </c>
      <c r="AO207" s="867">
        <f t="shared" si="50"/>
        <v>0</v>
      </c>
    </row>
    <row r="208" spans="7:41">
      <c r="G208" s="803">
        <f t="shared" si="39"/>
        <v>0</v>
      </c>
      <c r="H208" s="803">
        <f t="shared" si="99"/>
        <v>0</v>
      </c>
      <c r="I208" s="803">
        <f t="shared" si="99"/>
        <v>0</v>
      </c>
      <c r="J208" s="803">
        <f t="shared" si="99"/>
        <v>0</v>
      </c>
      <c r="K208" s="803">
        <f t="shared" si="41"/>
        <v>0</v>
      </c>
      <c r="L208" s="803">
        <f t="shared" si="100"/>
        <v>0</v>
      </c>
      <c r="M208" s="803">
        <f t="shared" si="100"/>
        <v>0</v>
      </c>
      <c r="N208" s="803">
        <f t="shared" si="100"/>
        <v>0</v>
      </c>
      <c r="O208" s="803">
        <f t="shared" si="43"/>
        <v>0</v>
      </c>
      <c r="P208" s="803">
        <f t="shared" si="101"/>
        <v>0</v>
      </c>
      <c r="Q208" s="803">
        <f t="shared" si="101"/>
        <v>0</v>
      </c>
      <c r="T208" s="827"/>
      <c r="U208" s="827"/>
      <c r="V208" s="827"/>
      <c r="W208" s="866">
        <f t="shared" si="51"/>
        <v>0</v>
      </c>
      <c r="X208" s="838" t="e">
        <f t="shared" si="45"/>
        <v>#DIV/0!</v>
      </c>
      <c r="Y208" s="831">
        <f t="shared" si="52"/>
        <v>0</v>
      </c>
      <c r="Z208" s="838">
        <f t="shared" si="53"/>
        <v>0</v>
      </c>
      <c r="AA208" s="838">
        <f t="shared" ref="AA208:AK208" si="103">IF($E109+365&lt;$C$56,0,IF($E109&lt;$C$56,(($E109+365-$C$56)/365)*(($C109/$BN$157)+($D109/$BN$158)),IF($E109&gt;AA$166,0,IF($E109+365&lt;AA$166,($C109/$BN$157)+($D109/$BN$158),((AA$166-$E109)/365)*(($C109/$BN$157)+($D109/$BN$158))))))</f>
        <v>0</v>
      </c>
      <c r="AB208" s="838">
        <f t="shared" si="103"/>
        <v>0</v>
      </c>
      <c r="AC208" s="838">
        <f t="shared" si="103"/>
        <v>0</v>
      </c>
      <c r="AD208" s="838">
        <f t="shared" si="103"/>
        <v>0</v>
      </c>
      <c r="AE208" s="838">
        <f t="shared" si="103"/>
        <v>0</v>
      </c>
      <c r="AF208" s="838">
        <f t="shared" si="103"/>
        <v>0</v>
      </c>
      <c r="AG208" s="838">
        <f t="shared" si="103"/>
        <v>0</v>
      </c>
      <c r="AH208" s="838">
        <f t="shared" si="103"/>
        <v>0</v>
      </c>
      <c r="AI208" s="838">
        <f t="shared" si="103"/>
        <v>0</v>
      </c>
      <c r="AJ208" s="838">
        <f t="shared" si="103"/>
        <v>0</v>
      </c>
      <c r="AK208" s="838">
        <f t="shared" si="103"/>
        <v>0</v>
      </c>
      <c r="AL208" s="811">
        <f t="shared" si="47"/>
        <v>0</v>
      </c>
      <c r="AM208" s="811">
        <f t="shared" si="48"/>
        <v>0</v>
      </c>
      <c r="AN208" s="867">
        <f t="shared" si="49"/>
        <v>0</v>
      </c>
      <c r="AO208" s="867">
        <f t="shared" si="50"/>
        <v>0</v>
      </c>
    </row>
    <row r="209" spans="6:42">
      <c r="G209" s="803">
        <f t="shared" si="39"/>
        <v>0</v>
      </c>
      <c r="H209" s="803">
        <f t="shared" si="99"/>
        <v>0</v>
      </c>
      <c r="I209" s="803">
        <f t="shared" si="99"/>
        <v>0</v>
      </c>
      <c r="J209" s="803">
        <f t="shared" si="99"/>
        <v>0</v>
      </c>
      <c r="K209" s="803">
        <f t="shared" si="41"/>
        <v>0</v>
      </c>
      <c r="L209" s="803">
        <f t="shared" si="100"/>
        <v>0</v>
      </c>
      <c r="M209" s="803">
        <f t="shared" si="100"/>
        <v>0</v>
      </c>
      <c r="N209" s="803">
        <f t="shared" si="100"/>
        <v>0</v>
      </c>
      <c r="O209" s="803">
        <f t="shared" si="43"/>
        <v>0</v>
      </c>
      <c r="P209" s="803">
        <f t="shared" si="101"/>
        <v>0</v>
      </c>
      <c r="Q209" s="803">
        <f t="shared" si="101"/>
        <v>0</v>
      </c>
      <c r="T209" s="827"/>
      <c r="U209" s="827"/>
      <c r="V209" s="827"/>
      <c r="W209" s="866">
        <f t="shared" si="51"/>
        <v>0</v>
      </c>
      <c r="X209" s="838" t="e">
        <f t="shared" si="45"/>
        <v>#DIV/0!</v>
      </c>
      <c r="Y209" s="831">
        <f t="shared" si="52"/>
        <v>0</v>
      </c>
      <c r="Z209" s="838">
        <f t="shared" si="53"/>
        <v>0</v>
      </c>
      <c r="AA209" s="838">
        <f t="shared" ref="AA209:AK209" si="104">IF($E110+365&lt;$C$56,0,IF($E110&lt;$C$56,(($E110+365-$C$56)/365)*(($C110/$BN$157)+($D110/$BN$158)),IF($E110&gt;AA$166,0,IF($E110+365&lt;AA$166,($C110/$BN$157)+($D110/$BN$158),((AA$166-$E110)/365)*(($C110/$BN$157)+($D110/$BN$158))))))</f>
        <v>0</v>
      </c>
      <c r="AB209" s="838">
        <f t="shared" si="104"/>
        <v>0</v>
      </c>
      <c r="AC209" s="838">
        <f t="shared" si="104"/>
        <v>0</v>
      </c>
      <c r="AD209" s="838">
        <f t="shared" si="104"/>
        <v>0</v>
      </c>
      <c r="AE209" s="838">
        <f t="shared" si="104"/>
        <v>0</v>
      </c>
      <c r="AF209" s="838">
        <f t="shared" si="104"/>
        <v>0</v>
      </c>
      <c r="AG209" s="838">
        <f t="shared" si="104"/>
        <v>0</v>
      </c>
      <c r="AH209" s="838">
        <f t="shared" si="104"/>
        <v>0</v>
      </c>
      <c r="AI209" s="838">
        <f t="shared" si="104"/>
        <v>0</v>
      </c>
      <c r="AJ209" s="838">
        <f t="shared" si="104"/>
        <v>0</v>
      </c>
      <c r="AK209" s="838">
        <f t="shared" si="104"/>
        <v>0</v>
      </c>
      <c r="AL209" s="811">
        <f t="shared" si="47"/>
        <v>0</v>
      </c>
      <c r="AM209" s="811">
        <f t="shared" si="48"/>
        <v>0</v>
      </c>
      <c r="AN209" s="867">
        <f t="shared" si="49"/>
        <v>0</v>
      </c>
      <c r="AO209" s="867">
        <f t="shared" si="50"/>
        <v>0</v>
      </c>
    </row>
    <row r="210" spans="6:42">
      <c r="T210" s="827"/>
      <c r="U210" s="827"/>
      <c r="V210" s="827"/>
      <c r="W210" s="866">
        <f t="shared" si="51"/>
        <v>0</v>
      </c>
      <c r="X210" s="838" t="e">
        <f t="shared" si="45"/>
        <v>#DIV/0!</v>
      </c>
      <c r="Y210" s="831">
        <f t="shared" si="52"/>
        <v>0</v>
      </c>
      <c r="Z210" s="838">
        <f t="shared" si="53"/>
        <v>0</v>
      </c>
      <c r="AA210" s="838">
        <f t="shared" ref="AA210:AK210" si="105">IF($E111+365&lt;$C$56,0,IF($E111&lt;$C$56,(($E111+365-$C$56)/365)*(($C111/$BN$157)+($D111/$BN$158)),IF($E111&gt;AA$166,0,IF($E111+365&lt;AA$166,($C111/$BN$157)+($D111/$BN$158),((AA$166-$E111)/365)*(($C111/$BN$157)+($D111/$BN$158))))))</f>
        <v>0</v>
      </c>
      <c r="AB210" s="838">
        <f t="shared" si="105"/>
        <v>0</v>
      </c>
      <c r="AC210" s="838">
        <f t="shared" si="105"/>
        <v>0</v>
      </c>
      <c r="AD210" s="838">
        <f t="shared" si="105"/>
        <v>0</v>
      </c>
      <c r="AE210" s="838">
        <f t="shared" si="105"/>
        <v>0</v>
      </c>
      <c r="AF210" s="838">
        <f t="shared" si="105"/>
        <v>0</v>
      </c>
      <c r="AG210" s="838">
        <f t="shared" si="105"/>
        <v>0</v>
      </c>
      <c r="AH210" s="838">
        <f t="shared" si="105"/>
        <v>0</v>
      </c>
      <c r="AI210" s="838">
        <f t="shared" si="105"/>
        <v>0</v>
      </c>
      <c r="AJ210" s="838">
        <f t="shared" si="105"/>
        <v>0</v>
      </c>
      <c r="AK210" s="838">
        <f t="shared" si="105"/>
        <v>0</v>
      </c>
      <c r="AL210" s="811">
        <f t="shared" si="47"/>
        <v>0</v>
      </c>
      <c r="AM210" s="811">
        <f t="shared" si="48"/>
        <v>0</v>
      </c>
      <c r="AN210" s="867">
        <f t="shared" si="49"/>
        <v>0</v>
      </c>
      <c r="AO210" s="867">
        <f t="shared" si="50"/>
        <v>0</v>
      </c>
    </row>
    <row r="211" spans="6:42">
      <c r="T211" s="827"/>
      <c r="U211" s="827"/>
      <c r="V211" s="827"/>
      <c r="W211" s="866">
        <f t="shared" si="51"/>
        <v>0</v>
      </c>
      <c r="X211" s="838" t="e">
        <f t="shared" si="45"/>
        <v>#DIV/0!</v>
      </c>
      <c r="Y211" s="831">
        <f t="shared" si="52"/>
        <v>0</v>
      </c>
      <c r="Z211" s="838">
        <f t="shared" si="53"/>
        <v>0</v>
      </c>
      <c r="AA211" s="838">
        <f t="shared" ref="AA211:AK211" si="106">IF($E112+365&lt;$C$56,0,IF($E112&lt;$C$56,(($E112+365-$C$56)/365)*(($C112/$BN$157)+($D112/$BN$158)),IF($E112&gt;AA$166,0,IF($E112+365&lt;AA$166,($C112/$BN$157)+($D112/$BN$158),((AA$166-$E112)/365)*(($C112/$BN$157)+($D112/$BN$158))))))</f>
        <v>0</v>
      </c>
      <c r="AB211" s="838">
        <f t="shared" si="106"/>
        <v>0</v>
      </c>
      <c r="AC211" s="838">
        <f t="shared" si="106"/>
        <v>0</v>
      </c>
      <c r="AD211" s="838">
        <f t="shared" si="106"/>
        <v>0</v>
      </c>
      <c r="AE211" s="838">
        <f t="shared" si="106"/>
        <v>0</v>
      </c>
      <c r="AF211" s="838">
        <f t="shared" si="106"/>
        <v>0</v>
      </c>
      <c r="AG211" s="838">
        <f t="shared" si="106"/>
        <v>0</v>
      </c>
      <c r="AH211" s="838">
        <f t="shared" si="106"/>
        <v>0</v>
      </c>
      <c r="AI211" s="838">
        <f t="shared" si="106"/>
        <v>0</v>
      </c>
      <c r="AJ211" s="838">
        <f t="shared" si="106"/>
        <v>0</v>
      </c>
      <c r="AK211" s="838">
        <f t="shared" si="106"/>
        <v>0</v>
      </c>
      <c r="AL211" s="811">
        <f t="shared" si="47"/>
        <v>0</v>
      </c>
      <c r="AM211" s="811">
        <f t="shared" si="48"/>
        <v>0</v>
      </c>
      <c r="AN211" s="867">
        <f t="shared" si="49"/>
        <v>0</v>
      </c>
      <c r="AO211" s="867">
        <f t="shared" si="50"/>
        <v>0</v>
      </c>
      <c r="AP211" s="831"/>
    </row>
    <row r="212" spans="6:42">
      <c r="T212" s="827"/>
      <c r="U212" s="827"/>
      <c r="V212" s="827"/>
      <c r="W212" s="866"/>
      <c r="X212" s="838"/>
      <c r="Y212" s="831">
        <f t="shared" si="52"/>
        <v>0</v>
      </c>
      <c r="Z212" s="838">
        <f t="shared" si="53"/>
        <v>0</v>
      </c>
      <c r="AA212" s="838">
        <f t="shared" ref="AA212:AK212" si="107">IF($E113+365&lt;$C$56,0,IF($E113&lt;$C$56,(($E113+365-$C$56)/365)*(($C113/$BN$157)+($D113/$BN$158)),IF($E113&gt;AA$166,0,IF($E113+365&lt;AA$166,($C113/$BN$157)+($D113/$BN$158),((AA$166-$E113)/365)*(($C113/$BN$157)+($D113/$BN$158))))))</f>
        <v>0</v>
      </c>
      <c r="AB212" s="838">
        <f t="shared" si="107"/>
        <v>0</v>
      </c>
      <c r="AC212" s="838">
        <f t="shared" si="107"/>
        <v>0</v>
      </c>
      <c r="AD212" s="838">
        <f t="shared" si="107"/>
        <v>0</v>
      </c>
      <c r="AE212" s="838">
        <f t="shared" si="107"/>
        <v>0</v>
      </c>
      <c r="AF212" s="838">
        <f t="shared" si="107"/>
        <v>0</v>
      </c>
      <c r="AG212" s="838">
        <f t="shared" si="107"/>
        <v>0</v>
      </c>
      <c r="AH212" s="838">
        <f t="shared" si="107"/>
        <v>0</v>
      </c>
      <c r="AI212" s="838">
        <f t="shared" si="107"/>
        <v>0</v>
      </c>
      <c r="AJ212" s="838">
        <f t="shared" si="107"/>
        <v>0</v>
      </c>
      <c r="AK212" s="838">
        <f t="shared" si="107"/>
        <v>0</v>
      </c>
      <c r="AL212" s="811">
        <f t="shared" si="47"/>
        <v>0</v>
      </c>
      <c r="AM212" s="811">
        <f t="shared" si="48"/>
        <v>0</v>
      </c>
      <c r="AN212" s="867">
        <f t="shared" si="49"/>
        <v>0</v>
      </c>
      <c r="AO212" s="867">
        <f t="shared" si="50"/>
        <v>0</v>
      </c>
    </row>
    <row r="213" spans="6:42">
      <c r="T213" s="827"/>
      <c r="U213" s="827"/>
      <c r="V213" s="827"/>
      <c r="W213" s="866"/>
      <c r="X213" s="838"/>
      <c r="Y213" s="831">
        <f t="shared" si="52"/>
        <v>0</v>
      </c>
      <c r="Z213" s="838">
        <f t="shared" si="53"/>
        <v>0</v>
      </c>
      <c r="AA213" s="838">
        <f t="shared" ref="AA213:AK213" si="108">IF($E114+365&lt;$C$56,0,IF($E114&lt;$C$56,(($E114+365-$C$56)/365)*(($C114/$BN$157)+($D114/$BN$158)),IF($E114&gt;AA$166,0,IF($E114+365&lt;AA$166,($C114/$BN$157)+($D114/$BN$158),((AA$166-$E114)/365)*(($C114/$BN$157)+($D114/$BN$158))))))</f>
        <v>0</v>
      </c>
      <c r="AB213" s="838">
        <f t="shared" si="108"/>
        <v>0</v>
      </c>
      <c r="AC213" s="838">
        <f t="shared" si="108"/>
        <v>0</v>
      </c>
      <c r="AD213" s="838">
        <f t="shared" si="108"/>
        <v>0</v>
      </c>
      <c r="AE213" s="838">
        <f t="shared" si="108"/>
        <v>0</v>
      </c>
      <c r="AF213" s="838">
        <f t="shared" si="108"/>
        <v>0</v>
      </c>
      <c r="AG213" s="838">
        <f t="shared" si="108"/>
        <v>0</v>
      </c>
      <c r="AH213" s="838">
        <f t="shared" si="108"/>
        <v>0</v>
      </c>
      <c r="AI213" s="838">
        <f t="shared" si="108"/>
        <v>0</v>
      </c>
      <c r="AJ213" s="838">
        <f t="shared" si="108"/>
        <v>0</v>
      </c>
      <c r="AK213" s="838">
        <f t="shared" si="108"/>
        <v>0</v>
      </c>
      <c r="AL213" s="811">
        <f t="shared" si="47"/>
        <v>0</v>
      </c>
      <c r="AM213" s="811">
        <f t="shared" si="48"/>
        <v>0</v>
      </c>
      <c r="AN213" s="867">
        <f t="shared" si="49"/>
        <v>0</v>
      </c>
      <c r="AO213" s="867">
        <f t="shared" si="50"/>
        <v>0</v>
      </c>
    </row>
    <row r="214" spans="6:42" ht="13">
      <c r="F214" s="803" t="s">
        <v>490</v>
      </c>
      <c r="G214" s="803">
        <f>SUM(G167:G213)</f>
        <v>-20</v>
      </c>
      <c r="H214" s="803">
        <f t="shared" ref="H214:Q214" si="109">SUM(H167:H213)</f>
        <v>-20</v>
      </c>
      <c r="I214" s="803">
        <f t="shared" si="109"/>
        <v>-560</v>
      </c>
      <c r="J214" s="803">
        <f t="shared" si="109"/>
        <v>-610</v>
      </c>
      <c r="K214" s="803">
        <f t="shared" si="109"/>
        <v>-630</v>
      </c>
      <c r="L214" s="803">
        <f t="shared" si="109"/>
        <v>-630</v>
      </c>
      <c r="M214" s="803">
        <f t="shared" si="109"/>
        <v>-640</v>
      </c>
      <c r="N214" s="803">
        <f t="shared" si="109"/>
        <v>-780</v>
      </c>
      <c r="O214" s="803">
        <f t="shared" si="109"/>
        <v>-780</v>
      </c>
      <c r="P214" s="803">
        <f t="shared" si="109"/>
        <v>-780</v>
      </c>
      <c r="Q214" s="803">
        <f t="shared" si="109"/>
        <v>-780</v>
      </c>
      <c r="X214" s="872" t="e">
        <f>SUM(X168:X213)</f>
        <v>#DIV/0!</v>
      </c>
      <c r="Y214" s="873" t="s">
        <v>84</v>
      </c>
      <c r="AA214" s="874">
        <f>VLOOKUP($A$2,Assumptions!$B$124:$G$147,6,0)*SUM(AA167:AA213)</f>
        <v>0</v>
      </c>
      <c r="AB214" s="874">
        <f>VLOOKUP($A$2,Assumptions!$B$124:$G$147,6,0)*SUM(AB167:AB213)</f>
        <v>-0.49814753881467511</v>
      </c>
      <c r="AC214" s="874">
        <f>VLOOKUP($A$2,Assumptions!$B$124:$G$147,6,0)*SUM(AC167:AC213)</f>
        <v>-13.948131086810903</v>
      </c>
      <c r="AD214" s="874">
        <f>VLOOKUP($A$2,Assumptions!$B$124:$G$147,6,0)*SUM(AD167:AD213)</f>
        <v>-15.963754108271687</v>
      </c>
      <c r="AE214" s="874">
        <f>VLOOKUP($A$2,Assumptions!$B$124:$G$147,6,0)*SUM(AE167:AE213)</f>
        <v>-16.272806686343195</v>
      </c>
      <c r="AF214" s="874">
        <f>VLOOKUP($A$2,Assumptions!$B$124:$G$147,6,0)*SUM(AF167:AF213)</f>
        <v>-16.581859264414703</v>
      </c>
      <c r="AG214" s="874">
        <f>VLOOKUP($A$2,Assumptions!$B$124:$G$147,6,0)*SUM(AG167:AG213)</f>
        <v>-16.890911842486211</v>
      </c>
      <c r="AH214" s="874">
        <f>VLOOKUP($A$2,Assumptions!$B$124:$G$147,6,0)*SUM(AH167:AH213)</f>
        <v>-21.227118273697471</v>
      </c>
      <c r="AI214" s="874">
        <f>VLOOKUP($A$2,Assumptions!$B$124:$G$147,6,0)*SUM(AI167:AI213)</f>
        <v>-21.227118273697471</v>
      </c>
      <c r="AJ214" s="874">
        <f>VLOOKUP($A$2,Assumptions!$B$124:$G$147,6,0)*SUM(AJ167:AJ213)</f>
        <v>-21.227118273697471</v>
      </c>
      <c r="AK214" s="874">
        <f>VLOOKUP($A$2,Assumptions!$B$124:$G$147,6,0)*SUM(AK167:AK213)</f>
        <v>-21.227118273697471</v>
      </c>
      <c r="AL214" s="874">
        <f>VLOOKUP($A$2,Assumptions!$B$124:$G$147,6,0)*SUM(AL167:AL213)</f>
        <v>-585</v>
      </c>
      <c r="AM214" s="874">
        <f>VLOOKUP($A$2,Assumptions!$B$124:$G$147,6,0)*SUM(AM167:AM213)</f>
        <v>-855</v>
      </c>
      <c r="AN214" s="867">
        <f>SUM(AN167:AN213)</f>
        <v>10893095</v>
      </c>
      <c r="AO214" s="867">
        <f>SUM(AO167:AO213)</f>
        <v>0</v>
      </c>
    </row>
    <row r="215" spans="6:42">
      <c r="T215" s="811"/>
      <c r="U215" s="811"/>
      <c r="V215" s="811"/>
      <c r="Y215" s="875" t="s">
        <v>491</v>
      </c>
      <c r="Z215" s="876">
        <f>C64</f>
        <v>64</v>
      </c>
      <c r="AA215" s="877">
        <f t="shared" ref="AA215:AK215" si="110">$C$64+AA214</f>
        <v>64</v>
      </c>
      <c r="AB215" s="877">
        <f t="shared" si="110"/>
        <v>63.501852461185322</v>
      </c>
      <c r="AC215" s="877">
        <f t="shared" si="110"/>
        <v>50.051868913189097</v>
      </c>
      <c r="AD215" s="877">
        <f t="shared" si="110"/>
        <v>48.036245891728313</v>
      </c>
      <c r="AE215" s="877">
        <f t="shared" si="110"/>
        <v>47.727193313656805</v>
      </c>
      <c r="AF215" s="877">
        <f t="shared" si="110"/>
        <v>47.418140735585297</v>
      </c>
      <c r="AG215" s="877">
        <f t="shared" si="110"/>
        <v>47.109088157513789</v>
      </c>
      <c r="AH215" s="877">
        <f t="shared" si="110"/>
        <v>42.772881726302529</v>
      </c>
      <c r="AI215" s="877">
        <f t="shared" si="110"/>
        <v>42.772881726302529</v>
      </c>
      <c r="AJ215" s="877">
        <f t="shared" si="110"/>
        <v>42.772881726302529</v>
      </c>
      <c r="AK215" s="877">
        <f t="shared" si="110"/>
        <v>42.772881726302529</v>
      </c>
      <c r="AN215" s="820">
        <f>SUM(AL215:AM215)</f>
        <v>0</v>
      </c>
    </row>
    <row r="216" spans="6:42">
      <c r="T216" s="811"/>
      <c r="U216" s="811"/>
      <c r="V216" s="984"/>
      <c r="W216" s="984"/>
      <c r="X216" s="984"/>
      <c r="Y216" s="875" t="s">
        <v>492</v>
      </c>
      <c r="Z216" s="878">
        <f t="shared" ref="Z216:AI216" si="111">IF(Z215&lt;$BB$154,(6+(1-Z215/$BB$154)),IF(Z215&lt;$BB$155,5.5+(0.5*(($BB$155-Z215)/($BB$155-$BB$154))),IF(Z215&lt;$BB$156,5-0.5*((Z215)-$BB$156)/($BB$156-$BB$155),IF(Z215&lt;$BB$157,4.5-0.5*((Z215-$BB$157)/($BB$157-$BB$156)),5-0.5*((Z215-$BB$156)/$BH$166)))))</f>
        <v>5.1606552665612879</v>
      </c>
      <c r="AA216" s="878">
        <f t="shared" si="111"/>
        <v>5.1606552665612879</v>
      </c>
      <c r="AB216" s="878">
        <f t="shared" si="111"/>
        <v>5.1749719079986978</v>
      </c>
      <c r="AC216" s="878">
        <f t="shared" si="111"/>
        <v>5.5615212268087628</v>
      </c>
      <c r="AD216" s="878">
        <f t="shared" si="111"/>
        <v>5.6194497516387898</v>
      </c>
      <c r="AE216" s="878">
        <f t="shared" si="111"/>
        <v>5.6283318490111567</v>
      </c>
      <c r="AF216" s="878">
        <f t="shared" si="111"/>
        <v>5.6372139463835236</v>
      </c>
      <c r="AG216" s="878">
        <f t="shared" si="111"/>
        <v>5.6460960437558905</v>
      </c>
      <c r="AH216" s="878">
        <f t="shared" si="111"/>
        <v>5.7707175822301329</v>
      </c>
      <c r="AI216" s="878">
        <f t="shared" si="111"/>
        <v>5.7707175822301329</v>
      </c>
      <c r="AJ216" s="878">
        <f>IF(AJ215&lt;$BB$154,(6+(1-AJ215/$BB$154)),IF(AJ215&lt;$BB$155,5.5+(0.5*(($BB$155-AJ215)/($BB$155-$BB$154))),IF(AJ215&lt;$BB$156,5-0.5*((AJ215)-$BB$156)/($BB$156-$BB$155),IF(AJ215&lt;$BB$157,4.5-0.5*((AJ215-$BB$157)/($BB$157-$BB$156)),5-0.5*((AJ215-$BB$156)/$BH$166)))))</f>
        <v>5.7707175822301329</v>
      </c>
      <c r="AK216" s="878">
        <f>IF(AK215&lt;$BB$154,(6+(1-AK215/$BB$154)),IF(AK215&lt;$BB$155,5.5+(0.5*(($BB$155-AK215)/($BB$155-$BB$154))),IF(AK215&lt;$BB$156,5-0.5*((AK215)-$BB$156)/($BB$156-$BB$155),IF(AK215&lt;$BB$157,4.5-0.5*((AK215-$BB$157)/($BB$157-$BB$156)),5-0.5*((AK215-$BB$156)/$BH$166)))))</f>
        <v>5.7707175822301329</v>
      </c>
    </row>
    <row r="217" spans="6:42">
      <c r="T217" s="811"/>
      <c r="U217" s="811"/>
    </row>
    <row r="218" spans="6:42">
      <c r="T218" s="811"/>
      <c r="U218" s="811"/>
      <c r="V218" s="811"/>
    </row>
    <row r="219" spans="6:42">
      <c r="T219" s="811"/>
      <c r="U219" s="811"/>
      <c r="V219" s="811"/>
    </row>
    <row r="220" spans="6:42">
      <c r="G220" s="803">
        <f t="shared" ref="G220:G265" si="112">IF($E69&lt;G$66,$D69,0)</f>
        <v>0</v>
      </c>
      <c r="H220" s="803">
        <f t="shared" ref="H220:Q220" si="113">IF($E69&gt;H$66,0,IF($E69&lt;H$66-365,$D69,0))</f>
        <v>0</v>
      </c>
      <c r="I220" s="803">
        <f t="shared" si="113"/>
        <v>0</v>
      </c>
      <c r="J220" s="803">
        <f t="shared" si="113"/>
        <v>0</v>
      </c>
      <c r="K220" s="803">
        <f t="shared" si="113"/>
        <v>0</v>
      </c>
      <c r="L220" s="803">
        <f t="shared" si="113"/>
        <v>0</v>
      </c>
      <c r="M220" s="803">
        <f t="shared" si="113"/>
        <v>0</v>
      </c>
      <c r="N220" s="803">
        <f t="shared" si="113"/>
        <v>0</v>
      </c>
      <c r="O220" s="803">
        <f t="shared" si="113"/>
        <v>0</v>
      </c>
      <c r="P220" s="803">
        <f t="shared" si="113"/>
        <v>0</v>
      </c>
      <c r="Q220" s="803">
        <f t="shared" si="113"/>
        <v>0</v>
      </c>
      <c r="T220" s="811"/>
      <c r="U220" s="811"/>
      <c r="V220" s="811"/>
    </row>
    <row r="221" spans="6:42">
      <c r="G221" s="803">
        <f t="shared" si="112"/>
        <v>0</v>
      </c>
      <c r="H221" s="803">
        <f t="shared" ref="H221:Q221" si="114">IF($E70&gt;H$66,0,IF($E70&lt;H$66-365,$D70,0))</f>
        <v>0</v>
      </c>
      <c r="I221" s="803">
        <f t="shared" si="114"/>
        <v>0</v>
      </c>
      <c r="J221" s="803">
        <f t="shared" si="114"/>
        <v>0</v>
      </c>
      <c r="K221" s="803">
        <f t="shared" si="114"/>
        <v>0</v>
      </c>
      <c r="L221" s="803">
        <f t="shared" si="114"/>
        <v>0</v>
      </c>
      <c r="M221" s="803">
        <f t="shared" si="114"/>
        <v>0</v>
      </c>
      <c r="N221" s="803">
        <f t="shared" si="114"/>
        <v>0</v>
      </c>
      <c r="O221" s="803">
        <f t="shared" si="114"/>
        <v>0</v>
      </c>
      <c r="P221" s="803">
        <f t="shared" si="114"/>
        <v>0</v>
      </c>
      <c r="Q221" s="803">
        <f t="shared" si="114"/>
        <v>0</v>
      </c>
      <c r="T221" s="811"/>
      <c r="U221" s="811"/>
      <c r="V221" s="811"/>
    </row>
    <row r="222" spans="6:42">
      <c r="G222" s="803">
        <f t="shared" si="112"/>
        <v>0</v>
      </c>
      <c r="H222" s="803">
        <f t="shared" ref="H222:Q222" si="115">IF($E71&gt;H$66,0,IF($E71&lt;H$66-365,$D71,0))</f>
        <v>0</v>
      </c>
      <c r="I222" s="803">
        <f t="shared" si="115"/>
        <v>0</v>
      </c>
      <c r="J222" s="803">
        <f t="shared" si="115"/>
        <v>0</v>
      </c>
      <c r="K222" s="803">
        <f t="shared" si="115"/>
        <v>0</v>
      </c>
      <c r="L222" s="803">
        <f t="shared" si="115"/>
        <v>0</v>
      </c>
      <c r="M222" s="803">
        <f t="shared" si="115"/>
        <v>0</v>
      </c>
      <c r="N222" s="803">
        <f t="shared" si="115"/>
        <v>0</v>
      </c>
      <c r="O222" s="803">
        <f t="shared" si="115"/>
        <v>0</v>
      </c>
      <c r="P222" s="803">
        <f t="shared" si="115"/>
        <v>0</v>
      </c>
      <c r="Q222" s="803">
        <f t="shared" si="115"/>
        <v>0</v>
      </c>
      <c r="T222" s="811"/>
      <c r="U222" s="811"/>
      <c r="V222" s="811"/>
    </row>
    <row r="223" spans="6:42">
      <c r="G223" s="803">
        <f t="shared" si="112"/>
        <v>0</v>
      </c>
      <c r="H223" s="803">
        <f t="shared" ref="H223:Q223" si="116">IF($E72&gt;H$66,0,IF($E72&lt;H$66-365,$D72,0))</f>
        <v>0</v>
      </c>
      <c r="I223" s="803">
        <f t="shared" si="116"/>
        <v>0</v>
      </c>
      <c r="J223" s="803">
        <f t="shared" si="116"/>
        <v>0</v>
      </c>
      <c r="K223" s="803">
        <f t="shared" si="116"/>
        <v>0</v>
      </c>
      <c r="L223" s="803">
        <f t="shared" si="116"/>
        <v>0</v>
      </c>
      <c r="M223" s="803">
        <f t="shared" si="116"/>
        <v>0</v>
      </c>
      <c r="N223" s="803">
        <f t="shared" si="116"/>
        <v>0</v>
      </c>
      <c r="O223" s="803">
        <f t="shared" si="116"/>
        <v>0</v>
      </c>
      <c r="P223" s="803">
        <f t="shared" si="116"/>
        <v>0</v>
      </c>
      <c r="Q223" s="803">
        <f t="shared" si="116"/>
        <v>0</v>
      </c>
      <c r="T223" s="811"/>
      <c r="U223" s="811"/>
      <c r="V223" s="811"/>
    </row>
    <row r="224" spans="6:42">
      <c r="G224" s="803">
        <f t="shared" si="112"/>
        <v>0</v>
      </c>
      <c r="H224" s="803">
        <f t="shared" ref="H224:Q224" si="117">IF($E73&gt;H$66,0,IF($E73&lt;H$66-365,$D73,0))</f>
        <v>0</v>
      </c>
      <c r="I224" s="803">
        <f t="shared" si="117"/>
        <v>0</v>
      </c>
      <c r="J224" s="803">
        <f t="shared" si="117"/>
        <v>0</v>
      </c>
      <c r="K224" s="803">
        <f t="shared" si="117"/>
        <v>0</v>
      </c>
      <c r="L224" s="803">
        <f t="shared" si="117"/>
        <v>0</v>
      </c>
      <c r="M224" s="803">
        <f t="shared" si="117"/>
        <v>0</v>
      </c>
      <c r="N224" s="803">
        <f t="shared" si="117"/>
        <v>0</v>
      </c>
      <c r="O224" s="803">
        <f t="shared" si="117"/>
        <v>0</v>
      </c>
      <c r="P224" s="803">
        <f t="shared" si="117"/>
        <v>0</v>
      </c>
      <c r="Q224" s="803">
        <f t="shared" si="117"/>
        <v>0</v>
      </c>
      <c r="T224" s="811"/>
      <c r="U224" s="811"/>
      <c r="V224" s="811"/>
    </row>
    <row r="225" spans="7:28">
      <c r="G225" s="803">
        <f t="shared" si="112"/>
        <v>0</v>
      </c>
      <c r="H225" s="803">
        <f t="shared" ref="H225:Q225" si="118">IF($E74&gt;H$66,0,IF($E74&lt;H$66-365,$D74,0))</f>
        <v>0</v>
      </c>
      <c r="I225" s="803">
        <f t="shared" si="118"/>
        <v>0</v>
      </c>
      <c r="J225" s="803">
        <f t="shared" si="118"/>
        <v>0</v>
      </c>
      <c r="K225" s="803">
        <f t="shared" si="118"/>
        <v>0</v>
      </c>
      <c r="L225" s="803">
        <f t="shared" si="118"/>
        <v>0</v>
      </c>
      <c r="M225" s="803">
        <f t="shared" si="118"/>
        <v>0</v>
      </c>
      <c r="N225" s="803">
        <f t="shared" si="118"/>
        <v>0</v>
      </c>
      <c r="O225" s="803">
        <f t="shared" si="118"/>
        <v>0</v>
      </c>
      <c r="P225" s="803">
        <f t="shared" si="118"/>
        <v>0</v>
      </c>
      <c r="Q225" s="803">
        <f t="shared" si="118"/>
        <v>0</v>
      </c>
      <c r="T225" s="811"/>
      <c r="U225" s="811"/>
      <c r="V225" s="811"/>
      <c r="AA225" s="867">
        <f>SUM(AN167:AN213)</f>
        <v>10893095</v>
      </c>
      <c r="AB225" s="811">
        <f>SUM(AO167:AO213)</f>
        <v>0</v>
      </c>
    </row>
    <row r="226" spans="7:28">
      <c r="G226" s="803">
        <f t="shared" si="112"/>
        <v>0</v>
      </c>
      <c r="H226" s="803">
        <f t="shared" ref="H226:Q226" si="119">IF($E75&gt;H$66,0,IF($E75&lt;H$66-365,$D75,0))</f>
        <v>0</v>
      </c>
      <c r="I226" s="803">
        <f t="shared" si="119"/>
        <v>0</v>
      </c>
      <c r="J226" s="803">
        <f t="shared" si="119"/>
        <v>0</v>
      </c>
      <c r="K226" s="803">
        <f t="shared" si="119"/>
        <v>0</v>
      </c>
      <c r="L226" s="803">
        <f t="shared" si="119"/>
        <v>0</v>
      </c>
      <c r="M226" s="803">
        <f t="shared" si="119"/>
        <v>0</v>
      </c>
      <c r="N226" s="803">
        <f t="shared" si="119"/>
        <v>0</v>
      </c>
      <c r="O226" s="803">
        <f t="shared" si="119"/>
        <v>0</v>
      </c>
      <c r="P226" s="803">
        <f t="shared" si="119"/>
        <v>0</v>
      </c>
      <c r="Q226" s="803">
        <f t="shared" si="119"/>
        <v>0</v>
      </c>
      <c r="T226" s="811"/>
      <c r="U226" s="811"/>
      <c r="V226" s="811"/>
      <c r="AA226" s="811">
        <f>AA225*1.35</f>
        <v>14705678.250000002</v>
      </c>
      <c r="AB226" s="811">
        <f>AB225*1.35</f>
        <v>0</v>
      </c>
    </row>
    <row r="227" spans="7:28">
      <c r="G227" s="803">
        <f t="shared" si="112"/>
        <v>0</v>
      </c>
      <c r="H227" s="803">
        <f t="shared" ref="H227:Q227" si="120">IF($E76&gt;H$66,0,IF($E76&lt;H$66-365,$D76,0))</f>
        <v>0</v>
      </c>
      <c r="I227" s="803">
        <f t="shared" si="120"/>
        <v>0</v>
      </c>
      <c r="J227" s="803">
        <f t="shared" si="120"/>
        <v>-450</v>
      </c>
      <c r="K227" s="803">
        <f t="shared" si="120"/>
        <v>-450</v>
      </c>
      <c r="L227" s="803">
        <f t="shared" si="120"/>
        <v>-450</v>
      </c>
      <c r="M227" s="803">
        <f t="shared" si="120"/>
        <v>-450</v>
      </c>
      <c r="N227" s="803">
        <f t="shared" si="120"/>
        <v>-450</v>
      </c>
      <c r="O227" s="803">
        <f t="shared" si="120"/>
        <v>-450</v>
      </c>
      <c r="P227" s="803">
        <f t="shared" si="120"/>
        <v>-450</v>
      </c>
      <c r="Q227" s="803">
        <f t="shared" si="120"/>
        <v>-450</v>
      </c>
    </row>
    <row r="228" spans="7:28">
      <c r="G228" s="803">
        <f t="shared" si="112"/>
        <v>0</v>
      </c>
      <c r="H228" s="803">
        <f t="shared" ref="H228:Q228" si="121">IF($E77&gt;H$66,0,IF($E77&lt;H$66-365,$D77,0))</f>
        <v>0</v>
      </c>
      <c r="I228" s="803">
        <f t="shared" si="121"/>
        <v>0</v>
      </c>
      <c r="J228" s="803">
        <f t="shared" si="121"/>
        <v>0</v>
      </c>
      <c r="K228" s="803">
        <f t="shared" si="121"/>
        <v>0</v>
      </c>
      <c r="L228" s="803">
        <f t="shared" si="121"/>
        <v>0</v>
      </c>
      <c r="M228" s="803">
        <f t="shared" si="121"/>
        <v>0</v>
      </c>
      <c r="N228" s="803">
        <f t="shared" si="121"/>
        <v>0</v>
      </c>
      <c r="O228" s="803">
        <f t="shared" si="121"/>
        <v>0</v>
      </c>
      <c r="P228" s="803">
        <f t="shared" si="121"/>
        <v>0</v>
      </c>
      <c r="Q228" s="803">
        <f t="shared" si="121"/>
        <v>0</v>
      </c>
    </row>
    <row r="229" spans="7:28">
      <c r="G229" s="803">
        <f t="shared" si="112"/>
        <v>0</v>
      </c>
      <c r="H229" s="803">
        <f t="shared" ref="H229:Q229" si="122">IF($E78&gt;H$66,0,IF($E78&lt;H$66-365,$D78,0))</f>
        <v>0</v>
      </c>
      <c r="I229" s="803">
        <f t="shared" si="122"/>
        <v>0</v>
      </c>
      <c r="J229" s="803">
        <f t="shared" si="122"/>
        <v>0</v>
      </c>
      <c r="K229" s="803">
        <f t="shared" si="122"/>
        <v>0</v>
      </c>
      <c r="L229" s="803">
        <f t="shared" si="122"/>
        <v>0</v>
      </c>
      <c r="M229" s="803">
        <f t="shared" si="122"/>
        <v>0</v>
      </c>
      <c r="N229" s="803">
        <f t="shared" si="122"/>
        <v>0</v>
      </c>
      <c r="O229" s="803">
        <f t="shared" si="122"/>
        <v>0</v>
      </c>
      <c r="P229" s="803">
        <f t="shared" si="122"/>
        <v>0</v>
      </c>
      <c r="Q229" s="803">
        <f t="shared" si="122"/>
        <v>0</v>
      </c>
    </row>
    <row r="230" spans="7:28">
      <c r="G230" s="803">
        <f t="shared" si="112"/>
        <v>0</v>
      </c>
      <c r="H230" s="803">
        <f t="shared" ref="H230:Q230" si="123">IF($E79&gt;H$66,0,IF($E79&lt;H$66-365,$D79,0))</f>
        <v>0</v>
      </c>
      <c r="I230" s="803">
        <f t="shared" si="123"/>
        <v>0</v>
      </c>
      <c r="J230" s="803">
        <f t="shared" si="123"/>
        <v>0</v>
      </c>
      <c r="K230" s="803">
        <f t="shared" si="123"/>
        <v>0</v>
      </c>
      <c r="L230" s="803">
        <f t="shared" si="123"/>
        <v>0</v>
      </c>
      <c r="M230" s="803">
        <f t="shared" si="123"/>
        <v>0</v>
      </c>
      <c r="N230" s="803">
        <f t="shared" si="123"/>
        <v>0</v>
      </c>
      <c r="O230" s="803">
        <f t="shared" si="123"/>
        <v>0</v>
      </c>
      <c r="P230" s="803">
        <f t="shared" si="123"/>
        <v>0</v>
      </c>
      <c r="Q230" s="803">
        <f t="shared" si="123"/>
        <v>0</v>
      </c>
    </row>
    <row r="231" spans="7:28">
      <c r="G231" s="803">
        <f t="shared" si="112"/>
        <v>0</v>
      </c>
      <c r="H231" s="803">
        <f t="shared" ref="H231:Q231" si="124">IF($E80&gt;H$66,0,IF($E80&lt;H$66-365,$D80,0))</f>
        <v>0</v>
      </c>
      <c r="I231" s="803">
        <f t="shared" si="124"/>
        <v>0</v>
      </c>
      <c r="J231" s="803">
        <f t="shared" si="124"/>
        <v>0</v>
      </c>
      <c r="K231" s="803">
        <f t="shared" si="124"/>
        <v>0</v>
      </c>
      <c r="L231" s="803">
        <f t="shared" si="124"/>
        <v>0</v>
      </c>
      <c r="M231" s="803">
        <f t="shared" si="124"/>
        <v>0</v>
      </c>
      <c r="N231" s="803">
        <f t="shared" si="124"/>
        <v>0</v>
      </c>
      <c r="O231" s="803">
        <f t="shared" si="124"/>
        <v>0</v>
      </c>
      <c r="P231" s="803">
        <f t="shared" si="124"/>
        <v>0</v>
      </c>
      <c r="Q231" s="803">
        <f t="shared" si="124"/>
        <v>0</v>
      </c>
    </row>
    <row r="232" spans="7:28">
      <c r="G232" s="803">
        <f t="shared" si="112"/>
        <v>0</v>
      </c>
      <c r="H232" s="803">
        <f t="shared" ref="H232:Q232" si="125">IF($E81&gt;H$66,0,IF($E81&lt;H$66-365,$D81,0))</f>
        <v>0</v>
      </c>
      <c r="I232" s="803">
        <f t="shared" si="125"/>
        <v>0</v>
      </c>
      <c r="J232" s="803">
        <f t="shared" si="125"/>
        <v>-38</v>
      </c>
      <c r="K232" s="803">
        <f t="shared" si="125"/>
        <v>-38</v>
      </c>
      <c r="L232" s="803">
        <f t="shared" si="125"/>
        <v>-38</v>
      </c>
      <c r="M232" s="803">
        <f t="shared" si="125"/>
        <v>-38</v>
      </c>
      <c r="N232" s="803">
        <f t="shared" si="125"/>
        <v>-38</v>
      </c>
      <c r="O232" s="803">
        <f t="shared" si="125"/>
        <v>-38</v>
      </c>
      <c r="P232" s="803">
        <f t="shared" si="125"/>
        <v>-38</v>
      </c>
      <c r="Q232" s="803">
        <f t="shared" si="125"/>
        <v>-38</v>
      </c>
    </row>
    <row r="233" spans="7:28">
      <c r="G233" s="803">
        <f t="shared" si="112"/>
        <v>0</v>
      </c>
      <c r="H233" s="803">
        <f t="shared" ref="H233:Q233" si="126">IF($E82&gt;H$66,0,IF($E82&lt;H$66-365,$D82,0))</f>
        <v>0</v>
      </c>
      <c r="I233" s="803">
        <f t="shared" si="126"/>
        <v>0</v>
      </c>
      <c r="J233" s="803">
        <f t="shared" si="126"/>
        <v>0</v>
      </c>
      <c r="K233" s="803">
        <f t="shared" si="126"/>
        <v>-38</v>
      </c>
      <c r="L233" s="803">
        <f t="shared" si="126"/>
        <v>-38</v>
      </c>
      <c r="M233" s="803">
        <f t="shared" si="126"/>
        <v>-38</v>
      </c>
      <c r="N233" s="803">
        <f t="shared" si="126"/>
        <v>-38</v>
      </c>
      <c r="O233" s="803">
        <f t="shared" si="126"/>
        <v>-38</v>
      </c>
      <c r="P233" s="803">
        <f t="shared" si="126"/>
        <v>-38</v>
      </c>
      <c r="Q233" s="803">
        <f t="shared" si="126"/>
        <v>-38</v>
      </c>
    </row>
    <row r="234" spans="7:28">
      <c r="G234" s="803">
        <f t="shared" si="112"/>
        <v>0</v>
      </c>
      <c r="H234" s="803">
        <f t="shared" ref="H234:Q234" si="127">IF($E83&gt;H$66,0,IF($E83&lt;H$66-365,$D83,0))</f>
        <v>0</v>
      </c>
      <c r="I234" s="803">
        <f t="shared" si="127"/>
        <v>0</v>
      </c>
      <c r="J234" s="803">
        <f t="shared" si="127"/>
        <v>0</v>
      </c>
      <c r="K234" s="803">
        <f t="shared" si="127"/>
        <v>0</v>
      </c>
      <c r="L234" s="803">
        <f t="shared" si="127"/>
        <v>-38</v>
      </c>
      <c r="M234" s="803">
        <f t="shared" si="127"/>
        <v>-38</v>
      </c>
      <c r="N234" s="803">
        <f t="shared" si="127"/>
        <v>-38</v>
      </c>
      <c r="O234" s="803">
        <f t="shared" si="127"/>
        <v>-38</v>
      </c>
      <c r="P234" s="803">
        <f t="shared" si="127"/>
        <v>-38</v>
      </c>
      <c r="Q234" s="803">
        <f t="shared" si="127"/>
        <v>-38</v>
      </c>
    </row>
    <row r="235" spans="7:28">
      <c r="G235" s="803">
        <f t="shared" si="112"/>
        <v>0</v>
      </c>
      <c r="H235" s="803">
        <f t="shared" ref="H235:Q235" si="128">IF($E84&gt;H$66,0,IF($E84&lt;H$66-365,$D84,0))</f>
        <v>0</v>
      </c>
      <c r="I235" s="803">
        <f t="shared" si="128"/>
        <v>0</v>
      </c>
      <c r="J235" s="803">
        <f t="shared" si="128"/>
        <v>0</v>
      </c>
      <c r="K235" s="803">
        <f t="shared" si="128"/>
        <v>0</v>
      </c>
      <c r="L235" s="803">
        <f t="shared" si="128"/>
        <v>0</v>
      </c>
      <c r="M235" s="803">
        <f t="shared" si="128"/>
        <v>-38</v>
      </c>
      <c r="N235" s="803">
        <f t="shared" si="128"/>
        <v>-38</v>
      </c>
      <c r="O235" s="803">
        <f t="shared" si="128"/>
        <v>-38</v>
      </c>
      <c r="P235" s="803">
        <f t="shared" si="128"/>
        <v>-38</v>
      </c>
      <c r="Q235" s="803">
        <f t="shared" si="128"/>
        <v>-38</v>
      </c>
    </row>
    <row r="236" spans="7:28">
      <c r="G236" s="803">
        <f t="shared" si="112"/>
        <v>0</v>
      </c>
      <c r="H236" s="803">
        <f t="shared" ref="H236:Q236" si="129">IF($E85&gt;H$66,0,IF($E85&lt;H$66-365,$D85,0))</f>
        <v>0</v>
      </c>
      <c r="I236" s="803">
        <f t="shared" si="129"/>
        <v>0</v>
      </c>
      <c r="J236" s="803">
        <f t="shared" si="129"/>
        <v>0</v>
      </c>
      <c r="K236" s="803">
        <f t="shared" si="129"/>
        <v>0</v>
      </c>
      <c r="L236" s="803">
        <f t="shared" si="129"/>
        <v>0</v>
      </c>
      <c r="M236" s="803">
        <f t="shared" si="129"/>
        <v>0</v>
      </c>
      <c r="N236" s="803">
        <f t="shared" si="129"/>
        <v>-38</v>
      </c>
      <c r="O236" s="803">
        <f t="shared" si="129"/>
        <v>-38</v>
      </c>
      <c r="P236" s="803">
        <f t="shared" si="129"/>
        <v>-38</v>
      </c>
      <c r="Q236" s="803">
        <f t="shared" si="129"/>
        <v>-38</v>
      </c>
    </row>
    <row r="237" spans="7:28">
      <c r="G237" s="803">
        <f t="shared" si="112"/>
        <v>0</v>
      </c>
      <c r="H237" s="803">
        <f t="shared" ref="H237:Q237" si="130">IF($E86&gt;H$66,0,IF($E86&lt;H$66-365,$D86,0))</f>
        <v>0</v>
      </c>
      <c r="I237" s="803">
        <f t="shared" si="130"/>
        <v>0</v>
      </c>
      <c r="J237" s="803">
        <f t="shared" si="130"/>
        <v>0</v>
      </c>
      <c r="K237" s="803">
        <f t="shared" si="130"/>
        <v>0</v>
      </c>
      <c r="L237" s="803">
        <f t="shared" si="130"/>
        <v>0</v>
      </c>
      <c r="M237" s="803">
        <f t="shared" si="130"/>
        <v>0</v>
      </c>
      <c r="N237" s="803">
        <f t="shared" si="130"/>
        <v>-500</v>
      </c>
      <c r="O237" s="803">
        <f t="shared" si="130"/>
        <v>-500</v>
      </c>
      <c r="P237" s="803">
        <f t="shared" si="130"/>
        <v>-500</v>
      </c>
      <c r="Q237" s="803">
        <f t="shared" si="130"/>
        <v>-500</v>
      </c>
    </row>
    <row r="238" spans="7:28">
      <c r="G238" s="803">
        <f t="shared" si="112"/>
        <v>0</v>
      </c>
      <c r="H238" s="803">
        <f t="shared" ref="H238:Q238" si="131">IF($E87&gt;H$66,0,IF($E87&lt;H$66-365,$D87,0))</f>
        <v>0</v>
      </c>
      <c r="I238" s="803">
        <f t="shared" si="131"/>
        <v>0</v>
      </c>
      <c r="J238" s="803">
        <f t="shared" si="131"/>
        <v>0</v>
      </c>
      <c r="K238" s="803">
        <f t="shared" si="131"/>
        <v>0</v>
      </c>
      <c r="L238" s="803">
        <f t="shared" si="131"/>
        <v>0</v>
      </c>
      <c r="M238" s="803">
        <f t="shared" si="131"/>
        <v>0</v>
      </c>
      <c r="N238" s="803">
        <f t="shared" si="131"/>
        <v>0</v>
      </c>
      <c r="O238" s="803">
        <f t="shared" si="131"/>
        <v>0</v>
      </c>
      <c r="P238" s="803">
        <f t="shared" si="131"/>
        <v>0</v>
      </c>
      <c r="Q238" s="803">
        <f t="shared" si="131"/>
        <v>0</v>
      </c>
    </row>
    <row r="239" spans="7:28">
      <c r="G239" s="803">
        <f t="shared" si="112"/>
        <v>0</v>
      </c>
      <c r="H239" s="803">
        <f t="shared" ref="H239:Q239" si="132">IF($E88&gt;H$66,0,IF($E88&lt;H$66-365,$D88,0))</f>
        <v>0</v>
      </c>
      <c r="I239" s="803">
        <f t="shared" si="132"/>
        <v>0</v>
      </c>
      <c r="J239" s="803">
        <f t="shared" si="132"/>
        <v>0</v>
      </c>
      <c r="K239" s="803">
        <f t="shared" si="132"/>
        <v>0</v>
      </c>
      <c r="L239" s="803">
        <f t="shared" si="132"/>
        <v>0</v>
      </c>
      <c r="M239" s="803">
        <f t="shared" si="132"/>
        <v>0</v>
      </c>
      <c r="N239" s="803">
        <f t="shared" si="132"/>
        <v>0</v>
      </c>
      <c r="O239" s="803">
        <f t="shared" si="132"/>
        <v>0</v>
      </c>
      <c r="P239" s="803">
        <f t="shared" si="132"/>
        <v>0</v>
      </c>
      <c r="Q239" s="803">
        <f t="shared" si="132"/>
        <v>0</v>
      </c>
    </row>
    <row r="240" spans="7:28">
      <c r="G240" s="803">
        <f t="shared" si="112"/>
        <v>0</v>
      </c>
      <c r="H240" s="803">
        <f t="shared" ref="H240:Q240" si="133">IF($E89&gt;H$66,0,IF($E89&lt;H$66-365,$D89,0))</f>
        <v>0</v>
      </c>
      <c r="I240" s="803">
        <f t="shared" si="133"/>
        <v>0</v>
      </c>
      <c r="J240" s="803">
        <f t="shared" si="133"/>
        <v>0</v>
      </c>
      <c r="K240" s="803">
        <f t="shared" si="133"/>
        <v>0</v>
      </c>
      <c r="L240" s="803">
        <f t="shared" si="133"/>
        <v>0</v>
      </c>
      <c r="M240" s="803">
        <f t="shared" si="133"/>
        <v>0</v>
      </c>
      <c r="N240" s="803">
        <f t="shared" si="133"/>
        <v>0</v>
      </c>
      <c r="O240" s="803">
        <f t="shared" si="133"/>
        <v>0</v>
      </c>
      <c r="P240" s="803">
        <f t="shared" si="133"/>
        <v>0</v>
      </c>
      <c r="Q240" s="803">
        <f t="shared" si="133"/>
        <v>0</v>
      </c>
    </row>
    <row r="241" spans="7:17">
      <c r="G241" s="803">
        <f t="shared" si="112"/>
        <v>0</v>
      </c>
      <c r="H241" s="803">
        <f t="shared" ref="H241:Q241" si="134">IF($E90&gt;H$66,0,IF($E90&lt;H$66-365,$D90,0))</f>
        <v>0</v>
      </c>
      <c r="I241" s="803">
        <f t="shared" si="134"/>
        <v>0</v>
      </c>
      <c r="J241" s="803">
        <f t="shared" si="134"/>
        <v>0</v>
      </c>
      <c r="K241" s="803">
        <f t="shared" si="134"/>
        <v>0</v>
      </c>
      <c r="L241" s="803">
        <f t="shared" si="134"/>
        <v>0</v>
      </c>
      <c r="M241" s="803">
        <f t="shared" si="134"/>
        <v>0</v>
      </c>
      <c r="N241" s="803">
        <f t="shared" si="134"/>
        <v>0</v>
      </c>
      <c r="O241" s="803">
        <f t="shared" si="134"/>
        <v>0</v>
      </c>
      <c r="P241" s="803">
        <f t="shared" si="134"/>
        <v>0</v>
      </c>
      <c r="Q241" s="803">
        <f t="shared" si="134"/>
        <v>0</v>
      </c>
    </row>
    <row r="242" spans="7:17">
      <c r="G242" s="803">
        <f t="shared" si="112"/>
        <v>0</v>
      </c>
      <c r="H242" s="803">
        <f t="shared" ref="H242:Q242" si="135">IF($E91&gt;H$66,0,IF($E91&lt;H$66-365,$D91,0))</f>
        <v>0</v>
      </c>
      <c r="I242" s="803">
        <f t="shared" si="135"/>
        <v>0</v>
      </c>
      <c r="J242" s="803">
        <f t="shared" si="135"/>
        <v>0</v>
      </c>
      <c r="K242" s="803">
        <f t="shared" si="135"/>
        <v>0</v>
      </c>
      <c r="L242" s="803">
        <f t="shared" si="135"/>
        <v>0</v>
      </c>
      <c r="M242" s="803">
        <f t="shared" si="135"/>
        <v>0</v>
      </c>
      <c r="N242" s="803">
        <f t="shared" si="135"/>
        <v>0</v>
      </c>
      <c r="O242" s="803">
        <f t="shared" si="135"/>
        <v>0</v>
      </c>
      <c r="P242" s="803">
        <f t="shared" si="135"/>
        <v>0</v>
      </c>
      <c r="Q242" s="803">
        <f t="shared" si="135"/>
        <v>0</v>
      </c>
    </row>
    <row r="243" spans="7:17">
      <c r="G243" s="803">
        <f t="shared" si="112"/>
        <v>0</v>
      </c>
      <c r="H243" s="803">
        <f t="shared" ref="H243:Q243" si="136">IF($E92&gt;H$66,0,IF($E92&lt;H$66-365,$D92,0))</f>
        <v>0</v>
      </c>
      <c r="I243" s="803">
        <f t="shared" si="136"/>
        <v>0</v>
      </c>
      <c r="J243" s="803">
        <f t="shared" si="136"/>
        <v>0</v>
      </c>
      <c r="K243" s="803">
        <f t="shared" si="136"/>
        <v>0</v>
      </c>
      <c r="L243" s="803">
        <f t="shared" si="136"/>
        <v>0</v>
      </c>
      <c r="M243" s="803">
        <f t="shared" si="136"/>
        <v>0</v>
      </c>
      <c r="N243" s="803">
        <f t="shared" si="136"/>
        <v>0</v>
      </c>
      <c r="O243" s="803">
        <f t="shared" si="136"/>
        <v>0</v>
      </c>
      <c r="P243" s="803">
        <f t="shared" si="136"/>
        <v>0</v>
      </c>
      <c r="Q243" s="803">
        <f t="shared" si="136"/>
        <v>0</v>
      </c>
    </row>
    <row r="244" spans="7:17">
      <c r="G244" s="803">
        <f t="shared" si="112"/>
        <v>0</v>
      </c>
      <c r="H244" s="803">
        <f t="shared" ref="H244:Q244" si="137">IF($E93&gt;H$66,0,IF($E93&lt;H$66-365,$D93,0))</f>
        <v>0</v>
      </c>
      <c r="I244" s="803">
        <f t="shared" si="137"/>
        <v>0</v>
      </c>
      <c r="J244" s="803">
        <f t="shared" si="137"/>
        <v>0</v>
      </c>
      <c r="K244" s="803">
        <f t="shared" si="137"/>
        <v>0</v>
      </c>
      <c r="L244" s="803">
        <f t="shared" si="137"/>
        <v>0</v>
      </c>
      <c r="M244" s="803">
        <f t="shared" si="137"/>
        <v>0</v>
      </c>
      <c r="N244" s="803">
        <f t="shared" si="137"/>
        <v>0</v>
      </c>
      <c r="O244" s="803">
        <f t="shared" si="137"/>
        <v>0</v>
      </c>
      <c r="P244" s="803">
        <f t="shared" si="137"/>
        <v>0</v>
      </c>
      <c r="Q244" s="803">
        <f t="shared" si="137"/>
        <v>0</v>
      </c>
    </row>
    <row r="245" spans="7:17">
      <c r="G245" s="803">
        <f t="shared" si="112"/>
        <v>0</v>
      </c>
      <c r="H245" s="803">
        <f t="shared" ref="H245:Q245" si="138">IF($E94&gt;H$66,0,IF($E94&lt;H$66-365,$D94,0))</f>
        <v>0</v>
      </c>
      <c r="I245" s="803">
        <f t="shared" si="138"/>
        <v>0</v>
      </c>
      <c r="J245" s="803">
        <f t="shared" si="138"/>
        <v>0</v>
      </c>
      <c r="K245" s="803">
        <f t="shared" si="138"/>
        <v>0</v>
      </c>
      <c r="L245" s="803">
        <f t="shared" si="138"/>
        <v>0</v>
      </c>
      <c r="M245" s="803">
        <f t="shared" si="138"/>
        <v>0</v>
      </c>
      <c r="N245" s="803">
        <f t="shared" si="138"/>
        <v>0</v>
      </c>
      <c r="O245" s="803">
        <f t="shared" si="138"/>
        <v>0</v>
      </c>
      <c r="P245" s="803">
        <f t="shared" si="138"/>
        <v>0</v>
      </c>
      <c r="Q245" s="803">
        <f t="shared" si="138"/>
        <v>0</v>
      </c>
    </row>
    <row r="246" spans="7:17">
      <c r="G246" s="803">
        <f t="shared" si="112"/>
        <v>0</v>
      </c>
      <c r="H246" s="803">
        <f t="shared" ref="H246:Q246" si="139">IF($E95&gt;H$66,0,IF($E95&lt;H$66-365,$D95,0))</f>
        <v>0</v>
      </c>
      <c r="I246" s="803">
        <f t="shared" si="139"/>
        <v>0</v>
      </c>
      <c r="J246" s="803">
        <f t="shared" si="139"/>
        <v>0</v>
      </c>
      <c r="K246" s="803">
        <f t="shared" si="139"/>
        <v>0</v>
      </c>
      <c r="L246" s="803">
        <f t="shared" si="139"/>
        <v>0</v>
      </c>
      <c r="M246" s="803">
        <f t="shared" si="139"/>
        <v>0</v>
      </c>
      <c r="N246" s="803">
        <f t="shared" si="139"/>
        <v>0</v>
      </c>
      <c r="O246" s="803">
        <f t="shared" si="139"/>
        <v>0</v>
      </c>
      <c r="P246" s="803">
        <f t="shared" si="139"/>
        <v>0</v>
      </c>
      <c r="Q246" s="803">
        <f t="shared" si="139"/>
        <v>0</v>
      </c>
    </row>
    <row r="247" spans="7:17">
      <c r="G247" s="803">
        <f t="shared" si="112"/>
        <v>0</v>
      </c>
      <c r="H247" s="803">
        <f t="shared" ref="H247:Q247" si="140">IF($E96&gt;H$66,0,IF($E96&lt;H$66-365,$D96,0))</f>
        <v>0</v>
      </c>
      <c r="I247" s="803">
        <f t="shared" si="140"/>
        <v>0</v>
      </c>
      <c r="J247" s="803">
        <f t="shared" si="140"/>
        <v>0</v>
      </c>
      <c r="K247" s="803">
        <f t="shared" si="140"/>
        <v>0</v>
      </c>
      <c r="L247" s="803">
        <f t="shared" si="140"/>
        <v>0</v>
      </c>
      <c r="M247" s="803">
        <f t="shared" si="140"/>
        <v>0</v>
      </c>
      <c r="N247" s="803">
        <f t="shared" si="140"/>
        <v>0</v>
      </c>
      <c r="O247" s="803">
        <f t="shared" si="140"/>
        <v>0</v>
      </c>
      <c r="P247" s="803">
        <f t="shared" si="140"/>
        <v>0</v>
      </c>
      <c r="Q247" s="803">
        <f t="shared" si="140"/>
        <v>0</v>
      </c>
    </row>
    <row r="248" spans="7:17">
      <c r="G248" s="803">
        <f t="shared" si="112"/>
        <v>0</v>
      </c>
      <c r="H248" s="803">
        <f t="shared" ref="H248:Q248" si="141">IF($E97&gt;H$66,0,IF($E97&lt;H$66-365,$D97,0))</f>
        <v>0</v>
      </c>
      <c r="I248" s="803">
        <f t="shared" si="141"/>
        <v>0</v>
      </c>
      <c r="J248" s="803">
        <f t="shared" si="141"/>
        <v>0</v>
      </c>
      <c r="K248" s="803">
        <f t="shared" si="141"/>
        <v>0</v>
      </c>
      <c r="L248" s="803">
        <f t="shared" si="141"/>
        <v>0</v>
      </c>
      <c r="M248" s="803">
        <f t="shared" si="141"/>
        <v>0</v>
      </c>
      <c r="N248" s="803">
        <f t="shared" si="141"/>
        <v>0</v>
      </c>
      <c r="O248" s="803">
        <f t="shared" si="141"/>
        <v>0</v>
      </c>
      <c r="P248" s="803">
        <f t="shared" si="141"/>
        <v>0</v>
      </c>
      <c r="Q248" s="803">
        <f t="shared" si="141"/>
        <v>0</v>
      </c>
    </row>
    <row r="249" spans="7:17">
      <c r="G249" s="803">
        <f t="shared" si="112"/>
        <v>0</v>
      </c>
      <c r="H249" s="803">
        <f t="shared" ref="H249:Q249" si="142">IF($E98&gt;H$66,0,IF($E98&lt;H$66-365,$D98,0))</f>
        <v>0</v>
      </c>
      <c r="I249" s="803">
        <f t="shared" si="142"/>
        <v>0</v>
      </c>
      <c r="J249" s="803">
        <f t="shared" si="142"/>
        <v>0</v>
      </c>
      <c r="K249" s="803">
        <f t="shared" si="142"/>
        <v>0</v>
      </c>
      <c r="L249" s="803">
        <f t="shared" si="142"/>
        <v>0</v>
      </c>
      <c r="M249" s="803">
        <f t="shared" si="142"/>
        <v>0</v>
      </c>
      <c r="N249" s="803">
        <f t="shared" si="142"/>
        <v>0</v>
      </c>
      <c r="O249" s="803">
        <f t="shared" si="142"/>
        <v>0</v>
      </c>
      <c r="P249" s="803">
        <f t="shared" si="142"/>
        <v>0</v>
      </c>
      <c r="Q249" s="803">
        <f t="shared" si="142"/>
        <v>0</v>
      </c>
    </row>
    <row r="250" spans="7:17">
      <c r="G250" s="803">
        <f t="shared" si="112"/>
        <v>0</v>
      </c>
      <c r="H250" s="803">
        <f t="shared" ref="H250:Q250" si="143">IF($E99&gt;H$66,0,IF($E99&lt;H$66-365,$D99,0))</f>
        <v>0</v>
      </c>
      <c r="I250" s="803">
        <f t="shared" si="143"/>
        <v>0</v>
      </c>
      <c r="J250" s="803">
        <f t="shared" si="143"/>
        <v>0</v>
      </c>
      <c r="K250" s="803">
        <f t="shared" si="143"/>
        <v>0</v>
      </c>
      <c r="L250" s="803">
        <f t="shared" si="143"/>
        <v>0</v>
      </c>
      <c r="M250" s="803">
        <f t="shared" si="143"/>
        <v>0</v>
      </c>
      <c r="N250" s="803">
        <f t="shared" si="143"/>
        <v>0</v>
      </c>
      <c r="O250" s="803">
        <f t="shared" si="143"/>
        <v>0</v>
      </c>
      <c r="P250" s="803">
        <f t="shared" si="143"/>
        <v>0</v>
      </c>
      <c r="Q250" s="803">
        <f t="shared" si="143"/>
        <v>0</v>
      </c>
    </row>
    <row r="251" spans="7:17">
      <c r="G251" s="803">
        <f t="shared" si="112"/>
        <v>0</v>
      </c>
      <c r="H251" s="803">
        <f t="shared" ref="H251:Q251" si="144">IF($E100&gt;H$66,0,IF($E100&lt;H$66-365,$D100,0))</f>
        <v>0</v>
      </c>
      <c r="I251" s="803">
        <f t="shared" si="144"/>
        <v>0</v>
      </c>
      <c r="J251" s="803">
        <f t="shared" si="144"/>
        <v>0</v>
      </c>
      <c r="K251" s="803">
        <f t="shared" si="144"/>
        <v>0</v>
      </c>
      <c r="L251" s="803">
        <f t="shared" si="144"/>
        <v>0</v>
      </c>
      <c r="M251" s="803">
        <f t="shared" si="144"/>
        <v>0</v>
      </c>
      <c r="N251" s="803">
        <f t="shared" si="144"/>
        <v>0</v>
      </c>
      <c r="O251" s="803">
        <f t="shared" si="144"/>
        <v>0</v>
      </c>
      <c r="P251" s="803">
        <f t="shared" si="144"/>
        <v>0</v>
      </c>
      <c r="Q251" s="803">
        <f t="shared" si="144"/>
        <v>0</v>
      </c>
    </row>
    <row r="252" spans="7:17">
      <c r="G252" s="803">
        <f t="shared" si="112"/>
        <v>0</v>
      </c>
      <c r="H252" s="803">
        <f t="shared" ref="H252:Q252" si="145">IF($E101&gt;H$66,0,IF($E101&lt;H$66-365,$D101,0))</f>
        <v>0</v>
      </c>
      <c r="I252" s="803">
        <f t="shared" si="145"/>
        <v>0</v>
      </c>
      <c r="J252" s="803">
        <f t="shared" si="145"/>
        <v>0</v>
      </c>
      <c r="K252" s="803">
        <f t="shared" si="145"/>
        <v>0</v>
      </c>
      <c r="L252" s="803">
        <f t="shared" si="145"/>
        <v>0</v>
      </c>
      <c r="M252" s="803">
        <f t="shared" si="145"/>
        <v>0</v>
      </c>
      <c r="N252" s="803">
        <f t="shared" si="145"/>
        <v>0</v>
      </c>
      <c r="O252" s="803">
        <f t="shared" si="145"/>
        <v>0</v>
      </c>
      <c r="P252" s="803">
        <f t="shared" si="145"/>
        <v>0</v>
      </c>
      <c r="Q252" s="803">
        <f t="shared" si="145"/>
        <v>0</v>
      </c>
    </row>
    <row r="253" spans="7:17">
      <c r="G253" s="803">
        <f t="shared" si="112"/>
        <v>0</v>
      </c>
      <c r="H253" s="803">
        <f t="shared" ref="H253:Q253" si="146">IF($E102&gt;H$66,0,IF($E102&lt;H$66-365,$D102,0))</f>
        <v>0</v>
      </c>
      <c r="I253" s="803">
        <f t="shared" si="146"/>
        <v>0</v>
      </c>
      <c r="J253" s="803">
        <f t="shared" si="146"/>
        <v>0</v>
      </c>
      <c r="K253" s="803">
        <f t="shared" si="146"/>
        <v>0</v>
      </c>
      <c r="L253" s="803">
        <f t="shared" si="146"/>
        <v>0</v>
      </c>
      <c r="M253" s="803">
        <f t="shared" si="146"/>
        <v>0</v>
      </c>
      <c r="N253" s="803">
        <f t="shared" si="146"/>
        <v>0</v>
      </c>
      <c r="O253" s="803">
        <f t="shared" si="146"/>
        <v>0</v>
      </c>
      <c r="P253" s="803">
        <f t="shared" si="146"/>
        <v>0</v>
      </c>
      <c r="Q253" s="803">
        <f t="shared" si="146"/>
        <v>0</v>
      </c>
    </row>
    <row r="254" spans="7:17">
      <c r="G254" s="803">
        <f t="shared" si="112"/>
        <v>0</v>
      </c>
      <c r="H254" s="803">
        <f t="shared" ref="H254:Q254" si="147">IF($E103&gt;H$66,0,IF($E103&lt;H$66-365,$D103,0))</f>
        <v>0</v>
      </c>
      <c r="I254" s="803">
        <f t="shared" si="147"/>
        <v>0</v>
      </c>
      <c r="J254" s="803">
        <f t="shared" si="147"/>
        <v>0</v>
      </c>
      <c r="K254" s="803">
        <f t="shared" si="147"/>
        <v>0</v>
      </c>
      <c r="L254" s="803">
        <f t="shared" si="147"/>
        <v>0</v>
      </c>
      <c r="M254" s="803">
        <f t="shared" si="147"/>
        <v>0</v>
      </c>
      <c r="N254" s="803">
        <f t="shared" si="147"/>
        <v>0</v>
      </c>
      <c r="O254" s="803">
        <f t="shared" si="147"/>
        <v>0</v>
      </c>
      <c r="P254" s="803">
        <f t="shared" si="147"/>
        <v>0</v>
      </c>
      <c r="Q254" s="803">
        <f t="shared" si="147"/>
        <v>0</v>
      </c>
    </row>
    <row r="255" spans="7:17">
      <c r="G255" s="803">
        <f t="shared" si="112"/>
        <v>0</v>
      </c>
      <c r="H255" s="803">
        <f t="shared" ref="H255:Q255" si="148">IF($E104&gt;H$66,0,IF($E104&lt;H$66-365,$D104,0))</f>
        <v>0</v>
      </c>
      <c r="I255" s="803">
        <f t="shared" si="148"/>
        <v>0</v>
      </c>
      <c r="J255" s="803">
        <f t="shared" si="148"/>
        <v>0</v>
      </c>
      <c r="K255" s="803">
        <f t="shared" si="148"/>
        <v>0</v>
      </c>
      <c r="L255" s="803">
        <f t="shared" si="148"/>
        <v>0</v>
      </c>
      <c r="M255" s="803">
        <f t="shared" si="148"/>
        <v>0</v>
      </c>
      <c r="N255" s="803">
        <f t="shared" si="148"/>
        <v>0</v>
      </c>
      <c r="O255" s="803">
        <f t="shared" si="148"/>
        <v>0</v>
      </c>
      <c r="P255" s="803">
        <f t="shared" si="148"/>
        <v>0</v>
      </c>
      <c r="Q255" s="803">
        <f t="shared" si="148"/>
        <v>0</v>
      </c>
    </row>
    <row r="256" spans="7:17">
      <c r="G256" s="803">
        <f t="shared" si="112"/>
        <v>0</v>
      </c>
      <c r="H256" s="803">
        <f t="shared" ref="H256:Q256" si="149">IF($E105&gt;H$66,0,IF($E105&lt;H$66-365,$D105,0))</f>
        <v>0</v>
      </c>
      <c r="I256" s="803">
        <f t="shared" si="149"/>
        <v>0</v>
      </c>
      <c r="J256" s="803">
        <f t="shared" si="149"/>
        <v>0</v>
      </c>
      <c r="K256" s="803">
        <f t="shared" si="149"/>
        <v>0</v>
      </c>
      <c r="L256" s="803">
        <f t="shared" si="149"/>
        <v>0</v>
      </c>
      <c r="M256" s="803">
        <f t="shared" si="149"/>
        <v>0</v>
      </c>
      <c r="N256" s="803">
        <f t="shared" si="149"/>
        <v>0</v>
      </c>
      <c r="O256" s="803">
        <f t="shared" si="149"/>
        <v>0</v>
      </c>
      <c r="P256" s="803">
        <f t="shared" si="149"/>
        <v>0</v>
      </c>
      <c r="Q256" s="803">
        <f t="shared" si="149"/>
        <v>0</v>
      </c>
    </row>
    <row r="257" spans="5:17">
      <c r="G257" s="803">
        <f t="shared" si="112"/>
        <v>0</v>
      </c>
      <c r="H257" s="803">
        <f t="shared" ref="H257:Q257" si="150">IF($E106&gt;H$66,0,IF($E106&lt;H$66-365,$D106,0))</f>
        <v>0</v>
      </c>
      <c r="I257" s="803">
        <f t="shared" si="150"/>
        <v>0</v>
      </c>
      <c r="J257" s="803">
        <f t="shared" si="150"/>
        <v>0</v>
      </c>
      <c r="K257" s="803">
        <f t="shared" si="150"/>
        <v>0</v>
      </c>
      <c r="L257" s="803">
        <f t="shared" si="150"/>
        <v>0</v>
      </c>
      <c r="M257" s="803">
        <f t="shared" si="150"/>
        <v>0</v>
      </c>
      <c r="N257" s="803">
        <f t="shared" si="150"/>
        <v>0</v>
      </c>
      <c r="O257" s="803">
        <f t="shared" si="150"/>
        <v>0</v>
      </c>
      <c r="P257" s="803">
        <f t="shared" si="150"/>
        <v>0</v>
      </c>
      <c r="Q257" s="803">
        <f t="shared" si="150"/>
        <v>0</v>
      </c>
    </row>
    <row r="258" spans="5:17">
      <c r="G258" s="803">
        <f t="shared" si="112"/>
        <v>0</v>
      </c>
      <c r="H258" s="803">
        <f t="shared" ref="H258:Q258" si="151">IF($E107&gt;H$66,0,IF($E107&lt;H$66-365,$D107,0))</f>
        <v>0</v>
      </c>
      <c r="I258" s="803">
        <f t="shared" si="151"/>
        <v>0</v>
      </c>
      <c r="J258" s="803">
        <f t="shared" si="151"/>
        <v>0</v>
      </c>
      <c r="K258" s="803">
        <f t="shared" si="151"/>
        <v>0</v>
      </c>
      <c r="L258" s="803">
        <f t="shared" si="151"/>
        <v>0</v>
      </c>
      <c r="M258" s="803">
        <f t="shared" si="151"/>
        <v>0</v>
      </c>
      <c r="N258" s="803">
        <f t="shared" si="151"/>
        <v>0</v>
      </c>
      <c r="O258" s="803">
        <f t="shared" si="151"/>
        <v>0</v>
      </c>
      <c r="P258" s="803">
        <f t="shared" si="151"/>
        <v>0</v>
      </c>
      <c r="Q258" s="803">
        <f t="shared" si="151"/>
        <v>0</v>
      </c>
    </row>
    <row r="259" spans="5:17">
      <c r="G259" s="803">
        <f t="shared" si="112"/>
        <v>0</v>
      </c>
      <c r="H259" s="803">
        <f t="shared" ref="H259:Q259" si="152">IF($E108&gt;H$66,0,IF($E108&lt;H$66-365,$D108,0))</f>
        <v>0</v>
      </c>
      <c r="I259" s="803">
        <f t="shared" si="152"/>
        <v>0</v>
      </c>
      <c r="J259" s="803">
        <f t="shared" si="152"/>
        <v>0</v>
      </c>
      <c r="K259" s="803">
        <f t="shared" si="152"/>
        <v>0</v>
      </c>
      <c r="L259" s="803">
        <f t="shared" si="152"/>
        <v>0</v>
      </c>
      <c r="M259" s="803">
        <f t="shared" si="152"/>
        <v>0</v>
      </c>
      <c r="N259" s="803">
        <f t="shared" si="152"/>
        <v>0</v>
      </c>
      <c r="O259" s="803">
        <f t="shared" si="152"/>
        <v>0</v>
      </c>
      <c r="P259" s="803">
        <f t="shared" si="152"/>
        <v>0</v>
      </c>
      <c r="Q259" s="803">
        <f t="shared" si="152"/>
        <v>0</v>
      </c>
    </row>
    <row r="260" spans="5:17">
      <c r="G260" s="803">
        <f t="shared" si="112"/>
        <v>0</v>
      </c>
      <c r="H260" s="803">
        <f t="shared" ref="H260:Q260" si="153">IF($E109&gt;H$66,0,IF($E109&lt;H$66-365,$D109,0))</f>
        <v>0</v>
      </c>
      <c r="I260" s="803">
        <f t="shared" si="153"/>
        <v>0</v>
      </c>
      <c r="J260" s="803">
        <f t="shared" si="153"/>
        <v>0</v>
      </c>
      <c r="K260" s="803">
        <f t="shared" si="153"/>
        <v>0</v>
      </c>
      <c r="L260" s="803">
        <f t="shared" si="153"/>
        <v>0</v>
      </c>
      <c r="M260" s="803">
        <f t="shared" si="153"/>
        <v>0</v>
      </c>
      <c r="N260" s="803">
        <f t="shared" si="153"/>
        <v>0</v>
      </c>
      <c r="O260" s="803">
        <f t="shared" si="153"/>
        <v>0</v>
      </c>
      <c r="P260" s="803">
        <f t="shared" si="153"/>
        <v>0</v>
      </c>
      <c r="Q260" s="803">
        <f t="shared" si="153"/>
        <v>0</v>
      </c>
    </row>
    <row r="261" spans="5:17">
      <c r="G261" s="803">
        <f t="shared" si="112"/>
        <v>0</v>
      </c>
      <c r="H261" s="803">
        <f t="shared" ref="H261:Q261" si="154">IF($E110&gt;H$66,0,IF($E110&lt;H$66-365,$D110,0))</f>
        <v>0</v>
      </c>
      <c r="I261" s="803">
        <f t="shared" si="154"/>
        <v>0</v>
      </c>
      <c r="J261" s="803">
        <f t="shared" si="154"/>
        <v>0</v>
      </c>
      <c r="K261" s="803">
        <f t="shared" si="154"/>
        <v>0</v>
      </c>
      <c r="L261" s="803">
        <f t="shared" si="154"/>
        <v>0</v>
      </c>
      <c r="M261" s="803">
        <f t="shared" si="154"/>
        <v>0</v>
      </c>
      <c r="N261" s="803">
        <f t="shared" si="154"/>
        <v>0</v>
      </c>
      <c r="O261" s="803">
        <f t="shared" si="154"/>
        <v>0</v>
      </c>
      <c r="P261" s="803">
        <f t="shared" si="154"/>
        <v>0</v>
      </c>
      <c r="Q261" s="803">
        <f t="shared" si="154"/>
        <v>0</v>
      </c>
    </row>
    <row r="262" spans="5:17">
      <c r="G262" s="803">
        <f t="shared" si="112"/>
        <v>0</v>
      </c>
      <c r="H262" s="803">
        <f t="shared" ref="H262:Q262" si="155">IF($E111&gt;H$66,0,IF($E111&lt;H$66-365,$D111,0))</f>
        <v>0</v>
      </c>
      <c r="I262" s="803">
        <f t="shared" si="155"/>
        <v>0</v>
      </c>
      <c r="J262" s="803">
        <f t="shared" si="155"/>
        <v>0</v>
      </c>
      <c r="K262" s="803">
        <f t="shared" si="155"/>
        <v>0</v>
      </c>
      <c r="L262" s="803">
        <f t="shared" si="155"/>
        <v>0</v>
      </c>
      <c r="M262" s="803">
        <f t="shared" si="155"/>
        <v>0</v>
      </c>
      <c r="N262" s="803">
        <f t="shared" si="155"/>
        <v>0</v>
      </c>
      <c r="O262" s="803">
        <f t="shared" si="155"/>
        <v>0</v>
      </c>
      <c r="P262" s="803">
        <f t="shared" si="155"/>
        <v>0</v>
      </c>
      <c r="Q262" s="803">
        <f t="shared" si="155"/>
        <v>0</v>
      </c>
    </row>
    <row r="263" spans="5:17">
      <c r="G263" s="803">
        <f t="shared" si="112"/>
        <v>0</v>
      </c>
      <c r="H263" s="803">
        <f t="shared" ref="H263:Q263" si="156">IF($E112&gt;H$66,0,IF($E112&lt;H$66-365,$D112,0))</f>
        <v>0</v>
      </c>
      <c r="I263" s="803">
        <f t="shared" si="156"/>
        <v>0</v>
      </c>
      <c r="J263" s="803">
        <f t="shared" si="156"/>
        <v>0</v>
      </c>
      <c r="K263" s="803">
        <f t="shared" si="156"/>
        <v>0</v>
      </c>
      <c r="L263" s="803">
        <f t="shared" si="156"/>
        <v>0</v>
      </c>
      <c r="M263" s="803">
        <f t="shared" si="156"/>
        <v>0</v>
      </c>
      <c r="N263" s="803">
        <f t="shared" si="156"/>
        <v>0</v>
      </c>
      <c r="O263" s="803">
        <f t="shared" si="156"/>
        <v>0</v>
      </c>
      <c r="P263" s="803">
        <f t="shared" si="156"/>
        <v>0</v>
      </c>
      <c r="Q263" s="803">
        <f t="shared" si="156"/>
        <v>0</v>
      </c>
    </row>
    <row r="264" spans="5:17">
      <c r="G264" s="803">
        <f t="shared" si="112"/>
        <v>0</v>
      </c>
      <c r="H264" s="803">
        <f t="shared" ref="H264:Q264" si="157">IF($E113&gt;H$66,0,IF($E113&lt;H$66-365,$D113,0))</f>
        <v>0</v>
      </c>
      <c r="I264" s="803">
        <f t="shared" si="157"/>
        <v>0</v>
      </c>
      <c r="J264" s="803">
        <f t="shared" si="157"/>
        <v>0</v>
      </c>
      <c r="K264" s="803">
        <f t="shared" si="157"/>
        <v>0</v>
      </c>
      <c r="L264" s="803">
        <f t="shared" si="157"/>
        <v>0</v>
      </c>
      <c r="M264" s="803">
        <f t="shared" si="157"/>
        <v>0</v>
      </c>
      <c r="N264" s="803">
        <f t="shared" si="157"/>
        <v>0</v>
      </c>
      <c r="O264" s="803">
        <f t="shared" si="157"/>
        <v>0</v>
      </c>
      <c r="P264" s="803">
        <f t="shared" si="157"/>
        <v>0</v>
      </c>
      <c r="Q264" s="803">
        <f t="shared" si="157"/>
        <v>0</v>
      </c>
    </row>
    <row r="265" spans="5:17">
      <c r="G265" s="803">
        <f t="shared" si="112"/>
        <v>0</v>
      </c>
      <c r="H265" s="803">
        <f t="shared" ref="H265:Q265" si="158">IF($E114&gt;H$66,0,IF($E114&lt;H$66-365,$D114,0))</f>
        <v>0</v>
      </c>
      <c r="I265" s="803">
        <f t="shared" si="158"/>
        <v>0</v>
      </c>
      <c r="J265" s="803">
        <f t="shared" si="158"/>
        <v>0</v>
      </c>
      <c r="K265" s="803">
        <f t="shared" si="158"/>
        <v>0</v>
      </c>
      <c r="L265" s="803">
        <f t="shared" si="158"/>
        <v>0</v>
      </c>
      <c r="M265" s="803">
        <f t="shared" si="158"/>
        <v>0</v>
      </c>
      <c r="N265" s="803">
        <f t="shared" si="158"/>
        <v>0</v>
      </c>
      <c r="O265" s="803">
        <f t="shared" si="158"/>
        <v>0</v>
      </c>
      <c r="P265" s="803">
        <f t="shared" si="158"/>
        <v>0</v>
      </c>
      <c r="Q265" s="803">
        <f t="shared" si="158"/>
        <v>0</v>
      </c>
    </row>
    <row r="267" spans="5:17">
      <c r="F267" s="803" t="s">
        <v>493</v>
      </c>
      <c r="G267" s="803">
        <f>SUM(G220:G265)</f>
        <v>0</v>
      </c>
      <c r="H267" s="803">
        <f t="shared" ref="H267:Q267" si="159">SUM(H220:H265)</f>
        <v>0</v>
      </c>
      <c r="I267" s="803">
        <f t="shared" si="159"/>
        <v>0</v>
      </c>
      <c r="J267" s="803">
        <f t="shared" si="159"/>
        <v>-488</v>
      </c>
      <c r="K267" s="803">
        <f t="shared" si="159"/>
        <v>-526</v>
      </c>
      <c r="L267" s="803">
        <f t="shared" si="159"/>
        <v>-564</v>
      </c>
      <c r="M267" s="803">
        <f t="shared" si="159"/>
        <v>-602</v>
      </c>
      <c r="N267" s="803">
        <f t="shared" si="159"/>
        <v>-1140</v>
      </c>
      <c r="O267" s="803">
        <f t="shared" si="159"/>
        <v>-1140</v>
      </c>
      <c r="P267" s="803">
        <f t="shared" si="159"/>
        <v>-1140</v>
      </c>
      <c r="Q267" s="803">
        <f t="shared" si="159"/>
        <v>-1140</v>
      </c>
    </row>
    <row r="271" spans="5:17">
      <c r="F271" s="879" t="s">
        <v>486</v>
      </c>
      <c r="G271" s="880">
        <f>G66</f>
        <v>45473</v>
      </c>
      <c r="H271" s="880">
        <f>DATE(YEAR(G271)+1,MONTH(G271),DAY(G271))</f>
        <v>45838</v>
      </c>
      <c r="I271" s="880">
        <f t="shared" ref="I271:Q271" si="160">DATE(YEAR(H271)+1,MONTH(H271),DAY(H271))</f>
        <v>46203</v>
      </c>
      <c r="J271" s="880">
        <f t="shared" si="160"/>
        <v>46568</v>
      </c>
      <c r="K271" s="880">
        <f t="shared" si="160"/>
        <v>46934</v>
      </c>
      <c r="L271" s="880">
        <f t="shared" si="160"/>
        <v>47299</v>
      </c>
      <c r="M271" s="880">
        <f t="shared" si="160"/>
        <v>47664</v>
      </c>
      <c r="N271" s="880">
        <f t="shared" si="160"/>
        <v>48029</v>
      </c>
      <c r="O271" s="880">
        <f t="shared" si="160"/>
        <v>48395</v>
      </c>
      <c r="P271" s="880">
        <f t="shared" si="160"/>
        <v>48760</v>
      </c>
      <c r="Q271" s="880">
        <f t="shared" si="160"/>
        <v>49125</v>
      </c>
    </row>
    <row r="272" spans="5:17">
      <c r="E272" s="803" t="s">
        <v>399</v>
      </c>
      <c r="F272" s="881">
        <f t="shared" ref="F272:Q272" si="161">Z216</f>
        <v>5.1606552665612879</v>
      </c>
      <c r="G272" s="881">
        <f>AA216</f>
        <v>5.1606552665612879</v>
      </c>
      <c r="H272" s="881">
        <f t="shared" si="161"/>
        <v>5.1749719079986978</v>
      </c>
      <c r="I272" s="881">
        <f t="shared" si="161"/>
        <v>5.5615212268087628</v>
      </c>
      <c r="J272" s="881">
        <f t="shared" si="161"/>
        <v>5.6194497516387898</v>
      </c>
      <c r="K272" s="881">
        <f t="shared" si="161"/>
        <v>5.6283318490111567</v>
      </c>
      <c r="L272" s="881">
        <f t="shared" si="161"/>
        <v>5.6372139463835236</v>
      </c>
      <c r="M272" s="881">
        <f t="shared" si="161"/>
        <v>5.6460960437558905</v>
      </c>
      <c r="N272" s="881">
        <f t="shared" si="161"/>
        <v>5.7707175822301329</v>
      </c>
      <c r="O272" s="881">
        <f t="shared" si="161"/>
        <v>5.7707175822301329</v>
      </c>
      <c r="P272" s="881">
        <f t="shared" si="161"/>
        <v>5.7707175822301329</v>
      </c>
      <c r="Q272" s="881">
        <f t="shared" si="161"/>
        <v>5.7707175822301329</v>
      </c>
    </row>
    <row r="282" spans="7:7">
      <c r="G282" s="846">
        <f>S135</f>
        <v>0.58839533826405344</v>
      </c>
    </row>
    <row r="283" spans="7:7">
      <c r="G283" s="846" t="e">
        <f>#REF!</f>
        <v>#REF!</v>
      </c>
    </row>
    <row r="284" spans="7:7">
      <c r="G284" s="846">
        <f t="shared" ref="G284:G289" si="162">S136</f>
        <v>0</v>
      </c>
    </row>
    <row r="285" spans="7:7">
      <c r="G285" s="846">
        <f t="shared" si="162"/>
        <v>0</v>
      </c>
    </row>
    <row r="286" spans="7:7">
      <c r="G286" s="846">
        <f t="shared" si="162"/>
        <v>0</v>
      </c>
    </row>
    <row r="287" spans="7:7">
      <c r="G287" s="846">
        <f t="shared" si="162"/>
        <v>0</v>
      </c>
    </row>
    <row r="288" spans="7:7">
      <c r="G288" s="846">
        <f t="shared" si="162"/>
        <v>0</v>
      </c>
    </row>
    <row r="289" spans="7:7">
      <c r="G289" s="846">
        <f t="shared" si="162"/>
        <v>0</v>
      </c>
    </row>
  </sheetData>
  <sheetProtection formatCells="0" formatColumns="0" formatRows="0" selectLockedCells="1"/>
  <customSheetViews>
    <customSheetView guid="{0FAFE012-8D9E-4ED0-86A4-A997E430971B}" scale="55" showPageBreaks="1" showGridLines="0" zeroValues="0" fitToPage="1" printArea="1" hiddenRows="1" topLeftCell="P1">
      <selection activeCell="R1" sqref="R1:AJ51"/>
      <pageMargins left="0.74803149606299213" right="0.74803149606299213" top="0.51181102362204722" bottom="0.62992125984251968" header="0.51181102362204722" footer="0.51181102362204722"/>
      <pageSetup paperSize="9" scale="26" orientation="landscape" r:id="rId1"/>
      <headerFooter alignWithMargins="0"/>
    </customSheetView>
  </customSheetViews>
  <mergeCells count="17">
    <mergeCell ref="Y3:AA4"/>
    <mergeCell ref="Y40:AA44"/>
    <mergeCell ref="Y47:AA51"/>
    <mergeCell ref="Y31:AA35"/>
    <mergeCell ref="V216:X216"/>
    <mergeCell ref="Z155:AC157"/>
    <mergeCell ref="AB3:AB5"/>
    <mergeCell ref="Y8:AA11"/>
    <mergeCell ref="AB8:AB11"/>
    <mergeCell ref="AB31:AB35"/>
    <mergeCell ref="AL156:AL164"/>
    <mergeCell ref="R55:S55"/>
    <mergeCell ref="T55:U55"/>
    <mergeCell ref="V55:W55"/>
    <mergeCell ref="AS156:AS164"/>
    <mergeCell ref="V164:X165"/>
    <mergeCell ref="Z164:AB164"/>
  </mergeCells>
  <phoneticPr fontId="60" type="noConversion"/>
  <conditionalFormatting sqref="F7:Q7 F9:Q9">
    <cfRule type="cellIs" dxfId="68" priority="9" operator="lessThan">
      <formula>0</formula>
    </cfRule>
  </conditionalFormatting>
  <conditionalFormatting sqref="F46:Q46 F47:P47">
    <cfRule type="cellIs" dxfId="67" priority="11" operator="lessThan">
      <formula>0</formula>
    </cfRule>
  </conditionalFormatting>
  <conditionalFormatting sqref="F50:Q50">
    <cfRule type="cellIs" dxfId="66" priority="10" operator="lessThan">
      <formula>0</formula>
    </cfRule>
  </conditionalFormatting>
  <dataValidations disablePrompts="1" count="1">
    <dataValidation type="list" allowBlank="1" showInputMessage="1" showErrorMessage="1" sqref="F141:G141" xr:uid="{00000000-0002-0000-0000-000003000000}">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2" orientation="landscape" blackAndWhite="1" r:id="rId2"/>
  <headerFooter alignWithMargins="0"/>
  <ignoredErrors>
    <ignoredError sqref="Q7 E69:E71 E72:E82 E83:E87" formula="1"/>
  </ignoredErrors>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BEE75-A64A-47BE-891A-14CE17E3CCCD}">
  <sheetPr codeName="Sheet28">
    <tabColor rgb="FF92D050"/>
    <pageSetUpPr fitToPage="1"/>
  </sheetPr>
  <dimension ref="A1:CJ272"/>
  <sheetViews>
    <sheetView showGridLines="0" topLeftCell="A20" zoomScale="85" zoomScaleNormal="85" workbookViewId="0">
      <selection activeCell="Q67" sqref="Q67"/>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11.269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43</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545" t="s">
        <v>668</v>
      </c>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0.23429850985162876</v>
      </c>
      <c r="E6" s="367" t="s">
        <v>311</v>
      </c>
      <c r="F6" s="517">
        <f>VLOOKUP($A$2,'Footprint Summary'!$B$4:$R$26,COLUMNS('Footprint Summary'!$B$4:F$26)+1,0)</f>
        <v>607.25199999999995</v>
      </c>
      <c r="G6" s="517">
        <f>VLOOKUP($A$2,'Footprint Summary'!$B$4:$R$26,COLUMNS('Footprint Summary'!$B$4:G$26)+1,0)</f>
        <v>607.25199999999995</v>
      </c>
      <c r="H6" s="517">
        <f>VLOOKUP($A$2,'Footprint Summary'!$B$4:$R$26,COLUMNS('Footprint Summary'!$B$4:H$26)+1,0)</f>
        <v>607.25199999999995</v>
      </c>
      <c r="I6" s="517">
        <f>VLOOKUP($A$2,'Footprint Summary'!$B$4:$R$26,COLUMNS('Footprint Summary'!$B$4:I$26)+1,0)</f>
        <v>607.25199999999995</v>
      </c>
      <c r="J6" s="517">
        <f>VLOOKUP($A$2,'Footprint Summary'!$B$4:$R$26,COLUMNS('Footprint Summary'!$B$4:J$26)+1,0)</f>
        <v>607.25199999999995</v>
      </c>
      <c r="K6" s="517">
        <f>VLOOKUP($A$2,'Footprint Summary'!$B$4:$R$26,COLUMNS('Footprint Summary'!$B$4:K$26)+1,0)</f>
        <v>607.25199999999995</v>
      </c>
      <c r="L6" s="517">
        <f>VLOOKUP($A$2,'Footprint Summary'!$B$4:$R$26,COLUMNS('Footprint Summary'!$B$4:L$26)+1,0)</f>
        <v>607.25199999999995</v>
      </c>
      <c r="M6" s="517">
        <f>VLOOKUP($A$2,'Footprint Summary'!$B$4:$R$26,COLUMNS('Footprint Summary'!$B$4:M$26)+1,0)</f>
        <v>607.25199999999995</v>
      </c>
      <c r="N6" s="517">
        <f>VLOOKUP($A$2,'Footprint Summary'!$B$4:$R$26,COLUMNS('Footprint Summary'!$B$4:N$26)+1,0)</f>
        <v>607.25199999999995</v>
      </c>
      <c r="O6" s="517">
        <f>VLOOKUP($A$2,'Footprint Summary'!$B$4:$R$26,COLUMNS('Footprint Summary'!$B$4:O$26)+1,0)</f>
        <v>607.25199999999995</v>
      </c>
      <c r="P6" s="517">
        <f>VLOOKUP($A$2,'Footprint Summary'!$B$4:$R$26,COLUMNS('Footprint Summary'!$B$4:P$26)+1,0)</f>
        <v>607.25199999999995</v>
      </c>
      <c r="Q6" s="429">
        <f>(P6-F6)/F6</f>
        <v>0</v>
      </c>
      <c r="R6" s="366"/>
      <c r="S6" s="357"/>
      <c r="T6" s="8"/>
      <c r="U6" s="8"/>
    </row>
    <row r="7" spans="1:21" s="7" customFormat="1" ht="17.25" customHeight="1">
      <c r="A7" s="368" t="str">
        <f>VLOOKUP($A$2,'Asset Attributes'!$B$3:$D$25,2,0)</f>
        <v>NSW2</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25.152616285121429</v>
      </c>
      <c r="E8" s="422" t="s">
        <v>314</v>
      </c>
      <c r="F8" s="519">
        <f>VLOOKUP($A$2,'Footprint Summary'!$B$33:$R$55,COLUMNS('Footprint Summary'!$B$33:F$55)+1,0)</f>
        <v>946.923</v>
      </c>
      <c r="G8" s="519">
        <f>VLOOKUP($A$2,'Footprint Summary'!$B$33:$R$55,COLUMNS('Footprint Summary'!$B$33:G$55)+1,0)</f>
        <v>946.923</v>
      </c>
      <c r="H8" s="519">
        <f>VLOOKUP($A$2,'Footprint Summary'!$B$33:$R$55,COLUMNS('Footprint Summary'!$B$33:H$55)+1,0)</f>
        <v>946.923</v>
      </c>
      <c r="I8" s="519">
        <f>VLOOKUP($A$2,'Footprint Summary'!$B$33:$R$55,COLUMNS('Footprint Summary'!$B$33:I$55)+1,0)</f>
        <v>946.923</v>
      </c>
      <c r="J8" s="519">
        <f>VLOOKUP($A$2,'Footprint Summary'!$B$33:$R$55,COLUMNS('Footprint Summary'!$B$33:J$55)+1,0)</f>
        <v>946.923</v>
      </c>
      <c r="K8" s="519">
        <f>VLOOKUP($A$2,'Footprint Summary'!$B$33:$R$55,COLUMNS('Footprint Summary'!$B$33:K$55)+1,0)</f>
        <v>946.923</v>
      </c>
      <c r="L8" s="519">
        <f>VLOOKUP($A$2,'Footprint Summary'!$B$33:$R$55,COLUMNS('Footprint Summary'!$B$33:L$55)+1,0)</f>
        <v>946.923</v>
      </c>
      <c r="M8" s="519">
        <f>VLOOKUP($A$2,'Footprint Summary'!$B$33:$R$55,COLUMNS('Footprint Summary'!$B$33:M$55)+1,0)</f>
        <v>946.923</v>
      </c>
      <c r="N8" s="519">
        <f>VLOOKUP($A$2,'Footprint Summary'!$B$33:$R$55,COLUMNS('Footprint Summary'!$B$33:N$55)+1,0)</f>
        <v>946.923</v>
      </c>
      <c r="O8" s="519">
        <f>VLOOKUP($A$2,'Footprint Summary'!$B$33:$R$55,COLUMNS('Footprint Summary'!$B$33:O$55)+1,0)</f>
        <v>946.923</v>
      </c>
      <c r="P8" s="519">
        <f>VLOOKUP($A$2,'Footprint Summary'!$B$33:$R$55,COLUMNS('Footprint Summary'!$B$33:P$55)+1,0)</f>
        <v>946.923</v>
      </c>
      <c r="Q8" s="429">
        <f>(P8-F8)/F8</f>
        <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479.72908000000001</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48.79494219</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36.280779770403001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564.80480196040298</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45.151874806971222</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0</v>
      </c>
      <c r="P20" s="499">
        <f>-1*(VLOOKUP($A$2,'Footprint Summary'!$B$244:AB$266,COLUMNS('Footprint Summary'!$B$244:P$266)+1,0))</f>
        <v>0</v>
      </c>
      <c r="Q20" s="499">
        <f>SUM(G20:P20)</f>
        <v>0</v>
      </c>
      <c r="R20" s="366"/>
      <c r="S20" s="357"/>
      <c r="T20" s="8"/>
      <c r="U20" s="8"/>
    </row>
    <row r="21" spans="1:21"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450.58098399999994</v>
      </c>
      <c r="H21" s="499">
        <f>-1*(VLOOKUP($A$2,'Footprint Summary'!$B$302:$R$324,COLUMNS('Footprint Summary'!$B$302:H324)+1,0))</f>
        <v>443.29395999999997</v>
      </c>
      <c r="I21" s="499">
        <f>-1*(VLOOKUP($A$2,'Footprint Summary'!$B$302:$R$324,COLUMNS('Footprint Summary'!$B$302:I324)+1,0))</f>
        <v>402.00082399999997</v>
      </c>
      <c r="J21" s="499">
        <f>-1*(VLOOKUP($A$2,'Footprint Summary'!$B$302:$R$324,COLUMNS('Footprint Summary'!$B$302:J324)+1,0))</f>
        <v>378.92524799999995</v>
      </c>
      <c r="K21" s="499">
        <f>-1*(VLOOKUP($A$2,'Footprint Summary'!$B$302:$R$324,COLUMNS('Footprint Summary'!$B$302:K324)+1,0))</f>
        <v>332.16684400000003</v>
      </c>
      <c r="L21" s="499">
        <f>-1*(VLOOKUP($A$2,'Footprint Summary'!$B$302:$R$324,COLUMNS('Footprint Summary'!$B$302:L324)+1,0))</f>
        <v>279.33591999999999</v>
      </c>
      <c r="M21" s="499">
        <f>-1*(VLOOKUP($A$2,'Footprint Summary'!$B$302:$R$324,COLUMNS('Footprint Summary'!$B$302:M324)+1,0))</f>
        <v>232.57751599999997</v>
      </c>
      <c r="N21" s="499">
        <f>-1*(VLOOKUP($A$2,'Footprint Summary'!$B$302:$R$324,COLUMNS('Footprint Summary'!$B$302:N324)+1,0))</f>
        <v>197.3569</v>
      </c>
      <c r="O21" s="499">
        <f>-1*(VLOOKUP($A$2,'Footprint Summary'!$B$302:$R$324,COLUMNS('Footprint Summary'!$B$302:O324)+1,0))</f>
        <v>174.88857599999997</v>
      </c>
      <c r="P21" s="499">
        <f>-1*(VLOOKUP($A$2,'Footprint Summary'!$B$302:$R$324,COLUMNS('Footprint Summary'!$B$302:P324)+1,0))</f>
        <v>160.314528</v>
      </c>
      <c r="Q21" s="499">
        <f t="shared" ref="Q21:Q27" si="6">SUM(G21:P21)</f>
        <v>3051.4413</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48.79494219</v>
      </c>
      <c r="H22" s="499">
        <f>(VLOOKUP($A$2,'Footprint Summary'!$B$33:$R$55,COLUMNS('Footprint Summary'!$B$33:H$55)+1,0)*VLOOKUP($B$14,Assumptions!$B$17:$N$29,COLUMNS(Assumptions!$B$18:D$29)+1,0)/1000)</f>
        <v>48.79494219</v>
      </c>
      <c r="I22" s="499">
        <f>(VLOOKUP($A$2,'Footprint Summary'!$B$33:$R$55,COLUMNS('Footprint Summary'!$B$33:I$55)+1,0)*VLOOKUP($B$14,Assumptions!$B$17:$N$29,COLUMNS(Assumptions!$B$18:E$29)+1,0)/1000)</f>
        <v>48.79494219</v>
      </c>
      <c r="J22" s="499">
        <f>(VLOOKUP($A$2,'Footprint Summary'!$B$33:$R$55,COLUMNS('Footprint Summary'!$B$33:J$55)+1,0)*VLOOKUP($B$14,Assumptions!$B$17:$N$29,COLUMNS(Assumptions!$B$18:F$29)+1,0)/1000)</f>
        <v>48.79494219</v>
      </c>
      <c r="K22" s="499">
        <f>(VLOOKUP($A$2,'Footprint Summary'!$B$33:$R$55,COLUMNS('Footprint Summary'!$B$33:K$55)+1,0)*VLOOKUP($B$14,Assumptions!$B$17:$N$29,COLUMNS(Assumptions!$B$18:G$29)+1,0)/1000)</f>
        <v>48.79494219</v>
      </c>
      <c r="L22" s="499">
        <f>(VLOOKUP($A$2,'Footprint Summary'!$B$33:$R$55,COLUMNS('Footprint Summary'!$B$33:L$55)+1,0)*VLOOKUP($B$14,Assumptions!$B$17:$N$29,COLUMNS(Assumptions!$B$18:H$29)+1,0)/1000)</f>
        <v>48.79494219</v>
      </c>
      <c r="M22" s="499">
        <f>(VLOOKUP($A$2,'Footprint Summary'!$B$33:$R$55,COLUMNS('Footprint Summary'!$B$33:M$55)+1,0)*VLOOKUP($B$14,Assumptions!$B$17:$N$29,COLUMNS(Assumptions!$B$18:I$29)+1,0)/1000)</f>
        <v>48.79494219</v>
      </c>
      <c r="N22" s="499">
        <f>(VLOOKUP($A$2,'Footprint Summary'!$B$33:$R$55,COLUMNS('Footprint Summary'!$B$33:N$55)+1,0)*VLOOKUP($B$14,Assumptions!$B$17:$N$29,COLUMNS(Assumptions!$B$18:J$29)+1,0)/1000)</f>
        <v>48.79494219</v>
      </c>
      <c r="O22" s="499">
        <f>(VLOOKUP($A$2,'Footprint Summary'!$B$33:$R$55,COLUMNS('Footprint Summary'!$B$33:O$55)+1,0)*VLOOKUP($B$14,Assumptions!$B$17:$N$29,COLUMNS(Assumptions!$B$18:K$29)+1,0)/1000)</f>
        <v>48.79494219</v>
      </c>
      <c r="P22" s="499">
        <f>(VLOOKUP($A$2,'Footprint Summary'!$B$33:$R$55,COLUMNS('Footprint Summary'!$B$33:P$55)+1,0)*VLOOKUP($B$14,Assumptions!$B$17:$N$29,COLUMNS(Assumptions!$B$18:L$29)+1,0)/1000)</f>
        <v>48.79494219</v>
      </c>
      <c r="Q22" s="499">
        <f t="shared" si="6"/>
        <v>487.94942190000006</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33.457626108135997</v>
      </c>
      <c r="H24" s="499">
        <f>VLOOKUP($A$2,'Footprint Summary'!$B$216:$R$238,COLUMNS('Footprint Summary'!$B$216:H238)+1,0)</f>
        <v>30.634472445868997</v>
      </c>
      <c r="I24" s="499">
        <f>VLOOKUP($A$2,'Footprint Summary'!$B$216:$R$238,COLUMNS('Footprint Summary'!$B$216:I238)+1,0)</f>
        <v>27.811318783601997</v>
      </c>
      <c r="J24" s="499">
        <f>VLOOKUP($A$2,'Footprint Summary'!$B$216:$R$238,COLUMNS('Footprint Summary'!$B$216:J238)+1,0)</f>
        <v>24.988165121334998</v>
      </c>
      <c r="K24" s="499">
        <f>VLOOKUP($A$2,'Footprint Summary'!$B$216:$R$238,COLUMNS('Footprint Summary'!$B$216:K238)+1,0)</f>
        <v>22.165011459067998</v>
      </c>
      <c r="L24" s="499">
        <f>VLOOKUP($A$2,'Footprint Summary'!$B$216:$R$238,COLUMNS('Footprint Summary'!$B$216:L238)+1,0)</f>
        <v>19.341857796800998</v>
      </c>
      <c r="M24" s="499">
        <f>VLOOKUP($A$2,'Footprint Summary'!$B$216:$R$238,COLUMNS('Footprint Summary'!$B$216:M238)+1,0)</f>
        <v>16.518704134533998</v>
      </c>
      <c r="N24" s="499">
        <f>VLOOKUP($A$2,'Footprint Summary'!$B$216:$R$238,COLUMNS('Footprint Summary'!$B$216:N238)+1,0)</f>
        <v>13.695550472266998</v>
      </c>
      <c r="O24" s="499">
        <f>VLOOKUP($A$2,'Footprint Summary'!$B$216:$R$238,COLUMNS('Footprint Summary'!$B$216:O238)+1,0)</f>
        <v>10.872396809999998</v>
      </c>
      <c r="P24" s="499">
        <f>VLOOKUP($A$2,'Footprint Summary'!$B$216:$R$238,COLUMNS('Footprint Summary'!$B$216:P238)+1,0)</f>
        <v>10.872396809999998</v>
      </c>
      <c r="Q24" s="499">
        <f t="shared" si="6"/>
        <v>210.35749994161199</v>
      </c>
      <c r="R24" s="366"/>
      <c r="S24" s="357"/>
      <c r="T24" s="8"/>
      <c r="U24" s="8"/>
    </row>
    <row r="25" spans="1:21" s="7" customFormat="1" ht="19.5" customHeight="1">
      <c r="A25" s="419" t="s">
        <v>319</v>
      </c>
      <c r="B25" s="419" t="s">
        <v>319</v>
      </c>
      <c r="E25" s="425" t="s">
        <v>321</v>
      </c>
      <c r="F25" s="499">
        <f>VLOOKUP($A$2,'Footprint Summary'!$B$216:$R$238,COLUMNS('Footprint Summary'!$B$216:F238)+1,0)-F24</f>
        <v>36.280779770403001</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48.79494219</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NSW2</v>
      </c>
      <c r="B27" s="368" t="s">
        <v>330</v>
      </c>
      <c r="E27" s="425" t="s">
        <v>321</v>
      </c>
      <c r="F27" s="367">
        <f>VLOOKUP($A$2,'Footprint Summary'!$B$4:$R$26,COLUMNS('Footprint Summary'!$B$4:F$26)+1,0)*VLOOKUP($A$13,Assumptions!$A$4:$N$14,COLUMNS(Assumptions!$A$4:B$14)+1,0)</f>
        <v>479.72908000000001</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row>
    <row r="28" spans="1:21" s="7" customFormat="1" ht="19.5" customHeight="1" thickBot="1">
      <c r="E28" s="425" t="s">
        <v>321</v>
      </c>
      <c r="F28" s="434">
        <f>SUM(F20:F23)</f>
        <v>0</v>
      </c>
      <c r="G28" s="434">
        <f t="shared" ref="G28:P28" si="7">SUM(G20:G23)</f>
        <v>499.37592618999997</v>
      </c>
      <c r="H28" s="434">
        <f t="shared" si="7"/>
        <v>492.08890219</v>
      </c>
      <c r="I28" s="434">
        <f t="shared" si="7"/>
        <v>450.79576618999999</v>
      </c>
      <c r="J28" s="434">
        <f t="shared" si="7"/>
        <v>427.72019018999993</v>
      </c>
      <c r="K28" s="434">
        <f t="shared" si="7"/>
        <v>380.96178619</v>
      </c>
      <c r="L28" s="434">
        <f t="shared" si="7"/>
        <v>328.13086219000002</v>
      </c>
      <c r="M28" s="434">
        <f t="shared" si="7"/>
        <v>281.37245818999997</v>
      </c>
      <c r="N28" s="434">
        <f t="shared" si="7"/>
        <v>246.15184219</v>
      </c>
      <c r="O28" s="434">
        <f t="shared" si="7"/>
        <v>223.68351818999997</v>
      </c>
      <c r="P28" s="434">
        <f t="shared" si="7"/>
        <v>209.10947019</v>
      </c>
      <c r="Q28" s="434">
        <f t="shared" ref="Q28" si="8">SUM(Q20:Q24)</f>
        <v>3749.7482218416121</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151295.30000000002</v>
      </c>
      <c r="G32" s="424">
        <f>VLOOKUP($A$2,'Costs Summary'!$B$154:$R$176,COLUMNS('Costs Summary'!$B$154:G$176)+1,0)</f>
        <v>184961.71031574765</v>
      </c>
      <c r="H32" s="424">
        <f>VLOOKUP($A$2,'Costs Summary'!$B$154:$R$176,COLUMNS('Costs Summary'!$B$154:H$176)+1,0)</f>
        <v>191435.37017679878</v>
      </c>
      <c r="I32" s="424">
        <f>VLOOKUP($A$2,'Costs Summary'!$B$154:$R$176,COLUMNS('Costs Summary'!$B$154:I$176)+1,0)</f>
        <v>198135.60813298676</v>
      </c>
      <c r="J32" s="424">
        <f>VLOOKUP($A$2,'Costs Summary'!$B$154:$R$176,COLUMNS('Costs Summary'!$B$154:J$176)+1,0)</f>
        <v>205070.35441764127</v>
      </c>
      <c r="K32" s="424">
        <f>VLOOKUP($A$2,'Costs Summary'!$B$154:$R$176,COLUMNS('Costs Summary'!$B$154:K$176)+1,0)</f>
        <v>212247.8168222587</v>
      </c>
      <c r="L32" s="424">
        <f>VLOOKUP($A$2,'Costs Summary'!$B$154:$R$176,COLUMNS('Costs Summary'!$B$154:L$176)+1,0)</f>
        <v>219676.49041103775</v>
      </c>
      <c r="M32" s="424">
        <f>VLOOKUP($A$2,'Costs Summary'!$B$154:$R$176,COLUMNS('Costs Summary'!$B$154:M$176)+1,0)</f>
        <v>227365.16757542407</v>
      </c>
      <c r="N32" s="424">
        <f>VLOOKUP($A$2,'Costs Summary'!$B$154:$R$176,COLUMNS('Costs Summary'!$B$154:N$176)+1,0)</f>
        <v>272838.2010905089</v>
      </c>
      <c r="O32" s="424">
        <f>VLOOKUP($A$2,'Costs Summary'!$B$154:$R$176,COLUMNS('Costs Summary'!$B$154:O$176)+1,0)</f>
        <v>282387.53812867671</v>
      </c>
      <c r="P32" s="424">
        <f>VLOOKUP($A$2,'Costs Summary'!$B$154:$R$176,COLUMNS('Costs Summary'!$B$154:P$176)+1,0)</f>
        <v>292271.10196318035</v>
      </c>
      <c r="Q32" s="433">
        <f>SUM(G32:P32)</f>
        <v>2286389.3590342607</v>
      </c>
      <c r="R32" s="366"/>
      <c r="S32" s="357"/>
      <c r="T32" s="8"/>
      <c r="U32" s="8"/>
    </row>
    <row r="33" spans="1:21" s="7" customFormat="1" ht="17.25" customHeight="1">
      <c r="A33" s="368" t="s">
        <v>284</v>
      </c>
      <c r="B33" s="368" t="s">
        <v>335</v>
      </c>
      <c r="C33" s="423"/>
      <c r="D33" s="423"/>
      <c r="E33" s="423"/>
      <c r="F33" s="424">
        <f>VLOOKUP($A$2,'Costs Summary'!$B$183:$R$205,COLUMNS('Costs Summary'!$B$183:F$205)+1,0)</f>
        <v>23598.6558</v>
      </c>
      <c r="G33" s="424">
        <f>VLOOKUP($A$2,'Costs Summary'!$B$183:$R$205,COLUMNS('Costs Summary'!$B$183:G$205)+1,0)</f>
        <v>24532.118596672721</v>
      </c>
      <c r="H33" s="424">
        <f>VLOOKUP($A$2,'Costs Summary'!$B$183:$R$205,COLUMNS('Costs Summary'!$B$183:H$205)+1,0)</f>
        <v>25268.082154572905</v>
      </c>
      <c r="I33" s="424">
        <f>VLOOKUP($A$2,'Costs Summary'!$B$183:$R$205,COLUMNS('Costs Summary'!$B$183:I$205)+1,0)</f>
        <v>26026.124619210092</v>
      </c>
      <c r="J33" s="424">
        <f>VLOOKUP($A$2,'Costs Summary'!$B$183:$R$205,COLUMNS('Costs Summary'!$B$183:J$205)+1,0)</f>
        <v>26806.908357786397</v>
      </c>
      <c r="K33" s="424">
        <f>VLOOKUP($A$2,'Costs Summary'!$B$183:$R$205,COLUMNS('Costs Summary'!$B$183:K$205)+1,0)</f>
        <v>27611.115608519987</v>
      </c>
      <c r="L33" s="424">
        <f>VLOOKUP($A$2,'Costs Summary'!$B$183:$R$205,COLUMNS('Costs Summary'!$B$183:L$205)+1,0)</f>
        <v>28439.449076775585</v>
      </c>
      <c r="M33" s="424">
        <f>VLOOKUP($A$2,'Costs Summary'!$B$183:$R$205,COLUMNS('Costs Summary'!$B$183:M$205)+1,0)</f>
        <v>29292.632549078855</v>
      </c>
      <c r="N33" s="424">
        <f>VLOOKUP($A$2,'Costs Summary'!$B$183:$R$205,COLUMNS('Costs Summary'!$B$183:N$205)+1,0)</f>
        <v>30171.411525551222</v>
      </c>
      <c r="O33" s="424">
        <f>VLOOKUP($A$2,'Costs Summary'!$B$183:$R$205,COLUMNS('Costs Summary'!$B$183:O$205)+1,0)</f>
        <v>31076.553871317759</v>
      </c>
      <c r="P33" s="424">
        <f>VLOOKUP($A$2,'Costs Summary'!$B$183:$R$205,COLUMNS('Costs Summary'!$B$183:P$205)+1,0)</f>
        <v>32008.85048745729</v>
      </c>
      <c r="Q33" s="433">
        <f>SUM(G33:P33)</f>
        <v>281233.24684694281</v>
      </c>
      <c r="R33" s="366"/>
      <c r="S33" s="357"/>
      <c r="T33" s="8"/>
      <c r="U33" s="8"/>
    </row>
    <row r="34" spans="1:21" s="7" customFormat="1" ht="17.25" customHeight="1">
      <c r="A34" s="368" t="s">
        <v>284</v>
      </c>
      <c r="B34" s="368" t="s">
        <v>336</v>
      </c>
      <c r="H34" s="424">
        <f>VLOOKUP($A$2,'Costs Summary'!$B$241:$R$263,COLUMNS('Costs Summary'!$B$241:H263)+1,0)</f>
        <v>2927.6965313999999</v>
      </c>
      <c r="I34" s="424">
        <f>VLOOKUP($A$2,'Costs Summary'!$B$241:$R$263,COLUMNS('Costs Summary'!$B$241:I263)+1,0)</f>
        <v>2927.6965313999999</v>
      </c>
      <c r="J34" s="424">
        <f>VLOOKUP($A$2,'Costs Summary'!$B$241:$R$263,COLUMNS('Costs Summary'!$B$241:J263)+1,0)</f>
        <v>2927.6965313999999</v>
      </c>
      <c r="K34" s="424">
        <f>VLOOKUP($A$2,'Costs Summary'!$B$241:$R$263,COLUMNS('Costs Summary'!$B$241:K263)+1,0)</f>
        <v>2927.6965313999999</v>
      </c>
      <c r="L34" s="424">
        <f>VLOOKUP($A$2,'Costs Summary'!$B$241:$R$263,COLUMNS('Costs Summary'!$B$241:L263)+1,0)</f>
        <v>2927.6965313999999</v>
      </c>
      <c r="M34" s="424">
        <f>VLOOKUP($A$2,'Costs Summary'!$B$241:$R$263,COLUMNS('Costs Summary'!$B$241:M263)+1,0)</f>
        <v>2927.6965313999999</v>
      </c>
      <c r="N34" s="424">
        <f>VLOOKUP($A$2,'Costs Summary'!$B$241:$R$263,COLUMNS('Costs Summary'!$B$241:N263)+1,0)</f>
        <v>2927.6965313999999</v>
      </c>
      <c r="O34" s="424">
        <f>VLOOKUP($A$2,'Costs Summary'!$B$241:$R$263,COLUMNS('Costs Summary'!$B$241:O263)+1,0)</f>
        <v>2927.6965313999999</v>
      </c>
      <c r="P34" s="424">
        <f>VLOOKUP($A$2,'Costs Summary'!$B$241:$R$263,COLUMNS('Costs Summary'!$B$241:P263)+1,0)</f>
        <v>2927.6965313999999</v>
      </c>
      <c r="Q34" s="433">
        <f>SUM(G34:P34)</f>
        <v>26349.268782600004</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1838.0683467521399</v>
      </c>
      <c r="I35" s="424">
        <f>VLOOKUP($A$2,'Costs Summary'!$B$212:$R$234,COLUMNS('Costs Summary'!$B$212:I$234)+1,0)</f>
        <v>1668.6791270161198</v>
      </c>
      <c r="J35" s="424">
        <f>VLOOKUP($A$2,'Costs Summary'!$B$212:$R$234,COLUMNS('Costs Summary'!$B$212:J$234)+1,0)</f>
        <v>1499.2899072800999</v>
      </c>
      <c r="K35" s="424">
        <f>VLOOKUP($A$2,'Costs Summary'!$B$212:$R$234,COLUMNS('Costs Summary'!$B$212:K$234)+1,0)</f>
        <v>1329.9006875440798</v>
      </c>
      <c r="L35" s="424">
        <f>VLOOKUP($A$2,'Costs Summary'!$B$212:$R$234,COLUMNS('Costs Summary'!$B$212:L$234)+1,0)</f>
        <v>1160.5114678080599</v>
      </c>
      <c r="M35" s="424">
        <f>VLOOKUP($A$2,'Costs Summary'!$B$212:$R$234,COLUMNS('Costs Summary'!$B$212:M$234)+1,0)</f>
        <v>991.12224807203984</v>
      </c>
      <c r="N35" s="424">
        <f>VLOOKUP($A$2,'Costs Summary'!$B$212:$R$234,COLUMNS('Costs Summary'!$B$212:N$234)+1,0)</f>
        <v>821.73302833601986</v>
      </c>
      <c r="O35" s="424">
        <f>VLOOKUP($A$2,'Costs Summary'!$B$212:$R$234,COLUMNS('Costs Summary'!$B$212:O$234)+1,0)</f>
        <v>652.34380859999987</v>
      </c>
      <c r="P35" s="424">
        <f>VLOOKUP($A$2,'Costs Summary'!$B$212:$R$234,COLUMNS('Costs Summary'!$B$212:P$234)+1,0)</f>
        <v>652.34380859999987</v>
      </c>
      <c r="Q35" s="433">
        <f>SUM(G35:P35)</f>
        <v>10613.992430008562</v>
      </c>
      <c r="R35" s="366"/>
      <c r="S35" s="357"/>
      <c r="T35" s="8"/>
      <c r="U35" s="8"/>
    </row>
    <row r="36" spans="1:21" s="7" customFormat="1" ht="17.25" customHeight="1" thickBot="1">
      <c r="A36" s="437" t="s">
        <v>338</v>
      </c>
      <c r="C36" s="423"/>
      <c r="D36" s="423"/>
      <c r="E36" s="368" t="s">
        <v>669</v>
      </c>
      <c r="F36" s="461">
        <f t="shared" ref="F36:P36" si="10">SUM(F32:F35)</f>
        <v>174893.95580000003</v>
      </c>
      <c r="G36" s="461">
        <f t="shared" si="10"/>
        <v>209493.82891242037</v>
      </c>
      <c r="H36" s="461">
        <f t="shared" si="10"/>
        <v>221469.21720952383</v>
      </c>
      <c r="I36" s="461">
        <f t="shared" si="10"/>
        <v>228758.10841061297</v>
      </c>
      <c r="J36" s="461">
        <f t="shared" si="10"/>
        <v>236304.24921410775</v>
      </c>
      <c r="K36" s="461">
        <f t="shared" si="10"/>
        <v>244116.52964972277</v>
      </c>
      <c r="L36" s="461">
        <f t="shared" si="10"/>
        <v>252204.1474870214</v>
      </c>
      <c r="M36" s="461">
        <f t="shared" si="10"/>
        <v>260576.61890397494</v>
      </c>
      <c r="N36" s="461">
        <f t="shared" si="10"/>
        <v>306759.04217579617</v>
      </c>
      <c r="O36" s="461">
        <f t="shared" si="10"/>
        <v>317044.13233999448</v>
      </c>
      <c r="P36" s="461">
        <f t="shared" si="10"/>
        <v>327859.99279063765</v>
      </c>
      <c r="Q36" s="462">
        <f t="shared" ref="Q36" si="11">SUM(Q32:Q35)</f>
        <v>2604585.8670938117</v>
      </c>
      <c r="R36" s="366"/>
      <c r="S36" s="357"/>
      <c r="T36" s="8"/>
      <c r="U36" s="8"/>
    </row>
    <row r="37" spans="1:21" s="7" customFormat="1" ht="17.25" customHeight="1" thickTop="1" thickBot="1">
      <c r="C37" s="423"/>
      <c r="D37" s="423"/>
      <c r="E37" s="368" t="s">
        <v>340</v>
      </c>
      <c r="F37" s="468">
        <f>F36/(VLOOKUP($A$2,'Asset Attributes'!$B$3:$D$25,3,0))</f>
        <v>13.981449820129509</v>
      </c>
      <c r="G37" s="468">
        <f>G36/(VLOOKUP($A$2,'Asset Attributes'!$B$3:$D$25,3,0))</f>
        <v>16.747448150325397</v>
      </c>
      <c r="H37" s="468">
        <f>H36/(VLOOKUP($A$2,'Asset Attributes'!$B$3:$D$25,3,0))</f>
        <v>17.704789928013739</v>
      </c>
      <c r="I37" s="468">
        <f>I36/(VLOOKUP($A$2,'Asset Attributes'!$B$3:$D$25,3,0))</f>
        <v>18.287481686035093</v>
      </c>
      <c r="J37" s="468">
        <f>J36/(VLOOKUP($A$2,'Asset Attributes'!$B$3:$D$25,3,0))</f>
        <v>18.890738605332782</v>
      </c>
      <c r="K37" s="468">
        <f>K36/(VLOOKUP($A$2,'Asset Attributes'!$B$3:$D$25,3,0))</f>
        <v>19.515271376586679</v>
      </c>
      <c r="L37" s="468">
        <f>L36/(VLOOKUP($A$2,'Asset Attributes'!$B$3:$D$25,3,0))</f>
        <v>20.161815291951505</v>
      </c>
      <c r="M37" s="468">
        <f>M36/(VLOOKUP($A$2,'Asset Attributes'!$B$3:$D$25,3,0))</f>
        <v>20.831131097927489</v>
      </c>
      <c r="N37" s="468">
        <f>N36/(VLOOKUP($A$2,'Asset Attributes'!$B$3:$D$25,3,0))</f>
        <v>24.52306676599218</v>
      </c>
      <c r="O37" s="468">
        <f>O36/(VLOOKUP($A$2,'Asset Attributes'!$B$3:$D$25,3,0))</f>
        <v>25.345281984170956</v>
      </c>
      <c r="P37" s="468">
        <f>P36/(VLOOKUP($A$2,'Asset Attributes'!$B$3:$D$25,3,0))</f>
        <v>26.209928274893091</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151295.30000000002</v>
      </c>
      <c r="G39" s="424">
        <f>VLOOKUP($A$2,'Costs Summary'!$B$4:$R$26,COLUMNS('Costs Summary'!$B$4:G$26)+1,0)</f>
        <v>184961.71031574765</v>
      </c>
      <c r="H39" s="424">
        <f>VLOOKUP($A$2,'Costs Summary'!$B$4:$R$26,COLUMNS('Costs Summary'!$B$4:H$26)+1,0)</f>
        <v>191435.37017679878</v>
      </c>
      <c r="I39" s="424">
        <f>VLOOKUP($A$2,'Costs Summary'!$B$4:$R$26,COLUMNS('Costs Summary'!$B$4:I$26)+1,0)</f>
        <v>198135.60813298676</v>
      </c>
      <c r="J39" s="424">
        <f>VLOOKUP($A$2,'Costs Summary'!$B$4:$R$26,COLUMNS('Costs Summary'!$B$4:J$26)+1,0)</f>
        <v>205070.35441764127</v>
      </c>
      <c r="K39" s="424">
        <f>VLOOKUP($A$2,'Costs Summary'!$B$4:$R$26,COLUMNS('Costs Summary'!$B$4:K$26)+1,0)</f>
        <v>212247.8168222587</v>
      </c>
      <c r="L39" s="424">
        <f>VLOOKUP($A$2,'Costs Summary'!$B$4:$R$26,COLUMNS('Costs Summary'!$B$4:L$26)+1,0)</f>
        <v>219676.49041103775</v>
      </c>
      <c r="M39" s="424">
        <f>VLOOKUP($A$2,'Costs Summary'!$B$4:$R$26,COLUMNS('Costs Summary'!$B$4:M$26)+1,0)</f>
        <v>227365.16757542407</v>
      </c>
      <c r="N39" s="424">
        <f>VLOOKUP($A$2,'Costs Summary'!$B$4:$R$26,COLUMNS('Costs Summary'!$B$4:N$26)+1,0)</f>
        <v>272838.2010905089</v>
      </c>
      <c r="O39" s="424">
        <f>VLOOKUP($A$2,'Costs Summary'!$B$4:$R$26,COLUMNS('Costs Summary'!$B$4:O$26)+1,0)</f>
        <v>282387.53812867671</v>
      </c>
      <c r="P39" s="424">
        <f>VLOOKUP($A$2,'Costs Summary'!$B$4:$R$26,COLUMNS('Costs Summary'!$B$4:P$26)+1,0)</f>
        <v>292271.10196318035</v>
      </c>
      <c r="Q39" s="433">
        <f>SUM(G39:P39)</f>
        <v>2286389.3590342607</v>
      </c>
      <c r="R39" s="366"/>
      <c r="S39" s="357"/>
      <c r="T39" s="8"/>
      <c r="U39" s="8"/>
    </row>
    <row r="40" spans="1:21" s="7" customFormat="1" ht="17.25" customHeight="1">
      <c r="A40" s="368" t="s">
        <v>284</v>
      </c>
      <c r="B40" s="368" t="s">
        <v>343</v>
      </c>
      <c r="C40" s="423"/>
      <c r="D40" s="423"/>
      <c r="E40" s="423"/>
      <c r="F40" s="424">
        <f>VLOOKUP($A$2,'Costs Summary'!$B$33:$R$55,COLUMNS('Costs Summary'!$B$33:F$55)+1,0)</f>
        <v>23598.6558</v>
      </c>
      <c r="G40" s="424">
        <f>VLOOKUP($A$2,'Costs Summary'!$B$33:$R$55,COLUMNS('Costs Summary'!$B$33:G$55)+1,0)</f>
        <v>24532.118596672721</v>
      </c>
      <c r="H40" s="424">
        <f>VLOOKUP($A$2,'Costs Summary'!$B$33:$R$55,COLUMNS('Costs Summary'!$B$33:H$55)+1,0)</f>
        <v>25268.082154572905</v>
      </c>
      <c r="I40" s="424">
        <f>VLOOKUP($A$2,'Costs Summary'!$B$33:$R$55,COLUMNS('Costs Summary'!$B$33:I$55)+1,0)</f>
        <v>26026.124619210092</v>
      </c>
      <c r="J40" s="424">
        <f>VLOOKUP($A$2,'Costs Summary'!$B$33:$R$55,COLUMNS('Costs Summary'!$B$33:J$55)+1,0)</f>
        <v>26806.908357786397</v>
      </c>
      <c r="K40" s="424">
        <f>VLOOKUP($A$2,'Costs Summary'!$B$33:$R$55,COLUMNS('Costs Summary'!$B$33:K$55)+1,0)</f>
        <v>27611.115608519987</v>
      </c>
      <c r="L40" s="424">
        <f>VLOOKUP($A$2,'Costs Summary'!$B$33:$R$55,COLUMNS('Costs Summary'!$B$33:L$55)+1,0)</f>
        <v>28439.449076775585</v>
      </c>
      <c r="M40" s="424">
        <f>VLOOKUP($A$2,'Costs Summary'!$B$33:$R$55,COLUMNS('Costs Summary'!$B$33:M$55)+1,0)</f>
        <v>29292.632549078855</v>
      </c>
      <c r="N40" s="424">
        <f>VLOOKUP($A$2,'Costs Summary'!$B$33:$R$55,COLUMNS('Costs Summary'!$B$33:N$55)+1,0)</f>
        <v>30171.411525551222</v>
      </c>
      <c r="O40" s="424">
        <f>VLOOKUP($A$2,'Costs Summary'!$B$33:$R$55,COLUMNS('Costs Summary'!$B$33:O$55)+1,0)</f>
        <v>31076.553871317759</v>
      </c>
      <c r="P40" s="424">
        <f>VLOOKUP($A$2,'Costs Summary'!$B$33:$R$55,COLUMNS('Costs Summary'!$B$33:P$55)+1,0)</f>
        <v>32008.85048745729</v>
      </c>
      <c r="Q40" s="433">
        <f>SUM(G40:P40)</f>
        <v>281233.24684694281</v>
      </c>
      <c r="R40" s="366"/>
      <c r="S40" s="357"/>
      <c r="T40" s="8"/>
      <c r="U40" s="8"/>
    </row>
    <row r="41" spans="1:21" s="7" customFormat="1" ht="17.25" customHeight="1">
      <c r="A41" s="368" t="s">
        <v>284</v>
      </c>
      <c r="B41" s="368" t="s">
        <v>336</v>
      </c>
      <c r="H41" s="424">
        <f>VLOOKUP($A$2,'Costs Summary'!$B$125:$R$147,COLUMNS('Costs Summary'!$B$125:H$147)+1,0)</f>
        <v>2927.6965313999999</v>
      </c>
      <c r="I41" s="424">
        <f>VLOOKUP($A$2,'Costs Summary'!$B$125:$R$147,COLUMNS('Costs Summary'!$B$125:I$147)+1,0)</f>
        <v>2927.6965313999999</v>
      </c>
      <c r="J41" s="424">
        <f>VLOOKUP($A$2,'Costs Summary'!$B$125:$R$147,COLUMNS('Costs Summary'!$B$125:J$147)+1,0)</f>
        <v>2927.6965313999999</v>
      </c>
      <c r="K41" s="424">
        <f>VLOOKUP($A$2,'Costs Summary'!$B$125:$R$147,COLUMNS('Costs Summary'!$B$125:K$147)+1,0)</f>
        <v>2927.6965313999999</v>
      </c>
      <c r="L41" s="424">
        <f>VLOOKUP($A$2,'Costs Summary'!$B$125:$R$147,COLUMNS('Costs Summary'!$B$125:L$147)+1,0)</f>
        <v>2927.6965313999999</v>
      </c>
      <c r="M41" s="424">
        <f>VLOOKUP($A$2,'Costs Summary'!$B$125:$R$147,COLUMNS('Costs Summary'!$B$125:M$147)+1,0)</f>
        <v>2927.6965313999999</v>
      </c>
      <c r="N41" s="424">
        <f>VLOOKUP($A$2,'Costs Summary'!$B$125:$R$147,COLUMNS('Costs Summary'!$B$125:N$147)+1,0)</f>
        <v>2927.6965313999999</v>
      </c>
      <c r="O41" s="424">
        <f>VLOOKUP($A$2,'Costs Summary'!$B$125:$R$147,COLUMNS('Costs Summary'!$B$125:O$147)+1,0)</f>
        <v>2927.6965313999999</v>
      </c>
      <c r="P41" s="424">
        <f>VLOOKUP($A$2,'Costs Summary'!$B$125:$R$147,COLUMNS('Costs Summary'!$B$125:P$147)+1,0)</f>
        <v>2927.6965313999999</v>
      </c>
      <c r="Q41" s="433">
        <f t="shared" ref="Q41:Q42" si="12">SUM(G41:P41)</f>
        <v>26349.268782600004</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1838.0683467521399</v>
      </c>
      <c r="I42" s="424">
        <f>VLOOKUP($A$2,'Costs Summary'!$B$212:$R$234,COLUMNS('Costs Summary'!$B$212:I$234)+1,0)</f>
        <v>1668.6791270161198</v>
      </c>
      <c r="J42" s="424">
        <f>VLOOKUP($A$2,'Costs Summary'!$B$212:$R$234,COLUMNS('Costs Summary'!$B$212:J$234)+1,0)</f>
        <v>1499.2899072800999</v>
      </c>
      <c r="K42" s="424">
        <f>VLOOKUP($A$2,'Costs Summary'!$B$212:$R$234,COLUMNS('Costs Summary'!$B$212:K$234)+1,0)</f>
        <v>1329.9006875440798</v>
      </c>
      <c r="L42" s="424">
        <f>VLOOKUP($A$2,'Costs Summary'!$B$212:$R$234,COLUMNS('Costs Summary'!$B$212:L$234)+1,0)</f>
        <v>1160.5114678080599</v>
      </c>
      <c r="M42" s="424">
        <f>VLOOKUP($A$2,'Costs Summary'!$B$212:$R$234,COLUMNS('Costs Summary'!$B$212:M$234)+1,0)</f>
        <v>991.12224807203984</v>
      </c>
      <c r="N42" s="424">
        <f>VLOOKUP($A$2,'Costs Summary'!$B$212:$R$234,COLUMNS('Costs Summary'!$B$212:N$234)+1,0)</f>
        <v>821.73302833601986</v>
      </c>
      <c r="O42" s="424">
        <f>VLOOKUP($A$2,'Costs Summary'!$B$212:$R$234,COLUMNS('Costs Summary'!$B$212:O$234)+1,0)</f>
        <v>652.34380859999987</v>
      </c>
      <c r="P42" s="424">
        <f>VLOOKUP($A$2,'Costs Summary'!$B$212:$R$234,COLUMNS('Costs Summary'!$B$212:P$234)+1,0)</f>
        <v>652.34380859999987</v>
      </c>
      <c r="Q42" s="433">
        <f t="shared" si="12"/>
        <v>10613.992430008562</v>
      </c>
      <c r="R42" s="366"/>
      <c r="S42" s="357"/>
      <c r="T42" s="8"/>
      <c r="U42" s="8"/>
    </row>
    <row r="43" spans="1:21" s="7" customFormat="1" ht="17.25" customHeight="1" thickBot="1">
      <c r="A43" s="437" t="s">
        <v>338</v>
      </c>
      <c r="E43" s="368" t="s">
        <v>669</v>
      </c>
      <c r="F43" s="461">
        <f t="shared" ref="F43:P43" si="13">SUM(F39:F42)</f>
        <v>174893.95580000003</v>
      </c>
      <c r="G43" s="461">
        <f t="shared" si="13"/>
        <v>209493.82891242037</v>
      </c>
      <c r="H43" s="461">
        <f t="shared" si="13"/>
        <v>221469.21720952383</v>
      </c>
      <c r="I43" s="461">
        <f t="shared" si="13"/>
        <v>228758.10841061297</v>
      </c>
      <c r="J43" s="461">
        <f t="shared" si="13"/>
        <v>236304.24921410775</v>
      </c>
      <c r="K43" s="461">
        <f t="shared" si="13"/>
        <v>244116.52964972277</v>
      </c>
      <c r="L43" s="461">
        <f t="shared" si="13"/>
        <v>252204.1474870214</v>
      </c>
      <c r="M43" s="461">
        <f t="shared" si="13"/>
        <v>260576.61890397494</v>
      </c>
      <c r="N43" s="461">
        <f t="shared" si="13"/>
        <v>306759.04217579617</v>
      </c>
      <c r="O43" s="461">
        <f t="shared" si="13"/>
        <v>317044.13233999448</v>
      </c>
      <c r="P43" s="461">
        <f t="shared" si="13"/>
        <v>327859.99279063765</v>
      </c>
      <c r="Q43" s="462">
        <f t="shared" ref="Q43" si="14">SUM(Q39:Q42)</f>
        <v>2604585.8670938117</v>
      </c>
      <c r="R43" s="366"/>
      <c r="S43" s="357"/>
      <c r="T43" s="8"/>
      <c r="U43" s="8"/>
    </row>
    <row r="44" spans="1:21" s="7" customFormat="1" ht="17.25" customHeight="1" thickTop="1" thickBot="1">
      <c r="E44" s="368" t="s">
        <v>340</v>
      </c>
      <c r="F44" s="468">
        <f>F43/(VLOOKUP($A$2,'Asset Attributes'!$B$3:$D$25,3,0))</f>
        <v>13.981449820129509</v>
      </c>
      <c r="G44" s="468">
        <f>G43/(VLOOKUP($A$2,'Asset Attributes'!$B$3:$D$25,3,0))</f>
        <v>16.747448150325397</v>
      </c>
      <c r="H44" s="468">
        <f>H43/(VLOOKUP($A$2,'Asset Attributes'!$B$3:$D$25,3,0))</f>
        <v>17.704789928013739</v>
      </c>
      <c r="I44" s="468">
        <f>I43/(VLOOKUP($A$2,'Asset Attributes'!$B$3:$D$25,3,0))</f>
        <v>18.287481686035093</v>
      </c>
      <c r="J44" s="468">
        <f>J43/(VLOOKUP($A$2,'Asset Attributes'!$B$3:$D$25,3,0))</f>
        <v>18.890738605332782</v>
      </c>
      <c r="K44" s="468">
        <f>K43/(VLOOKUP($A$2,'Asset Attributes'!$B$3:$D$25,3,0))</f>
        <v>19.515271376586679</v>
      </c>
      <c r="L44" s="468">
        <f>L43/(VLOOKUP($A$2,'Asset Attributes'!$B$3:$D$25,3,0))</f>
        <v>20.161815291951505</v>
      </c>
      <c r="M44" s="468">
        <f>M43/(VLOOKUP($A$2,'Asset Attributes'!$B$3:$D$25,3,0))</f>
        <v>20.831131097927489</v>
      </c>
      <c r="N44" s="468">
        <f>N43/(VLOOKUP($A$2,'Asset Attributes'!$B$3:$D$25,3,0))</f>
        <v>24.52306676599218</v>
      </c>
      <c r="O44" s="468">
        <f>O43/(VLOOKUP($A$2,'Asset Attributes'!$B$3:$D$25,3,0))</f>
        <v>25.345281984170956</v>
      </c>
      <c r="P44" s="468">
        <f>P43/(VLOOKUP($A$2,'Asset Attributes'!$B$3:$D$25,3,0))</f>
        <v>26.209928274893091</v>
      </c>
      <c r="Q44" s="460">
        <f>Q43/(VLOOKUP($A$2,'Asset Attributes'!$B$3:$D$25,3,0))</f>
        <v>208.21695316122884</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0</v>
      </c>
      <c r="L46" s="461">
        <f t="shared" si="15"/>
        <v>0</v>
      </c>
      <c r="M46" s="461">
        <f t="shared" si="15"/>
        <v>0</v>
      </c>
      <c r="N46" s="461">
        <f t="shared" si="15"/>
        <v>0</v>
      </c>
      <c r="O46" s="461">
        <f t="shared" si="15"/>
        <v>0</v>
      </c>
      <c r="P46" s="461">
        <f t="shared" si="15"/>
        <v>0</v>
      </c>
      <c r="Q46" s="462">
        <f>SUM(F46:P46)</f>
        <v>0</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0</v>
      </c>
      <c r="M47" s="468">
        <f>M46/(VLOOKUP($A$2,'Asset Attributes'!$B$3:$D$25,3,0))</f>
        <v>0</v>
      </c>
      <c r="N47" s="468">
        <f>N46/(VLOOKUP($A$2,'Asset Attributes'!$B$3:$D$25,3,0))</f>
        <v>0</v>
      </c>
      <c r="O47" s="468">
        <f>O46/(VLOOKUP($A$2,'Asset Attributes'!$B$3:$D$25,3,0))</f>
        <v>0</v>
      </c>
      <c r="P47" s="468">
        <f>P46/(VLOOKUP($A$2,'Asset Attributes'!$B$3:$D$25,3,0))</f>
        <v>0</v>
      </c>
      <c r="Q47" s="460">
        <f>Q46/(VLOOKUP($A$2,'Asset Attributes'!$B$3:$D$25,3,0))</f>
        <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0</v>
      </c>
      <c r="H49" s="464">
        <f t="shared" si="16"/>
        <v>0</v>
      </c>
      <c r="I49" s="464">
        <f t="shared" si="16"/>
        <v>0</v>
      </c>
      <c r="J49" s="464">
        <f t="shared" si="16"/>
        <v>0</v>
      </c>
      <c r="K49" s="464">
        <f t="shared" si="16"/>
        <v>0</v>
      </c>
      <c r="L49" s="464">
        <f t="shared" si="16"/>
        <v>0</v>
      </c>
      <c r="M49" s="464">
        <f t="shared" si="16"/>
        <v>0</v>
      </c>
      <c r="N49" s="464">
        <f t="shared" si="16"/>
        <v>0</v>
      </c>
      <c r="O49" s="464">
        <f t="shared" si="16"/>
        <v>0</v>
      </c>
      <c r="P49" s="464">
        <f t="shared" si="16"/>
        <v>0</v>
      </c>
      <c r="Q49" s="465">
        <f>+SUM(F49:P49)</f>
        <v>0</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0</v>
      </c>
      <c r="L50" s="466">
        <f t="shared" si="17"/>
        <v>0</v>
      </c>
      <c r="M50" s="466">
        <f t="shared" si="17"/>
        <v>0</v>
      </c>
      <c r="N50" s="466">
        <f t="shared" si="17"/>
        <v>0</v>
      </c>
      <c r="O50" s="466">
        <f t="shared" si="17"/>
        <v>0</v>
      </c>
      <c r="P50" s="466">
        <f t="shared" si="17"/>
        <v>0</v>
      </c>
      <c r="Q50" s="467">
        <f>Q46</f>
        <v>0</v>
      </c>
      <c r="R50" s="366"/>
      <c r="S50" s="357"/>
      <c r="T50" s="8"/>
      <c r="U50" s="8"/>
      <c r="V50" s="8"/>
      <c r="W50" s="8"/>
      <c r="X50" s="8"/>
    </row>
    <row r="51" spans="1:24"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672</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117 Clarence Street</v>
      </c>
      <c r="F56" s="440">
        <f t="shared" ref="F56:P56" si="19">F272</f>
        <v>5.3187239545911771</v>
      </c>
      <c r="G56" s="440">
        <f t="shared" si="19"/>
        <v>5.3187239545911771</v>
      </c>
      <c r="H56" s="440">
        <f t="shared" si="19"/>
        <v>5.3187239545911771</v>
      </c>
      <c r="I56" s="440">
        <f t="shared" si="19"/>
        <v>5.3187239545911771</v>
      </c>
      <c r="J56" s="440">
        <f t="shared" si="19"/>
        <v>5.3187239545911771</v>
      </c>
      <c r="K56" s="440">
        <f t="shared" si="19"/>
        <v>5.3187239545911771</v>
      </c>
      <c r="L56" s="440">
        <f t="shared" si="19"/>
        <v>5.3187239545911771</v>
      </c>
      <c r="M56" s="440">
        <f t="shared" si="19"/>
        <v>5.3187239545911771</v>
      </c>
      <c r="N56" s="440">
        <f t="shared" si="19"/>
        <v>5.3187239545911771</v>
      </c>
      <c r="O56" s="440">
        <f t="shared" si="19"/>
        <v>5.3187239545911771</v>
      </c>
      <c r="P56" s="440">
        <f t="shared" si="19"/>
        <v>5.3187239545911771</v>
      </c>
      <c r="Q56" s="470">
        <f>IF(E56="",0,P56-F56)</f>
        <v>0</v>
      </c>
      <c r="R56" s="473" t="s">
        <v>358</v>
      </c>
      <c r="S56" s="478" t="s">
        <v>674</v>
      </c>
      <c r="T56" s="473" t="s">
        <v>358</v>
      </c>
      <c r="U56" s="478" t="s">
        <v>674</v>
      </c>
      <c r="V56" s="473" t="s">
        <v>358</v>
      </c>
      <c r="W56" s="479" t="str">
        <f>IF(W58=1,"Complete",IF(Q3="slated divestment","not required",IF(W60="","Outstanding","Complete")))</f>
        <v>not required</v>
      </c>
      <c r="X56" s="14"/>
    </row>
    <row r="57" spans="1:24" ht="25.5" customHeight="1">
      <c r="A57" s="438" t="s">
        <v>6</v>
      </c>
      <c r="C57" s="275" t="s">
        <v>118</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0</v>
      </c>
      <c r="T57" s="473" t="s">
        <v>669</v>
      </c>
      <c r="U57" s="479">
        <f>IF(U56="Underway","",S115)</f>
        <v>0</v>
      </c>
      <c r="V57" s="473" t="s">
        <v>361</v>
      </c>
      <c r="W57" s="478" t="s">
        <v>675</v>
      </c>
      <c r="X57" s="14"/>
    </row>
    <row r="58" spans="1:24" ht="25.5" customHeight="1">
      <c r="A58" s="438" t="s">
        <v>363</v>
      </c>
      <c r="B58" s="14"/>
      <c r="C58" s="275" t="s">
        <v>364</v>
      </c>
      <c r="D58" s="160" t="s">
        <v>676</v>
      </c>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0</v>
      </c>
      <c r="T58" s="473" t="s">
        <v>367</v>
      </c>
      <c r="U58" s="478">
        <f>IF(U56="Underway","",-1*S64)</f>
        <v>0</v>
      </c>
      <c r="V58" s="473" t="s">
        <v>368</v>
      </c>
      <c r="W58" s="478" t="s">
        <v>674</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t="str">
        <f>V115</f>
        <v/>
      </c>
      <c r="T59" s="473" t="s">
        <v>371</v>
      </c>
      <c r="U59" s="483" t="e">
        <f ca="1">IF(U56="Underway","",_xlfn.MAXIFS(E69:E88,S69:S88,"Yes"))</f>
        <v>#NAME?</v>
      </c>
      <c r="V59" s="482" t="s">
        <v>372</v>
      </c>
      <c r="W59" s="479">
        <f>T115</f>
        <v>0</v>
      </c>
      <c r="X59" s="14"/>
    </row>
    <row r="60" spans="1:24" ht="25.5" customHeight="1">
      <c r="A60" s="438" t="s">
        <v>373</v>
      </c>
      <c r="B60" s="14"/>
      <c r="C60" s="275">
        <v>9319</v>
      </c>
      <c r="D60" s="160"/>
      <c r="Q60" s="10"/>
      <c r="R60" s="473" t="s">
        <v>374</v>
      </c>
      <c r="S60" s="481" t="e">
        <f>IF(S56="Underway","",U115)</f>
        <v>#DIV/0!</v>
      </c>
      <c r="T60" s="10"/>
      <c r="U60" s="10"/>
      <c r="V60" s="473" t="s">
        <v>375</v>
      </c>
      <c r="W60" s="483" t="e">
        <f ca="1">IF(IF(W58=1,"Complete",_xlfn.MAXIFS(E69:E114,T69:T114,"Yes"))=0,"",IF(W58=1,"Complete",_xlfn.MAXIFS(E69:E114,T69:T114,"Yes")))</f>
        <v>#NAME?</v>
      </c>
      <c r="X60" s="14"/>
    </row>
    <row r="61" spans="1:24" ht="25.5" customHeight="1">
      <c r="A61" s="438" t="s">
        <v>376</v>
      </c>
      <c r="B61" s="14"/>
      <c r="C61" s="444">
        <v>54</v>
      </c>
      <c r="D61" s="162"/>
      <c r="H61" s="13"/>
      <c r="J61" s="14"/>
      <c r="K61" s="14"/>
      <c r="L61" s="14"/>
      <c r="M61" s="10"/>
      <c r="N61" s="10"/>
      <c r="O61" s="10"/>
      <c r="P61" s="10"/>
      <c r="Q61" s="10"/>
      <c r="R61" s="482" t="s">
        <v>377</v>
      </c>
      <c r="S61" s="481">
        <f>P272</f>
        <v>5.3187239545911771</v>
      </c>
      <c r="T61" s="10"/>
      <c r="U61" s="10"/>
      <c r="V61" s="473" t="s">
        <v>378</v>
      </c>
      <c r="W61" s="478" t="s">
        <v>674</v>
      </c>
      <c r="X61" s="14"/>
    </row>
    <row r="62" spans="1:24" ht="25.5" customHeight="1">
      <c r="A62" s="438" t="s">
        <v>379</v>
      </c>
      <c r="B62" s="14"/>
      <c r="C62" s="275">
        <v>607.25199999999995</v>
      </c>
      <c r="H62" s="13"/>
      <c r="J62" s="14"/>
      <c r="K62" s="14"/>
      <c r="L62" s="347"/>
      <c r="M62" s="10"/>
      <c r="N62" s="10"/>
      <c r="O62" s="10"/>
      <c r="P62" s="10"/>
      <c r="Q62" s="10"/>
      <c r="R62" s="482" t="s">
        <v>380</v>
      </c>
      <c r="S62" s="481">
        <f>Q272</f>
        <v>5.3187239545911771</v>
      </c>
      <c r="T62" s="10"/>
      <c r="U62" s="10"/>
      <c r="V62" s="10"/>
      <c r="W62" s="14"/>
      <c r="X62" s="14"/>
    </row>
    <row r="63" spans="1:24" ht="25.5" customHeight="1">
      <c r="A63" s="438" t="s">
        <v>382</v>
      </c>
      <c r="B63" s="14"/>
      <c r="C63" s="275">
        <v>946.923</v>
      </c>
      <c r="H63" s="13"/>
      <c r="J63" s="14"/>
      <c r="K63" s="14"/>
      <c r="L63" s="10"/>
      <c r="M63" s="10"/>
      <c r="N63" s="10"/>
      <c r="O63" s="10"/>
      <c r="P63" s="10"/>
      <c r="Q63" s="10"/>
      <c r="R63" s="476" t="s">
        <v>383</v>
      </c>
      <c r="S63" s="478">
        <f>C115/C62</f>
        <v>0</v>
      </c>
      <c r="T63" s="10"/>
      <c r="U63" s="10"/>
      <c r="V63" s="10"/>
      <c r="W63" s="14"/>
      <c r="X63" s="14"/>
    </row>
    <row r="64" spans="1:24" ht="25.5" customHeight="1">
      <c r="A64" s="446" t="s">
        <v>385</v>
      </c>
      <c r="B64" s="447"/>
      <c r="C64" s="445">
        <v>58.5</v>
      </c>
      <c r="D64" s="495">
        <f>(AJ215-C64)/C64</f>
        <v>0</v>
      </c>
      <c r="H64" s="13"/>
      <c r="J64" s="14"/>
      <c r="K64" s="14"/>
      <c r="L64" s="10"/>
      <c r="M64" s="10"/>
      <c r="N64" s="10"/>
      <c r="O64" s="10"/>
      <c r="P64" s="10"/>
      <c r="Q64" s="10"/>
      <c r="R64" s="476" t="s">
        <v>386</v>
      </c>
      <c r="S64" s="478">
        <f>D115/C63</f>
        <v>0</v>
      </c>
      <c r="T64" s="10"/>
      <c r="U64" s="14"/>
      <c r="V64" s="10"/>
      <c r="W64" s="14"/>
      <c r="X64" s="14"/>
    </row>
    <row r="65" spans="1:24" ht="25.5" customHeight="1">
      <c r="B65" s="487" t="s">
        <v>387</v>
      </c>
      <c r="C65" s="489">
        <f>Z216</f>
        <v>5.3187239545911771</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667</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78"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c r="S69" s="379"/>
      <c r="T69" s="380"/>
      <c r="U69" s="411" t="e">
        <f>IF(-0.75*((C69/(VLOOKUP($A$2,Assumptions!$B$124:$G$147,2,0)))+D69/(VLOOKUP($A$2,Assumptions!$B$124:$G$147,5,0)))=0,"",-0.75*((C69/(VLOOKUP($A$2,Assumptions!$B$124:$G$147,2,0)))+D69/(VLOOKUP($A$2,Assumptions!$B$124:$G$147,5,0))))</f>
        <v>#DIV/0!</v>
      </c>
      <c r="V69" s="412" t="str">
        <f t="shared" ref="V69:V88" si="22">IF(ISERROR(((-1*C69*1000*$D$6)+(-1*D69*$D$8))/F69),"",((-1*C69*1000*$D$6)+(-1*D69*$D$8))/F69)</f>
        <v/>
      </c>
      <c r="W69" s="450"/>
      <c r="X69" s="506"/>
    </row>
    <row r="70" spans="1:24" ht="15">
      <c r="A70" s="373"/>
      <c r="B70" s="374"/>
      <c r="C70" s="381"/>
      <c r="D70" s="381"/>
      <c r="E70" s="377"/>
      <c r="F70" s="378"/>
      <c r="G70" s="403">
        <f t="shared" ref="G70:G84" si="23">IF($E70&lt;G$66,$F70,0)</f>
        <v>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c r="S70" s="379"/>
      <c r="T70" s="382"/>
      <c r="U70" s="413" t="e">
        <f>IF(-0.75*((C70/(VLOOKUP($A$2,Assumptions!$B$124:$G$147,2,0)))+D70/(VLOOKUP($A$2,Assumptions!$B$124:$G$147,5,0)))=0,"",-0.75*((C70/(VLOOKUP($A$2,Assumptions!$B$124:$G$147,2,0)))+D70/(VLOOKUP($A$2,Assumptions!$B$124:$G$147,5,0))))</f>
        <v>#DIV/0!</v>
      </c>
      <c r="V70" s="414" t="str">
        <f t="shared" si="22"/>
        <v/>
      </c>
      <c r="W70" s="451"/>
      <c r="X70" s="506"/>
    </row>
    <row r="71" spans="1:24" ht="15">
      <c r="A71" s="373"/>
      <c r="B71" s="374"/>
      <c r="C71" s="383"/>
      <c r="D71" s="383"/>
      <c r="E71" s="377"/>
      <c r="F71" s="384"/>
      <c r="G71" s="403">
        <f t="shared" si="23"/>
        <v>0</v>
      </c>
      <c r="H71" s="404">
        <f t="shared" si="21"/>
        <v>0</v>
      </c>
      <c r="I71" s="405">
        <f t="shared" si="21"/>
        <v>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c r="S71" s="379"/>
      <c r="T71" s="382"/>
      <c r="U71" s="413" t="e">
        <f>IF(-0.75*((C71/(VLOOKUP($A$2,Assumptions!$B$124:$G$147,2,0)))+D71/(VLOOKUP($A$2,Assumptions!$B$124:$G$147,5,0)))=0,"",-0.75*((C71/(VLOOKUP($A$2,Assumptions!$B$124:$G$147,2,0)))+D71/(VLOOKUP($A$2,Assumptions!$B$124:$G$147,5,0))))</f>
        <v>#DIV/0!</v>
      </c>
      <c r="V71" s="414" t="str">
        <f t="shared" si="22"/>
        <v/>
      </c>
      <c r="W71" s="451"/>
      <c r="X71" s="506"/>
    </row>
    <row r="72" spans="1:24" ht="15">
      <c r="A72" s="373"/>
      <c r="B72" s="374"/>
      <c r="C72" s="375"/>
      <c r="D72" s="375"/>
      <c r="E72" s="377"/>
      <c r="F72" s="378"/>
      <c r="G72" s="403">
        <f t="shared" si="23"/>
        <v>0</v>
      </c>
      <c r="H72" s="404">
        <f t="shared" si="21"/>
        <v>0</v>
      </c>
      <c r="I72" s="405">
        <f t="shared" si="21"/>
        <v>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c r="S72" s="379"/>
      <c r="T72" s="382"/>
      <c r="U72" s="413" t="e">
        <f>IF(-0.75*((C72/(VLOOKUP($A$2,Assumptions!$B$124:$G$147,2,0)))+D72/(VLOOKUP($A$2,Assumptions!$B$124:$G$147,5,0)))=0,"",-0.75*((C72/(VLOOKUP($A$2,Assumptions!$B$124:$G$147,2,0)))+D72/(VLOOKUP($A$2,Assumptions!$B$124:$G$147,5,0))))</f>
        <v>#DIV/0!</v>
      </c>
      <c r="V72" s="414" t="str">
        <f t="shared" si="22"/>
        <v/>
      </c>
      <c r="W72" s="451"/>
      <c r="X72" s="506"/>
    </row>
    <row r="73" spans="1:24" ht="15">
      <c r="A73" s="373"/>
      <c r="B73" s="374"/>
      <c r="C73" s="381"/>
      <c r="D73" s="381"/>
      <c r="E73" s="377"/>
      <c r="F73" s="378"/>
      <c r="G73" s="403">
        <f t="shared" si="23"/>
        <v>0</v>
      </c>
      <c r="H73" s="404">
        <f t="shared" si="21"/>
        <v>0</v>
      </c>
      <c r="I73" s="405">
        <f t="shared" si="21"/>
        <v>0</v>
      </c>
      <c r="J73" s="405">
        <f t="shared" si="21"/>
        <v>0</v>
      </c>
      <c r="K73" s="405">
        <f t="shared" si="21"/>
        <v>0</v>
      </c>
      <c r="L73" s="405">
        <f t="shared" si="21"/>
        <v>0</v>
      </c>
      <c r="M73" s="405">
        <f t="shared" si="21"/>
        <v>0</v>
      </c>
      <c r="N73" s="405">
        <f t="shared" si="21"/>
        <v>0</v>
      </c>
      <c r="O73" s="405">
        <f t="shared" si="21"/>
        <v>0</v>
      </c>
      <c r="P73" s="406">
        <f t="shared" si="21"/>
        <v>0</v>
      </c>
      <c r="Q73" s="448">
        <f t="shared" si="21"/>
        <v>0</v>
      </c>
      <c r="R73" s="379"/>
      <c r="S73" s="379"/>
      <c r="T73" s="382"/>
      <c r="U73" s="413" t="e">
        <f>IF(-0.75*((C73/(VLOOKUP($A$2,Assumptions!$B$124:$G$147,2,0)))+D73/(VLOOKUP($A$2,Assumptions!$B$124:$G$147,5,0)))=0,"",-0.75*((C73/(VLOOKUP($A$2,Assumptions!$B$124:$G$147,2,0)))+D73/(VLOOKUP($A$2,Assumptions!$B$124:$G$147,5,0))))</f>
        <v>#DIV/0!</v>
      </c>
      <c r="V73" s="414" t="str">
        <f t="shared" si="22"/>
        <v/>
      </c>
      <c r="W73" s="451"/>
      <c r="X73" s="506"/>
    </row>
    <row r="74" spans="1:24" ht="15">
      <c r="A74" s="373"/>
      <c r="B74" s="374"/>
      <c r="C74" s="375"/>
      <c r="D74" s="375"/>
      <c r="E74" s="377"/>
      <c r="F74" s="378"/>
      <c r="G74" s="403">
        <f t="shared" si="23"/>
        <v>0</v>
      </c>
      <c r="H74" s="404">
        <f t="shared" si="21"/>
        <v>0</v>
      </c>
      <c r="I74" s="405">
        <f t="shared" si="21"/>
        <v>0</v>
      </c>
      <c r="J74" s="405">
        <f t="shared" si="21"/>
        <v>0</v>
      </c>
      <c r="K74" s="405">
        <f t="shared" si="21"/>
        <v>0</v>
      </c>
      <c r="L74" s="405">
        <f t="shared" si="21"/>
        <v>0</v>
      </c>
      <c r="M74" s="405">
        <f t="shared" si="21"/>
        <v>0</v>
      </c>
      <c r="N74" s="405">
        <f t="shared" si="21"/>
        <v>0</v>
      </c>
      <c r="O74" s="405">
        <f t="shared" si="21"/>
        <v>0</v>
      </c>
      <c r="P74" s="406">
        <f t="shared" si="21"/>
        <v>0</v>
      </c>
      <c r="Q74" s="448">
        <f t="shared" si="21"/>
        <v>0</v>
      </c>
      <c r="R74" s="379"/>
      <c r="S74" s="379"/>
      <c r="T74" s="382"/>
      <c r="U74" s="413" t="e">
        <f>IF(-0.75*((C74/(VLOOKUP($A$2,Assumptions!$B$124:$G$147,2,0)))+D74/(VLOOKUP($A$2,Assumptions!$B$124:$G$147,5,0)))=0,"",-0.75*((C74/(VLOOKUP($A$2,Assumptions!$B$124:$G$147,2,0)))+D74/(VLOOKUP($A$2,Assumptions!$B$124:$G$147,5,0))))</f>
        <v>#DIV/0!</v>
      </c>
      <c r="V74" s="414" t="str">
        <f t="shared" si="22"/>
        <v/>
      </c>
      <c r="W74" s="451"/>
      <c r="X74" s="506"/>
    </row>
    <row r="75" spans="1:24" ht="15">
      <c r="A75" s="373"/>
      <c r="B75" s="374"/>
      <c r="C75" s="375"/>
      <c r="D75" s="375"/>
      <c r="E75" s="377"/>
      <c r="F75" s="378"/>
      <c r="G75" s="403">
        <f t="shared" si="23"/>
        <v>0</v>
      </c>
      <c r="H75" s="404">
        <f t="shared" si="21"/>
        <v>0</v>
      </c>
      <c r="I75" s="405">
        <f t="shared" si="21"/>
        <v>0</v>
      </c>
      <c r="J75" s="405">
        <f t="shared" si="21"/>
        <v>0</v>
      </c>
      <c r="K75" s="405">
        <f t="shared" si="21"/>
        <v>0</v>
      </c>
      <c r="L75" s="405">
        <f t="shared" si="21"/>
        <v>0</v>
      </c>
      <c r="M75" s="405">
        <f t="shared" si="21"/>
        <v>0</v>
      </c>
      <c r="N75" s="405">
        <f t="shared" si="21"/>
        <v>0</v>
      </c>
      <c r="O75" s="405">
        <f t="shared" si="21"/>
        <v>0</v>
      </c>
      <c r="P75" s="406">
        <f t="shared" si="21"/>
        <v>0</v>
      </c>
      <c r="Q75" s="448">
        <f t="shared" si="21"/>
        <v>0</v>
      </c>
      <c r="R75" s="379"/>
      <c r="S75" s="379"/>
      <c r="T75" s="382"/>
      <c r="U75" s="413" t="e">
        <f>IF(-0.75*((C75/(VLOOKUP($A$2,Assumptions!$B$124:$G$147,2,0)))+D75/(VLOOKUP($A$2,Assumptions!$B$124:$G$147,5,0)))=0,"",-0.75*((C75/(VLOOKUP($A$2,Assumptions!$B$124:$G$147,2,0)))+D75/(VLOOKUP($A$2,Assumptions!$B$124:$G$147,5,0))))</f>
        <v>#DIV/0!</v>
      </c>
      <c r="V75" s="414" t="str">
        <f t="shared" si="22"/>
        <v/>
      </c>
      <c r="W75" s="451"/>
      <c r="X75" s="506"/>
    </row>
    <row r="76" spans="1:24" ht="15">
      <c r="A76" s="373"/>
      <c r="B76" s="374"/>
      <c r="C76" s="375"/>
      <c r="D76" s="375"/>
      <c r="E76" s="377"/>
      <c r="F76" s="378"/>
      <c r="G76" s="403">
        <f t="shared" si="23"/>
        <v>0</v>
      </c>
      <c r="H76" s="404">
        <f t="shared" si="21"/>
        <v>0</v>
      </c>
      <c r="I76" s="405">
        <f t="shared" si="21"/>
        <v>0</v>
      </c>
      <c r="J76" s="405">
        <f t="shared" si="21"/>
        <v>0</v>
      </c>
      <c r="K76" s="405">
        <f t="shared" si="21"/>
        <v>0</v>
      </c>
      <c r="L76" s="405">
        <f t="shared" si="21"/>
        <v>0</v>
      </c>
      <c r="M76" s="405">
        <f t="shared" si="21"/>
        <v>0</v>
      </c>
      <c r="N76" s="405">
        <f t="shared" si="21"/>
        <v>0</v>
      </c>
      <c r="O76" s="405">
        <f t="shared" si="21"/>
        <v>0</v>
      </c>
      <c r="P76" s="406">
        <f t="shared" si="21"/>
        <v>0</v>
      </c>
      <c r="Q76" s="448">
        <f t="shared" si="21"/>
        <v>0</v>
      </c>
      <c r="R76" s="379"/>
      <c r="S76" s="379"/>
      <c r="T76" s="382"/>
      <c r="U76" s="413" t="e">
        <f>IF(-0.75*((C76/(VLOOKUP($A$2,Assumptions!$B$124:$G$147,2,0)))+D76/(VLOOKUP($A$2,Assumptions!$B$124:$G$147,5,0)))=0,"",-0.75*((C76/(VLOOKUP($A$2,Assumptions!$B$124:$G$147,2,0)))+D76/(VLOOKUP($A$2,Assumptions!$B$124:$G$147,5,0))))</f>
        <v>#DIV/0!</v>
      </c>
      <c r="V76" s="414" t="str">
        <f t="shared" si="22"/>
        <v/>
      </c>
      <c r="W76" s="451"/>
      <c r="X76" s="506"/>
    </row>
    <row r="77" spans="1:24" ht="15">
      <c r="A77" s="373"/>
      <c r="B77" s="374"/>
      <c r="C77" s="375"/>
      <c r="D77" s="375"/>
      <c r="E77" s="377"/>
      <c r="F77" s="378"/>
      <c r="G77" s="403">
        <f t="shared" si="23"/>
        <v>0</v>
      </c>
      <c r="H77" s="404">
        <f t="shared" si="21"/>
        <v>0</v>
      </c>
      <c r="I77" s="405">
        <f t="shared" si="21"/>
        <v>0</v>
      </c>
      <c r="J77" s="405">
        <f t="shared" si="21"/>
        <v>0</v>
      </c>
      <c r="K77" s="405">
        <f t="shared" si="21"/>
        <v>0</v>
      </c>
      <c r="L77" s="405">
        <f t="shared" si="21"/>
        <v>0</v>
      </c>
      <c r="M77" s="405">
        <f t="shared" si="21"/>
        <v>0</v>
      </c>
      <c r="N77" s="405">
        <f t="shared" si="21"/>
        <v>0</v>
      </c>
      <c r="O77" s="405">
        <f t="shared" si="21"/>
        <v>0</v>
      </c>
      <c r="P77" s="406">
        <f t="shared" si="21"/>
        <v>0</v>
      </c>
      <c r="Q77" s="448">
        <f t="shared" si="21"/>
        <v>0</v>
      </c>
      <c r="R77" s="379"/>
      <c r="S77" s="379"/>
      <c r="T77" s="385"/>
      <c r="U77" s="413" t="e">
        <f>IF(-0.75*((C77/(VLOOKUP($A$2,Assumptions!$B$124:$G$147,2,0)))+D77/(VLOOKUP($A$2,Assumptions!$B$124:$G$147,5,0)))=0,"",-0.75*((C77/(VLOOKUP($A$2,Assumptions!$B$124:$G$147,2,0)))+D77/(VLOOKUP($A$2,Assumptions!$B$124:$G$147,5,0))))</f>
        <v>#DIV/0!</v>
      </c>
      <c r="V77" s="414" t="str">
        <f t="shared" si="22"/>
        <v/>
      </c>
      <c r="W77" s="451"/>
      <c r="X77" s="506"/>
    </row>
    <row r="78" spans="1:24" ht="15">
      <c r="A78" s="373"/>
      <c r="B78" s="374"/>
      <c r="C78" s="375"/>
      <c r="D78" s="375"/>
      <c r="E78" s="377"/>
      <c r="F78" s="378"/>
      <c r="G78" s="403">
        <f t="shared" si="23"/>
        <v>0</v>
      </c>
      <c r="H78" s="404">
        <f t="shared" si="21"/>
        <v>0</v>
      </c>
      <c r="I78" s="405">
        <f t="shared" si="21"/>
        <v>0</v>
      </c>
      <c r="J78" s="405">
        <f t="shared" si="21"/>
        <v>0</v>
      </c>
      <c r="K78" s="405">
        <f t="shared" si="21"/>
        <v>0</v>
      </c>
      <c r="L78" s="405">
        <f t="shared" si="21"/>
        <v>0</v>
      </c>
      <c r="M78" s="405">
        <f t="shared" si="21"/>
        <v>0</v>
      </c>
      <c r="N78" s="405">
        <f t="shared" si="21"/>
        <v>0</v>
      </c>
      <c r="O78" s="405">
        <f t="shared" si="21"/>
        <v>0</v>
      </c>
      <c r="P78" s="406">
        <f t="shared" si="21"/>
        <v>0</v>
      </c>
      <c r="Q78" s="448">
        <f t="shared" si="21"/>
        <v>0</v>
      </c>
      <c r="R78" s="379"/>
      <c r="S78" s="386"/>
      <c r="T78" s="387"/>
      <c r="U78" s="413" t="e">
        <f>IF(-0.75*((C78/(VLOOKUP($A$2,Assumptions!$B$124:$G$147,2,0)))+D78/(VLOOKUP($A$2,Assumptions!$B$124:$G$147,5,0)))=0,"",-0.75*((C78/(VLOOKUP($A$2,Assumptions!$B$124:$G$147,2,0)))+D78/(VLOOKUP($A$2,Assumptions!$B$124:$G$147,5,0))))</f>
        <v>#DIV/0!</v>
      </c>
      <c r="V78" s="414" t="str">
        <f t="shared" si="22"/>
        <v/>
      </c>
      <c r="W78" s="451"/>
      <c r="X78" s="506"/>
    </row>
    <row r="79" spans="1:24" ht="15">
      <c r="A79" s="373"/>
      <c r="B79" s="374"/>
      <c r="C79" s="375"/>
      <c r="D79" s="375"/>
      <c r="E79" s="377"/>
      <c r="F79" s="378"/>
      <c r="G79" s="403">
        <f t="shared" si="23"/>
        <v>0</v>
      </c>
      <c r="H79" s="404">
        <f t="shared" ref="H79:Q84" si="24">IF($E79&gt;H$66,0,IF($E79&gt;H$66-365,$F79,0))</f>
        <v>0</v>
      </c>
      <c r="I79" s="405">
        <f t="shared" si="24"/>
        <v>0</v>
      </c>
      <c r="J79" s="405">
        <f t="shared" si="24"/>
        <v>0</v>
      </c>
      <c r="K79" s="405">
        <f t="shared" si="24"/>
        <v>0</v>
      </c>
      <c r="L79" s="405">
        <f t="shared" si="24"/>
        <v>0</v>
      </c>
      <c r="M79" s="405">
        <f t="shared" si="24"/>
        <v>0</v>
      </c>
      <c r="N79" s="405">
        <f t="shared" si="24"/>
        <v>0</v>
      </c>
      <c r="O79" s="405">
        <f t="shared" si="24"/>
        <v>0</v>
      </c>
      <c r="P79" s="406">
        <f t="shared" si="24"/>
        <v>0</v>
      </c>
      <c r="Q79" s="448">
        <f t="shared" si="24"/>
        <v>0</v>
      </c>
      <c r="R79" s="379"/>
      <c r="S79" s="386"/>
      <c r="T79" s="387"/>
      <c r="U79" s="413" t="e">
        <f>IF(-0.75*((C79/(VLOOKUP($A$2,Assumptions!$B$124:$G$147,2,0)))+D79/(VLOOKUP($A$2,Assumptions!$B$124:$G$147,5,0)))=0,"",-0.75*((C79/(VLOOKUP($A$2,Assumptions!$B$124:$G$147,2,0)))+D79/(VLOOKUP($A$2,Assumptions!$B$124:$G$147,5,0))))</f>
        <v>#DIV/0!</v>
      </c>
      <c r="V79" s="414" t="str">
        <f t="shared" si="22"/>
        <v/>
      </c>
      <c r="W79" s="451"/>
      <c r="X79" s="506"/>
    </row>
    <row r="80" spans="1:24" ht="15">
      <c r="A80" s="373"/>
      <c r="B80" s="374"/>
      <c r="C80" s="375"/>
      <c r="D80" s="375"/>
      <c r="E80" s="377"/>
      <c r="F80" s="378"/>
      <c r="G80" s="403">
        <f t="shared" si="23"/>
        <v>0</v>
      </c>
      <c r="H80" s="404">
        <f t="shared" si="24"/>
        <v>0</v>
      </c>
      <c r="I80" s="405">
        <f t="shared" si="24"/>
        <v>0</v>
      </c>
      <c r="J80" s="405">
        <f t="shared" si="24"/>
        <v>0</v>
      </c>
      <c r="K80" s="405">
        <f t="shared" si="24"/>
        <v>0</v>
      </c>
      <c r="L80" s="405">
        <f t="shared" si="24"/>
        <v>0</v>
      </c>
      <c r="M80" s="405">
        <f t="shared" si="24"/>
        <v>0</v>
      </c>
      <c r="N80" s="405">
        <f t="shared" si="24"/>
        <v>0</v>
      </c>
      <c r="O80" s="405">
        <f t="shared" si="24"/>
        <v>0</v>
      </c>
      <c r="P80" s="406">
        <f t="shared" si="24"/>
        <v>0</v>
      </c>
      <c r="Q80" s="448">
        <f t="shared" si="24"/>
        <v>0</v>
      </c>
      <c r="R80" s="379"/>
      <c r="S80" s="386"/>
      <c r="T80" s="387"/>
      <c r="U80" s="413" t="e">
        <f>IF(-0.75*((C80/(VLOOKUP($A$2,Assumptions!$B$124:$G$147,2,0)))+D80/(VLOOKUP($A$2,Assumptions!$B$124:$G$147,5,0)))=0,"",-0.75*((C80/(VLOOKUP($A$2,Assumptions!$B$124:$G$147,2,0)))+D80/(VLOOKUP($A$2,Assumptions!$B$124:$G$147,5,0))))</f>
        <v>#DIV/0!</v>
      </c>
      <c r="V80" s="414" t="str">
        <f t="shared" si="22"/>
        <v/>
      </c>
      <c r="W80" s="451"/>
      <c r="X80" s="506"/>
    </row>
    <row r="81" spans="1:24" ht="15">
      <c r="A81" s="373"/>
      <c r="B81" s="457"/>
      <c r="C81" s="375"/>
      <c r="D81" s="375"/>
      <c r="E81" s="377"/>
      <c r="F81" s="378"/>
      <c r="G81" s="403">
        <f t="shared" si="23"/>
        <v>0</v>
      </c>
      <c r="H81" s="404">
        <f t="shared" si="24"/>
        <v>0</v>
      </c>
      <c r="I81" s="405">
        <f t="shared" si="24"/>
        <v>0</v>
      </c>
      <c r="J81" s="405">
        <f t="shared" si="24"/>
        <v>0</v>
      </c>
      <c r="K81" s="405">
        <f t="shared" si="24"/>
        <v>0</v>
      </c>
      <c r="L81" s="405">
        <f t="shared" si="24"/>
        <v>0</v>
      </c>
      <c r="M81" s="405">
        <f t="shared" si="24"/>
        <v>0</v>
      </c>
      <c r="N81" s="405">
        <f t="shared" si="24"/>
        <v>0</v>
      </c>
      <c r="O81" s="405">
        <f t="shared" si="24"/>
        <v>0</v>
      </c>
      <c r="P81" s="406">
        <f t="shared" si="24"/>
        <v>0</v>
      </c>
      <c r="Q81" s="448">
        <f t="shared" si="24"/>
        <v>0</v>
      </c>
      <c r="R81" s="379"/>
      <c r="S81" s="386"/>
      <c r="T81" s="387"/>
      <c r="U81" s="413" t="e">
        <f>IF(-0.75*((C81/(VLOOKUP($A$2,Assumptions!$B$124:$G$147,2,0)))+D81/(VLOOKUP($A$2,Assumptions!$B$124:$G$147,5,0)))=0,"",-0.75*((C81/(VLOOKUP($A$2,Assumptions!$B$124:$G$147,2,0)))+D81/(VLOOKUP($A$2,Assumptions!$B$124:$G$147,5,0))))</f>
        <v>#DIV/0!</v>
      </c>
      <c r="V81" s="414" t="str">
        <f t="shared" si="22"/>
        <v/>
      </c>
      <c r="W81" s="451"/>
      <c r="X81" s="506"/>
    </row>
    <row r="82" spans="1:24" ht="15">
      <c r="A82" s="373"/>
      <c r="B82" s="457"/>
      <c r="C82" s="375"/>
      <c r="D82" s="375"/>
      <c r="E82" s="377"/>
      <c r="F82" s="378"/>
      <c r="G82" s="403">
        <f t="shared" si="23"/>
        <v>0</v>
      </c>
      <c r="H82" s="404">
        <f t="shared" si="24"/>
        <v>0</v>
      </c>
      <c r="I82" s="405">
        <f t="shared" si="24"/>
        <v>0</v>
      </c>
      <c r="J82" s="405">
        <f t="shared" si="24"/>
        <v>0</v>
      </c>
      <c r="K82" s="405">
        <f t="shared" si="24"/>
        <v>0</v>
      </c>
      <c r="L82" s="405">
        <f t="shared" si="24"/>
        <v>0</v>
      </c>
      <c r="M82" s="405">
        <f t="shared" si="24"/>
        <v>0</v>
      </c>
      <c r="N82" s="405">
        <f t="shared" si="24"/>
        <v>0</v>
      </c>
      <c r="O82" s="405">
        <f t="shared" si="24"/>
        <v>0</v>
      </c>
      <c r="P82" s="406">
        <f t="shared" si="24"/>
        <v>0</v>
      </c>
      <c r="Q82" s="448">
        <f t="shared" si="24"/>
        <v>0</v>
      </c>
      <c r="R82" s="379"/>
      <c r="S82" s="386"/>
      <c r="T82" s="387"/>
      <c r="U82" s="413" t="e">
        <f>IF(-0.75*((C82/(VLOOKUP($A$2,Assumptions!$B$124:$G$147,2,0)))+D82/(VLOOKUP($A$2,Assumptions!$B$124:$G$147,5,0)))=0,"",-0.75*((C82/(VLOOKUP($A$2,Assumptions!$B$124:$G$147,2,0)))+D82/(VLOOKUP($A$2,Assumptions!$B$124:$G$147,5,0))))</f>
        <v>#DIV/0!</v>
      </c>
      <c r="V82" s="414" t="str">
        <f t="shared" si="22"/>
        <v/>
      </c>
      <c r="W82" s="451"/>
      <c r="X82" s="506"/>
    </row>
    <row r="83" spans="1:24" ht="15">
      <c r="A83" s="373"/>
      <c r="B83" s="457"/>
      <c r="C83" s="375"/>
      <c r="D83" s="375"/>
      <c r="E83" s="377"/>
      <c r="F83" s="378"/>
      <c r="G83" s="403">
        <f t="shared" si="23"/>
        <v>0</v>
      </c>
      <c r="H83" s="404">
        <f t="shared" si="24"/>
        <v>0</v>
      </c>
      <c r="I83" s="405">
        <f t="shared" si="24"/>
        <v>0</v>
      </c>
      <c r="J83" s="405">
        <f t="shared" si="24"/>
        <v>0</v>
      </c>
      <c r="K83" s="405">
        <f t="shared" si="24"/>
        <v>0</v>
      </c>
      <c r="L83" s="405">
        <f t="shared" si="24"/>
        <v>0</v>
      </c>
      <c r="M83" s="405">
        <f t="shared" si="24"/>
        <v>0</v>
      </c>
      <c r="N83" s="405">
        <f t="shared" si="24"/>
        <v>0</v>
      </c>
      <c r="O83" s="405">
        <f t="shared" si="24"/>
        <v>0</v>
      </c>
      <c r="P83" s="406">
        <f t="shared" si="24"/>
        <v>0</v>
      </c>
      <c r="Q83" s="448">
        <f t="shared" si="24"/>
        <v>0</v>
      </c>
      <c r="R83" s="379"/>
      <c r="S83" s="386"/>
      <c r="T83" s="387"/>
      <c r="U83" s="413" t="e">
        <f>IF(-0.75*((C83/(VLOOKUP($A$2,Assumptions!$B$124:$G$147,2,0)))+D83/(VLOOKUP($A$2,Assumptions!$B$124:$G$147,5,0)))=0,"",-0.75*((C83/(VLOOKUP($A$2,Assumptions!$B$124:$G$147,2,0)))+D83/(VLOOKUP($A$2,Assumptions!$B$124:$G$147,5,0))))</f>
        <v>#DIV/0!</v>
      </c>
      <c r="V83" s="414" t="str">
        <f t="shared" si="22"/>
        <v/>
      </c>
      <c r="W83" s="451"/>
      <c r="X83" s="506"/>
    </row>
    <row r="84" spans="1:24" ht="15">
      <c r="A84" s="373"/>
      <c r="B84" s="457"/>
      <c r="C84" s="375"/>
      <c r="D84" s="375"/>
      <c r="E84" s="377"/>
      <c r="F84" s="378"/>
      <c r="G84" s="403">
        <f t="shared" si="23"/>
        <v>0</v>
      </c>
      <c r="H84" s="404">
        <f t="shared" si="24"/>
        <v>0</v>
      </c>
      <c r="I84" s="405">
        <f t="shared" si="24"/>
        <v>0</v>
      </c>
      <c r="J84" s="405">
        <f t="shared" si="24"/>
        <v>0</v>
      </c>
      <c r="K84" s="405">
        <f t="shared" si="24"/>
        <v>0</v>
      </c>
      <c r="L84" s="405">
        <f t="shared" si="24"/>
        <v>0</v>
      </c>
      <c r="M84" s="405">
        <f t="shared" si="24"/>
        <v>0</v>
      </c>
      <c r="N84" s="405">
        <f t="shared" si="24"/>
        <v>0</v>
      </c>
      <c r="O84" s="405">
        <f t="shared" si="24"/>
        <v>0</v>
      </c>
      <c r="P84" s="406">
        <f t="shared" si="24"/>
        <v>0</v>
      </c>
      <c r="Q84" s="448">
        <f t="shared" si="24"/>
        <v>0</v>
      </c>
      <c r="R84" s="379"/>
      <c r="S84" s="386"/>
      <c r="T84" s="387"/>
      <c r="U84" s="413" t="e">
        <f>IF(-0.75*((C84/(VLOOKUP($A$2,Assumptions!$B$124:$G$147,2,0)))+D84/(VLOOKUP($A$2,Assumptions!$B$124:$G$147,5,0)))=0,"",-0.75*((C84/(VLOOKUP($A$2,Assumptions!$B$124:$G$147,2,0)))+D84/(VLOOKUP($A$2,Assumptions!$B$124:$G$147,5,0))))</f>
        <v>#DIV/0!</v>
      </c>
      <c r="V84" s="414" t="str">
        <f t="shared" si="22"/>
        <v/>
      </c>
      <c r="W84" s="451"/>
      <c r="X84" s="506"/>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e">
        <f>IF(-0.75*((C85/(VLOOKUP($A$2,Assumptions!$B$124:$G$147,2,0)))+D85/(VLOOKUP($A$2,Assumptions!$B$124:$G$147,5,0)))=0,"",-0.75*((C85/(VLOOKUP($A$2,Assumptions!$B$124:$G$147,2,0)))+D85/(VLOOKUP($A$2,Assumptions!$B$124:$G$147,5,0))))</f>
        <v>#DIV/0!</v>
      </c>
      <c r="V85" s="414" t="str">
        <f t="shared" si="22"/>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e">
        <f>IF(-0.75*((C86/(VLOOKUP($A$2,Assumptions!$B$124:$G$147,2,0)))+D86/(VLOOKUP($A$2,Assumptions!$B$124:$G$147,5,0)))=0,"",-0.75*((C86/(VLOOKUP($A$2,Assumptions!$B$124:$G$147,2,0)))+D86/(VLOOKUP($A$2,Assumptions!$B$124:$G$147,5,0))))</f>
        <v>#DIV/0!</v>
      </c>
      <c r="V86" s="414" t="str">
        <f t="shared" si="22"/>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e">
        <f>IF(-0.75*((C87/(VLOOKUP($A$2,Assumptions!$B$124:$G$147,2,0)))+D87/(VLOOKUP($A$2,Assumptions!$B$124:$G$147,5,0)))=0,"",-0.75*((C87/(VLOOKUP($A$2,Assumptions!$B$124:$G$147,2,0)))+D87/(VLOOKUP($A$2,Assumptions!$B$124:$G$147,5,0))))</f>
        <v>#DIV/0!</v>
      </c>
      <c r="V87" s="414" t="str">
        <f t="shared" si="22"/>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e">
        <f>IF(-0.75*((C88/(VLOOKUP($A$2,Assumptions!$B$124:$G$147,2,0)))+D88/(VLOOKUP($A$2,Assumptions!$B$124:$G$147,5,0)))=0,"",-0.75*((C88/(VLOOKUP($A$2,Assumptions!$B$124:$G$147,2,0)))+D88/(VLOOKUP($A$2,Assumptions!$B$124:$G$147,5,0))))</f>
        <v>#DIV/0!</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5">IF(ISERROR(((-C89*1000*$W$162)/F89)),"",((-C89*1000*$W$162)/F89))</f>
        <v/>
      </c>
      <c r="W89" s="304" t="str">
        <f t="shared" si="25"/>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31" ht="15">
      <c r="A115" s="13"/>
      <c r="B115" s="353"/>
      <c r="C115" s="354">
        <f>SUM(C69:C88)</f>
        <v>0</v>
      </c>
      <c r="D115" s="354">
        <f>SUM(D69:D88)</f>
        <v>0</v>
      </c>
      <c r="E115" s="355"/>
      <c r="F115" s="333">
        <f>SUM(F69:F114)</f>
        <v>0</v>
      </c>
      <c r="G115" s="388">
        <f>SUM(G69:G114)</f>
        <v>0</v>
      </c>
      <c r="H115" s="388">
        <f t="shared" ref="H115:N115" si="26">SUM(H69:H114)</f>
        <v>0</v>
      </c>
      <c r="I115" s="388">
        <f t="shared" si="26"/>
        <v>0</v>
      </c>
      <c r="J115" s="388">
        <f t="shared" si="26"/>
        <v>0</v>
      </c>
      <c r="K115" s="388">
        <f t="shared" si="26"/>
        <v>0</v>
      </c>
      <c r="L115" s="388">
        <f t="shared" si="26"/>
        <v>0</v>
      </c>
      <c r="M115" s="388">
        <f t="shared" si="26"/>
        <v>0</v>
      </c>
      <c r="N115" s="388">
        <f t="shared" si="26"/>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t="e">
        <f>SUM(U69:U114)</f>
        <v>#DIV/0!</v>
      </c>
      <c r="V115" s="390" t="str">
        <f>IF(ISERROR(((-1*C115*1000*$D$6)+(-1*D115*$D$8))/F115),"",((-1*C115*1000*$D$6)+(-1*D115*$D$8))/F115)</f>
        <v/>
      </c>
      <c r="W115" s="391">
        <f>SUMIFS(F69:F114,W69:W114,"Yes")</f>
        <v>0</v>
      </c>
      <c r="X115" s="516">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5.361709067188519</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5.3187239545911771</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5.3187239545911771</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5.3187239545911771</v>
      </c>
      <c r="AA126" s="22">
        <f t="shared" ref="AA126:AC126" si="27">AK216</f>
        <v>5.3187239545911771</v>
      </c>
      <c r="AB126" s="22">
        <f t="shared" si="27"/>
        <v>0</v>
      </c>
      <c r="AC126" s="22">
        <f t="shared" si="27"/>
        <v>0</v>
      </c>
      <c r="AD126" s="22">
        <f t="shared" ref="AD126:AE126" si="28">AI217</f>
        <v>0</v>
      </c>
      <c r="AE126" s="22">
        <f t="shared" si="28"/>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5.3187239545911771</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5.3187239545911771</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5.3187239545911771</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5.3187239545911771</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5.3187239545911771</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5.3187239545911771</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5.3187239545911771</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Y154" si="30">AV156*0.5</f>
        <v>69.5</v>
      </c>
      <c r="AW154" s="339">
        <f t="shared" si="30"/>
        <v>59.814999999999998</v>
      </c>
      <c r="AX154" s="339">
        <f t="shared" si="30"/>
        <v>33.69</v>
      </c>
      <c r="AY154" s="339">
        <f t="shared" si="30"/>
        <v>44.87</v>
      </c>
      <c r="AZ154" s="8"/>
      <c r="BA154" s="25">
        <v>6</v>
      </c>
      <c r="BB154" s="24">
        <f t="shared" ref="BB154:BB155" si="31">IF($C$58="Base",BF154,BG154)</f>
        <v>34.795000000000002</v>
      </c>
      <c r="BC154" s="24" t="s">
        <v>436</v>
      </c>
      <c r="BD154" s="8"/>
      <c r="BE154" s="8"/>
      <c r="BF154" s="24">
        <f t="shared" ref="BF154:BF155" si="32">IF($C$59&gt;7000,"error",IF($C$59&gt;5999,AR154,IF($C$59&gt;4999,AQ154,IF($C$59&gt;3999,AP154,IF($C$59&gt;2999,AO154,IF($C$59&gt;1999,AN154,"Error"))))))</f>
        <v>34.795000000000002</v>
      </c>
      <c r="BG154" s="24">
        <f t="shared" ref="BG154:BG164" si="33">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4">AQ156*0.75</f>
        <v>31.372499999999999</v>
      </c>
      <c r="AR155" s="338">
        <f t="shared" si="34"/>
        <v>40.47</v>
      </c>
      <c r="AS155" s="24"/>
      <c r="AT155" s="25">
        <v>5.5</v>
      </c>
      <c r="AU155" s="339">
        <f>AU156*0.75</f>
        <v>97.140000000000015</v>
      </c>
      <c r="AV155" s="339">
        <f t="shared" ref="AV155:AY155" si="35">AV156*0.75</f>
        <v>104.25</v>
      </c>
      <c r="AW155" s="339">
        <f t="shared" si="35"/>
        <v>89.722499999999997</v>
      </c>
      <c r="AX155" s="339">
        <f t="shared" si="35"/>
        <v>50.534999999999997</v>
      </c>
      <c r="AY155" s="339">
        <f t="shared" si="35"/>
        <v>67.304999999999993</v>
      </c>
      <c r="AZ155" s="24"/>
      <c r="BA155" s="25">
        <v>5.5</v>
      </c>
      <c r="BB155" s="24">
        <f t="shared" si="31"/>
        <v>52.192500000000003</v>
      </c>
      <c r="BC155" s="24" t="s">
        <v>436</v>
      </c>
      <c r="BE155" s="24"/>
      <c r="BF155" s="24">
        <f t="shared" si="32"/>
        <v>52.192500000000003</v>
      </c>
      <c r="BG155" s="24">
        <f t="shared" si="33"/>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3"/>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9319</v>
      </c>
      <c r="BW156" s="14" t="s">
        <v>445</v>
      </c>
      <c r="BX156" s="14" t="s">
        <v>13</v>
      </c>
      <c r="BY156" s="14">
        <f>BY157/BV156</f>
        <v>57.997604634617446</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6">IF($C$58="Base",BF157,BG157)</f>
        <v>84.92</v>
      </c>
      <c r="BC157" s="24" t="s">
        <v>436</v>
      </c>
      <c r="BD157" s="24">
        <f>BB157-BB156</f>
        <v>15.329999999999998</v>
      </c>
      <c r="BE157" s="24"/>
      <c r="BF157" s="24">
        <f t="shared" ref="BF157:BF164" si="37">IF($C$59&gt;7000,"error",IF($C$59&gt;5999,AR157,IF($C$59&gt;4999,AQ157,IF($C$59&gt;3999,AP157,IF($C$59&gt;2999,AO157,IF($C$59&gt;1999,AN157,"Error"))))))</f>
        <v>84.92</v>
      </c>
      <c r="BG157" s="24">
        <f t="shared" si="33"/>
        <v>158.69</v>
      </c>
      <c r="BH157" s="24"/>
      <c r="BI157" s="29" t="s">
        <v>118</v>
      </c>
      <c r="BJ157" s="29">
        <v>810</v>
      </c>
      <c r="BK157" s="29">
        <v>51.33</v>
      </c>
      <c r="BL157" s="24">
        <v>2000</v>
      </c>
      <c r="BM157" s="25"/>
      <c r="BN157" s="24">
        <f>BV161/BV158</f>
        <v>11.406134379867046</v>
      </c>
      <c r="BO157" s="32" t="s">
        <v>447</v>
      </c>
      <c r="BP157" s="179">
        <f>$BY$158/SUM($BY$158:$BY$159)*C64</f>
        <v>53.23907116786733</v>
      </c>
      <c r="BQ157" s="29" t="s">
        <v>448</v>
      </c>
      <c r="BR157" s="29" t="s">
        <v>449</v>
      </c>
      <c r="BS157" s="29" t="s">
        <v>450</v>
      </c>
      <c r="BT157" s="14"/>
      <c r="BU157" s="30" t="s">
        <v>451</v>
      </c>
      <c r="BV157" s="33">
        <f xml:space="preserve"> 5 - 0.5*(BV158-BB156)/BH166</f>
        <v>5.5332983963513591</v>
      </c>
      <c r="BW157" s="14" t="s">
        <v>452</v>
      </c>
      <c r="BX157" s="14" t="s">
        <v>453</v>
      </c>
      <c r="BY157" s="14">
        <f>SUM(BY158:BY159)</f>
        <v>540479.67758999998</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6"/>
        <v>100.25</v>
      </c>
      <c r="BC158" s="24" t="s">
        <v>436</v>
      </c>
      <c r="BD158" s="24">
        <f t="shared" ref="BD158:BD164" si="38">BB158-BB157</f>
        <v>15.329999999999998</v>
      </c>
      <c r="BE158" s="24"/>
      <c r="BF158" s="24">
        <f t="shared" si="37"/>
        <v>100.25</v>
      </c>
      <c r="BG158" s="24">
        <f t="shared" si="33"/>
        <v>187.86</v>
      </c>
      <c r="BH158" s="24"/>
      <c r="BI158" s="29" t="s">
        <v>150</v>
      </c>
      <c r="BJ158" s="29">
        <v>810</v>
      </c>
      <c r="BK158" s="29">
        <v>51.33</v>
      </c>
      <c r="BL158" s="24">
        <v>3000</v>
      </c>
      <c r="BM158" s="25"/>
      <c r="BN158" s="24">
        <f>BV162/BV163</f>
        <v>179.9916003836413</v>
      </c>
      <c r="BO158" s="24" t="s">
        <v>454</v>
      </c>
      <c r="BP158" s="179">
        <f>$BY$159/SUM($BY$158:$BY$159)*C64</f>
        <v>5.2609288321326684</v>
      </c>
      <c r="BQ158" s="29" t="s">
        <v>455</v>
      </c>
      <c r="BR158" s="29" t="s">
        <v>456</v>
      </c>
      <c r="BS158" s="29" t="s">
        <v>457</v>
      </c>
      <c r="BT158" s="14"/>
      <c r="BU158" s="30" t="s">
        <v>458</v>
      </c>
      <c r="BV158" s="31">
        <f>BP157</f>
        <v>53.23907116786733</v>
      </c>
      <c r="BW158" s="14" t="s">
        <v>436</v>
      </c>
      <c r="BX158" s="14" t="s">
        <v>459</v>
      </c>
      <c r="BY158" s="24">
        <f>INDEX($BJ$156:$BJ$161,MATCH($C$57,$BI$156:$BI$161,0))*$C$62</f>
        <v>491874.11999999994</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6"/>
        <v>115.57</v>
      </c>
      <c r="BC159" s="24" t="s">
        <v>436</v>
      </c>
      <c r="BD159" s="24">
        <f t="shared" si="38"/>
        <v>15.319999999999993</v>
      </c>
      <c r="BE159" s="24"/>
      <c r="BF159" s="24">
        <f t="shared" si="37"/>
        <v>115.57</v>
      </c>
      <c r="BG159" s="24">
        <f t="shared" si="33"/>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179">
        <f>INDEX($BK$156:$BK$161,MATCH($C$57,$BI$156:$BI$161,0))*$C$63</f>
        <v>48605.557589999997</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6"/>
        <v>130.9</v>
      </c>
      <c r="BC160" s="24" t="s">
        <v>436</v>
      </c>
      <c r="BD160" s="24">
        <f t="shared" si="38"/>
        <v>15.330000000000013</v>
      </c>
      <c r="BE160" s="24"/>
      <c r="BF160" s="24">
        <f t="shared" si="37"/>
        <v>130.9</v>
      </c>
      <c r="BG160" s="24">
        <f t="shared" si="33"/>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24">
        <f>((BY158+BY159)/$C$60)*(50/$C$61)</f>
        <v>53.70148577279393</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6"/>
        <v>146.22999999999999</v>
      </c>
      <c r="BC161" s="24" t="s">
        <v>436</v>
      </c>
      <c r="BD161" s="24">
        <f t="shared" si="38"/>
        <v>15.329999999999984</v>
      </c>
      <c r="BE161" s="24"/>
      <c r="BF161" s="24">
        <f t="shared" si="37"/>
        <v>146.22999999999999</v>
      </c>
      <c r="BG161" s="24">
        <f t="shared" si="33"/>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607.25199999999995</v>
      </c>
      <c r="BW161" s="14" t="s">
        <v>311</v>
      </c>
      <c r="BX161" s="14"/>
      <c r="BY161" s="14"/>
      <c r="BZ161" s="38">
        <f>5-(0.5*(C64-CE177)/(CE176-CE177))</f>
        <v>5.361709067188519</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6"/>
        <v>161.56</v>
      </c>
      <c r="BC162" s="24" t="s">
        <v>436</v>
      </c>
      <c r="BD162" s="24">
        <f t="shared" si="38"/>
        <v>15.330000000000013</v>
      </c>
      <c r="BE162" s="24"/>
      <c r="BF162" s="24">
        <f t="shared" si="37"/>
        <v>161.56</v>
      </c>
      <c r="BG162" s="24">
        <f t="shared" si="33"/>
        <v>304.55</v>
      </c>
      <c r="BH162" s="24"/>
      <c r="BI162" s="24"/>
      <c r="BJ162" s="24"/>
      <c r="BK162" s="24"/>
      <c r="BL162" s="24"/>
      <c r="BM162" s="37"/>
      <c r="BN162" s="37"/>
      <c r="BO162" s="37"/>
      <c r="BP162" s="37"/>
      <c r="BQ162" s="29" t="s">
        <v>473</v>
      </c>
      <c r="BR162" s="24"/>
      <c r="BS162" s="24"/>
      <c r="BT162" s="14"/>
      <c r="BU162" s="14" t="s">
        <v>474</v>
      </c>
      <c r="BV162" s="31">
        <f>C63</f>
        <v>946.923</v>
      </c>
      <c r="BW162" s="14" t="s">
        <v>314</v>
      </c>
      <c r="BX162" s="14"/>
      <c r="BY162" s="14">
        <f>C63*BK156</f>
        <v>48605.557589999997</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6"/>
        <v>176.89</v>
      </c>
      <c r="BC163" s="24" t="s">
        <v>436</v>
      </c>
      <c r="BD163" s="24">
        <f t="shared" si="38"/>
        <v>15.329999999999984</v>
      </c>
      <c r="BE163" s="24"/>
      <c r="BF163" s="24">
        <f t="shared" si="37"/>
        <v>176.89</v>
      </c>
      <c r="BG163" s="24">
        <f t="shared" si="33"/>
        <v>333.72</v>
      </c>
      <c r="BH163" s="24"/>
      <c r="BI163" s="24"/>
      <c r="BJ163" s="24"/>
      <c r="BK163" s="24"/>
      <c r="BL163" s="24"/>
      <c r="BM163" s="37"/>
      <c r="BN163" s="37"/>
      <c r="BO163" s="37"/>
      <c r="BP163" s="37"/>
      <c r="BQ163" s="29" t="s">
        <v>475</v>
      </c>
      <c r="BR163" s="24"/>
      <c r="BS163" s="24"/>
      <c r="BT163" s="14"/>
      <c r="BU163" s="14" t="s">
        <v>476</v>
      </c>
      <c r="BV163" s="38">
        <f>BP158</f>
        <v>5.2609288321326684</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6"/>
        <v>192.21</v>
      </c>
      <c r="BC164" s="24" t="s">
        <v>436</v>
      </c>
      <c r="BD164" s="24">
        <f t="shared" si="38"/>
        <v>15.320000000000022</v>
      </c>
      <c r="BE164" s="24"/>
      <c r="BF164" s="24">
        <f t="shared" si="37"/>
        <v>192.21</v>
      </c>
      <c r="BG164" s="24">
        <f t="shared" si="33"/>
        <v>362.89</v>
      </c>
      <c r="BH164" s="24"/>
      <c r="BI164" s="24"/>
      <c r="BJ164" s="24"/>
      <c r="BK164" s="24"/>
      <c r="BL164" s="24"/>
      <c r="BM164" s="37"/>
      <c r="BN164" s="37"/>
      <c r="BO164" s="37"/>
      <c r="BP164" s="37"/>
      <c r="BQ164" s="29" t="s">
        <v>478</v>
      </c>
      <c r="BR164" s="24"/>
      <c r="BS164" s="24"/>
      <c r="BT164" s="14"/>
      <c r="BU164" s="14"/>
      <c r="BV164" s="14">
        <f>BV163+BV158</f>
        <v>58.5</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9">H66</f>
        <v>45838</v>
      </c>
      <c r="I166" s="177">
        <f t="shared" si="39"/>
        <v>46203</v>
      </c>
      <c r="J166" s="177">
        <f t="shared" si="39"/>
        <v>46568</v>
      </c>
      <c r="K166" s="177">
        <f t="shared" si="39"/>
        <v>46934</v>
      </c>
      <c r="L166" s="177">
        <f t="shared" si="39"/>
        <v>47299</v>
      </c>
      <c r="M166" s="177">
        <f t="shared" si="39"/>
        <v>47664</v>
      </c>
      <c r="N166" s="177">
        <f t="shared" si="39"/>
        <v>48029</v>
      </c>
      <c r="O166" s="177">
        <f t="shared" si="39"/>
        <v>48395</v>
      </c>
      <c r="P166" s="177">
        <f t="shared" si="39"/>
        <v>48760</v>
      </c>
      <c r="Q166" s="177">
        <f t="shared" si="39"/>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0">DATE(YEAR(AB166)+1,MONTH(AB166),DAY(AB166))</f>
        <v>46112</v>
      </c>
      <c r="AD166" s="46">
        <f t="shared" si="40"/>
        <v>46477</v>
      </c>
      <c r="AE166" s="46">
        <f t="shared" si="40"/>
        <v>46843</v>
      </c>
      <c r="AF166" s="46">
        <f t="shared" si="40"/>
        <v>47208</v>
      </c>
      <c r="AG166" s="46">
        <f t="shared" si="40"/>
        <v>47573</v>
      </c>
      <c r="AH166" s="46">
        <f t="shared" si="40"/>
        <v>47938</v>
      </c>
      <c r="AI166" s="46">
        <f t="shared" si="40"/>
        <v>48304</v>
      </c>
      <c r="AJ166" s="46">
        <f t="shared" si="40"/>
        <v>48669</v>
      </c>
      <c r="AK166" s="46">
        <f t="shared" si="40"/>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1">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2">IF($E69&lt;G$66,$C69,0)</f>
        <v>0</v>
      </c>
      <c r="H167" s="12">
        <f t="shared" ref="H167:J186" si="43">IF($E69&gt;H$66,0,IF($E69&lt;H$66-365,$C69,0))</f>
        <v>0</v>
      </c>
      <c r="I167" s="12">
        <f t="shared" si="43"/>
        <v>0</v>
      </c>
      <c r="J167" s="12">
        <f t="shared" si="43"/>
        <v>0</v>
      </c>
      <c r="K167" s="12">
        <f t="shared" ref="K167:K209" si="44">IF($E69&lt;K$66,$C69,0)</f>
        <v>0</v>
      </c>
      <c r="L167" s="12">
        <f t="shared" ref="L167:N186" si="45">IF($E69&gt;L$66,0,IF($E69&lt;L$66-365,$C69,0))</f>
        <v>0</v>
      </c>
      <c r="M167" s="12">
        <f t="shared" si="45"/>
        <v>0</v>
      </c>
      <c r="N167" s="12">
        <f t="shared" si="45"/>
        <v>0</v>
      </c>
      <c r="O167" s="12">
        <f t="shared" ref="O167:O209" si="46">IF($E69&lt;O$66,$C69,0)</f>
        <v>0</v>
      </c>
      <c r="P167" s="12">
        <f t="shared" ref="P167:Q186" si="47">IF($E69&gt;P$66,0,IF($E69&lt;P$66-365,$C69,0))</f>
        <v>0</v>
      </c>
      <c r="Q167" s="12">
        <f t="shared" si="47"/>
        <v>0</v>
      </c>
      <c r="T167" s="14"/>
      <c r="U167" s="14"/>
      <c r="V167" s="14"/>
      <c r="W167" s="53">
        <f t="shared" ref="W167:W211" si="48">C68*$BN$160*1000</f>
        <v>0</v>
      </c>
      <c r="X167" s="54" t="e">
        <f t="shared" ref="X167:X211" si="49">-1*F68/W167</f>
        <v>#DIV/0!</v>
      </c>
      <c r="Y167" s="25">
        <f>Z167/$BH$166</f>
        <v>0</v>
      </c>
      <c r="Z167" s="54">
        <f>C68/$BN$157</f>
        <v>0</v>
      </c>
      <c r="AA167" s="54">
        <f t="shared" ref="AA167:AJ182" si="50">IF($E68+365&lt;$C$56,0,IF($E68&lt;$C$56,(($E68+365-$C$56)/365)*(($C68/$BN$157)+($D68/$BN$158)),IF($E68&gt;AA$166,0,IF($E68+365&lt;AA$166,($C68/$BN$157)+($D68/$BN$158),((AA$166-$E68)/365)*(($C68/$BN$157)+($D68/$BN$158))))))</f>
        <v>0</v>
      </c>
      <c r="AB167" s="54">
        <f t="shared" si="50"/>
        <v>0</v>
      </c>
      <c r="AC167" s="54">
        <f>IF($E68+365&lt;$C$56,0,IF($E68&lt;$C$56,(($E68+365-$C$56)/365)*(($C68/$BN$157)+($D68/$BN$158)),IF($E68&gt;AC$166,0,IF($E68+365&lt;AC$166,($C68/$BN$157)+($D68/$BN$158),((AC$166-$E68)/365)*(($C68/$BN$157)+($D68/$BN$158))))))</f>
        <v>0</v>
      </c>
      <c r="AD167" s="54">
        <f t="shared" si="50"/>
        <v>0</v>
      </c>
      <c r="AE167" s="54">
        <f t="shared" si="50"/>
        <v>0</v>
      </c>
      <c r="AF167" s="54">
        <f>IF($E68+365&lt;$C$56,0,IF($E68&lt;$C$56,(($E68+365-$C$56)/365)*(($C68/$BN$157)+($D68/$BN$158)),IF($E68&gt;AF$166,0,IF($E68+365&lt;AF$166,($C68/$BN$157)+($D68/$BN$158),((AF$166-$E68)/365)*(($C68/$BN$157)+($D68/$BN$158))))))</f>
        <v>0</v>
      </c>
      <c r="AG167" s="54">
        <f t="shared" si="50"/>
        <v>0</v>
      </c>
      <c r="AH167" s="54">
        <f t="shared" si="50"/>
        <v>0</v>
      </c>
      <c r="AI167" s="54">
        <f t="shared" si="50"/>
        <v>0</v>
      </c>
      <c r="AJ167" s="54">
        <f t="shared" si="50"/>
        <v>0</v>
      </c>
      <c r="AK167" s="54">
        <f t="shared" ref="AK167" si="51">IF($E68+365&lt;$C$56,0,IF($E68&lt;$C$56,(($E68+365-$C$56)/365)*(($C68/$BN$157)+($D68/$BN$158)),IF($E68&gt;AK$166,0,IF($E68+365&lt;AK$166,($C68/$BN$157)+($D68/$BN$158),((AK$166-$E68)/365)*(($C68/$BN$157)+($D68/$BN$158))))))</f>
        <v>0</v>
      </c>
      <c r="AL167" s="24">
        <f t="shared" ref="AL167:AL213" si="52">IF(G68&lt;&gt;"",C68,0)</f>
        <v>0</v>
      </c>
      <c r="AM167" s="24">
        <f t="shared" ref="AM167:AM213" si="53">IF(G68&lt;&gt;"",D68,0)</f>
        <v>0</v>
      </c>
      <c r="AN167" s="55">
        <f t="shared" ref="AN167:AN213" si="54">IF(W68="Yes",0,F68)</f>
        <v>0</v>
      </c>
      <c r="AO167" s="55">
        <f t="shared" ref="AO167:AO213" si="55">IF(W68="Yes",F68,0)</f>
        <v>0</v>
      </c>
      <c r="AP167" s="24"/>
      <c r="AQ167" s="24"/>
      <c r="AR167" s="24"/>
      <c r="AS167" s="24"/>
      <c r="AT167" s="24"/>
      <c r="AU167" s="24"/>
      <c r="AV167" s="24"/>
      <c r="AW167" s="24"/>
      <c r="AX167" s="24"/>
      <c r="AY167" s="24"/>
      <c r="AZ167" s="24"/>
      <c r="BA167" s="24"/>
      <c r="BB167" s="25"/>
      <c r="BC167" s="24"/>
      <c r="BD167" s="24"/>
      <c r="BE167" s="24">
        <f t="shared" si="41"/>
        <v>84.92</v>
      </c>
      <c r="BF167" s="24" t="s">
        <v>486</v>
      </c>
      <c r="BG167" s="56">
        <f>BV158+($C$64-$BV$158)</f>
        <v>58.5</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2"/>
        <v>0</v>
      </c>
      <c r="H168" s="12">
        <f t="shared" si="43"/>
        <v>0</v>
      </c>
      <c r="I168" s="12">
        <f t="shared" si="43"/>
        <v>0</v>
      </c>
      <c r="J168" s="12">
        <f t="shared" si="43"/>
        <v>0</v>
      </c>
      <c r="K168" s="12">
        <f t="shared" si="44"/>
        <v>0</v>
      </c>
      <c r="L168" s="12">
        <f t="shared" si="45"/>
        <v>0</v>
      </c>
      <c r="M168" s="12">
        <f t="shared" si="45"/>
        <v>0</v>
      </c>
      <c r="N168" s="12">
        <f t="shared" si="45"/>
        <v>0</v>
      </c>
      <c r="O168" s="12">
        <f t="shared" si="46"/>
        <v>0</v>
      </c>
      <c r="P168" s="12">
        <f t="shared" si="47"/>
        <v>0</v>
      </c>
      <c r="Q168" s="12">
        <f t="shared" si="47"/>
        <v>0</v>
      </c>
      <c r="T168" s="57"/>
      <c r="U168" s="57"/>
      <c r="V168" s="57"/>
      <c r="W168" s="53">
        <f t="shared" si="48"/>
        <v>0</v>
      </c>
      <c r="X168" s="54" t="e">
        <f t="shared" si="49"/>
        <v>#DIV/0!</v>
      </c>
      <c r="Y168" s="54">
        <f t="shared" ref="Y168:Y213" si="56">Z168/$BH$166</f>
        <v>0</v>
      </c>
      <c r="Z168" s="54">
        <f>($C69/$BN$157)+($D69/$BN$158)</f>
        <v>0</v>
      </c>
      <c r="AA168" s="54">
        <f t="shared" si="50"/>
        <v>0</v>
      </c>
      <c r="AB168" s="54">
        <f t="shared" si="50"/>
        <v>0</v>
      </c>
      <c r="AC168" s="54">
        <f t="shared" si="50"/>
        <v>0</v>
      </c>
      <c r="AD168" s="54">
        <f>IF($E69+365&lt;$C$56,0,IF($E69&lt;$C$56,(($E69+365-$C$56)/365)*(($C69/$BN$157)+($D69/$BN$158)),IF($E69&gt;AD$166,0,IF($E69+365&lt;AD$166,($C69/$BN$157)+($D69/$BN$158),((AD$166-$E69)/365)*(($C69/$BN$157)+($D69/$BN$158))))))</f>
        <v>0</v>
      </c>
      <c r="AE168" s="54">
        <f t="shared" si="50"/>
        <v>0</v>
      </c>
      <c r="AF168" s="54">
        <f t="shared" si="50"/>
        <v>0</v>
      </c>
      <c r="AG168" s="54">
        <f t="shared" si="50"/>
        <v>0</v>
      </c>
      <c r="AH168" s="54">
        <f t="shared" si="50"/>
        <v>0</v>
      </c>
      <c r="AI168" s="54">
        <f t="shared" si="50"/>
        <v>0</v>
      </c>
      <c r="AJ168" s="54">
        <f t="shared" si="50"/>
        <v>0</v>
      </c>
      <c r="AK168" s="54">
        <f t="shared" ref="AK168" si="57">IF($E69+365&lt;$C$56,0,IF($E69&lt;$C$56,(($E69+365-$C$56)/365)*(($C69/$BN$157)+($D69/$BN$158)),IF($E69&gt;AK$166,0,IF($E69+365&lt;AK$166,($C69/$BN$157)+($D69/$BN$158),((AK$166-$E69)/365)*(($C69/$BN$157)+($D69/$BN$158))))))</f>
        <v>0</v>
      </c>
      <c r="AL168" s="24">
        <f t="shared" si="52"/>
        <v>0</v>
      </c>
      <c r="AM168" s="24">
        <f t="shared" si="53"/>
        <v>0</v>
      </c>
      <c r="AN168" s="55">
        <f t="shared" si="54"/>
        <v>0</v>
      </c>
      <c r="AO168" s="55">
        <f t="shared" si="55"/>
        <v>0</v>
      </c>
      <c r="AP168" s="24"/>
      <c r="AQ168" s="24"/>
      <c r="AR168" s="24"/>
      <c r="AS168" s="24"/>
      <c r="AT168" s="24"/>
      <c r="AU168" s="24"/>
      <c r="AV168" s="24"/>
      <c r="AW168" s="24"/>
      <c r="AX168" s="24"/>
      <c r="AY168" s="24"/>
      <c r="AZ168" s="24"/>
      <c r="BA168" s="24"/>
      <c r="BB168" s="24"/>
      <c r="BC168" s="24"/>
      <c r="BD168" s="24"/>
      <c r="BE168" s="24">
        <f t="shared" si="41"/>
        <v>84.92</v>
      </c>
      <c r="BF168" s="59">
        <f>AB166</f>
        <v>45747</v>
      </c>
      <c r="BG168" s="36">
        <f>(BV158+AB214)+($C$64-$BV$158)</f>
        <v>58.5</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2"/>
        <v>0</v>
      </c>
      <c r="H169" s="12">
        <f t="shared" si="43"/>
        <v>0</v>
      </c>
      <c r="I169" s="12">
        <f t="shared" si="43"/>
        <v>0</v>
      </c>
      <c r="J169" s="12">
        <f t="shared" si="43"/>
        <v>0</v>
      </c>
      <c r="K169" s="12">
        <f t="shared" si="44"/>
        <v>0</v>
      </c>
      <c r="L169" s="12">
        <f t="shared" si="45"/>
        <v>0</v>
      </c>
      <c r="M169" s="12">
        <f t="shared" si="45"/>
        <v>0</v>
      </c>
      <c r="N169" s="12">
        <f t="shared" si="45"/>
        <v>0</v>
      </c>
      <c r="O169" s="12">
        <f t="shared" si="46"/>
        <v>0</v>
      </c>
      <c r="P169" s="12">
        <f t="shared" si="47"/>
        <v>0</v>
      </c>
      <c r="Q169" s="12">
        <f t="shared" si="47"/>
        <v>0</v>
      </c>
      <c r="T169" s="61"/>
      <c r="U169" s="61"/>
      <c r="V169" s="61"/>
      <c r="W169" s="53">
        <f t="shared" si="48"/>
        <v>0</v>
      </c>
      <c r="X169" s="54" t="e">
        <f t="shared" si="49"/>
        <v>#DIV/0!</v>
      </c>
      <c r="Y169" s="343">
        <f>Z169/$BH$166</f>
        <v>0</v>
      </c>
      <c r="Z169" s="54">
        <f>($C70/$BN$157)+($D70/$BN$158)</f>
        <v>0</v>
      </c>
      <c r="AA169" s="54">
        <f t="shared" si="50"/>
        <v>0</v>
      </c>
      <c r="AB169" s="54">
        <f t="shared" si="50"/>
        <v>0</v>
      </c>
      <c r="AC169" s="54">
        <f t="shared" si="50"/>
        <v>0</v>
      </c>
      <c r="AD169" s="54">
        <f>IF($E70+365&lt;$C$56,0,IF($E70&lt;$C$56,(($E70+365-$C$56)/365)*(($C70/$BN$157)+($D70/$BN$158)),IF($E70&gt;AD$166,0,IF($E70+365&lt;AD$166,($C70/$BN$157)+($D70/$BN$158),((AD$166-$E70)/365)*(($C70/$BN$157)+($D70/$BN$158))))))</f>
        <v>0</v>
      </c>
      <c r="AE169" s="54">
        <f t="shared" si="50"/>
        <v>0</v>
      </c>
      <c r="AF169" s="54">
        <f t="shared" si="50"/>
        <v>0</v>
      </c>
      <c r="AG169" s="54">
        <f t="shared" si="50"/>
        <v>0</v>
      </c>
      <c r="AH169" s="54">
        <f t="shared" si="50"/>
        <v>0</v>
      </c>
      <c r="AI169" s="54">
        <f t="shared" si="50"/>
        <v>0</v>
      </c>
      <c r="AJ169" s="54">
        <f t="shared" si="50"/>
        <v>0</v>
      </c>
      <c r="AK169" s="54">
        <f t="shared" ref="AK169" si="58">IF($E70+365&lt;$C$56,0,IF($E70&lt;$C$56,(($E70+365-$C$56)/365)*(($C70/$BN$157)+($D70/$BN$158)),IF($E70&gt;AK$166,0,IF($E70+365&lt;AK$166,($C70/$BN$157)+($D70/$BN$158),((AK$166-$E70)/365)*(($C70/$BN$157)+($D70/$BN$158))))))</f>
        <v>0</v>
      </c>
      <c r="AL169" s="24">
        <f t="shared" si="52"/>
        <v>0</v>
      </c>
      <c r="AM169" s="24">
        <f t="shared" si="53"/>
        <v>0</v>
      </c>
      <c r="AN169" s="55">
        <f t="shared" si="54"/>
        <v>0</v>
      </c>
      <c r="AO169" s="55">
        <f t="shared" si="55"/>
        <v>0</v>
      </c>
      <c r="AP169" s="24"/>
      <c r="AQ169" s="24"/>
      <c r="AR169" s="24"/>
      <c r="AS169" s="24"/>
      <c r="AT169" s="24"/>
      <c r="AU169" s="24"/>
      <c r="AV169" s="24"/>
      <c r="AW169" s="24"/>
      <c r="AX169" s="24"/>
      <c r="AY169" s="24"/>
      <c r="AZ169" s="24"/>
      <c r="BA169" s="24"/>
      <c r="BB169" s="24"/>
      <c r="BC169" s="24"/>
      <c r="BD169" s="24"/>
      <c r="BE169" s="24">
        <f t="shared" si="41"/>
        <v>84.92</v>
      </c>
      <c r="BF169" s="59">
        <f>BF168+365</f>
        <v>46112</v>
      </c>
      <c r="BG169" s="36">
        <f>BV158+AC214+($C$64-$BV$158)</f>
        <v>58.5</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9">INDEX(AN156:AR156,MATCH($CE$168,$AN$165:$AR$165,0))</f>
        <v>69.59</v>
      </c>
      <c r="CJ169" s="14">
        <f t="shared" ref="CJ169:CJ177" si="60">INDEX(AU156:AY156,MATCH($CE$168,$AN$165:$AR$165,0))</f>
        <v>129.52000000000001</v>
      </c>
    </row>
    <row r="170" spans="7:88">
      <c r="G170" s="12">
        <f t="shared" si="42"/>
        <v>0</v>
      </c>
      <c r="H170" s="12">
        <f t="shared" si="43"/>
        <v>0</v>
      </c>
      <c r="I170" s="12">
        <f t="shared" si="43"/>
        <v>0</v>
      </c>
      <c r="J170" s="12">
        <f t="shared" si="43"/>
        <v>0</v>
      </c>
      <c r="K170" s="12">
        <f t="shared" si="44"/>
        <v>0</v>
      </c>
      <c r="L170" s="12">
        <f t="shared" si="45"/>
        <v>0</v>
      </c>
      <c r="M170" s="12">
        <f t="shared" si="45"/>
        <v>0</v>
      </c>
      <c r="N170" s="12">
        <f t="shared" si="45"/>
        <v>0</v>
      </c>
      <c r="O170" s="12">
        <f t="shared" si="46"/>
        <v>0</v>
      </c>
      <c r="P170" s="12">
        <f t="shared" si="47"/>
        <v>0</v>
      </c>
      <c r="Q170" s="12">
        <f t="shared" si="47"/>
        <v>0</v>
      </c>
      <c r="T170" s="61"/>
      <c r="U170" s="61"/>
      <c r="V170" s="61"/>
      <c r="W170" s="53">
        <f t="shared" si="48"/>
        <v>0</v>
      </c>
      <c r="X170" s="54" t="e">
        <f t="shared" si="49"/>
        <v>#DIV/0!</v>
      </c>
      <c r="Y170" s="25">
        <f t="shared" si="56"/>
        <v>0</v>
      </c>
      <c r="Z170" s="54">
        <f t="shared" ref="Z170:Z213" si="61">($C71/$BN$157)+($D71/$BN$158)</f>
        <v>0</v>
      </c>
      <c r="AA170" s="54">
        <f t="shared" si="50"/>
        <v>0</v>
      </c>
      <c r="AB170" s="54">
        <f t="shared" si="50"/>
        <v>0</v>
      </c>
      <c r="AC170" s="54">
        <f t="shared" si="50"/>
        <v>0</v>
      </c>
      <c r="AD170" s="54">
        <f t="shared" si="50"/>
        <v>0</v>
      </c>
      <c r="AE170" s="54">
        <f t="shared" si="50"/>
        <v>0</v>
      </c>
      <c r="AF170" s="54">
        <f t="shared" si="50"/>
        <v>0</v>
      </c>
      <c r="AG170" s="54">
        <f t="shared" si="50"/>
        <v>0</v>
      </c>
      <c r="AH170" s="54">
        <f t="shared" si="50"/>
        <v>0</v>
      </c>
      <c r="AI170" s="54">
        <f t="shared" si="50"/>
        <v>0</v>
      </c>
      <c r="AJ170" s="54">
        <f t="shared" si="50"/>
        <v>0</v>
      </c>
      <c r="AK170" s="54">
        <f t="shared" ref="AK170" si="62">IF($E71+365&lt;$C$56,0,IF($E71&lt;$C$56,(($E71+365-$C$56)/365)*(($C71/$BN$157)+($D71/$BN$158)),IF($E71&gt;AK$166,0,IF($E71+365&lt;AK$166,($C71/$BN$157)+($D71/$BN$158),((AK$166-$E71)/365)*(($C71/$BN$157)+($D71/$BN$158))))))</f>
        <v>0</v>
      </c>
      <c r="AL170" s="24">
        <f t="shared" si="52"/>
        <v>0</v>
      </c>
      <c r="AM170" s="24">
        <f t="shared" si="53"/>
        <v>0</v>
      </c>
      <c r="AN170" s="55">
        <f t="shared" si="54"/>
        <v>0</v>
      </c>
      <c r="AO170" s="55">
        <f t="shared" si="55"/>
        <v>0</v>
      </c>
      <c r="AP170" s="24"/>
      <c r="AQ170" s="24"/>
      <c r="AR170" s="24"/>
      <c r="AS170" s="24"/>
      <c r="AT170" s="24"/>
      <c r="AU170" s="24"/>
      <c r="AV170" s="24"/>
      <c r="AW170" s="24"/>
      <c r="AX170" s="24"/>
      <c r="AY170" s="24"/>
      <c r="AZ170" s="24"/>
      <c r="BA170" s="24"/>
      <c r="BB170" s="24"/>
      <c r="BC170" s="24"/>
      <c r="BD170" s="24"/>
      <c r="BE170" s="24">
        <f t="shared" si="41"/>
        <v>84.92</v>
      </c>
      <c r="BF170" s="59">
        <f>BF169+365</f>
        <v>46477</v>
      </c>
      <c r="BG170" s="36">
        <f>$BV$158+AD214+($C$64-$BV$158)</f>
        <v>58.5</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9"/>
        <v>84.92</v>
      </c>
      <c r="CJ170" s="14">
        <f t="shared" si="60"/>
        <v>158.69</v>
      </c>
    </row>
    <row r="171" spans="7:88">
      <c r="G171" s="12">
        <f t="shared" si="42"/>
        <v>0</v>
      </c>
      <c r="H171" s="12">
        <f t="shared" si="43"/>
        <v>0</v>
      </c>
      <c r="I171" s="12">
        <f t="shared" si="43"/>
        <v>0</v>
      </c>
      <c r="J171" s="12">
        <f t="shared" si="43"/>
        <v>0</v>
      </c>
      <c r="K171" s="12">
        <f t="shared" si="44"/>
        <v>0</v>
      </c>
      <c r="L171" s="12">
        <f t="shared" si="45"/>
        <v>0</v>
      </c>
      <c r="M171" s="12">
        <f t="shared" si="45"/>
        <v>0</v>
      </c>
      <c r="N171" s="12">
        <f t="shared" si="45"/>
        <v>0</v>
      </c>
      <c r="O171" s="12">
        <f t="shared" si="46"/>
        <v>0</v>
      </c>
      <c r="P171" s="12">
        <f t="shared" si="47"/>
        <v>0</v>
      </c>
      <c r="Q171" s="12">
        <f t="shared" si="47"/>
        <v>0</v>
      </c>
      <c r="T171" s="61"/>
      <c r="U171" s="61"/>
      <c r="V171" s="61"/>
      <c r="W171" s="53">
        <f t="shared" si="48"/>
        <v>0</v>
      </c>
      <c r="X171" s="54" t="e">
        <f t="shared" si="49"/>
        <v>#DIV/0!</v>
      </c>
      <c r="Y171" s="54">
        <f t="shared" si="56"/>
        <v>0</v>
      </c>
      <c r="Z171" s="54">
        <f>($C72/$BN$157)+($D72/$BN$158)</f>
        <v>0</v>
      </c>
      <c r="AA171" s="54">
        <f t="shared" si="50"/>
        <v>0</v>
      </c>
      <c r="AB171" s="54">
        <f t="shared" si="50"/>
        <v>0</v>
      </c>
      <c r="AC171" s="54">
        <f t="shared" si="50"/>
        <v>0</v>
      </c>
      <c r="AD171" s="54">
        <f t="shared" si="50"/>
        <v>0</v>
      </c>
      <c r="AE171" s="54">
        <f t="shared" si="50"/>
        <v>0</v>
      </c>
      <c r="AF171" s="54">
        <f>IF($E72+365&lt;$C$56,0,IF($E72&lt;$C$56,(($E72+365-$C$56)/365)*(($C72/$BN$157)+($D72/$BN$158)),IF($E72&gt;AF$166,0,IF($E72+365&lt;AF$166,($C72/$BN$157)+($D72/$BN$158),((AF$166-$E72)/365)*(($C72/$BN$157)+($D72/$BN$158))))))</f>
        <v>0</v>
      </c>
      <c r="AG171" s="54">
        <f t="shared" si="50"/>
        <v>0</v>
      </c>
      <c r="AH171" s="54">
        <f t="shared" si="50"/>
        <v>0</v>
      </c>
      <c r="AI171" s="54">
        <f t="shared" si="50"/>
        <v>0</v>
      </c>
      <c r="AJ171" s="54">
        <f t="shared" si="50"/>
        <v>0</v>
      </c>
      <c r="AK171" s="54">
        <f t="shared" ref="AK171" si="63">IF($E72+365&lt;$C$56,0,IF($E72&lt;$C$56,(($E72+365-$C$56)/365)*(($C72/$BN$157)+($D72/$BN$158)),IF($E72&gt;AK$166,0,IF($E72+365&lt;AK$166,($C72/$BN$157)+($D72/$BN$158),((AK$166-$E72)/365)*(($C72/$BN$157)+($D72/$BN$158))))))</f>
        <v>0</v>
      </c>
      <c r="AL171" s="24">
        <f t="shared" si="52"/>
        <v>0</v>
      </c>
      <c r="AM171" s="24">
        <f t="shared" si="53"/>
        <v>0</v>
      </c>
      <c r="AN171" s="55">
        <f t="shared" si="54"/>
        <v>0</v>
      </c>
      <c r="AO171" s="55">
        <f t="shared" si="55"/>
        <v>0</v>
      </c>
      <c r="AP171" s="24"/>
      <c r="AQ171" s="24"/>
      <c r="AR171" s="24"/>
      <c r="AS171" s="24"/>
      <c r="AT171" s="24"/>
      <c r="AU171" s="24"/>
      <c r="AV171" s="24"/>
      <c r="AW171" s="24"/>
      <c r="AX171" s="24"/>
      <c r="AY171" s="24"/>
      <c r="AZ171" s="24"/>
      <c r="BA171" s="24"/>
      <c r="BB171" s="24"/>
      <c r="BC171" s="24"/>
      <c r="BD171" s="24"/>
      <c r="BE171" s="24">
        <f t="shared" si="41"/>
        <v>84.92</v>
      </c>
      <c r="BF171" s="59">
        <f t="shared" ref="BF171:BF176" si="64">BF170+365</f>
        <v>46842</v>
      </c>
      <c r="BG171" s="36">
        <f>$BV$158+AE214+($C$64-$BV$158)</f>
        <v>58.5</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9"/>
        <v>100.25</v>
      </c>
      <c r="CJ171" s="14">
        <f t="shared" si="60"/>
        <v>187.86</v>
      </c>
    </row>
    <row r="172" spans="7:88">
      <c r="G172" s="12">
        <f t="shared" si="42"/>
        <v>0</v>
      </c>
      <c r="H172" s="12">
        <f t="shared" si="43"/>
        <v>0</v>
      </c>
      <c r="I172" s="12">
        <f t="shared" si="43"/>
        <v>0</v>
      </c>
      <c r="J172" s="12">
        <f t="shared" si="43"/>
        <v>0</v>
      </c>
      <c r="K172" s="12">
        <f t="shared" si="44"/>
        <v>0</v>
      </c>
      <c r="L172" s="12">
        <f t="shared" si="45"/>
        <v>0</v>
      </c>
      <c r="M172" s="12">
        <f t="shared" si="45"/>
        <v>0</v>
      </c>
      <c r="N172" s="12">
        <f t="shared" si="45"/>
        <v>0</v>
      </c>
      <c r="O172" s="12">
        <f t="shared" si="46"/>
        <v>0</v>
      </c>
      <c r="P172" s="12">
        <f t="shared" si="47"/>
        <v>0</v>
      </c>
      <c r="Q172" s="12">
        <f t="shared" si="47"/>
        <v>0</v>
      </c>
      <c r="T172" s="61"/>
      <c r="U172" s="61"/>
      <c r="V172" s="61"/>
      <c r="W172" s="53">
        <f t="shared" si="48"/>
        <v>0</v>
      </c>
      <c r="X172" s="54" t="e">
        <f t="shared" si="49"/>
        <v>#DIV/0!</v>
      </c>
      <c r="Y172" s="25">
        <f>Z172/$BH$166</f>
        <v>0</v>
      </c>
      <c r="Z172" s="54">
        <f t="shared" si="61"/>
        <v>0</v>
      </c>
      <c r="AA172" s="54">
        <f t="shared" si="50"/>
        <v>0</v>
      </c>
      <c r="AB172" s="54">
        <f t="shared" si="50"/>
        <v>0</v>
      </c>
      <c r="AC172" s="54">
        <f t="shared" si="50"/>
        <v>0</v>
      </c>
      <c r="AD172" s="54">
        <f t="shared" si="50"/>
        <v>0</v>
      </c>
      <c r="AE172" s="54">
        <f t="shared" si="50"/>
        <v>0</v>
      </c>
      <c r="AF172" s="54">
        <f t="shared" si="50"/>
        <v>0</v>
      </c>
      <c r="AG172" s="54">
        <f t="shared" si="50"/>
        <v>0</v>
      </c>
      <c r="AH172" s="54">
        <f t="shared" si="50"/>
        <v>0</v>
      </c>
      <c r="AI172" s="54">
        <f t="shared" si="50"/>
        <v>0</v>
      </c>
      <c r="AJ172" s="54">
        <f t="shared" si="50"/>
        <v>0</v>
      </c>
      <c r="AK172" s="54">
        <f t="shared" ref="AK172" si="65">IF($E73+365&lt;$C$56,0,IF($E73&lt;$C$56,(($E73+365-$C$56)/365)*(($C73/$BN$157)+($D73/$BN$158)),IF($E73&gt;AK$166,0,IF($E73+365&lt;AK$166,($C73/$BN$157)+($D73/$BN$158),((AK$166-$E73)/365)*(($C73/$BN$157)+($D73/$BN$158))))))</f>
        <v>0</v>
      </c>
      <c r="AL172" s="24">
        <f t="shared" si="52"/>
        <v>0</v>
      </c>
      <c r="AM172" s="24">
        <f t="shared" si="53"/>
        <v>0</v>
      </c>
      <c r="AN172" s="55">
        <f t="shared" si="54"/>
        <v>0</v>
      </c>
      <c r="AO172" s="55">
        <f t="shared" si="55"/>
        <v>0</v>
      </c>
      <c r="AP172" s="24"/>
      <c r="AQ172" s="24"/>
      <c r="AR172" s="24"/>
      <c r="AS172" s="24"/>
      <c r="AT172" s="24"/>
      <c r="AU172" s="24"/>
      <c r="AV172" s="24"/>
      <c r="AW172" s="24"/>
      <c r="AX172" s="24"/>
      <c r="AY172" s="24"/>
      <c r="AZ172" s="24"/>
      <c r="BA172" s="24"/>
      <c r="BB172" s="24"/>
      <c r="BC172" s="24"/>
      <c r="BD172" s="24"/>
      <c r="BE172" s="24">
        <f t="shared" si="41"/>
        <v>84.92</v>
      </c>
      <c r="BF172" s="59">
        <f t="shared" si="64"/>
        <v>47207</v>
      </c>
      <c r="BG172" s="36">
        <f>$BV$158+AF214+($C$64-$BV$158)</f>
        <v>58.5</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9"/>
        <v>115.57</v>
      </c>
      <c r="CJ172" s="14">
        <f t="shared" si="60"/>
        <v>217.04</v>
      </c>
    </row>
    <row r="173" spans="7:88">
      <c r="G173" s="12">
        <f t="shared" si="42"/>
        <v>0</v>
      </c>
      <c r="H173" s="12">
        <f t="shared" si="43"/>
        <v>0</v>
      </c>
      <c r="I173" s="12">
        <f t="shared" si="43"/>
        <v>0</v>
      </c>
      <c r="J173" s="12">
        <f t="shared" si="43"/>
        <v>0</v>
      </c>
      <c r="K173" s="12">
        <f t="shared" si="44"/>
        <v>0</v>
      </c>
      <c r="L173" s="12">
        <f t="shared" si="45"/>
        <v>0</v>
      </c>
      <c r="M173" s="12">
        <f t="shared" si="45"/>
        <v>0</v>
      </c>
      <c r="N173" s="12">
        <f t="shared" si="45"/>
        <v>0</v>
      </c>
      <c r="O173" s="12">
        <f t="shared" si="46"/>
        <v>0</v>
      </c>
      <c r="P173" s="12">
        <f t="shared" si="47"/>
        <v>0</v>
      </c>
      <c r="Q173" s="12">
        <f t="shared" si="47"/>
        <v>0</v>
      </c>
      <c r="T173" s="61"/>
      <c r="U173" s="61"/>
      <c r="V173" s="61"/>
      <c r="W173" s="53">
        <f t="shared" si="48"/>
        <v>0</v>
      </c>
      <c r="X173" s="54" t="e">
        <f t="shared" si="49"/>
        <v>#DIV/0!</v>
      </c>
      <c r="Y173" s="25">
        <f t="shared" si="56"/>
        <v>0</v>
      </c>
      <c r="Z173" s="54">
        <f t="shared" si="61"/>
        <v>0</v>
      </c>
      <c r="AA173" s="54">
        <f t="shared" si="50"/>
        <v>0</v>
      </c>
      <c r="AB173" s="54">
        <f t="shared" si="50"/>
        <v>0</v>
      </c>
      <c r="AC173" s="54">
        <f t="shared" si="50"/>
        <v>0</v>
      </c>
      <c r="AD173" s="54">
        <f t="shared" si="50"/>
        <v>0</v>
      </c>
      <c r="AE173" s="54">
        <f t="shared" si="50"/>
        <v>0</v>
      </c>
      <c r="AF173" s="54">
        <f t="shared" si="50"/>
        <v>0</v>
      </c>
      <c r="AG173" s="54">
        <f t="shared" si="50"/>
        <v>0</v>
      </c>
      <c r="AH173" s="54">
        <f t="shared" si="50"/>
        <v>0</v>
      </c>
      <c r="AI173" s="54">
        <f t="shared" si="50"/>
        <v>0</v>
      </c>
      <c r="AJ173" s="54">
        <f t="shared" si="50"/>
        <v>0</v>
      </c>
      <c r="AK173" s="54">
        <f t="shared" ref="AK173" si="66">IF($E74+365&lt;$C$56,0,IF($E74&lt;$C$56,(($E74+365-$C$56)/365)*(($C74/$BN$157)+($D74/$BN$158)),IF($E74&gt;AK$166,0,IF($E74+365&lt;AK$166,($C74/$BN$157)+($D74/$BN$158),((AK$166-$E74)/365)*(($C74/$BN$157)+($D74/$BN$158))))))</f>
        <v>0</v>
      </c>
      <c r="AL173" s="24">
        <f t="shared" si="52"/>
        <v>0</v>
      </c>
      <c r="AM173" s="24">
        <f t="shared" si="53"/>
        <v>0</v>
      </c>
      <c r="AN173" s="55">
        <f t="shared" si="54"/>
        <v>0</v>
      </c>
      <c r="AO173" s="55">
        <f t="shared" si="55"/>
        <v>0</v>
      </c>
      <c r="AP173" s="24"/>
      <c r="AQ173" s="24"/>
      <c r="AR173" s="24"/>
      <c r="AS173" s="24"/>
      <c r="AT173" s="24"/>
      <c r="AU173" s="24"/>
      <c r="AV173" s="24"/>
      <c r="AW173" s="24"/>
      <c r="AX173" s="24"/>
      <c r="AY173" s="24"/>
      <c r="AZ173" s="24"/>
      <c r="BA173" s="24"/>
      <c r="BB173" s="24"/>
      <c r="BC173" s="24"/>
      <c r="BD173" s="24"/>
      <c r="BE173" s="24">
        <f t="shared" si="41"/>
        <v>84.92</v>
      </c>
      <c r="BF173" s="59">
        <f t="shared" si="64"/>
        <v>47572</v>
      </c>
      <c r="BG173" s="36">
        <f>$BV$158+AG214+($C$64-$BV$158)</f>
        <v>58.5</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9"/>
        <v>130.9</v>
      </c>
      <c r="CJ173" s="14">
        <f t="shared" si="60"/>
        <v>246.21</v>
      </c>
    </row>
    <row r="174" spans="7:88">
      <c r="G174" s="12">
        <f t="shared" si="42"/>
        <v>0</v>
      </c>
      <c r="H174" s="12">
        <f t="shared" si="43"/>
        <v>0</v>
      </c>
      <c r="I174" s="12">
        <f t="shared" si="43"/>
        <v>0</v>
      </c>
      <c r="J174" s="12">
        <f t="shared" si="43"/>
        <v>0</v>
      </c>
      <c r="K174" s="12">
        <f t="shared" si="44"/>
        <v>0</v>
      </c>
      <c r="L174" s="12">
        <f t="shared" si="45"/>
        <v>0</v>
      </c>
      <c r="M174" s="12">
        <f t="shared" si="45"/>
        <v>0</v>
      </c>
      <c r="N174" s="12">
        <f t="shared" si="45"/>
        <v>0</v>
      </c>
      <c r="O174" s="12">
        <f t="shared" si="46"/>
        <v>0</v>
      </c>
      <c r="P174" s="12">
        <f t="shared" si="47"/>
        <v>0</v>
      </c>
      <c r="Q174" s="12">
        <f t="shared" si="47"/>
        <v>0</v>
      </c>
      <c r="T174" s="61"/>
      <c r="U174" s="61"/>
      <c r="V174" s="61"/>
      <c r="W174" s="53">
        <f t="shared" si="48"/>
        <v>0</v>
      </c>
      <c r="X174" s="54" t="e">
        <f t="shared" si="49"/>
        <v>#DIV/0!</v>
      </c>
      <c r="Y174" s="25">
        <f t="shared" si="56"/>
        <v>0</v>
      </c>
      <c r="Z174" s="54">
        <f t="shared" si="61"/>
        <v>0</v>
      </c>
      <c r="AA174" s="54">
        <f t="shared" si="50"/>
        <v>0</v>
      </c>
      <c r="AB174" s="54">
        <f t="shared" si="50"/>
        <v>0</v>
      </c>
      <c r="AC174" s="54">
        <f t="shared" si="50"/>
        <v>0</v>
      </c>
      <c r="AD174" s="54">
        <f t="shared" si="50"/>
        <v>0</v>
      </c>
      <c r="AE174" s="54">
        <f t="shared" si="50"/>
        <v>0</v>
      </c>
      <c r="AF174" s="54">
        <f t="shared" si="50"/>
        <v>0</v>
      </c>
      <c r="AG174" s="54">
        <f t="shared" si="50"/>
        <v>0</v>
      </c>
      <c r="AH174" s="54">
        <f t="shared" si="50"/>
        <v>0</v>
      </c>
      <c r="AI174" s="54">
        <f t="shared" si="50"/>
        <v>0</v>
      </c>
      <c r="AJ174" s="54">
        <f t="shared" si="50"/>
        <v>0</v>
      </c>
      <c r="AK174" s="54">
        <f t="shared" ref="AK174" si="67">IF($E75+365&lt;$C$56,0,IF($E75&lt;$C$56,(($E75+365-$C$56)/365)*(($C75/$BN$157)+($D75/$BN$158)),IF($E75&gt;AK$166,0,IF($E75+365&lt;AK$166,($C75/$BN$157)+($D75/$BN$158),((AK$166-$E75)/365)*(($C75/$BN$157)+($D75/$BN$158))))))</f>
        <v>0</v>
      </c>
      <c r="AL174" s="24">
        <f t="shared" si="52"/>
        <v>0</v>
      </c>
      <c r="AM174" s="24">
        <f t="shared" si="53"/>
        <v>0</v>
      </c>
      <c r="AN174" s="55">
        <f t="shared" si="54"/>
        <v>0</v>
      </c>
      <c r="AO174" s="55">
        <f t="shared" si="55"/>
        <v>0</v>
      </c>
      <c r="AP174" s="24"/>
      <c r="AQ174" s="24"/>
      <c r="AR174" s="24"/>
      <c r="AS174" s="24"/>
      <c r="AT174" s="24"/>
      <c r="AU174" s="24"/>
      <c r="AV174" s="24"/>
      <c r="AW174" s="24"/>
      <c r="AX174" s="24"/>
      <c r="AY174" s="24"/>
      <c r="AZ174" s="24"/>
      <c r="BA174" s="24"/>
      <c r="BB174" s="24"/>
      <c r="BC174" s="24"/>
      <c r="BD174" s="24"/>
      <c r="BE174" s="24">
        <f t="shared" si="41"/>
        <v>84.92</v>
      </c>
      <c r="BF174" s="59">
        <f t="shared" si="64"/>
        <v>47937</v>
      </c>
      <c r="BG174" s="36">
        <f>$BV$158+AH214+($C$64-$BV$158)</f>
        <v>58.5</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9"/>
        <v>146.22999999999999</v>
      </c>
      <c r="CJ174" s="14">
        <f t="shared" si="60"/>
        <v>275.38</v>
      </c>
    </row>
    <row r="175" spans="7:88">
      <c r="G175" s="12">
        <f t="shared" si="42"/>
        <v>0</v>
      </c>
      <c r="H175" s="12">
        <f t="shared" si="43"/>
        <v>0</v>
      </c>
      <c r="I175" s="12">
        <f t="shared" si="43"/>
        <v>0</v>
      </c>
      <c r="J175" s="12">
        <f t="shared" si="43"/>
        <v>0</v>
      </c>
      <c r="K175" s="12">
        <f t="shared" si="44"/>
        <v>0</v>
      </c>
      <c r="L175" s="12">
        <f t="shared" si="45"/>
        <v>0</v>
      </c>
      <c r="M175" s="12">
        <f t="shared" si="45"/>
        <v>0</v>
      </c>
      <c r="N175" s="12">
        <f t="shared" si="45"/>
        <v>0</v>
      </c>
      <c r="O175" s="12">
        <f t="shared" si="46"/>
        <v>0</v>
      </c>
      <c r="P175" s="12">
        <f t="shared" si="47"/>
        <v>0</v>
      </c>
      <c r="Q175" s="12">
        <f t="shared" si="47"/>
        <v>0</v>
      </c>
      <c r="T175" s="61"/>
      <c r="U175" s="61"/>
      <c r="V175" s="61"/>
      <c r="W175" s="53">
        <f t="shared" si="48"/>
        <v>0</v>
      </c>
      <c r="X175" s="54" t="e">
        <f t="shared" si="49"/>
        <v>#DIV/0!</v>
      </c>
      <c r="Y175" s="25">
        <f t="shared" si="56"/>
        <v>0</v>
      </c>
      <c r="Z175" s="54">
        <f t="shared" si="61"/>
        <v>0</v>
      </c>
      <c r="AA175" s="54">
        <f t="shared" si="50"/>
        <v>0</v>
      </c>
      <c r="AB175" s="54">
        <f t="shared" si="50"/>
        <v>0</v>
      </c>
      <c r="AC175" s="54">
        <f t="shared" si="50"/>
        <v>0</v>
      </c>
      <c r="AD175" s="54">
        <f t="shared" si="50"/>
        <v>0</v>
      </c>
      <c r="AE175" s="54">
        <f t="shared" si="50"/>
        <v>0</v>
      </c>
      <c r="AF175" s="54">
        <f t="shared" si="50"/>
        <v>0</v>
      </c>
      <c r="AG175" s="54">
        <f t="shared" si="50"/>
        <v>0</v>
      </c>
      <c r="AH175" s="54">
        <f t="shared" si="50"/>
        <v>0</v>
      </c>
      <c r="AI175" s="54">
        <f t="shared" si="50"/>
        <v>0</v>
      </c>
      <c r="AJ175" s="54">
        <f t="shared" si="50"/>
        <v>0</v>
      </c>
      <c r="AK175" s="54">
        <f t="shared" ref="AK175" si="68">IF($E76+365&lt;$C$56,0,IF($E76&lt;$C$56,(($E76+365-$C$56)/365)*(($C76/$BN$157)+($D76/$BN$158)),IF($E76&gt;AK$166,0,IF($E76+365&lt;AK$166,($C76/$BN$157)+($D76/$BN$158),((AK$166-$E76)/365)*(($C76/$BN$157)+($D76/$BN$158))))))</f>
        <v>0</v>
      </c>
      <c r="AL175" s="24">
        <f t="shared" si="52"/>
        <v>0</v>
      </c>
      <c r="AM175" s="24">
        <f t="shared" si="53"/>
        <v>0</v>
      </c>
      <c r="AN175" s="55">
        <f t="shared" si="54"/>
        <v>0</v>
      </c>
      <c r="AO175" s="55">
        <f t="shared" si="55"/>
        <v>0</v>
      </c>
      <c r="AP175" s="24"/>
      <c r="AQ175" s="24"/>
      <c r="AR175" s="24"/>
      <c r="AS175" s="24"/>
      <c r="AT175" s="24"/>
      <c r="AU175" s="24"/>
      <c r="AV175" s="24"/>
      <c r="AW175" s="24"/>
      <c r="AX175" s="24"/>
      <c r="AY175" s="24"/>
      <c r="AZ175" s="24"/>
      <c r="BA175" s="24"/>
      <c r="BB175" s="24"/>
      <c r="BC175" s="24"/>
      <c r="BD175" s="24"/>
      <c r="BE175" s="24">
        <f t="shared" si="41"/>
        <v>84.92</v>
      </c>
      <c r="BF175" s="59">
        <f t="shared" si="64"/>
        <v>48302</v>
      </c>
      <c r="BG175" s="36">
        <f>$BV$158+AI214+($C$64-$BV$158)</f>
        <v>58.5</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9"/>
        <v>161.56</v>
      </c>
      <c r="CJ175" s="14">
        <f t="shared" si="60"/>
        <v>304.55</v>
      </c>
    </row>
    <row r="176" spans="7:88">
      <c r="G176" s="12">
        <f t="shared" si="42"/>
        <v>0</v>
      </c>
      <c r="H176" s="12">
        <f t="shared" si="43"/>
        <v>0</v>
      </c>
      <c r="I176" s="12">
        <f t="shared" si="43"/>
        <v>0</v>
      </c>
      <c r="J176" s="12">
        <f t="shared" si="43"/>
        <v>0</v>
      </c>
      <c r="K176" s="12">
        <f t="shared" si="44"/>
        <v>0</v>
      </c>
      <c r="L176" s="12">
        <f t="shared" si="45"/>
        <v>0</v>
      </c>
      <c r="M176" s="12">
        <f t="shared" si="45"/>
        <v>0</v>
      </c>
      <c r="N176" s="12">
        <f t="shared" si="45"/>
        <v>0</v>
      </c>
      <c r="O176" s="12">
        <f t="shared" si="46"/>
        <v>0</v>
      </c>
      <c r="P176" s="12">
        <f t="shared" si="47"/>
        <v>0</v>
      </c>
      <c r="Q176" s="12">
        <f t="shared" si="47"/>
        <v>0</v>
      </c>
      <c r="T176" s="61"/>
      <c r="U176" s="61"/>
      <c r="V176" s="61"/>
      <c r="W176" s="53">
        <f t="shared" si="48"/>
        <v>0</v>
      </c>
      <c r="X176" s="54" t="e">
        <f t="shared" si="49"/>
        <v>#DIV/0!</v>
      </c>
      <c r="Y176" s="25">
        <f t="shared" si="56"/>
        <v>0</v>
      </c>
      <c r="Z176" s="54">
        <f t="shared" si="61"/>
        <v>0</v>
      </c>
      <c r="AA176" s="54">
        <f t="shared" si="50"/>
        <v>0</v>
      </c>
      <c r="AB176" s="54">
        <f t="shared" si="50"/>
        <v>0</v>
      </c>
      <c r="AC176" s="54">
        <f t="shared" si="50"/>
        <v>0</v>
      </c>
      <c r="AD176" s="54">
        <f t="shared" si="50"/>
        <v>0</v>
      </c>
      <c r="AE176" s="54">
        <f t="shared" si="50"/>
        <v>0</v>
      </c>
      <c r="AF176" s="54">
        <f t="shared" si="50"/>
        <v>0</v>
      </c>
      <c r="AG176" s="54">
        <f t="shared" si="50"/>
        <v>0</v>
      </c>
      <c r="AH176" s="54">
        <f t="shared" si="50"/>
        <v>0</v>
      </c>
      <c r="AI176" s="54">
        <f t="shared" si="50"/>
        <v>0</v>
      </c>
      <c r="AJ176" s="54">
        <f t="shared" si="50"/>
        <v>0</v>
      </c>
      <c r="AK176" s="54">
        <f t="shared" ref="AK176" si="69">IF($E77+365&lt;$C$56,0,IF($E77&lt;$C$56,(($E77+365-$C$56)/365)*(($C77/$BN$157)+($D77/$BN$158)),IF($E77&gt;AK$166,0,IF($E77+365&lt;AK$166,($C77/$BN$157)+($D77/$BN$158),((AK$166-$E77)/365)*(($C77/$BN$157)+($D77/$BN$158))))))</f>
        <v>0</v>
      </c>
      <c r="AL176" s="24">
        <f t="shared" si="52"/>
        <v>0</v>
      </c>
      <c r="AM176" s="24">
        <f t="shared" si="53"/>
        <v>0</v>
      </c>
      <c r="AN176" s="55">
        <f t="shared" si="54"/>
        <v>0</v>
      </c>
      <c r="AO176" s="55">
        <f t="shared" si="55"/>
        <v>0</v>
      </c>
      <c r="AP176" s="24"/>
      <c r="AQ176" s="24"/>
      <c r="AR176" s="24"/>
      <c r="AS176" s="24"/>
      <c r="AT176" s="24"/>
      <c r="AU176" s="24"/>
      <c r="AV176" s="24"/>
      <c r="AW176" s="24"/>
      <c r="AX176" s="24"/>
      <c r="AY176" s="24"/>
      <c r="AZ176" s="24"/>
      <c r="BA176" s="24"/>
      <c r="BB176" s="24"/>
      <c r="BC176" s="24"/>
      <c r="BD176" s="24"/>
      <c r="BE176" s="24">
        <f t="shared" si="41"/>
        <v>84.92</v>
      </c>
      <c r="BF176" s="59">
        <f t="shared" si="64"/>
        <v>48667</v>
      </c>
      <c r="BG176" s="36">
        <f>$BV$158+AJ214+($C$64-$BV$158)</f>
        <v>58.5</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9"/>
        <v>176.89</v>
      </c>
      <c r="CJ176" s="14">
        <f t="shared" si="60"/>
        <v>333.72</v>
      </c>
    </row>
    <row r="177" spans="7:88">
      <c r="G177" s="12">
        <f t="shared" si="42"/>
        <v>0</v>
      </c>
      <c r="H177" s="12">
        <f t="shared" si="43"/>
        <v>0</v>
      </c>
      <c r="I177" s="12">
        <f t="shared" si="43"/>
        <v>0</v>
      </c>
      <c r="J177" s="12">
        <f t="shared" si="43"/>
        <v>0</v>
      </c>
      <c r="K177" s="12">
        <f t="shared" si="44"/>
        <v>0</v>
      </c>
      <c r="L177" s="12">
        <f t="shared" si="45"/>
        <v>0</v>
      </c>
      <c r="M177" s="12">
        <f t="shared" si="45"/>
        <v>0</v>
      </c>
      <c r="N177" s="12">
        <f t="shared" si="45"/>
        <v>0</v>
      </c>
      <c r="O177" s="12">
        <f t="shared" si="46"/>
        <v>0</v>
      </c>
      <c r="P177" s="12">
        <f t="shared" si="47"/>
        <v>0</v>
      </c>
      <c r="Q177" s="12">
        <f t="shared" si="47"/>
        <v>0</v>
      </c>
      <c r="T177" s="61"/>
      <c r="U177" s="61"/>
      <c r="V177" s="61"/>
      <c r="W177" s="53">
        <f t="shared" si="48"/>
        <v>0</v>
      </c>
      <c r="X177" s="54" t="e">
        <f t="shared" si="49"/>
        <v>#DIV/0!</v>
      </c>
      <c r="Y177" s="25">
        <f t="shared" si="56"/>
        <v>0</v>
      </c>
      <c r="Z177" s="54">
        <f t="shared" si="61"/>
        <v>0</v>
      </c>
      <c r="AA177" s="54">
        <f t="shared" si="50"/>
        <v>0</v>
      </c>
      <c r="AB177" s="54">
        <f t="shared" si="50"/>
        <v>0</v>
      </c>
      <c r="AC177" s="54">
        <f t="shared" si="50"/>
        <v>0</v>
      </c>
      <c r="AD177" s="54">
        <f t="shared" si="50"/>
        <v>0</v>
      </c>
      <c r="AE177" s="54">
        <f t="shared" si="50"/>
        <v>0</v>
      </c>
      <c r="AF177" s="54">
        <f t="shared" si="50"/>
        <v>0</v>
      </c>
      <c r="AG177" s="54">
        <f t="shared" si="50"/>
        <v>0</v>
      </c>
      <c r="AH177" s="54">
        <f t="shared" si="50"/>
        <v>0</v>
      </c>
      <c r="AI177" s="54">
        <f t="shared" si="50"/>
        <v>0</v>
      </c>
      <c r="AJ177" s="54">
        <f t="shared" si="50"/>
        <v>0</v>
      </c>
      <c r="AK177" s="54">
        <f t="shared" ref="AK177" si="70">IF($E78+365&lt;$C$56,0,IF($E78&lt;$C$56,(($E78+365-$C$56)/365)*(($C78/$BN$157)+($D78/$BN$158)),IF($E78&gt;AK$166,0,IF($E78+365&lt;AK$166,($C78/$BN$157)+($D78/$BN$158),((AK$166-$E78)/365)*(($C78/$BN$157)+($D78/$BN$158))))))</f>
        <v>0</v>
      </c>
      <c r="AL177" s="24">
        <f t="shared" si="52"/>
        <v>0</v>
      </c>
      <c r="AM177" s="24">
        <f t="shared" si="53"/>
        <v>0</v>
      </c>
      <c r="AN177" s="55">
        <f t="shared" si="54"/>
        <v>0</v>
      </c>
      <c r="AO177" s="55">
        <f t="shared" si="55"/>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9"/>
        <v>192.21</v>
      </c>
      <c r="CJ177" s="14">
        <f t="shared" si="60"/>
        <v>362.89</v>
      </c>
    </row>
    <row r="178" spans="7:88">
      <c r="G178" s="12">
        <f t="shared" si="42"/>
        <v>0</v>
      </c>
      <c r="H178" s="12">
        <f t="shared" si="43"/>
        <v>0</v>
      </c>
      <c r="I178" s="12">
        <f t="shared" si="43"/>
        <v>0</v>
      </c>
      <c r="J178" s="12">
        <f t="shared" si="43"/>
        <v>0</v>
      </c>
      <c r="K178" s="12">
        <f t="shared" si="44"/>
        <v>0</v>
      </c>
      <c r="L178" s="12">
        <f t="shared" si="45"/>
        <v>0</v>
      </c>
      <c r="M178" s="12">
        <f t="shared" si="45"/>
        <v>0</v>
      </c>
      <c r="N178" s="12">
        <f t="shared" si="45"/>
        <v>0</v>
      </c>
      <c r="O178" s="12">
        <f t="shared" si="46"/>
        <v>0</v>
      </c>
      <c r="P178" s="12">
        <f t="shared" si="47"/>
        <v>0</v>
      </c>
      <c r="Q178" s="12">
        <f t="shared" si="47"/>
        <v>0</v>
      </c>
      <c r="T178" s="61"/>
      <c r="U178" s="61"/>
      <c r="V178" s="61"/>
      <c r="W178" s="53">
        <f t="shared" si="48"/>
        <v>0</v>
      </c>
      <c r="X178" s="54" t="e">
        <f t="shared" si="49"/>
        <v>#DIV/0!</v>
      </c>
      <c r="Y178" s="25">
        <f t="shared" si="56"/>
        <v>0</v>
      </c>
      <c r="Z178" s="54">
        <f t="shared" si="61"/>
        <v>0</v>
      </c>
      <c r="AA178" s="54">
        <f t="shared" si="50"/>
        <v>0</v>
      </c>
      <c r="AB178" s="54">
        <f t="shared" si="50"/>
        <v>0</v>
      </c>
      <c r="AC178" s="54">
        <f>IF($E79+365&lt;$C$56,0,IF($E79&lt;$C$56,(($E79+365-$C$56)/365)*(($C79/$BN$157)+($D79/$BN$158)),IF($E79&gt;AC$166,0,IF($E79+365&lt;AC$166,($C79/$BN$157)+($D79/$BN$158),((AC$166-$E79)/365)*(($C79/$BN$157)+($D79/$BN$158))))))</f>
        <v>0</v>
      </c>
      <c r="AD178" s="54">
        <f t="shared" si="50"/>
        <v>0</v>
      </c>
      <c r="AE178" s="54">
        <f t="shared" si="50"/>
        <v>0</v>
      </c>
      <c r="AF178" s="54">
        <f t="shared" si="50"/>
        <v>0</v>
      </c>
      <c r="AG178" s="54">
        <f t="shared" si="50"/>
        <v>0</v>
      </c>
      <c r="AH178" s="54">
        <f t="shared" si="50"/>
        <v>0</v>
      </c>
      <c r="AI178" s="54">
        <f t="shared" si="50"/>
        <v>0</v>
      </c>
      <c r="AJ178" s="54">
        <f t="shared" si="50"/>
        <v>0</v>
      </c>
      <c r="AK178" s="54">
        <f t="shared" ref="AK178" si="71">IF($E79+365&lt;$C$56,0,IF($E79&lt;$C$56,(($E79+365-$C$56)/365)*(($C79/$BN$157)+($D79/$BN$158)),IF($E79&gt;AK$166,0,IF($E79+365&lt;AK$166,($C79/$BN$157)+($D79/$BN$158),((AK$166-$E79)/365)*(($C79/$BN$157)+($D79/$BN$158))))))</f>
        <v>0</v>
      </c>
      <c r="AL178" s="24">
        <f t="shared" si="52"/>
        <v>0</v>
      </c>
      <c r="AM178" s="24">
        <f t="shared" si="53"/>
        <v>0</v>
      </c>
      <c r="AN178" s="55">
        <f t="shared" si="54"/>
        <v>0</v>
      </c>
      <c r="AO178" s="55">
        <f t="shared" si="55"/>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2"/>
        <v>0</v>
      </c>
      <c r="H179" s="12">
        <f t="shared" si="43"/>
        <v>0</v>
      </c>
      <c r="I179" s="12">
        <f t="shared" si="43"/>
        <v>0</v>
      </c>
      <c r="J179" s="12">
        <f t="shared" si="43"/>
        <v>0</v>
      </c>
      <c r="K179" s="12">
        <f t="shared" si="44"/>
        <v>0</v>
      </c>
      <c r="L179" s="12">
        <f t="shared" si="45"/>
        <v>0</v>
      </c>
      <c r="M179" s="12">
        <f t="shared" si="45"/>
        <v>0</v>
      </c>
      <c r="N179" s="12">
        <f t="shared" si="45"/>
        <v>0</v>
      </c>
      <c r="O179" s="12">
        <f t="shared" si="46"/>
        <v>0</v>
      </c>
      <c r="P179" s="12">
        <f t="shared" si="47"/>
        <v>0</v>
      </c>
      <c r="Q179" s="12">
        <f t="shared" si="47"/>
        <v>0</v>
      </c>
      <c r="T179" s="61"/>
      <c r="U179" s="61"/>
      <c r="V179" s="61"/>
      <c r="W179" s="53">
        <f t="shared" si="48"/>
        <v>0</v>
      </c>
      <c r="X179" s="54" t="e">
        <f t="shared" si="49"/>
        <v>#DIV/0!</v>
      </c>
      <c r="Y179" s="25">
        <f t="shared" si="56"/>
        <v>0</v>
      </c>
      <c r="Z179" s="54">
        <f t="shared" si="61"/>
        <v>0</v>
      </c>
      <c r="AA179" s="54">
        <f t="shared" si="50"/>
        <v>0</v>
      </c>
      <c r="AB179" s="54">
        <f t="shared" si="50"/>
        <v>0</v>
      </c>
      <c r="AC179" s="54">
        <f t="shared" si="50"/>
        <v>0</v>
      </c>
      <c r="AD179" s="54">
        <f t="shared" si="50"/>
        <v>0</v>
      </c>
      <c r="AE179" s="54">
        <f t="shared" si="50"/>
        <v>0</v>
      </c>
      <c r="AF179" s="54">
        <f t="shared" si="50"/>
        <v>0</v>
      </c>
      <c r="AG179" s="54">
        <f t="shared" si="50"/>
        <v>0</v>
      </c>
      <c r="AH179" s="54">
        <f t="shared" si="50"/>
        <v>0</v>
      </c>
      <c r="AI179" s="54">
        <f t="shared" si="50"/>
        <v>0</v>
      </c>
      <c r="AJ179" s="54">
        <f t="shared" si="50"/>
        <v>0</v>
      </c>
      <c r="AK179" s="54">
        <f t="shared" ref="AK179" si="72">IF($E80+365&lt;$C$56,0,IF($E80&lt;$C$56,(($E80+365-$C$56)/365)*(($C80/$BN$157)+($D80/$BN$158)),IF($E80&gt;AK$166,0,IF($E80+365&lt;AK$166,($C80/$BN$157)+($D80/$BN$158),((AK$166-$E80)/365)*(($C80/$BN$157)+($D80/$BN$158))))))</f>
        <v>0</v>
      </c>
      <c r="AL179" s="24">
        <f t="shared" si="52"/>
        <v>0</v>
      </c>
      <c r="AM179" s="24">
        <f t="shared" si="53"/>
        <v>0</v>
      </c>
      <c r="AN179" s="55">
        <f t="shared" si="54"/>
        <v>0</v>
      </c>
      <c r="AO179" s="55">
        <f t="shared" si="55"/>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2"/>
        <v>0</v>
      </c>
      <c r="H180" s="12">
        <f t="shared" si="43"/>
        <v>0</v>
      </c>
      <c r="I180" s="12">
        <f t="shared" si="43"/>
        <v>0</v>
      </c>
      <c r="J180" s="12">
        <f t="shared" si="43"/>
        <v>0</v>
      </c>
      <c r="K180" s="12">
        <f t="shared" si="44"/>
        <v>0</v>
      </c>
      <c r="L180" s="12">
        <f t="shared" si="45"/>
        <v>0</v>
      </c>
      <c r="M180" s="12">
        <f t="shared" si="45"/>
        <v>0</v>
      </c>
      <c r="N180" s="12">
        <f t="shared" si="45"/>
        <v>0</v>
      </c>
      <c r="O180" s="12">
        <f t="shared" si="46"/>
        <v>0</v>
      </c>
      <c r="P180" s="12">
        <f t="shared" si="47"/>
        <v>0</v>
      </c>
      <c r="Q180" s="12">
        <f t="shared" si="47"/>
        <v>0</v>
      </c>
      <c r="T180" s="61"/>
      <c r="U180" s="61"/>
      <c r="V180" s="61"/>
      <c r="W180" s="53">
        <f t="shared" si="48"/>
        <v>0</v>
      </c>
      <c r="X180" s="54" t="e">
        <f t="shared" si="49"/>
        <v>#DIV/0!</v>
      </c>
      <c r="Y180" s="25">
        <f t="shared" si="56"/>
        <v>0</v>
      </c>
      <c r="Z180" s="54">
        <f t="shared" si="61"/>
        <v>0</v>
      </c>
      <c r="AA180" s="54">
        <f t="shared" si="50"/>
        <v>0</v>
      </c>
      <c r="AB180" s="54">
        <f t="shared" si="50"/>
        <v>0</v>
      </c>
      <c r="AC180" s="54">
        <f t="shared" si="50"/>
        <v>0</v>
      </c>
      <c r="AD180" s="54">
        <f t="shared" si="50"/>
        <v>0</v>
      </c>
      <c r="AE180" s="54">
        <f t="shared" si="50"/>
        <v>0</v>
      </c>
      <c r="AF180" s="54">
        <f t="shared" si="50"/>
        <v>0</v>
      </c>
      <c r="AG180" s="54">
        <f t="shared" si="50"/>
        <v>0</v>
      </c>
      <c r="AH180" s="54">
        <f t="shared" si="50"/>
        <v>0</v>
      </c>
      <c r="AI180" s="54">
        <f t="shared" si="50"/>
        <v>0</v>
      </c>
      <c r="AJ180" s="54">
        <f t="shared" si="50"/>
        <v>0</v>
      </c>
      <c r="AK180" s="54">
        <f t="shared" ref="AK180" si="73">IF($E81+365&lt;$C$56,0,IF($E81&lt;$C$56,(($E81+365-$C$56)/365)*(($C81/$BN$157)+($D81/$BN$158)),IF($E81&gt;AK$166,0,IF($E81+365&lt;AK$166,($C81/$BN$157)+($D81/$BN$158),((AK$166-$E81)/365)*(($C81/$BN$157)+($D81/$BN$158))))))</f>
        <v>0</v>
      </c>
      <c r="AL180" s="24">
        <f t="shared" si="52"/>
        <v>0</v>
      </c>
      <c r="AM180" s="24">
        <f t="shared" si="53"/>
        <v>0</v>
      </c>
      <c r="AN180" s="55">
        <f t="shared" si="54"/>
        <v>0</v>
      </c>
      <c r="AO180" s="55">
        <f t="shared" si="55"/>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2"/>
        <v>0</v>
      </c>
      <c r="H181" s="12">
        <f t="shared" si="43"/>
        <v>0</v>
      </c>
      <c r="I181" s="12">
        <f t="shared" si="43"/>
        <v>0</v>
      </c>
      <c r="J181" s="12">
        <f t="shared" si="43"/>
        <v>0</v>
      </c>
      <c r="K181" s="12">
        <f t="shared" si="44"/>
        <v>0</v>
      </c>
      <c r="L181" s="12">
        <f t="shared" si="45"/>
        <v>0</v>
      </c>
      <c r="M181" s="12">
        <f t="shared" si="45"/>
        <v>0</v>
      </c>
      <c r="N181" s="12">
        <f t="shared" si="45"/>
        <v>0</v>
      </c>
      <c r="O181" s="12">
        <f t="shared" si="46"/>
        <v>0</v>
      </c>
      <c r="P181" s="12">
        <f t="shared" si="47"/>
        <v>0</v>
      </c>
      <c r="Q181" s="12">
        <f t="shared" si="47"/>
        <v>0</v>
      </c>
      <c r="T181" s="61"/>
      <c r="U181" s="61"/>
      <c r="V181" s="61"/>
      <c r="W181" s="53">
        <f t="shared" si="48"/>
        <v>0</v>
      </c>
      <c r="X181" s="54" t="e">
        <f t="shared" si="49"/>
        <v>#DIV/0!</v>
      </c>
      <c r="Y181" s="25">
        <f t="shared" si="56"/>
        <v>0</v>
      </c>
      <c r="Z181" s="54">
        <f t="shared" si="61"/>
        <v>0</v>
      </c>
      <c r="AA181" s="54">
        <f t="shared" si="50"/>
        <v>0</v>
      </c>
      <c r="AB181" s="54">
        <f t="shared" si="50"/>
        <v>0</v>
      </c>
      <c r="AC181" s="54">
        <f t="shared" si="50"/>
        <v>0</v>
      </c>
      <c r="AD181" s="54">
        <f t="shared" si="50"/>
        <v>0</v>
      </c>
      <c r="AE181" s="54">
        <f t="shared" si="50"/>
        <v>0</v>
      </c>
      <c r="AF181" s="54">
        <f t="shared" si="50"/>
        <v>0</v>
      </c>
      <c r="AG181" s="54">
        <f t="shared" si="50"/>
        <v>0</v>
      </c>
      <c r="AH181" s="54">
        <f t="shared" si="50"/>
        <v>0</v>
      </c>
      <c r="AI181" s="54">
        <f t="shared" si="50"/>
        <v>0</v>
      </c>
      <c r="AJ181" s="54">
        <f t="shared" si="50"/>
        <v>0</v>
      </c>
      <c r="AK181" s="54">
        <f t="shared" ref="AK181" si="74">IF($E82+365&lt;$C$56,0,IF($E82&lt;$C$56,(($E82+365-$C$56)/365)*(($C82/$BN$157)+($D82/$BN$158)),IF($E82&gt;AK$166,0,IF($E82+365&lt;AK$166,($C82/$BN$157)+($D82/$BN$158),((AK$166-$E82)/365)*(($C82/$BN$157)+($D82/$BN$158))))))</f>
        <v>0</v>
      </c>
      <c r="AL181" s="24">
        <f t="shared" si="52"/>
        <v>0</v>
      </c>
      <c r="AM181" s="24">
        <f t="shared" si="53"/>
        <v>0</v>
      </c>
      <c r="AN181" s="55">
        <f t="shared" si="54"/>
        <v>0</v>
      </c>
      <c r="AO181" s="55">
        <f t="shared" si="55"/>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2"/>
        <v>0</v>
      </c>
      <c r="H182" s="12">
        <f t="shared" si="43"/>
        <v>0</v>
      </c>
      <c r="I182" s="12">
        <f t="shared" si="43"/>
        <v>0</v>
      </c>
      <c r="J182" s="12">
        <f t="shared" si="43"/>
        <v>0</v>
      </c>
      <c r="K182" s="12">
        <f t="shared" si="44"/>
        <v>0</v>
      </c>
      <c r="L182" s="12">
        <f t="shared" si="45"/>
        <v>0</v>
      </c>
      <c r="M182" s="12">
        <f t="shared" si="45"/>
        <v>0</v>
      </c>
      <c r="N182" s="12">
        <f t="shared" si="45"/>
        <v>0</v>
      </c>
      <c r="O182" s="12">
        <f t="shared" si="46"/>
        <v>0</v>
      </c>
      <c r="P182" s="12">
        <f t="shared" si="47"/>
        <v>0</v>
      </c>
      <c r="Q182" s="12">
        <f t="shared" si="47"/>
        <v>0</v>
      </c>
      <c r="T182" s="61"/>
      <c r="U182" s="61"/>
      <c r="V182" s="61"/>
      <c r="W182" s="53">
        <f t="shared" si="48"/>
        <v>0</v>
      </c>
      <c r="X182" s="54" t="e">
        <f t="shared" si="49"/>
        <v>#DIV/0!</v>
      </c>
      <c r="Y182" s="25">
        <f t="shared" si="56"/>
        <v>0</v>
      </c>
      <c r="Z182" s="54">
        <f t="shared" si="61"/>
        <v>0</v>
      </c>
      <c r="AA182" s="54">
        <f t="shared" si="50"/>
        <v>0</v>
      </c>
      <c r="AB182" s="54">
        <f t="shared" si="50"/>
        <v>0</v>
      </c>
      <c r="AC182" s="54">
        <f t="shared" si="50"/>
        <v>0</v>
      </c>
      <c r="AD182" s="54">
        <f t="shared" si="50"/>
        <v>0</v>
      </c>
      <c r="AE182" s="54">
        <f t="shared" si="50"/>
        <v>0</v>
      </c>
      <c r="AF182" s="54">
        <f t="shared" si="50"/>
        <v>0</v>
      </c>
      <c r="AG182" s="54">
        <f t="shared" si="50"/>
        <v>0</v>
      </c>
      <c r="AH182" s="54">
        <f t="shared" si="50"/>
        <v>0</v>
      </c>
      <c r="AI182" s="54">
        <f t="shared" si="50"/>
        <v>0</v>
      </c>
      <c r="AJ182" s="54">
        <f t="shared" si="50"/>
        <v>0</v>
      </c>
      <c r="AK182" s="54">
        <f t="shared" ref="AK182" si="75">IF($E83+365&lt;$C$56,0,IF($E83&lt;$C$56,(($E83+365-$C$56)/365)*(($C83/$BN$157)+($D83/$BN$158)),IF($E83&gt;AK$166,0,IF($E83+365&lt;AK$166,($C83/$BN$157)+($D83/$BN$158),((AK$166-$E83)/365)*(($C83/$BN$157)+($D83/$BN$158))))))</f>
        <v>0</v>
      </c>
      <c r="AL182" s="24">
        <f t="shared" si="52"/>
        <v>0</v>
      </c>
      <c r="AM182" s="24">
        <f t="shared" si="53"/>
        <v>0</v>
      </c>
      <c r="AN182" s="55">
        <f t="shared" si="54"/>
        <v>0</v>
      </c>
      <c r="AO182" s="55">
        <f t="shared" si="55"/>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2"/>
        <v>0</v>
      </c>
      <c r="H183" s="12">
        <f t="shared" si="43"/>
        <v>0</v>
      </c>
      <c r="I183" s="12">
        <f t="shared" si="43"/>
        <v>0</v>
      </c>
      <c r="J183" s="12">
        <f t="shared" si="43"/>
        <v>0</v>
      </c>
      <c r="K183" s="12">
        <f t="shared" si="44"/>
        <v>0</v>
      </c>
      <c r="L183" s="12">
        <f t="shared" si="45"/>
        <v>0</v>
      </c>
      <c r="M183" s="12">
        <f t="shared" si="45"/>
        <v>0</v>
      </c>
      <c r="N183" s="12">
        <f t="shared" si="45"/>
        <v>0</v>
      </c>
      <c r="O183" s="12">
        <f t="shared" si="46"/>
        <v>0</v>
      </c>
      <c r="P183" s="12">
        <f t="shared" si="47"/>
        <v>0</v>
      </c>
      <c r="Q183" s="12">
        <f t="shared" si="47"/>
        <v>0</v>
      </c>
      <c r="T183" s="61"/>
      <c r="U183" s="61"/>
      <c r="V183" s="61"/>
      <c r="W183" s="53">
        <f t="shared" si="48"/>
        <v>0</v>
      </c>
      <c r="X183" s="54" t="e">
        <f t="shared" si="49"/>
        <v>#DIV/0!</v>
      </c>
      <c r="Y183" s="25">
        <f t="shared" si="56"/>
        <v>0</v>
      </c>
      <c r="Z183" s="54">
        <f t="shared" si="61"/>
        <v>0</v>
      </c>
      <c r="AA183" s="54">
        <f t="shared" ref="AA183:AJ198" si="76">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ref="AK183" si="77">IF($E84+365&lt;$C$56,0,IF($E84&lt;$C$56,(($E84+365-$C$56)/365)*(($C84/$BN$157)+($D84/$BN$158)),IF($E84&gt;AK$166,0,IF($E84+365&lt;AK$166,($C84/$BN$157)+($D84/$BN$158),((AK$166-$E84)/365)*(($C84/$BN$157)+($D84/$BN$158))))))</f>
        <v>0</v>
      </c>
      <c r="AL183" s="24">
        <f t="shared" si="52"/>
        <v>0</v>
      </c>
      <c r="AM183" s="24">
        <f t="shared" si="53"/>
        <v>0</v>
      </c>
      <c r="AN183" s="55">
        <f t="shared" si="54"/>
        <v>0</v>
      </c>
      <c r="AO183" s="55">
        <f t="shared" si="55"/>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2"/>
        <v>0</v>
      </c>
      <c r="H184" s="12">
        <f t="shared" si="43"/>
        <v>0</v>
      </c>
      <c r="I184" s="12">
        <f t="shared" si="43"/>
        <v>0</v>
      </c>
      <c r="J184" s="12">
        <f t="shared" si="43"/>
        <v>0</v>
      </c>
      <c r="K184" s="12">
        <f t="shared" si="44"/>
        <v>0</v>
      </c>
      <c r="L184" s="12">
        <f t="shared" si="45"/>
        <v>0</v>
      </c>
      <c r="M184" s="12">
        <f t="shared" si="45"/>
        <v>0</v>
      </c>
      <c r="N184" s="12">
        <f t="shared" si="45"/>
        <v>0</v>
      </c>
      <c r="O184" s="12">
        <f t="shared" si="46"/>
        <v>0</v>
      </c>
      <c r="P184" s="12">
        <f t="shared" si="47"/>
        <v>0</v>
      </c>
      <c r="Q184" s="12">
        <f t="shared" si="47"/>
        <v>0</v>
      </c>
      <c r="T184" s="61"/>
      <c r="U184" s="61"/>
      <c r="V184" s="61"/>
      <c r="W184" s="53">
        <f t="shared" si="48"/>
        <v>0</v>
      </c>
      <c r="X184" s="54" t="e">
        <f t="shared" si="49"/>
        <v>#DIV/0!</v>
      </c>
      <c r="Y184" s="25">
        <f t="shared" si="56"/>
        <v>0</v>
      </c>
      <c r="Z184" s="54">
        <f t="shared" si="61"/>
        <v>0</v>
      </c>
      <c r="AA184" s="54">
        <f t="shared" si="76"/>
        <v>0</v>
      </c>
      <c r="AB184" s="54">
        <f t="shared" si="76"/>
        <v>0</v>
      </c>
      <c r="AC184" s="54">
        <f t="shared" si="76"/>
        <v>0</v>
      </c>
      <c r="AD184" s="54">
        <f t="shared" si="76"/>
        <v>0</v>
      </c>
      <c r="AE184" s="54">
        <f t="shared" si="76"/>
        <v>0</v>
      </c>
      <c r="AF184" s="54">
        <f t="shared" si="76"/>
        <v>0</v>
      </c>
      <c r="AG184" s="54">
        <f t="shared" si="76"/>
        <v>0</v>
      </c>
      <c r="AH184" s="54">
        <f t="shared" si="76"/>
        <v>0</v>
      </c>
      <c r="AI184" s="54">
        <f t="shared" si="76"/>
        <v>0</v>
      </c>
      <c r="AJ184" s="54">
        <f t="shared" si="76"/>
        <v>0</v>
      </c>
      <c r="AK184" s="54">
        <f t="shared" ref="AK184" si="78">IF($E85+365&lt;$C$56,0,IF($E85&lt;$C$56,(($E85+365-$C$56)/365)*(($C85/$BN$157)+($D85/$BN$158)),IF($E85&gt;AK$166,0,IF($E85+365&lt;AK$166,($C85/$BN$157)+($D85/$BN$158),((AK$166-$E85)/365)*(($C85/$BN$157)+($D85/$BN$158))))))</f>
        <v>0</v>
      </c>
      <c r="AL184" s="24">
        <f t="shared" si="52"/>
        <v>0</v>
      </c>
      <c r="AM184" s="24">
        <f t="shared" si="53"/>
        <v>0</v>
      </c>
      <c r="AN184" s="55">
        <f t="shared" si="54"/>
        <v>0</v>
      </c>
      <c r="AO184" s="55">
        <f t="shared" si="55"/>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2"/>
        <v>0</v>
      </c>
      <c r="H185" s="12">
        <f t="shared" si="43"/>
        <v>0</v>
      </c>
      <c r="I185" s="12">
        <f t="shared" si="43"/>
        <v>0</v>
      </c>
      <c r="J185" s="12">
        <f t="shared" si="43"/>
        <v>0</v>
      </c>
      <c r="K185" s="12">
        <f t="shared" si="44"/>
        <v>0</v>
      </c>
      <c r="L185" s="12">
        <f t="shared" si="45"/>
        <v>0</v>
      </c>
      <c r="M185" s="12">
        <f t="shared" si="45"/>
        <v>0</v>
      </c>
      <c r="N185" s="12">
        <f t="shared" si="45"/>
        <v>0</v>
      </c>
      <c r="O185" s="12">
        <f t="shared" si="46"/>
        <v>0</v>
      </c>
      <c r="P185" s="12">
        <f t="shared" si="47"/>
        <v>0</v>
      </c>
      <c r="Q185" s="12">
        <f t="shared" si="47"/>
        <v>0</v>
      </c>
      <c r="T185" s="61"/>
      <c r="U185" s="61"/>
      <c r="V185" s="61"/>
      <c r="W185" s="53">
        <f t="shared" si="48"/>
        <v>0</v>
      </c>
      <c r="X185" s="54" t="e">
        <f t="shared" si="49"/>
        <v>#DIV/0!</v>
      </c>
      <c r="Y185" s="25">
        <f t="shared" si="56"/>
        <v>0</v>
      </c>
      <c r="Z185" s="54">
        <f t="shared" si="61"/>
        <v>0</v>
      </c>
      <c r="AA185" s="54">
        <f t="shared" si="76"/>
        <v>0</v>
      </c>
      <c r="AB185" s="54">
        <f t="shared" si="76"/>
        <v>0</v>
      </c>
      <c r="AC185" s="54">
        <f t="shared" si="76"/>
        <v>0</v>
      </c>
      <c r="AD185" s="54">
        <f t="shared" si="76"/>
        <v>0</v>
      </c>
      <c r="AE185" s="54">
        <f t="shared" si="76"/>
        <v>0</v>
      </c>
      <c r="AF185" s="54">
        <f t="shared" si="76"/>
        <v>0</v>
      </c>
      <c r="AG185" s="54">
        <f t="shared" si="76"/>
        <v>0</v>
      </c>
      <c r="AH185" s="54">
        <f t="shared" si="76"/>
        <v>0</v>
      </c>
      <c r="AI185" s="54">
        <f t="shared" si="76"/>
        <v>0</v>
      </c>
      <c r="AJ185" s="54">
        <f t="shared" si="76"/>
        <v>0</v>
      </c>
      <c r="AK185" s="54">
        <f t="shared" ref="AK185" si="79">IF($E86+365&lt;$C$56,0,IF($E86&lt;$C$56,(($E86+365-$C$56)/365)*(($C86/$BN$157)+($D86/$BN$158)),IF($E86&gt;AK$166,0,IF($E86+365&lt;AK$166,($C86/$BN$157)+($D86/$BN$158),((AK$166-$E86)/365)*(($C86/$BN$157)+($D86/$BN$158))))))</f>
        <v>0</v>
      </c>
      <c r="AL185" s="24">
        <f t="shared" si="52"/>
        <v>0</v>
      </c>
      <c r="AM185" s="24">
        <f t="shared" si="53"/>
        <v>0</v>
      </c>
      <c r="AN185" s="55">
        <f t="shared" si="54"/>
        <v>0</v>
      </c>
      <c r="AO185" s="55">
        <f t="shared" si="55"/>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2"/>
        <v>0</v>
      </c>
      <c r="H186" s="12">
        <f t="shared" si="43"/>
        <v>0</v>
      </c>
      <c r="I186" s="12">
        <f t="shared" si="43"/>
        <v>0</v>
      </c>
      <c r="J186" s="12">
        <f t="shared" si="43"/>
        <v>0</v>
      </c>
      <c r="K186" s="12">
        <f t="shared" si="44"/>
        <v>0</v>
      </c>
      <c r="L186" s="12">
        <f t="shared" si="45"/>
        <v>0</v>
      </c>
      <c r="M186" s="12">
        <f t="shared" si="45"/>
        <v>0</v>
      </c>
      <c r="N186" s="12">
        <f t="shared" si="45"/>
        <v>0</v>
      </c>
      <c r="O186" s="12">
        <f t="shared" si="46"/>
        <v>0</v>
      </c>
      <c r="P186" s="12">
        <f t="shared" si="47"/>
        <v>0</v>
      </c>
      <c r="Q186" s="12">
        <f t="shared" si="47"/>
        <v>0</v>
      </c>
      <c r="T186" s="61"/>
      <c r="U186" s="61"/>
      <c r="V186" s="61"/>
      <c r="W186" s="53">
        <f t="shared" si="48"/>
        <v>0</v>
      </c>
      <c r="X186" s="54" t="e">
        <f t="shared" si="49"/>
        <v>#DIV/0!</v>
      </c>
      <c r="Y186" s="25">
        <f t="shared" si="56"/>
        <v>0</v>
      </c>
      <c r="Z186" s="54">
        <f t="shared" si="61"/>
        <v>0</v>
      </c>
      <c r="AA186" s="54">
        <f t="shared" si="76"/>
        <v>0</v>
      </c>
      <c r="AB186" s="54">
        <f t="shared" si="76"/>
        <v>0</v>
      </c>
      <c r="AC186" s="54">
        <f t="shared" si="76"/>
        <v>0</v>
      </c>
      <c r="AD186" s="54">
        <f t="shared" si="76"/>
        <v>0</v>
      </c>
      <c r="AE186" s="54">
        <f t="shared" si="76"/>
        <v>0</v>
      </c>
      <c r="AF186" s="54">
        <f t="shared" si="76"/>
        <v>0</v>
      </c>
      <c r="AG186" s="54">
        <f t="shared" si="76"/>
        <v>0</v>
      </c>
      <c r="AH186" s="54">
        <f t="shared" si="76"/>
        <v>0</v>
      </c>
      <c r="AI186" s="54">
        <f t="shared" si="76"/>
        <v>0</v>
      </c>
      <c r="AJ186" s="54">
        <f t="shared" si="76"/>
        <v>0</v>
      </c>
      <c r="AK186" s="54">
        <f t="shared" ref="AK186" si="80">IF($E87+365&lt;$C$56,0,IF($E87&lt;$C$56,(($E87+365-$C$56)/365)*(($C87/$BN$157)+($D87/$BN$158)),IF($E87&gt;AK$166,0,IF($E87+365&lt;AK$166,($C87/$BN$157)+($D87/$BN$158),((AK$166-$E87)/365)*(($C87/$BN$157)+($D87/$BN$158))))))</f>
        <v>0</v>
      </c>
      <c r="AL186" s="24">
        <f t="shared" si="52"/>
        <v>0</v>
      </c>
      <c r="AM186" s="24">
        <f t="shared" si="53"/>
        <v>0</v>
      </c>
      <c r="AN186" s="55">
        <f t="shared" si="54"/>
        <v>0</v>
      </c>
      <c r="AO186" s="55">
        <f t="shared" si="55"/>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2"/>
        <v>0</v>
      </c>
      <c r="H187" s="12">
        <f t="shared" ref="H187:J206" si="81">IF($E89&gt;H$66,0,IF($E89&lt;H$66-365,$C89,0))</f>
        <v>0</v>
      </c>
      <c r="I187" s="12">
        <f t="shared" si="81"/>
        <v>0</v>
      </c>
      <c r="J187" s="12">
        <f t="shared" si="81"/>
        <v>0</v>
      </c>
      <c r="K187" s="12">
        <f t="shared" si="44"/>
        <v>0</v>
      </c>
      <c r="L187" s="12">
        <f t="shared" ref="L187:N206" si="82">IF($E89&gt;L$66,0,IF($E89&lt;L$66-365,$C89,0))</f>
        <v>0</v>
      </c>
      <c r="M187" s="12">
        <f t="shared" si="82"/>
        <v>0</v>
      </c>
      <c r="N187" s="12">
        <f t="shared" si="82"/>
        <v>0</v>
      </c>
      <c r="O187" s="12">
        <f t="shared" si="46"/>
        <v>0</v>
      </c>
      <c r="P187" s="12">
        <f t="shared" ref="P187:Q206" si="83">IF($E89&gt;P$66,0,IF($E89&lt;P$66-365,$C89,0))</f>
        <v>0</v>
      </c>
      <c r="Q187" s="12">
        <f t="shared" si="83"/>
        <v>0</v>
      </c>
      <c r="T187" s="61"/>
      <c r="U187" s="61"/>
      <c r="V187" s="61"/>
      <c r="W187" s="53">
        <f t="shared" si="48"/>
        <v>0</v>
      </c>
      <c r="X187" s="54" t="e">
        <f t="shared" si="49"/>
        <v>#DIV/0!</v>
      </c>
      <c r="Y187" s="25">
        <f t="shared" si="56"/>
        <v>0</v>
      </c>
      <c r="Z187" s="54">
        <f t="shared" si="61"/>
        <v>0</v>
      </c>
      <c r="AA187" s="54">
        <f t="shared" si="76"/>
        <v>0</v>
      </c>
      <c r="AB187" s="54">
        <f t="shared" si="76"/>
        <v>0</v>
      </c>
      <c r="AC187" s="54">
        <f t="shared" si="76"/>
        <v>0</v>
      </c>
      <c r="AD187" s="54">
        <f t="shared" si="76"/>
        <v>0</v>
      </c>
      <c r="AE187" s="54">
        <f t="shared" si="76"/>
        <v>0</v>
      </c>
      <c r="AF187" s="54">
        <f t="shared" si="76"/>
        <v>0</v>
      </c>
      <c r="AG187" s="54">
        <f t="shared" si="76"/>
        <v>0</v>
      </c>
      <c r="AH187" s="54">
        <f t="shared" si="76"/>
        <v>0</v>
      </c>
      <c r="AI187" s="54">
        <f t="shared" si="76"/>
        <v>0</v>
      </c>
      <c r="AJ187" s="54">
        <f t="shared" si="76"/>
        <v>0</v>
      </c>
      <c r="AK187" s="54">
        <f t="shared" ref="AK187" si="84">IF($E88+365&lt;$C$56,0,IF($E88&lt;$C$56,(($E88+365-$C$56)/365)*(($C88/$BN$157)+($D88/$BN$158)),IF($E88&gt;AK$166,0,IF($E88+365&lt;AK$166,($C88/$BN$157)+($D88/$BN$158),((AK$166-$E88)/365)*(($C88/$BN$157)+($D88/$BN$158))))))</f>
        <v>0</v>
      </c>
      <c r="AL187" s="24">
        <f t="shared" si="52"/>
        <v>0</v>
      </c>
      <c r="AM187" s="24">
        <f t="shared" si="53"/>
        <v>0</v>
      </c>
      <c r="AN187" s="55">
        <f t="shared" si="54"/>
        <v>0</v>
      </c>
      <c r="AO187" s="55">
        <f t="shared" si="55"/>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2"/>
        <v>0</v>
      </c>
      <c r="H188" s="12">
        <f t="shared" si="81"/>
        <v>0</v>
      </c>
      <c r="I188" s="12">
        <f t="shared" si="81"/>
        <v>0</v>
      </c>
      <c r="J188" s="12">
        <f t="shared" si="81"/>
        <v>0</v>
      </c>
      <c r="K188" s="12">
        <f t="shared" si="44"/>
        <v>0</v>
      </c>
      <c r="L188" s="12">
        <f t="shared" si="82"/>
        <v>0</v>
      </c>
      <c r="M188" s="12">
        <f t="shared" si="82"/>
        <v>0</v>
      </c>
      <c r="N188" s="12">
        <f t="shared" si="82"/>
        <v>0</v>
      </c>
      <c r="O188" s="12">
        <f t="shared" si="46"/>
        <v>0</v>
      </c>
      <c r="P188" s="12">
        <f t="shared" si="83"/>
        <v>0</v>
      </c>
      <c r="Q188" s="12">
        <f t="shared" si="83"/>
        <v>0</v>
      </c>
      <c r="T188" s="61"/>
      <c r="U188" s="61"/>
      <c r="V188" s="61"/>
      <c r="W188" s="53">
        <f t="shared" si="48"/>
        <v>0</v>
      </c>
      <c r="X188" s="54" t="e">
        <f t="shared" si="49"/>
        <v>#DIV/0!</v>
      </c>
      <c r="Y188" s="25">
        <f t="shared" si="56"/>
        <v>0</v>
      </c>
      <c r="Z188" s="54">
        <f t="shared" si="61"/>
        <v>0</v>
      </c>
      <c r="AA188" s="54">
        <f t="shared" si="76"/>
        <v>0</v>
      </c>
      <c r="AB188" s="54">
        <f t="shared" si="76"/>
        <v>0</v>
      </c>
      <c r="AC188" s="54">
        <f t="shared" si="76"/>
        <v>0</v>
      </c>
      <c r="AD188" s="54">
        <f t="shared" si="76"/>
        <v>0</v>
      </c>
      <c r="AE188" s="54">
        <f t="shared" si="76"/>
        <v>0</v>
      </c>
      <c r="AF188" s="54">
        <f t="shared" si="76"/>
        <v>0</v>
      </c>
      <c r="AG188" s="54">
        <f t="shared" si="76"/>
        <v>0</v>
      </c>
      <c r="AH188" s="54">
        <f t="shared" si="76"/>
        <v>0</v>
      </c>
      <c r="AI188" s="54">
        <f t="shared" si="76"/>
        <v>0</v>
      </c>
      <c r="AJ188" s="54">
        <f t="shared" si="76"/>
        <v>0</v>
      </c>
      <c r="AK188" s="54">
        <f t="shared" ref="AK188" si="85">IF($E89+365&lt;$C$56,0,IF($E89&lt;$C$56,(($E89+365-$C$56)/365)*(($C89/$BN$157)+($D89/$BN$158)),IF($E89&gt;AK$166,0,IF($E89+365&lt;AK$166,($C89/$BN$157)+($D89/$BN$158),((AK$166-$E89)/365)*(($C89/$BN$157)+($D89/$BN$158))))))</f>
        <v>0</v>
      </c>
      <c r="AL188" s="24">
        <f t="shared" si="52"/>
        <v>0</v>
      </c>
      <c r="AM188" s="24">
        <f t="shared" si="53"/>
        <v>0</v>
      </c>
      <c r="AN188" s="55">
        <f t="shared" si="54"/>
        <v>0</v>
      </c>
      <c r="AO188" s="55">
        <f t="shared" si="55"/>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2"/>
        <v>0</v>
      </c>
      <c r="H189" s="12">
        <f t="shared" si="81"/>
        <v>0</v>
      </c>
      <c r="I189" s="12">
        <f t="shared" si="81"/>
        <v>0</v>
      </c>
      <c r="J189" s="12">
        <f t="shared" si="81"/>
        <v>0</v>
      </c>
      <c r="K189" s="12">
        <f t="shared" si="44"/>
        <v>0</v>
      </c>
      <c r="L189" s="12">
        <f t="shared" si="82"/>
        <v>0</v>
      </c>
      <c r="M189" s="12">
        <f t="shared" si="82"/>
        <v>0</v>
      </c>
      <c r="N189" s="12">
        <f t="shared" si="82"/>
        <v>0</v>
      </c>
      <c r="O189" s="12">
        <f t="shared" si="46"/>
        <v>0</v>
      </c>
      <c r="P189" s="12">
        <f t="shared" si="83"/>
        <v>0</v>
      </c>
      <c r="Q189" s="12">
        <f t="shared" si="83"/>
        <v>0</v>
      </c>
      <c r="T189" s="61"/>
      <c r="U189" s="61"/>
      <c r="V189" s="61"/>
      <c r="W189" s="53">
        <f t="shared" si="48"/>
        <v>0</v>
      </c>
      <c r="X189" s="54" t="e">
        <f t="shared" si="49"/>
        <v>#DIV/0!</v>
      </c>
      <c r="Y189" s="25">
        <f t="shared" si="56"/>
        <v>0</v>
      </c>
      <c r="Z189" s="54">
        <f t="shared" si="61"/>
        <v>0</v>
      </c>
      <c r="AA189" s="54">
        <f t="shared" si="76"/>
        <v>0</v>
      </c>
      <c r="AB189" s="54">
        <f t="shared" si="76"/>
        <v>0</v>
      </c>
      <c r="AC189" s="54">
        <f t="shared" si="76"/>
        <v>0</v>
      </c>
      <c r="AD189" s="54">
        <f t="shared" si="76"/>
        <v>0</v>
      </c>
      <c r="AE189" s="54">
        <f t="shared" si="76"/>
        <v>0</v>
      </c>
      <c r="AF189" s="54">
        <f t="shared" si="76"/>
        <v>0</v>
      </c>
      <c r="AG189" s="54">
        <f t="shared" si="76"/>
        <v>0</v>
      </c>
      <c r="AH189" s="54">
        <f t="shared" si="76"/>
        <v>0</v>
      </c>
      <c r="AI189" s="54">
        <f t="shared" si="76"/>
        <v>0</v>
      </c>
      <c r="AJ189" s="54">
        <f t="shared" si="76"/>
        <v>0</v>
      </c>
      <c r="AK189" s="54">
        <f t="shared" ref="AK189" si="86">IF($E90+365&lt;$C$56,0,IF($E90&lt;$C$56,(($E90+365-$C$56)/365)*(($C90/$BN$157)+($D90/$BN$158)),IF($E90&gt;AK$166,0,IF($E90+365&lt;AK$166,($C90/$BN$157)+($D90/$BN$158),((AK$166-$E90)/365)*(($C90/$BN$157)+($D90/$BN$158))))))</f>
        <v>0</v>
      </c>
      <c r="AL189" s="24">
        <f t="shared" si="52"/>
        <v>0</v>
      </c>
      <c r="AM189" s="24">
        <f t="shared" si="53"/>
        <v>0</v>
      </c>
      <c r="AN189" s="55">
        <f t="shared" si="54"/>
        <v>0</v>
      </c>
      <c r="AO189" s="55">
        <f t="shared" si="55"/>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2"/>
        <v>0</v>
      </c>
      <c r="H190" s="12">
        <f t="shared" si="81"/>
        <v>0</v>
      </c>
      <c r="I190" s="12">
        <f t="shared" si="81"/>
        <v>0</v>
      </c>
      <c r="J190" s="12">
        <f t="shared" si="81"/>
        <v>0</v>
      </c>
      <c r="K190" s="12">
        <f t="shared" si="44"/>
        <v>0</v>
      </c>
      <c r="L190" s="12">
        <f t="shared" si="82"/>
        <v>0</v>
      </c>
      <c r="M190" s="12">
        <f t="shared" si="82"/>
        <v>0</v>
      </c>
      <c r="N190" s="12">
        <f t="shared" si="82"/>
        <v>0</v>
      </c>
      <c r="O190" s="12">
        <f t="shared" si="46"/>
        <v>0</v>
      </c>
      <c r="P190" s="12">
        <f t="shared" si="83"/>
        <v>0</v>
      </c>
      <c r="Q190" s="12">
        <f t="shared" si="83"/>
        <v>0</v>
      </c>
      <c r="T190" s="61"/>
      <c r="U190" s="61"/>
      <c r="V190" s="61"/>
      <c r="W190" s="53">
        <f t="shared" si="48"/>
        <v>0</v>
      </c>
      <c r="X190" s="54" t="e">
        <f t="shared" si="49"/>
        <v>#DIV/0!</v>
      </c>
      <c r="Y190" s="25">
        <f t="shared" si="56"/>
        <v>0</v>
      </c>
      <c r="Z190" s="54">
        <f t="shared" si="61"/>
        <v>0</v>
      </c>
      <c r="AA190" s="54">
        <f t="shared" si="76"/>
        <v>0</v>
      </c>
      <c r="AB190" s="54">
        <f t="shared" si="76"/>
        <v>0</v>
      </c>
      <c r="AC190" s="54">
        <f t="shared" si="76"/>
        <v>0</v>
      </c>
      <c r="AD190" s="54">
        <f t="shared" si="76"/>
        <v>0</v>
      </c>
      <c r="AE190" s="54">
        <f t="shared" si="76"/>
        <v>0</v>
      </c>
      <c r="AF190" s="54">
        <f t="shared" si="76"/>
        <v>0</v>
      </c>
      <c r="AG190" s="54">
        <f t="shared" si="76"/>
        <v>0</v>
      </c>
      <c r="AH190" s="54">
        <f t="shared" si="76"/>
        <v>0</v>
      </c>
      <c r="AI190" s="54">
        <f t="shared" si="76"/>
        <v>0</v>
      </c>
      <c r="AJ190" s="54">
        <f t="shared" si="76"/>
        <v>0</v>
      </c>
      <c r="AK190" s="54">
        <f t="shared" ref="AK190" si="87">IF($E91+365&lt;$C$56,0,IF($E91&lt;$C$56,(($E91+365-$C$56)/365)*(($C91/$BN$157)+($D91/$BN$158)),IF($E91&gt;AK$166,0,IF($E91+365&lt;AK$166,($C91/$BN$157)+($D91/$BN$158),((AK$166-$E91)/365)*(($C91/$BN$157)+($D91/$BN$158))))))</f>
        <v>0</v>
      </c>
      <c r="AL190" s="24">
        <f t="shared" si="52"/>
        <v>0</v>
      </c>
      <c r="AM190" s="24">
        <f t="shared" si="53"/>
        <v>0</v>
      </c>
      <c r="AN190" s="55">
        <f t="shared" si="54"/>
        <v>0</v>
      </c>
      <c r="AO190" s="55">
        <f t="shared" si="55"/>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2"/>
        <v>0</v>
      </c>
      <c r="H191" s="12">
        <f t="shared" si="81"/>
        <v>0</v>
      </c>
      <c r="I191" s="12">
        <f t="shared" si="81"/>
        <v>0</v>
      </c>
      <c r="J191" s="12">
        <f t="shared" si="81"/>
        <v>0</v>
      </c>
      <c r="K191" s="12">
        <f t="shared" si="44"/>
        <v>0</v>
      </c>
      <c r="L191" s="12">
        <f t="shared" si="82"/>
        <v>0</v>
      </c>
      <c r="M191" s="12">
        <f t="shared" si="82"/>
        <v>0</v>
      </c>
      <c r="N191" s="12">
        <f t="shared" si="82"/>
        <v>0</v>
      </c>
      <c r="O191" s="12">
        <f t="shared" si="46"/>
        <v>0</v>
      </c>
      <c r="P191" s="12">
        <f t="shared" si="83"/>
        <v>0</v>
      </c>
      <c r="Q191" s="12">
        <f t="shared" si="83"/>
        <v>0</v>
      </c>
      <c r="T191" s="61"/>
      <c r="U191" s="61"/>
      <c r="V191" s="61"/>
      <c r="W191" s="53">
        <f t="shared" si="48"/>
        <v>0</v>
      </c>
      <c r="X191" s="54" t="e">
        <f t="shared" si="49"/>
        <v>#DIV/0!</v>
      </c>
      <c r="Y191" s="25">
        <f t="shared" si="56"/>
        <v>0</v>
      </c>
      <c r="Z191" s="54">
        <f t="shared" si="61"/>
        <v>0</v>
      </c>
      <c r="AA191" s="54">
        <f t="shared" si="76"/>
        <v>0</v>
      </c>
      <c r="AB191" s="54">
        <f t="shared" si="76"/>
        <v>0</v>
      </c>
      <c r="AC191" s="54">
        <f t="shared" si="76"/>
        <v>0</v>
      </c>
      <c r="AD191" s="54">
        <f t="shared" si="76"/>
        <v>0</v>
      </c>
      <c r="AE191" s="54">
        <f t="shared" si="76"/>
        <v>0</v>
      </c>
      <c r="AF191" s="54">
        <f t="shared" si="76"/>
        <v>0</v>
      </c>
      <c r="AG191" s="54">
        <f t="shared" si="76"/>
        <v>0</v>
      </c>
      <c r="AH191" s="54">
        <f t="shared" si="76"/>
        <v>0</v>
      </c>
      <c r="AI191" s="54">
        <f t="shared" si="76"/>
        <v>0</v>
      </c>
      <c r="AJ191" s="54">
        <f t="shared" si="76"/>
        <v>0</v>
      </c>
      <c r="AK191" s="54">
        <f t="shared" ref="AK191" si="88">IF($E92+365&lt;$C$56,0,IF($E92&lt;$C$56,(($E92+365-$C$56)/365)*(($C92/$BN$157)+($D92/$BN$158)),IF($E92&gt;AK$166,0,IF($E92+365&lt;AK$166,($C92/$BN$157)+($D92/$BN$158),((AK$166-$E92)/365)*(($C92/$BN$157)+($D92/$BN$158))))))</f>
        <v>0</v>
      </c>
      <c r="AL191" s="24">
        <f t="shared" si="52"/>
        <v>0</v>
      </c>
      <c r="AM191" s="24">
        <f t="shared" si="53"/>
        <v>0</v>
      </c>
      <c r="AN191" s="55">
        <f t="shared" si="54"/>
        <v>0</v>
      </c>
      <c r="AO191" s="55">
        <f t="shared" si="55"/>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2"/>
        <v>0</v>
      </c>
      <c r="H192" s="12">
        <f t="shared" si="81"/>
        <v>0</v>
      </c>
      <c r="I192" s="12">
        <f t="shared" si="81"/>
        <v>0</v>
      </c>
      <c r="J192" s="12">
        <f t="shared" si="81"/>
        <v>0</v>
      </c>
      <c r="K192" s="12">
        <f t="shared" si="44"/>
        <v>0</v>
      </c>
      <c r="L192" s="12">
        <f t="shared" si="82"/>
        <v>0</v>
      </c>
      <c r="M192" s="12">
        <f t="shared" si="82"/>
        <v>0</v>
      </c>
      <c r="N192" s="12">
        <f t="shared" si="82"/>
        <v>0</v>
      </c>
      <c r="O192" s="12">
        <f t="shared" si="46"/>
        <v>0</v>
      </c>
      <c r="P192" s="12">
        <f t="shared" si="83"/>
        <v>0</v>
      </c>
      <c r="Q192" s="12">
        <f t="shared" si="83"/>
        <v>0</v>
      </c>
      <c r="T192" s="61"/>
      <c r="U192" s="61"/>
      <c r="V192" s="61"/>
      <c r="W192" s="53">
        <f t="shared" si="48"/>
        <v>0</v>
      </c>
      <c r="X192" s="54" t="e">
        <f t="shared" si="49"/>
        <v>#DIV/0!</v>
      </c>
      <c r="Y192" s="25">
        <f t="shared" si="56"/>
        <v>0</v>
      </c>
      <c r="Z192" s="54">
        <f t="shared" si="61"/>
        <v>0</v>
      </c>
      <c r="AA192" s="54">
        <f t="shared" si="76"/>
        <v>0</v>
      </c>
      <c r="AB192" s="54">
        <f t="shared" si="76"/>
        <v>0</v>
      </c>
      <c r="AC192" s="54">
        <f t="shared" si="76"/>
        <v>0</v>
      </c>
      <c r="AD192" s="54">
        <f t="shared" si="76"/>
        <v>0</v>
      </c>
      <c r="AE192" s="54">
        <f t="shared" si="76"/>
        <v>0</v>
      </c>
      <c r="AF192" s="54">
        <f t="shared" si="76"/>
        <v>0</v>
      </c>
      <c r="AG192" s="54">
        <f t="shared" si="76"/>
        <v>0</v>
      </c>
      <c r="AH192" s="54">
        <f t="shared" si="76"/>
        <v>0</v>
      </c>
      <c r="AI192" s="54">
        <f t="shared" si="76"/>
        <v>0</v>
      </c>
      <c r="AJ192" s="54">
        <f t="shared" si="76"/>
        <v>0</v>
      </c>
      <c r="AK192" s="54">
        <f t="shared" ref="AK192" si="89">IF($E93+365&lt;$C$56,0,IF($E93&lt;$C$56,(($E93+365-$C$56)/365)*(($C93/$BN$157)+($D93/$BN$158)),IF($E93&gt;AK$166,0,IF($E93+365&lt;AK$166,($C93/$BN$157)+($D93/$BN$158),((AK$166-$E93)/365)*(($C93/$BN$157)+($D93/$BN$158))))))</f>
        <v>0</v>
      </c>
      <c r="AL192" s="24">
        <f t="shared" si="52"/>
        <v>0</v>
      </c>
      <c r="AM192" s="24">
        <f t="shared" si="53"/>
        <v>0</v>
      </c>
      <c r="AN192" s="55">
        <f t="shared" si="54"/>
        <v>0</v>
      </c>
      <c r="AO192" s="55">
        <f t="shared" si="55"/>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2"/>
        <v>0</v>
      </c>
      <c r="H193" s="12">
        <f t="shared" si="81"/>
        <v>0</v>
      </c>
      <c r="I193" s="12">
        <f t="shared" si="81"/>
        <v>0</v>
      </c>
      <c r="J193" s="12">
        <f t="shared" si="81"/>
        <v>0</v>
      </c>
      <c r="K193" s="12">
        <f t="shared" si="44"/>
        <v>0</v>
      </c>
      <c r="L193" s="12">
        <f t="shared" si="82"/>
        <v>0</v>
      </c>
      <c r="M193" s="12">
        <f t="shared" si="82"/>
        <v>0</v>
      </c>
      <c r="N193" s="12">
        <f t="shared" si="82"/>
        <v>0</v>
      </c>
      <c r="O193" s="12">
        <f t="shared" si="46"/>
        <v>0</v>
      </c>
      <c r="P193" s="12">
        <f t="shared" si="83"/>
        <v>0</v>
      </c>
      <c r="Q193" s="12">
        <f t="shared" si="83"/>
        <v>0</v>
      </c>
      <c r="T193" s="61"/>
      <c r="U193" s="61"/>
      <c r="V193" s="61"/>
      <c r="W193" s="53">
        <f t="shared" si="48"/>
        <v>0</v>
      </c>
      <c r="X193" s="54" t="e">
        <f t="shared" si="49"/>
        <v>#DIV/0!</v>
      </c>
      <c r="Y193" s="25">
        <f t="shared" si="56"/>
        <v>0</v>
      </c>
      <c r="Z193" s="54">
        <f t="shared" si="61"/>
        <v>0</v>
      </c>
      <c r="AA193" s="54">
        <f t="shared" si="76"/>
        <v>0</v>
      </c>
      <c r="AB193" s="54">
        <f t="shared" si="76"/>
        <v>0</v>
      </c>
      <c r="AC193" s="54">
        <f t="shared" si="76"/>
        <v>0</v>
      </c>
      <c r="AD193" s="54">
        <f t="shared" si="76"/>
        <v>0</v>
      </c>
      <c r="AE193" s="54">
        <f t="shared" si="76"/>
        <v>0</v>
      </c>
      <c r="AF193" s="54">
        <f t="shared" si="76"/>
        <v>0</v>
      </c>
      <c r="AG193" s="54">
        <f t="shared" si="76"/>
        <v>0</v>
      </c>
      <c r="AH193" s="54">
        <f t="shared" si="76"/>
        <v>0</v>
      </c>
      <c r="AI193" s="54">
        <f t="shared" si="76"/>
        <v>0</v>
      </c>
      <c r="AJ193" s="54">
        <f t="shared" si="76"/>
        <v>0</v>
      </c>
      <c r="AK193" s="54">
        <f t="shared" ref="AK193" si="90">IF($E94+365&lt;$C$56,0,IF($E94&lt;$C$56,(($E94+365-$C$56)/365)*(($C94/$BN$157)+($D94/$BN$158)),IF($E94&gt;AK$166,0,IF($E94+365&lt;AK$166,($C94/$BN$157)+($D94/$BN$158),((AK$166-$E94)/365)*(($C94/$BN$157)+($D94/$BN$158))))))</f>
        <v>0</v>
      </c>
      <c r="AL193" s="24">
        <f t="shared" si="52"/>
        <v>0</v>
      </c>
      <c r="AM193" s="24">
        <f t="shared" si="53"/>
        <v>0</v>
      </c>
      <c r="AN193" s="55">
        <f t="shared" si="54"/>
        <v>0</v>
      </c>
      <c r="AO193" s="55">
        <f t="shared" si="55"/>
        <v>0</v>
      </c>
      <c r="AP193" s="24"/>
      <c r="AQ193" s="24"/>
      <c r="AR193" s="24"/>
      <c r="AS193" s="24"/>
      <c r="AT193" s="24"/>
      <c r="AU193" s="24"/>
      <c r="AV193" s="24"/>
      <c r="AW193" s="24"/>
      <c r="AX193" s="24"/>
      <c r="AY193" s="24"/>
    </row>
    <row r="194" spans="7:51">
      <c r="G194" s="12">
        <f t="shared" si="42"/>
        <v>0</v>
      </c>
      <c r="H194" s="12">
        <f t="shared" si="81"/>
        <v>0</v>
      </c>
      <c r="I194" s="12">
        <f t="shared" si="81"/>
        <v>0</v>
      </c>
      <c r="J194" s="12">
        <f t="shared" si="81"/>
        <v>0</v>
      </c>
      <c r="K194" s="12">
        <f t="shared" si="44"/>
        <v>0</v>
      </c>
      <c r="L194" s="12">
        <f t="shared" si="82"/>
        <v>0</v>
      </c>
      <c r="M194" s="12">
        <f t="shared" si="82"/>
        <v>0</v>
      </c>
      <c r="N194" s="12">
        <f t="shared" si="82"/>
        <v>0</v>
      </c>
      <c r="O194" s="12">
        <f t="shared" si="46"/>
        <v>0</v>
      </c>
      <c r="P194" s="12">
        <f t="shared" si="83"/>
        <v>0</v>
      </c>
      <c r="Q194" s="12">
        <f t="shared" si="83"/>
        <v>0</v>
      </c>
      <c r="T194" s="61"/>
      <c r="U194" s="61"/>
      <c r="V194" s="61"/>
      <c r="W194" s="53">
        <f t="shared" si="48"/>
        <v>0</v>
      </c>
      <c r="X194" s="54" t="e">
        <f t="shared" si="49"/>
        <v>#DIV/0!</v>
      </c>
      <c r="Y194" s="25">
        <f t="shared" si="56"/>
        <v>0</v>
      </c>
      <c r="Z194" s="54">
        <f t="shared" si="61"/>
        <v>0</v>
      </c>
      <c r="AA194" s="54">
        <f t="shared" si="76"/>
        <v>0</v>
      </c>
      <c r="AB194" s="54">
        <f t="shared" si="76"/>
        <v>0</v>
      </c>
      <c r="AC194" s="54">
        <f t="shared" si="76"/>
        <v>0</v>
      </c>
      <c r="AD194" s="54">
        <f t="shared" si="76"/>
        <v>0</v>
      </c>
      <c r="AE194" s="54">
        <f t="shared" si="76"/>
        <v>0</v>
      </c>
      <c r="AF194" s="54">
        <f t="shared" si="76"/>
        <v>0</v>
      </c>
      <c r="AG194" s="54">
        <f t="shared" si="76"/>
        <v>0</v>
      </c>
      <c r="AH194" s="54">
        <f t="shared" si="76"/>
        <v>0</v>
      </c>
      <c r="AI194" s="54">
        <f t="shared" si="76"/>
        <v>0</v>
      </c>
      <c r="AJ194" s="54">
        <f t="shared" si="76"/>
        <v>0</v>
      </c>
      <c r="AK194" s="54">
        <f t="shared" ref="AK194" si="91">IF($E95+365&lt;$C$56,0,IF($E95&lt;$C$56,(($E95+365-$C$56)/365)*(($C95/$BN$157)+($D95/$BN$158)),IF($E95&gt;AK$166,0,IF($E95+365&lt;AK$166,($C95/$BN$157)+($D95/$BN$158),((AK$166-$E95)/365)*(($C95/$BN$157)+($D95/$BN$158))))))</f>
        <v>0</v>
      </c>
      <c r="AL194" s="24">
        <f t="shared" si="52"/>
        <v>0</v>
      </c>
      <c r="AM194" s="24">
        <f t="shared" si="53"/>
        <v>0</v>
      </c>
      <c r="AN194" s="55">
        <f t="shared" si="54"/>
        <v>0</v>
      </c>
      <c r="AO194" s="55">
        <f t="shared" si="55"/>
        <v>0</v>
      </c>
      <c r="AP194" s="24"/>
      <c r="AQ194" s="24"/>
      <c r="AR194" s="24"/>
      <c r="AS194" s="24"/>
      <c r="AT194" s="24"/>
      <c r="AU194" s="24"/>
      <c r="AV194" s="24"/>
      <c r="AW194" s="24"/>
      <c r="AX194" s="24"/>
      <c r="AY194" s="24"/>
    </row>
    <row r="195" spans="7:51">
      <c r="G195" s="12">
        <f t="shared" si="42"/>
        <v>0</v>
      </c>
      <c r="H195" s="12">
        <f t="shared" si="81"/>
        <v>0</v>
      </c>
      <c r="I195" s="12">
        <f t="shared" si="81"/>
        <v>0</v>
      </c>
      <c r="J195" s="12">
        <f t="shared" si="81"/>
        <v>0</v>
      </c>
      <c r="K195" s="12">
        <f t="shared" si="44"/>
        <v>0</v>
      </c>
      <c r="L195" s="12">
        <f t="shared" si="82"/>
        <v>0</v>
      </c>
      <c r="M195" s="12">
        <f t="shared" si="82"/>
        <v>0</v>
      </c>
      <c r="N195" s="12">
        <f t="shared" si="82"/>
        <v>0</v>
      </c>
      <c r="O195" s="12">
        <f t="shared" si="46"/>
        <v>0</v>
      </c>
      <c r="P195" s="12">
        <f t="shared" si="83"/>
        <v>0</v>
      </c>
      <c r="Q195" s="12">
        <f t="shared" si="83"/>
        <v>0</v>
      </c>
      <c r="T195" s="61"/>
      <c r="U195" s="61"/>
      <c r="V195" s="61"/>
      <c r="W195" s="53">
        <f t="shared" si="48"/>
        <v>0</v>
      </c>
      <c r="X195" s="54" t="e">
        <f t="shared" si="49"/>
        <v>#DIV/0!</v>
      </c>
      <c r="Y195" s="25">
        <f t="shared" si="56"/>
        <v>0</v>
      </c>
      <c r="Z195" s="54">
        <f t="shared" si="61"/>
        <v>0</v>
      </c>
      <c r="AA195" s="54">
        <f t="shared" si="76"/>
        <v>0</v>
      </c>
      <c r="AB195" s="54">
        <f t="shared" si="76"/>
        <v>0</v>
      </c>
      <c r="AC195" s="54">
        <f t="shared" si="76"/>
        <v>0</v>
      </c>
      <c r="AD195" s="54">
        <f t="shared" si="76"/>
        <v>0</v>
      </c>
      <c r="AE195" s="54">
        <f t="shared" si="76"/>
        <v>0</v>
      </c>
      <c r="AF195" s="54">
        <f t="shared" si="76"/>
        <v>0</v>
      </c>
      <c r="AG195" s="54">
        <f t="shared" si="76"/>
        <v>0</v>
      </c>
      <c r="AH195" s="54">
        <f t="shared" si="76"/>
        <v>0</v>
      </c>
      <c r="AI195" s="54">
        <f t="shared" si="76"/>
        <v>0</v>
      </c>
      <c r="AJ195" s="54">
        <f t="shared" si="76"/>
        <v>0</v>
      </c>
      <c r="AK195" s="54">
        <f t="shared" ref="AK195" si="92">IF($E96+365&lt;$C$56,0,IF($E96&lt;$C$56,(($E96+365-$C$56)/365)*(($C96/$BN$157)+($D96/$BN$158)),IF($E96&gt;AK$166,0,IF($E96+365&lt;AK$166,($C96/$BN$157)+($D96/$BN$158),((AK$166-$E96)/365)*(($C96/$BN$157)+($D96/$BN$158))))))</f>
        <v>0</v>
      </c>
      <c r="AL195" s="24">
        <f t="shared" si="52"/>
        <v>0</v>
      </c>
      <c r="AM195" s="24">
        <f t="shared" si="53"/>
        <v>0</v>
      </c>
      <c r="AN195" s="55">
        <f t="shared" si="54"/>
        <v>0</v>
      </c>
      <c r="AO195" s="55">
        <f t="shared" si="55"/>
        <v>0</v>
      </c>
      <c r="AP195" s="24"/>
      <c r="AQ195" s="24"/>
      <c r="AR195" s="24"/>
      <c r="AS195" s="24"/>
      <c r="AT195" s="24"/>
      <c r="AU195" s="24"/>
      <c r="AV195" s="24"/>
      <c r="AW195" s="24"/>
      <c r="AX195" s="24"/>
      <c r="AY195" s="24"/>
    </row>
    <row r="196" spans="7:51">
      <c r="G196" s="12">
        <f t="shared" si="42"/>
        <v>0</v>
      </c>
      <c r="H196" s="12">
        <f t="shared" si="81"/>
        <v>0</v>
      </c>
      <c r="I196" s="12">
        <f t="shared" si="81"/>
        <v>0</v>
      </c>
      <c r="J196" s="12">
        <f t="shared" si="81"/>
        <v>0</v>
      </c>
      <c r="K196" s="12">
        <f t="shared" si="44"/>
        <v>0</v>
      </c>
      <c r="L196" s="12">
        <f t="shared" si="82"/>
        <v>0</v>
      </c>
      <c r="M196" s="12">
        <f t="shared" si="82"/>
        <v>0</v>
      </c>
      <c r="N196" s="12">
        <f t="shared" si="82"/>
        <v>0</v>
      </c>
      <c r="O196" s="12">
        <f t="shared" si="46"/>
        <v>0</v>
      </c>
      <c r="P196" s="12">
        <f t="shared" si="83"/>
        <v>0</v>
      </c>
      <c r="Q196" s="12">
        <f t="shared" si="83"/>
        <v>0</v>
      </c>
      <c r="T196" s="61"/>
      <c r="U196" s="61"/>
      <c r="V196" s="61"/>
      <c r="W196" s="53">
        <f t="shared" si="48"/>
        <v>0</v>
      </c>
      <c r="X196" s="54" t="e">
        <f t="shared" si="49"/>
        <v>#DIV/0!</v>
      </c>
      <c r="Y196" s="25">
        <f t="shared" si="56"/>
        <v>0</v>
      </c>
      <c r="Z196" s="54">
        <f t="shared" si="61"/>
        <v>0</v>
      </c>
      <c r="AA196" s="54">
        <f t="shared" si="76"/>
        <v>0</v>
      </c>
      <c r="AB196" s="54">
        <f t="shared" si="76"/>
        <v>0</v>
      </c>
      <c r="AC196" s="54">
        <f t="shared" si="76"/>
        <v>0</v>
      </c>
      <c r="AD196" s="54">
        <f t="shared" si="76"/>
        <v>0</v>
      </c>
      <c r="AE196" s="54">
        <f t="shared" si="76"/>
        <v>0</v>
      </c>
      <c r="AF196" s="54">
        <f t="shared" si="76"/>
        <v>0</v>
      </c>
      <c r="AG196" s="54">
        <f t="shared" si="76"/>
        <v>0</v>
      </c>
      <c r="AH196" s="54">
        <f t="shared" si="76"/>
        <v>0</v>
      </c>
      <c r="AI196" s="54">
        <f t="shared" si="76"/>
        <v>0</v>
      </c>
      <c r="AJ196" s="54">
        <f t="shared" si="76"/>
        <v>0</v>
      </c>
      <c r="AK196" s="54">
        <f t="shared" ref="AK196" si="93">IF($E97+365&lt;$C$56,0,IF($E97&lt;$C$56,(($E97+365-$C$56)/365)*(($C97/$BN$157)+($D97/$BN$158)),IF($E97&gt;AK$166,0,IF($E97+365&lt;AK$166,($C97/$BN$157)+($D97/$BN$158),((AK$166-$E97)/365)*(($C97/$BN$157)+($D97/$BN$158))))))</f>
        <v>0</v>
      </c>
      <c r="AL196" s="24">
        <f t="shared" si="52"/>
        <v>0</v>
      </c>
      <c r="AM196" s="24">
        <f t="shared" si="53"/>
        <v>0</v>
      </c>
      <c r="AN196" s="55">
        <f t="shared" si="54"/>
        <v>0</v>
      </c>
      <c r="AO196" s="55">
        <f t="shared" si="55"/>
        <v>0</v>
      </c>
      <c r="AP196" s="24"/>
      <c r="AQ196" s="24"/>
      <c r="AR196" s="24"/>
      <c r="AS196" s="24"/>
      <c r="AT196" s="24"/>
      <c r="AU196" s="24"/>
      <c r="AV196" s="24"/>
      <c r="AW196" s="24"/>
      <c r="AX196" s="24"/>
      <c r="AY196" s="24"/>
    </row>
    <row r="197" spans="7:51">
      <c r="G197" s="12">
        <f t="shared" si="42"/>
        <v>0</v>
      </c>
      <c r="H197" s="12">
        <f t="shared" si="81"/>
        <v>0</v>
      </c>
      <c r="I197" s="12">
        <f t="shared" si="81"/>
        <v>0</v>
      </c>
      <c r="J197" s="12">
        <f t="shared" si="81"/>
        <v>0</v>
      </c>
      <c r="K197" s="12">
        <f t="shared" si="44"/>
        <v>0</v>
      </c>
      <c r="L197" s="12">
        <f t="shared" si="82"/>
        <v>0</v>
      </c>
      <c r="M197" s="12">
        <f t="shared" si="82"/>
        <v>0</v>
      </c>
      <c r="N197" s="12">
        <f t="shared" si="82"/>
        <v>0</v>
      </c>
      <c r="O197" s="12">
        <f t="shared" si="46"/>
        <v>0</v>
      </c>
      <c r="P197" s="12">
        <f t="shared" si="83"/>
        <v>0</v>
      </c>
      <c r="Q197" s="12">
        <f t="shared" si="83"/>
        <v>0</v>
      </c>
      <c r="T197" s="61"/>
      <c r="U197" s="61"/>
      <c r="V197" s="61"/>
      <c r="W197" s="53">
        <f t="shared" si="48"/>
        <v>0</v>
      </c>
      <c r="X197" s="54" t="e">
        <f t="shared" si="49"/>
        <v>#DIV/0!</v>
      </c>
      <c r="Y197" s="25">
        <f t="shared" si="56"/>
        <v>0</v>
      </c>
      <c r="Z197" s="54">
        <f t="shared" si="61"/>
        <v>0</v>
      </c>
      <c r="AA197" s="54">
        <f t="shared" si="76"/>
        <v>0</v>
      </c>
      <c r="AB197" s="54">
        <f t="shared" si="76"/>
        <v>0</v>
      </c>
      <c r="AC197" s="54">
        <f t="shared" si="76"/>
        <v>0</v>
      </c>
      <c r="AD197" s="54">
        <f t="shared" si="76"/>
        <v>0</v>
      </c>
      <c r="AE197" s="54">
        <f t="shared" si="76"/>
        <v>0</v>
      </c>
      <c r="AF197" s="54">
        <f t="shared" si="76"/>
        <v>0</v>
      </c>
      <c r="AG197" s="54">
        <f t="shared" si="76"/>
        <v>0</v>
      </c>
      <c r="AH197" s="54">
        <f t="shared" si="76"/>
        <v>0</v>
      </c>
      <c r="AI197" s="54">
        <f t="shared" si="76"/>
        <v>0</v>
      </c>
      <c r="AJ197" s="54">
        <f t="shared" si="76"/>
        <v>0</v>
      </c>
      <c r="AK197" s="54">
        <f t="shared" ref="AK197" si="94">IF($E98+365&lt;$C$56,0,IF($E98&lt;$C$56,(($E98+365-$C$56)/365)*(($C98/$BN$157)+($D98/$BN$158)),IF($E98&gt;AK$166,0,IF($E98+365&lt;AK$166,($C98/$BN$157)+($D98/$BN$158),((AK$166-$E98)/365)*(($C98/$BN$157)+($D98/$BN$158))))))</f>
        <v>0</v>
      </c>
      <c r="AL197" s="24">
        <f t="shared" si="52"/>
        <v>0</v>
      </c>
      <c r="AM197" s="24">
        <f t="shared" si="53"/>
        <v>0</v>
      </c>
      <c r="AN197" s="55">
        <f t="shared" si="54"/>
        <v>0</v>
      </c>
      <c r="AO197" s="55">
        <f t="shared" si="55"/>
        <v>0</v>
      </c>
      <c r="AP197" s="24"/>
      <c r="AQ197" s="24"/>
      <c r="AR197" s="24"/>
      <c r="AS197" s="24"/>
      <c r="AT197" s="24"/>
      <c r="AU197" s="24"/>
      <c r="AV197" s="24"/>
      <c r="AW197" s="24"/>
      <c r="AX197" s="24"/>
      <c r="AY197" s="24"/>
    </row>
    <row r="198" spans="7:51">
      <c r="G198" s="12">
        <f t="shared" si="42"/>
        <v>0</v>
      </c>
      <c r="H198" s="12">
        <f t="shared" si="81"/>
        <v>0</v>
      </c>
      <c r="I198" s="12">
        <f t="shared" si="81"/>
        <v>0</v>
      </c>
      <c r="J198" s="12">
        <f t="shared" si="81"/>
        <v>0</v>
      </c>
      <c r="K198" s="12">
        <f t="shared" si="44"/>
        <v>0</v>
      </c>
      <c r="L198" s="12">
        <f t="shared" si="82"/>
        <v>0</v>
      </c>
      <c r="M198" s="12">
        <f t="shared" si="82"/>
        <v>0</v>
      </c>
      <c r="N198" s="12">
        <f t="shared" si="82"/>
        <v>0</v>
      </c>
      <c r="O198" s="12">
        <f t="shared" si="46"/>
        <v>0</v>
      </c>
      <c r="P198" s="12">
        <f t="shared" si="83"/>
        <v>0</v>
      </c>
      <c r="Q198" s="12">
        <f t="shared" si="83"/>
        <v>0</v>
      </c>
      <c r="T198" s="61"/>
      <c r="U198" s="61"/>
      <c r="V198" s="61"/>
      <c r="W198" s="53">
        <f t="shared" si="48"/>
        <v>0</v>
      </c>
      <c r="X198" s="54" t="e">
        <f t="shared" si="49"/>
        <v>#DIV/0!</v>
      </c>
      <c r="Y198" s="25">
        <f t="shared" si="56"/>
        <v>0</v>
      </c>
      <c r="Z198" s="54">
        <f t="shared" si="61"/>
        <v>0</v>
      </c>
      <c r="AA198" s="54">
        <f t="shared" si="76"/>
        <v>0</v>
      </c>
      <c r="AB198" s="54">
        <f t="shared" si="76"/>
        <v>0</v>
      </c>
      <c r="AC198" s="54">
        <f t="shared" si="76"/>
        <v>0</v>
      </c>
      <c r="AD198" s="54">
        <f t="shared" si="76"/>
        <v>0</v>
      </c>
      <c r="AE198" s="54">
        <f t="shared" si="76"/>
        <v>0</v>
      </c>
      <c r="AF198" s="54">
        <f t="shared" si="76"/>
        <v>0</v>
      </c>
      <c r="AG198" s="54">
        <f t="shared" si="76"/>
        <v>0</v>
      </c>
      <c r="AH198" s="54">
        <f t="shared" si="76"/>
        <v>0</v>
      </c>
      <c r="AI198" s="54">
        <f t="shared" si="76"/>
        <v>0</v>
      </c>
      <c r="AJ198" s="54">
        <f t="shared" si="76"/>
        <v>0</v>
      </c>
      <c r="AK198" s="54">
        <f t="shared" ref="AK198" si="95">IF($E99+365&lt;$C$56,0,IF($E99&lt;$C$56,(($E99+365-$C$56)/365)*(($C99/$BN$157)+($D99/$BN$158)),IF($E99&gt;AK$166,0,IF($E99+365&lt;AK$166,($C99/$BN$157)+($D99/$BN$158),((AK$166-$E99)/365)*(($C99/$BN$157)+($D99/$BN$158))))))</f>
        <v>0</v>
      </c>
      <c r="AL198" s="24">
        <f t="shared" si="52"/>
        <v>0</v>
      </c>
      <c r="AM198" s="24">
        <f t="shared" si="53"/>
        <v>0</v>
      </c>
      <c r="AN198" s="55">
        <f t="shared" si="54"/>
        <v>0</v>
      </c>
      <c r="AO198" s="55">
        <f t="shared" si="55"/>
        <v>0</v>
      </c>
      <c r="AP198" s="24"/>
      <c r="AQ198" s="24"/>
      <c r="AR198" s="24"/>
      <c r="AS198" s="24"/>
      <c r="AT198" s="24"/>
      <c r="AU198" s="24"/>
      <c r="AV198" s="24"/>
      <c r="AW198" s="24"/>
      <c r="AX198" s="24"/>
      <c r="AY198" s="24"/>
    </row>
    <row r="199" spans="7:51">
      <c r="G199" s="12">
        <f t="shared" si="42"/>
        <v>0</v>
      </c>
      <c r="H199" s="12">
        <f t="shared" si="81"/>
        <v>0</v>
      </c>
      <c r="I199" s="12">
        <f t="shared" si="81"/>
        <v>0</v>
      </c>
      <c r="J199" s="12">
        <f t="shared" si="81"/>
        <v>0</v>
      </c>
      <c r="K199" s="12">
        <f t="shared" si="44"/>
        <v>0</v>
      </c>
      <c r="L199" s="12">
        <f t="shared" si="82"/>
        <v>0</v>
      </c>
      <c r="M199" s="12">
        <f t="shared" si="82"/>
        <v>0</v>
      </c>
      <c r="N199" s="12">
        <f t="shared" si="82"/>
        <v>0</v>
      </c>
      <c r="O199" s="12">
        <f t="shared" si="46"/>
        <v>0</v>
      </c>
      <c r="P199" s="12">
        <f t="shared" si="83"/>
        <v>0</v>
      </c>
      <c r="Q199" s="12">
        <f t="shared" si="83"/>
        <v>0</v>
      </c>
      <c r="T199" s="61"/>
      <c r="U199" s="61"/>
      <c r="V199" s="61"/>
      <c r="W199" s="53">
        <f t="shared" si="48"/>
        <v>0</v>
      </c>
      <c r="X199" s="54" t="e">
        <f t="shared" si="49"/>
        <v>#DIV/0!</v>
      </c>
      <c r="Y199" s="25">
        <f t="shared" si="56"/>
        <v>0</v>
      </c>
      <c r="Z199" s="54">
        <f t="shared" si="61"/>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2"/>
        <v>0</v>
      </c>
      <c r="AM199" s="24">
        <f t="shared" si="53"/>
        <v>0</v>
      </c>
      <c r="AN199" s="55">
        <f t="shared" si="54"/>
        <v>0</v>
      </c>
      <c r="AO199" s="55">
        <f t="shared" si="55"/>
        <v>0</v>
      </c>
      <c r="AP199" s="24"/>
      <c r="AQ199" s="24"/>
      <c r="AR199" s="24"/>
      <c r="AS199" s="24"/>
      <c r="AT199" s="24"/>
      <c r="AU199" s="24"/>
      <c r="AV199" s="24"/>
      <c r="AW199" s="24"/>
      <c r="AX199" s="24"/>
      <c r="AY199" s="24"/>
    </row>
    <row r="200" spans="7:51">
      <c r="G200" s="12">
        <f t="shared" si="42"/>
        <v>0</v>
      </c>
      <c r="H200" s="12">
        <f t="shared" si="81"/>
        <v>0</v>
      </c>
      <c r="I200" s="12">
        <f t="shared" si="81"/>
        <v>0</v>
      </c>
      <c r="J200" s="12">
        <f t="shared" si="81"/>
        <v>0</v>
      </c>
      <c r="K200" s="12">
        <f t="shared" si="44"/>
        <v>0</v>
      </c>
      <c r="L200" s="12">
        <f t="shared" si="82"/>
        <v>0</v>
      </c>
      <c r="M200" s="12">
        <f t="shared" si="82"/>
        <v>0</v>
      </c>
      <c r="N200" s="12">
        <f t="shared" si="82"/>
        <v>0</v>
      </c>
      <c r="O200" s="12">
        <f t="shared" si="46"/>
        <v>0</v>
      </c>
      <c r="P200" s="12">
        <f t="shared" si="83"/>
        <v>0</v>
      </c>
      <c r="Q200" s="12">
        <f t="shared" si="83"/>
        <v>0</v>
      </c>
      <c r="T200" s="61"/>
      <c r="U200" s="61"/>
      <c r="V200" s="61"/>
      <c r="W200" s="53">
        <f t="shared" si="48"/>
        <v>0</v>
      </c>
      <c r="X200" s="54" t="e">
        <f t="shared" si="49"/>
        <v>#DIV/0!</v>
      </c>
      <c r="Y200" s="25">
        <f t="shared" si="56"/>
        <v>0</v>
      </c>
      <c r="Z200" s="54">
        <f t="shared" si="61"/>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2"/>
        <v>0</v>
      </c>
      <c r="AM200" s="24">
        <f t="shared" si="53"/>
        <v>0</v>
      </c>
      <c r="AN200" s="55">
        <f t="shared" si="54"/>
        <v>0</v>
      </c>
      <c r="AO200" s="55">
        <f t="shared" si="55"/>
        <v>0</v>
      </c>
      <c r="AP200" s="24"/>
      <c r="AQ200" s="24"/>
      <c r="AR200" s="24"/>
      <c r="AS200" s="24"/>
      <c r="AT200" s="24"/>
      <c r="AU200" s="24"/>
      <c r="AV200" s="24"/>
      <c r="AW200" s="24"/>
      <c r="AX200" s="24"/>
      <c r="AY200" s="24"/>
    </row>
    <row r="201" spans="7:51">
      <c r="G201" s="12">
        <f t="shared" si="42"/>
        <v>0</v>
      </c>
      <c r="H201" s="12">
        <f t="shared" si="81"/>
        <v>0</v>
      </c>
      <c r="I201" s="12">
        <f t="shared" si="81"/>
        <v>0</v>
      </c>
      <c r="J201" s="12">
        <f t="shared" si="81"/>
        <v>0</v>
      </c>
      <c r="K201" s="12">
        <f t="shared" si="44"/>
        <v>0</v>
      </c>
      <c r="L201" s="12">
        <f t="shared" si="82"/>
        <v>0</v>
      </c>
      <c r="M201" s="12">
        <f t="shared" si="82"/>
        <v>0</v>
      </c>
      <c r="N201" s="12">
        <f t="shared" si="82"/>
        <v>0</v>
      </c>
      <c r="O201" s="12">
        <f t="shared" si="46"/>
        <v>0</v>
      </c>
      <c r="P201" s="12">
        <f t="shared" si="83"/>
        <v>0</v>
      </c>
      <c r="Q201" s="12">
        <f t="shared" si="83"/>
        <v>0</v>
      </c>
      <c r="T201" s="61"/>
      <c r="U201" s="61"/>
      <c r="V201" s="61"/>
      <c r="W201" s="53">
        <f t="shared" si="48"/>
        <v>0</v>
      </c>
      <c r="X201" s="54" t="e">
        <f t="shared" si="49"/>
        <v>#DIV/0!</v>
      </c>
      <c r="Y201" s="25">
        <f t="shared" si="56"/>
        <v>0</v>
      </c>
      <c r="Z201" s="54">
        <f t="shared" si="61"/>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2"/>
        <v>0</v>
      </c>
      <c r="AM201" s="24">
        <f t="shared" si="53"/>
        <v>0</v>
      </c>
      <c r="AN201" s="55">
        <f t="shared" si="54"/>
        <v>0</v>
      </c>
      <c r="AO201" s="55">
        <f t="shared" si="55"/>
        <v>0</v>
      </c>
      <c r="AP201" s="24"/>
      <c r="AQ201" s="24"/>
      <c r="AR201" s="24"/>
      <c r="AS201" s="24"/>
      <c r="AT201" s="24"/>
      <c r="AU201" s="24"/>
      <c r="AV201" s="24"/>
      <c r="AW201" s="24"/>
      <c r="AX201" s="24"/>
      <c r="AY201" s="24"/>
    </row>
    <row r="202" spans="7:51">
      <c r="G202" s="12">
        <f t="shared" si="42"/>
        <v>0</v>
      </c>
      <c r="H202" s="12">
        <f t="shared" si="81"/>
        <v>0</v>
      </c>
      <c r="I202" s="12">
        <f t="shared" si="81"/>
        <v>0</v>
      </c>
      <c r="J202" s="12">
        <f t="shared" si="81"/>
        <v>0</v>
      </c>
      <c r="K202" s="12">
        <f t="shared" si="44"/>
        <v>0</v>
      </c>
      <c r="L202" s="12">
        <f t="shared" si="82"/>
        <v>0</v>
      </c>
      <c r="M202" s="12">
        <f t="shared" si="82"/>
        <v>0</v>
      </c>
      <c r="N202" s="12">
        <f t="shared" si="82"/>
        <v>0</v>
      </c>
      <c r="O202" s="12">
        <f t="shared" si="46"/>
        <v>0</v>
      </c>
      <c r="P202" s="12">
        <f t="shared" si="83"/>
        <v>0</v>
      </c>
      <c r="Q202" s="12">
        <f t="shared" si="83"/>
        <v>0</v>
      </c>
      <c r="T202" s="61"/>
      <c r="U202" s="61"/>
      <c r="V202" s="61"/>
      <c r="W202" s="53">
        <f t="shared" si="48"/>
        <v>0</v>
      </c>
      <c r="X202" s="54" t="e">
        <f t="shared" si="49"/>
        <v>#DIV/0!</v>
      </c>
      <c r="Y202" s="25">
        <f t="shared" si="56"/>
        <v>0</v>
      </c>
      <c r="Z202" s="54">
        <f t="shared" si="61"/>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2"/>
        <v>0</v>
      </c>
      <c r="AM202" s="24">
        <f t="shared" si="53"/>
        <v>0</v>
      </c>
      <c r="AN202" s="55">
        <f t="shared" si="54"/>
        <v>0</v>
      </c>
      <c r="AO202" s="55">
        <f t="shared" si="55"/>
        <v>0</v>
      </c>
      <c r="AP202" s="24"/>
      <c r="AQ202" s="24"/>
      <c r="AR202" s="24"/>
      <c r="AS202" s="24"/>
      <c r="AT202" s="24"/>
      <c r="AU202" s="24"/>
      <c r="AV202" s="24"/>
      <c r="AW202" s="24"/>
      <c r="AX202" s="24"/>
      <c r="AY202" s="24"/>
    </row>
    <row r="203" spans="7:51">
      <c r="G203" s="12">
        <f t="shared" si="42"/>
        <v>0</v>
      </c>
      <c r="H203" s="12">
        <f t="shared" si="81"/>
        <v>0</v>
      </c>
      <c r="I203" s="12">
        <f t="shared" si="81"/>
        <v>0</v>
      </c>
      <c r="J203" s="12">
        <f t="shared" si="81"/>
        <v>0</v>
      </c>
      <c r="K203" s="12">
        <f t="shared" si="44"/>
        <v>0</v>
      </c>
      <c r="L203" s="12">
        <f t="shared" si="82"/>
        <v>0</v>
      </c>
      <c r="M203" s="12">
        <f t="shared" si="82"/>
        <v>0</v>
      </c>
      <c r="N203" s="12">
        <f t="shared" si="82"/>
        <v>0</v>
      </c>
      <c r="O203" s="12">
        <f t="shared" si="46"/>
        <v>0</v>
      </c>
      <c r="P203" s="12">
        <f t="shared" si="83"/>
        <v>0</v>
      </c>
      <c r="Q203" s="12">
        <f t="shared" si="83"/>
        <v>0</v>
      </c>
      <c r="T203" s="61"/>
      <c r="U203" s="61"/>
      <c r="V203" s="61"/>
      <c r="W203" s="53">
        <f t="shared" si="48"/>
        <v>0</v>
      </c>
      <c r="X203" s="54" t="e">
        <f t="shared" si="49"/>
        <v>#DIV/0!</v>
      </c>
      <c r="Y203" s="25">
        <f t="shared" si="56"/>
        <v>0</v>
      </c>
      <c r="Z203" s="54">
        <f t="shared" si="61"/>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2"/>
        <v>0</v>
      </c>
      <c r="AM203" s="24">
        <f t="shared" si="53"/>
        <v>0</v>
      </c>
      <c r="AN203" s="55">
        <f t="shared" si="54"/>
        <v>0</v>
      </c>
      <c r="AO203" s="55">
        <f t="shared" si="55"/>
        <v>0</v>
      </c>
      <c r="AP203" s="24"/>
      <c r="AQ203" s="24"/>
      <c r="AR203" s="24"/>
      <c r="AS203" s="24"/>
      <c r="AT203" s="24"/>
      <c r="AU203" s="24"/>
      <c r="AV203" s="24"/>
      <c r="AW203" s="24"/>
      <c r="AX203" s="24"/>
      <c r="AY203" s="24"/>
    </row>
    <row r="204" spans="7:51">
      <c r="G204" s="12">
        <f t="shared" si="42"/>
        <v>0</v>
      </c>
      <c r="H204" s="12">
        <f t="shared" si="81"/>
        <v>0</v>
      </c>
      <c r="I204" s="12">
        <f t="shared" si="81"/>
        <v>0</v>
      </c>
      <c r="J204" s="12">
        <f t="shared" si="81"/>
        <v>0</v>
      </c>
      <c r="K204" s="12">
        <f t="shared" si="44"/>
        <v>0</v>
      </c>
      <c r="L204" s="12">
        <f t="shared" si="82"/>
        <v>0</v>
      </c>
      <c r="M204" s="12">
        <f t="shared" si="82"/>
        <v>0</v>
      </c>
      <c r="N204" s="12">
        <f t="shared" si="82"/>
        <v>0</v>
      </c>
      <c r="O204" s="12">
        <f t="shared" si="46"/>
        <v>0</v>
      </c>
      <c r="P204" s="12">
        <f t="shared" si="83"/>
        <v>0</v>
      </c>
      <c r="Q204" s="12">
        <f t="shared" si="83"/>
        <v>0</v>
      </c>
      <c r="T204" s="61"/>
      <c r="U204" s="61"/>
      <c r="V204" s="61"/>
      <c r="W204" s="53">
        <f t="shared" si="48"/>
        <v>0</v>
      </c>
      <c r="X204" s="54" t="e">
        <f t="shared" si="49"/>
        <v>#DIV/0!</v>
      </c>
      <c r="Y204" s="25">
        <f t="shared" si="56"/>
        <v>0</v>
      </c>
      <c r="Z204" s="54">
        <f t="shared" si="61"/>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2"/>
        <v>0</v>
      </c>
      <c r="AM204" s="24">
        <f t="shared" si="53"/>
        <v>0</v>
      </c>
      <c r="AN204" s="55">
        <f t="shared" si="54"/>
        <v>0</v>
      </c>
      <c r="AO204" s="55">
        <f t="shared" si="55"/>
        <v>0</v>
      </c>
      <c r="AP204" s="24"/>
      <c r="AQ204" s="24"/>
      <c r="AR204" s="24"/>
      <c r="AS204" s="24"/>
      <c r="AT204" s="24"/>
      <c r="AU204" s="24"/>
      <c r="AV204" s="24"/>
      <c r="AW204" s="24"/>
      <c r="AX204" s="24"/>
      <c r="AY204" s="24"/>
    </row>
    <row r="205" spans="7:51">
      <c r="G205" s="12">
        <f t="shared" si="42"/>
        <v>0</v>
      </c>
      <c r="H205" s="12">
        <f t="shared" si="81"/>
        <v>0</v>
      </c>
      <c r="I205" s="12">
        <f t="shared" si="81"/>
        <v>0</v>
      </c>
      <c r="J205" s="12">
        <f t="shared" si="81"/>
        <v>0</v>
      </c>
      <c r="K205" s="12">
        <f t="shared" si="44"/>
        <v>0</v>
      </c>
      <c r="L205" s="12">
        <f t="shared" si="82"/>
        <v>0</v>
      </c>
      <c r="M205" s="12">
        <f t="shared" si="82"/>
        <v>0</v>
      </c>
      <c r="N205" s="12">
        <f t="shared" si="82"/>
        <v>0</v>
      </c>
      <c r="O205" s="12">
        <f t="shared" si="46"/>
        <v>0</v>
      </c>
      <c r="P205" s="12">
        <f t="shared" si="83"/>
        <v>0</v>
      </c>
      <c r="Q205" s="12">
        <f t="shared" si="83"/>
        <v>0</v>
      </c>
      <c r="T205" s="61"/>
      <c r="U205" s="61"/>
      <c r="V205" s="61"/>
      <c r="W205" s="53">
        <f t="shared" si="48"/>
        <v>0</v>
      </c>
      <c r="X205" s="54" t="e">
        <f t="shared" si="49"/>
        <v>#DIV/0!</v>
      </c>
      <c r="Y205" s="25">
        <f t="shared" si="56"/>
        <v>0</v>
      </c>
      <c r="Z205" s="54">
        <f t="shared" si="61"/>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2"/>
        <v>0</v>
      </c>
      <c r="AM205" s="24">
        <f t="shared" si="53"/>
        <v>0</v>
      </c>
      <c r="AN205" s="55">
        <f t="shared" si="54"/>
        <v>0</v>
      </c>
      <c r="AO205" s="55">
        <f t="shared" si="55"/>
        <v>0</v>
      </c>
      <c r="AP205" s="24"/>
      <c r="AQ205" s="24"/>
      <c r="AR205" s="24"/>
      <c r="AS205" s="24"/>
      <c r="AT205" s="24"/>
      <c r="AU205" s="24"/>
      <c r="AV205" s="24"/>
      <c r="AW205" s="24"/>
      <c r="AX205" s="24"/>
      <c r="AY205" s="24"/>
    </row>
    <row r="206" spans="7:51">
      <c r="G206" s="12">
        <f t="shared" si="42"/>
        <v>0</v>
      </c>
      <c r="H206" s="12">
        <f t="shared" si="81"/>
        <v>0</v>
      </c>
      <c r="I206" s="12">
        <f t="shared" si="81"/>
        <v>0</v>
      </c>
      <c r="J206" s="12">
        <f t="shared" si="81"/>
        <v>0</v>
      </c>
      <c r="K206" s="12">
        <f t="shared" si="44"/>
        <v>0</v>
      </c>
      <c r="L206" s="12">
        <f t="shared" si="82"/>
        <v>0</v>
      </c>
      <c r="M206" s="12">
        <f t="shared" si="82"/>
        <v>0</v>
      </c>
      <c r="N206" s="12">
        <f t="shared" si="82"/>
        <v>0</v>
      </c>
      <c r="O206" s="12">
        <f t="shared" si="46"/>
        <v>0</v>
      </c>
      <c r="P206" s="12">
        <f t="shared" si="83"/>
        <v>0</v>
      </c>
      <c r="Q206" s="12">
        <f t="shared" si="83"/>
        <v>0</v>
      </c>
      <c r="T206" s="61"/>
      <c r="U206" s="61"/>
      <c r="V206" s="61"/>
      <c r="W206" s="53">
        <f t="shared" si="48"/>
        <v>0</v>
      </c>
      <c r="X206" s="54" t="e">
        <f t="shared" si="49"/>
        <v>#DIV/0!</v>
      </c>
      <c r="Y206" s="25">
        <f t="shared" si="56"/>
        <v>0</v>
      </c>
      <c r="Z206" s="54">
        <f t="shared" si="61"/>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2"/>
        <v>0</v>
      </c>
      <c r="AM206" s="24">
        <f t="shared" si="53"/>
        <v>0</v>
      </c>
      <c r="AN206" s="55">
        <f t="shared" si="54"/>
        <v>0</v>
      </c>
      <c r="AO206" s="55">
        <f t="shared" si="55"/>
        <v>0</v>
      </c>
      <c r="AP206" s="24"/>
      <c r="AQ206" s="24"/>
      <c r="AR206" s="24"/>
      <c r="AS206" s="24"/>
      <c r="AT206" s="24"/>
      <c r="AU206" s="24"/>
      <c r="AV206" s="24"/>
      <c r="AW206" s="24"/>
      <c r="AX206" s="24"/>
      <c r="AY206" s="24"/>
    </row>
    <row r="207" spans="7:51">
      <c r="G207" s="12">
        <f t="shared" si="42"/>
        <v>0</v>
      </c>
      <c r="H207" s="12">
        <f t="shared" ref="H207:J209" si="105">IF($E109&gt;H$66,0,IF($E109&lt;H$66-365,$C109,0))</f>
        <v>0</v>
      </c>
      <c r="I207" s="12">
        <f t="shared" si="105"/>
        <v>0</v>
      </c>
      <c r="J207" s="12">
        <f t="shared" si="105"/>
        <v>0</v>
      </c>
      <c r="K207" s="12">
        <f t="shared" si="44"/>
        <v>0</v>
      </c>
      <c r="L207" s="12">
        <f t="shared" ref="L207:N209" si="106">IF($E109&gt;L$66,0,IF($E109&lt;L$66-365,$C109,0))</f>
        <v>0</v>
      </c>
      <c r="M207" s="12">
        <f t="shared" si="106"/>
        <v>0</v>
      </c>
      <c r="N207" s="12">
        <f t="shared" si="106"/>
        <v>0</v>
      </c>
      <c r="O207" s="12">
        <f t="shared" si="46"/>
        <v>0</v>
      </c>
      <c r="P207" s="12">
        <f t="shared" ref="P207:Q209" si="107">IF($E109&gt;P$66,0,IF($E109&lt;P$66-365,$C109,0))</f>
        <v>0</v>
      </c>
      <c r="Q207" s="12">
        <f t="shared" si="107"/>
        <v>0</v>
      </c>
      <c r="T207" s="61"/>
      <c r="U207" s="61"/>
      <c r="V207" s="61"/>
      <c r="W207" s="53">
        <f t="shared" si="48"/>
        <v>0</v>
      </c>
      <c r="X207" s="54" t="e">
        <f t="shared" si="49"/>
        <v>#DIV/0!</v>
      </c>
      <c r="Y207" s="25">
        <f t="shared" si="56"/>
        <v>0</v>
      </c>
      <c r="Z207" s="54">
        <f t="shared" si="61"/>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2"/>
        <v>0</v>
      </c>
      <c r="AM207" s="24">
        <f t="shared" si="53"/>
        <v>0</v>
      </c>
      <c r="AN207" s="55">
        <f t="shared" si="54"/>
        <v>0</v>
      </c>
      <c r="AO207" s="55">
        <f t="shared" si="55"/>
        <v>0</v>
      </c>
      <c r="AP207" s="24"/>
      <c r="AQ207" s="24"/>
      <c r="AR207" s="24"/>
      <c r="AS207" s="24"/>
      <c r="AT207" s="24"/>
      <c r="AU207" s="24"/>
      <c r="AV207" s="24"/>
      <c r="AW207" s="24"/>
      <c r="AX207" s="24"/>
      <c r="AY207" s="24"/>
    </row>
    <row r="208" spans="7:51">
      <c r="G208" s="12">
        <f t="shared" si="42"/>
        <v>0</v>
      </c>
      <c r="H208" s="12">
        <f t="shared" si="105"/>
        <v>0</v>
      </c>
      <c r="I208" s="12">
        <f t="shared" si="105"/>
        <v>0</v>
      </c>
      <c r="J208" s="12">
        <f t="shared" si="105"/>
        <v>0</v>
      </c>
      <c r="K208" s="12">
        <f t="shared" si="44"/>
        <v>0</v>
      </c>
      <c r="L208" s="12">
        <f t="shared" si="106"/>
        <v>0</v>
      </c>
      <c r="M208" s="12">
        <f t="shared" si="106"/>
        <v>0</v>
      </c>
      <c r="N208" s="12">
        <f t="shared" si="106"/>
        <v>0</v>
      </c>
      <c r="O208" s="12">
        <f t="shared" si="46"/>
        <v>0</v>
      </c>
      <c r="P208" s="12">
        <f t="shared" si="107"/>
        <v>0</v>
      </c>
      <c r="Q208" s="12">
        <f t="shared" si="107"/>
        <v>0</v>
      </c>
      <c r="T208" s="61"/>
      <c r="U208" s="61"/>
      <c r="V208" s="61"/>
      <c r="W208" s="53">
        <f t="shared" si="48"/>
        <v>0</v>
      </c>
      <c r="X208" s="54" t="e">
        <f t="shared" si="49"/>
        <v>#DIV/0!</v>
      </c>
      <c r="Y208" s="25">
        <f t="shared" si="56"/>
        <v>0</v>
      </c>
      <c r="Z208" s="54">
        <f t="shared" si="61"/>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2"/>
        <v>0</v>
      </c>
      <c r="AM208" s="24">
        <f t="shared" si="53"/>
        <v>0</v>
      </c>
      <c r="AN208" s="55">
        <f t="shared" si="54"/>
        <v>0</v>
      </c>
      <c r="AO208" s="55">
        <f t="shared" si="55"/>
        <v>0</v>
      </c>
      <c r="AP208" s="24"/>
      <c r="AQ208" s="24"/>
      <c r="AR208" s="24"/>
      <c r="AS208" s="24"/>
      <c r="AT208" s="24"/>
      <c r="AU208" s="24"/>
      <c r="AV208" s="24"/>
      <c r="AW208" s="24"/>
      <c r="AX208" s="24"/>
      <c r="AY208" s="24"/>
    </row>
    <row r="209" spans="6:51">
      <c r="G209" s="12">
        <f t="shared" si="42"/>
        <v>0</v>
      </c>
      <c r="H209" s="12">
        <f t="shared" si="105"/>
        <v>0</v>
      </c>
      <c r="I209" s="12">
        <f t="shared" si="105"/>
        <v>0</v>
      </c>
      <c r="J209" s="12">
        <f t="shared" si="105"/>
        <v>0</v>
      </c>
      <c r="K209" s="12">
        <f t="shared" si="44"/>
        <v>0</v>
      </c>
      <c r="L209" s="12">
        <f t="shared" si="106"/>
        <v>0</v>
      </c>
      <c r="M209" s="12">
        <f t="shared" si="106"/>
        <v>0</v>
      </c>
      <c r="N209" s="12">
        <f t="shared" si="106"/>
        <v>0</v>
      </c>
      <c r="O209" s="12">
        <f t="shared" si="46"/>
        <v>0</v>
      </c>
      <c r="P209" s="12">
        <f t="shared" si="107"/>
        <v>0</v>
      </c>
      <c r="Q209" s="12">
        <f t="shared" si="107"/>
        <v>0</v>
      </c>
      <c r="T209" s="61"/>
      <c r="U209" s="61"/>
      <c r="V209" s="61"/>
      <c r="W209" s="53">
        <f t="shared" si="48"/>
        <v>0</v>
      </c>
      <c r="X209" s="54" t="e">
        <f t="shared" si="49"/>
        <v>#DIV/0!</v>
      </c>
      <c r="Y209" s="25">
        <f t="shared" si="56"/>
        <v>0</v>
      </c>
      <c r="Z209" s="54">
        <f t="shared" si="61"/>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2"/>
        <v>0</v>
      </c>
      <c r="AM209" s="24">
        <f t="shared" si="53"/>
        <v>0</v>
      </c>
      <c r="AN209" s="55">
        <f t="shared" si="54"/>
        <v>0</v>
      </c>
      <c r="AO209" s="55">
        <f t="shared" si="55"/>
        <v>0</v>
      </c>
      <c r="AP209" s="24"/>
      <c r="AQ209" s="24"/>
      <c r="AR209" s="24"/>
      <c r="AS209" s="24"/>
      <c r="AT209" s="24"/>
      <c r="AU209" s="24"/>
      <c r="AV209" s="24"/>
      <c r="AW209" s="24"/>
      <c r="AX209" s="24"/>
      <c r="AY209" s="24"/>
    </row>
    <row r="210" spans="6:51">
      <c r="T210" s="61"/>
      <c r="U210" s="61"/>
      <c r="V210" s="61"/>
      <c r="W210" s="53">
        <f t="shared" si="48"/>
        <v>0</v>
      </c>
      <c r="X210" s="54" t="e">
        <f t="shared" si="49"/>
        <v>#DIV/0!</v>
      </c>
      <c r="Y210" s="25">
        <f t="shared" si="56"/>
        <v>0</v>
      </c>
      <c r="Z210" s="54">
        <f t="shared" si="61"/>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2"/>
        <v>0</v>
      </c>
      <c r="AM210" s="24">
        <f t="shared" si="53"/>
        <v>0</v>
      </c>
      <c r="AN210" s="55">
        <f t="shared" si="54"/>
        <v>0</v>
      </c>
      <c r="AO210" s="55">
        <f t="shared" si="55"/>
        <v>0</v>
      </c>
      <c r="AP210" s="24"/>
      <c r="AQ210" s="24"/>
      <c r="AR210" s="24"/>
      <c r="AS210" s="24"/>
      <c r="AT210" s="24"/>
      <c r="AU210" s="24"/>
      <c r="AV210" s="24"/>
      <c r="AW210" s="24"/>
      <c r="AX210" s="24"/>
      <c r="AY210" s="24"/>
    </row>
    <row r="211" spans="6:51">
      <c r="T211" s="61"/>
      <c r="U211" s="61"/>
      <c r="V211" s="61"/>
      <c r="W211" s="53">
        <f t="shared" si="48"/>
        <v>0</v>
      </c>
      <c r="X211" s="54" t="e">
        <f t="shared" si="49"/>
        <v>#DIV/0!</v>
      </c>
      <c r="Y211" s="25">
        <f t="shared" si="56"/>
        <v>0</v>
      </c>
      <c r="Z211" s="54">
        <f t="shared" si="61"/>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2"/>
        <v>0</v>
      </c>
      <c r="AM211" s="24">
        <f t="shared" si="53"/>
        <v>0</v>
      </c>
      <c r="AN211" s="55">
        <f t="shared" si="54"/>
        <v>0</v>
      </c>
      <c r="AO211" s="55">
        <f t="shared" si="55"/>
        <v>0</v>
      </c>
      <c r="AP211" s="25"/>
      <c r="AQ211" s="24"/>
      <c r="AR211" s="24"/>
      <c r="AS211" s="24"/>
      <c r="AT211" s="24"/>
      <c r="AU211" s="24"/>
      <c r="AV211" s="24"/>
      <c r="AW211" s="24"/>
      <c r="AX211" s="24"/>
      <c r="AY211" s="24"/>
    </row>
    <row r="212" spans="6:51">
      <c r="T212" s="61"/>
      <c r="U212" s="61"/>
      <c r="V212" s="61"/>
      <c r="W212" s="53"/>
      <c r="X212" s="54"/>
      <c r="Y212" s="25">
        <f t="shared" si="56"/>
        <v>0</v>
      </c>
      <c r="Z212" s="54">
        <f t="shared" si="61"/>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2"/>
        <v>0</v>
      </c>
      <c r="AM212" s="24">
        <f t="shared" si="53"/>
        <v>0</v>
      </c>
      <c r="AN212" s="55">
        <f t="shared" si="54"/>
        <v>0</v>
      </c>
      <c r="AO212" s="55">
        <f t="shared" si="55"/>
        <v>0</v>
      </c>
      <c r="AP212" s="24"/>
      <c r="AQ212" s="24"/>
      <c r="AR212" s="24"/>
      <c r="AS212" s="24"/>
      <c r="AT212" s="24"/>
      <c r="AU212" s="24"/>
      <c r="AV212" s="24"/>
      <c r="AW212" s="24"/>
      <c r="AX212" s="24"/>
      <c r="AY212" s="24"/>
    </row>
    <row r="213" spans="6:51">
      <c r="T213" s="61"/>
      <c r="U213" s="61"/>
      <c r="V213" s="61"/>
      <c r="W213" s="53"/>
      <c r="X213" s="54"/>
      <c r="Y213" s="25">
        <f t="shared" si="56"/>
        <v>0</v>
      </c>
      <c r="Z213" s="54">
        <f t="shared" si="61"/>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2"/>
        <v>0</v>
      </c>
      <c r="AM213" s="24">
        <f t="shared" si="53"/>
        <v>0</v>
      </c>
      <c r="AN213" s="55">
        <f t="shared" si="54"/>
        <v>0</v>
      </c>
      <c r="AO213" s="55">
        <f t="shared" si="55"/>
        <v>0</v>
      </c>
      <c r="AP213" s="24"/>
      <c r="AQ213" s="24"/>
      <c r="AR213" s="24"/>
      <c r="AS213" s="24"/>
      <c r="AT213" s="24"/>
      <c r="AU213" s="24"/>
      <c r="AV213" s="24"/>
      <c r="AW213" s="24"/>
      <c r="AX213" s="24"/>
      <c r="AY213" s="24"/>
    </row>
    <row r="214" spans="6:51" ht="13">
      <c r="F214" s="187" t="s">
        <v>490</v>
      </c>
      <c r="G214" s="187">
        <f>SUM(G167:G213)</f>
        <v>0</v>
      </c>
      <c r="H214" s="187">
        <f t="shared" ref="H214:Q214" si="115">SUM(H167:H213)</f>
        <v>0</v>
      </c>
      <c r="I214" s="187">
        <f t="shared" si="115"/>
        <v>0</v>
      </c>
      <c r="J214" s="187">
        <f t="shared" si="115"/>
        <v>0</v>
      </c>
      <c r="K214" s="187">
        <f t="shared" si="115"/>
        <v>0</v>
      </c>
      <c r="L214" s="187">
        <f t="shared" si="115"/>
        <v>0</v>
      </c>
      <c r="M214" s="187">
        <f t="shared" si="115"/>
        <v>0</v>
      </c>
      <c r="N214" s="187">
        <f t="shared" si="115"/>
        <v>0</v>
      </c>
      <c r="O214" s="187">
        <f t="shared" si="115"/>
        <v>0</v>
      </c>
      <c r="P214" s="187">
        <f t="shared" si="115"/>
        <v>0</v>
      </c>
      <c r="Q214" s="187">
        <f t="shared" si="115"/>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58.5</v>
      </c>
      <c r="AA215" s="156">
        <f>$C$64+AA214</f>
        <v>58.5</v>
      </c>
      <c r="AB215" s="156">
        <f t="shared" ref="AB215:AE215" si="116">$C$64+AB214</f>
        <v>58.5</v>
      </c>
      <c r="AC215" s="156">
        <f t="shared" si="116"/>
        <v>58.5</v>
      </c>
      <c r="AD215" s="156">
        <f t="shared" si="116"/>
        <v>58.5</v>
      </c>
      <c r="AE215" s="156">
        <f t="shared" si="116"/>
        <v>58.5</v>
      </c>
      <c r="AF215" s="156">
        <f>$C$64+AF214</f>
        <v>58.5</v>
      </c>
      <c r="AG215" s="156">
        <f t="shared" ref="AG215:AJ215" si="117">$C$64+AG214</f>
        <v>58.5</v>
      </c>
      <c r="AH215" s="156">
        <f>$C$64+AH214</f>
        <v>58.5</v>
      </c>
      <c r="AI215" s="156">
        <f t="shared" si="117"/>
        <v>58.5</v>
      </c>
      <c r="AJ215" s="156">
        <f t="shared" si="117"/>
        <v>58.5</v>
      </c>
      <c r="AK215" s="156">
        <f t="shared" ref="AK215" si="118">$C$64+AK214</f>
        <v>58.5</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 si="119">IF(Z215&lt;$BB$154,(6+(1-Z215/$BB$154)),IF(Z215&lt;$BB$155,5.5+(0.5*(($BB$155-Z215)/($BB$155-$BB$154))),IF(Z215&lt;$BB$156,5-0.5*((Z215)-$BB$156)/($BB$156-$BB$155),IF(Z215&lt;$BB$157,4.5-0.5*((Z215-$BB$157)/($BB$157-$BB$156)),5-0.5*((Z215-$BB$156)/$BH$166)))))</f>
        <v>5.3187239545911771</v>
      </c>
      <c r="AA216" s="154">
        <f t="shared" ref="AA216" si="120">IF(AA215&lt;$BB$154,(6+(1-AA215/$BB$154)),IF(AA215&lt;$BB$155,5.5+(0.5*(($BB$155-AA215)/($BB$155-$BB$154))),IF(AA215&lt;$BB$156,5-0.5*((AA215)-$BB$156)/($BB$156-$BB$155),IF(AA215&lt;$BB$157,4.5-0.5*((AA215-$BB$157)/($BB$157-$BB$156)),5-0.5*((AA215-$BB$156)/$BH$166)))))</f>
        <v>5.3187239545911771</v>
      </c>
      <c r="AB216" s="154">
        <f t="shared" ref="AB216" si="121">IF(AB215&lt;$BB$154,(6+(1-AB215/$BB$154)),IF(AB215&lt;$BB$155,5.5+(0.5*(($BB$155-AB215)/($BB$155-$BB$154))),IF(AB215&lt;$BB$156,5-0.5*((AB215)-$BB$156)/($BB$156-$BB$155),IF(AB215&lt;$BB$157,4.5-0.5*((AB215-$BB$157)/($BB$157-$BB$156)),5-0.5*((AB215-$BB$156)/$BH$166)))))</f>
        <v>5.3187239545911771</v>
      </c>
      <c r="AC216" s="154">
        <f t="shared" ref="AC216" si="122">IF(AC215&lt;$BB$154,(6+(1-AC215/$BB$154)),IF(AC215&lt;$BB$155,5.5+(0.5*(($BB$155-AC215)/($BB$155-$BB$154))),IF(AC215&lt;$BB$156,5-0.5*((AC215)-$BB$156)/($BB$156-$BB$155),IF(AC215&lt;$BB$157,4.5-0.5*((AC215-$BB$157)/($BB$157-$BB$156)),5-0.5*((AC215-$BB$156)/$BH$166)))))</f>
        <v>5.3187239545911771</v>
      </c>
      <c r="AD216" s="154">
        <f t="shared" ref="AD216" si="123">IF(AD215&lt;$BB$154,(6+(1-AD215/$BB$154)),IF(AD215&lt;$BB$155,5.5+(0.5*(($BB$155-AD215)/($BB$155-$BB$154))),IF(AD215&lt;$BB$156,5-0.5*((AD215)-$BB$156)/($BB$156-$BB$155),IF(AD215&lt;$BB$157,4.5-0.5*((AD215-$BB$157)/($BB$157-$BB$156)),5-0.5*((AD215-$BB$156)/$BH$166)))))</f>
        <v>5.3187239545911771</v>
      </c>
      <c r="AE216" s="154">
        <f t="shared" ref="AE216" si="124">IF(AE215&lt;$BB$154,(6+(1-AE215/$BB$154)),IF(AE215&lt;$BB$155,5.5+(0.5*(($BB$155-AE215)/($BB$155-$BB$154))),IF(AE215&lt;$BB$156,5-0.5*((AE215)-$BB$156)/($BB$156-$BB$155),IF(AE215&lt;$BB$157,4.5-0.5*((AE215-$BB$157)/($BB$157-$BB$156)),5-0.5*((AE215-$BB$156)/$BH$166)))))</f>
        <v>5.3187239545911771</v>
      </c>
      <c r="AF216" s="154">
        <f t="shared" ref="AF216" si="125">IF(AF215&lt;$BB$154,(6+(1-AF215/$BB$154)),IF(AF215&lt;$BB$155,5.5+(0.5*(($BB$155-AF215)/($BB$155-$BB$154))),IF(AF215&lt;$BB$156,5-0.5*((AF215)-$BB$156)/($BB$156-$BB$155),IF(AF215&lt;$BB$157,4.5-0.5*((AF215-$BB$157)/($BB$157-$BB$156)),5-0.5*((AF215-$BB$156)/$BH$166)))))</f>
        <v>5.3187239545911771</v>
      </c>
      <c r="AG216" s="154">
        <f t="shared" ref="AG216" si="126">IF(AG215&lt;$BB$154,(6+(1-AG215/$BB$154)),IF(AG215&lt;$BB$155,5.5+(0.5*(($BB$155-AG215)/($BB$155-$BB$154))),IF(AG215&lt;$BB$156,5-0.5*((AG215)-$BB$156)/($BB$156-$BB$155),IF(AG215&lt;$BB$157,4.5-0.5*((AG215-$BB$157)/($BB$157-$BB$156)),5-0.5*((AG215-$BB$156)/$BH$166)))))</f>
        <v>5.3187239545911771</v>
      </c>
      <c r="AH216" s="154">
        <f t="shared" ref="AH216" si="127">IF(AH215&lt;$BB$154,(6+(1-AH215/$BB$154)),IF(AH215&lt;$BB$155,5.5+(0.5*(($BB$155-AH215)/($BB$155-$BB$154))),IF(AH215&lt;$BB$156,5-0.5*((AH215)-$BB$156)/($BB$156-$BB$155),IF(AH215&lt;$BB$157,4.5-0.5*((AH215-$BB$157)/($BB$157-$BB$156)),5-0.5*((AH215-$BB$156)/$BH$166)))))</f>
        <v>5.3187239545911771</v>
      </c>
      <c r="AI216" s="154">
        <f t="shared" ref="AI216:AJ216" si="128">IF(AI215&lt;$BB$154,(6+(1-AI215/$BB$154)),IF(AI215&lt;$BB$155,5.5+(0.5*(($BB$155-AI215)/($BB$155-$BB$154))),IF(AI215&lt;$BB$156,5-0.5*((AI215)-$BB$156)/($BB$156-$BB$155),IF(AI215&lt;$BB$157,4.5-0.5*((AI215-$BB$157)/($BB$157-$BB$156)),5-0.5*((AI215-$BB$156)/$BH$166)))))</f>
        <v>5.3187239545911771</v>
      </c>
      <c r="AJ216" s="154">
        <f t="shared" si="128"/>
        <v>5.3187239545911771</v>
      </c>
      <c r="AK216" s="154">
        <f>IF(AK215&lt;$BB$154,(6+(1-AK215/$BB$154)),IF(AK215&lt;$BB$155,5.5+(0.5*(($BB$155-AK215)/($BB$155-$BB$154))),IF(AK215&lt;$BB$156,5-0.5*((AK215)-$BB$156)/($BB$156-$BB$155),IF(AK215&lt;$BB$157,4.5-0.5*((AK215-$BB$157)/($BB$157-$BB$156)),5-0.5*((AK215-$BB$156)/$BH$166)))))</f>
        <v>5.3187239545911771</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9">IF($E69&lt;G$66,$D69,0)</f>
        <v>0</v>
      </c>
      <c r="H220" s="12">
        <f t="shared" ref="H220:Q220" si="130">IF($E69&gt;H$66,0,IF($E69&lt;H$66-365,$D69,0))</f>
        <v>0</v>
      </c>
      <c r="I220" s="12">
        <f t="shared" si="130"/>
        <v>0</v>
      </c>
      <c r="J220" s="12">
        <f t="shared" si="130"/>
        <v>0</v>
      </c>
      <c r="K220" s="12">
        <f t="shared" si="130"/>
        <v>0</v>
      </c>
      <c r="L220" s="12">
        <f t="shared" si="130"/>
        <v>0</v>
      </c>
      <c r="M220" s="12">
        <f t="shared" si="130"/>
        <v>0</v>
      </c>
      <c r="N220" s="12">
        <f t="shared" si="130"/>
        <v>0</v>
      </c>
      <c r="O220" s="12">
        <f t="shared" si="130"/>
        <v>0</v>
      </c>
      <c r="P220" s="12">
        <f t="shared" si="130"/>
        <v>0</v>
      </c>
      <c r="Q220" s="12">
        <f t="shared" si="130"/>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9"/>
        <v>0</v>
      </c>
      <c r="H221" s="12">
        <f t="shared" ref="H221:Q221" si="131">IF($E70&gt;H$66,0,IF($E70&lt;H$66-365,$D70,0))</f>
        <v>0</v>
      </c>
      <c r="I221" s="12">
        <f t="shared" si="131"/>
        <v>0</v>
      </c>
      <c r="J221" s="12">
        <f t="shared" si="131"/>
        <v>0</v>
      </c>
      <c r="K221" s="12">
        <f t="shared" si="131"/>
        <v>0</v>
      </c>
      <c r="L221" s="12">
        <f t="shared" si="131"/>
        <v>0</v>
      </c>
      <c r="M221" s="12">
        <f t="shared" si="131"/>
        <v>0</v>
      </c>
      <c r="N221" s="12">
        <f t="shared" si="131"/>
        <v>0</v>
      </c>
      <c r="O221" s="12">
        <f t="shared" si="131"/>
        <v>0</v>
      </c>
      <c r="P221" s="12">
        <f t="shared" si="131"/>
        <v>0</v>
      </c>
      <c r="Q221" s="12">
        <f t="shared" si="13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9"/>
        <v>0</v>
      </c>
      <c r="H222" s="12">
        <f t="shared" ref="H222:Q222" si="132">IF($E71&gt;H$66,0,IF($E71&lt;H$66-365,$D71,0))</f>
        <v>0</v>
      </c>
      <c r="I222" s="12">
        <f t="shared" si="132"/>
        <v>0</v>
      </c>
      <c r="J222" s="12">
        <f t="shared" si="132"/>
        <v>0</v>
      </c>
      <c r="K222" s="12">
        <f t="shared" si="132"/>
        <v>0</v>
      </c>
      <c r="L222" s="12">
        <f t="shared" si="132"/>
        <v>0</v>
      </c>
      <c r="M222" s="12">
        <f t="shared" si="132"/>
        <v>0</v>
      </c>
      <c r="N222" s="12">
        <f t="shared" si="132"/>
        <v>0</v>
      </c>
      <c r="O222" s="12">
        <f t="shared" si="132"/>
        <v>0</v>
      </c>
      <c r="P222" s="12">
        <f t="shared" si="132"/>
        <v>0</v>
      </c>
      <c r="Q222" s="12">
        <f t="shared" si="132"/>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9"/>
        <v>0</v>
      </c>
      <c r="H223" s="12">
        <f t="shared" ref="H223:Q223" si="133">IF($E72&gt;H$66,0,IF($E72&lt;H$66-365,$D72,0))</f>
        <v>0</v>
      </c>
      <c r="I223" s="12">
        <f t="shared" si="133"/>
        <v>0</v>
      </c>
      <c r="J223" s="12">
        <f t="shared" si="133"/>
        <v>0</v>
      </c>
      <c r="K223" s="12">
        <f t="shared" si="133"/>
        <v>0</v>
      </c>
      <c r="L223" s="12">
        <f t="shared" si="133"/>
        <v>0</v>
      </c>
      <c r="M223" s="12">
        <f t="shared" si="133"/>
        <v>0</v>
      </c>
      <c r="N223" s="12">
        <f t="shared" si="133"/>
        <v>0</v>
      </c>
      <c r="O223" s="12">
        <f t="shared" si="133"/>
        <v>0</v>
      </c>
      <c r="P223" s="12">
        <f t="shared" si="133"/>
        <v>0</v>
      </c>
      <c r="Q223" s="12">
        <f t="shared" si="133"/>
        <v>0</v>
      </c>
      <c r="T223" s="20"/>
      <c r="U223" s="20"/>
      <c r="V223" s="20"/>
    </row>
    <row r="224" spans="6:51">
      <c r="G224" s="12">
        <f t="shared" si="129"/>
        <v>0</v>
      </c>
      <c r="H224" s="12">
        <f t="shared" ref="H224:Q224" si="134">IF($E73&gt;H$66,0,IF($E73&lt;H$66-365,$D73,0))</f>
        <v>0</v>
      </c>
      <c r="I224" s="12">
        <f t="shared" si="134"/>
        <v>0</v>
      </c>
      <c r="J224" s="12">
        <f t="shared" si="134"/>
        <v>0</v>
      </c>
      <c r="K224" s="12">
        <f t="shared" si="134"/>
        <v>0</v>
      </c>
      <c r="L224" s="12">
        <f t="shared" si="134"/>
        <v>0</v>
      </c>
      <c r="M224" s="12">
        <f t="shared" si="134"/>
        <v>0</v>
      </c>
      <c r="N224" s="12">
        <f t="shared" si="134"/>
        <v>0</v>
      </c>
      <c r="O224" s="12">
        <f t="shared" si="134"/>
        <v>0</v>
      </c>
      <c r="P224" s="12">
        <f t="shared" si="134"/>
        <v>0</v>
      </c>
      <c r="Q224" s="12">
        <f t="shared" si="134"/>
        <v>0</v>
      </c>
      <c r="T224" s="20"/>
      <c r="U224" s="20"/>
      <c r="V224" s="20"/>
    </row>
    <row r="225" spans="7:28">
      <c r="G225" s="12">
        <f t="shared" si="129"/>
        <v>0</v>
      </c>
      <c r="H225" s="12">
        <f t="shared" ref="H225:Q225" si="135">IF($E74&gt;H$66,0,IF($E74&lt;H$66-365,$D74,0))</f>
        <v>0</v>
      </c>
      <c r="I225" s="12">
        <f t="shared" si="135"/>
        <v>0</v>
      </c>
      <c r="J225" s="12">
        <f t="shared" si="135"/>
        <v>0</v>
      </c>
      <c r="K225" s="12">
        <f t="shared" si="135"/>
        <v>0</v>
      </c>
      <c r="L225" s="12">
        <f t="shared" si="135"/>
        <v>0</v>
      </c>
      <c r="M225" s="12">
        <f t="shared" si="135"/>
        <v>0</v>
      </c>
      <c r="N225" s="12">
        <f t="shared" si="135"/>
        <v>0</v>
      </c>
      <c r="O225" s="12">
        <f t="shared" si="135"/>
        <v>0</v>
      </c>
      <c r="P225" s="12">
        <f t="shared" si="135"/>
        <v>0</v>
      </c>
      <c r="Q225" s="12">
        <f t="shared" si="135"/>
        <v>0</v>
      </c>
      <c r="T225" s="20"/>
      <c r="U225" s="20"/>
      <c r="V225" s="20"/>
      <c r="AA225" s="55">
        <f>SUM(AN167:AN213)</f>
        <v>0</v>
      </c>
      <c r="AB225" s="24">
        <f>SUM(AO167:AO213)</f>
        <v>0</v>
      </c>
    </row>
    <row r="226" spans="7:28">
      <c r="G226" s="12">
        <f t="shared" si="129"/>
        <v>0</v>
      </c>
      <c r="H226" s="12">
        <f t="shared" ref="H226:Q226" si="136">IF($E75&gt;H$66,0,IF($E75&lt;H$66-365,$D75,0))</f>
        <v>0</v>
      </c>
      <c r="I226" s="12">
        <f t="shared" si="136"/>
        <v>0</v>
      </c>
      <c r="J226" s="12">
        <f t="shared" si="136"/>
        <v>0</v>
      </c>
      <c r="K226" s="12">
        <f t="shared" si="136"/>
        <v>0</v>
      </c>
      <c r="L226" s="12">
        <f t="shared" si="136"/>
        <v>0</v>
      </c>
      <c r="M226" s="12">
        <f t="shared" si="136"/>
        <v>0</v>
      </c>
      <c r="N226" s="12">
        <f t="shared" si="136"/>
        <v>0</v>
      </c>
      <c r="O226" s="12">
        <f t="shared" si="136"/>
        <v>0</v>
      </c>
      <c r="P226" s="12">
        <f t="shared" si="136"/>
        <v>0</v>
      </c>
      <c r="Q226" s="12">
        <f t="shared" si="136"/>
        <v>0</v>
      </c>
      <c r="T226" s="20"/>
      <c r="U226" s="20"/>
      <c r="V226" s="20"/>
      <c r="AA226" s="24">
        <f>AA225*1.35</f>
        <v>0</v>
      </c>
      <c r="AB226" s="24">
        <f>AB225*1.35</f>
        <v>0</v>
      </c>
    </row>
    <row r="227" spans="7:28">
      <c r="G227" s="12">
        <f t="shared" si="129"/>
        <v>0</v>
      </c>
      <c r="H227" s="12">
        <f t="shared" ref="H227:Q227" si="137">IF($E76&gt;H$66,0,IF($E76&lt;H$66-365,$D76,0))</f>
        <v>0</v>
      </c>
      <c r="I227" s="12">
        <f t="shared" si="137"/>
        <v>0</v>
      </c>
      <c r="J227" s="12">
        <f t="shared" si="137"/>
        <v>0</v>
      </c>
      <c r="K227" s="12">
        <f t="shared" si="137"/>
        <v>0</v>
      </c>
      <c r="L227" s="12">
        <f t="shared" si="137"/>
        <v>0</v>
      </c>
      <c r="M227" s="12">
        <f t="shared" si="137"/>
        <v>0</v>
      </c>
      <c r="N227" s="12">
        <f t="shared" si="137"/>
        <v>0</v>
      </c>
      <c r="O227" s="12">
        <f t="shared" si="137"/>
        <v>0</v>
      </c>
      <c r="P227" s="12">
        <f t="shared" si="137"/>
        <v>0</v>
      </c>
      <c r="Q227" s="12">
        <f t="shared" si="137"/>
        <v>0</v>
      </c>
    </row>
    <row r="228" spans="7:28">
      <c r="G228" s="12">
        <f t="shared" si="129"/>
        <v>0</v>
      </c>
      <c r="H228" s="12">
        <f t="shared" ref="H228:Q228" si="138">IF($E77&gt;H$66,0,IF($E77&lt;H$66-365,$D77,0))</f>
        <v>0</v>
      </c>
      <c r="I228" s="12">
        <f t="shared" si="138"/>
        <v>0</v>
      </c>
      <c r="J228" s="12">
        <f t="shared" si="138"/>
        <v>0</v>
      </c>
      <c r="K228" s="12">
        <f t="shared" si="138"/>
        <v>0</v>
      </c>
      <c r="L228" s="12">
        <f t="shared" si="138"/>
        <v>0</v>
      </c>
      <c r="M228" s="12">
        <f t="shared" si="138"/>
        <v>0</v>
      </c>
      <c r="N228" s="12">
        <f t="shared" si="138"/>
        <v>0</v>
      </c>
      <c r="O228" s="12">
        <f t="shared" si="138"/>
        <v>0</v>
      </c>
      <c r="P228" s="12">
        <f t="shared" si="138"/>
        <v>0</v>
      </c>
      <c r="Q228" s="12">
        <f t="shared" si="138"/>
        <v>0</v>
      </c>
    </row>
    <row r="229" spans="7:28">
      <c r="G229" s="12">
        <f t="shared" si="129"/>
        <v>0</v>
      </c>
      <c r="H229" s="12">
        <f t="shared" ref="H229:Q229" si="139">IF($E78&gt;H$66,0,IF($E78&lt;H$66-365,$D78,0))</f>
        <v>0</v>
      </c>
      <c r="I229" s="12">
        <f t="shared" si="139"/>
        <v>0</v>
      </c>
      <c r="J229" s="12">
        <f t="shared" si="139"/>
        <v>0</v>
      </c>
      <c r="K229" s="12">
        <f t="shared" si="139"/>
        <v>0</v>
      </c>
      <c r="L229" s="12">
        <f t="shared" si="139"/>
        <v>0</v>
      </c>
      <c r="M229" s="12">
        <f t="shared" si="139"/>
        <v>0</v>
      </c>
      <c r="N229" s="12">
        <f t="shared" si="139"/>
        <v>0</v>
      </c>
      <c r="O229" s="12">
        <f t="shared" si="139"/>
        <v>0</v>
      </c>
      <c r="P229" s="12">
        <f t="shared" si="139"/>
        <v>0</v>
      </c>
      <c r="Q229" s="12">
        <f t="shared" si="139"/>
        <v>0</v>
      </c>
    </row>
    <row r="230" spans="7:28">
      <c r="G230" s="12">
        <f t="shared" si="129"/>
        <v>0</v>
      </c>
      <c r="H230" s="12">
        <f t="shared" ref="H230:Q230" si="140">IF($E79&gt;H$66,0,IF($E79&lt;H$66-365,$D79,0))</f>
        <v>0</v>
      </c>
      <c r="I230" s="12">
        <f t="shared" si="140"/>
        <v>0</v>
      </c>
      <c r="J230" s="12">
        <f t="shared" si="140"/>
        <v>0</v>
      </c>
      <c r="K230" s="12">
        <f t="shared" si="140"/>
        <v>0</v>
      </c>
      <c r="L230" s="12">
        <f t="shared" si="140"/>
        <v>0</v>
      </c>
      <c r="M230" s="12">
        <f t="shared" si="140"/>
        <v>0</v>
      </c>
      <c r="N230" s="12">
        <f t="shared" si="140"/>
        <v>0</v>
      </c>
      <c r="O230" s="12">
        <f t="shared" si="140"/>
        <v>0</v>
      </c>
      <c r="P230" s="12">
        <f t="shared" si="140"/>
        <v>0</v>
      </c>
      <c r="Q230" s="12">
        <f t="shared" si="140"/>
        <v>0</v>
      </c>
    </row>
    <row r="231" spans="7:28">
      <c r="G231" s="12">
        <f t="shared" si="129"/>
        <v>0</v>
      </c>
      <c r="H231" s="12">
        <f t="shared" ref="H231:Q231" si="141">IF($E80&gt;H$66,0,IF($E80&lt;H$66-365,$D80,0))</f>
        <v>0</v>
      </c>
      <c r="I231" s="12">
        <f t="shared" si="141"/>
        <v>0</v>
      </c>
      <c r="J231" s="12">
        <f t="shared" si="141"/>
        <v>0</v>
      </c>
      <c r="K231" s="12">
        <f t="shared" si="141"/>
        <v>0</v>
      </c>
      <c r="L231" s="12">
        <f t="shared" si="141"/>
        <v>0</v>
      </c>
      <c r="M231" s="12">
        <f t="shared" si="141"/>
        <v>0</v>
      </c>
      <c r="N231" s="12">
        <f t="shared" si="141"/>
        <v>0</v>
      </c>
      <c r="O231" s="12">
        <f t="shared" si="141"/>
        <v>0</v>
      </c>
      <c r="P231" s="12">
        <f t="shared" si="141"/>
        <v>0</v>
      </c>
      <c r="Q231" s="12">
        <f t="shared" si="141"/>
        <v>0</v>
      </c>
    </row>
    <row r="232" spans="7:28">
      <c r="G232" s="12">
        <f t="shared" si="129"/>
        <v>0</v>
      </c>
      <c r="H232" s="12">
        <f t="shared" ref="H232:Q232" si="142">IF($E81&gt;H$66,0,IF($E81&lt;H$66-365,$D81,0))</f>
        <v>0</v>
      </c>
      <c r="I232" s="12">
        <f t="shared" si="142"/>
        <v>0</v>
      </c>
      <c r="J232" s="12">
        <f t="shared" si="142"/>
        <v>0</v>
      </c>
      <c r="K232" s="12">
        <f t="shared" si="142"/>
        <v>0</v>
      </c>
      <c r="L232" s="12">
        <f t="shared" si="142"/>
        <v>0</v>
      </c>
      <c r="M232" s="12">
        <f t="shared" si="142"/>
        <v>0</v>
      </c>
      <c r="N232" s="12">
        <f t="shared" si="142"/>
        <v>0</v>
      </c>
      <c r="O232" s="12">
        <f t="shared" si="142"/>
        <v>0</v>
      </c>
      <c r="P232" s="12">
        <f t="shared" si="142"/>
        <v>0</v>
      </c>
      <c r="Q232" s="12">
        <f t="shared" si="142"/>
        <v>0</v>
      </c>
    </row>
    <row r="233" spans="7:28">
      <c r="G233" s="12">
        <f t="shared" si="129"/>
        <v>0</v>
      </c>
      <c r="H233" s="12">
        <f t="shared" ref="H233:Q233" si="143">IF($E82&gt;H$66,0,IF($E82&lt;H$66-365,$D82,0))</f>
        <v>0</v>
      </c>
      <c r="I233" s="12">
        <f t="shared" si="143"/>
        <v>0</v>
      </c>
      <c r="J233" s="12">
        <f t="shared" si="143"/>
        <v>0</v>
      </c>
      <c r="K233" s="12">
        <f t="shared" si="143"/>
        <v>0</v>
      </c>
      <c r="L233" s="12">
        <f t="shared" si="143"/>
        <v>0</v>
      </c>
      <c r="M233" s="12">
        <f t="shared" si="143"/>
        <v>0</v>
      </c>
      <c r="N233" s="12">
        <f t="shared" si="143"/>
        <v>0</v>
      </c>
      <c r="O233" s="12">
        <f t="shared" si="143"/>
        <v>0</v>
      </c>
      <c r="P233" s="12">
        <f t="shared" si="143"/>
        <v>0</v>
      </c>
      <c r="Q233" s="12">
        <f t="shared" si="143"/>
        <v>0</v>
      </c>
    </row>
    <row r="234" spans="7:28">
      <c r="G234" s="12">
        <f t="shared" si="129"/>
        <v>0</v>
      </c>
      <c r="H234" s="12">
        <f t="shared" ref="H234:Q234" si="144">IF($E83&gt;H$66,0,IF($E83&lt;H$66-365,$D83,0))</f>
        <v>0</v>
      </c>
      <c r="I234" s="12">
        <f t="shared" si="144"/>
        <v>0</v>
      </c>
      <c r="J234" s="12">
        <f t="shared" si="144"/>
        <v>0</v>
      </c>
      <c r="K234" s="12">
        <f t="shared" si="144"/>
        <v>0</v>
      </c>
      <c r="L234" s="12">
        <f t="shared" si="144"/>
        <v>0</v>
      </c>
      <c r="M234" s="12">
        <f t="shared" si="144"/>
        <v>0</v>
      </c>
      <c r="N234" s="12">
        <f t="shared" si="144"/>
        <v>0</v>
      </c>
      <c r="O234" s="12">
        <f t="shared" si="144"/>
        <v>0</v>
      </c>
      <c r="P234" s="12">
        <f t="shared" si="144"/>
        <v>0</v>
      </c>
      <c r="Q234" s="12">
        <f t="shared" si="144"/>
        <v>0</v>
      </c>
    </row>
    <row r="235" spans="7:28">
      <c r="G235" s="12">
        <f t="shared" si="129"/>
        <v>0</v>
      </c>
      <c r="H235" s="12">
        <f t="shared" ref="H235:Q235" si="145">IF($E84&gt;H$66,0,IF($E84&lt;H$66-365,$D84,0))</f>
        <v>0</v>
      </c>
      <c r="I235" s="12">
        <f t="shared" si="145"/>
        <v>0</v>
      </c>
      <c r="J235" s="12">
        <f t="shared" si="145"/>
        <v>0</v>
      </c>
      <c r="K235" s="12">
        <f t="shared" si="145"/>
        <v>0</v>
      </c>
      <c r="L235" s="12">
        <f t="shared" si="145"/>
        <v>0</v>
      </c>
      <c r="M235" s="12">
        <f t="shared" si="145"/>
        <v>0</v>
      </c>
      <c r="N235" s="12">
        <f t="shared" si="145"/>
        <v>0</v>
      </c>
      <c r="O235" s="12">
        <f t="shared" si="145"/>
        <v>0</v>
      </c>
      <c r="P235" s="12">
        <f t="shared" si="145"/>
        <v>0</v>
      </c>
      <c r="Q235" s="12">
        <f t="shared" si="145"/>
        <v>0</v>
      </c>
    </row>
    <row r="236" spans="7:28">
      <c r="G236" s="12">
        <f t="shared" si="129"/>
        <v>0</v>
      </c>
      <c r="H236" s="12">
        <f t="shared" ref="H236:Q236" si="146">IF($E85&gt;H$66,0,IF($E85&lt;H$66-365,$D85,0))</f>
        <v>0</v>
      </c>
      <c r="I236" s="12">
        <f t="shared" si="146"/>
        <v>0</v>
      </c>
      <c r="J236" s="12">
        <f t="shared" si="146"/>
        <v>0</v>
      </c>
      <c r="K236" s="12">
        <f t="shared" si="146"/>
        <v>0</v>
      </c>
      <c r="L236" s="12">
        <f t="shared" si="146"/>
        <v>0</v>
      </c>
      <c r="M236" s="12">
        <f t="shared" si="146"/>
        <v>0</v>
      </c>
      <c r="N236" s="12">
        <f t="shared" si="146"/>
        <v>0</v>
      </c>
      <c r="O236" s="12">
        <f t="shared" si="146"/>
        <v>0</v>
      </c>
      <c r="P236" s="12">
        <f t="shared" si="146"/>
        <v>0</v>
      </c>
      <c r="Q236" s="12">
        <f t="shared" si="146"/>
        <v>0</v>
      </c>
    </row>
    <row r="237" spans="7:28">
      <c r="G237" s="12">
        <f t="shared" si="129"/>
        <v>0</v>
      </c>
      <c r="H237" s="12">
        <f t="shared" ref="H237:Q237" si="147">IF($E86&gt;H$66,0,IF($E86&lt;H$66-365,$D86,0))</f>
        <v>0</v>
      </c>
      <c r="I237" s="12">
        <f t="shared" si="147"/>
        <v>0</v>
      </c>
      <c r="J237" s="12">
        <f t="shared" si="147"/>
        <v>0</v>
      </c>
      <c r="K237" s="12">
        <f t="shared" si="147"/>
        <v>0</v>
      </c>
      <c r="L237" s="12">
        <f t="shared" si="147"/>
        <v>0</v>
      </c>
      <c r="M237" s="12">
        <f t="shared" si="147"/>
        <v>0</v>
      </c>
      <c r="N237" s="12">
        <f t="shared" si="147"/>
        <v>0</v>
      </c>
      <c r="O237" s="12">
        <f t="shared" si="147"/>
        <v>0</v>
      </c>
      <c r="P237" s="12">
        <f t="shared" si="147"/>
        <v>0</v>
      </c>
      <c r="Q237" s="12">
        <f t="shared" si="147"/>
        <v>0</v>
      </c>
    </row>
    <row r="238" spans="7:28">
      <c r="G238" s="12">
        <f t="shared" si="129"/>
        <v>0</v>
      </c>
      <c r="H238" s="12">
        <f t="shared" ref="H238:Q238" si="148">IF($E87&gt;H$66,0,IF($E87&lt;H$66-365,$D87,0))</f>
        <v>0</v>
      </c>
      <c r="I238" s="12">
        <f t="shared" si="148"/>
        <v>0</v>
      </c>
      <c r="J238" s="12">
        <f t="shared" si="148"/>
        <v>0</v>
      </c>
      <c r="K238" s="12">
        <f t="shared" si="148"/>
        <v>0</v>
      </c>
      <c r="L238" s="12">
        <f t="shared" si="148"/>
        <v>0</v>
      </c>
      <c r="M238" s="12">
        <f t="shared" si="148"/>
        <v>0</v>
      </c>
      <c r="N238" s="12">
        <f t="shared" si="148"/>
        <v>0</v>
      </c>
      <c r="O238" s="12">
        <f t="shared" si="148"/>
        <v>0</v>
      </c>
      <c r="P238" s="12">
        <f t="shared" si="148"/>
        <v>0</v>
      </c>
      <c r="Q238" s="12">
        <f t="shared" si="148"/>
        <v>0</v>
      </c>
    </row>
    <row r="239" spans="7:28">
      <c r="G239" s="12">
        <f t="shared" si="129"/>
        <v>0</v>
      </c>
      <c r="H239" s="12">
        <f t="shared" ref="H239:Q239" si="149">IF($E88&gt;H$66,0,IF($E88&lt;H$66-365,$D88,0))</f>
        <v>0</v>
      </c>
      <c r="I239" s="12">
        <f t="shared" si="149"/>
        <v>0</v>
      </c>
      <c r="J239" s="12">
        <f t="shared" si="149"/>
        <v>0</v>
      </c>
      <c r="K239" s="12">
        <f t="shared" si="149"/>
        <v>0</v>
      </c>
      <c r="L239" s="12">
        <f t="shared" si="149"/>
        <v>0</v>
      </c>
      <c r="M239" s="12">
        <f t="shared" si="149"/>
        <v>0</v>
      </c>
      <c r="N239" s="12">
        <f t="shared" si="149"/>
        <v>0</v>
      </c>
      <c r="O239" s="12">
        <f t="shared" si="149"/>
        <v>0</v>
      </c>
      <c r="P239" s="12">
        <f t="shared" si="149"/>
        <v>0</v>
      </c>
      <c r="Q239" s="12">
        <f t="shared" si="149"/>
        <v>0</v>
      </c>
    </row>
    <row r="240" spans="7:28">
      <c r="G240" s="12">
        <f t="shared" si="129"/>
        <v>0</v>
      </c>
      <c r="H240" s="12">
        <f t="shared" ref="H240:Q240" si="150">IF($E89&gt;H$66,0,IF($E89&lt;H$66-365,$D89,0))</f>
        <v>0</v>
      </c>
      <c r="I240" s="12">
        <f t="shared" si="150"/>
        <v>0</v>
      </c>
      <c r="J240" s="12">
        <f t="shared" si="150"/>
        <v>0</v>
      </c>
      <c r="K240" s="12">
        <f t="shared" si="150"/>
        <v>0</v>
      </c>
      <c r="L240" s="12">
        <f t="shared" si="150"/>
        <v>0</v>
      </c>
      <c r="M240" s="12">
        <f t="shared" si="150"/>
        <v>0</v>
      </c>
      <c r="N240" s="12">
        <f t="shared" si="150"/>
        <v>0</v>
      </c>
      <c r="O240" s="12">
        <f t="shared" si="150"/>
        <v>0</v>
      </c>
      <c r="P240" s="12">
        <f t="shared" si="150"/>
        <v>0</v>
      </c>
      <c r="Q240" s="12">
        <f t="shared" si="150"/>
        <v>0</v>
      </c>
    </row>
    <row r="241" spans="7:17">
      <c r="G241" s="12">
        <f t="shared" si="129"/>
        <v>0</v>
      </c>
      <c r="H241" s="12">
        <f t="shared" ref="H241:Q241" si="151">IF($E90&gt;H$66,0,IF($E90&lt;H$66-365,$D90,0))</f>
        <v>0</v>
      </c>
      <c r="I241" s="12">
        <f t="shared" si="151"/>
        <v>0</v>
      </c>
      <c r="J241" s="12">
        <f t="shared" si="151"/>
        <v>0</v>
      </c>
      <c r="K241" s="12">
        <f t="shared" si="151"/>
        <v>0</v>
      </c>
      <c r="L241" s="12">
        <f t="shared" si="151"/>
        <v>0</v>
      </c>
      <c r="M241" s="12">
        <f t="shared" si="151"/>
        <v>0</v>
      </c>
      <c r="N241" s="12">
        <f t="shared" si="151"/>
        <v>0</v>
      </c>
      <c r="O241" s="12">
        <f t="shared" si="151"/>
        <v>0</v>
      </c>
      <c r="P241" s="12">
        <f t="shared" si="151"/>
        <v>0</v>
      </c>
      <c r="Q241" s="12">
        <f t="shared" si="151"/>
        <v>0</v>
      </c>
    </row>
    <row r="242" spans="7:17">
      <c r="G242" s="12">
        <f t="shared" si="129"/>
        <v>0</v>
      </c>
      <c r="H242" s="12">
        <f t="shared" ref="H242:Q242" si="152">IF($E91&gt;H$66,0,IF($E91&lt;H$66-365,$D91,0))</f>
        <v>0</v>
      </c>
      <c r="I242" s="12">
        <f t="shared" si="152"/>
        <v>0</v>
      </c>
      <c r="J242" s="12">
        <f t="shared" si="152"/>
        <v>0</v>
      </c>
      <c r="K242" s="12">
        <f t="shared" si="152"/>
        <v>0</v>
      </c>
      <c r="L242" s="12">
        <f t="shared" si="152"/>
        <v>0</v>
      </c>
      <c r="M242" s="12">
        <f t="shared" si="152"/>
        <v>0</v>
      </c>
      <c r="N242" s="12">
        <f t="shared" si="152"/>
        <v>0</v>
      </c>
      <c r="O242" s="12">
        <f t="shared" si="152"/>
        <v>0</v>
      </c>
      <c r="P242" s="12">
        <f t="shared" si="152"/>
        <v>0</v>
      </c>
      <c r="Q242" s="12">
        <f t="shared" si="152"/>
        <v>0</v>
      </c>
    </row>
    <row r="243" spans="7:17">
      <c r="G243" s="12">
        <f t="shared" si="129"/>
        <v>0</v>
      </c>
      <c r="H243" s="12">
        <f t="shared" ref="H243:Q243" si="153">IF($E92&gt;H$66,0,IF($E92&lt;H$66-365,$D92,0))</f>
        <v>0</v>
      </c>
      <c r="I243" s="12">
        <f t="shared" si="153"/>
        <v>0</v>
      </c>
      <c r="J243" s="12">
        <f t="shared" si="153"/>
        <v>0</v>
      </c>
      <c r="K243" s="12">
        <f t="shared" si="153"/>
        <v>0</v>
      </c>
      <c r="L243" s="12">
        <f t="shared" si="153"/>
        <v>0</v>
      </c>
      <c r="M243" s="12">
        <f t="shared" si="153"/>
        <v>0</v>
      </c>
      <c r="N243" s="12">
        <f t="shared" si="153"/>
        <v>0</v>
      </c>
      <c r="O243" s="12">
        <f t="shared" si="153"/>
        <v>0</v>
      </c>
      <c r="P243" s="12">
        <f t="shared" si="153"/>
        <v>0</v>
      </c>
      <c r="Q243" s="12">
        <f t="shared" si="153"/>
        <v>0</v>
      </c>
    </row>
    <row r="244" spans="7:17">
      <c r="G244" s="12">
        <f t="shared" si="129"/>
        <v>0</v>
      </c>
      <c r="H244" s="12">
        <f t="shared" ref="H244:Q244" si="154">IF($E93&gt;H$66,0,IF($E93&lt;H$66-365,$D93,0))</f>
        <v>0</v>
      </c>
      <c r="I244" s="12">
        <f t="shared" si="154"/>
        <v>0</v>
      </c>
      <c r="J244" s="12">
        <f t="shared" si="154"/>
        <v>0</v>
      </c>
      <c r="K244" s="12">
        <f t="shared" si="154"/>
        <v>0</v>
      </c>
      <c r="L244" s="12">
        <f t="shared" si="154"/>
        <v>0</v>
      </c>
      <c r="M244" s="12">
        <f t="shared" si="154"/>
        <v>0</v>
      </c>
      <c r="N244" s="12">
        <f t="shared" si="154"/>
        <v>0</v>
      </c>
      <c r="O244" s="12">
        <f t="shared" si="154"/>
        <v>0</v>
      </c>
      <c r="P244" s="12">
        <f t="shared" si="154"/>
        <v>0</v>
      </c>
      <c r="Q244" s="12">
        <f t="shared" si="154"/>
        <v>0</v>
      </c>
    </row>
    <row r="245" spans="7:17">
      <c r="G245" s="12">
        <f t="shared" si="129"/>
        <v>0</v>
      </c>
      <c r="H245" s="12">
        <f t="shared" ref="H245:Q245" si="155">IF($E94&gt;H$66,0,IF($E94&lt;H$66-365,$D94,0))</f>
        <v>0</v>
      </c>
      <c r="I245" s="12">
        <f t="shared" si="155"/>
        <v>0</v>
      </c>
      <c r="J245" s="12">
        <f t="shared" si="155"/>
        <v>0</v>
      </c>
      <c r="K245" s="12">
        <f t="shared" si="155"/>
        <v>0</v>
      </c>
      <c r="L245" s="12">
        <f t="shared" si="155"/>
        <v>0</v>
      </c>
      <c r="M245" s="12">
        <f t="shared" si="155"/>
        <v>0</v>
      </c>
      <c r="N245" s="12">
        <f t="shared" si="155"/>
        <v>0</v>
      </c>
      <c r="O245" s="12">
        <f t="shared" si="155"/>
        <v>0</v>
      </c>
      <c r="P245" s="12">
        <f t="shared" si="155"/>
        <v>0</v>
      </c>
      <c r="Q245" s="12">
        <f t="shared" si="155"/>
        <v>0</v>
      </c>
    </row>
    <row r="246" spans="7:17">
      <c r="G246" s="12">
        <f t="shared" si="129"/>
        <v>0</v>
      </c>
      <c r="H246" s="12">
        <f t="shared" ref="H246:Q246" si="156">IF($E95&gt;H$66,0,IF($E95&lt;H$66-365,$D95,0))</f>
        <v>0</v>
      </c>
      <c r="I246" s="12">
        <f t="shared" si="156"/>
        <v>0</v>
      </c>
      <c r="J246" s="12">
        <f t="shared" si="156"/>
        <v>0</v>
      </c>
      <c r="K246" s="12">
        <f t="shared" si="156"/>
        <v>0</v>
      </c>
      <c r="L246" s="12">
        <f t="shared" si="156"/>
        <v>0</v>
      </c>
      <c r="M246" s="12">
        <f t="shared" si="156"/>
        <v>0</v>
      </c>
      <c r="N246" s="12">
        <f t="shared" si="156"/>
        <v>0</v>
      </c>
      <c r="O246" s="12">
        <f t="shared" si="156"/>
        <v>0</v>
      </c>
      <c r="P246" s="12">
        <f t="shared" si="156"/>
        <v>0</v>
      </c>
      <c r="Q246" s="12">
        <f t="shared" si="156"/>
        <v>0</v>
      </c>
    </row>
    <row r="247" spans="7:17">
      <c r="G247" s="12">
        <f t="shared" si="129"/>
        <v>0</v>
      </c>
      <c r="H247" s="12">
        <f t="shared" ref="H247:Q247" si="157">IF($E96&gt;H$66,0,IF($E96&lt;H$66-365,$D96,0))</f>
        <v>0</v>
      </c>
      <c r="I247" s="12">
        <f t="shared" si="157"/>
        <v>0</v>
      </c>
      <c r="J247" s="12">
        <f t="shared" si="157"/>
        <v>0</v>
      </c>
      <c r="K247" s="12">
        <f t="shared" si="157"/>
        <v>0</v>
      </c>
      <c r="L247" s="12">
        <f t="shared" si="157"/>
        <v>0</v>
      </c>
      <c r="M247" s="12">
        <f t="shared" si="157"/>
        <v>0</v>
      </c>
      <c r="N247" s="12">
        <f t="shared" si="157"/>
        <v>0</v>
      </c>
      <c r="O247" s="12">
        <f t="shared" si="157"/>
        <v>0</v>
      </c>
      <c r="P247" s="12">
        <f t="shared" si="157"/>
        <v>0</v>
      </c>
      <c r="Q247" s="12">
        <f t="shared" si="157"/>
        <v>0</v>
      </c>
    </row>
    <row r="248" spans="7:17">
      <c r="G248" s="12">
        <f t="shared" si="129"/>
        <v>0</v>
      </c>
      <c r="H248" s="12">
        <f t="shared" ref="H248:Q248" si="158">IF($E97&gt;H$66,0,IF($E97&lt;H$66-365,$D97,0))</f>
        <v>0</v>
      </c>
      <c r="I248" s="12">
        <f t="shared" si="158"/>
        <v>0</v>
      </c>
      <c r="J248" s="12">
        <f t="shared" si="158"/>
        <v>0</v>
      </c>
      <c r="K248" s="12">
        <f t="shared" si="158"/>
        <v>0</v>
      </c>
      <c r="L248" s="12">
        <f t="shared" si="158"/>
        <v>0</v>
      </c>
      <c r="M248" s="12">
        <f t="shared" si="158"/>
        <v>0</v>
      </c>
      <c r="N248" s="12">
        <f t="shared" si="158"/>
        <v>0</v>
      </c>
      <c r="O248" s="12">
        <f t="shared" si="158"/>
        <v>0</v>
      </c>
      <c r="P248" s="12">
        <f t="shared" si="158"/>
        <v>0</v>
      </c>
      <c r="Q248" s="12">
        <f t="shared" si="158"/>
        <v>0</v>
      </c>
    </row>
    <row r="249" spans="7:17">
      <c r="G249" s="12">
        <f t="shared" si="129"/>
        <v>0</v>
      </c>
      <c r="H249" s="12">
        <f t="shared" ref="H249:Q249" si="159">IF($E98&gt;H$66,0,IF($E98&lt;H$66-365,$D98,0))</f>
        <v>0</v>
      </c>
      <c r="I249" s="12">
        <f t="shared" si="159"/>
        <v>0</v>
      </c>
      <c r="J249" s="12">
        <f t="shared" si="159"/>
        <v>0</v>
      </c>
      <c r="K249" s="12">
        <f t="shared" si="159"/>
        <v>0</v>
      </c>
      <c r="L249" s="12">
        <f t="shared" si="159"/>
        <v>0</v>
      </c>
      <c r="M249" s="12">
        <f t="shared" si="159"/>
        <v>0</v>
      </c>
      <c r="N249" s="12">
        <f t="shared" si="159"/>
        <v>0</v>
      </c>
      <c r="O249" s="12">
        <f t="shared" si="159"/>
        <v>0</v>
      </c>
      <c r="P249" s="12">
        <f t="shared" si="159"/>
        <v>0</v>
      </c>
      <c r="Q249" s="12">
        <f t="shared" si="159"/>
        <v>0</v>
      </c>
    </row>
    <row r="250" spans="7:17">
      <c r="G250" s="12">
        <f t="shared" si="129"/>
        <v>0</v>
      </c>
      <c r="H250" s="12">
        <f t="shared" ref="H250:Q250" si="160">IF($E99&gt;H$66,0,IF($E99&lt;H$66-365,$D99,0))</f>
        <v>0</v>
      </c>
      <c r="I250" s="12">
        <f t="shared" si="160"/>
        <v>0</v>
      </c>
      <c r="J250" s="12">
        <f t="shared" si="160"/>
        <v>0</v>
      </c>
      <c r="K250" s="12">
        <f t="shared" si="160"/>
        <v>0</v>
      </c>
      <c r="L250" s="12">
        <f t="shared" si="160"/>
        <v>0</v>
      </c>
      <c r="M250" s="12">
        <f t="shared" si="160"/>
        <v>0</v>
      </c>
      <c r="N250" s="12">
        <f t="shared" si="160"/>
        <v>0</v>
      </c>
      <c r="O250" s="12">
        <f t="shared" si="160"/>
        <v>0</v>
      </c>
      <c r="P250" s="12">
        <f t="shared" si="160"/>
        <v>0</v>
      </c>
      <c r="Q250" s="12">
        <f t="shared" si="160"/>
        <v>0</v>
      </c>
    </row>
    <row r="251" spans="7:17">
      <c r="G251" s="12">
        <f t="shared" si="129"/>
        <v>0</v>
      </c>
      <c r="H251" s="12">
        <f t="shared" ref="H251:Q251" si="161">IF($E100&gt;H$66,0,IF($E100&lt;H$66-365,$D100,0))</f>
        <v>0</v>
      </c>
      <c r="I251" s="12">
        <f t="shared" si="161"/>
        <v>0</v>
      </c>
      <c r="J251" s="12">
        <f t="shared" si="161"/>
        <v>0</v>
      </c>
      <c r="K251" s="12">
        <f t="shared" si="161"/>
        <v>0</v>
      </c>
      <c r="L251" s="12">
        <f t="shared" si="161"/>
        <v>0</v>
      </c>
      <c r="M251" s="12">
        <f t="shared" si="161"/>
        <v>0</v>
      </c>
      <c r="N251" s="12">
        <f t="shared" si="161"/>
        <v>0</v>
      </c>
      <c r="O251" s="12">
        <f t="shared" si="161"/>
        <v>0</v>
      </c>
      <c r="P251" s="12">
        <f t="shared" si="161"/>
        <v>0</v>
      </c>
      <c r="Q251" s="12">
        <f t="shared" si="161"/>
        <v>0</v>
      </c>
    </row>
    <row r="252" spans="7:17">
      <c r="G252" s="12">
        <f t="shared" si="129"/>
        <v>0</v>
      </c>
      <c r="H252" s="12">
        <f t="shared" ref="H252:Q252" si="162">IF($E101&gt;H$66,0,IF($E101&lt;H$66-365,$D101,0))</f>
        <v>0</v>
      </c>
      <c r="I252" s="12">
        <f t="shared" si="162"/>
        <v>0</v>
      </c>
      <c r="J252" s="12">
        <f t="shared" si="162"/>
        <v>0</v>
      </c>
      <c r="K252" s="12">
        <f t="shared" si="162"/>
        <v>0</v>
      </c>
      <c r="L252" s="12">
        <f t="shared" si="162"/>
        <v>0</v>
      </c>
      <c r="M252" s="12">
        <f t="shared" si="162"/>
        <v>0</v>
      </c>
      <c r="N252" s="12">
        <f t="shared" si="162"/>
        <v>0</v>
      </c>
      <c r="O252" s="12">
        <f t="shared" si="162"/>
        <v>0</v>
      </c>
      <c r="P252" s="12">
        <f t="shared" si="162"/>
        <v>0</v>
      </c>
      <c r="Q252" s="12">
        <f t="shared" si="162"/>
        <v>0</v>
      </c>
    </row>
    <row r="253" spans="7:17">
      <c r="G253" s="12">
        <f t="shared" si="129"/>
        <v>0</v>
      </c>
      <c r="H253" s="12">
        <f t="shared" ref="H253:Q253" si="163">IF($E102&gt;H$66,0,IF($E102&lt;H$66-365,$D102,0))</f>
        <v>0</v>
      </c>
      <c r="I253" s="12">
        <f t="shared" si="163"/>
        <v>0</v>
      </c>
      <c r="J253" s="12">
        <f t="shared" si="163"/>
        <v>0</v>
      </c>
      <c r="K253" s="12">
        <f t="shared" si="163"/>
        <v>0</v>
      </c>
      <c r="L253" s="12">
        <f t="shared" si="163"/>
        <v>0</v>
      </c>
      <c r="M253" s="12">
        <f t="shared" si="163"/>
        <v>0</v>
      </c>
      <c r="N253" s="12">
        <f t="shared" si="163"/>
        <v>0</v>
      </c>
      <c r="O253" s="12">
        <f t="shared" si="163"/>
        <v>0</v>
      </c>
      <c r="P253" s="12">
        <f t="shared" si="163"/>
        <v>0</v>
      </c>
      <c r="Q253" s="12">
        <f t="shared" si="163"/>
        <v>0</v>
      </c>
    </row>
    <row r="254" spans="7:17">
      <c r="G254" s="12">
        <f t="shared" si="129"/>
        <v>0</v>
      </c>
      <c r="H254" s="12">
        <f t="shared" ref="H254:Q254" si="164">IF($E103&gt;H$66,0,IF($E103&lt;H$66-365,$D103,0))</f>
        <v>0</v>
      </c>
      <c r="I254" s="12">
        <f t="shared" si="164"/>
        <v>0</v>
      </c>
      <c r="J254" s="12">
        <f t="shared" si="164"/>
        <v>0</v>
      </c>
      <c r="K254" s="12">
        <f t="shared" si="164"/>
        <v>0</v>
      </c>
      <c r="L254" s="12">
        <f t="shared" si="164"/>
        <v>0</v>
      </c>
      <c r="M254" s="12">
        <f t="shared" si="164"/>
        <v>0</v>
      </c>
      <c r="N254" s="12">
        <f t="shared" si="164"/>
        <v>0</v>
      </c>
      <c r="O254" s="12">
        <f t="shared" si="164"/>
        <v>0</v>
      </c>
      <c r="P254" s="12">
        <f t="shared" si="164"/>
        <v>0</v>
      </c>
      <c r="Q254" s="12">
        <f t="shared" si="164"/>
        <v>0</v>
      </c>
    </row>
    <row r="255" spans="7:17">
      <c r="G255" s="12">
        <f t="shared" si="129"/>
        <v>0</v>
      </c>
      <c r="H255" s="12">
        <f t="shared" ref="H255:Q255" si="165">IF($E104&gt;H$66,0,IF($E104&lt;H$66-365,$D104,0))</f>
        <v>0</v>
      </c>
      <c r="I255" s="12">
        <f t="shared" si="165"/>
        <v>0</v>
      </c>
      <c r="J255" s="12">
        <f t="shared" si="165"/>
        <v>0</v>
      </c>
      <c r="K255" s="12">
        <f t="shared" si="165"/>
        <v>0</v>
      </c>
      <c r="L255" s="12">
        <f t="shared" si="165"/>
        <v>0</v>
      </c>
      <c r="M255" s="12">
        <f t="shared" si="165"/>
        <v>0</v>
      </c>
      <c r="N255" s="12">
        <f t="shared" si="165"/>
        <v>0</v>
      </c>
      <c r="O255" s="12">
        <f t="shared" si="165"/>
        <v>0</v>
      </c>
      <c r="P255" s="12">
        <f t="shared" si="165"/>
        <v>0</v>
      </c>
      <c r="Q255" s="12">
        <f t="shared" si="165"/>
        <v>0</v>
      </c>
    </row>
    <row r="256" spans="7:17">
      <c r="G256" s="12">
        <f t="shared" si="129"/>
        <v>0</v>
      </c>
      <c r="H256" s="12">
        <f t="shared" ref="H256:Q256" si="166">IF($E105&gt;H$66,0,IF($E105&lt;H$66-365,$D105,0))</f>
        <v>0</v>
      </c>
      <c r="I256" s="12">
        <f t="shared" si="166"/>
        <v>0</v>
      </c>
      <c r="J256" s="12">
        <f t="shared" si="166"/>
        <v>0</v>
      </c>
      <c r="K256" s="12">
        <f t="shared" si="166"/>
        <v>0</v>
      </c>
      <c r="L256" s="12">
        <f t="shared" si="166"/>
        <v>0</v>
      </c>
      <c r="M256" s="12">
        <f t="shared" si="166"/>
        <v>0</v>
      </c>
      <c r="N256" s="12">
        <f t="shared" si="166"/>
        <v>0</v>
      </c>
      <c r="O256" s="12">
        <f t="shared" si="166"/>
        <v>0</v>
      </c>
      <c r="P256" s="12">
        <f t="shared" si="166"/>
        <v>0</v>
      </c>
      <c r="Q256" s="12">
        <f t="shared" si="166"/>
        <v>0</v>
      </c>
    </row>
    <row r="257" spans="5:18">
      <c r="G257" s="12">
        <f t="shared" si="129"/>
        <v>0</v>
      </c>
      <c r="H257" s="12">
        <f t="shared" ref="H257:Q257" si="167">IF($E106&gt;H$66,0,IF($E106&lt;H$66-365,$D106,0))</f>
        <v>0</v>
      </c>
      <c r="I257" s="12">
        <f t="shared" si="167"/>
        <v>0</v>
      </c>
      <c r="J257" s="12">
        <f t="shared" si="167"/>
        <v>0</v>
      </c>
      <c r="K257" s="12">
        <f t="shared" si="167"/>
        <v>0</v>
      </c>
      <c r="L257" s="12">
        <f t="shared" si="167"/>
        <v>0</v>
      </c>
      <c r="M257" s="12">
        <f t="shared" si="167"/>
        <v>0</v>
      </c>
      <c r="N257" s="12">
        <f t="shared" si="167"/>
        <v>0</v>
      </c>
      <c r="O257" s="12">
        <f t="shared" si="167"/>
        <v>0</v>
      </c>
      <c r="P257" s="12">
        <f t="shared" si="167"/>
        <v>0</v>
      </c>
      <c r="Q257" s="12">
        <f t="shared" si="167"/>
        <v>0</v>
      </c>
    </row>
    <row r="258" spans="5:18">
      <c r="G258" s="12">
        <f t="shared" si="129"/>
        <v>0</v>
      </c>
      <c r="H258" s="12">
        <f t="shared" ref="H258:Q258" si="168">IF($E107&gt;H$66,0,IF($E107&lt;H$66-365,$D107,0))</f>
        <v>0</v>
      </c>
      <c r="I258" s="12">
        <f t="shared" si="168"/>
        <v>0</v>
      </c>
      <c r="J258" s="12">
        <f t="shared" si="168"/>
        <v>0</v>
      </c>
      <c r="K258" s="12">
        <f t="shared" si="168"/>
        <v>0</v>
      </c>
      <c r="L258" s="12">
        <f t="shared" si="168"/>
        <v>0</v>
      </c>
      <c r="M258" s="12">
        <f t="shared" si="168"/>
        <v>0</v>
      </c>
      <c r="N258" s="12">
        <f t="shared" si="168"/>
        <v>0</v>
      </c>
      <c r="O258" s="12">
        <f t="shared" si="168"/>
        <v>0</v>
      </c>
      <c r="P258" s="12">
        <f t="shared" si="168"/>
        <v>0</v>
      </c>
      <c r="Q258" s="12">
        <f t="shared" si="168"/>
        <v>0</v>
      </c>
    </row>
    <row r="259" spans="5:18">
      <c r="G259" s="12">
        <f t="shared" si="129"/>
        <v>0</v>
      </c>
      <c r="H259" s="12">
        <f t="shared" ref="H259:Q259" si="169">IF($E108&gt;H$66,0,IF($E108&lt;H$66-365,$D108,0))</f>
        <v>0</v>
      </c>
      <c r="I259" s="12">
        <f t="shared" si="169"/>
        <v>0</v>
      </c>
      <c r="J259" s="12">
        <f t="shared" si="169"/>
        <v>0</v>
      </c>
      <c r="K259" s="12">
        <f t="shared" si="169"/>
        <v>0</v>
      </c>
      <c r="L259" s="12">
        <f t="shared" si="169"/>
        <v>0</v>
      </c>
      <c r="M259" s="12">
        <f t="shared" si="169"/>
        <v>0</v>
      </c>
      <c r="N259" s="12">
        <f t="shared" si="169"/>
        <v>0</v>
      </c>
      <c r="O259" s="12">
        <f t="shared" si="169"/>
        <v>0</v>
      </c>
      <c r="P259" s="12">
        <f t="shared" si="169"/>
        <v>0</v>
      </c>
      <c r="Q259" s="12">
        <f t="shared" si="169"/>
        <v>0</v>
      </c>
    </row>
    <row r="260" spans="5:18">
      <c r="G260" s="12">
        <f t="shared" si="129"/>
        <v>0</v>
      </c>
      <c r="H260" s="12">
        <f t="shared" ref="H260:Q260" si="170">IF($E109&gt;H$66,0,IF($E109&lt;H$66-365,$D109,0))</f>
        <v>0</v>
      </c>
      <c r="I260" s="12">
        <f t="shared" si="170"/>
        <v>0</v>
      </c>
      <c r="J260" s="12">
        <f t="shared" si="170"/>
        <v>0</v>
      </c>
      <c r="K260" s="12">
        <f t="shared" si="170"/>
        <v>0</v>
      </c>
      <c r="L260" s="12">
        <f t="shared" si="170"/>
        <v>0</v>
      </c>
      <c r="M260" s="12">
        <f t="shared" si="170"/>
        <v>0</v>
      </c>
      <c r="N260" s="12">
        <f t="shared" si="170"/>
        <v>0</v>
      </c>
      <c r="O260" s="12">
        <f t="shared" si="170"/>
        <v>0</v>
      </c>
      <c r="P260" s="12">
        <f t="shared" si="170"/>
        <v>0</v>
      </c>
      <c r="Q260" s="12">
        <f t="shared" si="170"/>
        <v>0</v>
      </c>
    </row>
    <row r="261" spans="5:18">
      <c r="G261" s="12">
        <f t="shared" si="129"/>
        <v>0</v>
      </c>
      <c r="H261" s="12">
        <f t="shared" ref="H261:Q261" si="171">IF($E110&gt;H$66,0,IF($E110&lt;H$66-365,$D110,0))</f>
        <v>0</v>
      </c>
      <c r="I261" s="12">
        <f t="shared" si="171"/>
        <v>0</v>
      </c>
      <c r="J261" s="12">
        <f t="shared" si="171"/>
        <v>0</v>
      </c>
      <c r="K261" s="12">
        <f t="shared" si="171"/>
        <v>0</v>
      </c>
      <c r="L261" s="12">
        <f t="shared" si="171"/>
        <v>0</v>
      </c>
      <c r="M261" s="12">
        <f t="shared" si="171"/>
        <v>0</v>
      </c>
      <c r="N261" s="12">
        <f t="shared" si="171"/>
        <v>0</v>
      </c>
      <c r="O261" s="12">
        <f t="shared" si="171"/>
        <v>0</v>
      </c>
      <c r="P261" s="12">
        <f t="shared" si="171"/>
        <v>0</v>
      </c>
      <c r="Q261" s="12">
        <f t="shared" si="171"/>
        <v>0</v>
      </c>
    </row>
    <row r="262" spans="5:18">
      <c r="G262" s="12">
        <f t="shared" si="129"/>
        <v>0</v>
      </c>
      <c r="H262" s="12">
        <f t="shared" ref="H262:Q262" si="172">IF($E111&gt;H$66,0,IF($E111&lt;H$66-365,$D111,0))</f>
        <v>0</v>
      </c>
      <c r="I262" s="12">
        <f t="shared" si="172"/>
        <v>0</v>
      </c>
      <c r="J262" s="12">
        <f t="shared" si="172"/>
        <v>0</v>
      </c>
      <c r="K262" s="12">
        <f t="shared" si="172"/>
        <v>0</v>
      </c>
      <c r="L262" s="12">
        <f t="shared" si="172"/>
        <v>0</v>
      </c>
      <c r="M262" s="12">
        <f t="shared" si="172"/>
        <v>0</v>
      </c>
      <c r="N262" s="12">
        <f t="shared" si="172"/>
        <v>0</v>
      </c>
      <c r="O262" s="12">
        <f t="shared" si="172"/>
        <v>0</v>
      </c>
      <c r="P262" s="12">
        <f t="shared" si="172"/>
        <v>0</v>
      </c>
      <c r="Q262" s="12">
        <f t="shared" si="172"/>
        <v>0</v>
      </c>
    </row>
    <row r="263" spans="5:18">
      <c r="G263" s="12">
        <f t="shared" si="129"/>
        <v>0</v>
      </c>
      <c r="H263" s="12">
        <f t="shared" ref="H263:Q263" si="173">IF($E112&gt;H$66,0,IF($E112&lt;H$66-365,$D112,0))</f>
        <v>0</v>
      </c>
      <c r="I263" s="12">
        <f t="shared" si="173"/>
        <v>0</v>
      </c>
      <c r="J263" s="12">
        <f t="shared" si="173"/>
        <v>0</v>
      </c>
      <c r="K263" s="12">
        <f t="shared" si="173"/>
        <v>0</v>
      </c>
      <c r="L263" s="12">
        <f t="shared" si="173"/>
        <v>0</v>
      </c>
      <c r="M263" s="12">
        <f t="shared" si="173"/>
        <v>0</v>
      </c>
      <c r="N263" s="12">
        <f t="shared" si="173"/>
        <v>0</v>
      </c>
      <c r="O263" s="12">
        <f t="shared" si="173"/>
        <v>0</v>
      </c>
      <c r="P263" s="12">
        <f t="shared" si="173"/>
        <v>0</v>
      </c>
      <c r="Q263" s="12">
        <f t="shared" si="173"/>
        <v>0</v>
      </c>
    </row>
    <row r="264" spans="5:18">
      <c r="G264" s="12">
        <f t="shared" si="129"/>
        <v>0</v>
      </c>
      <c r="H264" s="12">
        <f t="shared" ref="H264:Q264" si="174">IF($E113&gt;H$66,0,IF($E113&lt;H$66-365,$D113,0))</f>
        <v>0</v>
      </c>
      <c r="I264" s="12">
        <f t="shared" si="174"/>
        <v>0</v>
      </c>
      <c r="J264" s="12">
        <f t="shared" si="174"/>
        <v>0</v>
      </c>
      <c r="K264" s="12">
        <f t="shared" si="174"/>
        <v>0</v>
      </c>
      <c r="L264" s="12">
        <f t="shared" si="174"/>
        <v>0</v>
      </c>
      <c r="M264" s="12">
        <f t="shared" si="174"/>
        <v>0</v>
      </c>
      <c r="N264" s="12">
        <f t="shared" si="174"/>
        <v>0</v>
      </c>
      <c r="O264" s="12">
        <f t="shared" si="174"/>
        <v>0</v>
      </c>
      <c r="P264" s="12">
        <f t="shared" si="174"/>
        <v>0</v>
      </c>
      <c r="Q264" s="12">
        <f t="shared" si="174"/>
        <v>0</v>
      </c>
    </row>
    <row r="265" spans="5:18">
      <c r="G265" s="12">
        <f t="shared" si="129"/>
        <v>0</v>
      </c>
      <c r="H265" s="12">
        <f t="shared" ref="H265:Q265" si="175">IF($E114&gt;H$66,0,IF($E114&lt;H$66-365,$D114,0))</f>
        <v>0</v>
      </c>
      <c r="I265" s="12">
        <f t="shared" si="175"/>
        <v>0</v>
      </c>
      <c r="J265" s="12">
        <f t="shared" si="175"/>
        <v>0</v>
      </c>
      <c r="K265" s="12">
        <f t="shared" si="175"/>
        <v>0</v>
      </c>
      <c r="L265" s="12">
        <f t="shared" si="175"/>
        <v>0</v>
      </c>
      <c r="M265" s="12">
        <f t="shared" si="175"/>
        <v>0</v>
      </c>
      <c r="N265" s="12">
        <f t="shared" si="175"/>
        <v>0</v>
      </c>
      <c r="O265" s="12">
        <f t="shared" si="175"/>
        <v>0</v>
      </c>
      <c r="P265" s="12">
        <f t="shared" si="175"/>
        <v>0</v>
      </c>
      <c r="Q265" s="12">
        <f t="shared" si="175"/>
        <v>0</v>
      </c>
    </row>
    <row r="267" spans="5:18">
      <c r="F267" s="187" t="s">
        <v>493</v>
      </c>
      <c r="G267" s="187">
        <f>SUM(G220:G265)</f>
        <v>0</v>
      </c>
      <c r="H267" s="187">
        <f t="shared" ref="H267:Q267" si="176">SUM(H220:H265)</f>
        <v>0</v>
      </c>
      <c r="I267" s="187">
        <f t="shared" si="176"/>
        <v>0</v>
      </c>
      <c r="J267" s="187">
        <f t="shared" si="176"/>
        <v>0</v>
      </c>
      <c r="K267" s="187">
        <f t="shared" si="176"/>
        <v>0</v>
      </c>
      <c r="L267" s="187">
        <f t="shared" si="176"/>
        <v>0</v>
      </c>
      <c r="M267" s="187">
        <f t="shared" si="176"/>
        <v>0</v>
      </c>
      <c r="N267" s="187">
        <f t="shared" si="176"/>
        <v>0</v>
      </c>
      <c r="O267" s="187">
        <f t="shared" si="176"/>
        <v>0</v>
      </c>
      <c r="P267" s="187">
        <f t="shared" si="176"/>
        <v>0</v>
      </c>
      <c r="Q267" s="187">
        <f t="shared" si="176"/>
        <v>0</v>
      </c>
    </row>
    <row r="271" spans="5:18">
      <c r="F271" s="207" t="s">
        <v>486</v>
      </c>
      <c r="G271" s="206">
        <f>G66</f>
        <v>45473</v>
      </c>
      <c r="H271" s="206">
        <f t="shared" ref="H271:Q271" si="177">H66</f>
        <v>45838</v>
      </c>
      <c r="I271" s="206">
        <f t="shared" si="177"/>
        <v>46203</v>
      </c>
      <c r="J271" s="206">
        <f t="shared" si="177"/>
        <v>46568</v>
      </c>
      <c r="K271" s="206">
        <f t="shared" si="177"/>
        <v>46934</v>
      </c>
      <c r="L271" s="206">
        <f t="shared" si="177"/>
        <v>47299</v>
      </c>
      <c r="M271" s="206">
        <f t="shared" si="177"/>
        <v>47664</v>
      </c>
      <c r="N271" s="206">
        <f t="shared" si="177"/>
        <v>48029</v>
      </c>
      <c r="O271" s="206">
        <f t="shared" si="177"/>
        <v>48395</v>
      </c>
      <c r="P271" s="206">
        <f t="shared" si="177"/>
        <v>48760</v>
      </c>
      <c r="Q271" s="206">
        <f t="shared" si="177"/>
        <v>49125</v>
      </c>
      <c r="R271" s="206">
        <f t="shared" ref="R271" si="178">Q271+365</f>
        <v>49490</v>
      </c>
    </row>
    <row r="272" spans="5:18">
      <c r="E272" s="12" t="s">
        <v>399</v>
      </c>
      <c r="F272" s="348">
        <f t="shared" ref="F272:P272" si="179">Z216</f>
        <v>5.3187239545911771</v>
      </c>
      <c r="G272" s="348">
        <f t="shared" si="179"/>
        <v>5.3187239545911771</v>
      </c>
      <c r="H272" s="348">
        <f t="shared" si="179"/>
        <v>5.3187239545911771</v>
      </c>
      <c r="I272" s="348">
        <f t="shared" si="179"/>
        <v>5.3187239545911771</v>
      </c>
      <c r="J272" s="348">
        <f t="shared" si="179"/>
        <v>5.3187239545911771</v>
      </c>
      <c r="K272" s="348">
        <f t="shared" si="179"/>
        <v>5.3187239545911771</v>
      </c>
      <c r="L272" s="348">
        <f t="shared" si="179"/>
        <v>5.3187239545911771</v>
      </c>
      <c r="M272" s="348">
        <f t="shared" si="179"/>
        <v>5.3187239545911771</v>
      </c>
      <c r="N272" s="348">
        <f t="shared" si="179"/>
        <v>5.3187239545911771</v>
      </c>
      <c r="O272" s="348">
        <f t="shared" si="179"/>
        <v>5.3187239545911771</v>
      </c>
      <c r="P272" s="348">
        <f t="shared" si="179"/>
        <v>5.3187239545911771</v>
      </c>
      <c r="Q272" s="348">
        <f>AK216</f>
        <v>5.3187239545911771</v>
      </c>
    </row>
  </sheetData>
  <sheetProtection formatCells="0" formatColumns="0" formatRows="0" selectLockedCells="1"/>
  <customSheetViews>
    <customSheetView guid="{0FAFE012-8D9E-4ED0-86A4-A997E430971B}" scale="85" showGridLines="0" fitToPage="1" hiddenRows="1" topLeftCell="A20">
      <selection activeCell="Q67" sqref="Q67"/>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65" priority="1" operator="lessThan">
      <formula>0</formula>
    </cfRule>
  </conditionalFormatting>
  <conditionalFormatting sqref="F46:Q47">
    <cfRule type="cellIs" dxfId="64" priority="3" operator="lessThan">
      <formula>0</formula>
    </cfRule>
  </conditionalFormatting>
  <conditionalFormatting sqref="F50:Q50">
    <cfRule type="cellIs" dxfId="63" priority="2" operator="lessThan">
      <formula>0</formula>
    </cfRule>
  </conditionalFormatting>
  <dataValidations count="3">
    <dataValidation type="list" allowBlank="1" showInputMessage="1" showErrorMessage="1" sqref="F141:G141" xr:uid="{EEFEBD42-58E1-482F-B3F3-51E555A1D2C2}">
      <formula1>"0.0 Stars,0.5 Stars,1.0 Stars,1.5 Stars,2.0 Stars,2.5 Stars,3.0 Stars,3.5 Stars,4.0 Stars,4.5 Stars,5.0 Stars,5.5 Stars,6.0 Stars,N/A"</formula1>
    </dataValidation>
    <dataValidation type="list" allowBlank="1" showInputMessage="1" showErrorMessage="1" sqref="E114" xr:uid="{48689649-9531-4E0C-82C1-D4CB6219BB88}">
      <formula1>$BQ$155:$BQ$169</formula1>
    </dataValidation>
    <dataValidation type="list" allowBlank="1" showInputMessage="1" showErrorMessage="1" sqref="O114:Q114" xr:uid="{96601561-6C8C-4C33-9D91-C7C362A3423F}">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B1CD5-26F4-4079-AE49-AEE5BD9C197C}">
  <sheetPr codeName="Sheet5">
    <tabColor theme="5"/>
    <pageSetUpPr fitToPage="1"/>
  </sheetPr>
  <dimension ref="A1:CJ272"/>
  <sheetViews>
    <sheetView showGridLines="0" zoomScale="55" zoomScaleNormal="55" workbookViewId="0">
      <selection activeCell="G32" sqref="G32"/>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9.269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38</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G3" s="2"/>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VIC2</v>
      </c>
      <c r="B6" s="368" t="s">
        <v>309</v>
      </c>
      <c r="C6" s="484" t="s">
        <v>41</v>
      </c>
      <c r="D6" s="485">
        <f>(VLOOKUP($A$2,Assumptions!$B$41:$C$63,2,0))/1000</f>
        <v>0.21409693819674488</v>
      </c>
      <c r="E6" s="367" t="s">
        <v>311</v>
      </c>
      <c r="F6" s="517">
        <f>VLOOKUP($A$2,'Footprint Summary'!$B$4:$R$26,COLUMNS('Footprint Summary'!$B$4:F$26)+1,0)</f>
        <v>3544.2289999999998</v>
      </c>
      <c r="G6" s="517">
        <f>VLOOKUP($A$2,'Footprint Summary'!$B$4:$R$26,COLUMNS('Footprint Summary'!$B$4:G$26)+1,0)</f>
        <v>3544.2289999999998</v>
      </c>
      <c r="H6" s="517">
        <f>VLOOKUP($A$2,'Footprint Summary'!$B$4:$R$26,COLUMNS('Footprint Summary'!$B$4:H$26)+1,0)</f>
        <v>3544.2289999999998</v>
      </c>
      <c r="I6" s="517">
        <f>VLOOKUP($A$2,'Footprint Summary'!$B$4:$R$26,COLUMNS('Footprint Summary'!$B$4:I$26)+1,0)</f>
        <v>3544.2289999999998</v>
      </c>
      <c r="J6" s="517">
        <f>VLOOKUP($A$2,'Footprint Summary'!$B$4:$R$26,COLUMNS('Footprint Summary'!$B$4:J$26)+1,0)</f>
        <v>3544.2289999999998</v>
      </c>
      <c r="K6" s="517">
        <f>VLOOKUP($A$2,'Footprint Summary'!$B$4:$R$26,COLUMNS('Footprint Summary'!$B$4:K$26)+1,0)</f>
        <v>3544.2289999999998</v>
      </c>
      <c r="L6" s="517">
        <f>VLOOKUP($A$2,'Footprint Summary'!$B$4:$R$26,COLUMNS('Footprint Summary'!$B$4:L$26)+1,0)</f>
        <v>3544.2289999999998</v>
      </c>
      <c r="M6" s="517">
        <f>VLOOKUP($A$2,'Footprint Summary'!$B$4:$R$26,COLUMNS('Footprint Summary'!$B$4:M$26)+1,0)</f>
        <v>3544.2289999999998</v>
      </c>
      <c r="N6" s="517">
        <f>VLOOKUP($A$2,'Footprint Summary'!$B$4:$R$26,COLUMNS('Footprint Summary'!$B$4:N$26)+1,0)</f>
        <v>3544.2289999999998</v>
      </c>
      <c r="O6" s="517">
        <f>VLOOKUP($A$2,'Footprint Summary'!$B$4:$R$26,COLUMNS('Footprint Summary'!$B$4:O$26)+1,0)</f>
        <v>3544.2289999999998</v>
      </c>
      <c r="P6" s="517">
        <f>VLOOKUP($A$2,'Footprint Summary'!$B$4:$R$26,COLUMNS('Footprint Summary'!$B$4:P$26)+1,0)</f>
        <v>3544.2289999999998</v>
      </c>
      <c r="Q6" s="429">
        <f>(P6-F6)/F6</f>
        <v>0</v>
      </c>
      <c r="R6" s="366"/>
      <c r="S6" s="357"/>
      <c r="T6" s="8"/>
      <c r="U6" s="8"/>
    </row>
    <row r="7" spans="1:21" s="7" customFormat="1" ht="17.25" customHeight="1">
      <c r="A7" s="368" t="str">
        <f>VLOOKUP($A$2,'Asset Attributes'!$B$3:$D$25,2,0)</f>
        <v>VIC2</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18.746873995427872</v>
      </c>
      <c r="E8" s="422" t="s">
        <v>314</v>
      </c>
      <c r="F8" s="519">
        <f>VLOOKUP($A$2,'Footprint Summary'!$B$33:$R$55,COLUMNS('Footprint Summary'!$B$33:F$55)+1,0)</f>
        <v>8473.1630000000005</v>
      </c>
      <c r="G8" s="519">
        <f>VLOOKUP($A$2,'Footprint Summary'!$B$33:$R$55,COLUMNS('Footprint Summary'!$B$33:G$55)+1,0)</f>
        <v>8473.1630000000005</v>
      </c>
      <c r="H8" s="519">
        <f>VLOOKUP($A$2,'Footprint Summary'!$B$33:$R$55,COLUMNS('Footprint Summary'!$B$33:H$55)+1,0)</f>
        <v>8473.1630000000005</v>
      </c>
      <c r="I8" s="519">
        <f>VLOOKUP($A$2,'Footprint Summary'!$B$33:$R$55,COLUMNS('Footprint Summary'!$B$33:I$55)+1,0)</f>
        <v>8473.1630000000005</v>
      </c>
      <c r="J8" s="519">
        <f>VLOOKUP($A$2,'Footprint Summary'!$B$33:$R$55,COLUMNS('Footprint Summary'!$B$33:J$55)+1,0)</f>
        <v>8473.1630000000005</v>
      </c>
      <c r="K8" s="519">
        <f>VLOOKUP($A$2,'Footprint Summary'!$B$33:$R$55,COLUMNS('Footprint Summary'!$B$33:K$55)+1,0)</f>
        <v>8473.1630000000005</v>
      </c>
      <c r="L8" s="519">
        <f>VLOOKUP($A$2,'Footprint Summary'!$B$33:$R$55,COLUMNS('Footprint Summary'!$B$33:L$55)+1,0)</f>
        <v>8473.1630000000005</v>
      </c>
      <c r="M8" s="519">
        <f>VLOOKUP($A$2,'Footprint Summary'!$B$33:$R$55,COLUMNS('Footprint Summary'!$B$33:M$55)+1,0)</f>
        <v>8473.1630000000005</v>
      </c>
      <c r="N8" s="519">
        <f>VLOOKUP($A$2,'Footprint Summary'!$B$33:$R$55,COLUMNS('Footprint Summary'!$B$33:N$55)+1,0)</f>
        <v>8473.1630000000005</v>
      </c>
      <c r="O8" s="519">
        <f>VLOOKUP($A$2,'Footprint Summary'!$B$33:$R$55,COLUMNS('Footprint Summary'!$B$33:O$55)+1,0)</f>
        <v>8473.1630000000005</v>
      </c>
      <c r="P8" s="519">
        <f>VLOOKUP($A$2,'Footprint Summary'!$B$33:$R$55,COLUMNS('Footprint Summary'!$B$33:P$55)+1,0)</f>
        <v>8473.1630000000005</v>
      </c>
      <c r="Q8" s="429">
        <f>(P8-F8)/F8</f>
        <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14.2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VIC2</v>
      </c>
      <c r="B13" s="368" t="s">
        <v>317</v>
      </c>
      <c r="C13" s="367"/>
      <c r="D13" s="2"/>
      <c r="E13" s="367" t="s">
        <v>321</v>
      </c>
      <c r="F13" s="367">
        <f>VLOOKUP($A$2,'Footprint Summary'!$B$4:$R$26,COLUMNS('Footprint Summary'!$B$4:F$26)+1,0)*VLOOKUP($A$13,Assumptions!$A$4:$N$14,COLUMNS(Assumptions!$A$4:B$14)+1,0)</f>
        <v>3260.6906800000002</v>
      </c>
      <c r="G13" s="367">
        <f>VLOOKUP($A$2,'Footprint Summary'!$B$4:$R$26,COLUMNS('Footprint Summary'!$B$4:G$26)+1,0)*VLOOKUP($A$13,Assumptions!$A$4:$N$14,COLUMNS(Assumptions!$A$4:C$14)+1,0)</f>
        <v>1564.7771034999998</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436.62208939000004</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144.03186989707601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3841.344639287076</v>
      </c>
      <c r="G16" s="434">
        <f t="shared" ref="G16:P16" si="4">SUM(G13:G15)</f>
        <v>1564.7771034999998</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60.98630890956985</v>
      </c>
      <c r="G17" s="428">
        <f>1000*G16/(VLOOKUP($A$2,'Asset Attributes'!$B$3:$D$25,3,0))</f>
        <v>24.842858105640843</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0</v>
      </c>
      <c r="P20" s="499">
        <f>-1*(VLOOKUP($A$2,'Footprint Summary'!$B$244:AB$266,COLUMNS('Footprint Summary'!$B$244:P$266)+1,0))</f>
        <v>0</v>
      </c>
      <c r="Q20" s="499">
        <f>SUM(G20:P20)</f>
        <v>0</v>
      </c>
      <c r="R20" s="366"/>
      <c r="S20" s="357"/>
      <c r="T20" s="8"/>
      <c r="U20" s="8"/>
    </row>
    <row r="21" spans="1:21" s="7" customFormat="1" ht="19.5" customHeight="1">
      <c r="A21" s="368" t="str">
        <f>VLOOKUP($A$2,'Asset Attributes'!$B$3:$D$25,2,0)</f>
        <v>VIC2</v>
      </c>
      <c r="B21" s="368" t="s">
        <v>326</v>
      </c>
      <c r="E21" s="367" t="s">
        <v>321</v>
      </c>
      <c r="F21" s="499">
        <f>-1*(VLOOKUP($A$2,'Footprint Summary'!$B$302:$R$324,COLUMNS('Footprint Summary'!$B$302:F324)+1,0))</f>
        <v>0</v>
      </c>
      <c r="G21" s="499">
        <f>-1*(VLOOKUP($A$2,'Footprint Summary'!$B$302:$R$324,COLUMNS('Footprint Summary'!$B$302:G324)+1,0))</f>
        <v>1564.7771034999998</v>
      </c>
      <c r="H21" s="499">
        <f>-1*(VLOOKUP($A$2,'Footprint Summary'!$B$302:$R$324,COLUMNS('Footprint Summary'!$B$302:H324)+1,0))</f>
        <v>2736.1447880000001</v>
      </c>
      <c r="I21" s="499">
        <f>-1*(VLOOKUP($A$2,'Footprint Summary'!$B$302:$R$324,COLUMNS('Footprint Summary'!$B$302:I324)+1,0))</f>
        <v>2597.9198569999999</v>
      </c>
      <c r="J21" s="499">
        <f>-1*(VLOOKUP($A$2,'Footprint Summary'!$B$302:$R$324,COLUMNS('Footprint Summary'!$B$302:J324)+1,0))</f>
        <v>2527.035277</v>
      </c>
      <c r="K21" s="499">
        <f>-1*(VLOOKUP($A$2,'Footprint Summary'!$B$302:$R$324,COLUMNS('Footprint Summary'!$B$302:K324)+1,0))</f>
        <v>2477.4160709999996</v>
      </c>
      <c r="L21" s="499">
        <f>-1*(VLOOKUP($A$2,'Footprint Summary'!$B$302:$R$324,COLUMNS('Footprint Summary'!$B$302:L324)+1,0))</f>
        <v>2332.1026820000002</v>
      </c>
      <c r="M21" s="499">
        <f>-1*(VLOOKUP($A$2,'Footprint Summary'!$B$302:$R$324,COLUMNS('Footprint Summary'!$B$302:M324)+1,0))</f>
        <v>2080.4624229999999</v>
      </c>
      <c r="N21" s="499">
        <f>-1*(VLOOKUP($A$2,'Footprint Summary'!$B$302:$R$324,COLUMNS('Footprint Summary'!$B$302:N324)+1,0))</f>
        <v>1828.8221639999999</v>
      </c>
      <c r="O21" s="499">
        <f>-1*(VLOOKUP($A$2,'Footprint Summary'!$B$302:$R$324,COLUMNS('Footprint Summary'!$B$302:O324)+1,0))</f>
        <v>1633.8895689999999</v>
      </c>
      <c r="P21" s="499">
        <f>-1*(VLOOKUP($A$2,'Footprint Summary'!$B$302:$R$324,COLUMNS('Footprint Summary'!$B$302:P324)+1,0))</f>
        <v>1552.372302</v>
      </c>
      <c r="Q21" s="499">
        <f t="shared" ref="Q21:Q27" si="6">SUM(G21:P21)</f>
        <v>21330.942236499999</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436.62208939000004</v>
      </c>
      <c r="H22" s="499">
        <f>(VLOOKUP($A$2,'Footprint Summary'!$B$33:$R$55,COLUMNS('Footprint Summary'!$B$33:H$55)+1,0)*VLOOKUP($B$14,Assumptions!$B$17:$N$29,COLUMNS(Assumptions!$B$18:D$29)+1,0)/1000)</f>
        <v>436.62208939000004</v>
      </c>
      <c r="I22" s="499">
        <f>(VLOOKUP($A$2,'Footprint Summary'!$B$33:$R$55,COLUMNS('Footprint Summary'!$B$33:I$55)+1,0)*VLOOKUP($B$14,Assumptions!$B$17:$N$29,COLUMNS(Assumptions!$B$18:E$29)+1,0)/1000)</f>
        <v>436.62208939000004</v>
      </c>
      <c r="J22" s="499">
        <f>(VLOOKUP($A$2,'Footprint Summary'!$B$33:$R$55,COLUMNS('Footprint Summary'!$B$33:J$55)+1,0)*VLOOKUP($B$14,Assumptions!$B$17:$N$29,COLUMNS(Assumptions!$B$18:F$29)+1,0)/1000)</f>
        <v>436.62208939000004</v>
      </c>
      <c r="K22" s="499">
        <f>(VLOOKUP($A$2,'Footprint Summary'!$B$33:$R$55,COLUMNS('Footprint Summary'!$B$33:K$55)+1,0)*VLOOKUP($B$14,Assumptions!$B$17:$N$29,COLUMNS(Assumptions!$B$18:G$29)+1,0)/1000)</f>
        <v>436.62208939000004</v>
      </c>
      <c r="L22" s="499">
        <f>(VLOOKUP($A$2,'Footprint Summary'!$B$33:$R$55,COLUMNS('Footprint Summary'!$B$33:L$55)+1,0)*VLOOKUP($B$14,Assumptions!$B$17:$N$29,COLUMNS(Assumptions!$B$18:H$29)+1,0)/1000)</f>
        <v>436.62208939000004</v>
      </c>
      <c r="M22" s="499">
        <f>(VLOOKUP($A$2,'Footprint Summary'!$B$33:$R$55,COLUMNS('Footprint Summary'!$B$33:M$55)+1,0)*VLOOKUP($B$14,Assumptions!$B$17:$N$29,COLUMNS(Assumptions!$B$18:I$29)+1,0)/1000)</f>
        <v>436.62208939000004</v>
      </c>
      <c r="N22" s="499">
        <f>(VLOOKUP($A$2,'Footprint Summary'!$B$33:$R$55,COLUMNS('Footprint Summary'!$B$33:N$55)+1,0)*VLOOKUP($B$14,Assumptions!$B$17:$N$29,COLUMNS(Assumptions!$B$18:J$29)+1,0)/1000)</f>
        <v>436.62208939000004</v>
      </c>
      <c r="O22" s="499">
        <f>(VLOOKUP($A$2,'Footprint Summary'!$B$33:$R$55,COLUMNS('Footprint Summary'!$B$33:O$55)+1,0)*VLOOKUP($B$14,Assumptions!$B$17:$N$29,COLUMNS(Assumptions!$B$18:K$29)+1,0)/1000)</f>
        <v>436.62208939000004</v>
      </c>
      <c r="P22" s="499">
        <f>(VLOOKUP($A$2,'Footprint Summary'!$B$33:$R$55,COLUMNS('Footprint Summary'!$B$33:P$55)+1,0)*VLOOKUP($B$14,Assumptions!$B$17:$N$29,COLUMNS(Assumptions!$B$18:L$29)+1,0)/1000)</f>
        <v>436.62208939000004</v>
      </c>
      <c r="Q22" s="499">
        <f t="shared" si="6"/>
        <v>4366.2208939000002</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133.96376213073424</v>
      </c>
      <c r="H24" s="499">
        <f>VLOOKUP($A$2,'Footprint Summary'!$B$216:$R$238,COLUMNS('Footprint Summary'!$B$216:H238)+1,0)</f>
        <v>123.89565436439244</v>
      </c>
      <c r="I24" s="499">
        <f>VLOOKUP($A$2,'Footprint Summary'!$B$216:$R$238,COLUMNS('Footprint Summary'!$B$216:I238)+1,0)</f>
        <v>113.82754659805067</v>
      </c>
      <c r="J24" s="499">
        <f>VLOOKUP($A$2,'Footprint Summary'!$B$216:$R$238,COLUMNS('Footprint Summary'!$B$216:J238)+1,0)</f>
        <v>103.75943883170888</v>
      </c>
      <c r="K24" s="499">
        <f>VLOOKUP($A$2,'Footprint Summary'!$B$216:$R$238,COLUMNS('Footprint Summary'!$B$216:K238)+1,0)</f>
        <v>93.691331065367109</v>
      </c>
      <c r="L24" s="499">
        <f>VLOOKUP($A$2,'Footprint Summary'!$B$216:$R$238,COLUMNS('Footprint Summary'!$B$216:L238)+1,0)</f>
        <v>83.623223299025312</v>
      </c>
      <c r="M24" s="499">
        <f>VLOOKUP($A$2,'Footprint Summary'!$B$216:$R$238,COLUMNS('Footprint Summary'!$B$216:M238)+1,0)</f>
        <v>73.555115532683544</v>
      </c>
      <c r="N24" s="499">
        <f>VLOOKUP($A$2,'Footprint Summary'!$B$216:$R$238,COLUMNS('Footprint Summary'!$B$216:N238)+1,0)</f>
        <v>63.487007766341755</v>
      </c>
      <c r="O24" s="499">
        <f>VLOOKUP($A$2,'Footprint Summary'!$B$216:$R$238,COLUMNS('Footprint Summary'!$B$216:O238)+1,0)</f>
        <v>53.418899999999979</v>
      </c>
      <c r="P24" s="499">
        <f>VLOOKUP($A$2,'Footprint Summary'!$B$216:$R$238,COLUMNS('Footprint Summary'!$B$216:P238)+1,0)</f>
        <v>53.418900000000001</v>
      </c>
      <c r="Q24" s="499">
        <f t="shared" si="6"/>
        <v>896.64087958830396</v>
      </c>
      <c r="R24" s="366"/>
      <c r="S24" s="357"/>
      <c r="T24" s="8"/>
      <c r="U24" s="8"/>
    </row>
    <row r="25" spans="1:21" s="7" customFormat="1" ht="19.5" customHeight="1">
      <c r="A25" s="419" t="s">
        <v>319</v>
      </c>
      <c r="B25" s="419" t="s">
        <v>319</v>
      </c>
      <c r="E25" s="425" t="s">
        <v>321</v>
      </c>
      <c r="F25" s="499">
        <f>VLOOKUP($A$2,'Footprint Summary'!$B$216:$R$238,COLUMNS('Footprint Summary'!$B$216:F238)+1,0)-F24</f>
        <v>144.03186989707601</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436.62208939000004</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VIC2</v>
      </c>
      <c r="B27" s="368" t="s">
        <v>330</v>
      </c>
      <c r="E27" s="425" t="s">
        <v>321</v>
      </c>
      <c r="F27" s="367">
        <f>VLOOKUP($A$2,'Footprint Summary'!$B$4:$R$26,COLUMNS('Footprint Summary'!$B$4:F$26)+1,0)*VLOOKUP($A$13,Assumptions!$A$4:$N$14,COLUMNS(Assumptions!$A$4:B$14)+1,0)</f>
        <v>3260.6906800000002</v>
      </c>
      <c r="G27" s="499">
        <f>VLOOKUP($A$2,'Footprint Summary'!$B$4:$R$26,COLUMNS('Footprint Summary'!$B$4:G$26)+1,0)*VLOOKUP($A$13,Assumptions!$A$4:$N$14,COLUMNS(Assumptions!$A$4:C$14)+1,0)</f>
        <v>1564.7771034999998</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1564.7771034999998</v>
      </c>
      <c r="R27" s="366"/>
      <c r="S27" s="357"/>
      <c r="T27" s="8"/>
      <c r="U27" s="8"/>
    </row>
    <row r="28" spans="1:21" s="7" customFormat="1" ht="19.5" customHeight="1" thickBot="1">
      <c r="E28" s="425" t="s">
        <v>321</v>
      </c>
      <c r="F28" s="434">
        <f>SUM(F20:F23)</f>
        <v>0</v>
      </c>
      <c r="G28" s="434">
        <f t="shared" ref="G28:P28" si="7">SUM(G20:G23)</f>
        <v>2001.39919289</v>
      </c>
      <c r="H28" s="434">
        <f t="shared" si="7"/>
        <v>3172.76687739</v>
      </c>
      <c r="I28" s="434">
        <f t="shared" si="7"/>
        <v>3034.5419463899998</v>
      </c>
      <c r="J28" s="434">
        <f t="shared" si="7"/>
        <v>2963.6573663899999</v>
      </c>
      <c r="K28" s="434">
        <f t="shared" si="7"/>
        <v>2914.0381603899996</v>
      </c>
      <c r="L28" s="434">
        <f t="shared" si="7"/>
        <v>2768.7247713900001</v>
      </c>
      <c r="M28" s="434">
        <f t="shared" si="7"/>
        <v>2517.0845123899999</v>
      </c>
      <c r="N28" s="434">
        <f t="shared" si="7"/>
        <v>2265.4442533900001</v>
      </c>
      <c r="O28" s="434">
        <f t="shared" si="7"/>
        <v>2070.5116583899999</v>
      </c>
      <c r="P28" s="434">
        <f t="shared" si="7"/>
        <v>1988.9943913900001</v>
      </c>
      <c r="Q28" s="434">
        <f t="shared" ref="Q28" si="8">SUM(Q20:Q24)</f>
        <v>26593.804009988304</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771830.21999999986</v>
      </c>
      <c r="G32" s="424">
        <f>VLOOKUP($A$2,'Costs Summary'!$B$154:$R$176,COLUMNS('Costs Summary'!$B$154:G$176)+1,0)</f>
        <v>986451.15031854413</v>
      </c>
      <c r="H32" s="424">
        <f>VLOOKUP($A$2,'Costs Summary'!$B$154:$R$176,COLUMNS('Costs Summary'!$B$154:H$176)+1,0)</f>
        <v>1020976.9405796931</v>
      </c>
      <c r="I32" s="424">
        <f>VLOOKUP($A$2,'Costs Summary'!$B$154:$R$176,COLUMNS('Costs Summary'!$B$154:I$176)+1,0)</f>
        <v>1056711.1334999823</v>
      </c>
      <c r="J32" s="424">
        <f>VLOOKUP($A$2,'Costs Summary'!$B$154:$R$176,COLUMNS('Costs Summary'!$B$154:J$176)+1,0)</f>
        <v>1093696.0231724817</v>
      </c>
      <c r="K32" s="424">
        <f>VLOOKUP($A$2,'Costs Summary'!$B$154:$R$176,COLUMNS('Costs Summary'!$B$154:K$176)+1,0)</f>
        <v>1131975.3839835185</v>
      </c>
      <c r="L32" s="424">
        <f>VLOOKUP($A$2,'Costs Summary'!$B$154:$R$176,COLUMNS('Costs Summary'!$B$154:L$176)+1,0)</f>
        <v>1171594.5224229414</v>
      </c>
      <c r="M32" s="424">
        <f>VLOOKUP($A$2,'Costs Summary'!$B$154:$R$176,COLUMNS('Costs Summary'!$B$154:M$176)+1,0)</f>
        <v>1212600.3307077442</v>
      </c>
      <c r="N32" s="424">
        <f>VLOOKUP($A$2,'Costs Summary'!$B$154:$R$176,COLUMNS('Costs Summary'!$B$154:N$176)+1,0)</f>
        <v>1455120.396849293</v>
      </c>
      <c r="O32" s="424">
        <f>VLOOKUP($A$2,'Costs Summary'!$B$154:$R$176,COLUMNS('Costs Summary'!$B$154:O$176)+1,0)</f>
        <v>1506049.6107390181</v>
      </c>
      <c r="P32" s="424">
        <f>VLOOKUP($A$2,'Costs Summary'!$B$154:$R$176,COLUMNS('Costs Summary'!$B$154:P$176)+1,0)</f>
        <v>1558761.3471148836</v>
      </c>
      <c r="Q32" s="433">
        <f>SUM(G32:P32)</f>
        <v>12193936.8393881</v>
      </c>
      <c r="R32" s="366"/>
      <c r="S32" s="357"/>
      <c r="T32" s="8"/>
      <c r="U32" s="8"/>
    </row>
    <row r="33" spans="1:21" s="7" customFormat="1" ht="17.25" customHeight="1">
      <c r="A33" s="368" t="s">
        <v>284</v>
      </c>
      <c r="B33" s="368" t="s">
        <v>335</v>
      </c>
      <c r="C33" s="423"/>
      <c r="D33" s="423"/>
      <c r="E33" s="423"/>
      <c r="F33" s="424">
        <f>VLOOKUP($A$2,'Costs Summary'!$B$183:$R$205,COLUMNS('Costs Summary'!$B$183:F$205)+1,0)</f>
        <v>159548.62910000002</v>
      </c>
      <c r="G33" s="424">
        <f>VLOOKUP($A$2,'Costs Summary'!$B$183:$R$205,COLUMNS('Costs Summary'!$B$183:G$205)+1,0)</f>
        <v>163610.67867683328</v>
      </c>
      <c r="H33" s="424">
        <f>VLOOKUP($A$2,'Costs Summary'!$B$183:$R$205,COLUMNS('Costs Summary'!$B$183:H$205)+1,0)</f>
        <v>168518.9990371383</v>
      </c>
      <c r="I33" s="424">
        <f>VLOOKUP($A$2,'Costs Summary'!$B$183:$R$205,COLUMNS('Costs Summary'!$B$183:I$205)+1,0)</f>
        <v>173574.56900825244</v>
      </c>
      <c r="J33" s="424">
        <f>VLOOKUP($A$2,'Costs Summary'!$B$183:$R$205,COLUMNS('Costs Summary'!$B$183:J$205)+1,0)</f>
        <v>178781.8060785</v>
      </c>
      <c r="K33" s="424">
        <f>VLOOKUP($A$2,'Costs Summary'!$B$183:$R$205,COLUMNS('Costs Summary'!$B$183:K$205)+1,0)</f>
        <v>184145.26026085499</v>
      </c>
      <c r="L33" s="424">
        <f>VLOOKUP($A$2,'Costs Summary'!$B$183:$R$205,COLUMNS('Costs Summary'!$B$183:L$205)+1,0)</f>
        <v>189669.61806868066</v>
      </c>
      <c r="M33" s="424">
        <f>VLOOKUP($A$2,'Costs Summary'!$B$183:$R$205,COLUMNS('Costs Summary'!$B$183:M$205)+1,0)</f>
        <v>195359.70661074109</v>
      </c>
      <c r="N33" s="424">
        <f>VLOOKUP($A$2,'Costs Summary'!$B$183:$R$205,COLUMNS('Costs Summary'!$B$183:N$205)+1,0)</f>
        <v>201220.49780906332</v>
      </c>
      <c r="O33" s="424">
        <f>VLOOKUP($A$2,'Costs Summary'!$B$183:$R$205,COLUMNS('Costs Summary'!$B$183:O$205)+1,0)</f>
        <v>207257.11274333525</v>
      </c>
      <c r="P33" s="424">
        <f>VLOOKUP($A$2,'Costs Summary'!$B$183:$R$205,COLUMNS('Costs Summary'!$B$183:P$205)+1,0)</f>
        <v>213474.8261256353</v>
      </c>
      <c r="Q33" s="433">
        <f>SUM(G33:P33)</f>
        <v>1875613.0744190349</v>
      </c>
      <c r="R33" s="366"/>
      <c r="S33" s="357"/>
      <c r="T33" s="8"/>
      <c r="U33" s="8"/>
    </row>
    <row r="34" spans="1:21" s="7" customFormat="1" ht="17.25" customHeight="1">
      <c r="A34" s="368" t="s">
        <v>284</v>
      </c>
      <c r="B34" s="368" t="s">
        <v>336</v>
      </c>
      <c r="H34" s="424">
        <f>VLOOKUP($A$2,'Costs Summary'!$B$241:$R$263,COLUMNS('Costs Summary'!$B$241:H263)+1,0)</f>
        <v>26197.325363400003</v>
      </c>
      <c r="I34" s="424">
        <f>VLOOKUP($A$2,'Costs Summary'!$B$241:$R$263,COLUMNS('Costs Summary'!$B$241:I263)+1,0)</f>
        <v>26197.325363400003</v>
      </c>
      <c r="J34" s="424">
        <f>VLOOKUP($A$2,'Costs Summary'!$B$241:$R$263,COLUMNS('Costs Summary'!$B$241:J263)+1,0)</f>
        <v>26197.325363400003</v>
      </c>
      <c r="K34" s="424">
        <f>VLOOKUP($A$2,'Costs Summary'!$B$241:$R$263,COLUMNS('Costs Summary'!$B$241:K263)+1,0)</f>
        <v>26197.325363400003</v>
      </c>
      <c r="L34" s="424">
        <f>VLOOKUP($A$2,'Costs Summary'!$B$241:$R$263,COLUMNS('Costs Summary'!$B$241:L263)+1,0)</f>
        <v>26197.325363400003</v>
      </c>
      <c r="M34" s="424">
        <f>VLOOKUP($A$2,'Costs Summary'!$B$241:$R$263,COLUMNS('Costs Summary'!$B$241:M263)+1,0)</f>
        <v>26197.325363400003</v>
      </c>
      <c r="N34" s="424">
        <f>VLOOKUP($A$2,'Costs Summary'!$B$241:$R$263,COLUMNS('Costs Summary'!$B$241:N263)+1,0)</f>
        <v>26197.325363400003</v>
      </c>
      <c r="O34" s="424">
        <f>VLOOKUP($A$2,'Costs Summary'!$B$241:$R$263,COLUMNS('Costs Summary'!$B$241:O263)+1,0)</f>
        <v>26197.325363400003</v>
      </c>
      <c r="P34" s="424">
        <f>VLOOKUP($A$2,'Costs Summary'!$B$241:$R$263,COLUMNS('Costs Summary'!$B$241:P263)+1,0)</f>
        <v>26197.325363400003</v>
      </c>
      <c r="Q34" s="433">
        <f>SUM(G34:P34)</f>
        <v>235775.92827060007</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7433.7392618635467</v>
      </c>
      <c r="I35" s="424">
        <f>VLOOKUP($A$2,'Costs Summary'!$B$212:$R$234,COLUMNS('Costs Summary'!$B$212:I$234)+1,0)</f>
        <v>6829.6527958830402</v>
      </c>
      <c r="J35" s="424">
        <f>VLOOKUP($A$2,'Costs Summary'!$B$212:$R$234,COLUMNS('Costs Summary'!$B$212:J$234)+1,0)</f>
        <v>6225.5663299025327</v>
      </c>
      <c r="K35" s="424">
        <f>VLOOKUP($A$2,'Costs Summary'!$B$212:$R$234,COLUMNS('Costs Summary'!$B$212:K$234)+1,0)</f>
        <v>5621.4798639220262</v>
      </c>
      <c r="L35" s="424">
        <f>VLOOKUP($A$2,'Costs Summary'!$B$212:$R$234,COLUMNS('Costs Summary'!$B$212:L$234)+1,0)</f>
        <v>5017.3933979415187</v>
      </c>
      <c r="M35" s="424">
        <f>VLOOKUP($A$2,'Costs Summary'!$B$212:$R$234,COLUMNS('Costs Summary'!$B$212:M$234)+1,0)</f>
        <v>4413.3069319610131</v>
      </c>
      <c r="N35" s="424">
        <f>VLOOKUP($A$2,'Costs Summary'!$B$212:$R$234,COLUMNS('Costs Summary'!$B$212:N$234)+1,0)</f>
        <v>3809.2204659805052</v>
      </c>
      <c r="O35" s="424">
        <f>VLOOKUP($A$2,'Costs Summary'!$B$212:$R$234,COLUMNS('Costs Summary'!$B$212:O$234)+1,0)</f>
        <v>3205.1339999999987</v>
      </c>
      <c r="P35" s="424">
        <f>VLOOKUP($A$2,'Costs Summary'!$B$212:$R$234,COLUMNS('Costs Summary'!$B$212:P$234)+1,0)</f>
        <v>3205.134</v>
      </c>
      <c r="Q35" s="433">
        <f>SUM(G35:P35)</f>
        <v>45760.627047454182</v>
      </c>
      <c r="R35" s="366"/>
      <c r="S35" s="357"/>
      <c r="T35" s="8"/>
      <c r="U35" s="8"/>
    </row>
    <row r="36" spans="1:21" s="7" customFormat="1" ht="17.25" customHeight="1" thickBot="1">
      <c r="A36" s="437" t="s">
        <v>338</v>
      </c>
      <c r="C36" s="423"/>
      <c r="D36" s="423"/>
      <c r="E36" s="368" t="s">
        <v>669</v>
      </c>
      <c r="F36" s="461">
        <f t="shared" ref="F36:Q36" si="10">SUM(F32:F35)</f>
        <v>931378.84909999988</v>
      </c>
      <c r="G36" s="461">
        <f t="shared" si="10"/>
        <v>1150061.8289953773</v>
      </c>
      <c r="H36" s="461">
        <f t="shared" si="10"/>
        <v>1223127.0042420949</v>
      </c>
      <c r="I36" s="461">
        <f t="shared" si="10"/>
        <v>1263312.6806675177</v>
      </c>
      <c r="J36" s="461">
        <f t="shared" si="10"/>
        <v>1304900.720944284</v>
      </c>
      <c r="K36" s="461">
        <f t="shared" si="10"/>
        <v>1347939.4494716956</v>
      </c>
      <c r="L36" s="461">
        <f t="shared" si="10"/>
        <v>1392478.8592529634</v>
      </c>
      <c r="M36" s="461">
        <f t="shared" si="10"/>
        <v>1438570.6696138463</v>
      </c>
      <c r="N36" s="461">
        <f t="shared" si="10"/>
        <v>1686347.4404877368</v>
      </c>
      <c r="O36" s="461">
        <f t="shared" si="10"/>
        <v>1742709.1828457534</v>
      </c>
      <c r="P36" s="461">
        <f t="shared" si="10"/>
        <v>1801638.6326039189</v>
      </c>
      <c r="Q36" s="462">
        <f t="shared" si="10"/>
        <v>14351086.469125191</v>
      </c>
      <c r="R36" s="366"/>
      <c r="S36" s="357"/>
      <c r="T36" s="8"/>
      <c r="U36" s="8"/>
    </row>
    <row r="37" spans="1:21" s="7" customFormat="1" ht="17.25" customHeight="1" thickTop="1" thickBot="1">
      <c r="C37" s="423"/>
      <c r="D37" s="423"/>
      <c r="E37" s="368" t="s">
        <v>340</v>
      </c>
      <c r="F37" s="468">
        <f>F36/(VLOOKUP($A$2,'Asset Attributes'!$B$3:$D$25,3,0))</f>
        <v>14.786842508771649</v>
      </c>
      <c r="G37" s="468">
        <f>G36/(VLOOKUP($A$2,'Asset Attributes'!$B$3:$D$25,3,0))</f>
        <v>18.258717338425029</v>
      </c>
      <c r="H37" s="468">
        <f>H36/(VLOOKUP($A$2,'Asset Attributes'!$B$3:$D$25,3,0))</f>
        <v>19.418721390796431</v>
      </c>
      <c r="I37" s="468">
        <f>I36/(VLOOKUP($A$2,'Asset Attributes'!$B$3:$D$25,3,0))</f>
        <v>20.05672092126181</v>
      </c>
      <c r="J37" s="468">
        <f>J36/(VLOOKUP($A$2,'Asset Attributes'!$B$3:$D$25,3,0))</f>
        <v>20.716984789627766</v>
      </c>
      <c r="K37" s="468">
        <f>K36/(VLOOKUP($A$2,'Asset Attributes'!$B$3:$D$25,3,0))</f>
        <v>21.400280208165107</v>
      </c>
      <c r="L37" s="468">
        <f>L36/(VLOOKUP($A$2,'Asset Attributes'!$B$3:$D$25,3,0))</f>
        <v>22.107400880387438</v>
      </c>
      <c r="M37" s="468">
        <f>M36/(VLOOKUP($A$2,'Asset Attributes'!$B$3:$D$25,3,0))</f>
        <v>22.839167917409089</v>
      </c>
      <c r="N37" s="468">
        <f>N36/(VLOOKUP($A$2,'Asset Attributes'!$B$3:$D$25,3,0))</f>
        <v>26.772944266082476</v>
      </c>
      <c r="O37" s="468">
        <f>O36/(VLOOKUP($A$2,'Asset Attributes'!$B$3:$D$25,3,0))</f>
        <v>27.667759741625311</v>
      </c>
      <c r="P37" s="468">
        <f>P36/(VLOOKUP($A$2,'Asset Attributes'!$B$3:$D$25,3,0))</f>
        <v>28.603340889452092</v>
      </c>
      <c r="Q37" s="460">
        <f>Q36/(VLOOKUP($A$2,'Asset Attributes'!$B$3:$D$25,3,0))</f>
        <v>227.84203834323259</v>
      </c>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VIC2</v>
      </c>
      <c r="B39" s="368" t="s">
        <v>342</v>
      </c>
      <c r="C39" s="423"/>
      <c r="D39" s="423"/>
      <c r="E39" s="367"/>
      <c r="F39" s="424">
        <f>VLOOKUP($A$2,'Costs Summary'!$B$4:$R$26,COLUMNS('Costs Summary'!$B$4:F$26)+1,0)</f>
        <v>771830.21999999986</v>
      </c>
      <c r="G39" s="424">
        <f>VLOOKUP($A$2,'Costs Summary'!$B$4:$R$26,COLUMNS('Costs Summary'!$B$4:G$26)+1,0)</f>
        <v>986451.15031854413</v>
      </c>
      <c r="H39" s="424">
        <f>VLOOKUP($A$2,'Costs Summary'!$B$4:$R$26,COLUMNS('Costs Summary'!$B$4:H$26)+1,0)</f>
        <v>1020976.9405796931</v>
      </c>
      <c r="I39" s="424">
        <f>VLOOKUP($A$2,'Costs Summary'!$B$4:$R$26,COLUMNS('Costs Summary'!$B$4:I$26)+1,0)</f>
        <v>1056711.1334999823</v>
      </c>
      <c r="J39" s="424">
        <f>VLOOKUP($A$2,'Costs Summary'!$B$4:$R$26,COLUMNS('Costs Summary'!$B$4:J$26)+1,0)</f>
        <v>1093696.0231724817</v>
      </c>
      <c r="K39" s="424">
        <f>VLOOKUP($A$2,'Costs Summary'!$B$4:$R$26,COLUMNS('Costs Summary'!$B$4:K$26)+1,0)</f>
        <v>1131975.3839835185</v>
      </c>
      <c r="L39" s="424">
        <f>VLOOKUP($A$2,'Costs Summary'!$B$4:$R$26,COLUMNS('Costs Summary'!$B$4:L$26)+1,0)</f>
        <v>1171594.5224229414</v>
      </c>
      <c r="M39" s="424">
        <f>VLOOKUP($A$2,'Costs Summary'!$B$4:$R$26,COLUMNS('Costs Summary'!$B$4:M$26)+1,0)</f>
        <v>1212600.3307077442</v>
      </c>
      <c r="N39" s="424">
        <f>VLOOKUP($A$2,'Costs Summary'!$B$4:$R$26,COLUMNS('Costs Summary'!$B$4:N$26)+1,0)</f>
        <v>1455120.396849293</v>
      </c>
      <c r="O39" s="424">
        <f>VLOOKUP($A$2,'Costs Summary'!$B$4:$R$26,COLUMNS('Costs Summary'!$B$4:O$26)+1,0)</f>
        <v>1506049.6107390181</v>
      </c>
      <c r="P39" s="424">
        <f>VLOOKUP($A$2,'Costs Summary'!$B$4:$R$26,COLUMNS('Costs Summary'!$B$4:P$26)+1,0)</f>
        <v>1558761.3471148836</v>
      </c>
      <c r="Q39" s="433">
        <f>SUM(G39:P39)</f>
        <v>12193936.8393881</v>
      </c>
      <c r="R39" s="366"/>
      <c r="S39" s="357"/>
      <c r="T39" s="8"/>
      <c r="U39" s="8"/>
    </row>
    <row r="40" spans="1:21" s="7" customFormat="1" ht="17.25" customHeight="1">
      <c r="A40" s="368" t="s">
        <v>284</v>
      </c>
      <c r="B40" s="368" t="s">
        <v>343</v>
      </c>
      <c r="C40" s="423"/>
      <c r="D40" s="423"/>
      <c r="E40" s="423"/>
      <c r="F40" s="424">
        <f>VLOOKUP($A$2,'Costs Summary'!$B$33:$R$55,COLUMNS('Costs Summary'!$B$33:F$55)+1,0)</f>
        <v>159548.62910000002</v>
      </c>
      <c r="G40" s="424">
        <f>VLOOKUP($A$2,'Costs Summary'!$B$33:$R$55,COLUMNS('Costs Summary'!$B$33:G$55)+1,0)</f>
        <v>163610.67867683328</v>
      </c>
      <c r="H40" s="424">
        <f>VLOOKUP($A$2,'Costs Summary'!$B$33:$R$55,COLUMNS('Costs Summary'!$B$33:H$55)+1,0)</f>
        <v>168518.9990371383</v>
      </c>
      <c r="I40" s="424">
        <f>VLOOKUP($A$2,'Costs Summary'!$B$33:$R$55,COLUMNS('Costs Summary'!$B$33:I$55)+1,0)</f>
        <v>173574.56900825244</v>
      </c>
      <c r="J40" s="424">
        <f>VLOOKUP($A$2,'Costs Summary'!$B$33:$R$55,COLUMNS('Costs Summary'!$B$33:J$55)+1,0)</f>
        <v>178781.8060785</v>
      </c>
      <c r="K40" s="424">
        <f>VLOOKUP($A$2,'Costs Summary'!$B$33:$R$55,COLUMNS('Costs Summary'!$B$33:K$55)+1,0)</f>
        <v>184145.26026085499</v>
      </c>
      <c r="L40" s="424">
        <f>VLOOKUP($A$2,'Costs Summary'!$B$33:$R$55,COLUMNS('Costs Summary'!$B$33:L$55)+1,0)</f>
        <v>189669.61806868066</v>
      </c>
      <c r="M40" s="424">
        <f>VLOOKUP($A$2,'Costs Summary'!$B$33:$R$55,COLUMNS('Costs Summary'!$B$33:M$55)+1,0)</f>
        <v>195359.70661074109</v>
      </c>
      <c r="N40" s="424">
        <f>VLOOKUP($A$2,'Costs Summary'!$B$33:$R$55,COLUMNS('Costs Summary'!$B$33:N$55)+1,0)</f>
        <v>201220.49780906332</v>
      </c>
      <c r="O40" s="424">
        <f>VLOOKUP($A$2,'Costs Summary'!$B$33:$R$55,COLUMNS('Costs Summary'!$B$33:O$55)+1,0)</f>
        <v>207257.11274333525</v>
      </c>
      <c r="P40" s="424">
        <f>VLOOKUP($A$2,'Costs Summary'!$B$33:$R$55,COLUMNS('Costs Summary'!$B$33:P$55)+1,0)</f>
        <v>213474.8261256353</v>
      </c>
      <c r="Q40" s="433">
        <f>SUM(G40:P40)</f>
        <v>1875613.0744190349</v>
      </c>
      <c r="R40" s="366"/>
      <c r="S40" s="357"/>
      <c r="T40" s="8"/>
      <c r="U40" s="8"/>
    </row>
    <row r="41" spans="1:21" s="7" customFormat="1" ht="17.25" customHeight="1">
      <c r="A41" s="368" t="s">
        <v>284</v>
      </c>
      <c r="B41" s="368" t="s">
        <v>336</v>
      </c>
      <c r="H41" s="424">
        <f>VLOOKUP($A$2,'Costs Summary'!$B$125:$R$147,COLUMNS('Costs Summary'!$B$125:H$147)+1,0)</f>
        <v>26197.325363400003</v>
      </c>
      <c r="I41" s="424">
        <f>VLOOKUP($A$2,'Costs Summary'!$B$125:$R$147,COLUMNS('Costs Summary'!$B$125:I$147)+1,0)</f>
        <v>26197.325363400003</v>
      </c>
      <c r="J41" s="424">
        <f>VLOOKUP($A$2,'Costs Summary'!$B$125:$R$147,COLUMNS('Costs Summary'!$B$125:J$147)+1,0)</f>
        <v>26197.325363400003</v>
      </c>
      <c r="K41" s="424">
        <f>VLOOKUP($A$2,'Costs Summary'!$B$125:$R$147,COLUMNS('Costs Summary'!$B$125:K$147)+1,0)</f>
        <v>26197.325363400003</v>
      </c>
      <c r="L41" s="424">
        <f>VLOOKUP($A$2,'Costs Summary'!$B$125:$R$147,COLUMNS('Costs Summary'!$B$125:L$147)+1,0)</f>
        <v>26197.325363400003</v>
      </c>
      <c r="M41" s="424">
        <f>VLOOKUP($A$2,'Costs Summary'!$B$125:$R$147,COLUMNS('Costs Summary'!$B$125:M$147)+1,0)</f>
        <v>26197.325363400003</v>
      </c>
      <c r="N41" s="424">
        <f>VLOOKUP($A$2,'Costs Summary'!$B$125:$R$147,COLUMNS('Costs Summary'!$B$125:N$147)+1,0)</f>
        <v>26197.325363400003</v>
      </c>
      <c r="O41" s="424">
        <f>VLOOKUP($A$2,'Costs Summary'!$B$125:$R$147,COLUMNS('Costs Summary'!$B$125:O$147)+1,0)</f>
        <v>26197.325363400003</v>
      </c>
      <c r="P41" s="424">
        <f>VLOOKUP($A$2,'Costs Summary'!$B$125:$R$147,COLUMNS('Costs Summary'!$B$125:P$147)+1,0)</f>
        <v>26197.325363400003</v>
      </c>
      <c r="Q41" s="433">
        <f t="shared" ref="Q41:Q42" si="11">SUM(G41:P41)</f>
        <v>235775.92827060007</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7433.7392618635467</v>
      </c>
      <c r="I42" s="424">
        <f>VLOOKUP($A$2,'Costs Summary'!$B$212:$R$234,COLUMNS('Costs Summary'!$B$212:I$234)+1,0)</f>
        <v>6829.6527958830402</v>
      </c>
      <c r="J42" s="424">
        <f>VLOOKUP($A$2,'Costs Summary'!$B$212:$R$234,COLUMNS('Costs Summary'!$B$212:J$234)+1,0)</f>
        <v>6225.5663299025327</v>
      </c>
      <c r="K42" s="424">
        <f>VLOOKUP($A$2,'Costs Summary'!$B$212:$R$234,COLUMNS('Costs Summary'!$B$212:K$234)+1,0)</f>
        <v>5621.4798639220262</v>
      </c>
      <c r="L42" s="424">
        <f>VLOOKUP($A$2,'Costs Summary'!$B$212:$R$234,COLUMNS('Costs Summary'!$B$212:L$234)+1,0)</f>
        <v>5017.3933979415187</v>
      </c>
      <c r="M42" s="424">
        <f>VLOOKUP($A$2,'Costs Summary'!$B$212:$R$234,COLUMNS('Costs Summary'!$B$212:M$234)+1,0)</f>
        <v>4413.3069319610131</v>
      </c>
      <c r="N42" s="424">
        <f>VLOOKUP($A$2,'Costs Summary'!$B$212:$R$234,COLUMNS('Costs Summary'!$B$212:N$234)+1,0)</f>
        <v>3809.2204659805052</v>
      </c>
      <c r="O42" s="424">
        <f>VLOOKUP($A$2,'Costs Summary'!$B$212:$R$234,COLUMNS('Costs Summary'!$B$212:O$234)+1,0)</f>
        <v>3205.1339999999987</v>
      </c>
      <c r="P42" s="424">
        <f>VLOOKUP($A$2,'Costs Summary'!$B$212:$R$234,COLUMNS('Costs Summary'!$B$212:P$234)+1,0)</f>
        <v>3205.134</v>
      </c>
      <c r="Q42" s="433">
        <f t="shared" si="11"/>
        <v>45760.627047454182</v>
      </c>
      <c r="R42" s="366"/>
      <c r="S42" s="357"/>
      <c r="T42" s="8"/>
      <c r="U42" s="8"/>
    </row>
    <row r="43" spans="1:21" s="7" customFormat="1" ht="17.25" customHeight="1" thickBot="1">
      <c r="A43" s="437" t="s">
        <v>338</v>
      </c>
      <c r="E43" s="368" t="s">
        <v>669</v>
      </c>
      <c r="F43" s="461">
        <f t="shared" ref="F43:Q43" si="12">SUM(F39:F42)</f>
        <v>931378.84909999988</v>
      </c>
      <c r="G43" s="461">
        <f t="shared" si="12"/>
        <v>1150061.8289953773</v>
      </c>
      <c r="H43" s="461">
        <f t="shared" si="12"/>
        <v>1223127.0042420949</v>
      </c>
      <c r="I43" s="461">
        <f t="shared" si="12"/>
        <v>1263312.6806675177</v>
      </c>
      <c r="J43" s="461">
        <f t="shared" si="12"/>
        <v>1304900.720944284</v>
      </c>
      <c r="K43" s="461">
        <f t="shared" si="12"/>
        <v>1347939.4494716956</v>
      </c>
      <c r="L43" s="461">
        <f t="shared" si="12"/>
        <v>1392478.8592529634</v>
      </c>
      <c r="M43" s="461">
        <f t="shared" si="12"/>
        <v>1438570.6696138463</v>
      </c>
      <c r="N43" s="461">
        <f t="shared" si="12"/>
        <v>1686347.4404877368</v>
      </c>
      <c r="O43" s="461">
        <f t="shared" si="12"/>
        <v>1742709.1828457534</v>
      </c>
      <c r="P43" s="461">
        <f t="shared" si="12"/>
        <v>1801638.6326039189</v>
      </c>
      <c r="Q43" s="462">
        <f t="shared" si="12"/>
        <v>14351086.469125191</v>
      </c>
      <c r="R43" s="366"/>
      <c r="S43" s="357"/>
      <c r="T43" s="8"/>
      <c r="U43" s="8"/>
    </row>
    <row r="44" spans="1:21" s="7" customFormat="1" ht="17.25" customHeight="1" thickTop="1" thickBot="1">
      <c r="E44" s="368" t="s">
        <v>340</v>
      </c>
      <c r="F44" s="468">
        <f>F43/(VLOOKUP($A$2,'Asset Attributes'!$B$3:$D$25,3,0))</f>
        <v>14.786842508771649</v>
      </c>
      <c r="G44" s="468">
        <f>G43/(VLOOKUP($A$2,'Asset Attributes'!$B$3:$D$25,3,0))</f>
        <v>18.258717338425029</v>
      </c>
      <c r="H44" s="468">
        <f>H43/(VLOOKUP($A$2,'Asset Attributes'!$B$3:$D$25,3,0))</f>
        <v>19.418721390796431</v>
      </c>
      <c r="I44" s="468">
        <f>I43/(VLOOKUP($A$2,'Asset Attributes'!$B$3:$D$25,3,0))</f>
        <v>20.05672092126181</v>
      </c>
      <c r="J44" s="468">
        <f>J43/(VLOOKUP($A$2,'Asset Attributes'!$B$3:$D$25,3,0))</f>
        <v>20.716984789627766</v>
      </c>
      <c r="K44" s="468">
        <f>K43/(VLOOKUP($A$2,'Asset Attributes'!$B$3:$D$25,3,0))</f>
        <v>21.400280208165107</v>
      </c>
      <c r="L44" s="468">
        <f>L43/(VLOOKUP($A$2,'Asset Attributes'!$B$3:$D$25,3,0))</f>
        <v>22.107400880387438</v>
      </c>
      <c r="M44" s="468">
        <f>M43/(VLOOKUP($A$2,'Asset Attributes'!$B$3:$D$25,3,0))</f>
        <v>22.839167917409089</v>
      </c>
      <c r="N44" s="468">
        <f>N43/(VLOOKUP($A$2,'Asset Attributes'!$B$3:$D$25,3,0))</f>
        <v>26.772944266082476</v>
      </c>
      <c r="O44" s="468">
        <f>O43/(VLOOKUP($A$2,'Asset Attributes'!$B$3:$D$25,3,0))</f>
        <v>27.667759741625311</v>
      </c>
      <c r="P44" s="468">
        <f>P43/(VLOOKUP($A$2,'Asset Attributes'!$B$3:$D$25,3,0))</f>
        <v>28.603340889452092</v>
      </c>
      <c r="Q44" s="460">
        <f>Q43/(VLOOKUP($A$2,'Asset Attributes'!$B$3:$D$25,3,0))</f>
        <v>227.84203834323259</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3">G43-G36</f>
        <v>0</v>
      </c>
      <c r="H46" s="461">
        <f t="shared" si="13"/>
        <v>0</v>
      </c>
      <c r="I46" s="461">
        <f t="shared" si="13"/>
        <v>0</v>
      </c>
      <c r="J46" s="461">
        <f t="shared" si="13"/>
        <v>0</v>
      </c>
      <c r="K46" s="461">
        <f t="shared" si="13"/>
        <v>0</v>
      </c>
      <c r="L46" s="461">
        <f t="shared" si="13"/>
        <v>0</v>
      </c>
      <c r="M46" s="461">
        <f t="shared" si="13"/>
        <v>0</v>
      </c>
      <c r="N46" s="461">
        <f t="shared" si="13"/>
        <v>0</v>
      </c>
      <c r="O46" s="461">
        <f t="shared" si="13"/>
        <v>0</v>
      </c>
      <c r="P46" s="461">
        <f t="shared" si="13"/>
        <v>0</v>
      </c>
      <c r="Q46" s="462">
        <f>SUM(F46:P46)</f>
        <v>0</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0</v>
      </c>
      <c r="M47" s="468">
        <f>M46/(VLOOKUP($A$2,'Asset Attributes'!$B$3:$D$25,3,0))</f>
        <v>0</v>
      </c>
      <c r="N47" s="468">
        <f>N46/(VLOOKUP($A$2,'Asset Attributes'!$B$3:$D$25,3,0))</f>
        <v>0</v>
      </c>
      <c r="O47" s="468">
        <f>O46/(VLOOKUP($A$2,'Asset Attributes'!$B$3:$D$25,3,0))</f>
        <v>0</v>
      </c>
      <c r="P47" s="468">
        <f>P46/(VLOOKUP($A$2,'Asset Attributes'!$B$3:$D$25,3,0))</f>
        <v>0</v>
      </c>
      <c r="Q47" s="460">
        <f>Q46/(VLOOKUP($A$2,'Asset Attributes'!$B$3:$D$25,3,0))</f>
        <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4">G115</f>
        <v>0</v>
      </c>
      <c r="H49" s="464">
        <f t="shared" si="14"/>
        <v>85000</v>
      </c>
      <c r="I49" s="464">
        <f t="shared" si="14"/>
        <v>1187500</v>
      </c>
      <c r="J49" s="464">
        <f t="shared" si="14"/>
        <v>882500</v>
      </c>
      <c r="K49" s="464">
        <f t="shared" si="14"/>
        <v>650000</v>
      </c>
      <c r="L49" s="464">
        <f t="shared" si="14"/>
        <v>0</v>
      </c>
      <c r="M49" s="464">
        <f t="shared" si="14"/>
        <v>0</v>
      </c>
      <c r="N49" s="464">
        <f t="shared" si="14"/>
        <v>0</v>
      </c>
      <c r="O49" s="464">
        <f t="shared" si="14"/>
        <v>0</v>
      </c>
      <c r="P49" s="464">
        <f t="shared" si="14"/>
        <v>0</v>
      </c>
      <c r="Q49" s="465">
        <f>+SUM(F49:P49)</f>
        <v>2805000</v>
      </c>
      <c r="R49" s="366"/>
      <c r="S49" s="357"/>
      <c r="T49" s="8"/>
      <c r="U49" s="8"/>
      <c r="V49" s="8"/>
      <c r="W49" s="8"/>
      <c r="X49" s="8"/>
    </row>
    <row r="50" spans="1:24" s="7" customFormat="1" ht="17.25" customHeight="1">
      <c r="A50" s="9"/>
      <c r="B50" s="368"/>
      <c r="C50" s="2"/>
      <c r="D50" s="2"/>
      <c r="E50" s="459" t="s">
        <v>348</v>
      </c>
      <c r="F50" s="466">
        <f>F46</f>
        <v>0</v>
      </c>
      <c r="G50" s="466">
        <f t="shared" ref="G50:P50" si="15">G46</f>
        <v>0</v>
      </c>
      <c r="H50" s="466">
        <f t="shared" si="15"/>
        <v>0</v>
      </c>
      <c r="I50" s="466">
        <f t="shared" si="15"/>
        <v>0</v>
      </c>
      <c r="J50" s="466">
        <f t="shared" si="15"/>
        <v>0</v>
      </c>
      <c r="K50" s="466">
        <f t="shared" si="15"/>
        <v>0</v>
      </c>
      <c r="L50" s="466">
        <f t="shared" si="15"/>
        <v>0</v>
      </c>
      <c r="M50" s="466">
        <f t="shared" si="15"/>
        <v>0</v>
      </c>
      <c r="N50" s="466">
        <f t="shared" si="15"/>
        <v>0</v>
      </c>
      <c r="O50" s="466">
        <f t="shared" si="15"/>
        <v>0</v>
      </c>
      <c r="P50" s="466">
        <f t="shared" si="15"/>
        <v>0</v>
      </c>
      <c r="Q50" s="467">
        <f>Q46</f>
        <v>0</v>
      </c>
      <c r="R50" s="366"/>
      <c r="S50" s="357"/>
      <c r="T50" s="8"/>
      <c r="U50" s="8"/>
      <c r="V50" s="8"/>
      <c r="W50" s="8"/>
      <c r="X50" s="8"/>
    </row>
    <row r="51" spans="1:24" s="7" customFormat="1" ht="17.25" customHeight="1">
      <c r="A51" s="9"/>
      <c r="B51" s="368"/>
      <c r="C51" s="2"/>
      <c r="D51" s="2"/>
      <c r="E51" s="3"/>
      <c r="F51" s="431">
        <f>-1*F50</f>
        <v>0</v>
      </c>
      <c r="G51" s="431">
        <f>-1*G50/(VLOOKUP($A$2,'Asset Attributes'!$B$3:$D$25,3,0))</f>
        <v>0</v>
      </c>
      <c r="H51" s="431">
        <f>-1*H50/(VLOOKUP($A$2,'Asset Attributes'!$B$3:$D$25,3,0))</f>
        <v>0</v>
      </c>
      <c r="I51" s="431">
        <f>-1*I50/(VLOOKUP($A$2,'Asset Attributes'!$B$3:$D$25,3,0))</f>
        <v>0</v>
      </c>
      <c r="J51" s="431">
        <f>-1*J50/(VLOOKUP($A$2,'Asset Attributes'!$B$3:$D$25,3,0))</f>
        <v>0</v>
      </c>
      <c r="K51" s="431">
        <f>-1*K50/(VLOOKUP($A$2,'Asset Attributes'!$B$3:$D$25,3,0))</f>
        <v>0</v>
      </c>
      <c r="L51" s="431">
        <f>-1*L50/(VLOOKUP($A$2,'Asset Attributes'!$B$3:$D$25,3,0))</f>
        <v>0</v>
      </c>
      <c r="M51" s="431">
        <f>-1*M50/(VLOOKUP($A$2,'Asset Attributes'!$B$3:$D$25,3,0))</f>
        <v>0</v>
      </c>
      <c r="N51" s="431">
        <f>-1*N50/(VLOOKUP($A$2,'Asset Attributes'!$B$3:$D$25,3,0))</f>
        <v>0</v>
      </c>
      <c r="O51" s="431">
        <f>-1*O50/(VLOOKUP($A$2,'Asset Attributes'!$B$3:$D$25,3,0))</f>
        <v>0</v>
      </c>
      <c r="P51" s="431">
        <f>-1*P50/(VLOOKUP($A$2,'Asset Attributes'!$B$3:$D$25,3,0))</f>
        <v>0</v>
      </c>
      <c r="Q51" s="537">
        <f>Q46/(10*((VLOOKUP($A$2,'Asset Attributes'!$B$3:$D$25,3,0))))</f>
        <v>0</v>
      </c>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495</v>
      </c>
      <c r="D55" s="10"/>
      <c r="E55" s="441" t="s">
        <v>205</v>
      </c>
      <c r="F55" s="200" t="s">
        <v>188</v>
      </c>
      <c r="G55" s="200" t="str">
        <f>G67</f>
        <v>CURRENT</v>
      </c>
      <c r="H55" s="200" t="str">
        <f t="shared" ref="H55:P55" si="16">H67</f>
        <v>FY25</v>
      </c>
      <c r="I55" s="200" t="str">
        <f t="shared" si="16"/>
        <v>FY26</v>
      </c>
      <c r="J55" s="200" t="str">
        <f t="shared" si="16"/>
        <v>FY27</v>
      </c>
      <c r="K55" s="200" t="str">
        <f t="shared" si="16"/>
        <v>FY28</v>
      </c>
      <c r="L55" s="200" t="str">
        <f t="shared" si="16"/>
        <v>FY29</v>
      </c>
      <c r="M55" s="200" t="str">
        <f t="shared" si="16"/>
        <v>FY30</v>
      </c>
      <c r="N55" s="200" t="str">
        <f t="shared" si="16"/>
        <v>FY31</v>
      </c>
      <c r="O55" s="200" t="str">
        <f t="shared" si="16"/>
        <v>FY32</v>
      </c>
      <c r="P55" s="200" t="str">
        <f t="shared" si="16"/>
        <v>FY33</v>
      </c>
      <c r="Q55" s="200" t="s">
        <v>84</v>
      </c>
      <c r="R55" s="992" t="s">
        <v>354</v>
      </c>
      <c r="S55" s="992"/>
      <c r="T55" s="992" t="s">
        <v>355</v>
      </c>
      <c r="U55" s="992"/>
      <c r="V55" s="992" t="s">
        <v>679</v>
      </c>
      <c r="W55" s="992"/>
      <c r="X55" s="8"/>
    </row>
    <row r="56" spans="1:24" ht="25.5" customHeight="1" thickTop="1">
      <c r="A56" s="438" t="s">
        <v>357</v>
      </c>
      <c r="B56" s="11"/>
      <c r="C56" s="442">
        <v>45016</v>
      </c>
      <c r="D56" s="159"/>
      <c r="E56" s="487" t="str">
        <f>A2</f>
        <v>120 Collins Street</v>
      </c>
      <c r="F56" s="440">
        <f t="shared" ref="F56:P56" si="17">F272</f>
        <v>4.2064719358533793</v>
      </c>
      <c r="G56" s="440">
        <f t="shared" si="17"/>
        <v>4.2064719358533793</v>
      </c>
      <c r="H56" s="440">
        <f t="shared" si="17"/>
        <v>4.2064719358533793</v>
      </c>
      <c r="I56" s="440">
        <f t="shared" si="17"/>
        <v>4.2064719358533793</v>
      </c>
      <c r="J56" s="440">
        <f t="shared" si="17"/>
        <v>4.2064719358533793</v>
      </c>
      <c r="K56" s="440">
        <f t="shared" si="17"/>
        <v>4.2064719358533793</v>
      </c>
      <c r="L56" s="440">
        <f t="shared" si="17"/>
        <v>4.2064719358533793</v>
      </c>
      <c r="M56" s="440">
        <f t="shared" si="17"/>
        <v>4.2064719358533793</v>
      </c>
      <c r="N56" s="440">
        <f t="shared" si="17"/>
        <v>4.2064719358533793</v>
      </c>
      <c r="O56" s="440">
        <f t="shared" si="17"/>
        <v>4.2064719358533793</v>
      </c>
      <c r="P56" s="440">
        <f t="shared" si="17"/>
        <v>4.2064719358533793</v>
      </c>
      <c r="Q56" s="470">
        <f>IF(E56="",0,P56-F56)</f>
        <v>0</v>
      </c>
      <c r="R56" s="473" t="s">
        <v>358</v>
      </c>
      <c r="S56" s="478" t="s">
        <v>20</v>
      </c>
      <c r="T56" s="473" t="s">
        <v>358</v>
      </c>
      <c r="U56" s="478" t="s">
        <v>20</v>
      </c>
      <c r="V56" s="473" t="s">
        <v>358</v>
      </c>
      <c r="W56" s="479" t="str">
        <f>IF(W58=1,"Complete",IF(W60&lt;&gt;0,"Complete","Outstanding"))</f>
        <v>Complete</v>
      </c>
      <c r="X56" s="14"/>
    </row>
    <row r="57" spans="1:24" ht="25.5" customHeight="1">
      <c r="A57" s="438" t="s">
        <v>6</v>
      </c>
      <c r="C57" s="275" t="s">
        <v>129</v>
      </c>
      <c r="D57" s="160"/>
      <c r="E57" s="488" t="str">
        <f>IF(VLOOKUP($A$2,'Asset Attributes'!B3:G25,4,0)&gt;0.001,"ICPF","")</f>
        <v>ICPF</v>
      </c>
      <c r="F57" s="514">
        <f>IF($E$57="ICPF",(SUMPRODUCT('Footprint Summary'!G153:G175,'Footprint Summary'!$C153:$C175,'Footprint Summary'!$D153:$D175)/SUMPRODUCT('Footprint Summary'!$C153:$C175,'Footprint Summary'!$D153:$D175)),"")</f>
        <v>5.2939894644512195</v>
      </c>
      <c r="G57" s="514">
        <f>IF($E$57="ICPF",(SUMPRODUCT('Footprint Summary'!H153:H175,'Footprint Summary'!$C153:$C175,'Footprint Summary'!$D153:$D175)/SUMPRODUCT('Footprint Summary'!$C153:$C175,'Footprint Summary'!$D153:$D175)),"")</f>
        <v>5.2979162441742069</v>
      </c>
      <c r="H57" s="514">
        <f>IF($E$57="ICPF",(SUMPRODUCT('Footprint Summary'!I153:I175,'Footprint Summary'!$C153:$C175,'Footprint Summary'!$D153:$D175)/SUMPRODUCT('Footprint Summary'!$C153:$C175,'Footprint Summary'!$D153:$D175)),"")</f>
        <v>5.3084382327323487</v>
      </c>
      <c r="I57" s="514">
        <f>IF($E$57="ICPF",(SUMPRODUCT('Footprint Summary'!J153:J175,'Footprint Summary'!$C153:$C175,'Footprint Summary'!$D153:$D175)/SUMPRODUCT('Footprint Summary'!$C153:$C175,'Footprint Summary'!$D153:$D175)),"")</f>
        <v>5.3896758583664868</v>
      </c>
      <c r="J57" s="514">
        <f>IF($E$57="ICPF",(SUMPRODUCT('Footprint Summary'!K153:K175,'Footprint Summary'!$C153:$C175,'Footprint Summary'!$D153:$D175)/SUMPRODUCT('Footprint Summary'!$C153:$C175,'Footprint Summary'!$D153:$D175)),"")</f>
        <v>5.3955950251223559</v>
      </c>
      <c r="K57" s="514">
        <f>IF($E$57="ICPF",(SUMPRODUCT('Footprint Summary'!L153:L175,'Footprint Summary'!$C153:$C175,'Footprint Summary'!$D153:$D175)/SUMPRODUCT('Footprint Summary'!$C153:$C175,'Footprint Summary'!$D153:$D175)),"")</f>
        <v>5.4346681904031584</v>
      </c>
      <c r="L57" s="514">
        <f>IF($E$57="ICPF",(SUMPRODUCT('Footprint Summary'!M153:M175,'Footprint Summary'!$C153:$C175,'Footprint Summary'!$D153:$D175)/SUMPRODUCT('Footprint Summary'!$C153:$C175,'Footprint Summary'!$D153:$D175)),"")</f>
        <v>5.4494614148100462</v>
      </c>
      <c r="M57" s="514">
        <f>IF($E$57="ICPF",(SUMPRODUCT('Footprint Summary'!N153:N175,'Footprint Summary'!$C153:$C175,'Footprint Summary'!$D153:$D175)/SUMPRODUCT('Footprint Summary'!$C153:$C175,'Footprint Summary'!$D153:$D175)),"")</f>
        <v>5.4515664832300406</v>
      </c>
      <c r="N57" s="514">
        <f>IF($E$57="ICPF",(SUMPRODUCT('Footprint Summary'!O153:O175,'Footprint Summary'!$C153:$C175,'Footprint Summary'!$D153:$D175)/SUMPRODUCT('Footprint Summary'!$C153:$C175,'Footprint Summary'!$D153:$D175)),"")</f>
        <v>5.4802157545291266</v>
      </c>
      <c r="O57" s="514">
        <f>IF($E$57="ICPF",(SUMPRODUCT('Footprint Summary'!P153:P175,'Footprint Summary'!$C153:$C175,'Footprint Summary'!$D153:$D175)/SUMPRODUCT('Footprint Summary'!$C153:$C175,'Footprint Summary'!$D153:$D175)),"")</f>
        <v>5.5092024034949612</v>
      </c>
      <c r="P57" s="514">
        <f>IF($E$57="ICPF",(SUMPRODUCT('Footprint Summary'!Q153:Q175,'Footprint Summary'!$C153:$C175,'Footprint Summary'!$D153:$D175)/SUMPRODUCT('Footprint Summary'!$C153:$C175,'Footprint Summary'!$D153:$D175)),"")</f>
        <v>5.558571873208872</v>
      </c>
      <c r="Q57" s="470">
        <f>IF(E57="","",P57-F57)</f>
        <v>0.26458240875765249</v>
      </c>
      <c r="R57" s="473" t="s">
        <v>669</v>
      </c>
      <c r="S57" s="479" t="str">
        <f>IF(S56="Underway","",R115)</f>
        <v/>
      </c>
      <c r="T57" s="473" t="s">
        <v>669</v>
      </c>
      <c r="U57" s="479" t="str">
        <f>IF(U56="Underway","",S115)</f>
        <v/>
      </c>
      <c r="V57" s="473" t="s">
        <v>361</v>
      </c>
      <c r="W57" s="478" t="s">
        <v>680</v>
      </c>
      <c r="X57" s="14"/>
    </row>
    <row r="58" spans="1:24" ht="25.5" customHeight="1">
      <c r="A58" s="438" t="s">
        <v>363</v>
      </c>
      <c r="B58" s="14"/>
      <c r="C58" s="275" t="s">
        <v>364</v>
      </c>
      <c r="D58" s="160"/>
      <c r="E58" s="488" t="str">
        <f>IF(VLOOKUP($A$2,'Asset Attributes'!B3:G25,5,0)&gt;0.001,"IGO","")</f>
        <v/>
      </c>
      <c r="F58" s="439" t="str">
        <f>IF($E$58="IGO",SUMPRODUCT('Footprint Summary'!G153:G175,'Footprint Summary'!$C153:$C175,'Footprint Summary'!$E153:$E175)/SUMPRODUCT('Footprint Summary'!$C153:$C175,'Footprint Summary'!$E153:$E175),"")</f>
        <v/>
      </c>
      <c r="G58" s="439" t="str">
        <f>IF($E$58="IGO",SUMPRODUCT('Footprint Summary'!H153:H175,'Footprint Summary'!$C153:$C175,'Footprint Summary'!$E153:$E175)/SUMPRODUCT('Footprint Summary'!$C153:$C175,'Footprint Summary'!$E153:$E175),"")</f>
        <v/>
      </c>
      <c r="H58" s="439" t="str">
        <f>IF($E$58="IGO",SUMPRODUCT('Footprint Summary'!I153:I175,'Footprint Summary'!$C153:$C175,'Footprint Summary'!$E153:$E175)/SUMPRODUCT('Footprint Summary'!$C153:$C175,'Footprint Summary'!$E153:$E175),"")</f>
        <v/>
      </c>
      <c r="I58" s="439" t="str">
        <f>IF($E$58="IGO",SUMPRODUCT('Footprint Summary'!J153:J175,'Footprint Summary'!$C153:$C175,'Footprint Summary'!$E153:$E175)/SUMPRODUCT('Footprint Summary'!$C153:$C175,'Footprint Summary'!$E153:$E175),"")</f>
        <v/>
      </c>
      <c r="J58" s="439" t="str">
        <f>IF($E$58="IGO",SUMPRODUCT('Footprint Summary'!K153:K175,'Footprint Summary'!$C153:$C175,'Footprint Summary'!$E153:$E175)/SUMPRODUCT('Footprint Summary'!$C153:$C175,'Footprint Summary'!$E153:$E175),"")</f>
        <v/>
      </c>
      <c r="K58" s="439" t="str">
        <f>IF($E$58="IGO",SUMPRODUCT('Footprint Summary'!L153:L175,'Footprint Summary'!$C153:$C175,'Footprint Summary'!$E153:$E175)/SUMPRODUCT('Footprint Summary'!$C153:$C175,'Footprint Summary'!$E153:$E175),"")</f>
        <v/>
      </c>
      <c r="L58" s="439" t="str">
        <f>IF($E$58="IGO",SUMPRODUCT('Footprint Summary'!M153:M175,'Footprint Summary'!$C153:$C175,'Footprint Summary'!$E153:$E175)/SUMPRODUCT('Footprint Summary'!$C153:$C175,'Footprint Summary'!$E153:$E175),"")</f>
        <v/>
      </c>
      <c r="M58" s="439" t="str">
        <f>IF($E$58="IGO",SUMPRODUCT('Footprint Summary'!N153:N175,'Footprint Summary'!$C153:$C175,'Footprint Summary'!$E153:$E175)/SUMPRODUCT('Footprint Summary'!$C153:$C175,'Footprint Summary'!$E153:$E175),"")</f>
        <v/>
      </c>
      <c r="N58" s="439" t="str">
        <f>IF($E$58="IGO",SUMPRODUCT('Footprint Summary'!O153:O175,'Footprint Summary'!$C153:$C175,'Footprint Summary'!$E153:$E175)/SUMPRODUCT('Footprint Summary'!$C153:$C175,'Footprint Summary'!$E153:$E175),"")</f>
        <v/>
      </c>
      <c r="O58" s="439" t="str">
        <f>IF($E$58="IGO",SUMPRODUCT('Footprint Summary'!P153:P175,'Footprint Summary'!$C153:$C175,'Footprint Summary'!$E153:$E175)/SUMPRODUCT('Footprint Summary'!$C153:$C175,'Footprint Summary'!$E153:$E175),"")</f>
        <v/>
      </c>
      <c r="P58" s="439" t="str">
        <f>IF($E$58="IGO",SUMPRODUCT('Footprint Summary'!Q153:Q175,'Footprint Summary'!$C153:$C175,'Footprint Summary'!$E153:$E175)/SUMPRODUCT('Footprint Summary'!$C153:$C175,'Footprint Summary'!$E153:$E175),"")</f>
        <v/>
      </c>
      <c r="Q58" s="471" t="str">
        <f>IF(E58="","",P58-G58)</f>
        <v/>
      </c>
      <c r="R58" s="482" t="s">
        <v>366</v>
      </c>
      <c r="S58" s="479" t="str">
        <f>IF(S56="Underway","",-1*(1000*AL214*D6+AM214*D8))</f>
        <v/>
      </c>
      <c r="T58" s="473" t="s">
        <v>367</v>
      </c>
      <c r="U58" s="478" t="str">
        <f>IF(U56="Underway","",-1*S64)</f>
        <v/>
      </c>
      <c r="V58" s="473" t="s">
        <v>368</v>
      </c>
      <c r="W58" s="478">
        <v>1</v>
      </c>
      <c r="X58" s="14"/>
    </row>
    <row r="59" spans="1:24" ht="25.5" customHeight="1">
      <c r="A59" s="438" t="s">
        <v>369</v>
      </c>
      <c r="B59" s="14"/>
      <c r="C59" s="443">
        <v>3000</v>
      </c>
      <c r="D59" s="161" t="s">
        <v>676</v>
      </c>
      <c r="R59" s="473" t="s">
        <v>370</v>
      </c>
      <c r="S59" s="480">
        <f>V115</f>
        <v>0</v>
      </c>
      <c r="T59" s="473" t="s">
        <v>371</v>
      </c>
      <c r="U59" s="483" t="str">
        <f>IF(U56="Underway","",_xlfn.MAXIFS(E69:E88,S69:S88,"Yes"))</f>
        <v/>
      </c>
      <c r="V59" s="482" t="s">
        <v>372</v>
      </c>
      <c r="W59" s="479">
        <f>T115</f>
        <v>85000</v>
      </c>
      <c r="X59" s="14"/>
    </row>
    <row r="60" spans="1:24" ht="25.5" customHeight="1">
      <c r="A60" s="438" t="s">
        <v>373</v>
      </c>
      <c r="B60" s="14"/>
      <c r="C60" s="275">
        <v>50900</v>
      </c>
      <c r="D60" s="160"/>
      <c r="Q60" s="10"/>
      <c r="R60" s="473" t="s">
        <v>374</v>
      </c>
      <c r="S60" s="481" t="str">
        <f>IF(S56="Underway","",U115)</f>
        <v/>
      </c>
      <c r="T60" s="10"/>
      <c r="U60" s="10"/>
      <c r="V60" s="473" t="s">
        <v>375</v>
      </c>
      <c r="W60" s="483" t="str">
        <f>IF(IF(W58=1,"Complete",_xlfn.MAXIFS(E69:E114,T69:T114,"Yes"))=0,"",IF(W58=1,"Complete",_xlfn.MAXIFS(E69:E114,T69:T114,"Yes")))</f>
        <v>Complete</v>
      </c>
      <c r="X60" s="14"/>
    </row>
    <row r="61" spans="1:24" ht="25.5" customHeight="1">
      <c r="A61" s="438" t="s">
        <v>376</v>
      </c>
      <c r="B61" s="14"/>
      <c r="C61" s="444">
        <v>50.2</v>
      </c>
      <c r="D61" s="162"/>
      <c r="H61" s="13"/>
      <c r="J61" s="14"/>
      <c r="K61" s="14"/>
      <c r="L61" s="14"/>
      <c r="M61" s="10"/>
      <c r="N61" s="10"/>
      <c r="O61" s="10"/>
      <c r="P61" s="10"/>
      <c r="Q61" s="10"/>
      <c r="R61" s="482" t="s">
        <v>377</v>
      </c>
      <c r="S61" s="481">
        <f>P272</f>
        <v>4.2064719358533793</v>
      </c>
      <c r="T61" s="10"/>
      <c r="U61" s="10"/>
      <c r="V61" s="473" t="s">
        <v>378</v>
      </c>
      <c r="W61" s="478">
        <v>0</v>
      </c>
      <c r="X61" s="14" t="s">
        <v>681</v>
      </c>
    </row>
    <row r="62" spans="1:24" ht="25.5" customHeight="1">
      <c r="A62" s="438" t="s">
        <v>379</v>
      </c>
      <c r="B62" s="14"/>
      <c r="C62" s="275">
        <v>3544.2289999999998</v>
      </c>
      <c r="H62" s="13"/>
      <c r="J62" s="14"/>
      <c r="K62" s="14"/>
      <c r="L62" s="347"/>
      <c r="M62" s="10"/>
      <c r="N62" s="10"/>
      <c r="O62" s="10"/>
      <c r="P62" s="10"/>
      <c r="Q62" s="10"/>
      <c r="R62" s="482" t="s">
        <v>380</v>
      </c>
      <c r="S62" s="481">
        <f>Q272</f>
        <v>4.2064719358533793</v>
      </c>
      <c r="T62" s="496" t="s">
        <v>381</v>
      </c>
      <c r="U62" s="10"/>
      <c r="V62" s="10"/>
      <c r="W62" s="14"/>
      <c r="X62" s="14"/>
    </row>
    <row r="63" spans="1:24" ht="25.5" customHeight="1">
      <c r="A63" s="438" t="s">
        <v>382</v>
      </c>
      <c r="B63" s="14"/>
      <c r="C63" s="275">
        <v>8473.1630000000005</v>
      </c>
      <c r="H63" s="13"/>
      <c r="J63" s="14"/>
      <c r="K63" s="14"/>
      <c r="L63" s="10"/>
      <c r="M63" s="10"/>
      <c r="N63" s="10"/>
      <c r="O63" s="10"/>
      <c r="P63" s="10"/>
      <c r="Q63" s="10"/>
      <c r="R63" s="476" t="s">
        <v>383</v>
      </c>
      <c r="S63" s="478">
        <f>C115/C62</f>
        <v>0</v>
      </c>
      <c r="T63" s="496" t="s">
        <v>384</v>
      </c>
      <c r="U63" s="10"/>
      <c r="V63" s="10"/>
      <c r="W63" s="14"/>
      <c r="X63" s="14"/>
    </row>
    <row r="64" spans="1:24" ht="25.5" customHeight="1">
      <c r="A64" s="446" t="s">
        <v>385</v>
      </c>
      <c r="B64" s="447"/>
      <c r="C64" s="445">
        <v>112</v>
      </c>
      <c r="D64" s="495">
        <f>(AJ215-C64)/C64</f>
        <v>0</v>
      </c>
      <c r="H64" s="13"/>
      <c r="J64" s="14"/>
      <c r="K64" s="14"/>
      <c r="L64" s="10"/>
      <c r="M64" s="10"/>
      <c r="N64" s="10"/>
      <c r="O64" s="10"/>
      <c r="P64" s="10"/>
      <c r="Q64" s="10"/>
      <c r="R64" s="476" t="s">
        <v>386</v>
      </c>
      <c r="S64" s="478">
        <f>D115/C63</f>
        <v>0</v>
      </c>
      <c r="T64" s="10"/>
      <c r="U64" s="14"/>
      <c r="V64" s="10"/>
      <c r="W64" s="14"/>
      <c r="X64" s="14"/>
    </row>
    <row r="65" spans="1:24" ht="25.5" customHeight="1">
      <c r="B65" s="487" t="s">
        <v>387</v>
      </c>
      <c r="C65" s="489">
        <f>Z216</f>
        <v>4.2064719358533793</v>
      </c>
      <c r="D65" s="16"/>
      <c r="G65" s="639"/>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18">DATE(YEAR(H66)+1,MONTH(H66),DAY(H66))</f>
        <v>46203</v>
      </c>
      <c r="J66" s="416">
        <f t="shared" si="18"/>
        <v>46568</v>
      </c>
      <c r="K66" s="416">
        <f t="shared" si="18"/>
        <v>46934</v>
      </c>
      <c r="L66" s="416">
        <f t="shared" si="18"/>
        <v>47299</v>
      </c>
      <c r="M66" s="416">
        <f t="shared" si="18"/>
        <v>47664</v>
      </c>
      <c r="N66" s="416">
        <f t="shared" si="18"/>
        <v>48029</v>
      </c>
      <c r="O66" s="416">
        <f t="shared" si="18"/>
        <v>48395</v>
      </c>
      <c r="P66" s="416">
        <f t="shared" si="18"/>
        <v>48760</v>
      </c>
      <c r="Q66" s="416">
        <f t="shared" si="18"/>
        <v>49125</v>
      </c>
      <c r="R66" s="9" t="s">
        <v>390</v>
      </c>
      <c r="S66" s="364"/>
      <c r="T66" s="10"/>
      <c r="U66" s="10"/>
      <c r="V66" s="10"/>
      <c r="W66" s="14"/>
      <c r="X66" s="14"/>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682</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t="s">
        <v>496</v>
      </c>
      <c r="B69" s="374" t="s">
        <v>497</v>
      </c>
      <c r="C69" s="375">
        <v>0</v>
      </c>
      <c r="D69" s="376"/>
      <c r="E69" s="377">
        <v>45747</v>
      </c>
      <c r="F69" s="378">
        <v>85000</v>
      </c>
      <c r="G69" s="403">
        <f>IF(E69&lt;G66,F69,0)</f>
        <v>0</v>
      </c>
      <c r="H69" s="404">
        <f t="shared" ref="H69:Q77" si="19">IF($E69&gt;H$66,0,IF($E69&gt;H$66-365,$F69,0))</f>
        <v>85000</v>
      </c>
      <c r="I69" s="404">
        <f t="shared" si="19"/>
        <v>0</v>
      </c>
      <c r="J69" s="404">
        <f t="shared" si="19"/>
        <v>0</v>
      </c>
      <c r="K69" s="404">
        <f t="shared" si="19"/>
        <v>0</v>
      </c>
      <c r="L69" s="404">
        <f t="shared" si="19"/>
        <v>0</v>
      </c>
      <c r="M69" s="404">
        <f t="shared" si="19"/>
        <v>0</v>
      </c>
      <c r="N69" s="404">
        <f t="shared" si="19"/>
        <v>0</v>
      </c>
      <c r="O69" s="404">
        <f t="shared" si="19"/>
        <v>0</v>
      </c>
      <c r="P69" s="404">
        <f t="shared" si="19"/>
        <v>0</v>
      </c>
      <c r="Q69" s="404">
        <f t="shared" si="19"/>
        <v>0</v>
      </c>
      <c r="R69" s="379"/>
      <c r="S69" s="379"/>
      <c r="T69" s="380" t="s">
        <v>32</v>
      </c>
      <c r="U69" s="411" t="e">
        <f>IF(-0.75*((C69/(VLOOKUP($A$2,Assumptions!$B$124:$G$147,2,0)))+D69/(VLOOKUP($A$2,Assumptions!$B$124:$G$147,5,0)))=0,"",-0.75*((C69/(VLOOKUP($A$2,Assumptions!$B$124:$G$147,2,0)))+D69/(VLOOKUP($A$2,Assumptions!$B$124:$G$147,5,0))))</f>
        <v>#DIV/0!</v>
      </c>
      <c r="V69" s="412">
        <f t="shared" ref="V69:V88" si="20">IF(ISERROR(((-1*C69*1000*$D$6)+(-1*D69*$D$8))/F69),"",((-1*C69*1000*$D$6)+(-1*D69*$D$8))/F69)</f>
        <v>0</v>
      </c>
      <c r="W69" s="450"/>
      <c r="X69" s="506" t="s">
        <v>32</v>
      </c>
    </row>
    <row r="70" spans="1:24" ht="15">
      <c r="A70" s="373" t="s">
        <v>498</v>
      </c>
      <c r="B70" s="374" t="s">
        <v>499</v>
      </c>
      <c r="C70" s="381"/>
      <c r="D70" s="381"/>
      <c r="E70" s="377">
        <v>46477</v>
      </c>
      <c r="F70" s="378">
        <v>250000</v>
      </c>
      <c r="G70" s="403">
        <f t="shared" ref="G70:G77" si="21">IF($E70&lt;G$66,$F70,0)</f>
        <v>0</v>
      </c>
      <c r="H70" s="404">
        <f t="shared" si="19"/>
        <v>0</v>
      </c>
      <c r="I70" s="404">
        <f t="shared" si="19"/>
        <v>0</v>
      </c>
      <c r="J70" s="405">
        <f t="shared" si="19"/>
        <v>250000</v>
      </c>
      <c r="K70" s="405">
        <f t="shared" si="19"/>
        <v>0</v>
      </c>
      <c r="L70" s="405">
        <f t="shared" si="19"/>
        <v>0</v>
      </c>
      <c r="M70" s="405">
        <f t="shared" si="19"/>
        <v>0</v>
      </c>
      <c r="N70" s="405">
        <f t="shared" si="19"/>
        <v>0</v>
      </c>
      <c r="O70" s="405">
        <f t="shared" si="19"/>
        <v>0</v>
      </c>
      <c r="P70" s="406">
        <f t="shared" si="19"/>
        <v>0</v>
      </c>
      <c r="Q70" s="406">
        <f t="shared" si="19"/>
        <v>0</v>
      </c>
      <c r="R70" s="380" t="s">
        <v>32</v>
      </c>
      <c r="S70" s="379"/>
      <c r="T70" s="382"/>
      <c r="U70" s="413" t="e">
        <f>IF(-0.75*((C70/(VLOOKUP($A$2,Assumptions!$B$124:$G$147,2,0)))+D70/(VLOOKUP($A$2,Assumptions!$B$124:$G$147,5,0)))=0,"",-0.75*((C70/(VLOOKUP($A$2,Assumptions!$B$124:$G$147,2,0)))+D70/(VLOOKUP($A$2,Assumptions!$B$124:$G$147,5,0))))</f>
        <v>#DIV/0!</v>
      </c>
      <c r="V70" s="414">
        <f t="shared" si="20"/>
        <v>0</v>
      </c>
      <c r="W70" s="451"/>
      <c r="X70" s="506" t="s">
        <v>32</v>
      </c>
    </row>
    <row r="71" spans="1:24" ht="15">
      <c r="A71" s="373" t="s">
        <v>500</v>
      </c>
      <c r="B71" s="374" t="s">
        <v>501</v>
      </c>
      <c r="C71" s="383"/>
      <c r="D71" s="383"/>
      <c r="E71" s="377">
        <v>46112</v>
      </c>
      <c r="F71" s="511">
        <v>650000</v>
      </c>
      <c r="G71" s="403">
        <f t="shared" si="21"/>
        <v>0</v>
      </c>
      <c r="H71" s="404">
        <f t="shared" si="19"/>
        <v>0</v>
      </c>
      <c r="I71" s="405">
        <f t="shared" si="19"/>
        <v>650000</v>
      </c>
      <c r="J71" s="405">
        <f t="shared" si="19"/>
        <v>0</v>
      </c>
      <c r="K71" s="405">
        <f t="shared" si="19"/>
        <v>0</v>
      </c>
      <c r="L71" s="405">
        <f t="shared" si="19"/>
        <v>0</v>
      </c>
      <c r="M71" s="405">
        <f t="shared" si="19"/>
        <v>0</v>
      </c>
      <c r="N71" s="405">
        <f t="shared" si="19"/>
        <v>0</v>
      </c>
      <c r="O71" s="405">
        <f t="shared" si="19"/>
        <v>0</v>
      </c>
      <c r="P71" s="406">
        <f t="shared" si="19"/>
        <v>0</v>
      </c>
      <c r="Q71" s="406">
        <f t="shared" si="19"/>
        <v>0</v>
      </c>
      <c r="R71" s="380"/>
      <c r="S71" s="380" t="s">
        <v>32</v>
      </c>
      <c r="T71" s="382"/>
      <c r="U71" s="413" t="e">
        <f>IF(-0.75*((C71/(VLOOKUP($A$2,Assumptions!$B$124:$G$147,2,0)))+D71/(VLOOKUP($A$2,Assumptions!$B$124:$G$147,5,0)))=0,"",-0.75*((C71/(VLOOKUP($A$2,Assumptions!$B$124:$G$147,2,0)))+D71/(VLOOKUP($A$2,Assumptions!$B$124:$G$147,5,0))))</f>
        <v>#DIV/0!</v>
      </c>
      <c r="V71" s="414">
        <f t="shared" si="20"/>
        <v>0</v>
      </c>
      <c r="W71" s="451"/>
      <c r="X71" s="506" t="s">
        <v>32</v>
      </c>
    </row>
    <row r="72" spans="1:24" ht="15">
      <c r="A72" s="373" t="s">
        <v>502</v>
      </c>
      <c r="B72" s="374" t="s">
        <v>503</v>
      </c>
      <c r="C72" s="375"/>
      <c r="D72" s="375"/>
      <c r="E72" s="377">
        <v>46843</v>
      </c>
      <c r="F72" s="512">
        <v>650000</v>
      </c>
      <c r="G72" s="403">
        <f t="shared" si="21"/>
        <v>0</v>
      </c>
      <c r="H72" s="404">
        <f t="shared" si="19"/>
        <v>0</v>
      </c>
      <c r="I72" s="405">
        <f t="shared" si="19"/>
        <v>0</v>
      </c>
      <c r="J72" s="405">
        <f t="shared" si="19"/>
        <v>0</v>
      </c>
      <c r="K72" s="405">
        <f t="shared" si="19"/>
        <v>650000</v>
      </c>
      <c r="L72" s="405">
        <f t="shared" si="19"/>
        <v>0</v>
      </c>
      <c r="M72" s="405">
        <f t="shared" si="19"/>
        <v>0</v>
      </c>
      <c r="N72" s="405">
        <f t="shared" si="19"/>
        <v>0</v>
      </c>
      <c r="O72" s="405">
        <f t="shared" si="19"/>
        <v>0</v>
      </c>
      <c r="P72" s="406">
        <f t="shared" si="19"/>
        <v>0</v>
      </c>
      <c r="Q72" s="406">
        <f t="shared" si="19"/>
        <v>0</v>
      </c>
      <c r="R72" s="380"/>
      <c r="S72" s="380" t="s">
        <v>32</v>
      </c>
      <c r="T72" s="382"/>
      <c r="U72" s="413" t="e">
        <f>IF(-0.75*((C72/(VLOOKUP($A$2,Assumptions!$B$124:$G$147,2,0)))+D72/(VLOOKUP($A$2,Assumptions!$B$124:$G$147,5,0)))=0,"",-0.75*((C72/(VLOOKUP($A$2,Assumptions!$B$124:$G$147,2,0)))+D72/(VLOOKUP($A$2,Assumptions!$B$124:$G$147,5,0))))</f>
        <v>#DIV/0!</v>
      </c>
      <c r="V72" s="414">
        <f t="shared" si="20"/>
        <v>0</v>
      </c>
      <c r="W72" s="451"/>
      <c r="X72" s="506" t="s">
        <v>32</v>
      </c>
    </row>
    <row r="73" spans="1:24" ht="15">
      <c r="A73" s="373" t="s">
        <v>504</v>
      </c>
      <c r="B73" s="374" t="s">
        <v>505</v>
      </c>
      <c r="C73" s="381"/>
      <c r="D73" s="381"/>
      <c r="E73" s="377">
        <v>46112</v>
      </c>
      <c r="F73" s="378">
        <v>237500</v>
      </c>
      <c r="G73" s="403">
        <f t="shared" si="21"/>
        <v>0</v>
      </c>
      <c r="H73" s="404">
        <f t="shared" si="19"/>
        <v>0</v>
      </c>
      <c r="I73" s="405">
        <f t="shared" si="19"/>
        <v>237500</v>
      </c>
      <c r="J73" s="405">
        <f t="shared" si="19"/>
        <v>0</v>
      </c>
      <c r="K73" s="405">
        <f t="shared" si="19"/>
        <v>0</v>
      </c>
      <c r="L73" s="405">
        <f t="shared" si="19"/>
        <v>0</v>
      </c>
      <c r="M73" s="405">
        <f t="shared" si="19"/>
        <v>0</v>
      </c>
      <c r="N73" s="405">
        <f t="shared" si="19"/>
        <v>0</v>
      </c>
      <c r="O73" s="405">
        <f t="shared" si="19"/>
        <v>0</v>
      </c>
      <c r="P73" s="406">
        <f t="shared" si="19"/>
        <v>0</v>
      </c>
      <c r="Q73" s="406">
        <f t="shared" si="19"/>
        <v>0</v>
      </c>
      <c r="R73" s="380" t="s">
        <v>32</v>
      </c>
      <c r="S73" s="379"/>
      <c r="T73" s="382"/>
      <c r="U73" s="413" t="e">
        <f>IF(-0.75*((C73/(VLOOKUP($A$2,Assumptions!$B$124:$G$147,2,0)))+D73/(VLOOKUP($A$2,Assumptions!$B$124:$G$147,5,0)))=0,"",-0.75*((C73/(VLOOKUP($A$2,Assumptions!$B$124:$G$147,2,0)))+D73/(VLOOKUP($A$2,Assumptions!$B$124:$G$147,5,0))))</f>
        <v>#DIV/0!</v>
      </c>
      <c r="V73" s="414">
        <f t="shared" si="20"/>
        <v>0</v>
      </c>
      <c r="W73" s="451"/>
      <c r="X73" s="506" t="s">
        <v>32</v>
      </c>
    </row>
    <row r="74" spans="1:24" ht="15">
      <c r="A74" s="373" t="s">
        <v>506</v>
      </c>
      <c r="B74" s="374"/>
      <c r="C74" s="375"/>
      <c r="D74" s="375"/>
      <c r="E74" s="377">
        <v>46112</v>
      </c>
      <c r="F74" s="378">
        <v>300000</v>
      </c>
      <c r="G74" s="403">
        <f t="shared" si="21"/>
        <v>0</v>
      </c>
      <c r="H74" s="404">
        <f t="shared" si="19"/>
        <v>0</v>
      </c>
      <c r="I74" s="405">
        <f t="shared" si="19"/>
        <v>300000</v>
      </c>
      <c r="J74" s="405">
        <f t="shared" si="19"/>
        <v>0</v>
      </c>
      <c r="K74" s="405">
        <f t="shared" si="19"/>
        <v>0</v>
      </c>
      <c r="L74" s="405">
        <f t="shared" si="19"/>
        <v>0</v>
      </c>
      <c r="M74" s="405">
        <f t="shared" si="19"/>
        <v>0</v>
      </c>
      <c r="N74" s="405">
        <f t="shared" si="19"/>
        <v>0</v>
      </c>
      <c r="O74" s="405">
        <f t="shared" si="19"/>
        <v>0</v>
      </c>
      <c r="P74" s="406">
        <f t="shared" si="19"/>
        <v>0</v>
      </c>
      <c r="Q74" s="406">
        <f t="shared" si="19"/>
        <v>0</v>
      </c>
      <c r="R74" s="380" t="s">
        <v>32</v>
      </c>
      <c r="S74" s="379"/>
      <c r="T74" s="382"/>
      <c r="U74" s="413" t="e">
        <f>IF(-0.75*((C74/(VLOOKUP($A$2,Assumptions!$B$124:$G$147,2,0)))+D74/(VLOOKUP($A$2,Assumptions!$B$124:$G$147,5,0)))=0,"",-0.75*((C74/(VLOOKUP($A$2,Assumptions!$B$124:$G$147,2,0)))+D74/(VLOOKUP($A$2,Assumptions!$B$124:$G$147,5,0))))</f>
        <v>#DIV/0!</v>
      </c>
      <c r="V74" s="414">
        <f t="shared" si="20"/>
        <v>0</v>
      </c>
      <c r="W74" s="451"/>
      <c r="X74" s="506" t="s">
        <v>32</v>
      </c>
    </row>
    <row r="75" spans="1:24" ht="15">
      <c r="A75" s="373" t="s">
        <v>507</v>
      </c>
      <c r="B75" s="374"/>
      <c r="C75" s="375"/>
      <c r="D75" s="375"/>
      <c r="E75" s="377">
        <v>46477</v>
      </c>
      <c r="F75" s="378">
        <v>632500</v>
      </c>
      <c r="G75" s="403">
        <f t="shared" si="21"/>
        <v>0</v>
      </c>
      <c r="H75" s="404">
        <f t="shared" si="19"/>
        <v>0</v>
      </c>
      <c r="I75" s="405">
        <f t="shared" si="19"/>
        <v>0</v>
      </c>
      <c r="J75" s="405">
        <f t="shared" si="19"/>
        <v>632500</v>
      </c>
      <c r="K75" s="405">
        <f t="shared" si="19"/>
        <v>0</v>
      </c>
      <c r="L75" s="405">
        <f t="shared" si="19"/>
        <v>0</v>
      </c>
      <c r="M75" s="405">
        <f t="shared" si="19"/>
        <v>0</v>
      </c>
      <c r="N75" s="405">
        <f t="shared" si="19"/>
        <v>0</v>
      </c>
      <c r="O75" s="405">
        <f t="shared" si="19"/>
        <v>0</v>
      </c>
      <c r="P75" s="406">
        <f t="shared" si="19"/>
        <v>0</v>
      </c>
      <c r="Q75" s="406">
        <f t="shared" si="19"/>
        <v>0</v>
      </c>
      <c r="R75" s="380" t="s">
        <v>32</v>
      </c>
      <c r="S75" s="379"/>
      <c r="T75" s="382"/>
      <c r="U75" s="413" t="e">
        <f>IF(-0.75*((C75/(VLOOKUP($A$2,Assumptions!$B$124:$G$147,2,0)))+D75/(VLOOKUP($A$2,Assumptions!$B$124:$G$147,5,0)))=0,"",-0.75*((C75/(VLOOKUP($A$2,Assumptions!$B$124:$G$147,2,0)))+D75/(VLOOKUP($A$2,Assumptions!$B$124:$G$147,5,0))))</f>
        <v>#DIV/0!</v>
      </c>
      <c r="V75" s="414">
        <f t="shared" si="20"/>
        <v>0</v>
      </c>
      <c r="W75" s="451"/>
      <c r="X75" s="506" t="s">
        <v>32</v>
      </c>
    </row>
    <row r="76" spans="1:24" ht="15">
      <c r="A76" s="373"/>
      <c r="B76" s="374"/>
      <c r="C76" s="375"/>
      <c r="D76" s="375"/>
      <c r="E76" s="377"/>
      <c r="F76" s="378"/>
      <c r="G76" s="403">
        <f t="shared" si="21"/>
        <v>0</v>
      </c>
      <c r="H76" s="404">
        <f t="shared" si="19"/>
        <v>0</v>
      </c>
      <c r="I76" s="405">
        <f t="shared" si="19"/>
        <v>0</v>
      </c>
      <c r="J76" s="405">
        <f t="shared" si="19"/>
        <v>0</v>
      </c>
      <c r="K76" s="405">
        <f t="shared" si="19"/>
        <v>0</v>
      </c>
      <c r="L76" s="405">
        <f t="shared" si="19"/>
        <v>0</v>
      </c>
      <c r="M76" s="405">
        <f t="shared" si="19"/>
        <v>0</v>
      </c>
      <c r="N76" s="405">
        <f t="shared" si="19"/>
        <v>0</v>
      </c>
      <c r="O76" s="405">
        <f t="shared" si="19"/>
        <v>0</v>
      </c>
      <c r="P76" s="406">
        <f t="shared" si="19"/>
        <v>0</v>
      </c>
      <c r="Q76" s="406">
        <f t="shared" si="19"/>
        <v>0</v>
      </c>
      <c r="R76" s="379"/>
      <c r="S76" s="379"/>
      <c r="T76" s="382"/>
      <c r="U76" s="413" t="e">
        <f>IF(-0.75*((C76/(VLOOKUP($A$2,Assumptions!$B$124:$G$147,2,0)))+D76/(VLOOKUP($A$2,Assumptions!$B$124:$G$147,5,0)))=0,"",-0.75*((C76/(VLOOKUP($A$2,Assumptions!$B$124:$G$147,2,0)))+D76/(VLOOKUP($A$2,Assumptions!$B$124:$G$147,5,0))))</f>
        <v>#DIV/0!</v>
      </c>
      <c r="V76" s="414" t="str">
        <f t="shared" si="20"/>
        <v/>
      </c>
      <c r="W76" s="451"/>
      <c r="X76" s="507"/>
    </row>
    <row r="77" spans="1:24" ht="15">
      <c r="A77" s="373"/>
      <c r="B77" s="374"/>
      <c r="C77" s="375"/>
      <c r="D77" s="375"/>
      <c r="E77" s="377"/>
      <c r="F77" s="378"/>
      <c r="G77" s="403">
        <f t="shared" si="21"/>
        <v>0</v>
      </c>
      <c r="H77" s="404">
        <f t="shared" si="19"/>
        <v>0</v>
      </c>
      <c r="I77" s="405">
        <f t="shared" si="19"/>
        <v>0</v>
      </c>
      <c r="J77" s="405">
        <f t="shared" si="19"/>
        <v>0</v>
      </c>
      <c r="K77" s="405">
        <f t="shared" si="19"/>
        <v>0</v>
      </c>
      <c r="L77" s="405">
        <f t="shared" si="19"/>
        <v>0</v>
      </c>
      <c r="M77" s="405">
        <f t="shared" si="19"/>
        <v>0</v>
      </c>
      <c r="N77" s="405">
        <f t="shared" si="19"/>
        <v>0</v>
      </c>
      <c r="O77" s="405">
        <f t="shared" si="19"/>
        <v>0</v>
      </c>
      <c r="P77" s="406">
        <f t="shared" si="19"/>
        <v>0</v>
      </c>
      <c r="Q77" s="406">
        <f t="shared" si="19"/>
        <v>0</v>
      </c>
      <c r="R77" s="379"/>
      <c r="S77" s="379"/>
      <c r="T77" s="385"/>
      <c r="U77" s="413" t="e">
        <f>IF(-0.75*((C77/(VLOOKUP($A$2,Assumptions!$B$124:$G$147,2,0)))+D77/(VLOOKUP($A$2,Assumptions!$B$124:$G$147,5,0)))=0,"",-0.75*((C77/(VLOOKUP($A$2,Assumptions!$B$124:$G$147,2,0)))+D77/(VLOOKUP($A$2,Assumptions!$B$124:$G$147,5,0))))</f>
        <v>#DIV/0!</v>
      </c>
      <c r="V77" s="414" t="str">
        <f t="shared" si="20"/>
        <v/>
      </c>
      <c r="W77" s="451"/>
      <c r="X77" s="507"/>
    </row>
    <row r="78" spans="1:24" ht="15">
      <c r="A78" s="373"/>
      <c r="B78" s="374"/>
      <c r="C78" s="375"/>
      <c r="D78" s="375"/>
      <c r="E78" s="377"/>
      <c r="F78" s="378"/>
      <c r="G78" s="403"/>
      <c r="H78" s="404"/>
      <c r="I78" s="405"/>
      <c r="J78" s="405"/>
      <c r="K78" s="405"/>
      <c r="L78" s="405"/>
      <c r="M78" s="405"/>
      <c r="N78" s="405"/>
      <c r="O78" s="405"/>
      <c r="P78" s="406"/>
      <c r="Q78" s="406"/>
      <c r="R78" s="379"/>
      <c r="S78" s="386"/>
      <c r="T78" s="387"/>
      <c r="U78" s="413" t="e">
        <f>IF(-0.75*((C78/(VLOOKUP($A$2,Assumptions!$B$124:$G$147,2,0)))+D78/(VLOOKUP($A$2,Assumptions!$B$124:$G$147,5,0)))=0,"",-0.75*((C78/(VLOOKUP($A$2,Assumptions!$B$124:$G$147,2,0)))+D78/(VLOOKUP($A$2,Assumptions!$B$124:$G$147,5,0))))</f>
        <v>#DIV/0!</v>
      </c>
      <c r="V78" s="414" t="str">
        <f t="shared" si="20"/>
        <v/>
      </c>
      <c r="W78" s="451"/>
      <c r="X78" s="507"/>
    </row>
    <row r="79" spans="1:24" ht="15">
      <c r="A79" s="373"/>
      <c r="B79" s="374"/>
      <c r="C79" s="375"/>
      <c r="D79" s="375"/>
      <c r="E79" s="377"/>
      <c r="F79" s="378"/>
      <c r="G79" s="403"/>
      <c r="H79" s="404"/>
      <c r="I79" s="405"/>
      <c r="J79" s="405"/>
      <c r="K79" s="405"/>
      <c r="L79" s="405"/>
      <c r="M79" s="405"/>
      <c r="N79" s="405"/>
      <c r="O79" s="405"/>
      <c r="P79" s="406"/>
      <c r="Q79" s="406"/>
      <c r="R79" s="379"/>
      <c r="S79" s="386"/>
      <c r="T79" s="387"/>
      <c r="U79" s="413" t="e">
        <f>IF(-0.75*((C79/(VLOOKUP($A$2,Assumptions!$B$124:$G$147,2,0)))+D79/(VLOOKUP($A$2,Assumptions!$B$124:$G$147,5,0)))=0,"",-0.75*((C79/(VLOOKUP($A$2,Assumptions!$B$124:$G$147,2,0)))+D79/(VLOOKUP($A$2,Assumptions!$B$124:$G$147,5,0))))</f>
        <v>#DIV/0!</v>
      </c>
      <c r="V79" s="414" t="str">
        <f t="shared" si="20"/>
        <v/>
      </c>
      <c r="W79" s="451"/>
      <c r="X79" s="507"/>
    </row>
    <row r="80" spans="1:24" ht="15">
      <c r="A80" s="373"/>
      <c r="B80" s="374"/>
      <c r="C80" s="375"/>
      <c r="D80" s="375"/>
      <c r="E80" s="377"/>
      <c r="F80" s="378"/>
      <c r="G80" s="403"/>
      <c r="H80" s="404"/>
      <c r="I80" s="405"/>
      <c r="J80" s="405"/>
      <c r="K80" s="405"/>
      <c r="L80" s="405"/>
      <c r="M80" s="405"/>
      <c r="N80" s="405"/>
      <c r="O80" s="405"/>
      <c r="P80" s="406"/>
      <c r="Q80" s="406"/>
      <c r="R80" s="379"/>
      <c r="S80" s="386"/>
      <c r="T80" s="387"/>
      <c r="U80" s="413" t="e">
        <f>IF(-0.75*((C80/(VLOOKUP($A$2,Assumptions!$B$124:$G$147,2,0)))+D80/(VLOOKUP($A$2,Assumptions!$B$124:$G$147,5,0)))=0,"",-0.75*((C80/(VLOOKUP($A$2,Assumptions!$B$124:$G$147,2,0)))+D80/(VLOOKUP($A$2,Assumptions!$B$124:$G$147,5,0))))</f>
        <v>#DIV/0!</v>
      </c>
      <c r="V80" s="414" t="str">
        <f t="shared" si="20"/>
        <v/>
      </c>
      <c r="W80" s="451"/>
      <c r="X80" s="507"/>
    </row>
    <row r="81" spans="1:24" ht="15">
      <c r="A81" s="373"/>
      <c r="B81" s="457"/>
      <c r="C81" s="375"/>
      <c r="D81" s="375"/>
      <c r="E81" s="377"/>
      <c r="F81" s="378"/>
      <c r="G81" s="403"/>
      <c r="H81" s="404"/>
      <c r="I81" s="405"/>
      <c r="J81" s="405"/>
      <c r="K81" s="405"/>
      <c r="L81" s="405"/>
      <c r="M81" s="405"/>
      <c r="N81" s="405"/>
      <c r="O81" s="405"/>
      <c r="P81" s="406"/>
      <c r="Q81" s="406"/>
      <c r="R81" s="379"/>
      <c r="S81" s="386"/>
      <c r="T81" s="387"/>
      <c r="U81" s="413" t="e">
        <f>IF(-0.75*((C81/(VLOOKUP($A$2,Assumptions!$B$124:$G$147,2,0)))+D81/(VLOOKUP($A$2,Assumptions!$B$124:$G$147,5,0)))=0,"",-0.75*((C81/(VLOOKUP($A$2,Assumptions!$B$124:$G$147,2,0)))+D81/(VLOOKUP($A$2,Assumptions!$B$124:$G$147,5,0))))</f>
        <v>#DIV/0!</v>
      </c>
      <c r="V81" s="414" t="str">
        <f t="shared" si="20"/>
        <v/>
      </c>
      <c r="W81" s="451"/>
      <c r="X81" s="507"/>
    </row>
    <row r="82" spans="1:24" ht="15">
      <c r="A82" s="373"/>
      <c r="B82" s="457"/>
      <c r="C82" s="375"/>
      <c r="D82" s="375"/>
      <c r="E82" s="377"/>
      <c r="F82" s="378"/>
      <c r="G82" s="403"/>
      <c r="H82" s="404"/>
      <c r="I82" s="405"/>
      <c r="J82" s="405"/>
      <c r="K82" s="405"/>
      <c r="L82" s="405"/>
      <c r="M82" s="405"/>
      <c r="N82" s="405"/>
      <c r="O82" s="405"/>
      <c r="P82" s="406"/>
      <c r="Q82" s="406"/>
      <c r="R82" s="379"/>
      <c r="S82" s="386"/>
      <c r="T82" s="387"/>
      <c r="U82" s="413" t="e">
        <f>IF(-0.75*((C82/(VLOOKUP($A$2,Assumptions!$B$124:$G$147,2,0)))+D82/(VLOOKUP($A$2,Assumptions!$B$124:$G$147,5,0)))=0,"",-0.75*((C82/(VLOOKUP($A$2,Assumptions!$B$124:$G$147,2,0)))+D82/(VLOOKUP($A$2,Assumptions!$B$124:$G$147,5,0))))</f>
        <v>#DIV/0!</v>
      </c>
      <c r="V82" s="414" t="str">
        <f t="shared" si="20"/>
        <v/>
      </c>
      <c r="W82" s="451"/>
      <c r="X82" s="507"/>
    </row>
    <row r="83" spans="1:24" ht="15">
      <c r="A83" s="373"/>
      <c r="B83" s="457"/>
      <c r="C83" s="375"/>
      <c r="D83" s="375"/>
      <c r="E83" s="377"/>
      <c r="F83" s="378"/>
      <c r="G83" s="403"/>
      <c r="H83" s="404"/>
      <c r="I83" s="405"/>
      <c r="J83" s="405"/>
      <c r="K83" s="405"/>
      <c r="L83" s="405"/>
      <c r="M83" s="405"/>
      <c r="N83" s="405"/>
      <c r="O83" s="405"/>
      <c r="P83" s="406"/>
      <c r="Q83" s="406"/>
      <c r="R83" s="379"/>
      <c r="S83" s="386"/>
      <c r="T83" s="387"/>
      <c r="U83" s="413" t="e">
        <f>IF(-0.75*((C83/(VLOOKUP($A$2,Assumptions!$B$124:$G$147,2,0)))+D83/(VLOOKUP($A$2,Assumptions!$B$124:$G$147,5,0)))=0,"",-0.75*((C83/(VLOOKUP($A$2,Assumptions!$B$124:$G$147,2,0)))+D83/(VLOOKUP($A$2,Assumptions!$B$124:$G$147,5,0))))</f>
        <v>#DIV/0!</v>
      </c>
      <c r="V83" s="414" t="str">
        <f t="shared" si="20"/>
        <v/>
      </c>
      <c r="W83" s="451"/>
      <c r="X83" s="507"/>
    </row>
    <row r="84" spans="1:24" ht="15">
      <c r="A84" s="373"/>
      <c r="B84" s="457"/>
      <c r="C84" s="375"/>
      <c r="D84" s="375"/>
      <c r="E84" s="377"/>
      <c r="F84" s="378"/>
      <c r="G84" s="403"/>
      <c r="H84" s="404"/>
      <c r="I84" s="405"/>
      <c r="J84" s="405"/>
      <c r="K84" s="405"/>
      <c r="L84" s="405"/>
      <c r="M84" s="405"/>
      <c r="N84" s="405"/>
      <c r="O84" s="405"/>
      <c r="P84" s="406"/>
      <c r="Q84" s="406"/>
      <c r="R84" s="379"/>
      <c r="S84" s="386"/>
      <c r="T84" s="387"/>
      <c r="U84" s="413" t="e">
        <f>IF(-0.75*((C84/(VLOOKUP($A$2,Assumptions!$B$124:$G$147,2,0)))+D84/(VLOOKUP($A$2,Assumptions!$B$124:$G$147,5,0)))=0,"",-0.75*((C84/(VLOOKUP($A$2,Assumptions!$B$124:$G$147,2,0)))+D84/(VLOOKUP($A$2,Assumptions!$B$124:$G$147,5,0))))</f>
        <v>#DIV/0!</v>
      </c>
      <c r="V84" s="414" t="str">
        <f t="shared" si="20"/>
        <v/>
      </c>
      <c r="W84" s="451"/>
      <c r="X84" s="507"/>
    </row>
    <row r="85" spans="1:24" ht="15">
      <c r="A85" s="373"/>
      <c r="B85" s="457"/>
      <c r="C85" s="375"/>
      <c r="D85" s="375"/>
      <c r="E85" s="377"/>
      <c r="F85" s="378"/>
      <c r="G85" s="403"/>
      <c r="H85" s="404"/>
      <c r="I85" s="405"/>
      <c r="J85" s="405"/>
      <c r="K85" s="405"/>
      <c r="L85" s="405"/>
      <c r="M85" s="405"/>
      <c r="N85" s="405"/>
      <c r="O85" s="405"/>
      <c r="P85" s="406"/>
      <c r="Q85" s="406"/>
      <c r="R85" s="379"/>
      <c r="S85" s="386"/>
      <c r="T85" s="387"/>
      <c r="U85" s="413" t="e">
        <f>IF(-0.75*((C85/(VLOOKUP($A$2,Assumptions!$B$124:$G$147,2,0)))+D85/(VLOOKUP($A$2,Assumptions!$B$124:$G$147,5,0)))=0,"",-0.75*((C85/(VLOOKUP($A$2,Assumptions!$B$124:$G$147,2,0)))+D85/(VLOOKUP($A$2,Assumptions!$B$124:$G$147,5,0))))</f>
        <v>#DIV/0!</v>
      </c>
      <c r="V85" s="414" t="str">
        <f t="shared" si="20"/>
        <v/>
      </c>
      <c r="W85" s="451"/>
      <c r="X85" s="507"/>
    </row>
    <row r="86" spans="1:24" ht="15">
      <c r="A86" s="373"/>
      <c r="B86" s="457"/>
      <c r="C86" s="375"/>
      <c r="D86" s="375"/>
      <c r="E86" s="377"/>
      <c r="F86" s="378"/>
      <c r="G86" s="403"/>
      <c r="H86" s="404"/>
      <c r="I86" s="405"/>
      <c r="J86" s="405"/>
      <c r="K86" s="405"/>
      <c r="L86" s="405"/>
      <c r="M86" s="405"/>
      <c r="N86" s="405"/>
      <c r="O86" s="405"/>
      <c r="P86" s="406"/>
      <c r="Q86" s="406"/>
      <c r="R86" s="379"/>
      <c r="S86" s="386"/>
      <c r="T86" s="387"/>
      <c r="U86" s="413" t="e">
        <f>IF(-0.75*((C86/(VLOOKUP($A$2,Assumptions!$B$124:$G$147,2,0)))+D86/(VLOOKUP($A$2,Assumptions!$B$124:$G$147,5,0)))=0,"",-0.75*((C86/(VLOOKUP($A$2,Assumptions!$B$124:$G$147,2,0)))+D86/(VLOOKUP($A$2,Assumptions!$B$124:$G$147,5,0))))</f>
        <v>#DIV/0!</v>
      </c>
      <c r="V86" s="414" t="str">
        <f t="shared" si="20"/>
        <v/>
      </c>
      <c r="W86" s="451"/>
      <c r="X86" s="507"/>
    </row>
    <row r="87" spans="1:24" ht="15">
      <c r="A87" s="373"/>
      <c r="B87" s="374"/>
      <c r="C87" s="375"/>
      <c r="D87" s="375"/>
      <c r="E87" s="377"/>
      <c r="F87" s="378"/>
      <c r="G87" s="403"/>
      <c r="H87" s="404"/>
      <c r="I87" s="405"/>
      <c r="J87" s="405"/>
      <c r="K87" s="405"/>
      <c r="L87" s="405"/>
      <c r="M87" s="405"/>
      <c r="N87" s="405"/>
      <c r="O87" s="405"/>
      <c r="P87" s="406"/>
      <c r="Q87" s="406"/>
      <c r="R87" s="379"/>
      <c r="S87" s="379"/>
      <c r="T87" s="387"/>
      <c r="U87" s="413" t="e">
        <f>IF(-0.75*((C87/(VLOOKUP($A$2,Assumptions!$B$124:$G$147,2,0)))+D87/(VLOOKUP($A$2,Assumptions!$B$124:$G$147,5,0)))=0,"",-0.75*((C87/(VLOOKUP($A$2,Assumptions!$B$124:$G$147,2,0)))+D87/(VLOOKUP($A$2,Assumptions!$B$124:$G$147,5,0))))</f>
        <v>#DIV/0!</v>
      </c>
      <c r="V87" s="414" t="str">
        <f t="shared" si="20"/>
        <v/>
      </c>
      <c r="W87" s="451"/>
      <c r="X87" s="507"/>
    </row>
    <row r="88" spans="1:24" ht="15">
      <c r="A88" s="456"/>
      <c r="B88" s="397"/>
      <c r="C88" s="398"/>
      <c r="D88" s="398"/>
      <c r="E88" s="399"/>
      <c r="F88" s="400"/>
      <c r="G88" s="407"/>
      <c r="H88" s="408"/>
      <c r="I88" s="409"/>
      <c r="J88" s="409"/>
      <c r="K88" s="409"/>
      <c r="L88" s="409"/>
      <c r="M88" s="409"/>
      <c r="N88" s="409"/>
      <c r="O88" s="409"/>
      <c r="P88" s="410"/>
      <c r="Q88" s="410"/>
      <c r="R88" s="401"/>
      <c r="S88" s="401"/>
      <c r="T88" s="402"/>
      <c r="U88" s="413" t="e">
        <f>IF(-0.75*((C88/(VLOOKUP($A$2,Assumptions!$B$124:$G$147,2,0)))+D88/(VLOOKUP($A$2,Assumptions!$B$124:$G$147,5,0)))=0,"",-0.75*((C88/(VLOOKUP($A$2,Assumptions!$B$124:$G$147,2,0)))+D88/(VLOOKUP($A$2,Assumptions!$B$124:$G$147,5,0))))</f>
        <v>#DIV/0!</v>
      </c>
      <c r="V88" s="415" t="str">
        <f t="shared" si="20"/>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2">IF(ISERROR(((-C89*1000*$W$162)/F89)),"",((-C89*1000*$W$162)/F89))</f>
        <v/>
      </c>
      <c r="W89" s="304" t="str">
        <f t="shared" si="22"/>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2"/>
        <v/>
      </c>
      <c r="W90" s="170" t="str">
        <f t="shared" si="22"/>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2"/>
        <v/>
      </c>
      <c r="W91" s="170" t="str">
        <f t="shared" si="22"/>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2"/>
        <v/>
      </c>
      <c r="W92" s="170" t="str">
        <f t="shared" si="22"/>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2"/>
        <v/>
      </c>
      <c r="W93" s="170" t="str">
        <f t="shared" si="22"/>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2"/>
        <v/>
      </c>
      <c r="W94" s="170" t="str">
        <f t="shared" si="22"/>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2"/>
        <v/>
      </c>
      <c r="W95" s="170" t="str">
        <f t="shared" si="22"/>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2"/>
        <v/>
      </c>
      <c r="W96" s="170" t="str">
        <f t="shared" si="22"/>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2"/>
        <v/>
      </c>
      <c r="W97" s="170" t="str">
        <f t="shared" si="22"/>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2"/>
        <v/>
      </c>
      <c r="W98" s="170" t="str">
        <f t="shared" si="22"/>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2"/>
        <v/>
      </c>
      <c r="W99" s="170" t="str">
        <f t="shared" si="22"/>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2"/>
        <v/>
      </c>
      <c r="W100" s="170" t="str">
        <f t="shared" si="22"/>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2"/>
        <v/>
      </c>
      <c r="W101" s="170" t="str">
        <f t="shared" si="22"/>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2"/>
        <v/>
      </c>
      <c r="W102" s="170" t="str">
        <f t="shared" si="22"/>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2"/>
        <v/>
      </c>
      <c r="W103" s="170" t="str">
        <f t="shared" si="22"/>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2"/>
        <v/>
      </c>
      <c r="W104" s="170" t="str">
        <f t="shared" si="22"/>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2"/>
        <v/>
      </c>
      <c r="W105" s="170" t="str">
        <f t="shared" si="22"/>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2"/>
        <v/>
      </c>
      <c r="W106" s="170" t="str">
        <f t="shared" si="22"/>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2"/>
        <v/>
      </c>
      <c r="W107" s="170" t="str">
        <f t="shared" si="22"/>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2"/>
        <v/>
      </c>
      <c r="W108" s="170" t="str">
        <f t="shared" si="22"/>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2"/>
        <v/>
      </c>
      <c r="W109" s="170" t="str">
        <f t="shared" si="22"/>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2"/>
        <v/>
      </c>
      <c r="W110" s="170" t="str">
        <f t="shared" si="22"/>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2"/>
        <v/>
      </c>
      <c r="W111" s="170" t="str">
        <f t="shared" si="22"/>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2"/>
        <v/>
      </c>
      <c r="W112" s="170" t="str">
        <f t="shared" si="22"/>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2"/>
        <v/>
      </c>
      <c r="W113" s="170" t="str">
        <f t="shared" si="22"/>
        <v/>
      </c>
      <c r="X113" s="170"/>
      <c r="Y113" s="24"/>
      <c r="Z113" s="24"/>
      <c r="AA113" s="24"/>
      <c r="AB113" s="24"/>
      <c r="AC113" s="24"/>
      <c r="AD113" s="24"/>
      <c r="AE113" s="24"/>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2"/>
        <v/>
      </c>
      <c r="W114" s="173" t="str">
        <f t="shared" si="22"/>
        <v/>
      </c>
      <c r="X114" s="173"/>
      <c r="Y114" s="24"/>
      <c r="Z114" s="24"/>
      <c r="AA114" s="24"/>
      <c r="AB114" s="24"/>
      <c r="AC114" s="24"/>
      <c r="AD114" s="24"/>
      <c r="AE114" s="24"/>
    </row>
    <row r="115" spans="1:31" ht="15">
      <c r="A115" s="13"/>
      <c r="B115" s="353"/>
      <c r="C115" s="354">
        <f>SUM(C69:C88)</f>
        <v>0</v>
      </c>
      <c r="D115" s="354">
        <f>SUM(D69:D88)</f>
        <v>0</v>
      </c>
      <c r="E115" s="355"/>
      <c r="F115" s="333">
        <f>SUM(F69:F114)</f>
        <v>2805000</v>
      </c>
      <c r="G115" s="388">
        <f>SUM(G69:G114)</f>
        <v>0</v>
      </c>
      <c r="H115" s="388">
        <f t="shared" ref="H115:N115" si="23">SUM(H69:H114)</f>
        <v>85000</v>
      </c>
      <c r="I115" s="388">
        <f t="shared" si="23"/>
        <v>1187500</v>
      </c>
      <c r="J115" s="388">
        <f t="shared" si="23"/>
        <v>882500</v>
      </c>
      <c r="K115" s="388">
        <f t="shared" si="23"/>
        <v>650000</v>
      </c>
      <c r="L115" s="388">
        <f t="shared" si="23"/>
        <v>0</v>
      </c>
      <c r="M115" s="388">
        <f t="shared" si="23"/>
        <v>0</v>
      </c>
      <c r="N115" s="388">
        <f t="shared" si="23"/>
        <v>0</v>
      </c>
      <c r="O115" s="388">
        <f>SUM(O69:O114)</f>
        <v>0</v>
      </c>
      <c r="P115" s="388">
        <f>SUM(P69:P114)</f>
        <v>0</v>
      </c>
      <c r="Q115" s="388">
        <f>SUM(Q69:Q114)</f>
        <v>0</v>
      </c>
      <c r="R115" s="388">
        <f>SUMIFS(F69:F114,R69:R114,"Yes")-0.5*SUMIFS(F69:F114,R69:R114,"Yes",S69:S114,"Yes")</f>
        <v>1420000</v>
      </c>
      <c r="S115" s="388">
        <f>SUMIFS(F69:F114,S69:S114,"Yes")-0.5*SUMIFS(F69:F114,S69:S114,"Yes",R69:R114,"Yes")</f>
        <v>1300000</v>
      </c>
      <c r="T115" s="388">
        <f>SUMIFS(F69:F114,T69:T114,"Yes")</f>
        <v>85000</v>
      </c>
      <c r="U115" s="389" t="e">
        <f>SUM(U69:U114)</f>
        <v>#DIV/0!</v>
      </c>
      <c r="V115" s="390">
        <f>IF(ISERROR(((-1*C115*1000*$D$6)+(-1*D115*$D$8))/F115),"",((-1*C115*1000*$D$6)+(-1*D115*$D$8))/F115)</f>
        <v>0</v>
      </c>
      <c r="W115" s="391">
        <f>SUMIFS(F69:F114,W69:W114,"Yes")</f>
        <v>0</v>
      </c>
      <c r="X115" s="391">
        <f>SUMIFS(F68:F113,X69:X114,"Yes")</f>
        <v>2172500</v>
      </c>
      <c r="Y115" s="24"/>
      <c r="Z115" s="24"/>
      <c r="AA115" s="24"/>
      <c r="AB115" s="24"/>
      <c r="AC115" s="24"/>
      <c r="AD115" s="24"/>
      <c r="AE115" s="24"/>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c r="Y116" s="24"/>
      <c r="Z116" s="24"/>
      <c r="AA116" s="24"/>
      <c r="AB116" s="24"/>
      <c r="AC116" s="24"/>
      <c r="AD116" s="24"/>
      <c r="AE116" s="24"/>
    </row>
    <row r="117" spans="1:31">
      <c r="A117" s="13"/>
      <c r="B117" s="13"/>
      <c r="C117" s="13"/>
      <c r="D117" s="13"/>
      <c r="E117" s="13"/>
      <c r="F117" s="13"/>
      <c r="G117" s="13"/>
      <c r="H117" s="13"/>
      <c r="I117" s="13"/>
      <c r="J117" s="13"/>
      <c r="K117" s="13"/>
      <c r="L117" s="13"/>
      <c r="M117" s="13"/>
      <c r="N117" s="13"/>
      <c r="O117" s="13"/>
      <c r="P117" s="13"/>
      <c r="Q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4.2064719358533793</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4.2064719358533793</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4.2064719358533793</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4.2064719358533793</v>
      </c>
      <c r="AA126" s="22">
        <f t="shared" ref="AA126:AC126" si="24">AK216</f>
        <v>4.2064719358533793</v>
      </c>
      <c r="AB126" s="22">
        <f t="shared" si="24"/>
        <v>0</v>
      </c>
      <c r="AC126" s="22">
        <f t="shared" si="24"/>
        <v>0</v>
      </c>
      <c r="AD126" s="22">
        <f t="shared" ref="AD126:AE126" si="25">AI217</f>
        <v>0</v>
      </c>
      <c r="AE126" s="22">
        <f t="shared" si="25"/>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4.2064719358533793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4.2064719358533793</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4.2064719358533793</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4.2064719358533793</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4.2064719358533793</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4.2064719358533793</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4.2064719358533793</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6">AQ156*0.5</f>
        <v>20.914999999999999</v>
      </c>
      <c r="AR154" s="338">
        <f t="shared" si="26"/>
        <v>26.98</v>
      </c>
      <c r="AS154" s="8"/>
      <c r="AT154" s="25">
        <v>6</v>
      </c>
      <c r="AU154" s="339">
        <f>AU156*0.5</f>
        <v>64.760000000000005</v>
      </c>
      <c r="AV154" s="339">
        <f t="shared" ref="AV154:AY154" si="27">AV156*0.5</f>
        <v>69.5</v>
      </c>
      <c r="AW154" s="339">
        <f t="shared" si="27"/>
        <v>59.814999999999998</v>
      </c>
      <c r="AX154" s="339">
        <f t="shared" si="27"/>
        <v>33.69</v>
      </c>
      <c r="AY154" s="339">
        <f t="shared" si="27"/>
        <v>44.87</v>
      </c>
      <c r="AZ154" s="8"/>
      <c r="BA154" s="25">
        <v>6</v>
      </c>
      <c r="BB154" s="24">
        <f t="shared" ref="BB154:BB155" si="28">IF($C$58="Base",BF154,BG154)</f>
        <v>42.145000000000003</v>
      </c>
      <c r="BC154" s="24" t="s">
        <v>436</v>
      </c>
      <c r="BD154" s="8"/>
      <c r="BE154" s="8"/>
      <c r="BF154" s="24">
        <f t="shared" ref="BF154:BF155" si="29">IF($C$59&gt;7000,"error",IF($C$59&gt;5999,AR154,IF($C$59&gt;4999,AQ154,IF($C$59&gt;3999,AP154,IF($C$59&gt;2999,AO154,IF($C$59&gt;1999,AN154,"Error"))))))</f>
        <v>42.145000000000003</v>
      </c>
      <c r="BG154" s="24">
        <f t="shared" ref="BG154:BG164" si="30">IF($C$59&gt;7000,"error",IF($C$59&gt;5999,AY154,IF($C$59&gt;4999,AX154,IF($C$59&gt;3999,AW154,IF($C$59&gt;2999,AV154,IF($C$59&gt;1999,AU154,"Error"))))))</f>
        <v>69.5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1">AQ156*0.75</f>
        <v>31.372499999999999</v>
      </c>
      <c r="AR155" s="338">
        <f t="shared" si="31"/>
        <v>40.47</v>
      </c>
      <c r="AS155" s="24"/>
      <c r="AT155" s="25">
        <v>5.5</v>
      </c>
      <c r="AU155" s="339">
        <f>AU156*0.75</f>
        <v>97.140000000000015</v>
      </c>
      <c r="AV155" s="339">
        <f t="shared" ref="AV155:AY155" si="32">AV156*0.75</f>
        <v>104.25</v>
      </c>
      <c r="AW155" s="339">
        <f t="shared" si="32"/>
        <v>89.722499999999997</v>
      </c>
      <c r="AX155" s="339">
        <f t="shared" si="32"/>
        <v>50.534999999999997</v>
      </c>
      <c r="AY155" s="339">
        <f t="shared" si="32"/>
        <v>67.304999999999993</v>
      </c>
      <c r="AZ155" s="24"/>
      <c r="BA155" s="25">
        <v>5.5</v>
      </c>
      <c r="BB155" s="24">
        <f t="shared" si="28"/>
        <v>63.217500000000001</v>
      </c>
      <c r="BC155" s="24" t="s">
        <v>436</v>
      </c>
      <c r="BE155" s="24"/>
      <c r="BF155" s="24">
        <f t="shared" si="29"/>
        <v>63.217500000000001</v>
      </c>
      <c r="BG155" s="24">
        <f t="shared" si="30"/>
        <v>104.25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84.29</v>
      </c>
      <c r="BC156" s="24" t="s">
        <v>436</v>
      </c>
      <c r="BD156" s="24">
        <f>IF(C58="base",BF156,BG156)</f>
        <v>84.29</v>
      </c>
      <c r="BE156" s="24"/>
      <c r="BF156" s="24">
        <f>IF($C$59&gt;7000,"error",IF($C$59&gt;5999,AR156,IF($C$59&gt;4999,AQ156,IF($C$59&gt;3999,AP156,IF($C$59&gt;2999,AO156,IF($C$59&gt;1999,AN156,"Error"))))))</f>
        <v>84.29</v>
      </c>
      <c r="BG156" s="24">
        <f t="shared" si="30"/>
        <v>139</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50900</v>
      </c>
      <c r="BW156" s="14" t="s">
        <v>445</v>
      </c>
      <c r="BX156" s="181" t="s">
        <v>13</v>
      </c>
      <c r="BY156" s="38">
        <f>BY157/BV156</f>
        <v>76.783337461493133</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3">IF($C$58="Base",BF157,BG157)</f>
        <v>101.75</v>
      </c>
      <c r="BC157" s="24" t="s">
        <v>436</v>
      </c>
      <c r="BD157" s="24">
        <f>BB157-BB156</f>
        <v>17.459999999999994</v>
      </c>
      <c r="BE157" s="24"/>
      <c r="BF157" s="24">
        <f t="shared" ref="BF157:BF164" si="34">IF($C$59&gt;7000,"error",IF($C$59&gt;5999,AR157,IF($C$59&gt;4999,AQ157,IF($C$59&gt;3999,AP157,IF($C$59&gt;2999,AO157,IF($C$59&gt;1999,AN157,"Error"))))))</f>
        <v>101.75</v>
      </c>
      <c r="BG157" s="24">
        <f t="shared" si="30"/>
        <v>166.57</v>
      </c>
      <c r="BH157" s="24"/>
      <c r="BI157" s="29" t="s">
        <v>118</v>
      </c>
      <c r="BJ157" s="29">
        <v>810</v>
      </c>
      <c r="BK157" s="29">
        <v>51.33</v>
      </c>
      <c r="BL157" s="24">
        <v>2000</v>
      </c>
      <c r="BM157" s="25"/>
      <c r="BN157" s="24">
        <f>BV161/BV158</f>
        <v>35.607433279792275</v>
      </c>
      <c r="BO157" s="32" t="s">
        <v>447</v>
      </c>
      <c r="BP157" s="179">
        <f>$BY$158/SUM($BY$158:$BY$159)*C64</f>
        <v>99.536211221700171</v>
      </c>
      <c r="BQ157" s="29" t="s">
        <v>448</v>
      </c>
      <c r="BR157" s="29" t="s">
        <v>449</v>
      </c>
      <c r="BS157" s="29" t="s">
        <v>450</v>
      </c>
      <c r="BT157" s="14"/>
      <c r="BU157" s="30" t="s">
        <v>451</v>
      </c>
      <c r="BV157" s="33">
        <f xml:space="preserve"> 5 - 0.5*(BV158-BB156)/BH166</f>
        <v>4.5633960131242794</v>
      </c>
      <c r="BW157" s="14" t="s">
        <v>452</v>
      </c>
      <c r="BX157" s="181" t="s">
        <v>453</v>
      </c>
      <c r="BY157" s="180">
        <f>SUM(BY158:BY159)</f>
        <v>3908271.8767900001</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3"/>
        <v>120.31</v>
      </c>
      <c r="BC158" s="24" t="s">
        <v>436</v>
      </c>
      <c r="BD158" s="24">
        <f t="shared" ref="BD158:BD164" si="35">BB158-BB157</f>
        <v>18.560000000000002</v>
      </c>
      <c r="BE158" s="24"/>
      <c r="BF158" s="24">
        <f t="shared" si="34"/>
        <v>120.31</v>
      </c>
      <c r="BG158" s="24">
        <f t="shared" si="30"/>
        <v>194.15</v>
      </c>
      <c r="BH158" s="24"/>
      <c r="BI158" s="29" t="s">
        <v>150</v>
      </c>
      <c r="BJ158" s="29">
        <v>810</v>
      </c>
      <c r="BK158" s="29">
        <v>51.33</v>
      </c>
      <c r="BL158" s="24">
        <v>3000</v>
      </c>
      <c r="BM158" s="25"/>
      <c r="BN158" s="179">
        <f>BV162/BV163</f>
        <v>679.8224160178537</v>
      </c>
      <c r="BO158" s="24" t="s">
        <v>454</v>
      </c>
      <c r="BP158" s="179">
        <f>$BY$159/SUM($BY$158:$BY$159)*C64</f>
        <v>12.463788778299826</v>
      </c>
      <c r="BQ158" s="29" t="s">
        <v>455</v>
      </c>
      <c r="BR158" s="29" t="s">
        <v>456</v>
      </c>
      <c r="BS158" s="29" t="s">
        <v>457</v>
      </c>
      <c r="BT158" s="14"/>
      <c r="BU158" s="30" t="s">
        <v>458</v>
      </c>
      <c r="BV158" s="31">
        <f>BP157</f>
        <v>99.536211221700171</v>
      </c>
      <c r="BW158" s="14" t="s">
        <v>436</v>
      </c>
      <c r="BX158" s="181" t="s">
        <v>459</v>
      </c>
      <c r="BY158" s="178">
        <f>INDEX($BJ$156:$BJ$161,MATCH($C$57,$BI$156:$BI$161,0))*$C$62</f>
        <v>3473344.42</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3"/>
        <v>138.88</v>
      </c>
      <c r="BC159" s="24" t="s">
        <v>436</v>
      </c>
      <c r="BD159" s="24">
        <f t="shared" si="35"/>
        <v>18.569999999999993</v>
      </c>
      <c r="BE159" s="24"/>
      <c r="BF159" s="24">
        <f t="shared" si="34"/>
        <v>138.88</v>
      </c>
      <c r="BG159" s="24">
        <f t="shared" si="30"/>
        <v>221.73</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434927.45679000003</v>
      </c>
      <c r="BZ159" s="24">
        <f>BY159/(BY157)</f>
        <v>0.11128382837767702</v>
      </c>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3"/>
        <v>157.44999999999999</v>
      </c>
      <c r="BC160" s="24" t="s">
        <v>436</v>
      </c>
      <c r="BD160" s="24">
        <f t="shared" si="35"/>
        <v>18.569999999999993</v>
      </c>
      <c r="BE160" s="24"/>
      <c r="BF160" s="24">
        <f t="shared" si="34"/>
        <v>157.44999999999999</v>
      </c>
      <c r="BG160" s="24">
        <f t="shared" si="30"/>
        <v>249.31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76.477427750491159</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3"/>
        <v>176.01</v>
      </c>
      <c r="BC161" s="24" t="s">
        <v>436</v>
      </c>
      <c r="BD161" s="24">
        <f t="shared" si="35"/>
        <v>18.560000000000002</v>
      </c>
      <c r="BE161" s="24"/>
      <c r="BF161" s="24">
        <f t="shared" si="34"/>
        <v>176.01</v>
      </c>
      <c r="BG161" s="24">
        <f t="shared" si="30"/>
        <v>276.89</v>
      </c>
      <c r="BH161" s="24"/>
      <c r="BI161" s="29" t="s">
        <v>147</v>
      </c>
      <c r="BJ161" s="29">
        <v>680</v>
      </c>
      <c r="BK161" s="29">
        <v>51.33</v>
      </c>
      <c r="BL161" s="24">
        <v>6000</v>
      </c>
      <c r="BM161" s="37"/>
      <c r="BN161" s="37"/>
      <c r="BO161" s="37"/>
      <c r="BP161" s="37"/>
      <c r="BQ161" s="29" t="s">
        <v>470</v>
      </c>
      <c r="BR161" s="29" t="s">
        <v>18</v>
      </c>
      <c r="BS161" s="29"/>
      <c r="BT161" s="14"/>
      <c r="BU161" s="14" t="s">
        <v>471</v>
      </c>
      <c r="BV161" s="31">
        <f>C62</f>
        <v>3544.2289999999998</v>
      </c>
      <c r="BW161" s="14" t="s">
        <v>311</v>
      </c>
      <c r="BX161" s="14"/>
      <c r="BY161" s="14"/>
      <c r="BZ161" s="38">
        <f>5-(0.5*(C64-CE177)/(CE176-CE177))</f>
        <v>4.2064719358533793</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3"/>
        <v>194.58</v>
      </c>
      <c r="BC162" s="24" t="s">
        <v>436</v>
      </c>
      <c r="BD162" s="24">
        <f t="shared" si="35"/>
        <v>18.570000000000022</v>
      </c>
      <c r="BE162" s="24"/>
      <c r="BF162" s="24">
        <f t="shared" si="34"/>
        <v>194.58</v>
      </c>
      <c r="BG162" s="24">
        <f t="shared" si="30"/>
        <v>304.47000000000003</v>
      </c>
      <c r="BH162" s="24"/>
      <c r="BI162" s="24"/>
      <c r="BJ162" s="24"/>
      <c r="BK162" s="24"/>
      <c r="BL162" s="24"/>
      <c r="BM162" s="37"/>
      <c r="BN162" s="37"/>
      <c r="BO162" s="37"/>
      <c r="BP162" s="37"/>
      <c r="BQ162" s="29" t="s">
        <v>473</v>
      </c>
      <c r="BR162" s="24"/>
      <c r="BS162" s="24"/>
      <c r="BT162" s="14"/>
      <c r="BU162" s="14" t="s">
        <v>474</v>
      </c>
      <c r="BV162" s="31">
        <f>C63</f>
        <v>8473.1630000000005</v>
      </c>
      <c r="BW162" s="14" t="s">
        <v>314</v>
      </c>
      <c r="BX162" s="14"/>
      <c r="BY162" s="38">
        <f>C63*BK156</f>
        <v>434927.45679000003</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3"/>
        <v>213.15</v>
      </c>
      <c r="BC163" s="24" t="s">
        <v>436</v>
      </c>
      <c r="BD163" s="24">
        <f t="shared" si="35"/>
        <v>18.569999999999993</v>
      </c>
      <c r="BE163" s="24"/>
      <c r="BF163" s="24">
        <f t="shared" si="34"/>
        <v>213.15</v>
      </c>
      <c r="BG163" s="24">
        <f t="shared" si="30"/>
        <v>332.05</v>
      </c>
      <c r="BH163" s="24"/>
      <c r="BI163" s="24"/>
      <c r="BJ163" s="24"/>
      <c r="BK163" s="24"/>
      <c r="BL163" s="24"/>
      <c r="BM163" s="37"/>
      <c r="BN163" s="37"/>
      <c r="BO163" s="37"/>
      <c r="BP163" s="37"/>
      <c r="BQ163" s="29" t="s">
        <v>475</v>
      </c>
      <c r="BR163" s="24"/>
      <c r="BS163" s="24"/>
      <c r="BT163" s="14"/>
      <c r="BU163" s="14" t="s">
        <v>476</v>
      </c>
      <c r="BV163" s="38">
        <f>BP158</f>
        <v>12.463788778299826</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3"/>
        <v>231.71</v>
      </c>
      <c r="BC164" s="24" t="s">
        <v>436</v>
      </c>
      <c r="BD164" s="24">
        <f t="shared" si="35"/>
        <v>18.560000000000002</v>
      </c>
      <c r="BE164" s="24"/>
      <c r="BF164" s="24">
        <f t="shared" si="34"/>
        <v>231.71</v>
      </c>
      <c r="BG164" s="24">
        <f t="shared" si="30"/>
        <v>359.62</v>
      </c>
      <c r="BH164" s="24"/>
      <c r="BI164" s="24"/>
      <c r="BJ164" s="24"/>
      <c r="BK164" s="24"/>
      <c r="BL164" s="24"/>
      <c r="BM164" s="37"/>
      <c r="BN164" s="37"/>
      <c r="BO164" s="37"/>
      <c r="BP164" s="37"/>
      <c r="BQ164" s="29" t="s">
        <v>478</v>
      </c>
      <c r="BR164" s="24"/>
      <c r="BS164" s="24"/>
      <c r="BT164" s="14"/>
      <c r="BU164" s="14"/>
      <c r="BV164" s="38">
        <f>BV163+BV158</f>
        <v>112</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f>G66</f>
        <v>45473</v>
      </c>
      <c r="H166" s="206">
        <f t="shared" ref="H166:Q166" si="36">H66</f>
        <v>45838</v>
      </c>
      <c r="I166" s="206">
        <f t="shared" si="36"/>
        <v>46203</v>
      </c>
      <c r="J166" s="206">
        <f t="shared" si="36"/>
        <v>46568</v>
      </c>
      <c r="K166" s="206">
        <f t="shared" si="36"/>
        <v>46934</v>
      </c>
      <c r="L166" s="206">
        <f t="shared" si="36"/>
        <v>47299</v>
      </c>
      <c r="M166" s="206">
        <f t="shared" si="36"/>
        <v>47664</v>
      </c>
      <c r="N166" s="206">
        <f t="shared" si="36"/>
        <v>48029</v>
      </c>
      <c r="O166" s="206">
        <f t="shared" si="36"/>
        <v>48395</v>
      </c>
      <c r="P166" s="206">
        <f t="shared" si="36"/>
        <v>48760</v>
      </c>
      <c r="Q166" s="206">
        <f t="shared" si="36"/>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7">DATE(YEAR(AB166)+1,MONTH(AB166),DAY(AB166))</f>
        <v>46112</v>
      </c>
      <c r="AD166" s="46">
        <f t="shared" si="37"/>
        <v>46477</v>
      </c>
      <c r="AE166" s="46">
        <f t="shared" si="37"/>
        <v>46843</v>
      </c>
      <c r="AF166" s="46">
        <f t="shared" si="37"/>
        <v>47208</v>
      </c>
      <c r="AG166" s="46">
        <f t="shared" si="37"/>
        <v>47573</v>
      </c>
      <c r="AH166" s="46">
        <f t="shared" si="37"/>
        <v>47938</v>
      </c>
      <c r="AI166" s="46">
        <f t="shared" si="37"/>
        <v>48304</v>
      </c>
      <c r="AJ166" s="46">
        <f t="shared" si="37"/>
        <v>48669</v>
      </c>
      <c r="AK166" s="46">
        <f t="shared" si="37"/>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38">IF($C$58="base",INDEX($AN$157:$AR$157,MATCH($C$57,$AN$165:$AR$165,0)),INDEX($AU$157:$AY$157,MATCH($C$57,$AU$165:$AY$165,0)))</f>
        <v>101.75</v>
      </c>
      <c r="BF166" s="47" t="s">
        <v>388</v>
      </c>
      <c r="BG166" s="47">
        <f>BD156</f>
        <v>84.29</v>
      </c>
      <c r="BH166" s="47">
        <f>BD157</f>
        <v>17.459999999999994</v>
      </c>
      <c r="BI166" s="47">
        <f>BD158</f>
        <v>18.560000000000002</v>
      </c>
      <c r="BJ166" s="47">
        <f>BD159</f>
        <v>18.569999999999993</v>
      </c>
      <c r="BK166" s="47">
        <f>BD160</f>
        <v>18.569999999999993</v>
      </c>
      <c r="BL166" s="47">
        <f>BD161</f>
        <v>18.560000000000002</v>
      </c>
      <c r="BM166" s="47">
        <f>BD162</f>
        <v>18.570000000000022</v>
      </c>
      <c r="BN166" s="47">
        <f>BD163</f>
        <v>18.569999999999993</v>
      </c>
      <c r="BO166" s="47">
        <f>BD164</f>
        <v>18.560000000000002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39">IF($E69&lt;G$66,$C69,0)</f>
        <v>0</v>
      </c>
      <c r="H167" s="12">
        <f t="shared" ref="H167:J186" si="40">IF($E69&gt;H$66,0,IF($E69&lt;H$66-365,$C69,0))</f>
        <v>0</v>
      </c>
      <c r="I167" s="12">
        <f t="shared" si="40"/>
        <v>0</v>
      </c>
      <c r="J167" s="12">
        <f t="shared" si="40"/>
        <v>0</v>
      </c>
      <c r="K167" s="12">
        <f t="shared" ref="K167:K209" si="41">IF($E69&lt;K$66,$C69,0)</f>
        <v>0</v>
      </c>
      <c r="L167" s="12">
        <f t="shared" ref="L167:N186" si="42">IF($E69&gt;L$66,0,IF($E69&lt;L$66-365,$C69,0))</f>
        <v>0</v>
      </c>
      <c r="M167" s="12">
        <f t="shared" si="42"/>
        <v>0</v>
      </c>
      <c r="N167" s="12">
        <f t="shared" si="42"/>
        <v>0</v>
      </c>
      <c r="O167" s="12">
        <f t="shared" ref="O167:O209" si="43">IF($E69&lt;O$66,$C69,0)</f>
        <v>0</v>
      </c>
      <c r="P167" s="12">
        <f t="shared" ref="P167:Q186" si="44">IF($E69&gt;P$66,0,IF($E69&lt;P$66-365,$C69,0))</f>
        <v>0</v>
      </c>
      <c r="Q167" s="12">
        <f t="shared" si="44"/>
        <v>0</v>
      </c>
      <c r="T167" s="14"/>
      <c r="U167" s="14"/>
      <c r="V167" s="14"/>
      <c r="W167" s="53">
        <f t="shared" ref="W167:W211" si="45">C68*$BN$160*1000</f>
        <v>0</v>
      </c>
      <c r="X167" s="54" t="e">
        <f t="shared" ref="X167:X211" si="46">-1*F68/W167</f>
        <v>#DIV/0!</v>
      </c>
      <c r="Y167" s="25">
        <f>Z167/$BH$166</f>
        <v>0</v>
      </c>
      <c r="Z167" s="54">
        <f>C68/$BN$157</f>
        <v>0</v>
      </c>
      <c r="AA167" s="54">
        <f t="shared" ref="AA167:AJ182" si="47">IF($E68+365&lt;$C$56,0,IF($E68&lt;$C$56,(($E68+365-$C$56)/365)*(($C68/$BN$157)+($D68/$BN$158)),IF($E68&gt;AA$166,0,IF($E68+365&lt;AA$166,($C68/$BN$157)+($D68/$BN$158),((AA$166-$E68)/365)*(($C68/$BN$157)+($D68/$BN$158))))))</f>
        <v>0</v>
      </c>
      <c r="AB167" s="54">
        <f t="shared" si="47"/>
        <v>0</v>
      </c>
      <c r="AC167" s="54">
        <f>IF($E68+365&lt;$C$56,0,IF($E68&lt;$C$56,(($E68+365-$C$56)/365)*(($C68/$BN$157)+($D68/$BN$158)),IF($E68&gt;AC$166,0,IF($E68+365&lt;AC$166,($C68/$BN$157)+($D68/$BN$158),((AC$166-$E68)/365)*(($C68/$BN$157)+($D68/$BN$158))))))</f>
        <v>0</v>
      </c>
      <c r="AD167" s="54">
        <f t="shared" si="47"/>
        <v>0</v>
      </c>
      <c r="AE167" s="54">
        <f t="shared" si="47"/>
        <v>0</v>
      </c>
      <c r="AF167" s="54">
        <f>IF($E68+365&lt;$C$56,0,IF($E68&lt;$C$56,(($E68+365-$C$56)/365)*(($C68/$BN$157)+($D68/$BN$158)),IF($E68&gt;AF$166,0,IF($E68+365&lt;AF$166,($C68/$BN$157)+($D68/$BN$158),((AF$166-$E68)/365)*(($C68/$BN$157)+($D68/$BN$158))))))</f>
        <v>0</v>
      </c>
      <c r="AG167" s="54">
        <f t="shared" si="47"/>
        <v>0</v>
      </c>
      <c r="AH167" s="54">
        <f t="shared" si="47"/>
        <v>0</v>
      </c>
      <c r="AI167" s="54">
        <f t="shared" si="47"/>
        <v>0</v>
      </c>
      <c r="AJ167" s="54">
        <f t="shared" si="47"/>
        <v>0</v>
      </c>
      <c r="AK167" s="54">
        <f t="shared" ref="AK167" si="48">IF($E68+365&lt;$C$56,0,IF($E68&lt;$C$56,(($E68+365-$C$56)/365)*(($C68/$BN$157)+($D68/$BN$158)),IF($E68&gt;AK$166,0,IF($E68+365&lt;AK$166,($C68/$BN$157)+($D68/$BN$158),((AK$166-$E68)/365)*(($C68/$BN$157)+($D68/$BN$158))))))</f>
        <v>0</v>
      </c>
      <c r="AL167" s="24">
        <f t="shared" ref="AL167:AL213" si="49">IF(G68&lt;&gt;"",C68,0)</f>
        <v>0</v>
      </c>
      <c r="AM167" s="24">
        <f t="shared" ref="AM167:AM213" si="50">IF(G68&lt;&gt;"",D68,0)</f>
        <v>0</v>
      </c>
      <c r="AN167" s="55">
        <f t="shared" ref="AN167:AN213" si="51">IF(W68="Yes",0,F68)</f>
        <v>0</v>
      </c>
      <c r="AO167" s="55">
        <f t="shared" ref="AO167:AO213" si="52">IF(W68="Yes",F68,0)</f>
        <v>0</v>
      </c>
      <c r="AP167" s="24"/>
      <c r="AQ167" s="24"/>
      <c r="AR167" s="24"/>
      <c r="AS167" s="24"/>
      <c r="AT167" s="24"/>
      <c r="AU167" s="24"/>
      <c r="AV167" s="24"/>
      <c r="AW167" s="24"/>
      <c r="AX167" s="24"/>
      <c r="AY167" s="24"/>
      <c r="AZ167" s="24"/>
      <c r="BA167" s="24"/>
      <c r="BB167" s="25"/>
      <c r="BC167" s="24"/>
      <c r="BD167" s="24"/>
      <c r="BE167" s="24">
        <f t="shared" si="38"/>
        <v>101.75</v>
      </c>
      <c r="BF167" s="24" t="s">
        <v>486</v>
      </c>
      <c r="BG167" s="56">
        <f>BV158+($C$64-$BV$158)</f>
        <v>112</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39"/>
        <v>0</v>
      </c>
      <c r="H168" s="12">
        <f t="shared" si="40"/>
        <v>0</v>
      </c>
      <c r="I168" s="12">
        <f t="shared" si="40"/>
        <v>0</v>
      </c>
      <c r="J168" s="12">
        <f t="shared" si="40"/>
        <v>0</v>
      </c>
      <c r="K168" s="12">
        <f t="shared" si="41"/>
        <v>0</v>
      </c>
      <c r="L168" s="12">
        <f t="shared" si="42"/>
        <v>0</v>
      </c>
      <c r="M168" s="12">
        <f t="shared" si="42"/>
        <v>0</v>
      </c>
      <c r="N168" s="12">
        <f t="shared" si="42"/>
        <v>0</v>
      </c>
      <c r="O168" s="12">
        <f t="shared" si="43"/>
        <v>0</v>
      </c>
      <c r="P168" s="12">
        <f t="shared" si="44"/>
        <v>0</v>
      </c>
      <c r="Q168" s="12">
        <f t="shared" si="44"/>
        <v>0</v>
      </c>
      <c r="T168" s="57"/>
      <c r="U168" s="57"/>
      <c r="V168" s="57"/>
      <c r="W168" s="53">
        <f t="shared" si="45"/>
        <v>0</v>
      </c>
      <c r="X168" s="54" t="e">
        <f t="shared" si="46"/>
        <v>#DIV/0!</v>
      </c>
      <c r="Y168" s="54">
        <f t="shared" ref="Y168:Y213" si="53">Z168/$BH$166</f>
        <v>0</v>
      </c>
      <c r="Z168" s="54">
        <f>($C69/$BN$157)+($D69/$BN$158)</f>
        <v>0</v>
      </c>
      <c r="AA168" s="54">
        <f t="shared" si="47"/>
        <v>0</v>
      </c>
      <c r="AB168" s="54">
        <f t="shared" si="47"/>
        <v>0</v>
      </c>
      <c r="AC168" s="54">
        <f t="shared" si="47"/>
        <v>0</v>
      </c>
      <c r="AD168" s="54">
        <f>IF($E69+365&lt;$C$56,0,IF($E69&lt;$C$56,(($E69+365-$C$56)/365)*(($C69/$BN$157)+($D69/$BN$158)),IF($E69&gt;AD$166,0,IF($E69+365&lt;AD$166,($C69/$BN$157)+($D69/$BN$158),((AD$166-$E69)/365)*(($C69/$BN$157)+($D69/$BN$158))))))</f>
        <v>0</v>
      </c>
      <c r="AE168" s="54">
        <f t="shared" si="47"/>
        <v>0</v>
      </c>
      <c r="AF168" s="54">
        <f t="shared" si="47"/>
        <v>0</v>
      </c>
      <c r="AG168" s="54">
        <f t="shared" si="47"/>
        <v>0</v>
      </c>
      <c r="AH168" s="54">
        <f t="shared" si="47"/>
        <v>0</v>
      </c>
      <c r="AI168" s="54">
        <f t="shared" si="47"/>
        <v>0</v>
      </c>
      <c r="AJ168" s="54">
        <f t="shared" si="47"/>
        <v>0</v>
      </c>
      <c r="AK168" s="54">
        <f t="shared" ref="AK168" si="54">IF($E69+365&lt;$C$56,0,IF($E69&lt;$C$56,(($E69+365-$C$56)/365)*(($C69/$BN$157)+($D69/$BN$158)),IF($E69&gt;AK$166,0,IF($E69+365&lt;AK$166,($C69/$BN$157)+($D69/$BN$158),((AK$166-$E69)/365)*(($C69/$BN$157)+($D69/$BN$158))))))</f>
        <v>0</v>
      </c>
      <c r="AL168" s="24">
        <f t="shared" si="49"/>
        <v>0</v>
      </c>
      <c r="AM168" s="24">
        <f t="shared" si="50"/>
        <v>0</v>
      </c>
      <c r="AN168" s="55">
        <f t="shared" si="51"/>
        <v>85000</v>
      </c>
      <c r="AO168" s="55">
        <f t="shared" si="52"/>
        <v>0</v>
      </c>
      <c r="AP168" s="24"/>
      <c r="AQ168" s="24"/>
      <c r="AR168" s="24"/>
      <c r="AS168" s="24"/>
      <c r="AT168" s="24"/>
      <c r="AU168" s="24"/>
      <c r="AV168" s="24"/>
      <c r="AW168" s="24"/>
      <c r="AX168" s="24"/>
      <c r="AY168" s="24"/>
      <c r="AZ168" s="24"/>
      <c r="BA168" s="24"/>
      <c r="BB168" s="24"/>
      <c r="BC168" s="24"/>
      <c r="BD168" s="24"/>
      <c r="BE168" s="24">
        <f t="shared" si="38"/>
        <v>101.75</v>
      </c>
      <c r="BF168" s="59">
        <f>AB166</f>
        <v>45747</v>
      </c>
      <c r="BG168" s="36">
        <f>(BV158+AB214)+($C$64-$BV$158)</f>
        <v>112</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VIC</v>
      </c>
      <c r="CF168" s="14" t="str">
        <f>C57</f>
        <v>VIC</v>
      </c>
      <c r="CG168" s="14"/>
      <c r="CH168" s="25" t="s">
        <v>388</v>
      </c>
      <c r="CI168" s="14" t="s">
        <v>488</v>
      </c>
      <c r="CJ168" s="14"/>
    </row>
    <row r="169" spans="7:88">
      <c r="G169" s="12">
        <f t="shared" si="39"/>
        <v>0</v>
      </c>
      <c r="H169" s="12">
        <f t="shared" si="40"/>
        <v>0</v>
      </c>
      <c r="I169" s="12">
        <f t="shared" si="40"/>
        <v>0</v>
      </c>
      <c r="J169" s="12">
        <f t="shared" si="40"/>
        <v>0</v>
      </c>
      <c r="K169" s="12">
        <f t="shared" si="41"/>
        <v>0</v>
      </c>
      <c r="L169" s="12">
        <f t="shared" si="42"/>
        <v>0</v>
      </c>
      <c r="M169" s="12">
        <f t="shared" si="42"/>
        <v>0</v>
      </c>
      <c r="N169" s="12">
        <f t="shared" si="42"/>
        <v>0</v>
      </c>
      <c r="O169" s="12">
        <f t="shared" si="43"/>
        <v>0</v>
      </c>
      <c r="P169" s="12">
        <f t="shared" si="44"/>
        <v>0</v>
      </c>
      <c r="Q169" s="12">
        <f t="shared" si="44"/>
        <v>0</v>
      </c>
      <c r="T169" s="61"/>
      <c r="U169" s="61"/>
      <c r="V169" s="61"/>
      <c r="W169" s="53">
        <f t="shared" si="45"/>
        <v>0</v>
      </c>
      <c r="X169" s="54" t="e">
        <f t="shared" si="46"/>
        <v>#DIV/0!</v>
      </c>
      <c r="Y169" s="343">
        <f>Z169/$BH$166</f>
        <v>0</v>
      </c>
      <c r="Z169" s="54">
        <f>($C70/$BN$157)+($D70/$BN$158)</f>
        <v>0</v>
      </c>
      <c r="AA169" s="54">
        <f t="shared" si="47"/>
        <v>0</v>
      </c>
      <c r="AB169" s="54">
        <f t="shared" si="47"/>
        <v>0</v>
      </c>
      <c r="AC169" s="54">
        <f t="shared" si="47"/>
        <v>0</v>
      </c>
      <c r="AD169" s="54">
        <f>IF($E70+365&lt;$C$56,0,IF($E70&lt;$C$56,(($E70+365-$C$56)/365)*(($C70/$BN$157)+($D70/$BN$158)),IF($E70&gt;AD$166,0,IF($E70+365&lt;AD$166,($C70/$BN$157)+($D70/$BN$158),((AD$166-$E70)/365)*(($C70/$BN$157)+($D70/$BN$158))))))</f>
        <v>0</v>
      </c>
      <c r="AE169" s="54">
        <f t="shared" si="47"/>
        <v>0</v>
      </c>
      <c r="AF169" s="54">
        <f t="shared" si="47"/>
        <v>0</v>
      </c>
      <c r="AG169" s="54">
        <f t="shared" si="47"/>
        <v>0</v>
      </c>
      <c r="AH169" s="54">
        <f t="shared" si="47"/>
        <v>0</v>
      </c>
      <c r="AI169" s="54">
        <f t="shared" si="47"/>
        <v>0</v>
      </c>
      <c r="AJ169" s="54">
        <f t="shared" si="47"/>
        <v>0</v>
      </c>
      <c r="AK169" s="54">
        <f t="shared" ref="AK169" si="55">IF($E70+365&lt;$C$56,0,IF($E70&lt;$C$56,(($E70+365-$C$56)/365)*(($C70/$BN$157)+($D70/$BN$158)),IF($E70&gt;AK$166,0,IF($E70+365&lt;AK$166,($C70/$BN$157)+($D70/$BN$158),((AK$166-$E70)/365)*(($C70/$BN$157)+($D70/$BN$158))))))</f>
        <v>0</v>
      </c>
      <c r="AL169" s="24">
        <f t="shared" si="49"/>
        <v>0</v>
      </c>
      <c r="AM169" s="24">
        <f t="shared" si="50"/>
        <v>0</v>
      </c>
      <c r="AN169" s="55">
        <f t="shared" si="51"/>
        <v>250000</v>
      </c>
      <c r="AO169" s="55">
        <f t="shared" si="52"/>
        <v>0</v>
      </c>
      <c r="AP169" s="24"/>
      <c r="AQ169" s="24"/>
      <c r="AR169" s="24"/>
      <c r="AS169" s="24"/>
      <c r="AT169" s="24"/>
      <c r="AU169" s="24"/>
      <c r="AV169" s="24"/>
      <c r="AW169" s="24"/>
      <c r="AX169" s="24"/>
      <c r="AY169" s="24"/>
      <c r="AZ169" s="24"/>
      <c r="BA169" s="24"/>
      <c r="BB169" s="24"/>
      <c r="BC169" s="24"/>
      <c r="BD169" s="24"/>
      <c r="BE169" s="24">
        <f t="shared" si="38"/>
        <v>101.75</v>
      </c>
      <c r="BF169" s="59">
        <f>BF168+365</f>
        <v>46112</v>
      </c>
      <c r="BG169" s="36">
        <f>BV158+AC214+($C$64-$BV$158)</f>
        <v>112</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231.71</v>
      </c>
      <c r="CF169" s="14">
        <f>CJ177</f>
        <v>359.62</v>
      </c>
      <c r="CG169" s="14"/>
      <c r="CH169" s="25">
        <v>5</v>
      </c>
      <c r="CI169" s="14">
        <f t="shared" ref="CI169:CI177" si="56">INDEX(AN156:AR156,MATCH($CE$168,$AN$165:$AR$165,0))</f>
        <v>84.29</v>
      </c>
      <c r="CJ169" s="14">
        <f t="shared" ref="CJ169:CJ177" si="57">INDEX(AU156:AY156,MATCH($CE$168,$AN$165:$AR$165,0))</f>
        <v>139</v>
      </c>
    </row>
    <row r="170" spans="7:88">
      <c r="G170" s="12">
        <f t="shared" si="39"/>
        <v>0</v>
      </c>
      <c r="H170" s="12">
        <f t="shared" si="40"/>
        <v>0</v>
      </c>
      <c r="I170" s="12">
        <f t="shared" si="40"/>
        <v>0</v>
      </c>
      <c r="J170" s="12">
        <f t="shared" si="40"/>
        <v>0</v>
      </c>
      <c r="K170" s="12">
        <f t="shared" si="41"/>
        <v>0</v>
      </c>
      <c r="L170" s="12">
        <f t="shared" si="42"/>
        <v>0</v>
      </c>
      <c r="M170" s="12">
        <f t="shared" si="42"/>
        <v>0</v>
      </c>
      <c r="N170" s="12">
        <f t="shared" si="42"/>
        <v>0</v>
      </c>
      <c r="O170" s="12">
        <f t="shared" si="43"/>
        <v>0</v>
      </c>
      <c r="P170" s="12">
        <f t="shared" si="44"/>
        <v>0</v>
      </c>
      <c r="Q170" s="12">
        <f t="shared" si="44"/>
        <v>0</v>
      </c>
      <c r="T170" s="61"/>
      <c r="U170" s="61"/>
      <c r="V170" s="61"/>
      <c r="W170" s="53">
        <f t="shared" si="45"/>
        <v>0</v>
      </c>
      <c r="X170" s="54" t="e">
        <f t="shared" si="46"/>
        <v>#DIV/0!</v>
      </c>
      <c r="Y170" s="25">
        <f t="shared" si="53"/>
        <v>0</v>
      </c>
      <c r="Z170" s="54">
        <f t="shared" ref="Z170:Z213" si="58">($C71/$BN$157)+($D71/$BN$158)</f>
        <v>0</v>
      </c>
      <c r="AA170" s="54">
        <f t="shared" si="47"/>
        <v>0</v>
      </c>
      <c r="AB170" s="54">
        <f t="shared" si="47"/>
        <v>0</v>
      </c>
      <c r="AC170" s="54">
        <f t="shared" si="47"/>
        <v>0</v>
      </c>
      <c r="AD170" s="54">
        <f t="shared" si="47"/>
        <v>0</v>
      </c>
      <c r="AE170" s="54">
        <f t="shared" si="47"/>
        <v>0</v>
      </c>
      <c r="AF170" s="54">
        <f t="shared" si="47"/>
        <v>0</v>
      </c>
      <c r="AG170" s="54">
        <f t="shared" si="47"/>
        <v>0</v>
      </c>
      <c r="AH170" s="54">
        <f t="shared" si="47"/>
        <v>0</v>
      </c>
      <c r="AI170" s="54">
        <f t="shared" si="47"/>
        <v>0</v>
      </c>
      <c r="AJ170" s="54">
        <f t="shared" si="47"/>
        <v>0</v>
      </c>
      <c r="AK170" s="54">
        <f t="shared" ref="AK170" si="59">IF($E71+365&lt;$C$56,0,IF($E71&lt;$C$56,(($E71+365-$C$56)/365)*(($C71/$BN$157)+($D71/$BN$158)),IF($E71&gt;AK$166,0,IF($E71+365&lt;AK$166,($C71/$BN$157)+($D71/$BN$158),((AK$166-$E71)/365)*(($C71/$BN$157)+($D71/$BN$158))))))</f>
        <v>0</v>
      </c>
      <c r="AL170" s="24">
        <f t="shared" si="49"/>
        <v>0</v>
      </c>
      <c r="AM170" s="24">
        <f t="shared" si="50"/>
        <v>0</v>
      </c>
      <c r="AN170" s="55">
        <f t="shared" si="51"/>
        <v>650000</v>
      </c>
      <c r="AO170" s="55">
        <f t="shared" si="52"/>
        <v>0</v>
      </c>
      <c r="AP170" s="24"/>
      <c r="AQ170" s="24"/>
      <c r="AR170" s="24"/>
      <c r="AS170" s="24"/>
      <c r="AT170" s="24"/>
      <c r="AU170" s="24"/>
      <c r="AV170" s="24"/>
      <c r="AW170" s="24"/>
      <c r="AX170" s="24"/>
      <c r="AY170" s="24"/>
      <c r="AZ170" s="24"/>
      <c r="BA170" s="24"/>
      <c r="BB170" s="24"/>
      <c r="BC170" s="24"/>
      <c r="BD170" s="24"/>
      <c r="BE170" s="24">
        <f t="shared" si="38"/>
        <v>101.75</v>
      </c>
      <c r="BF170" s="59">
        <f>BF169+365</f>
        <v>46477</v>
      </c>
      <c r="BG170" s="36">
        <f>$BV$158+AD214+($C$64-$BV$158)</f>
        <v>112</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213.15</v>
      </c>
      <c r="CF170" s="14">
        <f>CJ176</f>
        <v>332.05</v>
      </c>
      <c r="CG170" s="14"/>
      <c r="CH170" s="25">
        <v>4.5</v>
      </c>
      <c r="CI170" s="14">
        <f t="shared" si="56"/>
        <v>101.75</v>
      </c>
      <c r="CJ170" s="14">
        <f t="shared" si="57"/>
        <v>166.57</v>
      </c>
    </row>
    <row r="171" spans="7:88">
      <c r="G171" s="12">
        <f t="shared" si="39"/>
        <v>0</v>
      </c>
      <c r="H171" s="12">
        <f t="shared" si="40"/>
        <v>0</v>
      </c>
      <c r="I171" s="12">
        <f t="shared" si="40"/>
        <v>0</v>
      </c>
      <c r="J171" s="12">
        <f t="shared" si="40"/>
        <v>0</v>
      </c>
      <c r="K171" s="12">
        <f t="shared" si="41"/>
        <v>0</v>
      </c>
      <c r="L171" s="12">
        <f t="shared" si="42"/>
        <v>0</v>
      </c>
      <c r="M171" s="12">
        <f t="shared" si="42"/>
        <v>0</v>
      </c>
      <c r="N171" s="12">
        <f t="shared" si="42"/>
        <v>0</v>
      </c>
      <c r="O171" s="12">
        <f t="shared" si="43"/>
        <v>0</v>
      </c>
      <c r="P171" s="12">
        <f t="shared" si="44"/>
        <v>0</v>
      </c>
      <c r="Q171" s="12">
        <f t="shared" si="44"/>
        <v>0</v>
      </c>
      <c r="T171" s="61"/>
      <c r="U171" s="61"/>
      <c r="V171" s="61"/>
      <c r="W171" s="53">
        <f t="shared" si="45"/>
        <v>0</v>
      </c>
      <c r="X171" s="54" t="e">
        <f t="shared" si="46"/>
        <v>#DIV/0!</v>
      </c>
      <c r="Y171" s="54">
        <f t="shared" si="53"/>
        <v>0</v>
      </c>
      <c r="Z171" s="54">
        <f>($C72/$BN$157)+($D72/$BN$158)</f>
        <v>0</v>
      </c>
      <c r="AA171" s="54">
        <f t="shared" si="47"/>
        <v>0</v>
      </c>
      <c r="AB171" s="54">
        <f t="shared" si="47"/>
        <v>0</v>
      </c>
      <c r="AC171" s="54">
        <f t="shared" si="47"/>
        <v>0</v>
      </c>
      <c r="AD171" s="54">
        <f t="shared" si="47"/>
        <v>0</v>
      </c>
      <c r="AE171" s="54">
        <f t="shared" si="47"/>
        <v>0</v>
      </c>
      <c r="AF171" s="54">
        <f>IF($E72+365&lt;$C$56,0,IF($E72&lt;$C$56,(($E72+365-$C$56)/365)*(($C72/$BN$157)+($D72/$BN$158)),IF($E72&gt;AF$166,0,IF($E72+365&lt;AF$166,($C72/$BN$157)+($D72/$BN$158),((AF$166-$E72)/365)*(($C72/$BN$157)+($D72/$BN$158))))))</f>
        <v>0</v>
      </c>
      <c r="AG171" s="54">
        <f t="shared" si="47"/>
        <v>0</v>
      </c>
      <c r="AH171" s="54">
        <f t="shared" si="47"/>
        <v>0</v>
      </c>
      <c r="AI171" s="54">
        <f t="shared" si="47"/>
        <v>0</v>
      </c>
      <c r="AJ171" s="54">
        <f t="shared" si="47"/>
        <v>0</v>
      </c>
      <c r="AK171" s="54">
        <f t="shared" ref="AK171" si="60">IF($E72+365&lt;$C$56,0,IF($E72&lt;$C$56,(($E72+365-$C$56)/365)*(($C72/$BN$157)+($D72/$BN$158)),IF($E72&gt;AK$166,0,IF($E72+365&lt;AK$166,($C72/$BN$157)+($D72/$BN$158),((AK$166-$E72)/365)*(($C72/$BN$157)+($D72/$BN$158))))))</f>
        <v>0</v>
      </c>
      <c r="AL171" s="24">
        <f t="shared" si="49"/>
        <v>0</v>
      </c>
      <c r="AM171" s="24">
        <f t="shared" si="50"/>
        <v>0</v>
      </c>
      <c r="AN171" s="55">
        <f t="shared" si="51"/>
        <v>650000</v>
      </c>
      <c r="AO171" s="55">
        <f t="shared" si="52"/>
        <v>0</v>
      </c>
      <c r="AP171" s="24"/>
      <c r="AQ171" s="24"/>
      <c r="AR171" s="24"/>
      <c r="AS171" s="24"/>
      <c r="AT171" s="24"/>
      <c r="AU171" s="24"/>
      <c r="AV171" s="24"/>
      <c r="AW171" s="24"/>
      <c r="AX171" s="24"/>
      <c r="AY171" s="24"/>
      <c r="AZ171" s="24"/>
      <c r="BA171" s="24"/>
      <c r="BB171" s="24"/>
      <c r="BC171" s="24"/>
      <c r="BD171" s="24"/>
      <c r="BE171" s="24">
        <f t="shared" si="38"/>
        <v>101.75</v>
      </c>
      <c r="BF171" s="59">
        <f t="shared" ref="BF171:BF176" si="61">BF170+365</f>
        <v>46842</v>
      </c>
      <c r="BG171" s="36">
        <f>$BV$158+AE214+($C$64-$BV$158)</f>
        <v>112</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194.58</v>
      </c>
      <c r="CF171" s="14">
        <f>CJ175</f>
        <v>304.47000000000003</v>
      </c>
      <c r="CG171" s="14"/>
      <c r="CH171" s="25">
        <v>4</v>
      </c>
      <c r="CI171" s="14">
        <f t="shared" si="56"/>
        <v>120.31</v>
      </c>
      <c r="CJ171" s="14">
        <f t="shared" si="57"/>
        <v>194.15</v>
      </c>
    </row>
    <row r="172" spans="7:88">
      <c r="G172" s="12">
        <f t="shared" si="39"/>
        <v>0</v>
      </c>
      <c r="H172" s="12">
        <f t="shared" si="40"/>
        <v>0</v>
      </c>
      <c r="I172" s="12">
        <f t="shared" si="40"/>
        <v>0</v>
      </c>
      <c r="J172" s="12">
        <f t="shared" si="40"/>
        <v>0</v>
      </c>
      <c r="K172" s="12">
        <f t="shared" si="41"/>
        <v>0</v>
      </c>
      <c r="L172" s="12">
        <f t="shared" si="42"/>
        <v>0</v>
      </c>
      <c r="M172" s="12">
        <f t="shared" si="42"/>
        <v>0</v>
      </c>
      <c r="N172" s="12">
        <f t="shared" si="42"/>
        <v>0</v>
      </c>
      <c r="O172" s="12">
        <f t="shared" si="43"/>
        <v>0</v>
      </c>
      <c r="P172" s="12">
        <f t="shared" si="44"/>
        <v>0</v>
      </c>
      <c r="Q172" s="12">
        <f t="shared" si="44"/>
        <v>0</v>
      </c>
      <c r="T172" s="61"/>
      <c r="U172" s="61"/>
      <c r="V172" s="61"/>
      <c r="W172" s="53">
        <f t="shared" si="45"/>
        <v>0</v>
      </c>
      <c r="X172" s="54" t="e">
        <f t="shared" si="46"/>
        <v>#DIV/0!</v>
      </c>
      <c r="Y172" s="25">
        <f>Z172/$BH$166</f>
        <v>0</v>
      </c>
      <c r="Z172" s="54">
        <f t="shared" si="58"/>
        <v>0</v>
      </c>
      <c r="AA172" s="54">
        <f t="shared" si="47"/>
        <v>0</v>
      </c>
      <c r="AB172" s="54">
        <f t="shared" si="47"/>
        <v>0</v>
      </c>
      <c r="AC172" s="54">
        <f t="shared" si="47"/>
        <v>0</v>
      </c>
      <c r="AD172" s="54">
        <f t="shared" si="47"/>
        <v>0</v>
      </c>
      <c r="AE172" s="54">
        <f t="shared" si="47"/>
        <v>0</v>
      </c>
      <c r="AF172" s="54">
        <f t="shared" si="47"/>
        <v>0</v>
      </c>
      <c r="AG172" s="54">
        <f t="shared" si="47"/>
        <v>0</v>
      </c>
      <c r="AH172" s="54">
        <f t="shared" si="47"/>
        <v>0</v>
      </c>
      <c r="AI172" s="54">
        <f t="shared" si="47"/>
        <v>0</v>
      </c>
      <c r="AJ172" s="54">
        <f t="shared" si="47"/>
        <v>0</v>
      </c>
      <c r="AK172" s="54">
        <f t="shared" ref="AK172" si="62">IF($E73+365&lt;$C$56,0,IF($E73&lt;$C$56,(($E73+365-$C$56)/365)*(($C73/$BN$157)+($D73/$BN$158)),IF($E73&gt;AK$166,0,IF($E73+365&lt;AK$166,($C73/$BN$157)+($D73/$BN$158),((AK$166-$E73)/365)*(($C73/$BN$157)+($D73/$BN$158))))))</f>
        <v>0</v>
      </c>
      <c r="AL172" s="24">
        <f t="shared" si="49"/>
        <v>0</v>
      </c>
      <c r="AM172" s="24">
        <f t="shared" si="50"/>
        <v>0</v>
      </c>
      <c r="AN172" s="55">
        <f t="shared" si="51"/>
        <v>237500</v>
      </c>
      <c r="AO172" s="55">
        <f t="shared" si="52"/>
        <v>0</v>
      </c>
      <c r="AP172" s="24"/>
      <c r="AQ172" s="24"/>
      <c r="AR172" s="24"/>
      <c r="AS172" s="24"/>
      <c r="AT172" s="24"/>
      <c r="AU172" s="24"/>
      <c r="AV172" s="24"/>
      <c r="AW172" s="24"/>
      <c r="AX172" s="24"/>
      <c r="AY172" s="24"/>
      <c r="AZ172" s="24"/>
      <c r="BA172" s="24"/>
      <c r="BB172" s="24"/>
      <c r="BC172" s="24"/>
      <c r="BD172" s="24"/>
      <c r="BE172" s="24">
        <f t="shared" si="38"/>
        <v>101.75</v>
      </c>
      <c r="BF172" s="59">
        <f t="shared" si="61"/>
        <v>47207</v>
      </c>
      <c r="BG172" s="36">
        <f>$BV$158+AF214+($C$64-$BV$158)</f>
        <v>112</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176.01</v>
      </c>
      <c r="CF172" s="14">
        <f>CJ174</f>
        <v>276.89</v>
      </c>
      <c r="CG172" s="14"/>
      <c r="CH172" s="25">
        <v>3.5</v>
      </c>
      <c r="CI172" s="14">
        <f t="shared" si="56"/>
        <v>138.88</v>
      </c>
      <c r="CJ172" s="14">
        <f t="shared" si="57"/>
        <v>221.73</v>
      </c>
    </row>
    <row r="173" spans="7:88">
      <c r="G173" s="12">
        <f t="shared" si="39"/>
        <v>0</v>
      </c>
      <c r="H173" s="12">
        <f t="shared" si="40"/>
        <v>0</v>
      </c>
      <c r="I173" s="12">
        <f t="shared" si="40"/>
        <v>0</v>
      </c>
      <c r="J173" s="12">
        <f t="shared" si="40"/>
        <v>0</v>
      </c>
      <c r="K173" s="12">
        <f t="shared" si="41"/>
        <v>0</v>
      </c>
      <c r="L173" s="12">
        <f t="shared" si="42"/>
        <v>0</v>
      </c>
      <c r="M173" s="12">
        <f t="shared" si="42"/>
        <v>0</v>
      </c>
      <c r="N173" s="12">
        <f t="shared" si="42"/>
        <v>0</v>
      </c>
      <c r="O173" s="12">
        <f t="shared" si="43"/>
        <v>0</v>
      </c>
      <c r="P173" s="12">
        <f t="shared" si="44"/>
        <v>0</v>
      </c>
      <c r="Q173" s="12">
        <f t="shared" si="44"/>
        <v>0</v>
      </c>
      <c r="T173" s="61"/>
      <c r="U173" s="61"/>
      <c r="V173" s="61"/>
      <c r="W173" s="53">
        <f t="shared" si="45"/>
        <v>0</v>
      </c>
      <c r="X173" s="54" t="e">
        <f t="shared" si="46"/>
        <v>#DIV/0!</v>
      </c>
      <c r="Y173" s="25">
        <f t="shared" si="53"/>
        <v>0</v>
      </c>
      <c r="Z173" s="54">
        <f t="shared" si="58"/>
        <v>0</v>
      </c>
      <c r="AA173" s="54">
        <f t="shared" si="47"/>
        <v>0</v>
      </c>
      <c r="AB173" s="54">
        <f t="shared" si="47"/>
        <v>0</v>
      </c>
      <c r="AC173" s="54">
        <f t="shared" si="47"/>
        <v>0</v>
      </c>
      <c r="AD173" s="54">
        <f t="shared" si="47"/>
        <v>0</v>
      </c>
      <c r="AE173" s="54">
        <f t="shared" si="47"/>
        <v>0</v>
      </c>
      <c r="AF173" s="54">
        <f t="shared" si="47"/>
        <v>0</v>
      </c>
      <c r="AG173" s="54">
        <f t="shared" si="47"/>
        <v>0</v>
      </c>
      <c r="AH173" s="54">
        <f t="shared" si="47"/>
        <v>0</v>
      </c>
      <c r="AI173" s="54">
        <f t="shared" si="47"/>
        <v>0</v>
      </c>
      <c r="AJ173" s="54">
        <f t="shared" si="47"/>
        <v>0</v>
      </c>
      <c r="AK173" s="54">
        <f t="shared" ref="AK173" si="63">IF($E74+365&lt;$C$56,0,IF($E74&lt;$C$56,(($E74+365-$C$56)/365)*(($C74/$BN$157)+($D74/$BN$158)),IF($E74&gt;AK$166,0,IF($E74+365&lt;AK$166,($C74/$BN$157)+($D74/$BN$158),((AK$166-$E74)/365)*(($C74/$BN$157)+($D74/$BN$158))))))</f>
        <v>0</v>
      </c>
      <c r="AL173" s="24">
        <f t="shared" si="49"/>
        <v>0</v>
      </c>
      <c r="AM173" s="24">
        <f t="shared" si="50"/>
        <v>0</v>
      </c>
      <c r="AN173" s="55">
        <f t="shared" si="51"/>
        <v>300000</v>
      </c>
      <c r="AO173" s="55">
        <f t="shared" si="52"/>
        <v>0</v>
      </c>
      <c r="AP173" s="24"/>
      <c r="AQ173" s="24"/>
      <c r="AR173" s="24"/>
      <c r="AS173" s="24"/>
      <c r="AT173" s="24"/>
      <c r="AU173" s="24"/>
      <c r="AV173" s="24"/>
      <c r="AW173" s="24"/>
      <c r="AX173" s="24"/>
      <c r="AY173" s="24"/>
      <c r="AZ173" s="24"/>
      <c r="BA173" s="24"/>
      <c r="BB173" s="24"/>
      <c r="BC173" s="24"/>
      <c r="BD173" s="24"/>
      <c r="BE173" s="24">
        <f t="shared" si="38"/>
        <v>101.75</v>
      </c>
      <c r="BF173" s="59">
        <f t="shared" si="61"/>
        <v>47572</v>
      </c>
      <c r="BG173" s="36">
        <f>$BV$158+AG214+($C$64-$BV$158)</f>
        <v>112</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157.44999999999999</v>
      </c>
      <c r="CF173" s="14">
        <f>CJ173</f>
        <v>249.31</v>
      </c>
      <c r="CG173" s="14"/>
      <c r="CH173" s="25">
        <v>3</v>
      </c>
      <c r="CI173" s="14">
        <f t="shared" si="56"/>
        <v>157.44999999999999</v>
      </c>
      <c r="CJ173" s="14">
        <f t="shared" si="57"/>
        <v>249.31</v>
      </c>
    </row>
    <row r="174" spans="7:88">
      <c r="G174" s="12">
        <f t="shared" si="39"/>
        <v>0</v>
      </c>
      <c r="H174" s="12">
        <f t="shared" si="40"/>
        <v>0</v>
      </c>
      <c r="I174" s="12">
        <f t="shared" si="40"/>
        <v>0</v>
      </c>
      <c r="J174" s="12">
        <f t="shared" si="40"/>
        <v>0</v>
      </c>
      <c r="K174" s="12">
        <f t="shared" si="41"/>
        <v>0</v>
      </c>
      <c r="L174" s="12">
        <f t="shared" si="42"/>
        <v>0</v>
      </c>
      <c r="M174" s="12">
        <f t="shared" si="42"/>
        <v>0</v>
      </c>
      <c r="N174" s="12">
        <f t="shared" si="42"/>
        <v>0</v>
      </c>
      <c r="O174" s="12">
        <f t="shared" si="43"/>
        <v>0</v>
      </c>
      <c r="P174" s="12">
        <f t="shared" si="44"/>
        <v>0</v>
      </c>
      <c r="Q174" s="12">
        <f t="shared" si="44"/>
        <v>0</v>
      </c>
      <c r="T174" s="61"/>
      <c r="U174" s="61"/>
      <c r="V174" s="61"/>
      <c r="W174" s="53">
        <f t="shared" si="45"/>
        <v>0</v>
      </c>
      <c r="X174" s="54" t="e">
        <f t="shared" si="46"/>
        <v>#DIV/0!</v>
      </c>
      <c r="Y174" s="25">
        <f t="shared" si="53"/>
        <v>0</v>
      </c>
      <c r="Z174" s="54">
        <f t="shared" si="58"/>
        <v>0</v>
      </c>
      <c r="AA174" s="54">
        <f t="shared" si="47"/>
        <v>0</v>
      </c>
      <c r="AB174" s="54">
        <f t="shared" si="47"/>
        <v>0</v>
      </c>
      <c r="AC174" s="54">
        <f t="shared" si="47"/>
        <v>0</v>
      </c>
      <c r="AD174" s="54">
        <f t="shared" si="47"/>
        <v>0</v>
      </c>
      <c r="AE174" s="54">
        <f t="shared" si="47"/>
        <v>0</v>
      </c>
      <c r="AF174" s="54">
        <f t="shared" si="47"/>
        <v>0</v>
      </c>
      <c r="AG174" s="54">
        <f t="shared" si="47"/>
        <v>0</v>
      </c>
      <c r="AH174" s="54">
        <f t="shared" si="47"/>
        <v>0</v>
      </c>
      <c r="AI174" s="54">
        <f t="shared" si="47"/>
        <v>0</v>
      </c>
      <c r="AJ174" s="54">
        <f t="shared" si="47"/>
        <v>0</v>
      </c>
      <c r="AK174" s="54">
        <f t="shared" ref="AK174" si="64">IF($E75+365&lt;$C$56,0,IF($E75&lt;$C$56,(($E75+365-$C$56)/365)*(($C75/$BN$157)+($D75/$BN$158)),IF($E75&gt;AK$166,0,IF($E75+365&lt;AK$166,($C75/$BN$157)+($D75/$BN$158),((AK$166-$E75)/365)*(($C75/$BN$157)+($D75/$BN$158))))))</f>
        <v>0</v>
      </c>
      <c r="AL174" s="24">
        <f t="shared" si="49"/>
        <v>0</v>
      </c>
      <c r="AM174" s="24">
        <f t="shared" si="50"/>
        <v>0</v>
      </c>
      <c r="AN174" s="55">
        <f t="shared" si="51"/>
        <v>632500</v>
      </c>
      <c r="AO174" s="55">
        <f t="shared" si="52"/>
        <v>0</v>
      </c>
      <c r="AP174" s="24"/>
      <c r="AQ174" s="24"/>
      <c r="AR174" s="24"/>
      <c r="AS174" s="24"/>
      <c r="AT174" s="24"/>
      <c r="AU174" s="24"/>
      <c r="AV174" s="24"/>
      <c r="AW174" s="24"/>
      <c r="AX174" s="24"/>
      <c r="AY174" s="24"/>
      <c r="AZ174" s="24"/>
      <c r="BA174" s="24"/>
      <c r="BB174" s="24"/>
      <c r="BC174" s="24"/>
      <c r="BD174" s="24"/>
      <c r="BE174" s="24">
        <f t="shared" si="38"/>
        <v>101.75</v>
      </c>
      <c r="BF174" s="59">
        <f t="shared" si="61"/>
        <v>47937</v>
      </c>
      <c r="BG174" s="36">
        <f>$BV$158+AH214+($C$64-$BV$158)</f>
        <v>112</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138.88</v>
      </c>
      <c r="CF174" s="14">
        <f>CJ172</f>
        <v>221.73</v>
      </c>
      <c r="CG174" s="14"/>
      <c r="CH174" s="25">
        <v>2.5</v>
      </c>
      <c r="CI174" s="14">
        <f t="shared" si="56"/>
        <v>176.01</v>
      </c>
      <c r="CJ174" s="14">
        <f t="shared" si="57"/>
        <v>276.89</v>
      </c>
    </row>
    <row r="175" spans="7:88">
      <c r="G175" s="12">
        <f t="shared" si="39"/>
        <v>0</v>
      </c>
      <c r="H175" s="12">
        <f t="shared" si="40"/>
        <v>0</v>
      </c>
      <c r="I175" s="12">
        <f t="shared" si="40"/>
        <v>0</v>
      </c>
      <c r="J175" s="12">
        <f t="shared" si="40"/>
        <v>0</v>
      </c>
      <c r="K175" s="12">
        <f t="shared" si="41"/>
        <v>0</v>
      </c>
      <c r="L175" s="12">
        <f t="shared" si="42"/>
        <v>0</v>
      </c>
      <c r="M175" s="12">
        <f t="shared" si="42"/>
        <v>0</v>
      </c>
      <c r="N175" s="12">
        <f t="shared" si="42"/>
        <v>0</v>
      </c>
      <c r="O175" s="12">
        <f t="shared" si="43"/>
        <v>0</v>
      </c>
      <c r="P175" s="12">
        <f t="shared" si="44"/>
        <v>0</v>
      </c>
      <c r="Q175" s="12">
        <f t="shared" si="44"/>
        <v>0</v>
      </c>
      <c r="T175" s="61"/>
      <c r="U175" s="61"/>
      <c r="V175" s="61"/>
      <c r="W175" s="53">
        <f t="shared" si="45"/>
        <v>0</v>
      </c>
      <c r="X175" s="54" t="e">
        <f t="shared" si="46"/>
        <v>#DIV/0!</v>
      </c>
      <c r="Y175" s="25">
        <f t="shared" si="53"/>
        <v>0</v>
      </c>
      <c r="Z175" s="54">
        <f t="shared" si="58"/>
        <v>0</v>
      </c>
      <c r="AA175" s="54">
        <f t="shared" si="47"/>
        <v>0</v>
      </c>
      <c r="AB175" s="54">
        <f t="shared" si="47"/>
        <v>0</v>
      </c>
      <c r="AC175" s="54">
        <f t="shared" si="47"/>
        <v>0</v>
      </c>
      <c r="AD175" s="54">
        <f t="shared" si="47"/>
        <v>0</v>
      </c>
      <c r="AE175" s="54">
        <f t="shared" si="47"/>
        <v>0</v>
      </c>
      <c r="AF175" s="54">
        <f t="shared" si="47"/>
        <v>0</v>
      </c>
      <c r="AG175" s="54">
        <f t="shared" si="47"/>
        <v>0</v>
      </c>
      <c r="AH175" s="54">
        <f t="shared" si="47"/>
        <v>0</v>
      </c>
      <c r="AI175" s="54">
        <f t="shared" si="47"/>
        <v>0</v>
      </c>
      <c r="AJ175" s="54">
        <f t="shared" si="47"/>
        <v>0</v>
      </c>
      <c r="AK175" s="54">
        <f t="shared" ref="AK175" si="65">IF($E76+365&lt;$C$56,0,IF($E76&lt;$C$56,(($E76+365-$C$56)/365)*(($C76/$BN$157)+($D76/$BN$158)),IF($E76&gt;AK$166,0,IF($E76+365&lt;AK$166,($C76/$BN$157)+($D76/$BN$158),((AK$166-$E76)/365)*(($C76/$BN$157)+($D76/$BN$158))))))</f>
        <v>0</v>
      </c>
      <c r="AL175" s="24">
        <f t="shared" si="49"/>
        <v>0</v>
      </c>
      <c r="AM175" s="24">
        <f t="shared" si="50"/>
        <v>0</v>
      </c>
      <c r="AN175" s="55">
        <f t="shared" si="51"/>
        <v>0</v>
      </c>
      <c r="AO175" s="55">
        <f t="shared" si="52"/>
        <v>0</v>
      </c>
      <c r="AP175" s="24"/>
      <c r="AQ175" s="24"/>
      <c r="AR175" s="24"/>
      <c r="AS175" s="24"/>
      <c r="AT175" s="24"/>
      <c r="AU175" s="24"/>
      <c r="AV175" s="24"/>
      <c r="AW175" s="24"/>
      <c r="AX175" s="24"/>
      <c r="AY175" s="24"/>
      <c r="AZ175" s="24"/>
      <c r="BA175" s="24"/>
      <c r="BB175" s="24"/>
      <c r="BC175" s="24"/>
      <c r="BD175" s="24"/>
      <c r="BE175" s="24">
        <f t="shared" si="38"/>
        <v>101.75</v>
      </c>
      <c r="BF175" s="59">
        <f t="shared" si="61"/>
        <v>48302</v>
      </c>
      <c r="BG175" s="36">
        <f>$BV$158+AI214+($C$64-$BV$158)</f>
        <v>112</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120.31</v>
      </c>
      <c r="CF175" s="14">
        <f>CJ171</f>
        <v>194.15</v>
      </c>
      <c r="CG175" s="14"/>
      <c r="CH175" s="25">
        <v>2</v>
      </c>
      <c r="CI175" s="14">
        <f t="shared" si="56"/>
        <v>194.58</v>
      </c>
      <c r="CJ175" s="14">
        <f t="shared" si="57"/>
        <v>304.47000000000003</v>
      </c>
    </row>
    <row r="176" spans="7:88">
      <c r="G176" s="12">
        <f t="shared" si="39"/>
        <v>0</v>
      </c>
      <c r="H176" s="12">
        <f t="shared" si="40"/>
        <v>0</v>
      </c>
      <c r="I176" s="12">
        <f t="shared" si="40"/>
        <v>0</v>
      </c>
      <c r="J176" s="12">
        <f t="shared" si="40"/>
        <v>0</v>
      </c>
      <c r="K176" s="12">
        <f t="shared" si="41"/>
        <v>0</v>
      </c>
      <c r="L176" s="12">
        <f t="shared" si="42"/>
        <v>0</v>
      </c>
      <c r="M176" s="12">
        <f t="shared" si="42"/>
        <v>0</v>
      </c>
      <c r="N176" s="12">
        <f t="shared" si="42"/>
        <v>0</v>
      </c>
      <c r="O176" s="12">
        <f t="shared" si="43"/>
        <v>0</v>
      </c>
      <c r="P176" s="12">
        <f t="shared" si="44"/>
        <v>0</v>
      </c>
      <c r="Q176" s="12">
        <f t="shared" si="44"/>
        <v>0</v>
      </c>
      <c r="T176" s="61"/>
      <c r="U176" s="61"/>
      <c r="V176" s="61"/>
      <c r="W176" s="53">
        <f t="shared" si="45"/>
        <v>0</v>
      </c>
      <c r="X176" s="54" t="e">
        <f t="shared" si="46"/>
        <v>#DIV/0!</v>
      </c>
      <c r="Y176" s="25">
        <f t="shared" si="53"/>
        <v>0</v>
      </c>
      <c r="Z176" s="54">
        <f t="shared" si="58"/>
        <v>0</v>
      </c>
      <c r="AA176" s="54">
        <f t="shared" si="47"/>
        <v>0</v>
      </c>
      <c r="AB176" s="54">
        <f t="shared" si="47"/>
        <v>0</v>
      </c>
      <c r="AC176" s="54">
        <f t="shared" si="47"/>
        <v>0</v>
      </c>
      <c r="AD176" s="54">
        <f t="shared" si="47"/>
        <v>0</v>
      </c>
      <c r="AE176" s="54">
        <f t="shared" si="47"/>
        <v>0</v>
      </c>
      <c r="AF176" s="54">
        <f t="shared" si="47"/>
        <v>0</v>
      </c>
      <c r="AG176" s="54">
        <f t="shared" si="47"/>
        <v>0</v>
      </c>
      <c r="AH176" s="54">
        <f t="shared" si="47"/>
        <v>0</v>
      </c>
      <c r="AI176" s="54">
        <f t="shared" si="47"/>
        <v>0</v>
      </c>
      <c r="AJ176" s="54">
        <f t="shared" si="47"/>
        <v>0</v>
      </c>
      <c r="AK176" s="54">
        <f t="shared" ref="AK176" si="66">IF($E77+365&lt;$C$56,0,IF($E77&lt;$C$56,(($E77+365-$C$56)/365)*(($C77/$BN$157)+($D77/$BN$158)),IF($E77&gt;AK$166,0,IF($E77+365&lt;AK$166,($C77/$BN$157)+($D77/$BN$158),((AK$166-$E77)/365)*(($C77/$BN$157)+($D77/$BN$158))))))</f>
        <v>0</v>
      </c>
      <c r="AL176" s="24">
        <f t="shared" si="49"/>
        <v>0</v>
      </c>
      <c r="AM176" s="24">
        <f t="shared" si="50"/>
        <v>0</v>
      </c>
      <c r="AN176" s="55">
        <f t="shared" si="51"/>
        <v>0</v>
      </c>
      <c r="AO176" s="55">
        <f t="shared" si="52"/>
        <v>0</v>
      </c>
      <c r="AP176" s="24"/>
      <c r="AQ176" s="24"/>
      <c r="AR176" s="24"/>
      <c r="AS176" s="24"/>
      <c r="AT176" s="24"/>
      <c r="AU176" s="24"/>
      <c r="AV176" s="24"/>
      <c r="AW176" s="24"/>
      <c r="AX176" s="24"/>
      <c r="AY176" s="24"/>
      <c r="AZ176" s="24"/>
      <c r="BA176" s="24"/>
      <c r="BB176" s="24"/>
      <c r="BC176" s="24"/>
      <c r="BD176" s="24"/>
      <c r="BE176" s="24">
        <f t="shared" si="38"/>
        <v>101.75</v>
      </c>
      <c r="BF176" s="59">
        <f t="shared" si="61"/>
        <v>48667</v>
      </c>
      <c r="BG176" s="36">
        <f>$BV$158+AJ214+($C$64-$BV$158)</f>
        <v>112</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101.75</v>
      </c>
      <c r="CF176" s="14">
        <f>CJ170</f>
        <v>166.57</v>
      </c>
      <c r="CG176" s="14"/>
      <c r="CH176" s="25">
        <v>1.5</v>
      </c>
      <c r="CI176" s="14">
        <f t="shared" si="56"/>
        <v>213.15</v>
      </c>
      <c r="CJ176" s="14">
        <f t="shared" si="57"/>
        <v>332.05</v>
      </c>
    </row>
    <row r="177" spans="7:88">
      <c r="G177" s="12">
        <f t="shared" si="39"/>
        <v>0</v>
      </c>
      <c r="H177" s="12">
        <f t="shared" si="40"/>
        <v>0</v>
      </c>
      <c r="I177" s="12">
        <f t="shared" si="40"/>
        <v>0</v>
      </c>
      <c r="J177" s="12">
        <f t="shared" si="40"/>
        <v>0</v>
      </c>
      <c r="K177" s="12">
        <f t="shared" si="41"/>
        <v>0</v>
      </c>
      <c r="L177" s="12">
        <f t="shared" si="42"/>
        <v>0</v>
      </c>
      <c r="M177" s="12">
        <f t="shared" si="42"/>
        <v>0</v>
      </c>
      <c r="N177" s="12">
        <f t="shared" si="42"/>
        <v>0</v>
      </c>
      <c r="O177" s="12">
        <f t="shared" si="43"/>
        <v>0</v>
      </c>
      <c r="P177" s="12">
        <f t="shared" si="44"/>
        <v>0</v>
      </c>
      <c r="Q177" s="12">
        <f t="shared" si="44"/>
        <v>0</v>
      </c>
      <c r="T177" s="61"/>
      <c r="U177" s="61"/>
      <c r="V177" s="61"/>
      <c r="W177" s="53">
        <f t="shared" si="45"/>
        <v>0</v>
      </c>
      <c r="X177" s="54" t="e">
        <f t="shared" si="46"/>
        <v>#DIV/0!</v>
      </c>
      <c r="Y177" s="25">
        <f t="shared" si="53"/>
        <v>0</v>
      </c>
      <c r="Z177" s="54">
        <f t="shared" si="58"/>
        <v>0</v>
      </c>
      <c r="AA177" s="54">
        <f t="shared" si="47"/>
        <v>0</v>
      </c>
      <c r="AB177" s="54">
        <f t="shared" si="47"/>
        <v>0</v>
      </c>
      <c r="AC177" s="54">
        <f t="shared" si="47"/>
        <v>0</v>
      </c>
      <c r="AD177" s="54">
        <f t="shared" si="47"/>
        <v>0</v>
      </c>
      <c r="AE177" s="54">
        <f t="shared" si="47"/>
        <v>0</v>
      </c>
      <c r="AF177" s="54">
        <f t="shared" si="47"/>
        <v>0</v>
      </c>
      <c r="AG177" s="54">
        <f t="shared" si="47"/>
        <v>0</v>
      </c>
      <c r="AH177" s="54">
        <f t="shared" si="47"/>
        <v>0</v>
      </c>
      <c r="AI177" s="54">
        <f t="shared" si="47"/>
        <v>0</v>
      </c>
      <c r="AJ177" s="54">
        <f t="shared" si="47"/>
        <v>0</v>
      </c>
      <c r="AK177" s="54">
        <f t="shared" ref="AK177" si="67">IF($E78+365&lt;$C$56,0,IF($E78&lt;$C$56,(($E78+365-$C$56)/365)*(($C78/$BN$157)+($D78/$BN$158)),IF($E78&gt;AK$166,0,IF($E78+365&lt;AK$166,($C78/$BN$157)+($D78/$BN$158),((AK$166-$E78)/365)*(($C78/$BN$157)+($D78/$BN$158))))))</f>
        <v>0</v>
      </c>
      <c r="AL177" s="24">
        <f t="shared" si="49"/>
        <v>0</v>
      </c>
      <c r="AM177" s="24">
        <f t="shared" si="50"/>
        <v>0</v>
      </c>
      <c r="AN177" s="55">
        <f t="shared" si="51"/>
        <v>0</v>
      </c>
      <c r="AO177" s="55">
        <f t="shared" si="52"/>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84.29</v>
      </c>
      <c r="CF177" s="14">
        <f>CJ169</f>
        <v>139</v>
      </c>
      <c r="CG177" s="14"/>
      <c r="CH177" s="25">
        <v>1</v>
      </c>
      <c r="CI177" s="14">
        <f t="shared" si="56"/>
        <v>231.71</v>
      </c>
      <c r="CJ177" s="14">
        <f t="shared" si="57"/>
        <v>359.62</v>
      </c>
    </row>
    <row r="178" spans="7:88">
      <c r="G178" s="12">
        <f t="shared" si="39"/>
        <v>0</v>
      </c>
      <c r="H178" s="12">
        <f t="shared" si="40"/>
        <v>0</v>
      </c>
      <c r="I178" s="12">
        <f t="shared" si="40"/>
        <v>0</v>
      </c>
      <c r="J178" s="12">
        <f t="shared" si="40"/>
        <v>0</v>
      </c>
      <c r="K178" s="12">
        <f t="shared" si="41"/>
        <v>0</v>
      </c>
      <c r="L178" s="12">
        <f t="shared" si="42"/>
        <v>0</v>
      </c>
      <c r="M178" s="12">
        <f t="shared" si="42"/>
        <v>0</v>
      </c>
      <c r="N178" s="12">
        <f t="shared" si="42"/>
        <v>0</v>
      </c>
      <c r="O178" s="12">
        <f t="shared" si="43"/>
        <v>0</v>
      </c>
      <c r="P178" s="12">
        <f t="shared" si="44"/>
        <v>0</v>
      </c>
      <c r="Q178" s="12">
        <f t="shared" si="44"/>
        <v>0</v>
      </c>
      <c r="T178" s="61"/>
      <c r="U178" s="61"/>
      <c r="V178" s="61"/>
      <c r="W178" s="53">
        <f t="shared" si="45"/>
        <v>0</v>
      </c>
      <c r="X178" s="54" t="e">
        <f t="shared" si="46"/>
        <v>#DIV/0!</v>
      </c>
      <c r="Y178" s="25">
        <f t="shared" si="53"/>
        <v>0</v>
      </c>
      <c r="Z178" s="54">
        <f t="shared" si="58"/>
        <v>0</v>
      </c>
      <c r="AA178" s="54">
        <f t="shared" si="47"/>
        <v>0</v>
      </c>
      <c r="AB178" s="54">
        <f t="shared" si="47"/>
        <v>0</v>
      </c>
      <c r="AC178" s="54">
        <f>IF($E79+365&lt;$C$56,0,IF($E79&lt;$C$56,(($E79+365-$C$56)/365)*(($C79/$BN$157)+($D79/$BN$158)),IF($E79&gt;AC$166,0,IF($E79+365&lt;AC$166,($C79/$BN$157)+($D79/$BN$158),((AC$166-$E79)/365)*(($C79/$BN$157)+($D79/$BN$158))))))</f>
        <v>0</v>
      </c>
      <c r="AD178" s="54">
        <f t="shared" si="47"/>
        <v>0</v>
      </c>
      <c r="AE178" s="54">
        <f t="shared" si="47"/>
        <v>0</v>
      </c>
      <c r="AF178" s="54">
        <f t="shared" si="47"/>
        <v>0</v>
      </c>
      <c r="AG178" s="54">
        <f t="shared" si="47"/>
        <v>0</v>
      </c>
      <c r="AH178" s="54">
        <f t="shared" si="47"/>
        <v>0</v>
      </c>
      <c r="AI178" s="54">
        <f t="shared" si="47"/>
        <v>0</v>
      </c>
      <c r="AJ178" s="54">
        <f t="shared" si="47"/>
        <v>0</v>
      </c>
      <c r="AK178" s="54">
        <f t="shared" ref="AK178" si="68">IF($E79+365&lt;$C$56,0,IF($E79&lt;$C$56,(($E79+365-$C$56)/365)*(($C79/$BN$157)+($D79/$BN$158)),IF($E79&gt;AK$166,0,IF($E79+365&lt;AK$166,($C79/$BN$157)+($D79/$BN$158),((AK$166-$E79)/365)*(($C79/$BN$157)+($D79/$BN$158))))))</f>
        <v>0</v>
      </c>
      <c r="AL178" s="24">
        <f t="shared" si="49"/>
        <v>0</v>
      </c>
      <c r="AM178" s="24">
        <f t="shared" si="50"/>
        <v>0</v>
      </c>
      <c r="AN178" s="55">
        <f t="shared" si="51"/>
        <v>0</v>
      </c>
      <c r="AO178" s="55">
        <f t="shared" si="52"/>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39"/>
        <v>0</v>
      </c>
      <c r="H179" s="12">
        <f t="shared" si="40"/>
        <v>0</v>
      </c>
      <c r="I179" s="12">
        <f t="shared" si="40"/>
        <v>0</v>
      </c>
      <c r="J179" s="12">
        <f t="shared" si="40"/>
        <v>0</v>
      </c>
      <c r="K179" s="12">
        <f t="shared" si="41"/>
        <v>0</v>
      </c>
      <c r="L179" s="12">
        <f t="shared" si="42"/>
        <v>0</v>
      </c>
      <c r="M179" s="12">
        <f t="shared" si="42"/>
        <v>0</v>
      </c>
      <c r="N179" s="12">
        <f t="shared" si="42"/>
        <v>0</v>
      </c>
      <c r="O179" s="12">
        <f t="shared" si="43"/>
        <v>0</v>
      </c>
      <c r="P179" s="12">
        <f t="shared" si="44"/>
        <v>0</v>
      </c>
      <c r="Q179" s="12">
        <f t="shared" si="44"/>
        <v>0</v>
      </c>
      <c r="T179" s="61"/>
      <c r="U179" s="61"/>
      <c r="V179" s="61"/>
      <c r="W179" s="53">
        <f t="shared" si="45"/>
        <v>0</v>
      </c>
      <c r="X179" s="54" t="e">
        <f t="shared" si="46"/>
        <v>#DIV/0!</v>
      </c>
      <c r="Y179" s="25">
        <f t="shared" si="53"/>
        <v>0</v>
      </c>
      <c r="Z179" s="54">
        <f t="shared" si="58"/>
        <v>0</v>
      </c>
      <c r="AA179" s="54">
        <f t="shared" si="47"/>
        <v>0</v>
      </c>
      <c r="AB179" s="54">
        <f t="shared" si="47"/>
        <v>0</v>
      </c>
      <c r="AC179" s="54">
        <f t="shared" si="47"/>
        <v>0</v>
      </c>
      <c r="AD179" s="54">
        <f t="shared" si="47"/>
        <v>0</v>
      </c>
      <c r="AE179" s="54">
        <f t="shared" si="47"/>
        <v>0</v>
      </c>
      <c r="AF179" s="54">
        <f t="shared" si="47"/>
        <v>0</v>
      </c>
      <c r="AG179" s="54">
        <f t="shared" si="47"/>
        <v>0</v>
      </c>
      <c r="AH179" s="54">
        <f t="shared" si="47"/>
        <v>0</v>
      </c>
      <c r="AI179" s="54">
        <f t="shared" si="47"/>
        <v>0</v>
      </c>
      <c r="AJ179" s="54">
        <f t="shared" si="47"/>
        <v>0</v>
      </c>
      <c r="AK179" s="54">
        <f t="shared" ref="AK179" si="69">IF($E80+365&lt;$C$56,0,IF($E80&lt;$C$56,(($E80+365-$C$56)/365)*(($C80/$BN$157)+($D80/$BN$158)),IF($E80&gt;AK$166,0,IF($E80+365&lt;AK$166,($C80/$BN$157)+($D80/$BN$158),((AK$166-$E80)/365)*(($C80/$BN$157)+($D80/$BN$158))))))</f>
        <v>0</v>
      </c>
      <c r="AL179" s="24">
        <f t="shared" si="49"/>
        <v>0</v>
      </c>
      <c r="AM179" s="24">
        <f t="shared" si="50"/>
        <v>0</v>
      </c>
      <c r="AN179" s="55">
        <f t="shared" si="51"/>
        <v>0</v>
      </c>
      <c r="AO179" s="55">
        <f t="shared" si="52"/>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39"/>
        <v>0</v>
      </c>
      <c r="H180" s="12">
        <f t="shared" si="40"/>
        <v>0</v>
      </c>
      <c r="I180" s="12">
        <f t="shared" si="40"/>
        <v>0</v>
      </c>
      <c r="J180" s="12">
        <f t="shared" si="40"/>
        <v>0</v>
      </c>
      <c r="K180" s="12">
        <f t="shared" si="41"/>
        <v>0</v>
      </c>
      <c r="L180" s="12">
        <f t="shared" si="42"/>
        <v>0</v>
      </c>
      <c r="M180" s="12">
        <f t="shared" si="42"/>
        <v>0</v>
      </c>
      <c r="N180" s="12">
        <f t="shared" si="42"/>
        <v>0</v>
      </c>
      <c r="O180" s="12">
        <f t="shared" si="43"/>
        <v>0</v>
      </c>
      <c r="P180" s="12">
        <f t="shared" si="44"/>
        <v>0</v>
      </c>
      <c r="Q180" s="12">
        <f t="shared" si="44"/>
        <v>0</v>
      </c>
      <c r="T180" s="61"/>
      <c r="U180" s="61"/>
      <c r="V180" s="61"/>
      <c r="W180" s="53">
        <f t="shared" si="45"/>
        <v>0</v>
      </c>
      <c r="X180" s="54" t="e">
        <f t="shared" si="46"/>
        <v>#DIV/0!</v>
      </c>
      <c r="Y180" s="25">
        <f t="shared" si="53"/>
        <v>0</v>
      </c>
      <c r="Z180" s="54">
        <f t="shared" si="58"/>
        <v>0</v>
      </c>
      <c r="AA180" s="54">
        <f t="shared" si="47"/>
        <v>0</v>
      </c>
      <c r="AB180" s="54">
        <f t="shared" si="47"/>
        <v>0</v>
      </c>
      <c r="AC180" s="54">
        <f t="shared" si="47"/>
        <v>0</v>
      </c>
      <c r="AD180" s="54">
        <f t="shared" si="47"/>
        <v>0</v>
      </c>
      <c r="AE180" s="54">
        <f t="shared" si="47"/>
        <v>0</v>
      </c>
      <c r="AF180" s="54">
        <f t="shared" si="47"/>
        <v>0</v>
      </c>
      <c r="AG180" s="54">
        <f t="shared" si="47"/>
        <v>0</v>
      </c>
      <c r="AH180" s="54">
        <f t="shared" si="47"/>
        <v>0</v>
      </c>
      <c r="AI180" s="54">
        <f t="shared" si="47"/>
        <v>0</v>
      </c>
      <c r="AJ180" s="54">
        <f t="shared" si="47"/>
        <v>0</v>
      </c>
      <c r="AK180" s="54">
        <f t="shared" ref="AK180" si="70">IF($E81+365&lt;$C$56,0,IF($E81&lt;$C$56,(($E81+365-$C$56)/365)*(($C81/$BN$157)+($D81/$BN$158)),IF($E81&gt;AK$166,0,IF($E81+365&lt;AK$166,($C81/$BN$157)+($D81/$BN$158),((AK$166-$E81)/365)*(($C81/$BN$157)+($D81/$BN$158))))))</f>
        <v>0</v>
      </c>
      <c r="AL180" s="24">
        <f t="shared" si="49"/>
        <v>0</v>
      </c>
      <c r="AM180" s="24">
        <f t="shared" si="50"/>
        <v>0</v>
      </c>
      <c r="AN180" s="55">
        <f t="shared" si="51"/>
        <v>0</v>
      </c>
      <c r="AO180" s="55">
        <f t="shared" si="52"/>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39"/>
        <v>0</v>
      </c>
      <c r="H181" s="12">
        <f t="shared" si="40"/>
        <v>0</v>
      </c>
      <c r="I181" s="12">
        <f t="shared" si="40"/>
        <v>0</v>
      </c>
      <c r="J181" s="12">
        <f t="shared" si="40"/>
        <v>0</v>
      </c>
      <c r="K181" s="12">
        <f t="shared" si="41"/>
        <v>0</v>
      </c>
      <c r="L181" s="12">
        <f t="shared" si="42"/>
        <v>0</v>
      </c>
      <c r="M181" s="12">
        <f t="shared" si="42"/>
        <v>0</v>
      </c>
      <c r="N181" s="12">
        <f t="shared" si="42"/>
        <v>0</v>
      </c>
      <c r="O181" s="12">
        <f t="shared" si="43"/>
        <v>0</v>
      </c>
      <c r="P181" s="12">
        <f t="shared" si="44"/>
        <v>0</v>
      </c>
      <c r="Q181" s="12">
        <f t="shared" si="44"/>
        <v>0</v>
      </c>
      <c r="T181" s="61"/>
      <c r="U181" s="61"/>
      <c r="V181" s="61"/>
      <c r="W181" s="53">
        <f t="shared" si="45"/>
        <v>0</v>
      </c>
      <c r="X181" s="54" t="e">
        <f t="shared" si="46"/>
        <v>#DIV/0!</v>
      </c>
      <c r="Y181" s="25">
        <f t="shared" si="53"/>
        <v>0</v>
      </c>
      <c r="Z181" s="54">
        <f t="shared" si="58"/>
        <v>0</v>
      </c>
      <c r="AA181" s="54">
        <f t="shared" si="47"/>
        <v>0</v>
      </c>
      <c r="AB181" s="54">
        <f t="shared" si="47"/>
        <v>0</v>
      </c>
      <c r="AC181" s="54">
        <f t="shared" si="47"/>
        <v>0</v>
      </c>
      <c r="AD181" s="54">
        <f t="shared" si="47"/>
        <v>0</v>
      </c>
      <c r="AE181" s="54">
        <f t="shared" si="47"/>
        <v>0</v>
      </c>
      <c r="AF181" s="54">
        <f t="shared" si="47"/>
        <v>0</v>
      </c>
      <c r="AG181" s="54">
        <f t="shared" si="47"/>
        <v>0</v>
      </c>
      <c r="AH181" s="54">
        <f t="shared" si="47"/>
        <v>0</v>
      </c>
      <c r="AI181" s="54">
        <f t="shared" si="47"/>
        <v>0</v>
      </c>
      <c r="AJ181" s="54">
        <f t="shared" si="47"/>
        <v>0</v>
      </c>
      <c r="AK181" s="54">
        <f t="shared" ref="AK181" si="71">IF($E82+365&lt;$C$56,0,IF($E82&lt;$C$56,(($E82+365-$C$56)/365)*(($C82/$BN$157)+($D82/$BN$158)),IF($E82&gt;AK$166,0,IF($E82+365&lt;AK$166,($C82/$BN$157)+($D82/$BN$158),((AK$166-$E82)/365)*(($C82/$BN$157)+($D82/$BN$158))))))</f>
        <v>0</v>
      </c>
      <c r="AL181" s="24">
        <f t="shared" si="49"/>
        <v>0</v>
      </c>
      <c r="AM181" s="24">
        <f t="shared" si="50"/>
        <v>0</v>
      </c>
      <c r="AN181" s="55">
        <f t="shared" si="51"/>
        <v>0</v>
      </c>
      <c r="AO181" s="55">
        <f t="shared" si="52"/>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39"/>
        <v>0</v>
      </c>
      <c r="H182" s="12">
        <f t="shared" si="40"/>
        <v>0</v>
      </c>
      <c r="I182" s="12">
        <f t="shared" si="40"/>
        <v>0</v>
      </c>
      <c r="J182" s="12">
        <f t="shared" si="40"/>
        <v>0</v>
      </c>
      <c r="K182" s="12">
        <f t="shared" si="41"/>
        <v>0</v>
      </c>
      <c r="L182" s="12">
        <f t="shared" si="42"/>
        <v>0</v>
      </c>
      <c r="M182" s="12">
        <f t="shared" si="42"/>
        <v>0</v>
      </c>
      <c r="N182" s="12">
        <f t="shared" si="42"/>
        <v>0</v>
      </c>
      <c r="O182" s="12">
        <f t="shared" si="43"/>
        <v>0</v>
      </c>
      <c r="P182" s="12">
        <f t="shared" si="44"/>
        <v>0</v>
      </c>
      <c r="Q182" s="12">
        <f t="shared" si="44"/>
        <v>0</v>
      </c>
      <c r="T182" s="61"/>
      <c r="U182" s="61"/>
      <c r="V182" s="61"/>
      <c r="W182" s="53">
        <f t="shared" si="45"/>
        <v>0</v>
      </c>
      <c r="X182" s="54" t="e">
        <f t="shared" si="46"/>
        <v>#DIV/0!</v>
      </c>
      <c r="Y182" s="25">
        <f t="shared" si="53"/>
        <v>0</v>
      </c>
      <c r="Z182" s="54">
        <f t="shared" si="58"/>
        <v>0</v>
      </c>
      <c r="AA182" s="54">
        <f t="shared" si="47"/>
        <v>0</v>
      </c>
      <c r="AB182" s="54">
        <f t="shared" si="47"/>
        <v>0</v>
      </c>
      <c r="AC182" s="54">
        <f t="shared" si="47"/>
        <v>0</v>
      </c>
      <c r="AD182" s="54">
        <f t="shared" si="47"/>
        <v>0</v>
      </c>
      <c r="AE182" s="54">
        <f t="shared" si="47"/>
        <v>0</v>
      </c>
      <c r="AF182" s="54">
        <f t="shared" si="47"/>
        <v>0</v>
      </c>
      <c r="AG182" s="54">
        <f t="shared" si="47"/>
        <v>0</v>
      </c>
      <c r="AH182" s="54">
        <f t="shared" si="47"/>
        <v>0</v>
      </c>
      <c r="AI182" s="54">
        <f t="shared" si="47"/>
        <v>0</v>
      </c>
      <c r="AJ182" s="54">
        <f t="shared" si="47"/>
        <v>0</v>
      </c>
      <c r="AK182" s="54">
        <f t="shared" ref="AK182" si="72">IF($E83+365&lt;$C$56,0,IF($E83&lt;$C$56,(($E83+365-$C$56)/365)*(($C83/$BN$157)+($D83/$BN$158)),IF($E83&gt;AK$166,0,IF($E83+365&lt;AK$166,($C83/$BN$157)+($D83/$BN$158),((AK$166-$E83)/365)*(($C83/$BN$157)+($D83/$BN$158))))))</f>
        <v>0</v>
      </c>
      <c r="AL182" s="24">
        <f t="shared" si="49"/>
        <v>0</v>
      </c>
      <c r="AM182" s="24">
        <f t="shared" si="50"/>
        <v>0</v>
      </c>
      <c r="AN182" s="55">
        <f t="shared" si="51"/>
        <v>0</v>
      </c>
      <c r="AO182" s="55">
        <f t="shared" si="52"/>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39"/>
        <v>0</v>
      </c>
      <c r="H183" s="12">
        <f t="shared" si="40"/>
        <v>0</v>
      </c>
      <c r="I183" s="12">
        <f t="shared" si="40"/>
        <v>0</v>
      </c>
      <c r="J183" s="12">
        <f t="shared" si="40"/>
        <v>0</v>
      </c>
      <c r="K183" s="12">
        <f t="shared" si="41"/>
        <v>0</v>
      </c>
      <c r="L183" s="12">
        <f t="shared" si="42"/>
        <v>0</v>
      </c>
      <c r="M183" s="12">
        <f t="shared" si="42"/>
        <v>0</v>
      </c>
      <c r="N183" s="12">
        <f t="shared" si="42"/>
        <v>0</v>
      </c>
      <c r="O183" s="12">
        <f t="shared" si="43"/>
        <v>0</v>
      </c>
      <c r="P183" s="12">
        <f t="shared" si="44"/>
        <v>0</v>
      </c>
      <c r="Q183" s="12">
        <f t="shared" si="44"/>
        <v>0</v>
      </c>
      <c r="T183" s="61"/>
      <c r="U183" s="61"/>
      <c r="V183" s="61"/>
      <c r="W183" s="53">
        <f t="shared" si="45"/>
        <v>0</v>
      </c>
      <c r="X183" s="54" t="e">
        <f t="shared" si="46"/>
        <v>#DIV/0!</v>
      </c>
      <c r="Y183" s="25">
        <f t="shared" si="53"/>
        <v>0</v>
      </c>
      <c r="Z183" s="54">
        <f t="shared" si="58"/>
        <v>0</v>
      </c>
      <c r="AA183" s="54">
        <f t="shared" ref="AA183:AJ198" si="73">IF($E84+365&lt;$C$56,0,IF($E84&lt;$C$56,(($E84+365-$C$56)/365)*(($C84/$BN$157)+($D84/$BN$158)),IF($E84&gt;AA$166,0,IF($E84+365&lt;AA$166,($C84/$BN$157)+($D84/$BN$158),((AA$166-$E84)/365)*(($C84/$BN$157)+($D84/$BN$158))))))</f>
        <v>0</v>
      </c>
      <c r="AB183" s="54">
        <f t="shared" si="73"/>
        <v>0</v>
      </c>
      <c r="AC183" s="54">
        <f t="shared" si="73"/>
        <v>0</v>
      </c>
      <c r="AD183" s="54">
        <f t="shared" si="73"/>
        <v>0</v>
      </c>
      <c r="AE183" s="54">
        <f t="shared" si="73"/>
        <v>0</v>
      </c>
      <c r="AF183" s="54">
        <f t="shared" si="73"/>
        <v>0</v>
      </c>
      <c r="AG183" s="54">
        <f t="shared" si="73"/>
        <v>0</v>
      </c>
      <c r="AH183" s="54">
        <f t="shared" si="73"/>
        <v>0</v>
      </c>
      <c r="AI183" s="54">
        <f t="shared" si="73"/>
        <v>0</v>
      </c>
      <c r="AJ183" s="54">
        <f t="shared" si="73"/>
        <v>0</v>
      </c>
      <c r="AK183" s="54">
        <f t="shared" ref="AK183" si="74">IF($E84+365&lt;$C$56,0,IF($E84&lt;$C$56,(($E84+365-$C$56)/365)*(($C84/$BN$157)+($D84/$BN$158)),IF($E84&gt;AK$166,0,IF($E84+365&lt;AK$166,($C84/$BN$157)+($D84/$BN$158),((AK$166-$E84)/365)*(($C84/$BN$157)+($D84/$BN$158))))))</f>
        <v>0</v>
      </c>
      <c r="AL183" s="24">
        <f t="shared" si="49"/>
        <v>0</v>
      </c>
      <c r="AM183" s="24">
        <f t="shared" si="50"/>
        <v>0</v>
      </c>
      <c r="AN183" s="55">
        <f t="shared" si="51"/>
        <v>0</v>
      </c>
      <c r="AO183" s="55">
        <f t="shared" si="52"/>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39"/>
        <v>0</v>
      </c>
      <c r="H184" s="12">
        <f t="shared" si="40"/>
        <v>0</v>
      </c>
      <c r="I184" s="12">
        <f t="shared" si="40"/>
        <v>0</v>
      </c>
      <c r="J184" s="12">
        <f t="shared" si="40"/>
        <v>0</v>
      </c>
      <c r="K184" s="12">
        <f t="shared" si="41"/>
        <v>0</v>
      </c>
      <c r="L184" s="12">
        <f t="shared" si="42"/>
        <v>0</v>
      </c>
      <c r="M184" s="12">
        <f t="shared" si="42"/>
        <v>0</v>
      </c>
      <c r="N184" s="12">
        <f t="shared" si="42"/>
        <v>0</v>
      </c>
      <c r="O184" s="12">
        <f t="shared" si="43"/>
        <v>0</v>
      </c>
      <c r="P184" s="12">
        <f t="shared" si="44"/>
        <v>0</v>
      </c>
      <c r="Q184" s="12">
        <f t="shared" si="44"/>
        <v>0</v>
      </c>
      <c r="T184" s="61"/>
      <c r="U184" s="61"/>
      <c r="V184" s="61"/>
      <c r="W184" s="53">
        <f t="shared" si="45"/>
        <v>0</v>
      </c>
      <c r="X184" s="54" t="e">
        <f t="shared" si="46"/>
        <v>#DIV/0!</v>
      </c>
      <c r="Y184" s="25">
        <f t="shared" si="53"/>
        <v>0</v>
      </c>
      <c r="Z184" s="54">
        <f t="shared" si="58"/>
        <v>0</v>
      </c>
      <c r="AA184" s="54">
        <f t="shared" si="73"/>
        <v>0</v>
      </c>
      <c r="AB184" s="54">
        <f t="shared" si="73"/>
        <v>0</v>
      </c>
      <c r="AC184" s="54">
        <f t="shared" si="73"/>
        <v>0</v>
      </c>
      <c r="AD184" s="54">
        <f t="shared" si="73"/>
        <v>0</v>
      </c>
      <c r="AE184" s="54">
        <f t="shared" si="73"/>
        <v>0</v>
      </c>
      <c r="AF184" s="54">
        <f t="shared" si="73"/>
        <v>0</v>
      </c>
      <c r="AG184" s="54">
        <f t="shared" si="73"/>
        <v>0</v>
      </c>
      <c r="AH184" s="54">
        <f t="shared" si="73"/>
        <v>0</v>
      </c>
      <c r="AI184" s="54">
        <f t="shared" si="73"/>
        <v>0</v>
      </c>
      <c r="AJ184" s="54">
        <f t="shared" si="73"/>
        <v>0</v>
      </c>
      <c r="AK184" s="54">
        <f t="shared" ref="AK184" si="75">IF($E85+365&lt;$C$56,0,IF($E85&lt;$C$56,(($E85+365-$C$56)/365)*(($C85/$BN$157)+($D85/$BN$158)),IF($E85&gt;AK$166,0,IF($E85+365&lt;AK$166,($C85/$BN$157)+($D85/$BN$158),((AK$166-$E85)/365)*(($C85/$BN$157)+($D85/$BN$158))))))</f>
        <v>0</v>
      </c>
      <c r="AL184" s="24">
        <f t="shared" si="49"/>
        <v>0</v>
      </c>
      <c r="AM184" s="24">
        <f t="shared" si="50"/>
        <v>0</v>
      </c>
      <c r="AN184" s="55">
        <f t="shared" si="51"/>
        <v>0</v>
      </c>
      <c r="AO184" s="55">
        <f t="shared" si="52"/>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39"/>
        <v>0</v>
      </c>
      <c r="H185" s="12">
        <f t="shared" si="40"/>
        <v>0</v>
      </c>
      <c r="I185" s="12">
        <f t="shared" si="40"/>
        <v>0</v>
      </c>
      <c r="J185" s="12">
        <f t="shared" si="40"/>
        <v>0</v>
      </c>
      <c r="K185" s="12">
        <f t="shared" si="41"/>
        <v>0</v>
      </c>
      <c r="L185" s="12">
        <f t="shared" si="42"/>
        <v>0</v>
      </c>
      <c r="M185" s="12">
        <f t="shared" si="42"/>
        <v>0</v>
      </c>
      <c r="N185" s="12">
        <f t="shared" si="42"/>
        <v>0</v>
      </c>
      <c r="O185" s="12">
        <f t="shared" si="43"/>
        <v>0</v>
      </c>
      <c r="P185" s="12">
        <f t="shared" si="44"/>
        <v>0</v>
      </c>
      <c r="Q185" s="12">
        <f t="shared" si="44"/>
        <v>0</v>
      </c>
      <c r="T185" s="61"/>
      <c r="U185" s="61"/>
      <c r="V185" s="61"/>
      <c r="W185" s="53">
        <f t="shared" si="45"/>
        <v>0</v>
      </c>
      <c r="X185" s="54" t="e">
        <f t="shared" si="46"/>
        <v>#DIV/0!</v>
      </c>
      <c r="Y185" s="25">
        <f t="shared" si="53"/>
        <v>0</v>
      </c>
      <c r="Z185" s="54">
        <f t="shared" si="58"/>
        <v>0</v>
      </c>
      <c r="AA185" s="54">
        <f t="shared" si="73"/>
        <v>0</v>
      </c>
      <c r="AB185" s="54">
        <f t="shared" si="73"/>
        <v>0</v>
      </c>
      <c r="AC185" s="54">
        <f t="shared" si="73"/>
        <v>0</v>
      </c>
      <c r="AD185" s="54">
        <f t="shared" si="73"/>
        <v>0</v>
      </c>
      <c r="AE185" s="54">
        <f t="shared" si="73"/>
        <v>0</v>
      </c>
      <c r="AF185" s="54">
        <f t="shared" si="73"/>
        <v>0</v>
      </c>
      <c r="AG185" s="54">
        <f t="shared" si="73"/>
        <v>0</v>
      </c>
      <c r="AH185" s="54">
        <f t="shared" si="73"/>
        <v>0</v>
      </c>
      <c r="AI185" s="54">
        <f t="shared" si="73"/>
        <v>0</v>
      </c>
      <c r="AJ185" s="54">
        <f t="shared" si="73"/>
        <v>0</v>
      </c>
      <c r="AK185" s="54">
        <f t="shared" ref="AK185" si="76">IF($E86+365&lt;$C$56,0,IF($E86&lt;$C$56,(($E86+365-$C$56)/365)*(($C86/$BN$157)+($D86/$BN$158)),IF($E86&gt;AK$166,0,IF($E86+365&lt;AK$166,($C86/$BN$157)+($D86/$BN$158),((AK$166-$E86)/365)*(($C86/$BN$157)+($D86/$BN$158))))))</f>
        <v>0</v>
      </c>
      <c r="AL185" s="24">
        <f t="shared" si="49"/>
        <v>0</v>
      </c>
      <c r="AM185" s="24">
        <f t="shared" si="50"/>
        <v>0</v>
      </c>
      <c r="AN185" s="55">
        <f t="shared" si="51"/>
        <v>0</v>
      </c>
      <c r="AO185" s="55">
        <f t="shared" si="52"/>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39"/>
        <v>0</v>
      </c>
      <c r="H186" s="12">
        <f t="shared" si="40"/>
        <v>0</v>
      </c>
      <c r="I186" s="12">
        <f t="shared" si="40"/>
        <v>0</v>
      </c>
      <c r="J186" s="12">
        <f t="shared" si="40"/>
        <v>0</v>
      </c>
      <c r="K186" s="12">
        <f t="shared" si="41"/>
        <v>0</v>
      </c>
      <c r="L186" s="12">
        <f t="shared" si="42"/>
        <v>0</v>
      </c>
      <c r="M186" s="12">
        <f t="shared" si="42"/>
        <v>0</v>
      </c>
      <c r="N186" s="12">
        <f t="shared" si="42"/>
        <v>0</v>
      </c>
      <c r="O186" s="12">
        <f t="shared" si="43"/>
        <v>0</v>
      </c>
      <c r="P186" s="12">
        <f t="shared" si="44"/>
        <v>0</v>
      </c>
      <c r="Q186" s="12">
        <f t="shared" si="44"/>
        <v>0</v>
      </c>
      <c r="T186" s="61"/>
      <c r="U186" s="61"/>
      <c r="V186" s="61"/>
      <c r="W186" s="53">
        <f t="shared" si="45"/>
        <v>0</v>
      </c>
      <c r="X186" s="54" t="e">
        <f t="shared" si="46"/>
        <v>#DIV/0!</v>
      </c>
      <c r="Y186" s="25">
        <f t="shared" si="53"/>
        <v>0</v>
      </c>
      <c r="Z186" s="54">
        <f t="shared" si="58"/>
        <v>0</v>
      </c>
      <c r="AA186" s="54">
        <f t="shared" si="73"/>
        <v>0</v>
      </c>
      <c r="AB186" s="54">
        <f t="shared" si="73"/>
        <v>0</v>
      </c>
      <c r="AC186" s="54">
        <f t="shared" si="73"/>
        <v>0</v>
      </c>
      <c r="AD186" s="54">
        <f t="shared" si="73"/>
        <v>0</v>
      </c>
      <c r="AE186" s="54">
        <f t="shared" si="73"/>
        <v>0</v>
      </c>
      <c r="AF186" s="54">
        <f t="shared" si="73"/>
        <v>0</v>
      </c>
      <c r="AG186" s="54">
        <f t="shared" si="73"/>
        <v>0</v>
      </c>
      <c r="AH186" s="54">
        <f t="shared" si="73"/>
        <v>0</v>
      </c>
      <c r="AI186" s="54">
        <f t="shared" si="73"/>
        <v>0</v>
      </c>
      <c r="AJ186" s="54">
        <f t="shared" si="73"/>
        <v>0</v>
      </c>
      <c r="AK186" s="54">
        <f t="shared" ref="AK186" si="77">IF($E87+365&lt;$C$56,0,IF($E87&lt;$C$56,(($E87+365-$C$56)/365)*(($C87/$BN$157)+($D87/$BN$158)),IF($E87&gt;AK$166,0,IF($E87+365&lt;AK$166,($C87/$BN$157)+($D87/$BN$158),((AK$166-$E87)/365)*(($C87/$BN$157)+($D87/$BN$158))))))</f>
        <v>0</v>
      </c>
      <c r="AL186" s="24">
        <f t="shared" si="49"/>
        <v>0</v>
      </c>
      <c r="AM186" s="24">
        <f t="shared" si="50"/>
        <v>0</v>
      </c>
      <c r="AN186" s="55">
        <f t="shared" si="51"/>
        <v>0</v>
      </c>
      <c r="AO186" s="55">
        <f t="shared" si="52"/>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39"/>
        <v>0</v>
      </c>
      <c r="H187" s="12">
        <f t="shared" ref="H187:J206" si="78">IF($E89&gt;H$66,0,IF($E89&lt;H$66-365,$C89,0))</f>
        <v>0</v>
      </c>
      <c r="I187" s="12">
        <f t="shared" si="78"/>
        <v>0</v>
      </c>
      <c r="J187" s="12">
        <f t="shared" si="78"/>
        <v>0</v>
      </c>
      <c r="K187" s="12">
        <f t="shared" si="41"/>
        <v>0</v>
      </c>
      <c r="L187" s="12">
        <f t="shared" ref="L187:N206" si="79">IF($E89&gt;L$66,0,IF($E89&lt;L$66-365,$C89,0))</f>
        <v>0</v>
      </c>
      <c r="M187" s="12">
        <f t="shared" si="79"/>
        <v>0</v>
      </c>
      <c r="N187" s="12">
        <f t="shared" si="79"/>
        <v>0</v>
      </c>
      <c r="O187" s="12">
        <f t="shared" si="43"/>
        <v>0</v>
      </c>
      <c r="P187" s="12">
        <f t="shared" ref="P187:Q206" si="80">IF($E89&gt;P$66,0,IF($E89&lt;P$66-365,$C89,0))</f>
        <v>0</v>
      </c>
      <c r="Q187" s="12">
        <f t="shared" si="80"/>
        <v>0</v>
      </c>
      <c r="T187" s="61"/>
      <c r="U187" s="61"/>
      <c r="V187" s="61"/>
      <c r="W187" s="53">
        <f t="shared" si="45"/>
        <v>0</v>
      </c>
      <c r="X187" s="54" t="e">
        <f t="shared" si="46"/>
        <v>#DIV/0!</v>
      </c>
      <c r="Y187" s="25">
        <f t="shared" si="53"/>
        <v>0</v>
      </c>
      <c r="Z187" s="54">
        <f t="shared" si="58"/>
        <v>0</v>
      </c>
      <c r="AA187" s="54">
        <f t="shared" si="73"/>
        <v>0</v>
      </c>
      <c r="AB187" s="54">
        <f t="shared" si="73"/>
        <v>0</v>
      </c>
      <c r="AC187" s="54">
        <f t="shared" si="73"/>
        <v>0</v>
      </c>
      <c r="AD187" s="54">
        <f t="shared" si="73"/>
        <v>0</v>
      </c>
      <c r="AE187" s="54">
        <f t="shared" si="73"/>
        <v>0</v>
      </c>
      <c r="AF187" s="54">
        <f t="shared" si="73"/>
        <v>0</v>
      </c>
      <c r="AG187" s="54">
        <f t="shared" si="73"/>
        <v>0</v>
      </c>
      <c r="AH187" s="54">
        <f t="shared" si="73"/>
        <v>0</v>
      </c>
      <c r="AI187" s="54">
        <f t="shared" si="73"/>
        <v>0</v>
      </c>
      <c r="AJ187" s="54">
        <f t="shared" si="73"/>
        <v>0</v>
      </c>
      <c r="AK187" s="54">
        <f t="shared" ref="AK187" si="81">IF($E88+365&lt;$C$56,0,IF($E88&lt;$C$56,(($E88+365-$C$56)/365)*(($C88/$BN$157)+($D88/$BN$158)),IF($E88&gt;AK$166,0,IF($E88+365&lt;AK$166,($C88/$BN$157)+($D88/$BN$158),((AK$166-$E88)/365)*(($C88/$BN$157)+($D88/$BN$158))))))</f>
        <v>0</v>
      </c>
      <c r="AL187" s="24">
        <f t="shared" si="49"/>
        <v>0</v>
      </c>
      <c r="AM187" s="24">
        <f t="shared" si="50"/>
        <v>0</v>
      </c>
      <c r="AN187" s="55">
        <f t="shared" si="51"/>
        <v>0</v>
      </c>
      <c r="AO187" s="55">
        <f t="shared" si="52"/>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39"/>
        <v>0</v>
      </c>
      <c r="H188" s="12">
        <f t="shared" si="78"/>
        <v>0</v>
      </c>
      <c r="I188" s="12">
        <f t="shared" si="78"/>
        <v>0</v>
      </c>
      <c r="J188" s="12">
        <f t="shared" si="78"/>
        <v>0</v>
      </c>
      <c r="K188" s="12">
        <f t="shared" si="41"/>
        <v>0</v>
      </c>
      <c r="L188" s="12">
        <f t="shared" si="79"/>
        <v>0</v>
      </c>
      <c r="M188" s="12">
        <f t="shared" si="79"/>
        <v>0</v>
      </c>
      <c r="N188" s="12">
        <f t="shared" si="79"/>
        <v>0</v>
      </c>
      <c r="O188" s="12">
        <f t="shared" si="43"/>
        <v>0</v>
      </c>
      <c r="P188" s="12">
        <f t="shared" si="80"/>
        <v>0</v>
      </c>
      <c r="Q188" s="12">
        <f t="shared" si="80"/>
        <v>0</v>
      </c>
      <c r="T188" s="61"/>
      <c r="U188" s="61"/>
      <c r="V188" s="61"/>
      <c r="W188" s="53">
        <f t="shared" si="45"/>
        <v>0</v>
      </c>
      <c r="X188" s="54" t="e">
        <f t="shared" si="46"/>
        <v>#DIV/0!</v>
      </c>
      <c r="Y188" s="25">
        <f t="shared" si="53"/>
        <v>0</v>
      </c>
      <c r="Z188" s="54">
        <f t="shared" si="58"/>
        <v>0</v>
      </c>
      <c r="AA188" s="54">
        <f t="shared" si="73"/>
        <v>0</v>
      </c>
      <c r="AB188" s="54">
        <f t="shared" si="73"/>
        <v>0</v>
      </c>
      <c r="AC188" s="54">
        <f t="shared" si="73"/>
        <v>0</v>
      </c>
      <c r="AD188" s="54">
        <f t="shared" si="73"/>
        <v>0</v>
      </c>
      <c r="AE188" s="54">
        <f t="shared" si="73"/>
        <v>0</v>
      </c>
      <c r="AF188" s="54">
        <f t="shared" si="73"/>
        <v>0</v>
      </c>
      <c r="AG188" s="54">
        <f t="shared" si="73"/>
        <v>0</v>
      </c>
      <c r="AH188" s="54">
        <f t="shared" si="73"/>
        <v>0</v>
      </c>
      <c r="AI188" s="54">
        <f t="shared" si="73"/>
        <v>0</v>
      </c>
      <c r="AJ188" s="54">
        <f t="shared" si="73"/>
        <v>0</v>
      </c>
      <c r="AK188" s="54">
        <f t="shared" ref="AK188" si="82">IF($E89+365&lt;$C$56,0,IF($E89&lt;$C$56,(($E89+365-$C$56)/365)*(($C89/$BN$157)+($D89/$BN$158)),IF($E89&gt;AK$166,0,IF($E89+365&lt;AK$166,($C89/$BN$157)+($D89/$BN$158),((AK$166-$E89)/365)*(($C89/$BN$157)+($D89/$BN$158))))))</f>
        <v>0</v>
      </c>
      <c r="AL188" s="24">
        <f t="shared" si="49"/>
        <v>0</v>
      </c>
      <c r="AM188" s="24">
        <f t="shared" si="50"/>
        <v>0</v>
      </c>
      <c r="AN188" s="55">
        <f t="shared" si="51"/>
        <v>0</v>
      </c>
      <c r="AO188" s="55">
        <f t="shared" si="52"/>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39"/>
        <v>0</v>
      </c>
      <c r="H189" s="12">
        <f t="shared" si="78"/>
        <v>0</v>
      </c>
      <c r="I189" s="12">
        <f t="shared" si="78"/>
        <v>0</v>
      </c>
      <c r="J189" s="12">
        <f t="shared" si="78"/>
        <v>0</v>
      </c>
      <c r="K189" s="12">
        <f t="shared" si="41"/>
        <v>0</v>
      </c>
      <c r="L189" s="12">
        <f t="shared" si="79"/>
        <v>0</v>
      </c>
      <c r="M189" s="12">
        <f t="shared" si="79"/>
        <v>0</v>
      </c>
      <c r="N189" s="12">
        <f t="shared" si="79"/>
        <v>0</v>
      </c>
      <c r="O189" s="12">
        <f t="shared" si="43"/>
        <v>0</v>
      </c>
      <c r="P189" s="12">
        <f t="shared" si="80"/>
        <v>0</v>
      </c>
      <c r="Q189" s="12">
        <f t="shared" si="80"/>
        <v>0</v>
      </c>
      <c r="T189" s="61"/>
      <c r="U189" s="61"/>
      <c r="V189" s="61"/>
      <c r="W189" s="53">
        <f t="shared" si="45"/>
        <v>0</v>
      </c>
      <c r="X189" s="54" t="e">
        <f t="shared" si="46"/>
        <v>#DIV/0!</v>
      </c>
      <c r="Y189" s="25">
        <f t="shared" si="53"/>
        <v>0</v>
      </c>
      <c r="Z189" s="54">
        <f t="shared" si="58"/>
        <v>0</v>
      </c>
      <c r="AA189" s="54">
        <f t="shared" si="73"/>
        <v>0</v>
      </c>
      <c r="AB189" s="54">
        <f t="shared" si="73"/>
        <v>0</v>
      </c>
      <c r="AC189" s="54">
        <f t="shared" si="73"/>
        <v>0</v>
      </c>
      <c r="AD189" s="54">
        <f t="shared" si="73"/>
        <v>0</v>
      </c>
      <c r="AE189" s="54">
        <f t="shared" si="73"/>
        <v>0</v>
      </c>
      <c r="AF189" s="54">
        <f t="shared" si="73"/>
        <v>0</v>
      </c>
      <c r="AG189" s="54">
        <f t="shared" si="73"/>
        <v>0</v>
      </c>
      <c r="AH189" s="54">
        <f t="shared" si="73"/>
        <v>0</v>
      </c>
      <c r="AI189" s="54">
        <f t="shared" si="73"/>
        <v>0</v>
      </c>
      <c r="AJ189" s="54">
        <f t="shared" si="73"/>
        <v>0</v>
      </c>
      <c r="AK189" s="54">
        <f t="shared" ref="AK189" si="83">IF($E90+365&lt;$C$56,0,IF($E90&lt;$C$56,(($E90+365-$C$56)/365)*(($C90/$BN$157)+($D90/$BN$158)),IF($E90&gt;AK$166,0,IF($E90+365&lt;AK$166,($C90/$BN$157)+($D90/$BN$158),((AK$166-$E90)/365)*(($C90/$BN$157)+($D90/$BN$158))))))</f>
        <v>0</v>
      </c>
      <c r="AL189" s="24">
        <f t="shared" si="49"/>
        <v>0</v>
      </c>
      <c r="AM189" s="24">
        <f t="shared" si="50"/>
        <v>0</v>
      </c>
      <c r="AN189" s="55">
        <f t="shared" si="51"/>
        <v>0</v>
      </c>
      <c r="AO189" s="55">
        <f t="shared" si="52"/>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39"/>
        <v>0</v>
      </c>
      <c r="H190" s="12">
        <f t="shared" si="78"/>
        <v>0</v>
      </c>
      <c r="I190" s="12">
        <f t="shared" si="78"/>
        <v>0</v>
      </c>
      <c r="J190" s="12">
        <f t="shared" si="78"/>
        <v>0</v>
      </c>
      <c r="K190" s="12">
        <f t="shared" si="41"/>
        <v>0</v>
      </c>
      <c r="L190" s="12">
        <f t="shared" si="79"/>
        <v>0</v>
      </c>
      <c r="M190" s="12">
        <f t="shared" si="79"/>
        <v>0</v>
      </c>
      <c r="N190" s="12">
        <f t="shared" si="79"/>
        <v>0</v>
      </c>
      <c r="O190" s="12">
        <f t="shared" si="43"/>
        <v>0</v>
      </c>
      <c r="P190" s="12">
        <f t="shared" si="80"/>
        <v>0</v>
      </c>
      <c r="Q190" s="12">
        <f t="shared" si="80"/>
        <v>0</v>
      </c>
      <c r="T190" s="61"/>
      <c r="U190" s="61"/>
      <c r="V190" s="61"/>
      <c r="W190" s="53">
        <f t="shared" si="45"/>
        <v>0</v>
      </c>
      <c r="X190" s="54" t="e">
        <f t="shared" si="46"/>
        <v>#DIV/0!</v>
      </c>
      <c r="Y190" s="25">
        <f t="shared" si="53"/>
        <v>0</v>
      </c>
      <c r="Z190" s="54">
        <f t="shared" si="58"/>
        <v>0</v>
      </c>
      <c r="AA190" s="54">
        <f t="shared" si="73"/>
        <v>0</v>
      </c>
      <c r="AB190" s="54">
        <f t="shared" si="73"/>
        <v>0</v>
      </c>
      <c r="AC190" s="54">
        <f t="shared" si="73"/>
        <v>0</v>
      </c>
      <c r="AD190" s="54">
        <f t="shared" si="73"/>
        <v>0</v>
      </c>
      <c r="AE190" s="54">
        <f t="shared" si="73"/>
        <v>0</v>
      </c>
      <c r="AF190" s="54">
        <f t="shared" si="73"/>
        <v>0</v>
      </c>
      <c r="AG190" s="54">
        <f t="shared" si="73"/>
        <v>0</v>
      </c>
      <c r="AH190" s="54">
        <f t="shared" si="73"/>
        <v>0</v>
      </c>
      <c r="AI190" s="54">
        <f t="shared" si="73"/>
        <v>0</v>
      </c>
      <c r="AJ190" s="54">
        <f t="shared" si="73"/>
        <v>0</v>
      </c>
      <c r="AK190" s="54">
        <f t="shared" ref="AK190" si="84">IF($E91+365&lt;$C$56,0,IF($E91&lt;$C$56,(($E91+365-$C$56)/365)*(($C91/$BN$157)+($D91/$BN$158)),IF($E91&gt;AK$166,0,IF($E91+365&lt;AK$166,($C91/$BN$157)+($D91/$BN$158),((AK$166-$E91)/365)*(($C91/$BN$157)+($D91/$BN$158))))))</f>
        <v>0</v>
      </c>
      <c r="AL190" s="24">
        <f t="shared" si="49"/>
        <v>0</v>
      </c>
      <c r="AM190" s="24">
        <f t="shared" si="50"/>
        <v>0</v>
      </c>
      <c r="AN190" s="55">
        <f t="shared" si="51"/>
        <v>0</v>
      </c>
      <c r="AO190" s="55">
        <f t="shared" si="52"/>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39"/>
        <v>0</v>
      </c>
      <c r="H191" s="12">
        <f t="shared" si="78"/>
        <v>0</v>
      </c>
      <c r="I191" s="12">
        <f t="shared" si="78"/>
        <v>0</v>
      </c>
      <c r="J191" s="12">
        <f t="shared" si="78"/>
        <v>0</v>
      </c>
      <c r="K191" s="12">
        <f t="shared" si="41"/>
        <v>0</v>
      </c>
      <c r="L191" s="12">
        <f t="shared" si="79"/>
        <v>0</v>
      </c>
      <c r="M191" s="12">
        <f t="shared" si="79"/>
        <v>0</v>
      </c>
      <c r="N191" s="12">
        <f t="shared" si="79"/>
        <v>0</v>
      </c>
      <c r="O191" s="12">
        <f t="shared" si="43"/>
        <v>0</v>
      </c>
      <c r="P191" s="12">
        <f t="shared" si="80"/>
        <v>0</v>
      </c>
      <c r="Q191" s="12">
        <f t="shared" si="80"/>
        <v>0</v>
      </c>
      <c r="T191" s="61"/>
      <c r="U191" s="61"/>
      <c r="V191" s="61"/>
      <c r="W191" s="53">
        <f t="shared" si="45"/>
        <v>0</v>
      </c>
      <c r="X191" s="54" t="e">
        <f t="shared" si="46"/>
        <v>#DIV/0!</v>
      </c>
      <c r="Y191" s="25">
        <f t="shared" si="53"/>
        <v>0</v>
      </c>
      <c r="Z191" s="54">
        <f t="shared" si="58"/>
        <v>0</v>
      </c>
      <c r="AA191" s="54">
        <f t="shared" si="73"/>
        <v>0</v>
      </c>
      <c r="AB191" s="54">
        <f t="shared" si="73"/>
        <v>0</v>
      </c>
      <c r="AC191" s="54">
        <f t="shared" si="73"/>
        <v>0</v>
      </c>
      <c r="AD191" s="54">
        <f t="shared" si="73"/>
        <v>0</v>
      </c>
      <c r="AE191" s="54">
        <f t="shared" si="73"/>
        <v>0</v>
      </c>
      <c r="AF191" s="54">
        <f t="shared" si="73"/>
        <v>0</v>
      </c>
      <c r="AG191" s="54">
        <f t="shared" si="73"/>
        <v>0</v>
      </c>
      <c r="AH191" s="54">
        <f t="shared" si="73"/>
        <v>0</v>
      </c>
      <c r="AI191" s="54">
        <f t="shared" si="73"/>
        <v>0</v>
      </c>
      <c r="AJ191" s="54">
        <f t="shared" si="73"/>
        <v>0</v>
      </c>
      <c r="AK191" s="54">
        <f t="shared" ref="AK191" si="85">IF($E92+365&lt;$C$56,0,IF($E92&lt;$C$56,(($E92+365-$C$56)/365)*(($C92/$BN$157)+($D92/$BN$158)),IF($E92&gt;AK$166,0,IF($E92+365&lt;AK$166,($C92/$BN$157)+($D92/$BN$158),((AK$166-$E92)/365)*(($C92/$BN$157)+($D92/$BN$158))))))</f>
        <v>0</v>
      </c>
      <c r="AL191" s="24">
        <f t="shared" si="49"/>
        <v>0</v>
      </c>
      <c r="AM191" s="24">
        <f t="shared" si="50"/>
        <v>0</v>
      </c>
      <c r="AN191" s="55">
        <f t="shared" si="51"/>
        <v>0</v>
      </c>
      <c r="AO191" s="55">
        <f t="shared" si="52"/>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39"/>
        <v>0</v>
      </c>
      <c r="H192" s="12">
        <f t="shared" si="78"/>
        <v>0</v>
      </c>
      <c r="I192" s="12">
        <f t="shared" si="78"/>
        <v>0</v>
      </c>
      <c r="J192" s="12">
        <f t="shared" si="78"/>
        <v>0</v>
      </c>
      <c r="K192" s="12">
        <f t="shared" si="41"/>
        <v>0</v>
      </c>
      <c r="L192" s="12">
        <f t="shared" si="79"/>
        <v>0</v>
      </c>
      <c r="M192" s="12">
        <f t="shared" si="79"/>
        <v>0</v>
      </c>
      <c r="N192" s="12">
        <f t="shared" si="79"/>
        <v>0</v>
      </c>
      <c r="O192" s="12">
        <f t="shared" si="43"/>
        <v>0</v>
      </c>
      <c r="P192" s="12">
        <f t="shared" si="80"/>
        <v>0</v>
      </c>
      <c r="Q192" s="12">
        <f t="shared" si="80"/>
        <v>0</v>
      </c>
      <c r="T192" s="61"/>
      <c r="U192" s="61"/>
      <c r="V192" s="61"/>
      <c r="W192" s="53">
        <f t="shared" si="45"/>
        <v>0</v>
      </c>
      <c r="X192" s="54" t="e">
        <f t="shared" si="46"/>
        <v>#DIV/0!</v>
      </c>
      <c r="Y192" s="25">
        <f t="shared" si="53"/>
        <v>0</v>
      </c>
      <c r="Z192" s="54">
        <f t="shared" si="58"/>
        <v>0</v>
      </c>
      <c r="AA192" s="54">
        <f t="shared" si="73"/>
        <v>0</v>
      </c>
      <c r="AB192" s="54">
        <f t="shared" si="73"/>
        <v>0</v>
      </c>
      <c r="AC192" s="54">
        <f t="shared" si="73"/>
        <v>0</v>
      </c>
      <c r="AD192" s="54">
        <f t="shared" si="73"/>
        <v>0</v>
      </c>
      <c r="AE192" s="54">
        <f t="shared" si="73"/>
        <v>0</v>
      </c>
      <c r="AF192" s="54">
        <f t="shared" si="73"/>
        <v>0</v>
      </c>
      <c r="AG192" s="54">
        <f t="shared" si="73"/>
        <v>0</v>
      </c>
      <c r="AH192" s="54">
        <f t="shared" si="73"/>
        <v>0</v>
      </c>
      <c r="AI192" s="54">
        <f t="shared" si="73"/>
        <v>0</v>
      </c>
      <c r="AJ192" s="54">
        <f t="shared" si="73"/>
        <v>0</v>
      </c>
      <c r="AK192" s="54">
        <f t="shared" ref="AK192" si="86">IF($E93+365&lt;$C$56,0,IF($E93&lt;$C$56,(($E93+365-$C$56)/365)*(($C93/$BN$157)+($D93/$BN$158)),IF($E93&gt;AK$166,0,IF($E93+365&lt;AK$166,($C93/$BN$157)+($D93/$BN$158),((AK$166-$E93)/365)*(($C93/$BN$157)+($D93/$BN$158))))))</f>
        <v>0</v>
      </c>
      <c r="AL192" s="24">
        <f t="shared" si="49"/>
        <v>0</v>
      </c>
      <c r="AM192" s="24">
        <f t="shared" si="50"/>
        <v>0</v>
      </c>
      <c r="AN192" s="55">
        <f t="shared" si="51"/>
        <v>0</v>
      </c>
      <c r="AO192" s="55">
        <f t="shared" si="52"/>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39"/>
        <v>0</v>
      </c>
      <c r="H193" s="12">
        <f t="shared" si="78"/>
        <v>0</v>
      </c>
      <c r="I193" s="12">
        <f t="shared" si="78"/>
        <v>0</v>
      </c>
      <c r="J193" s="12">
        <f t="shared" si="78"/>
        <v>0</v>
      </c>
      <c r="K193" s="12">
        <f t="shared" si="41"/>
        <v>0</v>
      </c>
      <c r="L193" s="12">
        <f t="shared" si="79"/>
        <v>0</v>
      </c>
      <c r="M193" s="12">
        <f t="shared" si="79"/>
        <v>0</v>
      </c>
      <c r="N193" s="12">
        <f t="shared" si="79"/>
        <v>0</v>
      </c>
      <c r="O193" s="12">
        <f t="shared" si="43"/>
        <v>0</v>
      </c>
      <c r="P193" s="12">
        <f t="shared" si="80"/>
        <v>0</v>
      </c>
      <c r="Q193" s="12">
        <f t="shared" si="80"/>
        <v>0</v>
      </c>
      <c r="T193" s="61"/>
      <c r="U193" s="61"/>
      <c r="V193" s="61"/>
      <c r="W193" s="53">
        <f t="shared" si="45"/>
        <v>0</v>
      </c>
      <c r="X193" s="54" t="e">
        <f t="shared" si="46"/>
        <v>#DIV/0!</v>
      </c>
      <c r="Y193" s="25">
        <f t="shared" si="53"/>
        <v>0</v>
      </c>
      <c r="Z193" s="54">
        <f t="shared" si="58"/>
        <v>0</v>
      </c>
      <c r="AA193" s="54">
        <f t="shared" si="73"/>
        <v>0</v>
      </c>
      <c r="AB193" s="54">
        <f t="shared" si="73"/>
        <v>0</v>
      </c>
      <c r="AC193" s="54">
        <f t="shared" si="73"/>
        <v>0</v>
      </c>
      <c r="AD193" s="54">
        <f t="shared" si="73"/>
        <v>0</v>
      </c>
      <c r="AE193" s="54">
        <f t="shared" si="73"/>
        <v>0</v>
      </c>
      <c r="AF193" s="54">
        <f t="shared" si="73"/>
        <v>0</v>
      </c>
      <c r="AG193" s="54">
        <f t="shared" si="73"/>
        <v>0</v>
      </c>
      <c r="AH193" s="54">
        <f t="shared" si="73"/>
        <v>0</v>
      </c>
      <c r="AI193" s="54">
        <f t="shared" si="73"/>
        <v>0</v>
      </c>
      <c r="AJ193" s="54">
        <f t="shared" si="73"/>
        <v>0</v>
      </c>
      <c r="AK193" s="54">
        <f t="shared" ref="AK193" si="87">IF($E94+365&lt;$C$56,0,IF($E94&lt;$C$56,(($E94+365-$C$56)/365)*(($C94/$BN$157)+($D94/$BN$158)),IF($E94&gt;AK$166,0,IF($E94+365&lt;AK$166,($C94/$BN$157)+($D94/$BN$158),((AK$166-$E94)/365)*(($C94/$BN$157)+($D94/$BN$158))))))</f>
        <v>0</v>
      </c>
      <c r="AL193" s="24">
        <f t="shared" si="49"/>
        <v>0</v>
      </c>
      <c r="AM193" s="24">
        <f t="shared" si="50"/>
        <v>0</v>
      </c>
      <c r="AN193" s="55">
        <f t="shared" si="51"/>
        <v>0</v>
      </c>
      <c r="AO193" s="55">
        <f t="shared" si="52"/>
        <v>0</v>
      </c>
      <c r="AP193" s="24"/>
      <c r="AQ193" s="24"/>
      <c r="AR193" s="24"/>
      <c r="AS193" s="24"/>
      <c r="AT193" s="24"/>
      <c r="AU193" s="24"/>
      <c r="AV193" s="24"/>
      <c r="AW193" s="24"/>
      <c r="AX193" s="24"/>
      <c r="AY193" s="24"/>
    </row>
    <row r="194" spans="7:51">
      <c r="G194" s="12">
        <f t="shared" si="39"/>
        <v>0</v>
      </c>
      <c r="H194" s="12">
        <f t="shared" si="78"/>
        <v>0</v>
      </c>
      <c r="I194" s="12">
        <f t="shared" si="78"/>
        <v>0</v>
      </c>
      <c r="J194" s="12">
        <f t="shared" si="78"/>
        <v>0</v>
      </c>
      <c r="K194" s="12">
        <f t="shared" si="41"/>
        <v>0</v>
      </c>
      <c r="L194" s="12">
        <f t="shared" si="79"/>
        <v>0</v>
      </c>
      <c r="M194" s="12">
        <f t="shared" si="79"/>
        <v>0</v>
      </c>
      <c r="N194" s="12">
        <f t="shared" si="79"/>
        <v>0</v>
      </c>
      <c r="O194" s="12">
        <f t="shared" si="43"/>
        <v>0</v>
      </c>
      <c r="P194" s="12">
        <f t="shared" si="80"/>
        <v>0</v>
      </c>
      <c r="Q194" s="12">
        <f t="shared" si="80"/>
        <v>0</v>
      </c>
      <c r="T194" s="61"/>
      <c r="U194" s="61"/>
      <c r="V194" s="61"/>
      <c r="W194" s="53">
        <f t="shared" si="45"/>
        <v>0</v>
      </c>
      <c r="X194" s="54" t="e">
        <f t="shared" si="46"/>
        <v>#DIV/0!</v>
      </c>
      <c r="Y194" s="25">
        <f t="shared" si="53"/>
        <v>0</v>
      </c>
      <c r="Z194" s="54">
        <f t="shared" si="58"/>
        <v>0</v>
      </c>
      <c r="AA194" s="54">
        <f t="shared" si="73"/>
        <v>0</v>
      </c>
      <c r="AB194" s="54">
        <f t="shared" si="73"/>
        <v>0</v>
      </c>
      <c r="AC194" s="54">
        <f t="shared" si="73"/>
        <v>0</v>
      </c>
      <c r="AD194" s="54">
        <f t="shared" si="73"/>
        <v>0</v>
      </c>
      <c r="AE194" s="54">
        <f t="shared" si="73"/>
        <v>0</v>
      </c>
      <c r="AF194" s="54">
        <f t="shared" si="73"/>
        <v>0</v>
      </c>
      <c r="AG194" s="54">
        <f t="shared" si="73"/>
        <v>0</v>
      </c>
      <c r="AH194" s="54">
        <f t="shared" si="73"/>
        <v>0</v>
      </c>
      <c r="AI194" s="54">
        <f t="shared" si="73"/>
        <v>0</v>
      </c>
      <c r="AJ194" s="54">
        <f t="shared" si="73"/>
        <v>0</v>
      </c>
      <c r="AK194" s="54">
        <f t="shared" ref="AK194" si="88">IF($E95+365&lt;$C$56,0,IF($E95&lt;$C$56,(($E95+365-$C$56)/365)*(($C95/$BN$157)+($D95/$BN$158)),IF($E95&gt;AK$166,0,IF($E95+365&lt;AK$166,($C95/$BN$157)+($D95/$BN$158),((AK$166-$E95)/365)*(($C95/$BN$157)+($D95/$BN$158))))))</f>
        <v>0</v>
      </c>
      <c r="AL194" s="24">
        <f t="shared" si="49"/>
        <v>0</v>
      </c>
      <c r="AM194" s="24">
        <f t="shared" si="50"/>
        <v>0</v>
      </c>
      <c r="AN194" s="55">
        <f t="shared" si="51"/>
        <v>0</v>
      </c>
      <c r="AO194" s="55">
        <f t="shared" si="52"/>
        <v>0</v>
      </c>
      <c r="AP194" s="24"/>
      <c r="AQ194" s="24"/>
      <c r="AR194" s="24"/>
      <c r="AS194" s="24"/>
      <c r="AT194" s="24"/>
      <c r="AU194" s="24"/>
      <c r="AV194" s="24"/>
      <c r="AW194" s="24"/>
      <c r="AX194" s="24"/>
      <c r="AY194" s="24"/>
    </row>
    <row r="195" spans="7:51">
      <c r="G195" s="12">
        <f t="shared" si="39"/>
        <v>0</v>
      </c>
      <c r="H195" s="12">
        <f t="shared" si="78"/>
        <v>0</v>
      </c>
      <c r="I195" s="12">
        <f t="shared" si="78"/>
        <v>0</v>
      </c>
      <c r="J195" s="12">
        <f t="shared" si="78"/>
        <v>0</v>
      </c>
      <c r="K195" s="12">
        <f t="shared" si="41"/>
        <v>0</v>
      </c>
      <c r="L195" s="12">
        <f t="shared" si="79"/>
        <v>0</v>
      </c>
      <c r="M195" s="12">
        <f t="shared" si="79"/>
        <v>0</v>
      </c>
      <c r="N195" s="12">
        <f t="shared" si="79"/>
        <v>0</v>
      </c>
      <c r="O195" s="12">
        <f t="shared" si="43"/>
        <v>0</v>
      </c>
      <c r="P195" s="12">
        <f t="shared" si="80"/>
        <v>0</v>
      </c>
      <c r="Q195" s="12">
        <f t="shared" si="80"/>
        <v>0</v>
      </c>
      <c r="T195" s="61"/>
      <c r="U195" s="61"/>
      <c r="V195" s="61"/>
      <c r="W195" s="53">
        <f t="shared" si="45"/>
        <v>0</v>
      </c>
      <c r="X195" s="54" t="e">
        <f t="shared" si="46"/>
        <v>#DIV/0!</v>
      </c>
      <c r="Y195" s="25">
        <f t="shared" si="53"/>
        <v>0</v>
      </c>
      <c r="Z195" s="54">
        <f t="shared" si="58"/>
        <v>0</v>
      </c>
      <c r="AA195" s="54">
        <f t="shared" si="73"/>
        <v>0</v>
      </c>
      <c r="AB195" s="54">
        <f t="shared" si="73"/>
        <v>0</v>
      </c>
      <c r="AC195" s="54">
        <f t="shared" si="73"/>
        <v>0</v>
      </c>
      <c r="AD195" s="54">
        <f t="shared" si="73"/>
        <v>0</v>
      </c>
      <c r="AE195" s="54">
        <f t="shared" si="73"/>
        <v>0</v>
      </c>
      <c r="AF195" s="54">
        <f t="shared" si="73"/>
        <v>0</v>
      </c>
      <c r="AG195" s="54">
        <f t="shared" si="73"/>
        <v>0</v>
      </c>
      <c r="AH195" s="54">
        <f t="shared" si="73"/>
        <v>0</v>
      </c>
      <c r="AI195" s="54">
        <f t="shared" si="73"/>
        <v>0</v>
      </c>
      <c r="AJ195" s="54">
        <f t="shared" si="73"/>
        <v>0</v>
      </c>
      <c r="AK195" s="54">
        <f t="shared" ref="AK195" si="89">IF($E96+365&lt;$C$56,0,IF($E96&lt;$C$56,(($E96+365-$C$56)/365)*(($C96/$BN$157)+($D96/$BN$158)),IF($E96&gt;AK$166,0,IF($E96+365&lt;AK$166,($C96/$BN$157)+($D96/$BN$158),((AK$166-$E96)/365)*(($C96/$BN$157)+($D96/$BN$158))))))</f>
        <v>0</v>
      </c>
      <c r="AL195" s="24">
        <f t="shared" si="49"/>
        <v>0</v>
      </c>
      <c r="AM195" s="24">
        <f t="shared" si="50"/>
        <v>0</v>
      </c>
      <c r="AN195" s="55">
        <f t="shared" si="51"/>
        <v>0</v>
      </c>
      <c r="AO195" s="55">
        <f t="shared" si="52"/>
        <v>0</v>
      </c>
      <c r="AP195" s="24"/>
      <c r="AQ195" s="24"/>
      <c r="AR195" s="24"/>
      <c r="AS195" s="24"/>
      <c r="AT195" s="24"/>
      <c r="AU195" s="24"/>
      <c r="AV195" s="24"/>
      <c r="AW195" s="24"/>
      <c r="AX195" s="24"/>
      <c r="AY195" s="24"/>
    </row>
    <row r="196" spans="7:51">
      <c r="G196" s="12">
        <f t="shared" si="39"/>
        <v>0</v>
      </c>
      <c r="H196" s="12">
        <f t="shared" si="78"/>
        <v>0</v>
      </c>
      <c r="I196" s="12">
        <f t="shared" si="78"/>
        <v>0</v>
      </c>
      <c r="J196" s="12">
        <f t="shared" si="78"/>
        <v>0</v>
      </c>
      <c r="K196" s="12">
        <f t="shared" si="41"/>
        <v>0</v>
      </c>
      <c r="L196" s="12">
        <f t="shared" si="79"/>
        <v>0</v>
      </c>
      <c r="M196" s="12">
        <f t="shared" si="79"/>
        <v>0</v>
      </c>
      <c r="N196" s="12">
        <f t="shared" si="79"/>
        <v>0</v>
      </c>
      <c r="O196" s="12">
        <f t="shared" si="43"/>
        <v>0</v>
      </c>
      <c r="P196" s="12">
        <f t="shared" si="80"/>
        <v>0</v>
      </c>
      <c r="Q196" s="12">
        <f t="shared" si="80"/>
        <v>0</v>
      </c>
      <c r="T196" s="61"/>
      <c r="U196" s="61"/>
      <c r="V196" s="61"/>
      <c r="W196" s="53">
        <f t="shared" si="45"/>
        <v>0</v>
      </c>
      <c r="X196" s="54" t="e">
        <f t="shared" si="46"/>
        <v>#DIV/0!</v>
      </c>
      <c r="Y196" s="25">
        <f t="shared" si="53"/>
        <v>0</v>
      </c>
      <c r="Z196" s="54">
        <f t="shared" si="58"/>
        <v>0</v>
      </c>
      <c r="AA196" s="54">
        <f t="shared" si="73"/>
        <v>0</v>
      </c>
      <c r="AB196" s="54">
        <f t="shared" si="73"/>
        <v>0</v>
      </c>
      <c r="AC196" s="54">
        <f t="shared" si="73"/>
        <v>0</v>
      </c>
      <c r="AD196" s="54">
        <f t="shared" si="73"/>
        <v>0</v>
      </c>
      <c r="AE196" s="54">
        <f t="shared" si="73"/>
        <v>0</v>
      </c>
      <c r="AF196" s="54">
        <f t="shared" si="73"/>
        <v>0</v>
      </c>
      <c r="AG196" s="54">
        <f t="shared" si="73"/>
        <v>0</v>
      </c>
      <c r="AH196" s="54">
        <f t="shared" si="73"/>
        <v>0</v>
      </c>
      <c r="AI196" s="54">
        <f t="shared" si="73"/>
        <v>0</v>
      </c>
      <c r="AJ196" s="54">
        <f t="shared" si="73"/>
        <v>0</v>
      </c>
      <c r="AK196" s="54">
        <f t="shared" ref="AK196" si="90">IF($E97+365&lt;$C$56,0,IF($E97&lt;$C$56,(($E97+365-$C$56)/365)*(($C97/$BN$157)+($D97/$BN$158)),IF($E97&gt;AK$166,0,IF($E97+365&lt;AK$166,($C97/$BN$157)+($D97/$BN$158),((AK$166-$E97)/365)*(($C97/$BN$157)+($D97/$BN$158))))))</f>
        <v>0</v>
      </c>
      <c r="AL196" s="24">
        <f t="shared" si="49"/>
        <v>0</v>
      </c>
      <c r="AM196" s="24">
        <f t="shared" si="50"/>
        <v>0</v>
      </c>
      <c r="AN196" s="55">
        <f t="shared" si="51"/>
        <v>0</v>
      </c>
      <c r="AO196" s="55">
        <f t="shared" si="52"/>
        <v>0</v>
      </c>
      <c r="AP196" s="24"/>
      <c r="AQ196" s="24"/>
      <c r="AR196" s="24"/>
      <c r="AS196" s="24"/>
      <c r="AT196" s="24"/>
      <c r="AU196" s="24"/>
      <c r="AV196" s="24"/>
      <c r="AW196" s="24"/>
      <c r="AX196" s="24"/>
      <c r="AY196" s="24"/>
    </row>
    <row r="197" spans="7:51">
      <c r="G197" s="12">
        <f t="shared" si="39"/>
        <v>0</v>
      </c>
      <c r="H197" s="12">
        <f t="shared" si="78"/>
        <v>0</v>
      </c>
      <c r="I197" s="12">
        <f t="shared" si="78"/>
        <v>0</v>
      </c>
      <c r="J197" s="12">
        <f t="shared" si="78"/>
        <v>0</v>
      </c>
      <c r="K197" s="12">
        <f t="shared" si="41"/>
        <v>0</v>
      </c>
      <c r="L197" s="12">
        <f t="shared" si="79"/>
        <v>0</v>
      </c>
      <c r="M197" s="12">
        <f t="shared" si="79"/>
        <v>0</v>
      </c>
      <c r="N197" s="12">
        <f t="shared" si="79"/>
        <v>0</v>
      </c>
      <c r="O197" s="12">
        <f t="shared" si="43"/>
        <v>0</v>
      </c>
      <c r="P197" s="12">
        <f t="shared" si="80"/>
        <v>0</v>
      </c>
      <c r="Q197" s="12">
        <f t="shared" si="80"/>
        <v>0</v>
      </c>
      <c r="T197" s="61"/>
      <c r="U197" s="61"/>
      <c r="V197" s="61"/>
      <c r="W197" s="53">
        <f t="shared" si="45"/>
        <v>0</v>
      </c>
      <c r="X197" s="54" t="e">
        <f t="shared" si="46"/>
        <v>#DIV/0!</v>
      </c>
      <c r="Y197" s="25">
        <f t="shared" si="53"/>
        <v>0</v>
      </c>
      <c r="Z197" s="54">
        <f t="shared" si="58"/>
        <v>0</v>
      </c>
      <c r="AA197" s="54">
        <f t="shared" si="73"/>
        <v>0</v>
      </c>
      <c r="AB197" s="54">
        <f t="shared" si="73"/>
        <v>0</v>
      </c>
      <c r="AC197" s="54">
        <f t="shared" si="73"/>
        <v>0</v>
      </c>
      <c r="AD197" s="54">
        <f t="shared" si="73"/>
        <v>0</v>
      </c>
      <c r="AE197" s="54">
        <f t="shared" si="73"/>
        <v>0</v>
      </c>
      <c r="AF197" s="54">
        <f t="shared" si="73"/>
        <v>0</v>
      </c>
      <c r="AG197" s="54">
        <f t="shared" si="73"/>
        <v>0</v>
      </c>
      <c r="AH197" s="54">
        <f t="shared" si="73"/>
        <v>0</v>
      </c>
      <c r="AI197" s="54">
        <f t="shared" si="73"/>
        <v>0</v>
      </c>
      <c r="AJ197" s="54">
        <f t="shared" si="73"/>
        <v>0</v>
      </c>
      <c r="AK197" s="54">
        <f t="shared" ref="AK197" si="91">IF($E98+365&lt;$C$56,0,IF($E98&lt;$C$56,(($E98+365-$C$56)/365)*(($C98/$BN$157)+($D98/$BN$158)),IF($E98&gt;AK$166,0,IF($E98+365&lt;AK$166,($C98/$BN$157)+($D98/$BN$158),((AK$166-$E98)/365)*(($C98/$BN$157)+($D98/$BN$158))))))</f>
        <v>0</v>
      </c>
      <c r="AL197" s="24">
        <f t="shared" si="49"/>
        <v>0</v>
      </c>
      <c r="AM197" s="24">
        <f t="shared" si="50"/>
        <v>0</v>
      </c>
      <c r="AN197" s="55">
        <f t="shared" si="51"/>
        <v>0</v>
      </c>
      <c r="AO197" s="55">
        <f t="shared" si="52"/>
        <v>0</v>
      </c>
      <c r="AP197" s="24"/>
      <c r="AQ197" s="24"/>
      <c r="AR197" s="24"/>
      <c r="AS197" s="24"/>
      <c r="AT197" s="24"/>
      <c r="AU197" s="24"/>
      <c r="AV197" s="24"/>
      <c r="AW197" s="24"/>
      <c r="AX197" s="24"/>
      <c r="AY197" s="24"/>
    </row>
    <row r="198" spans="7:51">
      <c r="G198" s="12">
        <f t="shared" si="39"/>
        <v>0</v>
      </c>
      <c r="H198" s="12">
        <f t="shared" si="78"/>
        <v>0</v>
      </c>
      <c r="I198" s="12">
        <f t="shared" si="78"/>
        <v>0</v>
      </c>
      <c r="J198" s="12">
        <f t="shared" si="78"/>
        <v>0</v>
      </c>
      <c r="K198" s="12">
        <f t="shared" si="41"/>
        <v>0</v>
      </c>
      <c r="L198" s="12">
        <f t="shared" si="79"/>
        <v>0</v>
      </c>
      <c r="M198" s="12">
        <f t="shared" si="79"/>
        <v>0</v>
      </c>
      <c r="N198" s="12">
        <f t="shared" si="79"/>
        <v>0</v>
      </c>
      <c r="O198" s="12">
        <f t="shared" si="43"/>
        <v>0</v>
      </c>
      <c r="P198" s="12">
        <f t="shared" si="80"/>
        <v>0</v>
      </c>
      <c r="Q198" s="12">
        <f t="shared" si="80"/>
        <v>0</v>
      </c>
      <c r="T198" s="61"/>
      <c r="U198" s="61"/>
      <c r="V198" s="61"/>
      <c r="W198" s="53">
        <f t="shared" si="45"/>
        <v>0</v>
      </c>
      <c r="X198" s="54" t="e">
        <f t="shared" si="46"/>
        <v>#DIV/0!</v>
      </c>
      <c r="Y198" s="25">
        <f t="shared" si="53"/>
        <v>0</v>
      </c>
      <c r="Z198" s="54">
        <f t="shared" si="58"/>
        <v>0</v>
      </c>
      <c r="AA198" s="54">
        <f t="shared" si="73"/>
        <v>0</v>
      </c>
      <c r="AB198" s="54">
        <f t="shared" si="73"/>
        <v>0</v>
      </c>
      <c r="AC198" s="54">
        <f t="shared" si="73"/>
        <v>0</v>
      </c>
      <c r="AD198" s="54">
        <f t="shared" si="73"/>
        <v>0</v>
      </c>
      <c r="AE198" s="54">
        <f t="shared" si="73"/>
        <v>0</v>
      </c>
      <c r="AF198" s="54">
        <f t="shared" si="73"/>
        <v>0</v>
      </c>
      <c r="AG198" s="54">
        <f t="shared" si="73"/>
        <v>0</v>
      </c>
      <c r="AH198" s="54">
        <f t="shared" si="73"/>
        <v>0</v>
      </c>
      <c r="AI198" s="54">
        <f t="shared" si="73"/>
        <v>0</v>
      </c>
      <c r="AJ198" s="54">
        <f t="shared" si="73"/>
        <v>0</v>
      </c>
      <c r="AK198" s="54">
        <f t="shared" ref="AK198" si="92">IF($E99+365&lt;$C$56,0,IF($E99&lt;$C$56,(($E99+365-$C$56)/365)*(($C99/$BN$157)+($D99/$BN$158)),IF($E99&gt;AK$166,0,IF($E99+365&lt;AK$166,($C99/$BN$157)+($D99/$BN$158),((AK$166-$E99)/365)*(($C99/$BN$157)+($D99/$BN$158))))))</f>
        <v>0</v>
      </c>
      <c r="AL198" s="24">
        <f t="shared" si="49"/>
        <v>0</v>
      </c>
      <c r="AM198" s="24">
        <f t="shared" si="50"/>
        <v>0</v>
      </c>
      <c r="AN198" s="55">
        <f t="shared" si="51"/>
        <v>0</v>
      </c>
      <c r="AO198" s="55">
        <f t="shared" si="52"/>
        <v>0</v>
      </c>
      <c r="AP198" s="24"/>
      <c r="AQ198" s="24"/>
      <c r="AR198" s="24"/>
      <c r="AS198" s="24"/>
      <c r="AT198" s="24"/>
      <c r="AU198" s="24"/>
      <c r="AV198" s="24"/>
      <c r="AW198" s="24"/>
      <c r="AX198" s="24"/>
      <c r="AY198" s="24"/>
    </row>
    <row r="199" spans="7:51">
      <c r="G199" s="12">
        <f t="shared" si="39"/>
        <v>0</v>
      </c>
      <c r="H199" s="12">
        <f t="shared" si="78"/>
        <v>0</v>
      </c>
      <c r="I199" s="12">
        <f t="shared" si="78"/>
        <v>0</v>
      </c>
      <c r="J199" s="12">
        <f t="shared" si="78"/>
        <v>0</v>
      </c>
      <c r="K199" s="12">
        <f t="shared" si="41"/>
        <v>0</v>
      </c>
      <c r="L199" s="12">
        <f t="shared" si="79"/>
        <v>0</v>
      </c>
      <c r="M199" s="12">
        <f t="shared" si="79"/>
        <v>0</v>
      </c>
      <c r="N199" s="12">
        <f t="shared" si="79"/>
        <v>0</v>
      </c>
      <c r="O199" s="12">
        <f t="shared" si="43"/>
        <v>0</v>
      </c>
      <c r="P199" s="12">
        <f t="shared" si="80"/>
        <v>0</v>
      </c>
      <c r="Q199" s="12">
        <f t="shared" si="80"/>
        <v>0</v>
      </c>
      <c r="T199" s="61"/>
      <c r="U199" s="61"/>
      <c r="V199" s="61"/>
      <c r="W199" s="53">
        <f t="shared" si="45"/>
        <v>0</v>
      </c>
      <c r="X199" s="54" t="e">
        <f t="shared" si="46"/>
        <v>#DIV/0!</v>
      </c>
      <c r="Y199" s="25">
        <f t="shared" si="53"/>
        <v>0</v>
      </c>
      <c r="Z199" s="54">
        <f t="shared" si="58"/>
        <v>0</v>
      </c>
      <c r="AA199" s="54">
        <f t="shared" ref="AA199:AJ213" si="93">IF($E100+365&lt;$C$56,0,IF($E100&lt;$C$56,(($E100+365-$C$56)/365)*(($C100/$BN$157)+($D100/$BN$158)),IF($E100&gt;AA$166,0,IF($E100+365&lt;AA$166,($C100/$BN$157)+($D100/$BN$158),((AA$166-$E100)/365)*(($C100/$BN$157)+($D100/$BN$158))))))</f>
        <v>0</v>
      </c>
      <c r="AB199" s="54">
        <f t="shared" si="93"/>
        <v>0</v>
      </c>
      <c r="AC199" s="54">
        <f t="shared" si="93"/>
        <v>0</v>
      </c>
      <c r="AD199" s="54">
        <f t="shared" si="93"/>
        <v>0</v>
      </c>
      <c r="AE199" s="54">
        <f t="shared" si="93"/>
        <v>0</v>
      </c>
      <c r="AF199" s="54">
        <f t="shared" si="93"/>
        <v>0</v>
      </c>
      <c r="AG199" s="54">
        <f t="shared" si="93"/>
        <v>0</v>
      </c>
      <c r="AH199" s="54">
        <f t="shared" si="93"/>
        <v>0</v>
      </c>
      <c r="AI199" s="54">
        <f t="shared" si="93"/>
        <v>0</v>
      </c>
      <c r="AJ199" s="54">
        <f t="shared" si="93"/>
        <v>0</v>
      </c>
      <c r="AK199" s="54">
        <f t="shared" ref="AK199" si="94">IF($E100+365&lt;$C$56,0,IF($E100&lt;$C$56,(($E100+365-$C$56)/365)*(($C100/$BN$157)+($D100/$BN$158)),IF($E100&gt;AK$166,0,IF($E100+365&lt;AK$166,($C100/$BN$157)+($D100/$BN$158),((AK$166-$E100)/365)*(($C100/$BN$157)+($D100/$BN$158))))))</f>
        <v>0</v>
      </c>
      <c r="AL199" s="24">
        <f t="shared" si="49"/>
        <v>0</v>
      </c>
      <c r="AM199" s="24">
        <f t="shared" si="50"/>
        <v>0</v>
      </c>
      <c r="AN199" s="55">
        <f t="shared" si="51"/>
        <v>0</v>
      </c>
      <c r="AO199" s="55">
        <f t="shared" si="52"/>
        <v>0</v>
      </c>
      <c r="AP199" s="24"/>
      <c r="AQ199" s="24"/>
      <c r="AR199" s="24"/>
      <c r="AS199" s="24"/>
      <c r="AT199" s="24">
        <v>4</v>
      </c>
      <c r="AU199" s="24">
        <v>120</v>
      </c>
      <c r="AV199" s="24">
        <f>AU199-AU201</f>
        <v>18</v>
      </c>
      <c r="AW199" s="24"/>
      <c r="AX199" s="24"/>
      <c r="AY199" s="24"/>
    </row>
    <row r="200" spans="7:51">
      <c r="G200" s="12">
        <f t="shared" si="39"/>
        <v>0</v>
      </c>
      <c r="H200" s="12">
        <f t="shared" si="78"/>
        <v>0</v>
      </c>
      <c r="I200" s="12">
        <f t="shared" si="78"/>
        <v>0</v>
      </c>
      <c r="J200" s="12">
        <f t="shared" si="78"/>
        <v>0</v>
      </c>
      <c r="K200" s="12">
        <f t="shared" si="41"/>
        <v>0</v>
      </c>
      <c r="L200" s="12">
        <f t="shared" si="79"/>
        <v>0</v>
      </c>
      <c r="M200" s="12">
        <f t="shared" si="79"/>
        <v>0</v>
      </c>
      <c r="N200" s="12">
        <f t="shared" si="79"/>
        <v>0</v>
      </c>
      <c r="O200" s="12">
        <f t="shared" si="43"/>
        <v>0</v>
      </c>
      <c r="P200" s="12">
        <f t="shared" si="80"/>
        <v>0</v>
      </c>
      <c r="Q200" s="12">
        <f t="shared" si="80"/>
        <v>0</v>
      </c>
      <c r="T200" s="61"/>
      <c r="U200" s="61"/>
      <c r="V200" s="61"/>
      <c r="W200" s="53">
        <f t="shared" si="45"/>
        <v>0</v>
      </c>
      <c r="X200" s="54" t="e">
        <f t="shared" si="46"/>
        <v>#DIV/0!</v>
      </c>
      <c r="Y200" s="25">
        <f t="shared" si="53"/>
        <v>0</v>
      </c>
      <c r="Z200" s="54">
        <f t="shared" si="58"/>
        <v>0</v>
      </c>
      <c r="AA200" s="54">
        <f t="shared" si="93"/>
        <v>0</v>
      </c>
      <c r="AB200" s="54">
        <f t="shared" si="93"/>
        <v>0</v>
      </c>
      <c r="AC200" s="54">
        <f t="shared" si="93"/>
        <v>0</v>
      </c>
      <c r="AD200" s="54">
        <f t="shared" si="93"/>
        <v>0</v>
      </c>
      <c r="AE200" s="54">
        <f t="shared" si="93"/>
        <v>0</v>
      </c>
      <c r="AF200" s="54">
        <f t="shared" si="93"/>
        <v>0</v>
      </c>
      <c r="AG200" s="54">
        <f t="shared" si="93"/>
        <v>0</v>
      </c>
      <c r="AH200" s="54">
        <f t="shared" si="93"/>
        <v>0</v>
      </c>
      <c r="AI200" s="54">
        <f t="shared" si="93"/>
        <v>0</v>
      </c>
      <c r="AJ200" s="54">
        <f t="shared" si="93"/>
        <v>0</v>
      </c>
      <c r="AK200" s="54">
        <f t="shared" ref="AK200" si="95">IF($E101+365&lt;$C$56,0,IF($E101&lt;$C$56,(($E101+365-$C$56)/365)*(($C101/$BN$157)+($D101/$BN$158)),IF($E101&gt;AK$166,0,IF($E101+365&lt;AK$166,($C101/$BN$157)+($D101/$BN$158),((AK$166-$E101)/365)*(($C101/$BN$157)+($D101/$BN$158))))))</f>
        <v>0</v>
      </c>
      <c r="AL200" s="24">
        <f t="shared" si="49"/>
        <v>0</v>
      </c>
      <c r="AM200" s="24">
        <f t="shared" si="50"/>
        <v>0</v>
      </c>
      <c r="AN200" s="55">
        <f t="shared" si="51"/>
        <v>0</v>
      </c>
      <c r="AO200" s="55">
        <f t="shared" si="52"/>
        <v>0</v>
      </c>
      <c r="AP200" s="24"/>
      <c r="AQ200" s="24"/>
      <c r="AR200" s="24"/>
      <c r="AS200" s="24">
        <f>AT201-AT200</f>
        <v>4.2222222222222223</v>
      </c>
      <c r="AT200" s="24">
        <f>(AT201-AT199)*AW200</f>
        <v>0.27777777777777779</v>
      </c>
      <c r="AU200" s="24">
        <v>112</v>
      </c>
      <c r="AV200" s="24">
        <f>AU200-AU201</f>
        <v>10</v>
      </c>
      <c r="AW200" s="607">
        <f>AV200/AV199</f>
        <v>0.55555555555555558</v>
      </c>
      <c r="AX200" s="24"/>
      <c r="AY200" s="24"/>
    </row>
    <row r="201" spans="7:51">
      <c r="G201" s="12">
        <f t="shared" si="39"/>
        <v>0</v>
      </c>
      <c r="H201" s="12">
        <f t="shared" si="78"/>
        <v>0</v>
      </c>
      <c r="I201" s="12">
        <f t="shared" si="78"/>
        <v>0</v>
      </c>
      <c r="J201" s="12">
        <f t="shared" si="78"/>
        <v>0</v>
      </c>
      <c r="K201" s="12">
        <f t="shared" si="41"/>
        <v>0</v>
      </c>
      <c r="L201" s="12">
        <f t="shared" si="79"/>
        <v>0</v>
      </c>
      <c r="M201" s="12">
        <f t="shared" si="79"/>
        <v>0</v>
      </c>
      <c r="N201" s="12">
        <f t="shared" si="79"/>
        <v>0</v>
      </c>
      <c r="O201" s="12">
        <f t="shared" si="43"/>
        <v>0</v>
      </c>
      <c r="P201" s="12">
        <f t="shared" si="80"/>
        <v>0</v>
      </c>
      <c r="Q201" s="12">
        <f t="shared" si="80"/>
        <v>0</v>
      </c>
      <c r="T201" s="61"/>
      <c r="U201" s="61"/>
      <c r="V201" s="61"/>
      <c r="W201" s="53">
        <f t="shared" si="45"/>
        <v>0</v>
      </c>
      <c r="X201" s="54" t="e">
        <f t="shared" si="46"/>
        <v>#DIV/0!</v>
      </c>
      <c r="Y201" s="25">
        <f t="shared" si="53"/>
        <v>0</v>
      </c>
      <c r="Z201" s="54">
        <f t="shared" si="58"/>
        <v>0</v>
      </c>
      <c r="AA201" s="54">
        <f t="shared" si="93"/>
        <v>0</v>
      </c>
      <c r="AB201" s="54">
        <f t="shared" si="93"/>
        <v>0</v>
      </c>
      <c r="AC201" s="54">
        <f t="shared" si="93"/>
        <v>0</v>
      </c>
      <c r="AD201" s="54">
        <f t="shared" si="93"/>
        <v>0</v>
      </c>
      <c r="AE201" s="54">
        <f t="shared" si="93"/>
        <v>0</v>
      </c>
      <c r="AF201" s="54">
        <f t="shared" si="93"/>
        <v>0</v>
      </c>
      <c r="AG201" s="54">
        <f t="shared" si="93"/>
        <v>0</v>
      </c>
      <c r="AH201" s="54">
        <f t="shared" si="93"/>
        <v>0</v>
      </c>
      <c r="AI201" s="54">
        <f t="shared" si="93"/>
        <v>0</v>
      </c>
      <c r="AJ201" s="54">
        <f t="shared" si="93"/>
        <v>0</v>
      </c>
      <c r="AK201" s="54">
        <f t="shared" ref="AK201" si="96">IF($E102+365&lt;$C$56,0,IF($E102&lt;$C$56,(($E102+365-$C$56)/365)*(($C102/$BN$157)+($D102/$BN$158)),IF($E102&gt;AK$166,0,IF($E102+365&lt;AK$166,($C102/$BN$157)+($D102/$BN$158),((AK$166-$E102)/365)*(($C102/$BN$157)+($D102/$BN$158))))))</f>
        <v>0</v>
      </c>
      <c r="AL201" s="24">
        <f t="shared" si="49"/>
        <v>0</v>
      </c>
      <c r="AM201" s="24">
        <f t="shared" si="50"/>
        <v>0</v>
      </c>
      <c r="AN201" s="55">
        <f t="shared" si="51"/>
        <v>0</v>
      </c>
      <c r="AO201" s="55">
        <f t="shared" si="52"/>
        <v>0</v>
      </c>
      <c r="AP201" s="24"/>
      <c r="AQ201" s="24"/>
      <c r="AR201" s="24"/>
      <c r="AS201" s="24"/>
      <c r="AT201" s="24">
        <v>4.5</v>
      </c>
      <c r="AU201" s="24">
        <v>102</v>
      </c>
      <c r="AV201" s="24"/>
      <c r="AW201" s="24"/>
      <c r="AX201" s="24"/>
      <c r="AY201" s="24"/>
    </row>
    <row r="202" spans="7:51">
      <c r="G202" s="12">
        <f t="shared" si="39"/>
        <v>0</v>
      </c>
      <c r="H202" s="12">
        <f t="shared" si="78"/>
        <v>0</v>
      </c>
      <c r="I202" s="12">
        <f t="shared" si="78"/>
        <v>0</v>
      </c>
      <c r="J202" s="12">
        <f t="shared" si="78"/>
        <v>0</v>
      </c>
      <c r="K202" s="12">
        <f t="shared" si="41"/>
        <v>0</v>
      </c>
      <c r="L202" s="12">
        <f t="shared" si="79"/>
        <v>0</v>
      </c>
      <c r="M202" s="12">
        <f t="shared" si="79"/>
        <v>0</v>
      </c>
      <c r="N202" s="12">
        <f t="shared" si="79"/>
        <v>0</v>
      </c>
      <c r="O202" s="12">
        <f t="shared" si="43"/>
        <v>0</v>
      </c>
      <c r="P202" s="12">
        <f t="shared" si="80"/>
        <v>0</v>
      </c>
      <c r="Q202" s="12">
        <f t="shared" si="80"/>
        <v>0</v>
      </c>
      <c r="T202" s="61"/>
      <c r="U202" s="61"/>
      <c r="V202" s="61"/>
      <c r="W202" s="53">
        <f t="shared" si="45"/>
        <v>0</v>
      </c>
      <c r="X202" s="54" t="e">
        <f t="shared" si="46"/>
        <v>#DIV/0!</v>
      </c>
      <c r="Y202" s="25">
        <f t="shared" si="53"/>
        <v>0</v>
      </c>
      <c r="Z202" s="54">
        <f t="shared" si="58"/>
        <v>0</v>
      </c>
      <c r="AA202" s="54">
        <f t="shared" si="93"/>
        <v>0</v>
      </c>
      <c r="AB202" s="54">
        <f t="shared" si="93"/>
        <v>0</v>
      </c>
      <c r="AC202" s="54">
        <f t="shared" si="93"/>
        <v>0</v>
      </c>
      <c r="AD202" s="54">
        <f t="shared" si="93"/>
        <v>0</v>
      </c>
      <c r="AE202" s="54">
        <f t="shared" si="93"/>
        <v>0</v>
      </c>
      <c r="AF202" s="54">
        <f t="shared" si="93"/>
        <v>0</v>
      </c>
      <c r="AG202" s="54">
        <f t="shared" si="93"/>
        <v>0</v>
      </c>
      <c r="AH202" s="54">
        <f t="shared" si="93"/>
        <v>0</v>
      </c>
      <c r="AI202" s="54">
        <f t="shared" si="93"/>
        <v>0</v>
      </c>
      <c r="AJ202" s="54">
        <f t="shared" si="93"/>
        <v>0</v>
      </c>
      <c r="AK202" s="54">
        <f t="shared" ref="AK202" si="97">IF($E103+365&lt;$C$56,0,IF($E103&lt;$C$56,(($E103+365-$C$56)/365)*(($C103/$BN$157)+($D103/$BN$158)),IF($E103&gt;AK$166,0,IF($E103+365&lt;AK$166,($C103/$BN$157)+($D103/$BN$158),((AK$166-$E103)/365)*(($C103/$BN$157)+($D103/$BN$158))))))</f>
        <v>0</v>
      </c>
      <c r="AL202" s="24">
        <f t="shared" si="49"/>
        <v>0</v>
      </c>
      <c r="AM202" s="24">
        <f t="shared" si="50"/>
        <v>0</v>
      </c>
      <c r="AN202" s="55">
        <f t="shared" si="51"/>
        <v>0</v>
      </c>
      <c r="AO202" s="55">
        <f t="shared" si="52"/>
        <v>0</v>
      </c>
      <c r="AP202" s="24"/>
      <c r="AQ202" s="24"/>
      <c r="AR202" s="24"/>
      <c r="AS202" s="24"/>
      <c r="AT202" s="24"/>
      <c r="AU202" s="24"/>
      <c r="AV202" s="24"/>
      <c r="AW202" s="24"/>
      <c r="AX202" s="24"/>
      <c r="AY202" s="24"/>
    </row>
    <row r="203" spans="7:51">
      <c r="G203" s="12">
        <f t="shared" si="39"/>
        <v>0</v>
      </c>
      <c r="H203" s="12">
        <f t="shared" si="78"/>
        <v>0</v>
      </c>
      <c r="I203" s="12">
        <f t="shared" si="78"/>
        <v>0</v>
      </c>
      <c r="J203" s="12">
        <f t="shared" si="78"/>
        <v>0</v>
      </c>
      <c r="K203" s="12">
        <f t="shared" si="41"/>
        <v>0</v>
      </c>
      <c r="L203" s="12">
        <f t="shared" si="79"/>
        <v>0</v>
      </c>
      <c r="M203" s="12">
        <f t="shared" si="79"/>
        <v>0</v>
      </c>
      <c r="N203" s="12">
        <f t="shared" si="79"/>
        <v>0</v>
      </c>
      <c r="O203" s="12">
        <f t="shared" si="43"/>
        <v>0</v>
      </c>
      <c r="P203" s="12">
        <f t="shared" si="80"/>
        <v>0</v>
      </c>
      <c r="Q203" s="12">
        <f t="shared" si="80"/>
        <v>0</v>
      </c>
      <c r="T203" s="61"/>
      <c r="U203" s="61"/>
      <c r="V203" s="61"/>
      <c r="W203" s="53">
        <f t="shared" si="45"/>
        <v>0</v>
      </c>
      <c r="X203" s="54" t="e">
        <f t="shared" si="46"/>
        <v>#DIV/0!</v>
      </c>
      <c r="Y203" s="25">
        <f t="shared" si="53"/>
        <v>0</v>
      </c>
      <c r="Z203" s="54">
        <f t="shared" si="58"/>
        <v>0</v>
      </c>
      <c r="AA203" s="54">
        <f t="shared" si="93"/>
        <v>0</v>
      </c>
      <c r="AB203" s="54">
        <f t="shared" si="93"/>
        <v>0</v>
      </c>
      <c r="AC203" s="54">
        <f t="shared" si="93"/>
        <v>0</v>
      </c>
      <c r="AD203" s="54">
        <f t="shared" si="93"/>
        <v>0</v>
      </c>
      <c r="AE203" s="54">
        <f t="shared" si="93"/>
        <v>0</v>
      </c>
      <c r="AF203" s="54">
        <f t="shared" si="93"/>
        <v>0</v>
      </c>
      <c r="AG203" s="54">
        <f t="shared" si="93"/>
        <v>0</v>
      </c>
      <c r="AH203" s="54">
        <f t="shared" si="93"/>
        <v>0</v>
      </c>
      <c r="AI203" s="54">
        <f t="shared" si="93"/>
        <v>0</v>
      </c>
      <c r="AJ203" s="54">
        <f t="shared" si="93"/>
        <v>0</v>
      </c>
      <c r="AK203" s="54">
        <f t="shared" ref="AK203" si="98">IF($E104+365&lt;$C$56,0,IF($E104&lt;$C$56,(($E104+365-$C$56)/365)*(($C104/$BN$157)+($D104/$BN$158)),IF($E104&gt;AK$166,0,IF($E104+365&lt;AK$166,($C104/$BN$157)+($D104/$BN$158),((AK$166-$E104)/365)*(($C104/$BN$157)+($D104/$BN$158))))))</f>
        <v>0</v>
      </c>
      <c r="AL203" s="24">
        <f t="shared" si="49"/>
        <v>0</v>
      </c>
      <c r="AM203" s="24">
        <f t="shared" si="50"/>
        <v>0</v>
      </c>
      <c r="AN203" s="55">
        <f t="shared" si="51"/>
        <v>0</v>
      </c>
      <c r="AO203" s="55">
        <f t="shared" si="52"/>
        <v>0</v>
      </c>
      <c r="AP203" s="24"/>
      <c r="AQ203" s="24"/>
      <c r="AR203" s="24"/>
      <c r="AS203" s="24"/>
      <c r="AT203" s="24"/>
      <c r="AU203" s="24"/>
      <c r="AV203" s="24"/>
      <c r="AW203" s="24"/>
      <c r="AX203" s="24"/>
      <c r="AY203" s="24"/>
    </row>
    <row r="204" spans="7:51">
      <c r="G204" s="12">
        <f t="shared" si="39"/>
        <v>0</v>
      </c>
      <c r="H204" s="12">
        <f t="shared" si="78"/>
        <v>0</v>
      </c>
      <c r="I204" s="12">
        <f t="shared" si="78"/>
        <v>0</v>
      </c>
      <c r="J204" s="12">
        <f t="shared" si="78"/>
        <v>0</v>
      </c>
      <c r="K204" s="12">
        <f t="shared" si="41"/>
        <v>0</v>
      </c>
      <c r="L204" s="12">
        <f t="shared" si="79"/>
        <v>0</v>
      </c>
      <c r="M204" s="12">
        <f t="shared" si="79"/>
        <v>0</v>
      </c>
      <c r="N204" s="12">
        <f t="shared" si="79"/>
        <v>0</v>
      </c>
      <c r="O204" s="12">
        <f t="shared" si="43"/>
        <v>0</v>
      </c>
      <c r="P204" s="12">
        <f t="shared" si="80"/>
        <v>0</v>
      </c>
      <c r="Q204" s="12">
        <f t="shared" si="80"/>
        <v>0</v>
      </c>
      <c r="T204" s="61"/>
      <c r="U204" s="61"/>
      <c r="V204" s="61"/>
      <c r="W204" s="53">
        <f t="shared" si="45"/>
        <v>0</v>
      </c>
      <c r="X204" s="54" t="e">
        <f t="shared" si="46"/>
        <v>#DIV/0!</v>
      </c>
      <c r="Y204" s="25">
        <f t="shared" si="53"/>
        <v>0</v>
      </c>
      <c r="Z204" s="54">
        <f t="shared" si="58"/>
        <v>0</v>
      </c>
      <c r="AA204" s="54">
        <f t="shared" si="93"/>
        <v>0</v>
      </c>
      <c r="AB204" s="54">
        <f t="shared" si="93"/>
        <v>0</v>
      </c>
      <c r="AC204" s="54">
        <f t="shared" si="93"/>
        <v>0</v>
      </c>
      <c r="AD204" s="54">
        <f t="shared" si="93"/>
        <v>0</v>
      </c>
      <c r="AE204" s="54">
        <f t="shared" si="93"/>
        <v>0</v>
      </c>
      <c r="AF204" s="54">
        <f t="shared" si="93"/>
        <v>0</v>
      </c>
      <c r="AG204" s="54">
        <f t="shared" si="93"/>
        <v>0</v>
      </c>
      <c r="AH204" s="54">
        <f t="shared" si="93"/>
        <v>0</v>
      </c>
      <c r="AI204" s="54">
        <f t="shared" si="93"/>
        <v>0</v>
      </c>
      <c r="AJ204" s="54">
        <f t="shared" si="93"/>
        <v>0</v>
      </c>
      <c r="AK204" s="54">
        <f t="shared" ref="AK204" si="99">IF($E105+365&lt;$C$56,0,IF($E105&lt;$C$56,(($E105+365-$C$56)/365)*(($C105/$BN$157)+($D105/$BN$158)),IF($E105&gt;AK$166,0,IF($E105+365&lt;AK$166,($C105/$BN$157)+($D105/$BN$158),((AK$166-$E105)/365)*(($C105/$BN$157)+($D105/$BN$158))))))</f>
        <v>0</v>
      </c>
      <c r="AL204" s="24">
        <f t="shared" si="49"/>
        <v>0</v>
      </c>
      <c r="AM204" s="24">
        <f t="shared" si="50"/>
        <v>0</v>
      </c>
      <c r="AN204" s="55">
        <f t="shared" si="51"/>
        <v>0</v>
      </c>
      <c r="AO204" s="55">
        <f t="shared" si="52"/>
        <v>0</v>
      </c>
      <c r="AP204" s="24"/>
      <c r="AQ204" s="24"/>
      <c r="AR204" s="24"/>
      <c r="AS204" s="24"/>
      <c r="AT204" s="24"/>
      <c r="AU204" s="24"/>
      <c r="AV204" s="24"/>
      <c r="AW204" s="24"/>
      <c r="AX204" s="24"/>
      <c r="AY204" s="24"/>
    </row>
    <row r="205" spans="7:51">
      <c r="G205" s="12">
        <f t="shared" si="39"/>
        <v>0</v>
      </c>
      <c r="H205" s="12">
        <f t="shared" si="78"/>
        <v>0</v>
      </c>
      <c r="I205" s="12">
        <f t="shared" si="78"/>
        <v>0</v>
      </c>
      <c r="J205" s="12">
        <f t="shared" si="78"/>
        <v>0</v>
      </c>
      <c r="K205" s="12">
        <f t="shared" si="41"/>
        <v>0</v>
      </c>
      <c r="L205" s="12">
        <f t="shared" si="79"/>
        <v>0</v>
      </c>
      <c r="M205" s="12">
        <f t="shared" si="79"/>
        <v>0</v>
      </c>
      <c r="N205" s="12">
        <f t="shared" si="79"/>
        <v>0</v>
      </c>
      <c r="O205" s="12">
        <f t="shared" si="43"/>
        <v>0</v>
      </c>
      <c r="P205" s="12">
        <f t="shared" si="80"/>
        <v>0</v>
      </c>
      <c r="Q205" s="12">
        <f t="shared" si="80"/>
        <v>0</v>
      </c>
      <c r="T205" s="61"/>
      <c r="U205" s="61"/>
      <c r="V205" s="61"/>
      <c r="W205" s="53">
        <f t="shared" si="45"/>
        <v>0</v>
      </c>
      <c r="X205" s="54" t="e">
        <f t="shared" si="46"/>
        <v>#DIV/0!</v>
      </c>
      <c r="Y205" s="25">
        <f t="shared" si="53"/>
        <v>0</v>
      </c>
      <c r="Z205" s="54">
        <f t="shared" si="58"/>
        <v>0</v>
      </c>
      <c r="AA205" s="54">
        <f t="shared" si="93"/>
        <v>0</v>
      </c>
      <c r="AB205" s="54">
        <f t="shared" si="93"/>
        <v>0</v>
      </c>
      <c r="AC205" s="54">
        <f t="shared" si="93"/>
        <v>0</v>
      </c>
      <c r="AD205" s="54">
        <f t="shared" si="93"/>
        <v>0</v>
      </c>
      <c r="AE205" s="54">
        <f t="shared" si="93"/>
        <v>0</v>
      </c>
      <c r="AF205" s="54">
        <f t="shared" si="93"/>
        <v>0</v>
      </c>
      <c r="AG205" s="54">
        <f t="shared" si="93"/>
        <v>0</v>
      </c>
      <c r="AH205" s="54">
        <f t="shared" si="93"/>
        <v>0</v>
      </c>
      <c r="AI205" s="54">
        <f t="shared" si="93"/>
        <v>0</v>
      </c>
      <c r="AJ205" s="54">
        <f t="shared" si="93"/>
        <v>0</v>
      </c>
      <c r="AK205" s="54">
        <f t="shared" ref="AK205" si="100">IF($E106+365&lt;$C$56,0,IF($E106&lt;$C$56,(($E106+365-$C$56)/365)*(($C106/$BN$157)+($D106/$BN$158)),IF($E106&gt;AK$166,0,IF($E106+365&lt;AK$166,($C106/$BN$157)+($D106/$BN$158),((AK$166-$E106)/365)*(($C106/$BN$157)+($D106/$BN$158))))))</f>
        <v>0</v>
      </c>
      <c r="AL205" s="24">
        <f t="shared" si="49"/>
        <v>0</v>
      </c>
      <c r="AM205" s="24">
        <f t="shared" si="50"/>
        <v>0</v>
      </c>
      <c r="AN205" s="55">
        <f t="shared" si="51"/>
        <v>0</v>
      </c>
      <c r="AO205" s="55">
        <f t="shared" si="52"/>
        <v>0</v>
      </c>
      <c r="AP205" s="24"/>
      <c r="AQ205" s="24"/>
      <c r="AR205" s="24"/>
      <c r="AS205" s="24"/>
      <c r="AT205" s="24"/>
      <c r="AU205" s="24"/>
      <c r="AV205" s="24"/>
      <c r="AW205" s="24"/>
      <c r="AX205" s="24"/>
      <c r="AY205" s="24"/>
    </row>
    <row r="206" spans="7:51">
      <c r="G206" s="12">
        <f t="shared" si="39"/>
        <v>0</v>
      </c>
      <c r="H206" s="12">
        <f t="shared" si="78"/>
        <v>0</v>
      </c>
      <c r="I206" s="12">
        <f t="shared" si="78"/>
        <v>0</v>
      </c>
      <c r="J206" s="12">
        <f t="shared" si="78"/>
        <v>0</v>
      </c>
      <c r="K206" s="12">
        <f t="shared" si="41"/>
        <v>0</v>
      </c>
      <c r="L206" s="12">
        <f t="shared" si="79"/>
        <v>0</v>
      </c>
      <c r="M206" s="12">
        <f t="shared" si="79"/>
        <v>0</v>
      </c>
      <c r="N206" s="12">
        <f t="shared" si="79"/>
        <v>0</v>
      </c>
      <c r="O206" s="12">
        <f t="shared" si="43"/>
        <v>0</v>
      </c>
      <c r="P206" s="12">
        <f t="shared" si="80"/>
        <v>0</v>
      </c>
      <c r="Q206" s="12">
        <f t="shared" si="80"/>
        <v>0</v>
      </c>
      <c r="T206" s="61"/>
      <c r="U206" s="61"/>
      <c r="V206" s="61"/>
      <c r="W206" s="53">
        <f t="shared" si="45"/>
        <v>0</v>
      </c>
      <c r="X206" s="54" t="e">
        <f t="shared" si="46"/>
        <v>#DIV/0!</v>
      </c>
      <c r="Y206" s="25">
        <f t="shared" si="53"/>
        <v>0</v>
      </c>
      <c r="Z206" s="54">
        <f t="shared" si="58"/>
        <v>0</v>
      </c>
      <c r="AA206" s="54">
        <f t="shared" si="93"/>
        <v>0</v>
      </c>
      <c r="AB206" s="54">
        <f t="shared" si="93"/>
        <v>0</v>
      </c>
      <c r="AC206" s="54">
        <f t="shared" si="93"/>
        <v>0</v>
      </c>
      <c r="AD206" s="54">
        <f t="shared" si="93"/>
        <v>0</v>
      </c>
      <c r="AE206" s="54">
        <f t="shared" si="93"/>
        <v>0</v>
      </c>
      <c r="AF206" s="54">
        <f t="shared" si="93"/>
        <v>0</v>
      </c>
      <c r="AG206" s="54">
        <f t="shared" si="93"/>
        <v>0</v>
      </c>
      <c r="AH206" s="54">
        <f t="shared" si="93"/>
        <v>0</v>
      </c>
      <c r="AI206" s="54">
        <f t="shared" si="93"/>
        <v>0</v>
      </c>
      <c r="AJ206" s="54">
        <f t="shared" si="93"/>
        <v>0</v>
      </c>
      <c r="AK206" s="54">
        <f t="shared" ref="AK206" si="101">IF($E107+365&lt;$C$56,0,IF($E107&lt;$C$56,(($E107+365-$C$56)/365)*(($C107/$BN$157)+($D107/$BN$158)),IF($E107&gt;AK$166,0,IF($E107+365&lt;AK$166,($C107/$BN$157)+($D107/$BN$158),((AK$166-$E107)/365)*(($C107/$BN$157)+($D107/$BN$158))))))</f>
        <v>0</v>
      </c>
      <c r="AL206" s="24">
        <f t="shared" si="49"/>
        <v>0</v>
      </c>
      <c r="AM206" s="24">
        <f t="shared" si="50"/>
        <v>0</v>
      </c>
      <c r="AN206" s="55">
        <f t="shared" si="51"/>
        <v>0</v>
      </c>
      <c r="AO206" s="55">
        <f t="shared" si="52"/>
        <v>0</v>
      </c>
      <c r="AP206" s="24"/>
      <c r="AQ206" s="24"/>
      <c r="AR206" s="24"/>
      <c r="AS206" s="24"/>
      <c r="AT206" s="24"/>
      <c r="AU206" s="24"/>
      <c r="AV206" s="24"/>
      <c r="AW206" s="24"/>
      <c r="AX206" s="24"/>
      <c r="AY206" s="24"/>
    </row>
    <row r="207" spans="7:51">
      <c r="G207" s="12">
        <f t="shared" si="39"/>
        <v>0</v>
      </c>
      <c r="H207" s="12">
        <f t="shared" ref="H207:J209" si="102">IF($E109&gt;H$66,0,IF($E109&lt;H$66-365,$C109,0))</f>
        <v>0</v>
      </c>
      <c r="I207" s="12">
        <f t="shared" si="102"/>
        <v>0</v>
      </c>
      <c r="J207" s="12">
        <f t="shared" si="102"/>
        <v>0</v>
      </c>
      <c r="K207" s="12">
        <f t="shared" si="41"/>
        <v>0</v>
      </c>
      <c r="L207" s="12">
        <f t="shared" ref="L207:N209" si="103">IF($E109&gt;L$66,0,IF($E109&lt;L$66-365,$C109,0))</f>
        <v>0</v>
      </c>
      <c r="M207" s="12">
        <f t="shared" si="103"/>
        <v>0</v>
      </c>
      <c r="N207" s="12">
        <f t="shared" si="103"/>
        <v>0</v>
      </c>
      <c r="O207" s="12">
        <f t="shared" si="43"/>
        <v>0</v>
      </c>
      <c r="P207" s="12">
        <f t="shared" ref="P207:Q209" si="104">IF($E109&gt;P$66,0,IF($E109&lt;P$66-365,$C109,0))</f>
        <v>0</v>
      </c>
      <c r="Q207" s="12">
        <f t="shared" si="104"/>
        <v>0</v>
      </c>
      <c r="T207" s="61"/>
      <c r="U207" s="61"/>
      <c r="V207" s="61"/>
      <c r="W207" s="53">
        <f t="shared" si="45"/>
        <v>0</v>
      </c>
      <c r="X207" s="54" t="e">
        <f t="shared" si="46"/>
        <v>#DIV/0!</v>
      </c>
      <c r="Y207" s="25">
        <f t="shared" si="53"/>
        <v>0</v>
      </c>
      <c r="Z207" s="54">
        <f t="shared" si="58"/>
        <v>0</v>
      </c>
      <c r="AA207" s="54">
        <f t="shared" si="93"/>
        <v>0</v>
      </c>
      <c r="AB207" s="54">
        <f t="shared" si="93"/>
        <v>0</v>
      </c>
      <c r="AC207" s="54">
        <f t="shared" si="93"/>
        <v>0</v>
      </c>
      <c r="AD207" s="54">
        <f t="shared" si="93"/>
        <v>0</v>
      </c>
      <c r="AE207" s="54">
        <f t="shared" si="93"/>
        <v>0</v>
      </c>
      <c r="AF207" s="54">
        <f t="shared" si="93"/>
        <v>0</v>
      </c>
      <c r="AG207" s="54">
        <f t="shared" si="93"/>
        <v>0</v>
      </c>
      <c r="AH207" s="54">
        <f t="shared" si="93"/>
        <v>0</v>
      </c>
      <c r="AI207" s="54">
        <f t="shared" si="93"/>
        <v>0</v>
      </c>
      <c r="AJ207" s="54">
        <f t="shared" si="93"/>
        <v>0</v>
      </c>
      <c r="AK207" s="54">
        <f t="shared" ref="AK207" si="105">IF($E108+365&lt;$C$56,0,IF($E108&lt;$C$56,(($E108+365-$C$56)/365)*(($C108/$BN$157)+($D108/$BN$158)),IF($E108&gt;AK$166,0,IF($E108+365&lt;AK$166,($C108/$BN$157)+($D108/$BN$158),((AK$166-$E108)/365)*(($C108/$BN$157)+($D108/$BN$158))))))</f>
        <v>0</v>
      </c>
      <c r="AL207" s="24">
        <f t="shared" si="49"/>
        <v>0</v>
      </c>
      <c r="AM207" s="24">
        <f t="shared" si="50"/>
        <v>0</v>
      </c>
      <c r="AN207" s="55">
        <f t="shared" si="51"/>
        <v>0</v>
      </c>
      <c r="AO207" s="55">
        <f t="shared" si="52"/>
        <v>0</v>
      </c>
      <c r="AP207" s="24"/>
      <c r="AQ207" s="24"/>
      <c r="AR207" s="24"/>
      <c r="AS207" s="24"/>
      <c r="AT207" s="24"/>
      <c r="AU207" s="24"/>
      <c r="AV207" s="24"/>
      <c r="AW207" s="24"/>
      <c r="AX207" s="24"/>
      <c r="AY207" s="24"/>
    </row>
    <row r="208" spans="7:51">
      <c r="G208" s="12">
        <f t="shared" si="39"/>
        <v>0</v>
      </c>
      <c r="H208" s="12">
        <f t="shared" si="102"/>
        <v>0</v>
      </c>
      <c r="I208" s="12">
        <f t="shared" si="102"/>
        <v>0</v>
      </c>
      <c r="J208" s="12">
        <f t="shared" si="102"/>
        <v>0</v>
      </c>
      <c r="K208" s="12">
        <f t="shared" si="41"/>
        <v>0</v>
      </c>
      <c r="L208" s="12">
        <f t="shared" si="103"/>
        <v>0</v>
      </c>
      <c r="M208" s="12">
        <f t="shared" si="103"/>
        <v>0</v>
      </c>
      <c r="N208" s="12">
        <f t="shared" si="103"/>
        <v>0</v>
      </c>
      <c r="O208" s="12">
        <f t="shared" si="43"/>
        <v>0</v>
      </c>
      <c r="P208" s="12">
        <f t="shared" si="104"/>
        <v>0</v>
      </c>
      <c r="Q208" s="12">
        <f t="shared" si="104"/>
        <v>0</v>
      </c>
      <c r="T208" s="61"/>
      <c r="U208" s="61"/>
      <c r="V208" s="61"/>
      <c r="W208" s="53">
        <f t="shared" si="45"/>
        <v>0</v>
      </c>
      <c r="X208" s="54" t="e">
        <f t="shared" si="46"/>
        <v>#DIV/0!</v>
      </c>
      <c r="Y208" s="25">
        <f t="shared" si="53"/>
        <v>0</v>
      </c>
      <c r="Z208" s="54">
        <f t="shared" si="58"/>
        <v>0</v>
      </c>
      <c r="AA208" s="54">
        <f t="shared" si="93"/>
        <v>0</v>
      </c>
      <c r="AB208" s="54">
        <f t="shared" si="93"/>
        <v>0</v>
      </c>
      <c r="AC208" s="54">
        <f t="shared" si="93"/>
        <v>0</v>
      </c>
      <c r="AD208" s="54">
        <f t="shared" si="93"/>
        <v>0</v>
      </c>
      <c r="AE208" s="54">
        <f t="shared" si="93"/>
        <v>0</v>
      </c>
      <c r="AF208" s="54">
        <f t="shared" si="93"/>
        <v>0</v>
      </c>
      <c r="AG208" s="54">
        <f t="shared" si="93"/>
        <v>0</v>
      </c>
      <c r="AH208" s="54">
        <f t="shared" si="93"/>
        <v>0</v>
      </c>
      <c r="AI208" s="54">
        <f t="shared" si="93"/>
        <v>0</v>
      </c>
      <c r="AJ208" s="54">
        <f t="shared" si="93"/>
        <v>0</v>
      </c>
      <c r="AK208" s="54">
        <f t="shared" ref="AK208" si="106">IF($E109+365&lt;$C$56,0,IF($E109&lt;$C$56,(($E109+365-$C$56)/365)*(($C109/$BN$157)+($D109/$BN$158)),IF($E109&gt;AK$166,0,IF($E109+365&lt;AK$166,($C109/$BN$157)+($D109/$BN$158),((AK$166-$E109)/365)*(($C109/$BN$157)+($D109/$BN$158))))))</f>
        <v>0</v>
      </c>
      <c r="AL208" s="24">
        <f t="shared" si="49"/>
        <v>0</v>
      </c>
      <c r="AM208" s="24">
        <f t="shared" si="50"/>
        <v>0</v>
      </c>
      <c r="AN208" s="55">
        <f t="shared" si="51"/>
        <v>0</v>
      </c>
      <c r="AO208" s="55">
        <f t="shared" si="52"/>
        <v>0</v>
      </c>
      <c r="AP208" s="24"/>
      <c r="AQ208" s="24"/>
      <c r="AR208" s="24"/>
      <c r="AS208" s="24"/>
      <c r="AT208" s="24"/>
      <c r="AU208" s="24"/>
      <c r="AV208" s="24"/>
      <c r="AW208" s="24"/>
      <c r="AX208" s="24"/>
      <c r="AY208" s="24"/>
    </row>
    <row r="209" spans="6:51">
      <c r="G209" s="12">
        <f t="shared" si="39"/>
        <v>0</v>
      </c>
      <c r="H209" s="12">
        <f t="shared" si="102"/>
        <v>0</v>
      </c>
      <c r="I209" s="12">
        <f t="shared" si="102"/>
        <v>0</v>
      </c>
      <c r="J209" s="12">
        <f t="shared" si="102"/>
        <v>0</v>
      </c>
      <c r="K209" s="12">
        <f t="shared" si="41"/>
        <v>0</v>
      </c>
      <c r="L209" s="12">
        <f t="shared" si="103"/>
        <v>0</v>
      </c>
      <c r="M209" s="12">
        <f t="shared" si="103"/>
        <v>0</v>
      </c>
      <c r="N209" s="12">
        <f t="shared" si="103"/>
        <v>0</v>
      </c>
      <c r="O209" s="12">
        <f t="shared" si="43"/>
        <v>0</v>
      </c>
      <c r="P209" s="12">
        <f t="shared" si="104"/>
        <v>0</v>
      </c>
      <c r="Q209" s="12">
        <f t="shared" si="104"/>
        <v>0</v>
      </c>
      <c r="T209" s="61"/>
      <c r="U209" s="61"/>
      <c r="V209" s="61"/>
      <c r="W209" s="53">
        <f t="shared" si="45"/>
        <v>0</v>
      </c>
      <c r="X209" s="54" t="e">
        <f t="shared" si="46"/>
        <v>#DIV/0!</v>
      </c>
      <c r="Y209" s="25">
        <f t="shared" si="53"/>
        <v>0</v>
      </c>
      <c r="Z209" s="54">
        <f t="shared" si="58"/>
        <v>0</v>
      </c>
      <c r="AA209" s="54">
        <f t="shared" si="93"/>
        <v>0</v>
      </c>
      <c r="AB209" s="54">
        <f t="shared" si="93"/>
        <v>0</v>
      </c>
      <c r="AC209" s="54">
        <f t="shared" si="93"/>
        <v>0</v>
      </c>
      <c r="AD209" s="54">
        <f t="shared" si="93"/>
        <v>0</v>
      </c>
      <c r="AE209" s="54">
        <f t="shared" si="93"/>
        <v>0</v>
      </c>
      <c r="AF209" s="54">
        <f t="shared" si="93"/>
        <v>0</v>
      </c>
      <c r="AG209" s="54">
        <f t="shared" si="93"/>
        <v>0</v>
      </c>
      <c r="AH209" s="54">
        <f t="shared" si="93"/>
        <v>0</v>
      </c>
      <c r="AI209" s="54">
        <f t="shared" si="93"/>
        <v>0</v>
      </c>
      <c r="AJ209" s="54">
        <f t="shared" si="93"/>
        <v>0</v>
      </c>
      <c r="AK209" s="54">
        <f t="shared" ref="AK209" si="107">IF($E110+365&lt;$C$56,0,IF($E110&lt;$C$56,(($E110+365-$C$56)/365)*(($C110/$BN$157)+($D110/$BN$158)),IF($E110&gt;AK$166,0,IF($E110+365&lt;AK$166,($C110/$BN$157)+($D110/$BN$158),((AK$166-$E110)/365)*(($C110/$BN$157)+($D110/$BN$158))))))</f>
        <v>0</v>
      </c>
      <c r="AL209" s="24">
        <f t="shared" si="49"/>
        <v>0</v>
      </c>
      <c r="AM209" s="24">
        <f t="shared" si="50"/>
        <v>0</v>
      </c>
      <c r="AN209" s="55">
        <f t="shared" si="51"/>
        <v>0</v>
      </c>
      <c r="AO209" s="55">
        <f t="shared" si="52"/>
        <v>0</v>
      </c>
      <c r="AP209" s="24"/>
      <c r="AQ209" s="24"/>
      <c r="AR209" s="24"/>
      <c r="AS209" s="24"/>
      <c r="AT209" s="24"/>
      <c r="AU209" s="24"/>
      <c r="AV209" s="24"/>
      <c r="AW209" s="24"/>
      <c r="AX209" s="24"/>
      <c r="AY209" s="24"/>
    </row>
    <row r="210" spans="6:51">
      <c r="T210" s="61"/>
      <c r="U210" s="61"/>
      <c r="V210" s="61"/>
      <c r="W210" s="53">
        <f t="shared" si="45"/>
        <v>0</v>
      </c>
      <c r="X210" s="54" t="e">
        <f t="shared" si="46"/>
        <v>#DIV/0!</v>
      </c>
      <c r="Y210" s="25">
        <f t="shared" si="53"/>
        <v>0</v>
      </c>
      <c r="Z210" s="54">
        <f t="shared" si="58"/>
        <v>0</v>
      </c>
      <c r="AA210" s="54">
        <f t="shared" si="93"/>
        <v>0</v>
      </c>
      <c r="AB210" s="54">
        <f t="shared" si="93"/>
        <v>0</v>
      </c>
      <c r="AC210" s="54">
        <f t="shared" si="93"/>
        <v>0</v>
      </c>
      <c r="AD210" s="54">
        <f t="shared" si="93"/>
        <v>0</v>
      </c>
      <c r="AE210" s="54">
        <f t="shared" si="93"/>
        <v>0</v>
      </c>
      <c r="AF210" s="54">
        <f t="shared" si="93"/>
        <v>0</v>
      </c>
      <c r="AG210" s="54">
        <f t="shared" si="93"/>
        <v>0</v>
      </c>
      <c r="AH210" s="54">
        <f t="shared" si="93"/>
        <v>0</v>
      </c>
      <c r="AI210" s="54">
        <f t="shared" si="93"/>
        <v>0</v>
      </c>
      <c r="AJ210" s="54">
        <f t="shared" si="93"/>
        <v>0</v>
      </c>
      <c r="AK210" s="54">
        <f t="shared" ref="AK210" si="108">IF($E111+365&lt;$C$56,0,IF($E111&lt;$C$56,(($E111+365-$C$56)/365)*(($C111/$BN$157)+($D111/$BN$158)),IF($E111&gt;AK$166,0,IF($E111+365&lt;AK$166,($C111/$BN$157)+($D111/$BN$158),((AK$166-$E111)/365)*(($C111/$BN$157)+($D111/$BN$158))))))</f>
        <v>0</v>
      </c>
      <c r="AL210" s="24">
        <f t="shared" si="49"/>
        <v>0</v>
      </c>
      <c r="AM210" s="24">
        <f t="shared" si="50"/>
        <v>0</v>
      </c>
      <c r="AN210" s="55">
        <f t="shared" si="51"/>
        <v>0</v>
      </c>
      <c r="AO210" s="55">
        <f t="shared" si="52"/>
        <v>0</v>
      </c>
      <c r="AP210" s="24"/>
      <c r="AQ210" s="24"/>
      <c r="AR210" s="24"/>
      <c r="AS210" s="24"/>
      <c r="AT210" s="24"/>
      <c r="AU210" s="24"/>
      <c r="AV210" s="24"/>
      <c r="AW210" s="24"/>
      <c r="AX210" s="24"/>
      <c r="AY210" s="24"/>
    </row>
    <row r="211" spans="6:51">
      <c r="T211" s="61"/>
      <c r="U211" s="61"/>
      <c r="V211" s="61"/>
      <c r="W211" s="53">
        <f t="shared" si="45"/>
        <v>0</v>
      </c>
      <c r="X211" s="54" t="e">
        <f t="shared" si="46"/>
        <v>#DIV/0!</v>
      </c>
      <c r="Y211" s="25">
        <f t="shared" si="53"/>
        <v>0</v>
      </c>
      <c r="Z211" s="54">
        <f t="shared" si="58"/>
        <v>0</v>
      </c>
      <c r="AA211" s="54">
        <f t="shared" si="93"/>
        <v>0</v>
      </c>
      <c r="AB211" s="54">
        <f t="shared" si="93"/>
        <v>0</v>
      </c>
      <c r="AC211" s="54">
        <f t="shared" si="93"/>
        <v>0</v>
      </c>
      <c r="AD211" s="54">
        <f t="shared" si="93"/>
        <v>0</v>
      </c>
      <c r="AE211" s="54">
        <f t="shared" si="93"/>
        <v>0</v>
      </c>
      <c r="AF211" s="54">
        <f t="shared" si="93"/>
        <v>0</v>
      </c>
      <c r="AG211" s="54">
        <f t="shared" si="93"/>
        <v>0</v>
      </c>
      <c r="AH211" s="54">
        <f t="shared" si="93"/>
        <v>0</v>
      </c>
      <c r="AI211" s="54">
        <f t="shared" si="93"/>
        <v>0</v>
      </c>
      <c r="AJ211" s="54">
        <f t="shared" si="93"/>
        <v>0</v>
      </c>
      <c r="AK211" s="54">
        <f t="shared" ref="AK211" si="109">IF($E112+365&lt;$C$56,0,IF($E112&lt;$C$56,(($E112+365-$C$56)/365)*(($C112/$BN$157)+($D112/$BN$158)),IF($E112&gt;AK$166,0,IF($E112+365&lt;AK$166,($C112/$BN$157)+($D112/$BN$158),((AK$166-$E112)/365)*(($C112/$BN$157)+($D112/$BN$158))))))</f>
        <v>0</v>
      </c>
      <c r="AL211" s="24">
        <f t="shared" si="49"/>
        <v>0</v>
      </c>
      <c r="AM211" s="24">
        <f t="shared" si="50"/>
        <v>0</v>
      </c>
      <c r="AN211" s="55">
        <f t="shared" si="51"/>
        <v>0</v>
      </c>
      <c r="AO211" s="55">
        <f t="shared" si="52"/>
        <v>0</v>
      </c>
      <c r="AP211" s="25"/>
      <c r="AQ211" s="24"/>
      <c r="AR211" s="24"/>
      <c r="AS211" s="24"/>
      <c r="AT211" s="24"/>
      <c r="AU211" s="24"/>
      <c r="AV211" s="24"/>
      <c r="AW211" s="24"/>
      <c r="AX211" s="24"/>
      <c r="AY211" s="24"/>
    </row>
    <row r="212" spans="6:51">
      <c r="T212" s="61"/>
      <c r="U212" s="61"/>
      <c r="V212" s="61"/>
      <c r="W212" s="53"/>
      <c r="X212" s="54"/>
      <c r="Y212" s="25">
        <f t="shared" si="53"/>
        <v>0</v>
      </c>
      <c r="Z212" s="54">
        <f t="shared" si="58"/>
        <v>0</v>
      </c>
      <c r="AA212" s="54">
        <f t="shared" si="93"/>
        <v>0</v>
      </c>
      <c r="AB212" s="54">
        <f t="shared" si="93"/>
        <v>0</v>
      </c>
      <c r="AC212" s="54">
        <f t="shared" si="93"/>
        <v>0</v>
      </c>
      <c r="AD212" s="54">
        <f t="shared" si="93"/>
        <v>0</v>
      </c>
      <c r="AE212" s="54">
        <f t="shared" si="93"/>
        <v>0</v>
      </c>
      <c r="AF212" s="54">
        <f t="shared" si="93"/>
        <v>0</v>
      </c>
      <c r="AG212" s="54">
        <f t="shared" si="93"/>
        <v>0</v>
      </c>
      <c r="AH212" s="54">
        <f t="shared" si="93"/>
        <v>0</v>
      </c>
      <c r="AI212" s="54">
        <f t="shared" si="93"/>
        <v>0</v>
      </c>
      <c r="AJ212" s="54">
        <f t="shared" si="93"/>
        <v>0</v>
      </c>
      <c r="AK212" s="54">
        <f t="shared" ref="AK212" si="110">IF($E113+365&lt;$C$56,0,IF($E113&lt;$C$56,(($E113+365-$C$56)/365)*(($C113/$BN$157)+($D113/$BN$158)),IF($E113&gt;AK$166,0,IF($E113+365&lt;AK$166,($C113/$BN$157)+($D113/$BN$158),((AK$166-$E113)/365)*(($C113/$BN$157)+($D113/$BN$158))))))</f>
        <v>0</v>
      </c>
      <c r="AL212" s="24">
        <f t="shared" si="49"/>
        <v>0</v>
      </c>
      <c r="AM212" s="24">
        <f t="shared" si="50"/>
        <v>0</v>
      </c>
      <c r="AN212" s="55">
        <f t="shared" si="51"/>
        <v>0</v>
      </c>
      <c r="AO212" s="55">
        <f t="shared" si="52"/>
        <v>0</v>
      </c>
      <c r="AP212" s="24"/>
      <c r="AQ212" s="24"/>
      <c r="AR212" s="24"/>
      <c r="AS212" s="24"/>
      <c r="AT212" s="24"/>
      <c r="AU212" s="24"/>
      <c r="AV212" s="24"/>
      <c r="AW212" s="24"/>
      <c r="AX212" s="24"/>
      <c r="AY212" s="24"/>
    </row>
    <row r="213" spans="6:51">
      <c r="T213" s="61"/>
      <c r="U213" s="61"/>
      <c r="V213" s="61"/>
      <c r="W213" s="53"/>
      <c r="X213" s="54"/>
      <c r="Y213" s="25">
        <f t="shared" si="53"/>
        <v>0</v>
      </c>
      <c r="Z213" s="54">
        <f t="shared" si="58"/>
        <v>0</v>
      </c>
      <c r="AA213" s="54">
        <f t="shared" si="93"/>
        <v>0</v>
      </c>
      <c r="AB213" s="54">
        <f t="shared" si="93"/>
        <v>0</v>
      </c>
      <c r="AC213" s="54">
        <f t="shared" si="93"/>
        <v>0</v>
      </c>
      <c r="AD213" s="54">
        <f t="shared" si="93"/>
        <v>0</v>
      </c>
      <c r="AE213" s="54">
        <f t="shared" si="93"/>
        <v>0</v>
      </c>
      <c r="AF213" s="54">
        <f t="shared" si="93"/>
        <v>0</v>
      </c>
      <c r="AG213" s="54">
        <f t="shared" si="93"/>
        <v>0</v>
      </c>
      <c r="AH213" s="54">
        <f t="shared" si="93"/>
        <v>0</v>
      </c>
      <c r="AI213" s="54">
        <f t="shared" si="93"/>
        <v>0</v>
      </c>
      <c r="AJ213" s="54">
        <f t="shared" si="93"/>
        <v>0</v>
      </c>
      <c r="AK213" s="54">
        <f t="shared" ref="AK213" si="111">IF($E114+365&lt;$C$56,0,IF($E114&lt;$C$56,(($E114+365-$C$56)/365)*(($C114/$BN$157)+($D114/$BN$158)),IF($E114&gt;AK$166,0,IF($E114+365&lt;AK$166,($C114/$BN$157)+($D114/$BN$158),((AK$166-$E114)/365)*(($C114/$BN$157)+($D114/$BN$158))))))</f>
        <v>0</v>
      </c>
      <c r="AL213" s="24">
        <f t="shared" si="49"/>
        <v>0</v>
      </c>
      <c r="AM213" s="24">
        <f t="shared" si="50"/>
        <v>0</v>
      </c>
      <c r="AN213" s="55">
        <f t="shared" si="51"/>
        <v>0</v>
      </c>
      <c r="AO213" s="55">
        <f t="shared" si="52"/>
        <v>0</v>
      </c>
      <c r="AP213" s="24"/>
      <c r="AQ213" s="24"/>
      <c r="AR213" s="24"/>
      <c r="AS213" s="24"/>
      <c r="AT213" s="24"/>
      <c r="AU213" s="24"/>
      <c r="AV213" s="24"/>
      <c r="AW213" s="24"/>
      <c r="AX213" s="24"/>
      <c r="AY213" s="24"/>
    </row>
    <row r="214" spans="6:51" ht="13">
      <c r="F214" s="187" t="s">
        <v>490</v>
      </c>
      <c r="G214" s="187">
        <f>SUM(G167:G213)</f>
        <v>0</v>
      </c>
      <c r="H214" s="187">
        <f t="shared" ref="H214:Q214" si="112">SUM(H167:H213)</f>
        <v>0</v>
      </c>
      <c r="I214" s="187">
        <f t="shared" si="112"/>
        <v>0</v>
      </c>
      <c r="J214" s="187">
        <f t="shared" si="112"/>
        <v>0</v>
      </c>
      <c r="K214" s="187">
        <f t="shared" si="112"/>
        <v>0</v>
      </c>
      <c r="L214" s="187">
        <f t="shared" si="112"/>
        <v>0</v>
      </c>
      <c r="M214" s="187">
        <f t="shared" si="112"/>
        <v>0</v>
      </c>
      <c r="N214" s="187">
        <f t="shared" si="112"/>
        <v>0</v>
      </c>
      <c r="O214" s="187">
        <f t="shared" si="112"/>
        <v>0</v>
      </c>
      <c r="P214" s="187">
        <f t="shared" si="112"/>
        <v>0</v>
      </c>
      <c r="Q214" s="187">
        <f t="shared" si="112"/>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2805000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112</v>
      </c>
      <c r="AA215" s="156">
        <f>$C$64+AA214</f>
        <v>112</v>
      </c>
      <c r="AB215" s="156">
        <f t="shared" ref="AB215:AE215" si="113">$C$64+AB214</f>
        <v>112</v>
      </c>
      <c r="AC215" s="156">
        <f t="shared" si="113"/>
        <v>112</v>
      </c>
      <c r="AD215" s="156">
        <f t="shared" si="113"/>
        <v>112</v>
      </c>
      <c r="AE215" s="156">
        <f t="shared" si="113"/>
        <v>112</v>
      </c>
      <c r="AF215" s="156">
        <f>$C$64+AF214</f>
        <v>112</v>
      </c>
      <c r="AG215" s="156">
        <f t="shared" ref="AG215:AJ215" si="114">$C$64+AG214</f>
        <v>112</v>
      </c>
      <c r="AH215" s="156">
        <f>$C$64+AH214</f>
        <v>112</v>
      </c>
      <c r="AI215" s="156">
        <f t="shared" si="114"/>
        <v>112</v>
      </c>
      <c r="AJ215" s="156">
        <f t="shared" si="114"/>
        <v>112</v>
      </c>
      <c r="AK215" s="156">
        <f t="shared" ref="AK215" si="115">$C$64+AK214</f>
        <v>112</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6">IF(Z215&lt;$BB$154,(6+(1-Z215/$BB$154)),IF(Z215&lt;$BB$155,5.5+(0.5*(($BB$155-Z215)/($BB$155-$BB$154))),IF(Z215&lt;$BB$156,5-0.5*((Z215)-$BB$156)/($BB$156-$BB$155),IF(Z215&lt;$BB$157,4.5-0.5*((Z215-$BB$157)/($BB$157-$BB$156)),5-0.5*((Z215-$BB$156)/$BH$166)))))</f>
        <v>4.2064719358533793</v>
      </c>
      <c r="AA216" s="154">
        <f t="shared" si="116"/>
        <v>4.2064719358533793</v>
      </c>
      <c r="AB216" s="154">
        <f t="shared" si="116"/>
        <v>4.2064719358533793</v>
      </c>
      <c r="AC216" s="154">
        <f t="shared" si="116"/>
        <v>4.2064719358533793</v>
      </c>
      <c r="AD216" s="154">
        <f t="shared" si="116"/>
        <v>4.2064719358533793</v>
      </c>
      <c r="AE216" s="154">
        <f t="shared" si="116"/>
        <v>4.2064719358533793</v>
      </c>
      <c r="AF216" s="154">
        <f t="shared" si="116"/>
        <v>4.2064719358533793</v>
      </c>
      <c r="AG216" s="154">
        <f t="shared" si="116"/>
        <v>4.2064719358533793</v>
      </c>
      <c r="AH216" s="154">
        <f t="shared" si="116"/>
        <v>4.2064719358533793</v>
      </c>
      <c r="AI216" s="154">
        <f t="shared" si="116"/>
        <v>4.2064719358533793</v>
      </c>
      <c r="AJ216" s="154">
        <f t="shared" si="116"/>
        <v>4.2064719358533793</v>
      </c>
      <c r="AK216" s="154">
        <f>IF(AK215&lt;$BB$154,(6+(1-AK215/$BB$154)),IF(AK215&lt;$BB$155,5.5+(0.5*(($BB$155-AK215)/($BB$155-$BB$154))),IF(AK215&lt;$BB$156,5-0.5*((AK215)-$BB$156)/($BB$156-$BB$155),IF(AK215&lt;$BB$157,4.5-0.5*((AK215-$BB$157)/($BB$157-$BB$156)),5-0.5*((AK215-$BB$156)/$BH$166)))))</f>
        <v>4.2064719358533793</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7">IF($E69&lt;G$66,$D69,0)</f>
        <v>0</v>
      </c>
      <c r="H220" s="12">
        <f t="shared" ref="H220:Q220" si="118">IF($E69&gt;H$66,0,IF($E69&lt;H$66-365,$D69,0))</f>
        <v>0</v>
      </c>
      <c r="I220" s="12">
        <f t="shared" si="118"/>
        <v>0</v>
      </c>
      <c r="J220" s="12">
        <f t="shared" si="118"/>
        <v>0</v>
      </c>
      <c r="K220" s="12">
        <f t="shared" si="118"/>
        <v>0</v>
      </c>
      <c r="L220" s="12">
        <f t="shared" si="118"/>
        <v>0</v>
      </c>
      <c r="M220" s="12">
        <f t="shared" si="118"/>
        <v>0</v>
      </c>
      <c r="N220" s="12">
        <f t="shared" si="118"/>
        <v>0</v>
      </c>
      <c r="O220" s="12">
        <f t="shared" si="118"/>
        <v>0</v>
      </c>
      <c r="P220" s="12">
        <f t="shared" si="118"/>
        <v>0</v>
      </c>
      <c r="Q220" s="12">
        <f t="shared" si="118"/>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7"/>
        <v>0</v>
      </c>
      <c r="H221" s="12">
        <f t="shared" ref="H221:Q221" si="119">IF($E70&gt;H$66,0,IF($E70&lt;H$66-365,$D70,0))</f>
        <v>0</v>
      </c>
      <c r="I221" s="12">
        <f t="shared" si="119"/>
        <v>0</v>
      </c>
      <c r="J221" s="12">
        <f t="shared" si="119"/>
        <v>0</v>
      </c>
      <c r="K221" s="12">
        <f t="shared" si="119"/>
        <v>0</v>
      </c>
      <c r="L221" s="12">
        <f t="shared" si="119"/>
        <v>0</v>
      </c>
      <c r="M221" s="12">
        <f t="shared" si="119"/>
        <v>0</v>
      </c>
      <c r="N221" s="12">
        <f t="shared" si="119"/>
        <v>0</v>
      </c>
      <c r="O221" s="12">
        <f t="shared" si="119"/>
        <v>0</v>
      </c>
      <c r="P221" s="12">
        <f t="shared" si="119"/>
        <v>0</v>
      </c>
      <c r="Q221" s="12">
        <f t="shared" si="119"/>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7"/>
        <v>0</v>
      </c>
      <c r="H222" s="12">
        <f t="shared" ref="H222:Q222" si="120">IF($E71&gt;H$66,0,IF($E71&lt;H$66-365,$D71,0))</f>
        <v>0</v>
      </c>
      <c r="I222" s="12">
        <f t="shared" si="120"/>
        <v>0</v>
      </c>
      <c r="J222" s="12">
        <f t="shared" si="120"/>
        <v>0</v>
      </c>
      <c r="K222" s="12">
        <f t="shared" si="120"/>
        <v>0</v>
      </c>
      <c r="L222" s="12">
        <f t="shared" si="120"/>
        <v>0</v>
      </c>
      <c r="M222" s="12">
        <f t="shared" si="120"/>
        <v>0</v>
      </c>
      <c r="N222" s="12">
        <f t="shared" si="120"/>
        <v>0</v>
      </c>
      <c r="O222" s="12">
        <f t="shared" si="120"/>
        <v>0</v>
      </c>
      <c r="P222" s="12">
        <f t="shared" si="120"/>
        <v>0</v>
      </c>
      <c r="Q222" s="12">
        <f t="shared" si="120"/>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7"/>
        <v>0</v>
      </c>
      <c r="H223" s="12">
        <f t="shared" ref="H223:Q223" si="121">IF($E72&gt;H$66,0,IF($E72&lt;H$66-365,$D72,0))</f>
        <v>0</v>
      </c>
      <c r="I223" s="12">
        <f t="shared" si="121"/>
        <v>0</v>
      </c>
      <c r="J223" s="12">
        <f t="shared" si="121"/>
        <v>0</v>
      </c>
      <c r="K223" s="12">
        <f t="shared" si="121"/>
        <v>0</v>
      </c>
      <c r="L223" s="12">
        <f t="shared" si="121"/>
        <v>0</v>
      </c>
      <c r="M223" s="12">
        <f t="shared" si="121"/>
        <v>0</v>
      </c>
      <c r="N223" s="12">
        <f t="shared" si="121"/>
        <v>0</v>
      </c>
      <c r="O223" s="12">
        <f t="shared" si="121"/>
        <v>0</v>
      </c>
      <c r="P223" s="12">
        <f t="shared" si="121"/>
        <v>0</v>
      </c>
      <c r="Q223" s="12">
        <f t="shared" si="121"/>
        <v>0</v>
      </c>
      <c r="T223" s="20"/>
      <c r="U223" s="20"/>
      <c r="V223" s="20"/>
    </row>
    <row r="224" spans="6:51">
      <c r="G224" s="12">
        <f t="shared" si="117"/>
        <v>0</v>
      </c>
      <c r="H224" s="12">
        <f t="shared" ref="H224:Q224" si="122">IF($E73&gt;H$66,0,IF($E73&lt;H$66-365,$D73,0))</f>
        <v>0</v>
      </c>
      <c r="I224" s="12">
        <f t="shared" si="122"/>
        <v>0</v>
      </c>
      <c r="J224" s="12">
        <f t="shared" si="122"/>
        <v>0</v>
      </c>
      <c r="K224" s="12">
        <f t="shared" si="122"/>
        <v>0</v>
      </c>
      <c r="L224" s="12">
        <f t="shared" si="122"/>
        <v>0</v>
      </c>
      <c r="M224" s="12">
        <f t="shared" si="122"/>
        <v>0</v>
      </c>
      <c r="N224" s="12">
        <f t="shared" si="122"/>
        <v>0</v>
      </c>
      <c r="O224" s="12">
        <f t="shared" si="122"/>
        <v>0</v>
      </c>
      <c r="P224" s="12">
        <f t="shared" si="122"/>
        <v>0</v>
      </c>
      <c r="Q224" s="12">
        <f t="shared" si="122"/>
        <v>0</v>
      </c>
      <c r="T224" s="20"/>
      <c r="U224" s="20"/>
      <c r="V224" s="20"/>
    </row>
    <row r="225" spans="7:28">
      <c r="G225" s="12">
        <f t="shared" si="117"/>
        <v>0</v>
      </c>
      <c r="H225" s="12">
        <f t="shared" ref="H225:Q225" si="123">IF($E74&gt;H$66,0,IF($E74&lt;H$66-365,$D74,0))</f>
        <v>0</v>
      </c>
      <c r="I225" s="12">
        <f t="shared" si="123"/>
        <v>0</v>
      </c>
      <c r="J225" s="12">
        <f t="shared" si="123"/>
        <v>0</v>
      </c>
      <c r="K225" s="12">
        <f t="shared" si="123"/>
        <v>0</v>
      </c>
      <c r="L225" s="12">
        <f t="shared" si="123"/>
        <v>0</v>
      </c>
      <c r="M225" s="12">
        <f t="shared" si="123"/>
        <v>0</v>
      </c>
      <c r="N225" s="12">
        <f t="shared" si="123"/>
        <v>0</v>
      </c>
      <c r="O225" s="12">
        <f t="shared" si="123"/>
        <v>0</v>
      </c>
      <c r="P225" s="12">
        <f t="shared" si="123"/>
        <v>0</v>
      </c>
      <c r="Q225" s="12">
        <f t="shared" si="123"/>
        <v>0</v>
      </c>
      <c r="T225" s="20"/>
      <c r="U225" s="20"/>
      <c r="V225" s="20"/>
      <c r="AA225" s="55">
        <f>SUM(AN167:AN213)</f>
        <v>2805000</v>
      </c>
      <c r="AB225" s="24">
        <f>SUM(AO167:AO213)</f>
        <v>0</v>
      </c>
    </row>
    <row r="226" spans="7:28">
      <c r="G226" s="12">
        <f t="shared" si="117"/>
        <v>0</v>
      </c>
      <c r="H226" s="12">
        <f t="shared" ref="H226:Q226" si="124">IF($E75&gt;H$66,0,IF($E75&lt;H$66-365,$D75,0))</f>
        <v>0</v>
      </c>
      <c r="I226" s="12">
        <f t="shared" si="124"/>
        <v>0</v>
      </c>
      <c r="J226" s="12">
        <f t="shared" si="124"/>
        <v>0</v>
      </c>
      <c r="K226" s="12">
        <f t="shared" si="124"/>
        <v>0</v>
      </c>
      <c r="L226" s="12">
        <f t="shared" si="124"/>
        <v>0</v>
      </c>
      <c r="M226" s="12">
        <f t="shared" si="124"/>
        <v>0</v>
      </c>
      <c r="N226" s="12">
        <f t="shared" si="124"/>
        <v>0</v>
      </c>
      <c r="O226" s="12">
        <f t="shared" si="124"/>
        <v>0</v>
      </c>
      <c r="P226" s="12">
        <f t="shared" si="124"/>
        <v>0</v>
      </c>
      <c r="Q226" s="12">
        <f t="shared" si="124"/>
        <v>0</v>
      </c>
      <c r="T226" s="20"/>
      <c r="U226" s="20"/>
      <c r="V226" s="20"/>
      <c r="AA226" s="24">
        <f>AA225*1.35</f>
        <v>3786750.0000000005</v>
      </c>
      <c r="AB226" s="24">
        <f>AB225*1.35</f>
        <v>0</v>
      </c>
    </row>
    <row r="227" spans="7:28">
      <c r="G227" s="12">
        <f t="shared" si="117"/>
        <v>0</v>
      </c>
      <c r="H227" s="12">
        <f t="shared" ref="H227:Q227" si="125">IF($E76&gt;H$66,0,IF($E76&lt;H$66-365,$D76,0))</f>
        <v>0</v>
      </c>
      <c r="I227" s="12">
        <f t="shared" si="125"/>
        <v>0</v>
      </c>
      <c r="J227" s="12">
        <f t="shared" si="125"/>
        <v>0</v>
      </c>
      <c r="K227" s="12">
        <f t="shared" si="125"/>
        <v>0</v>
      </c>
      <c r="L227" s="12">
        <f t="shared" si="125"/>
        <v>0</v>
      </c>
      <c r="M227" s="12">
        <f t="shared" si="125"/>
        <v>0</v>
      </c>
      <c r="N227" s="12">
        <f t="shared" si="125"/>
        <v>0</v>
      </c>
      <c r="O227" s="12">
        <f t="shared" si="125"/>
        <v>0</v>
      </c>
      <c r="P227" s="12">
        <f t="shared" si="125"/>
        <v>0</v>
      </c>
      <c r="Q227" s="12">
        <f t="shared" si="125"/>
        <v>0</v>
      </c>
    </row>
    <row r="228" spans="7:28">
      <c r="G228" s="12">
        <f t="shared" si="117"/>
        <v>0</v>
      </c>
      <c r="H228" s="12">
        <f t="shared" ref="H228:Q228" si="126">IF($E77&gt;H$66,0,IF($E77&lt;H$66-365,$D77,0))</f>
        <v>0</v>
      </c>
      <c r="I228" s="12">
        <f t="shared" si="126"/>
        <v>0</v>
      </c>
      <c r="J228" s="12">
        <f t="shared" si="126"/>
        <v>0</v>
      </c>
      <c r="K228" s="12">
        <f t="shared" si="126"/>
        <v>0</v>
      </c>
      <c r="L228" s="12">
        <f t="shared" si="126"/>
        <v>0</v>
      </c>
      <c r="M228" s="12">
        <f t="shared" si="126"/>
        <v>0</v>
      </c>
      <c r="N228" s="12">
        <f t="shared" si="126"/>
        <v>0</v>
      </c>
      <c r="O228" s="12">
        <f t="shared" si="126"/>
        <v>0</v>
      </c>
      <c r="P228" s="12">
        <f t="shared" si="126"/>
        <v>0</v>
      </c>
      <c r="Q228" s="12">
        <f t="shared" si="126"/>
        <v>0</v>
      </c>
    </row>
    <row r="229" spans="7:28">
      <c r="G229" s="12">
        <f t="shared" si="117"/>
        <v>0</v>
      </c>
      <c r="H229" s="12">
        <f t="shared" ref="H229:Q229" si="127">IF($E78&gt;H$66,0,IF($E78&lt;H$66-365,$D78,0))</f>
        <v>0</v>
      </c>
      <c r="I229" s="12">
        <f t="shared" si="127"/>
        <v>0</v>
      </c>
      <c r="J229" s="12">
        <f t="shared" si="127"/>
        <v>0</v>
      </c>
      <c r="K229" s="12">
        <f t="shared" si="127"/>
        <v>0</v>
      </c>
      <c r="L229" s="12">
        <f t="shared" si="127"/>
        <v>0</v>
      </c>
      <c r="M229" s="12">
        <f t="shared" si="127"/>
        <v>0</v>
      </c>
      <c r="N229" s="12">
        <f t="shared" si="127"/>
        <v>0</v>
      </c>
      <c r="O229" s="12">
        <f t="shared" si="127"/>
        <v>0</v>
      </c>
      <c r="P229" s="12">
        <f t="shared" si="127"/>
        <v>0</v>
      </c>
      <c r="Q229" s="12">
        <f t="shared" si="127"/>
        <v>0</v>
      </c>
    </row>
    <row r="230" spans="7:28">
      <c r="G230" s="12">
        <f t="shared" si="117"/>
        <v>0</v>
      </c>
      <c r="H230" s="12">
        <f t="shared" ref="H230:Q230" si="128">IF($E79&gt;H$66,0,IF($E79&lt;H$66-365,$D79,0))</f>
        <v>0</v>
      </c>
      <c r="I230" s="12">
        <f t="shared" si="128"/>
        <v>0</v>
      </c>
      <c r="J230" s="12">
        <f t="shared" si="128"/>
        <v>0</v>
      </c>
      <c r="K230" s="12">
        <f t="shared" si="128"/>
        <v>0</v>
      </c>
      <c r="L230" s="12">
        <f t="shared" si="128"/>
        <v>0</v>
      </c>
      <c r="M230" s="12">
        <f t="shared" si="128"/>
        <v>0</v>
      </c>
      <c r="N230" s="12">
        <f t="shared" si="128"/>
        <v>0</v>
      </c>
      <c r="O230" s="12">
        <f t="shared" si="128"/>
        <v>0</v>
      </c>
      <c r="P230" s="12">
        <f t="shared" si="128"/>
        <v>0</v>
      </c>
      <c r="Q230" s="12">
        <f t="shared" si="128"/>
        <v>0</v>
      </c>
    </row>
    <row r="231" spans="7:28">
      <c r="G231" s="12">
        <f t="shared" si="117"/>
        <v>0</v>
      </c>
      <c r="H231" s="12">
        <f t="shared" ref="H231:Q231" si="129">IF($E80&gt;H$66,0,IF($E80&lt;H$66-365,$D80,0))</f>
        <v>0</v>
      </c>
      <c r="I231" s="12">
        <f t="shared" si="129"/>
        <v>0</v>
      </c>
      <c r="J231" s="12">
        <f t="shared" si="129"/>
        <v>0</v>
      </c>
      <c r="K231" s="12">
        <f t="shared" si="129"/>
        <v>0</v>
      </c>
      <c r="L231" s="12">
        <f t="shared" si="129"/>
        <v>0</v>
      </c>
      <c r="M231" s="12">
        <f t="shared" si="129"/>
        <v>0</v>
      </c>
      <c r="N231" s="12">
        <f t="shared" si="129"/>
        <v>0</v>
      </c>
      <c r="O231" s="12">
        <f t="shared" si="129"/>
        <v>0</v>
      </c>
      <c r="P231" s="12">
        <f t="shared" si="129"/>
        <v>0</v>
      </c>
      <c r="Q231" s="12">
        <f t="shared" si="129"/>
        <v>0</v>
      </c>
    </row>
    <row r="232" spans="7:28">
      <c r="G232" s="12">
        <f t="shared" si="117"/>
        <v>0</v>
      </c>
      <c r="H232" s="12">
        <f t="shared" ref="H232:Q232" si="130">IF($E81&gt;H$66,0,IF($E81&lt;H$66-365,$D81,0))</f>
        <v>0</v>
      </c>
      <c r="I232" s="12">
        <f t="shared" si="130"/>
        <v>0</v>
      </c>
      <c r="J232" s="12">
        <f t="shared" si="130"/>
        <v>0</v>
      </c>
      <c r="K232" s="12">
        <f t="shared" si="130"/>
        <v>0</v>
      </c>
      <c r="L232" s="12">
        <f t="shared" si="130"/>
        <v>0</v>
      </c>
      <c r="M232" s="12">
        <f t="shared" si="130"/>
        <v>0</v>
      </c>
      <c r="N232" s="12">
        <f t="shared" si="130"/>
        <v>0</v>
      </c>
      <c r="O232" s="12">
        <f t="shared" si="130"/>
        <v>0</v>
      </c>
      <c r="P232" s="12">
        <f t="shared" si="130"/>
        <v>0</v>
      </c>
      <c r="Q232" s="12">
        <f t="shared" si="130"/>
        <v>0</v>
      </c>
    </row>
    <row r="233" spans="7:28">
      <c r="G233" s="12">
        <f t="shared" si="117"/>
        <v>0</v>
      </c>
      <c r="H233" s="12">
        <f t="shared" ref="H233:Q233" si="131">IF($E82&gt;H$66,0,IF($E82&lt;H$66-365,$D82,0))</f>
        <v>0</v>
      </c>
      <c r="I233" s="12">
        <f t="shared" si="131"/>
        <v>0</v>
      </c>
      <c r="J233" s="12">
        <f t="shared" si="131"/>
        <v>0</v>
      </c>
      <c r="K233" s="12">
        <f t="shared" si="131"/>
        <v>0</v>
      </c>
      <c r="L233" s="12">
        <f t="shared" si="131"/>
        <v>0</v>
      </c>
      <c r="M233" s="12">
        <f t="shared" si="131"/>
        <v>0</v>
      </c>
      <c r="N233" s="12">
        <f t="shared" si="131"/>
        <v>0</v>
      </c>
      <c r="O233" s="12">
        <f t="shared" si="131"/>
        <v>0</v>
      </c>
      <c r="P233" s="12">
        <f t="shared" si="131"/>
        <v>0</v>
      </c>
      <c r="Q233" s="12">
        <f t="shared" si="131"/>
        <v>0</v>
      </c>
    </row>
    <row r="234" spans="7:28">
      <c r="G234" s="12">
        <f t="shared" si="117"/>
        <v>0</v>
      </c>
      <c r="H234" s="12">
        <f t="shared" ref="H234:Q234" si="132">IF($E83&gt;H$66,0,IF($E83&lt;H$66-365,$D83,0))</f>
        <v>0</v>
      </c>
      <c r="I234" s="12">
        <f t="shared" si="132"/>
        <v>0</v>
      </c>
      <c r="J234" s="12">
        <f t="shared" si="132"/>
        <v>0</v>
      </c>
      <c r="K234" s="12">
        <f t="shared" si="132"/>
        <v>0</v>
      </c>
      <c r="L234" s="12">
        <f t="shared" si="132"/>
        <v>0</v>
      </c>
      <c r="M234" s="12">
        <f t="shared" si="132"/>
        <v>0</v>
      </c>
      <c r="N234" s="12">
        <f t="shared" si="132"/>
        <v>0</v>
      </c>
      <c r="O234" s="12">
        <f t="shared" si="132"/>
        <v>0</v>
      </c>
      <c r="P234" s="12">
        <f t="shared" si="132"/>
        <v>0</v>
      </c>
      <c r="Q234" s="12">
        <f t="shared" si="132"/>
        <v>0</v>
      </c>
    </row>
    <row r="235" spans="7:28">
      <c r="G235" s="12">
        <f t="shared" si="117"/>
        <v>0</v>
      </c>
      <c r="H235" s="12">
        <f t="shared" ref="H235:Q235" si="133">IF($E84&gt;H$66,0,IF($E84&lt;H$66-365,$D84,0))</f>
        <v>0</v>
      </c>
      <c r="I235" s="12">
        <f t="shared" si="133"/>
        <v>0</v>
      </c>
      <c r="J235" s="12">
        <f t="shared" si="133"/>
        <v>0</v>
      </c>
      <c r="K235" s="12">
        <f t="shared" si="133"/>
        <v>0</v>
      </c>
      <c r="L235" s="12">
        <f t="shared" si="133"/>
        <v>0</v>
      </c>
      <c r="M235" s="12">
        <f t="shared" si="133"/>
        <v>0</v>
      </c>
      <c r="N235" s="12">
        <f t="shared" si="133"/>
        <v>0</v>
      </c>
      <c r="O235" s="12">
        <f t="shared" si="133"/>
        <v>0</v>
      </c>
      <c r="P235" s="12">
        <f t="shared" si="133"/>
        <v>0</v>
      </c>
      <c r="Q235" s="12">
        <f t="shared" si="133"/>
        <v>0</v>
      </c>
    </row>
    <row r="236" spans="7:28">
      <c r="G236" s="12">
        <f t="shared" si="117"/>
        <v>0</v>
      </c>
      <c r="H236" s="12">
        <f t="shared" ref="H236:Q236" si="134">IF($E85&gt;H$66,0,IF($E85&lt;H$66-365,$D85,0))</f>
        <v>0</v>
      </c>
      <c r="I236" s="12">
        <f t="shared" si="134"/>
        <v>0</v>
      </c>
      <c r="J236" s="12">
        <f t="shared" si="134"/>
        <v>0</v>
      </c>
      <c r="K236" s="12">
        <f t="shared" si="134"/>
        <v>0</v>
      </c>
      <c r="L236" s="12">
        <f t="shared" si="134"/>
        <v>0</v>
      </c>
      <c r="M236" s="12">
        <f t="shared" si="134"/>
        <v>0</v>
      </c>
      <c r="N236" s="12">
        <f t="shared" si="134"/>
        <v>0</v>
      </c>
      <c r="O236" s="12">
        <f t="shared" si="134"/>
        <v>0</v>
      </c>
      <c r="P236" s="12">
        <f t="shared" si="134"/>
        <v>0</v>
      </c>
      <c r="Q236" s="12">
        <f t="shared" si="134"/>
        <v>0</v>
      </c>
    </row>
    <row r="237" spans="7:28">
      <c r="G237" s="12">
        <f t="shared" si="117"/>
        <v>0</v>
      </c>
      <c r="H237" s="12">
        <f t="shared" ref="H237:Q237" si="135">IF($E86&gt;H$66,0,IF($E86&lt;H$66-365,$D86,0))</f>
        <v>0</v>
      </c>
      <c r="I237" s="12">
        <f t="shared" si="135"/>
        <v>0</v>
      </c>
      <c r="J237" s="12">
        <f t="shared" si="135"/>
        <v>0</v>
      </c>
      <c r="K237" s="12">
        <f t="shared" si="135"/>
        <v>0</v>
      </c>
      <c r="L237" s="12">
        <f t="shared" si="135"/>
        <v>0</v>
      </c>
      <c r="M237" s="12">
        <f t="shared" si="135"/>
        <v>0</v>
      </c>
      <c r="N237" s="12">
        <f t="shared" si="135"/>
        <v>0</v>
      </c>
      <c r="O237" s="12">
        <f t="shared" si="135"/>
        <v>0</v>
      </c>
      <c r="P237" s="12">
        <f t="shared" si="135"/>
        <v>0</v>
      </c>
      <c r="Q237" s="12">
        <f t="shared" si="135"/>
        <v>0</v>
      </c>
    </row>
    <row r="238" spans="7:28">
      <c r="G238" s="12">
        <f t="shared" si="117"/>
        <v>0</v>
      </c>
      <c r="H238" s="12">
        <f t="shared" ref="H238:Q238" si="136">IF($E87&gt;H$66,0,IF($E87&lt;H$66-365,$D87,0))</f>
        <v>0</v>
      </c>
      <c r="I238" s="12">
        <f t="shared" si="136"/>
        <v>0</v>
      </c>
      <c r="J238" s="12">
        <f t="shared" si="136"/>
        <v>0</v>
      </c>
      <c r="K238" s="12">
        <f t="shared" si="136"/>
        <v>0</v>
      </c>
      <c r="L238" s="12">
        <f t="shared" si="136"/>
        <v>0</v>
      </c>
      <c r="M238" s="12">
        <f t="shared" si="136"/>
        <v>0</v>
      </c>
      <c r="N238" s="12">
        <f t="shared" si="136"/>
        <v>0</v>
      </c>
      <c r="O238" s="12">
        <f t="shared" si="136"/>
        <v>0</v>
      </c>
      <c r="P238" s="12">
        <f t="shared" si="136"/>
        <v>0</v>
      </c>
      <c r="Q238" s="12">
        <f t="shared" si="136"/>
        <v>0</v>
      </c>
    </row>
    <row r="239" spans="7:28">
      <c r="G239" s="12">
        <f t="shared" si="117"/>
        <v>0</v>
      </c>
      <c r="H239" s="12">
        <f t="shared" ref="H239:Q239" si="137">IF($E88&gt;H$66,0,IF($E88&lt;H$66-365,$D88,0))</f>
        <v>0</v>
      </c>
      <c r="I239" s="12">
        <f t="shared" si="137"/>
        <v>0</v>
      </c>
      <c r="J239" s="12">
        <f t="shared" si="137"/>
        <v>0</v>
      </c>
      <c r="K239" s="12">
        <f t="shared" si="137"/>
        <v>0</v>
      </c>
      <c r="L239" s="12">
        <f t="shared" si="137"/>
        <v>0</v>
      </c>
      <c r="M239" s="12">
        <f t="shared" si="137"/>
        <v>0</v>
      </c>
      <c r="N239" s="12">
        <f t="shared" si="137"/>
        <v>0</v>
      </c>
      <c r="O239" s="12">
        <f t="shared" si="137"/>
        <v>0</v>
      </c>
      <c r="P239" s="12">
        <f t="shared" si="137"/>
        <v>0</v>
      </c>
      <c r="Q239" s="12">
        <f t="shared" si="137"/>
        <v>0</v>
      </c>
    </row>
    <row r="240" spans="7:28">
      <c r="G240" s="12">
        <f t="shared" si="117"/>
        <v>0</v>
      </c>
      <c r="H240" s="12">
        <f t="shared" ref="H240:Q240" si="138">IF($E89&gt;H$66,0,IF($E89&lt;H$66-365,$D89,0))</f>
        <v>0</v>
      </c>
      <c r="I240" s="12">
        <f t="shared" si="138"/>
        <v>0</v>
      </c>
      <c r="J240" s="12">
        <f t="shared" si="138"/>
        <v>0</v>
      </c>
      <c r="K240" s="12">
        <f t="shared" si="138"/>
        <v>0</v>
      </c>
      <c r="L240" s="12">
        <f t="shared" si="138"/>
        <v>0</v>
      </c>
      <c r="M240" s="12">
        <f t="shared" si="138"/>
        <v>0</v>
      </c>
      <c r="N240" s="12">
        <f t="shared" si="138"/>
        <v>0</v>
      </c>
      <c r="O240" s="12">
        <f t="shared" si="138"/>
        <v>0</v>
      </c>
      <c r="P240" s="12">
        <f t="shared" si="138"/>
        <v>0</v>
      </c>
      <c r="Q240" s="12">
        <f t="shared" si="138"/>
        <v>0</v>
      </c>
    </row>
    <row r="241" spans="7:17">
      <c r="G241" s="12">
        <f t="shared" si="117"/>
        <v>0</v>
      </c>
      <c r="H241" s="12">
        <f t="shared" ref="H241:Q241" si="139">IF($E90&gt;H$66,0,IF($E90&lt;H$66-365,$D90,0))</f>
        <v>0</v>
      </c>
      <c r="I241" s="12">
        <f t="shared" si="139"/>
        <v>0</v>
      </c>
      <c r="J241" s="12">
        <f t="shared" si="139"/>
        <v>0</v>
      </c>
      <c r="K241" s="12">
        <f t="shared" si="139"/>
        <v>0</v>
      </c>
      <c r="L241" s="12">
        <f t="shared" si="139"/>
        <v>0</v>
      </c>
      <c r="M241" s="12">
        <f t="shared" si="139"/>
        <v>0</v>
      </c>
      <c r="N241" s="12">
        <f t="shared" si="139"/>
        <v>0</v>
      </c>
      <c r="O241" s="12">
        <f t="shared" si="139"/>
        <v>0</v>
      </c>
      <c r="P241" s="12">
        <f t="shared" si="139"/>
        <v>0</v>
      </c>
      <c r="Q241" s="12">
        <f t="shared" si="139"/>
        <v>0</v>
      </c>
    </row>
    <row r="242" spans="7:17">
      <c r="G242" s="12">
        <f t="shared" si="117"/>
        <v>0</v>
      </c>
      <c r="H242" s="12">
        <f t="shared" ref="H242:Q242" si="140">IF($E91&gt;H$66,0,IF($E91&lt;H$66-365,$D91,0))</f>
        <v>0</v>
      </c>
      <c r="I242" s="12">
        <f t="shared" si="140"/>
        <v>0</v>
      </c>
      <c r="J242" s="12">
        <f t="shared" si="140"/>
        <v>0</v>
      </c>
      <c r="K242" s="12">
        <f t="shared" si="140"/>
        <v>0</v>
      </c>
      <c r="L242" s="12">
        <f t="shared" si="140"/>
        <v>0</v>
      </c>
      <c r="M242" s="12">
        <f t="shared" si="140"/>
        <v>0</v>
      </c>
      <c r="N242" s="12">
        <f t="shared" si="140"/>
        <v>0</v>
      </c>
      <c r="O242" s="12">
        <f t="shared" si="140"/>
        <v>0</v>
      </c>
      <c r="P242" s="12">
        <f t="shared" si="140"/>
        <v>0</v>
      </c>
      <c r="Q242" s="12">
        <f t="shared" si="140"/>
        <v>0</v>
      </c>
    </row>
    <row r="243" spans="7:17">
      <c r="G243" s="12">
        <f t="shared" si="117"/>
        <v>0</v>
      </c>
      <c r="H243" s="12">
        <f t="shared" ref="H243:Q243" si="141">IF($E92&gt;H$66,0,IF($E92&lt;H$66-365,$D92,0))</f>
        <v>0</v>
      </c>
      <c r="I243" s="12">
        <f t="shared" si="141"/>
        <v>0</v>
      </c>
      <c r="J243" s="12">
        <f t="shared" si="141"/>
        <v>0</v>
      </c>
      <c r="K243" s="12">
        <f t="shared" si="141"/>
        <v>0</v>
      </c>
      <c r="L243" s="12">
        <f t="shared" si="141"/>
        <v>0</v>
      </c>
      <c r="M243" s="12">
        <f t="shared" si="141"/>
        <v>0</v>
      </c>
      <c r="N243" s="12">
        <f t="shared" si="141"/>
        <v>0</v>
      </c>
      <c r="O243" s="12">
        <f t="shared" si="141"/>
        <v>0</v>
      </c>
      <c r="P243" s="12">
        <f t="shared" si="141"/>
        <v>0</v>
      </c>
      <c r="Q243" s="12">
        <f t="shared" si="141"/>
        <v>0</v>
      </c>
    </row>
    <row r="244" spans="7:17">
      <c r="G244" s="12">
        <f t="shared" si="117"/>
        <v>0</v>
      </c>
      <c r="H244" s="12">
        <f t="shared" ref="H244:Q244" si="142">IF($E93&gt;H$66,0,IF($E93&lt;H$66-365,$D93,0))</f>
        <v>0</v>
      </c>
      <c r="I244" s="12">
        <f t="shared" si="142"/>
        <v>0</v>
      </c>
      <c r="J244" s="12">
        <f t="shared" si="142"/>
        <v>0</v>
      </c>
      <c r="K244" s="12">
        <f t="shared" si="142"/>
        <v>0</v>
      </c>
      <c r="L244" s="12">
        <f t="shared" si="142"/>
        <v>0</v>
      </c>
      <c r="M244" s="12">
        <f t="shared" si="142"/>
        <v>0</v>
      </c>
      <c r="N244" s="12">
        <f t="shared" si="142"/>
        <v>0</v>
      </c>
      <c r="O244" s="12">
        <f t="shared" si="142"/>
        <v>0</v>
      </c>
      <c r="P244" s="12">
        <f t="shared" si="142"/>
        <v>0</v>
      </c>
      <c r="Q244" s="12">
        <f t="shared" si="142"/>
        <v>0</v>
      </c>
    </row>
    <row r="245" spans="7:17">
      <c r="G245" s="12">
        <f t="shared" si="117"/>
        <v>0</v>
      </c>
      <c r="H245" s="12">
        <f t="shared" ref="H245:Q245" si="143">IF($E94&gt;H$66,0,IF($E94&lt;H$66-365,$D94,0))</f>
        <v>0</v>
      </c>
      <c r="I245" s="12">
        <f t="shared" si="143"/>
        <v>0</v>
      </c>
      <c r="J245" s="12">
        <f t="shared" si="143"/>
        <v>0</v>
      </c>
      <c r="K245" s="12">
        <f t="shared" si="143"/>
        <v>0</v>
      </c>
      <c r="L245" s="12">
        <f t="shared" si="143"/>
        <v>0</v>
      </c>
      <c r="M245" s="12">
        <f t="shared" si="143"/>
        <v>0</v>
      </c>
      <c r="N245" s="12">
        <f t="shared" si="143"/>
        <v>0</v>
      </c>
      <c r="O245" s="12">
        <f t="shared" si="143"/>
        <v>0</v>
      </c>
      <c r="P245" s="12">
        <f t="shared" si="143"/>
        <v>0</v>
      </c>
      <c r="Q245" s="12">
        <f t="shared" si="143"/>
        <v>0</v>
      </c>
    </row>
    <row r="246" spans="7:17">
      <c r="G246" s="12">
        <f t="shared" si="117"/>
        <v>0</v>
      </c>
      <c r="H246" s="12">
        <f t="shared" ref="H246:Q246" si="144">IF($E95&gt;H$66,0,IF($E95&lt;H$66-365,$D95,0))</f>
        <v>0</v>
      </c>
      <c r="I246" s="12">
        <f t="shared" si="144"/>
        <v>0</v>
      </c>
      <c r="J246" s="12">
        <f t="shared" si="144"/>
        <v>0</v>
      </c>
      <c r="K246" s="12">
        <f t="shared" si="144"/>
        <v>0</v>
      </c>
      <c r="L246" s="12">
        <f t="shared" si="144"/>
        <v>0</v>
      </c>
      <c r="M246" s="12">
        <f t="shared" si="144"/>
        <v>0</v>
      </c>
      <c r="N246" s="12">
        <f t="shared" si="144"/>
        <v>0</v>
      </c>
      <c r="O246" s="12">
        <f t="shared" si="144"/>
        <v>0</v>
      </c>
      <c r="P246" s="12">
        <f t="shared" si="144"/>
        <v>0</v>
      </c>
      <c r="Q246" s="12">
        <f t="shared" si="144"/>
        <v>0</v>
      </c>
    </row>
    <row r="247" spans="7:17">
      <c r="G247" s="12">
        <f t="shared" si="117"/>
        <v>0</v>
      </c>
      <c r="H247" s="12">
        <f t="shared" ref="H247:Q247" si="145">IF($E96&gt;H$66,0,IF($E96&lt;H$66-365,$D96,0))</f>
        <v>0</v>
      </c>
      <c r="I247" s="12">
        <f t="shared" si="145"/>
        <v>0</v>
      </c>
      <c r="J247" s="12">
        <f t="shared" si="145"/>
        <v>0</v>
      </c>
      <c r="K247" s="12">
        <f t="shared" si="145"/>
        <v>0</v>
      </c>
      <c r="L247" s="12">
        <f t="shared" si="145"/>
        <v>0</v>
      </c>
      <c r="M247" s="12">
        <f t="shared" si="145"/>
        <v>0</v>
      </c>
      <c r="N247" s="12">
        <f t="shared" si="145"/>
        <v>0</v>
      </c>
      <c r="O247" s="12">
        <f t="shared" si="145"/>
        <v>0</v>
      </c>
      <c r="P247" s="12">
        <f t="shared" si="145"/>
        <v>0</v>
      </c>
      <c r="Q247" s="12">
        <f t="shared" si="145"/>
        <v>0</v>
      </c>
    </row>
    <row r="248" spans="7:17">
      <c r="G248" s="12">
        <f t="shared" si="117"/>
        <v>0</v>
      </c>
      <c r="H248" s="12">
        <f t="shared" ref="H248:Q248" si="146">IF($E97&gt;H$66,0,IF($E97&lt;H$66-365,$D97,0))</f>
        <v>0</v>
      </c>
      <c r="I248" s="12">
        <f t="shared" si="146"/>
        <v>0</v>
      </c>
      <c r="J248" s="12">
        <f t="shared" si="146"/>
        <v>0</v>
      </c>
      <c r="K248" s="12">
        <f t="shared" si="146"/>
        <v>0</v>
      </c>
      <c r="L248" s="12">
        <f t="shared" si="146"/>
        <v>0</v>
      </c>
      <c r="M248" s="12">
        <f t="shared" si="146"/>
        <v>0</v>
      </c>
      <c r="N248" s="12">
        <f t="shared" si="146"/>
        <v>0</v>
      </c>
      <c r="O248" s="12">
        <f t="shared" si="146"/>
        <v>0</v>
      </c>
      <c r="P248" s="12">
        <f t="shared" si="146"/>
        <v>0</v>
      </c>
      <c r="Q248" s="12">
        <f t="shared" si="146"/>
        <v>0</v>
      </c>
    </row>
    <row r="249" spans="7:17">
      <c r="G249" s="12">
        <f t="shared" si="117"/>
        <v>0</v>
      </c>
      <c r="H249" s="12">
        <f t="shared" ref="H249:Q249" si="147">IF($E98&gt;H$66,0,IF($E98&lt;H$66-365,$D98,0))</f>
        <v>0</v>
      </c>
      <c r="I249" s="12">
        <f t="shared" si="147"/>
        <v>0</v>
      </c>
      <c r="J249" s="12">
        <f t="shared" si="147"/>
        <v>0</v>
      </c>
      <c r="K249" s="12">
        <f t="shared" si="147"/>
        <v>0</v>
      </c>
      <c r="L249" s="12">
        <f t="shared" si="147"/>
        <v>0</v>
      </c>
      <c r="M249" s="12">
        <f t="shared" si="147"/>
        <v>0</v>
      </c>
      <c r="N249" s="12">
        <f t="shared" si="147"/>
        <v>0</v>
      </c>
      <c r="O249" s="12">
        <f t="shared" si="147"/>
        <v>0</v>
      </c>
      <c r="P249" s="12">
        <f t="shared" si="147"/>
        <v>0</v>
      </c>
      <c r="Q249" s="12">
        <f t="shared" si="147"/>
        <v>0</v>
      </c>
    </row>
    <row r="250" spans="7:17">
      <c r="G250" s="12">
        <f t="shared" si="117"/>
        <v>0</v>
      </c>
      <c r="H250" s="12">
        <f t="shared" ref="H250:Q250" si="148">IF($E99&gt;H$66,0,IF($E99&lt;H$66-365,$D99,0))</f>
        <v>0</v>
      </c>
      <c r="I250" s="12">
        <f t="shared" si="148"/>
        <v>0</v>
      </c>
      <c r="J250" s="12">
        <f t="shared" si="148"/>
        <v>0</v>
      </c>
      <c r="K250" s="12">
        <f t="shared" si="148"/>
        <v>0</v>
      </c>
      <c r="L250" s="12">
        <f t="shared" si="148"/>
        <v>0</v>
      </c>
      <c r="M250" s="12">
        <f t="shared" si="148"/>
        <v>0</v>
      </c>
      <c r="N250" s="12">
        <f t="shared" si="148"/>
        <v>0</v>
      </c>
      <c r="O250" s="12">
        <f t="shared" si="148"/>
        <v>0</v>
      </c>
      <c r="P250" s="12">
        <f t="shared" si="148"/>
        <v>0</v>
      </c>
      <c r="Q250" s="12">
        <f t="shared" si="148"/>
        <v>0</v>
      </c>
    </row>
    <row r="251" spans="7:17">
      <c r="G251" s="12">
        <f t="shared" si="117"/>
        <v>0</v>
      </c>
      <c r="H251" s="12">
        <f t="shared" ref="H251:Q251" si="149">IF($E100&gt;H$66,0,IF($E100&lt;H$66-365,$D100,0))</f>
        <v>0</v>
      </c>
      <c r="I251" s="12">
        <f t="shared" si="149"/>
        <v>0</v>
      </c>
      <c r="J251" s="12">
        <f t="shared" si="149"/>
        <v>0</v>
      </c>
      <c r="K251" s="12">
        <f t="shared" si="149"/>
        <v>0</v>
      </c>
      <c r="L251" s="12">
        <f t="shared" si="149"/>
        <v>0</v>
      </c>
      <c r="M251" s="12">
        <f t="shared" si="149"/>
        <v>0</v>
      </c>
      <c r="N251" s="12">
        <f t="shared" si="149"/>
        <v>0</v>
      </c>
      <c r="O251" s="12">
        <f t="shared" si="149"/>
        <v>0</v>
      </c>
      <c r="P251" s="12">
        <f t="shared" si="149"/>
        <v>0</v>
      </c>
      <c r="Q251" s="12">
        <f t="shared" si="149"/>
        <v>0</v>
      </c>
    </row>
    <row r="252" spans="7:17">
      <c r="G252" s="12">
        <f t="shared" si="117"/>
        <v>0</v>
      </c>
      <c r="H252" s="12">
        <f t="shared" ref="H252:Q252" si="150">IF($E101&gt;H$66,0,IF($E101&lt;H$66-365,$D101,0))</f>
        <v>0</v>
      </c>
      <c r="I252" s="12">
        <f t="shared" si="150"/>
        <v>0</v>
      </c>
      <c r="J252" s="12">
        <f t="shared" si="150"/>
        <v>0</v>
      </c>
      <c r="K252" s="12">
        <f t="shared" si="150"/>
        <v>0</v>
      </c>
      <c r="L252" s="12">
        <f t="shared" si="150"/>
        <v>0</v>
      </c>
      <c r="M252" s="12">
        <f t="shared" si="150"/>
        <v>0</v>
      </c>
      <c r="N252" s="12">
        <f t="shared" si="150"/>
        <v>0</v>
      </c>
      <c r="O252" s="12">
        <f t="shared" si="150"/>
        <v>0</v>
      </c>
      <c r="P252" s="12">
        <f t="shared" si="150"/>
        <v>0</v>
      </c>
      <c r="Q252" s="12">
        <f t="shared" si="150"/>
        <v>0</v>
      </c>
    </row>
    <row r="253" spans="7:17">
      <c r="G253" s="12">
        <f t="shared" si="117"/>
        <v>0</v>
      </c>
      <c r="H253" s="12">
        <f t="shared" ref="H253:Q253" si="151">IF($E102&gt;H$66,0,IF($E102&lt;H$66-365,$D102,0))</f>
        <v>0</v>
      </c>
      <c r="I253" s="12">
        <f t="shared" si="151"/>
        <v>0</v>
      </c>
      <c r="J253" s="12">
        <f t="shared" si="151"/>
        <v>0</v>
      </c>
      <c r="K253" s="12">
        <f t="shared" si="151"/>
        <v>0</v>
      </c>
      <c r="L253" s="12">
        <f t="shared" si="151"/>
        <v>0</v>
      </c>
      <c r="M253" s="12">
        <f t="shared" si="151"/>
        <v>0</v>
      </c>
      <c r="N253" s="12">
        <f t="shared" si="151"/>
        <v>0</v>
      </c>
      <c r="O253" s="12">
        <f t="shared" si="151"/>
        <v>0</v>
      </c>
      <c r="P253" s="12">
        <f t="shared" si="151"/>
        <v>0</v>
      </c>
      <c r="Q253" s="12">
        <f t="shared" si="151"/>
        <v>0</v>
      </c>
    </row>
    <row r="254" spans="7:17">
      <c r="G254" s="12">
        <f t="shared" si="117"/>
        <v>0</v>
      </c>
      <c r="H254" s="12">
        <f t="shared" ref="H254:Q254" si="152">IF($E103&gt;H$66,0,IF($E103&lt;H$66-365,$D103,0))</f>
        <v>0</v>
      </c>
      <c r="I254" s="12">
        <f t="shared" si="152"/>
        <v>0</v>
      </c>
      <c r="J254" s="12">
        <f t="shared" si="152"/>
        <v>0</v>
      </c>
      <c r="K254" s="12">
        <f t="shared" si="152"/>
        <v>0</v>
      </c>
      <c r="L254" s="12">
        <f t="shared" si="152"/>
        <v>0</v>
      </c>
      <c r="M254" s="12">
        <f t="shared" si="152"/>
        <v>0</v>
      </c>
      <c r="N254" s="12">
        <f t="shared" si="152"/>
        <v>0</v>
      </c>
      <c r="O254" s="12">
        <f t="shared" si="152"/>
        <v>0</v>
      </c>
      <c r="P254" s="12">
        <f t="shared" si="152"/>
        <v>0</v>
      </c>
      <c r="Q254" s="12">
        <f t="shared" si="152"/>
        <v>0</v>
      </c>
    </row>
    <row r="255" spans="7:17">
      <c r="G255" s="12">
        <f t="shared" si="117"/>
        <v>0</v>
      </c>
      <c r="H255" s="12">
        <f t="shared" ref="H255:Q255" si="153">IF($E104&gt;H$66,0,IF($E104&lt;H$66-365,$D104,0))</f>
        <v>0</v>
      </c>
      <c r="I255" s="12">
        <f t="shared" si="153"/>
        <v>0</v>
      </c>
      <c r="J255" s="12">
        <f t="shared" si="153"/>
        <v>0</v>
      </c>
      <c r="K255" s="12">
        <f t="shared" si="153"/>
        <v>0</v>
      </c>
      <c r="L255" s="12">
        <f t="shared" si="153"/>
        <v>0</v>
      </c>
      <c r="M255" s="12">
        <f t="shared" si="153"/>
        <v>0</v>
      </c>
      <c r="N255" s="12">
        <f t="shared" si="153"/>
        <v>0</v>
      </c>
      <c r="O255" s="12">
        <f t="shared" si="153"/>
        <v>0</v>
      </c>
      <c r="P255" s="12">
        <f t="shared" si="153"/>
        <v>0</v>
      </c>
      <c r="Q255" s="12">
        <f t="shared" si="153"/>
        <v>0</v>
      </c>
    </row>
    <row r="256" spans="7:17">
      <c r="G256" s="12">
        <f t="shared" si="117"/>
        <v>0</v>
      </c>
      <c r="H256" s="12">
        <f t="shared" ref="H256:Q256" si="154">IF($E105&gt;H$66,0,IF($E105&lt;H$66-365,$D105,0))</f>
        <v>0</v>
      </c>
      <c r="I256" s="12">
        <f t="shared" si="154"/>
        <v>0</v>
      </c>
      <c r="J256" s="12">
        <f t="shared" si="154"/>
        <v>0</v>
      </c>
      <c r="K256" s="12">
        <f t="shared" si="154"/>
        <v>0</v>
      </c>
      <c r="L256" s="12">
        <f t="shared" si="154"/>
        <v>0</v>
      </c>
      <c r="M256" s="12">
        <f t="shared" si="154"/>
        <v>0</v>
      </c>
      <c r="N256" s="12">
        <f t="shared" si="154"/>
        <v>0</v>
      </c>
      <c r="O256" s="12">
        <f t="shared" si="154"/>
        <v>0</v>
      </c>
      <c r="P256" s="12">
        <f t="shared" si="154"/>
        <v>0</v>
      </c>
      <c r="Q256" s="12">
        <f t="shared" si="154"/>
        <v>0</v>
      </c>
    </row>
    <row r="257" spans="5:18">
      <c r="G257" s="12">
        <f t="shared" si="117"/>
        <v>0</v>
      </c>
      <c r="H257" s="12">
        <f t="shared" ref="H257:Q257" si="155">IF($E106&gt;H$66,0,IF($E106&lt;H$66-365,$D106,0))</f>
        <v>0</v>
      </c>
      <c r="I257" s="12">
        <f t="shared" si="155"/>
        <v>0</v>
      </c>
      <c r="J257" s="12">
        <f t="shared" si="155"/>
        <v>0</v>
      </c>
      <c r="K257" s="12">
        <f t="shared" si="155"/>
        <v>0</v>
      </c>
      <c r="L257" s="12">
        <f t="shared" si="155"/>
        <v>0</v>
      </c>
      <c r="M257" s="12">
        <f t="shared" si="155"/>
        <v>0</v>
      </c>
      <c r="N257" s="12">
        <f t="shared" si="155"/>
        <v>0</v>
      </c>
      <c r="O257" s="12">
        <f t="shared" si="155"/>
        <v>0</v>
      </c>
      <c r="P257" s="12">
        <f t="shared" si="155"/>
        <v>0</v>
      </c>
      <c r="Q257" s="12">
        <f t="shared" si="155"/>
        <v>0</v>
      </c>
    </row>
    <row r="258" spans="5:18">
      <c r="G258" s="12">
        <f t="shared" si="117"/>
        <v>0</v>
      </c>
      <c r="H258" s="12">
        <f t="shared" ref="H258:Q258" si="156">IF($E107&gt;H$66,0,IF($E107&lt;H$66-365,$D107,0))</f>
        <v>0</v>
      </c>
      <c r="I258" s="12">
        <f t="shared" si="156"/>
        <v>0</v>
      </c>
      <c r="J258" s="12">
        <f t="shared" si="156"/>
        <v>0</v>
      </c>
      <c r="K258" s="12">
        <f t="shared" si="156"/>
        <v>0</v>
      </c>
      <c r="L258" s="12">
        <f t="shared" si="156"/>
        <v>0</v>
      </c>
      <c r="M258" s="12">
        <f t="shared" si="156"/>
        <v>0</v>
      </c>
      <c r="N258" s="12">
        <f t="shared" si="156"/>
        <v>0</v>
      </c>
      <c r="O258" s="12">
        <f t="shared" si="156"/>
        <v>0</v>
      </c>
      <c r="P258" s="12">
        <f t="shared" si="156"/>
        <v>0</v>
      </c>
      <c r="Q258" s="12">
        <f t="shared" si="156"/>
        <v>0</v>
      </c>
    </row>
    <row r="259" spans="5:18">
      <c r="G259" s="12">
        <f t="shared" si="117"/>
        <v>0</v>
      </c>
      <c r="H259" s="12">
        <f t="shared" ref="H259:Q259" si="157">IF($E108&gt;H$66,0,IF($E108&lt;H$66-365,$D108,0))</f>
        <v>0</v>
      </c>
      <c r="I259" s="12">
        <f t="shared" si="157"/>
        <v>0</v>
      </c>
      <c r="J259" s="12">
        <f t="shared" si="157"/>
        <v>0</v>
      </c>
      <c r="K259" s="12">
        <f t="shared" si="157"/>
        <v>0</v>
      </c>
      <c r="L259" s="12">
        <f t="shared" si="157"/>
        <v>0</v>
      </c>
      <c r="M259" s="12">
        <f t="shared" si="157"/>
        <v>0</v>
      </c>
      <c r="N259" s="12">
        <f t="shared" si="157"/>
        <v>0</v>
      </c>
      <c r="O259" s="12">
        <f t="shared" si="157"/>
        <v>0</v>
      </c>
      <c r="P259" s="12">
        <f t="shared" si="157"/>
        <v>0</v>
      </c>
      <c r="Q259" s="12">
        <f t="shared" si="157"/>
        <v>0</v>
      </c>
    </row>
    <row r="260" spans="5:18">
      <c r="G260" s="12">
        <f t="shared" si="117"/>
        <v>0</v>
      </c>
      <c r="H260" s="12">
        <f t="shared" ref="H260:Q260" si="158">IF($E109&gt;H$66,0,IF($E109&lt;H$66-365,$D109,0))</f>
        <v>0</v>
      </c>
      <c r="I260" s="12">
        <f t="shared" si="158"/>
        <v>0</v>
      </c>
      <c r="J260" s="12">
        <f t="shared" si="158"/>
        <v>0</v>
      </c>
      <c r="K260" s="12">
        <f t="shared" si="158"/>
        <v>0</v>
      </c>
      <c r="L260" s="12">
        <f t="shared" si="158"/>
        <v>0</v>
      </c>
      <c r="M260" s="12">
        <f t="shared" si="158"/>
        <v>0</v>
      </c>
      <c r="N260" s="12">
        <f t="shared" si="158"/>
        <v>0</v>
      </c>
      <c r="O260" s="12">
        <f t="shared" si="158"/>
        <v>0</v>
      </c>
      <c r="P260" s="12">
        <f t="shared" si="158"/>
        <v>0</v>
      </c>
      <c r="Q260" s="12">
        <f t="shared" si="158"/>
        <v>0</v>
      </c>
    </row>
    <row r="261" spans="5:18">
      <c r="G261" s="12">
        <f t="shared" si="117"/>
        <v>0</v>
      </c>
      <c r="H261" s="12">
        <f t="shared" ref="H261:Q261" si="159">IF($E110&gt;H$66,0,IF($E110&lt;H$66-365,$D110,0))</f>
        <v>0</v>
      </c>
      <c r="I261" s="12">
        <f t="shared" si="159"/>
        <v>0</v>
      </c>
      <c r="J261" s="12">
        <f t="shared" si="159"/>
        <v>0</v>
      </c>
      <c r="K261" s="12">
        <f t="shared" si="159"/>
        <v>0</v>
      </c>
      <c r="L261" s="12">
        <f t="shared" si="159"/>
        <v>0</v>
      </c>
      <c r="M261" s="12">
        <f t="shared" si="159"/>
        <v>0</v>
      </c>
      <c r="N261" s="12">
        <f t="shared" si="159"/>
        <v>0</v>
      </c>
      <c r="O261" s="12">
        <f t="shared" si="159"/>
        <v>0</v>
      </c>
      <c r="P261" s="12">
        <f t="shared" si="159"/>
        <v>0</v>
      </c>
      <c r="Q261" s="12">
        <f t="shared" si="159"/>
        <v>0</v>
      </c>
    </row>
    <row r="262" spans="5:18">
      <c r="G262" s="12">
        <f t="shared" si="117"/>
        <v>0</v>
      </c>
      <c r="H262" s="12">
        <f t="shared" ref="H262:Q262" si="160">IF($E111&gt;H$66,0,IF($E111&lt;H$66-365,$D111,0))</f>
        <v>0</v>
      </c>
      <c r="I262" s="12">
        <f t="shared" si="160"/>
        <v>0</v>
      </c>
      <c r="J262" s="12">
        <f t="shared" si="160"/>
        <v>0</v>
      </c>
      <c r="K262" s="12">
        <f t="shared" si="160"/>
        <v>0</v>
      </c>
      <c r="L262" s="12">
        <f t="shared" si="160"/>
        <v>0</v>
      </c>
      <c r="M262" s="12">
        <f t="shared" si="160"/>
        <v>0</v>
      </c>
      <c r="N262" s="12">
        <f t="shared" si="160"/>
        <v>0</v>
      </c>
      <c r="O262" s="12">
        <f t="shared" si="160"/>
        <v>0</v>
      </c>
      <c r="P262" s="12">
        <f t="shared" si="160"/>
        <v>0</v>
      </c>
      <c r="Q262" s="12">
        <f t="shared" si="160"/>
        <v>0</v>
      </c>
    </row>
    <row r="263" spans="5:18">
      <c r="G263" s="12">
        <f t="shared" si="117"/>
        <v>0</v>
      </c>
      <c r="H263" s="12">
        <f t="shared" ref="H263:Q263" si="161">IF($E112&gt;H$66,0,IF($E112&lt;H$66-365,$D112,0))</f>
        <v>0</v>
      </c>
      <c r="I263" s="12">
        <f t="shared" si="161"/>
        <v>0</v>
      </c>
      <c r="J263" s="12">
        <f t="shared" si="161"/>
        <v>0</v>
      </c>
      <c r="K263" s="12">
        <f t="shared" si="161"/>
        <v>0</v>
      </c>
      <c r="L263" s="12">
        <f t="shared" si="161"/>
        <v>0</v>
      </c>
      <c r="M263" s="12">
        <f t="shared" si="161"/>
        <v>0</v>
      </c>
      <c r="N263" s="12">
        <f t="shared" si="161"/>
        <v>0</v>
      </c>
      <c r="O263" s="12">
        <f t="shared" si="161"/>
        <v>0</v>
      </c>
      <c r="P263" s="12">
        <f t="shared" si="161"/>
        <v>0</v>
      </c>
      <c r="Q263" s="12">
        <f t="shared" si="161"/>
        <v>0</v>
      </c>
    </row>
    <row r="264" spans="5:18">
      <c r="G264" s="12">
        <f t="shared" si="117"/>
        <v>0</v>
      </c>
      <c r="H264" s="12">
        <f t="shared" ref="H264:Q264" si="162">IF($E113&gt;H$66,0,IF($E113&lt;H$66-365,$D113,0))</f>
        <v>0</v>
      </c>
      <c r="I264" s="12">
        <f t="shared" si="162"/>
        <v>0</v>
      </c>
      <c r="J264" s="12">
        <f t="shared" si="162"/>
        <v>0</v>
      </c>
      <c r="K264" s="12">
        <f t="shared" si="162"/>
        <v>0</v>
      </c>
      <c r="L264" s="12">
        <f t="shared" si="162"/>
        <v>0</v>
      </c>
      <c r="M264" s="12">
        <f t="shared" si="162"/>
        <v>0</v>
      </c>
      <c r="N264" s="12">
        <f t="shared" si="162"/>
        <v>0</v>
      </c>
      <c r="O264" s="12">
        <f t="shared" si="162"/>
        <v>0</v>
      </c>
      <c r="P264" s="12">
        <f t="shared" si="162"/>
        <v>0</v>
      </c>
      <c r="Q264" s="12">
        <f t="shared" si="162"/>
        <v>0</v>
      </c>
    </row>
    <row r="265" spans="5:18">
      <c r="G265" s="12">
        <f t="shared" si="117"/>
        <v>0</v>
      </c>
      <c r="H265" s="12">
        <f t="shared" ref="H265:Q265" si="163">IF($E114&gt;H$66,0,IF($E114&lt;H$66-365,$D114,0))</f>
        <v>0</v>
      </c>
      <c r="I265" s="12">
        <f t="shared" si="163"/>
        <v>0</v>
      </c>
      <c r="J265" s="12">
        <f t="shared" si="163"/>
        <v>0</v>
      </c>
      <c r="K265" s="12">
        <f t="shared" si="163"/>
        <v>0</v>
      </c>
      <c r="L265" s="12">
        <f t="shared" si="163"/>
        <v>0</v>
      </c>
      <c r="M265" s="12">
        <f t="shared" si="163"/>
        <v>0</v>
      </c>
      <c r="N265" s="12">
        <f t="shared" si="163"/>
        <v>0</v>
      </c>
      <c r="O265" s="12">
        <f t="shared" si="163"/>
        <v>0</v>
      </c>
      <c r="P265" s="12">
        <f t="shared" si="163"/>
        <v>0</v>
      </c>
      <c r="Q265" s="12">
        <f t="shared" si="163"/>
        <v>0</v>
      </c>
    </row>
    <row r="267" spans="5:18">
      <c r="F267" s="187" t="s">
        <v>493</v>
      </c>
      <c r="G267" s="187">
        <f>SUM(G220:G265)</f>
        <v>0</v>
      </c>
      <c r="H267" s="187">
        <f t="shared" ref="H267:Q267" si="164">SUM(H220:H265)</f>
        <v>0</v>
      </c>
      <c r="I267" s="187">
        <f t="shared" si="164"/>
        <v>0</v>
      </c>
      <c r="J267" s="187">
        <f t="shared" si="164"/>
        <v>0</v>
      </c>
      <c r="K267" s="187">
        <f t="shared" si="164"/>
        <v>0</v>
      </c>
      <c r="L267" s="187">
        <f t="shared" si="164"/>
        <v>0</v>
      </c>
      <c r="M267" s="187">
        <f t="shared" si="164"/>
        <v>0</v>
      </c>
      <c r="N267" s="187">
        <f t="shared" si="164"/>
        <v>0</v>
      </c>
      <c r="O267" s="187">
        <f t="shared" si="164"/>
        <v>0</v>
      </c>
      <c r="P267" s="187">
        <f t="shared" si="164"/>
        <v>0</v>
      </c>
      <c r="Q267" s="187">
        <f t="shared" si="164"/>
        <v>0</v>
      </c>
    </row>
    <row r="271" spans="5:18">
      <c r="F271" s="207" t="s">
        <v>486</v>
      </c>
      <c r="G271" s="622">
        <f>G66</f>
        <v>45473</v>
      </c>
      <c r="H271" s="622">
        <f t="shared" ref="H271:Q271" si="165">H66</f>
        <v>45838</v>
      </c>
      <c r="I271" s="622">
        <f t="shared" si="165"/>
        <v>46203</v>
      </c>
      <c r="J271" s="622">
        <f t="shared" si="165"/>
        <v>46568</v>
      </c>
      <c r="K271" s="622">
        <f t="shared" si="165"/>
        <v>46934</v>
      </c>
      <c r="L271" s="622">
        <f t="shared" si="165"/>
        <v>47299</v>
      </c>
      <c r="M271" s="622">
        <f t="shared" si="165"/>
        <v>47664</v>
      </c>
      <c r="N271" s="622">
        <f t="shared" si="165"/>
        <v>48029</v>
      </c>
      <c r="O271" s="622">
        <f t="shared" si="165"/>
        <v>48395</v>
      </c>
      <c r="P271" s="622">
        <f t="shared" si="165"/>
        <v>48760</v>
      </c>
      <c r="Q271" s="622">
        <f t="shared" si="165"/>
        <v>49125</v>
      </c>
      <c r="R271" s="206">
        <f t="shared" ref="R271" si="166">Q271+365</f>
        <v>49490</v>
      </c>
    </row>
    <row r="272" spans="5:18">
      <c r="E272" s="12" t="s">
        <v>399</v>
      </c>
      <c r="F272" s="348">
        <f t="shared" ref="F272:P272" si="167">Z216</f>
        <v>4.2064719358533793</v>
      </c>
      <c r="G272" s="348">
        <f t="shared" si="167"/>
        <v>4.2064719358533793</v>
      </c>
      <c r="H272" s="348">
        <f t="shared" si="167"/>
        <v>4.2064719358533793</v>
      </c>
      <c r="I272" s="348">
        <f t="shared" si="167"/>
        <v>4.2064719358533793</v>
      </c>
      <c r="J272" s="348">
        <f t="shared" si="167"/>
        <v>4.2064719358533793</v>
      </c>
      <c r="K272" s="348">
        <f t="shared" si="167"/>
        <v>4.2064719358533793</v>
      </c>
      <c r="L272" s="348">
        <f t="shared" si="167"/>
        <v>4.2064719358533793</v>
      </c>
      <c r="M272" s="348">
        <f t="shared" si="167"/>
        <v>4.2064719358533793</v>
      </c>
      <c r="N272" s="348">
        <f t="shared" si="167"/>
        <v>4.2064719358533793</v>
      </c>
      <c r="O272" s="348">
        <f t="shared" si="167"/>
        <v>4.2064719358533793</v>
      </c>
      <c r="P272" s="348">
        <f t="shared" si="167"/>
        <v>4.2064719358533793</v>
      </c>
      <c r="Q272" s="348">
        <f>AK216</f>
        <v>4.2064719358533793</v>
      </c>
    </row>
  </sheetData>
  <sheetProtection formatCells="0" formatColumns="0" formatRows="0" selectLockedCells="1"/>
  <customSheetViews>
    <customSheetView guid="{0FAFE012-8D9E-4ED0-86A4-A997E430971B}" showGridLines="0" fitToPage="1" hiddenRows="1" topLeftCell="A23">
      <selection activeCell="G32" sqref="G32"/>
      <pageMargins left="0.74803149606299213" right="0.74803149606299213" top="0.51181102362204722" bottom="0.62992125984251968" header="0.51181102362204722" footer="0.51181102362204722"/>
      <pageSetup paperSize="9" scale="24"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62" priority="1" operator="lessThan">
      <formula>0</formula>
    </cfRule>
  </conditionalFormatting>
  <conditionalFormatting sqref="F46:Q47">
    <cfRule type="cellIs" dxfId="61" priority="3" operator="lessThan">
      <formula>0</formula>
    </cfRule>
  </conditionalFormatting>
  <conditionalFormatting sqref="F50:Q50">
    <cfRule type="cellIs" dxfId="60" priority="2" operator="lessThan">
      <formula>0</formula>
    </cfRule>
  </conditionalFormatting>
  <dataValidations disablePrompts="1" count="4">
    <dataValidation type="list" allowBlank="1" showInputMessage="1" showErrorMessage="1" sqref="F141:G141" xr:uid="{82A75AB1-BD95-4689-8172-6608F2AE5B05}">
      <formula1>"0.0 Stars,0.5 Stars,1.0 Stars,1.5 Stars,2.0 Stars,2.5 Stars,3.0 Stars,3.5 Stars,4.0 Stars,4.5 Stars,5.0 Stars,5.5 Stars,6.0 Stars,N/A"</formula1>
    </dataValidation>
    <dataValidation type="list" allowBlank="1" showInputMessage="1" showErrorMessage="1" sqref="E114" xr:uid="{7B3DF201-B5F7-4985-8F67-A5F187997E5F}">
      <formula1>$BQ$155:$BQ$169</formula1>
    </dataValidation>
    <dataValidation type="list" allowBlank="1" showInputMessage="1" showErrorMessage="1" sqref="T89:T113" xr:uid="{8FCD3EEC-5AC4-4593-985D-ACE7105C335A}">
      <formula1>$BR$155:$BR$161</formula1>
    </dataValidation>
    <dataValidation type="list" allowBlank="1" showInputMessage="1" showErrorMessage="1" sqref="O114:Q114 S89:S113" xr:uid="{28028EFC-2DF0-4478-8BB3-CB20141EAB69}">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F0104-54CC-4CB1-ADD4-BB22E67CFA45}">
  <sheetPr codeName="Sheet6">
    <tabColor theme="5"/>
    <pageSetUpPr fitToPage="1"/>
  </sheetPr>
  <dimension ref="A1:CJ272"/>
  <sheetViews>
    <sheetView showGridLines="0" topLeftCell="A60" zoomScale="85" zoomScaleNormal="85" workbookViewId="0">
      <selection activeCell="W11" sqref="W11"/>
    </sheetView>
  </sheetViews>
  <sheetFormatPr defaultColWidth="9.1796875" defaultRowHeight="12.5"/>
  <cols>
    <col min="1" max="1" width="14.81640625" style="12" customWidth="1"/>
    <col min="2" max="2" width="58.1796875"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30.269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42</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0.20873111040363013</v>
      </c>
      <c r="E6" s="367" t="s">
        <v>311</v>
      </c>
      <c r="F6" s="517">
        <f>VLOOKUP($A$2,'Footprint Summary'!$B$4:$R$26,COLUMNS('Footprint Summary'!$B$4:F$26)+1,0)</f>
        <v>2816.9789999999998</v>
      </c>
      <c r="G6" s="517">
        <f>VLOOKUP($A$2,'Footprint Summary'!$B$4:$R$26,COLUMNS('Footprint Summary'!$B$4:G$26)+1,0)</f>
        <v>2796.9789999999998</v>
      </c>
      <c r="H6" s="517">
        <f>VLOOKUP($A$2,'Footprint Summary'!$B$4:$R$26,COLUMNS('Footprint Summary'!$B$4:H$26)+1,0)</f>
        <v>2796.9789999999998</v>
      </c>
      <c r="I6" s="517">
        <f>VLOOKUP($A$2,'Footprint Summary'!$B$4:$R$26,COLUMNS('Footprint Summary'!$B$4:I$26)+1,0)</f>
        <v>2646.9789999999998</v>
      </c>
      <c r="J6" s="517">
        <f>VLOOKUP($A$2,'Footprint Summary'!$B$4:$R$26,COLUMNS('Footprint Summary'!$B$4:J$26)+1,0)</f>
        <v>2646.9789999999998</v>
      </c>
      <c r="K6" s="517">
        <f>VLOOKUP($A$2,'Footprint Summary'!$B$4:$R$26,COLUMNS('Footprint Summary'!$B$4:K$26)+1,0)</f>
        <v>2586.9789999999998</v>
      </c>
      <c r="L6" s="517">
        <f>VLOOKUP($A$2,'Footprint Summary'!$B$4:$R$26,COLUMNS('Footprint Summary'!$B$4:L$26)+1,0)</f>
        <v>2586.9789999999998</v>
      </c>
      <c r="M6" s="517">
        <f>VLOOKUP($A$2,'Footprint Summary'!$B$4:$R$26,COLUMNS('Footprint Summary'!$B$4:M$26)+1,0)</f>
        <v>2586.9789999999998</v>
      </c>
      <c r="N6" s="517">
        <f>VLOOKUP($A$2,'Footprint Summary'!$B$4:$R$26,COLUMNS('Footprint Summary'!$B$4:N$26)+1,0)</f>
        <v>2086.9789999999998</v>
      </c>
      <c r="O6" s="517">
        <f>VLOOKUP($A$2,'Footprint Summary'!$B$4:$R$26,COLUMNS('Footprint Summary'!$B$4:O$26)+1,0)</f>
        <v>1886.9789999999998</v>
      </c>
      <c r="P6" s="517">
        <f>VLOOKUP($A$2,'Footprint Summary'!$B$4:$R$26,COLUMNS('Footprint Summary'!$B$4:P$26)+1,0)</f>
        <v>1886.9789999999998</v>
      </c>
      <c r="Q6" s="429">
        <f>(P6-F6)/F6</f>
        <v>-0.33014090626873682</v>
      </c>
      <c r="R6" s="366"/>
      <c r="S6" s="357"/>
      <c r="T6" s="8"/>
      <c r="U6" s="8"/>
    </row>
    <row r="7" spans="1:21" s="7" customFormat="1" ht="17.25" customHeight="1">
      <c r="A7" s="368" t="str">
        <f>VLOOKUP($A$2,'Asset Attributes'!$B$3:$D$25,2,0)</f>
        <v>NSW2</v>
      </c>
      <c r="B7" s="368" t="s">
        <v>312</v>
      </c>
      <c r="E7" s="367" t="s">
        <v>311</v>
      </c>
      <c r="F7" s="518">
        <f>F6-$F$6</f>
        <v>0</v>
      </c>
      <c r="G7" s="518">
        <f t="shared" ref="G7:P7" si="1">G6-$F$6</f>
        <v>-20</v>
      </c>
      <c r="H7" s="518">
        <f t="shared" si="1"/>
        <v>-20</v>
      </c>
      <c r="I7" s="518">
        <f t="shared" si="1"/>
        <v>-170</v>
      </c>
      <c r="J7" s="518">
        <f t="shared" si="1"/>
        <v>-170</v>
      </c>
      <c r="K7" s="518">
        <f t="shared" si="1"/>
        <v>-230</v>
      </c>
      <c r="L7" s="518">
        <f t="shared" si="1"/>
        <v>-230</v>
      </c>
      <c r="M7" s="518">
        <f t="shared" si="1"/>
        <v>-230</v>
      </c>
      <c r="N7" s="518">
        <f t="shared" si="1"/>
        <v>-730</v>
      </c>
      <c r="O7" s="518">
        <f t="shared" si="1"/>
        <v>-930</v>
      </c>
      <c r="P7" s="518">
        <f t="shared" si="1"/>
        <v>-930</v>
      </c>
      <c r="Q7" s="490">
        <f>SUM(F7:P7)</f>
        <v>-3660</v>
      </c>
      <c r="R7" s="366"/>
      <c r="S7" s="357"/>
      <c r="T7" s="8"/>
      <c r="U7" s="8"/>
    </row>
    <row r="8" spans="1:21" s="7" customFormat="1" ht="17.25" customHeight="1">
      <c r="A8" s="419" t="s">
        <v>284</v>
      </c>
      <c r="B8" s="368" t="s">
        <v>313</v>
      </c>
      <c r="C8" s="2"/>
      <c r="D8" s="486">
        <f>(VLOOKUP($A$2,Assumptions!$B$69:$C$91,2,0))</f>
        <v>26.943555858194884</v>
      </c>
      <c r="E8" s="422" t="s">
        <v>314</v>
      </c>
      <c r="F8" s="519">
        <f>VLOOKUP($A$2,'Footprint Summary'!$B$33:$R$55,COLUMNS('Footprint Summary'!$B$33:F$55)+1,0)</f>
        <v>4662.1239999999998</v>
      </c>
      <c r="G8" s="519">
        <f>VLOOKUP($A$2,'Footprint Summary'!$B$33:$R$55,COLUMNS('Footprint Summary'!$B$33:G$55)+1,0)</f>
        <v>4662.1239999999998</v>
      </c>
      <c r="H8" s="519">
        <f>VLOOKUP($A$2,'Footprint Summary'!$B$33:$R$55,COLUMNS('Footprint Summary'!$B$33:H$55)+1,0)</f>
        <v>4662.1239999999998</v>
      </c>
      <c r="I8" s="519">
        <f>VLOOKUP($A$2,'Footprint Summary'!$B$33:$R$55,COLUMNS('Footprint Summary'!$B$33:I$55)+1,0)</f>
        <v>4662.1239999999998</v>
      </c>
      <c r="J8" s="519">
        <f>VLOOKUP($A$2,'Footprint Summary'!$B$33:$R$55,COLUMNS('Footprint Summary'!$B$33:J$55)+1,0)</f>
        <v>4662.1239999999998</v>
      </c>
      <c r="K8" s="519">
        <f>VLOOKUP($A$2,'Footprint Summary'!$B$33:$R$55,COLUMNS('Footprint Summary'!$B$33:K$55)+1,0)</f>
        <v>4662.1239999999998</v>
      </c>
      <c r="L8" s="519">
        <f>VLOOKUP($A$2,'Footprint Summary'!$B$33:$R$55,COLUMNS('Footprint Summary'!$B$33:L$55)+1,0)</f>
        <v>4352.1239999999998</v>
      </c>
      <c r="M8" s="519">
        <f>VLOOKUP($A$2,'Footprint Summary'!$B$33:$R$55,COLUMNS('Footprint Summary'!$B$33:M$55)+1,0)</f>
        <v>4352.1239999999998</v>
      </c>
      <c r="N8" s="519">
        <f>VLOOKUP($A$2,'Footprint Summary'!$B$33:$R$55,COLUMNS('Footprint Summary'!$B$33:N$55)+1,0)</f>
        <v>3252.1239999999998</v>
      </c>
      <c r="O8" s="519">
        <f>VLOOKUP($A$2,'Footprint Summary'!$B$33:$R$55,COLUMNS('Footprint Summary'!$B$33:O$55)+1,0)</f>
        <v>3252.1239999999998</v>
      </c>
      <c r="P8" s="519">
        <f>VLOOKUP($A$2,'Footprint Summary'!$B$33:$R$55,COLUMNS('Footprint Summary'!$B$33:P$55)+1,0)</f>
        <v>3252.1239999999998</v>
      </c>
      <c r="Q8" s="429">
        <f>(P8-F8)/F8</f>
        <v>-0.30243725821106432</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-310</v>
      </c>
      <c r="M9" s="518">
        <f t="shared" si="2"/>
        <v>-310</v>
      </c>
      <c r="N9" s="518">
        <f t="shared" si="2"/>
        <v>-1410</v>
      </c>
      <c r="O9" s="518">
        <f t="shared" si="2"/>
        <v>-1410</v>
      </c>
      <c r="P9" s="518">
        <f t="shared" si="2"/>
        <v>-1410</v>
      </c>
      <c r="Q9" s="490">
        <f>SUM(F9:P9)</f>
        <v>-4850</v>
      </c>
      <c r="R9" s="366"/>
      <c r="S9" s="357"/>
      <c r="T9" s="8"/>
      <c r="U9" s="8"/>
    </row>
    <row r="10" spans="1:21" s="7" customFormat="1" ht="36.75" customHeight="1">
      <c r="D10" s="542" t="s">
        <v>683</v>
      </c>
      <c r="E10" s="367" t="s">
        <v>311</v>
      </c>
      <c r="F10" s="517">
        <f>F6-F7</f>
        <v>2816.9789999999998</v>
      </c>
      <c r="G10" s="517">
        <f t="shared" ref="G10:P10" si="3">G6-G7</f>
        <v>2816.9789999999998</v>
      </c>
      <c r="H10" s="517">
        <f t="shared" si="3"/>
        <v>2816.9789999999998</v>
      </c>
      <c r="I10" s="517">
        <f t="shared" si="3"/>
        <v>2816.9789999999998</v>
      </c>
      <c r="J10" s="517">
        <f t="shared" si="3"/>
        <v>2816.9789999999998</v>
      </c>
      <c r="K10" s="517">
        <f t="shared" si="3"/>
        <v>2816.9789999999998</v>
      </c>
      <c r="L10" s="517">
        <f t="shared" si="3"/>
        <v>2816.9789999999998</v>
      </c>
      <c r="M10" s="517">
        <f t="shared" si="3"/>
        <v>2816.9789999999998</v>
      </c>
      <c r="N10" s="517">
        <f t="shared" si="3"/>
        <v>2816.9789999999998</v>
      </c>
      <c r="O10" s="517">
        <f t="shared" si="3"/>
        <v>2816.9789999999998</v>
      </c>
      <c r="P10" s="517">
        <f t="shared" si="3"/>
        <v>2816.9789999999998</v>
      </c>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4">G55</f>
        <v>CURRENT</v>
      </c>
      <c r="H12" s="200" t="str">
        <f t="shared" si="4"/>
        <v>FY25</v>
      </c>
      <c r="I12" s="200" t="str">
        <f t="shared" si="4"/>
        <v>FY26</v>
      </c>
      <c r="J12" s="200" t="str">
        <f t="shared" si="4"/>
        <v>FY27</v>
      </c>
      <c r="K12" s="200" t="str">
        <f t="shared" si="4"/>
        <v>FY28</v>
      </c>
      <c r="L12" s="200" t="str">
        <f t="shared" si="4"/>
        <v>FY29</v>
      </c>
      <c r="M12" s="200" t="str">
        <f t="shared" si="4"/>
        <v>FY30</v>
      </c>
      <c r="N12" s="200" t="str">
        <f t="shared" si="4"/>
        <v>FY31</v>
      </c>
      <c r="O12" s="200" t="str">
        <f t="shared" si="4"/>
        <v>FY32</v>
      </c>
      <c r="P12" s="200" t="str">
        <f t="shared" si="4"/>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2225.4134100000001</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240.23924972</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149.50280291218795</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2615.1554626321881</v>
      </c>
      <c r="G16" s="434">
        <f t="shared" ref="G16:P16" si="5">SUM(G13:G15)</f>
        <v>0</v>
      </c>
      <c r="H16" s="434">
        <f t="shared" si="5"/>
        <v>0</v>
      </c>
      <c r="I16" s="434">
        <f t="shared" si="5"/>
        <v>0</v>
      </c>
      <c r="J16" s="434">
        <f t="shared" si="5"/>
        <v>0</v>
      </c>
      <c r="K16" s="434">
        <f t="shared" si="5"/>
        <v>0</v>
      </c>
      <c r="L16" s="434">
        <f t="shared" si="5"/>
        <v>0</v>
      </c>
      <c r="M16" s="434">
        <f t="shared" si="5"/>
        <v>0</v>
      </c>
      <c r="N16" s="434">
        <f t="shared" si="5"/>
        <v>0</v>
      </c>
      <c r="O16" s="434">
        <f t="shared" si="5"/>
        <v>0</v>
      </c>
      <c r="P16" s="434">
        <f t="shared" si="5"/>
        <v>0</v>
      </c>
      <c r="Q16" s="432">
        <f>(F16-P16)/F16</f>
        <v>1</v>
      </c>
      <c r="R16" s="366"/>
      <c r="S16" s="357"/>
      <c r="T16" s="8"/>
      <c r="U16" s="8"/>
    </row>
    <row r="17" spans="1:21" s="7" customFormat="1" ht="17.25" customHeight="1" thickTop="1">
      <c r="E17" s="367" t="s">
        <v>322</v>
      </c>
      <c r="F17" s="428">
        <f>1000*F16/(VLOOKUP($A$2,'Asset Attributes'!$B$3:$D$25,3,0))</f>
        <v>62.070527452582077</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t="s">
        <v>684</v>
      </c>
      <c r="F18" s="428">
        <f>1000*F14/(VLOOKUP($A$2,'Asset Attributes'!$B$3:$D$25,3,0))</f>
        <v>5.7020613718788571</v>
      </c>
      <c r="G18" s="428">
        <f>1000*G14/(VLOOKUP($A$2,'Asset Attributes'!$B$3:$D$25,3,0))</f>
        <v>0</v>
      </c>
      <c r="H18" s="428">
        <f>1000*H14/(VLOOKUP($A$2,'Asset Attributes'!$B$3:$D$25,3,0))</f>
        <v>0</v>
      </c>
      <c r="I18" s="428">
        <f>1000*I14/(VLOOKUP($A$2,'Asset Attributes'!$B$3:$D$25,3,0))</f>
        <v>0</v>
      </c>
      <c r="J18" s="428">
        <f>1000*J14/(VLOOKUP($A$2,'Asset Attributes'!$B$3:$D$25,3,0))</f>
        <v>0</v>
      </c>
      <c r="K18" s="428">
        <f>1000*K14/(VLOOKUP($A$2,'Asset Attributes'!$B$3:$D$25,3,0))</f>
        <v>0</v>
      </c>
      <c r="L18" s="428">
        <f>1000*L14/(VLOOKUP($A$2,'Asset Attributes'!$B$3:$D$25,3,0))</f>
        <v>0</v>
      </c>
      <c r="M18" s="428">
        <f>1000*M14/(VLOOKUP($A$2,'Asset Attributes'!$B$3:$D$25,3,0))</f>
        <v>0</v>
      </c>
      <c r="N18" s="428">
        <f>1000*N14/(VLOOKUP($A$2,'Asset Attributes'!$B$3:$D$25,3,0))</f>
        <v>0</v>
      </c>
      <c r="O18" s="428">
        <f>1000*O14/(VLOOKUP($A$2,'Asset Attributes'!$B$3:$D$25,3,0))</f>
        <v>0</v>
      </c>
      <c r="P18" s="428">
        <f>1000*P14/(VLOOKUP($A$2,'Asset Attributes'!$B$3:$D$25,3,0))</f>
        <v>0</v>
      </c>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6">G55</f>
        <v>CURRENT</v>
      </c>
      <c r="H19" s="200" t="str">
        <f t="shared" si="6"/>
        <v>FY25</v>
      </c>
      <c r="I19" s="200" t="str">
        <f t="shared" si="6"/>
        <v>FY26</v>
      </c>
      <c r="J19" s="200" t="str">
        <f t="shared" si="6"/>
        <v>FY27</v>
      </c>
      <c r="K19" s="200" t="str">
        <f t="shared" si="6"/>
        <v>FY28</v>
      </c>
      <c r="L19" s="200" t="str">
        <f t="shared" si="6"/>
        <v>FY29</v>
      </c>
      <c r="M19" s="200" t="str">
        <f t="shared" si="6"/>
        <v>FY30</v>
      </c>
      <c r="N19" s="200" t="str">
        <f t="shared" si="6"/>
        <v>FY31</v>
      </c>
      <c r="O19" s="200" t="str">
        <f t="shared" si="6"/>
        <v>FY32</v>
      </c>
      <c r="P19" s="200" t="str">
        <f t="shared" si="6"/>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14.84</v>
      </c>
      <c r="H20" s="499">
        <f>-1*(VLOOKUP($A$2,'Footprint Summary'!$B$244:T$266,COLUMNS('Footprint Summary'!$B$244:H$266)+1,0))</f>
        <v>14.6</v>
      </c>
      <c r="I20" s="499">
        <f>-1*(VLOOKUP($A$2,'Footprint Summary'!$B$244:U$266,COLUMNS('Footprint Summary'!$B$244:I$266)+1,0))</f>
        <v>112.54</v>
      </c>
      <c r="J20" s="499">
        <f>-1*(VLOOKUP($A$2,'Footprint Summary'!$B$244:V$266,COLUMNS('Footprint Summary'!$B$244:J$266)+1,0))</f>
        <v>106.08</v>
      </c>
      <c r="K20" s="499">
        <f>-1*(VLOOKUP($A$2,'Footprint Summary'!$B$244:W$266,COLUMNS('Footprint Summary'!$B$244:K$266)+1,0))</f>
        <v>125.81000000000002</v>
      </c>
      <c r="L20" s="499">
        <f>-1*(VLOOKUP($A$2,'Footprint Summary'!$B$244:X$266,COLUMNS('Footprint Summary'!$B$244:L$266)+1,0))</f>
        <v>105.80000000000001</v>
      </c>
      <c r="M20" s="499">
        <f>-1*(VLOOKUP($A$2,'Footprint Summary'!$B$244:Y$266,COLUMNS('Footprint Summary'!$B$244:M$266)+1,0))</f>
        <v>88.09</v>
      </c>
      <c r="N20" s="499">
        <f>-1*(VLOOKUP($A$2,'Footprint Summary'!$B$244:Z$266,COLUMNS('Footprint Summary'!$B$244:N$266)+1,0))</f>
        <v>237.25</v>
      </c>
      <c r="O20" s="499">
        <f>-1*(VLOOKUP($A$2,'Footprint Summary'!$B$244:AA$266,COLUMNS('Footprint Summary'!$B$244:O$266)+1,0))</f>
        <v>267.83999999999997</v>
      </c>
      <c r="P20" s="499">
        <f>-1*(VLOOKUP($A$2,'Footprint Summary'!$B$244:AB$266,COLUMNS('Footprint Summary'!$B$244:P$266)+1,0))</f>
        <v>245.52</v>
      </c>
      <c r="Q20" s="499">
        <f>SUM(G20:P20)</f>
        <v>1318.37</v>
      </c>
      <c r="R20" s="366"/>
      <c r="S20" s="357"/>
      <c r="T20" s="8"/>
      <c r="U20" s="8"/>
    </row>
    <row r="21" spans="1:21"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2075.3584179999998</v>
      </c>
      <c r="H21" s="499">
        <f>-1*(VLOOKUP($A$2,'Footprint Summary'!$B$302:$R$324,COLUMNS('Footprint Summary'!$B$302:H324)+1,0))</f>
        <v>2041.7946699999998</v>
      </c>
      <c r="I21" s="499">
        <f>-1*(VLOOKUP($A$2,'Footprint Summary'!$B$302:$R$324,COLUMNS('Footprint Summary'!$B$302:I324)+1,0))</f>
        <v>1752.3000979999999</v>
      </c>
      <c r="J21" s="499">
        <f>-1*(VLOOKUP($A$2,'Footprint Summary'!$B$302:$R$324,COLUMNS('Footprint Summary'!$B$302:J324)+1,0))</f>
        <v>1651.714896</v>
      </c>
      <c r="K21" s="499">
        <f>-1*(VLOOKUP($A$2,'Footprint Summary'!$B$302:$R$324,COLUMNS('Footprint Summary'!$B$302:K324)+1,0))</f>
        <v>1415.077513</v>
      </c>
      <c r="L21" s="499">
        <f>-1*(VLOOKUP($A$2,'Footprint Summary'!$B$302:$R$324,COLUMNS('Footprint Summary'!$B$302:L324)+1,0))</f>
        <v>1190.01034</v>
      </c>
      <c r="M21" s="499">
        <f>-1*(VLOOKUP($A$2,'Footprint Summary'!$B$302:$R$324,COLUMNS('Footprint Summary'!$B$302:M324)+1,0))</f>
        <v>990.81295699999998</v>
      </c>
      <c r="N21" s="499">
        <f>-1*(VLOOKUP($A$2,'Footprint Summary'!$B$302:$R$324,COLUMNS('Footprint Summary'!$B$302:N324)+1,0))</f>
        <v>678.26817499999993</v>
      </c>
      <c r="O21" s="499">
        <f>-1*(VLOOKUP($A$2,'Footprint Summary'!$B$302:$R$324,COLUMNS('Footprint Summary'!$B$302:O324)+1,0))</f>
        <v>543.44995199999994</v>
      </c>
      <c r="P21" s="499">
        <f>-1*(VLOOKUP($A$2,'Footprint Summary'!$B$302:$R$324,COLUMNS('Footprint Summary'!$B$302:P324)+1,0))</f>
        <v>498.16245599999996</v>
      </c>
      <c r="Q21" s="499">
        <f t="shared" ref="Q21:Q27" si="7">SUM(G21:P21)</f>
        <v>12836.949474999999</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240.23924972</v>
      </c>
      <c r="H22" s="499">
        <f>(VLOOKUP($A$2,'Footprint Summary'!$B$33:$R$55,COLUMNS('Footprint Summary'!$B$33:H$55)+1,0)*VLOOKUP($B$14,Assumptions!$B$17:$N$29,COLUMNS(Assumptions!$B$18:D$29)+1,0)/1000)</f>
        <v>240.23924972</v>
      </c>
      <c r="I22" s="499">
        <f>(VLOOKUP($A$2,'Footprint Summary'!$B$33:$R$55,COLUMNS('Footprint Summary'!$B$33:I$55)+1,0)*VLOOKUP($B$14,Assumptions!$B$17:$N$29,COLUMNS(Assumptions!$B$18:E$29)+1,0)/1000)</f>
        <v>240.23924972</v>
      </c>
      <c r="J22" s="499">
        <f>(VLOOKUP($A$2,'Footprint Summary'!$B$33:$R$55,COLUMNS('Footprint Summary'!$B$33:J$55)+1,0)*VLOOKUP($B$14,Assumptions!$B$17:$N$29,COLUMNS(Assumptions!$B$18:F$29)+1,0)/1000)</f>
        <v>240.23924972</v>
      </c>
      <c r="K22" s="499">
        <f>(VLOOKUP($A$2,'Footprint Summary'!$B$33:$R$55,COLUMNS('Footprint Summary'!$B$33:K$55)+1,0)*VLOOKUP($B$14,Assumptions!$B$17:$N$29,COLUMNS(Assumptions!$B$18:G$29)+1,0)/1000)</f>
        <v>240.23924972</v>
      </c>
      <c r="L22" s="499">
        <f>(VLOOKUP($A$2,'Footprint Summary'!$B$33:$R$55,COLUMNS('Footprint Summary'!$B$33:L$55)+1,0)*VLOOKUP($B$14,Assumptions!$B$17:$N$29,COLUMNS(Assumptions!$B$18:H$29)+1,0)/1000)</f>
        <v>224.26494972</v>
      </c>
      <c r="M22" s="499">
        <f>(VLOOKUP($A$2,'Footprint Summary'!$B$33:$R$55,COLUMNS('Footprint Summary'!$B$33:M$55)+1,0)*VLOOKUP($B$14,Assumptions!$B$17:$N$29,COLUMNS(Assumptions!$B$18:I$29)+1,0)/1000)</f>
        <v>224.26494972</v>
      </c>
      <c r="N22" s="499">
        <f>(VLOOKUP($A$2,'Footprint Summary'!$B$33:$R$55,COLUMNS('Footprint Summary'!$B$33:N$55)+1,0)*VLOOKUP($B$14,Assumptions!$B$17:$N$29,COLUMNS(Assumptions!$B$18:J$29)+1,0)/1000)</f>
        <v>167.58194972000001</v>
      </c>
      <c r="O22" s="499">
        <f>(VLOOKUP($A$2,'Footprint Summary'!$B$33:$R$55,COLUMNS('Footprint Summary'!$B$33:O$55)+1,0)*VLOOKUP($B$14,Assumptions!$B$17:$N$29,COLUMNS(Assumptions!$B$18:K$29)+1,0)/1000)</f>
        <v>167.58194972000001</v>
      </c>
      <c r="P22" s="499">
        <f>(VLOOKUP($A$2,'Footprint Summary'!$B$33:$R$55,COLUMNS('Footprint Summary'!$B$33:P$55)+1,0)*VLOOKUP($B$14,Assumptions!$B$17:$N$29,COLUMNS(Assumptions!$B$18:L$29)+1,0)/1000)</f>
        <v>167.58194972000001</v>
      </c>
      <c r="Q22" s="499">
        <f t="shared" si="7"/>
        <v>2152.4719972000003</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15.974300000000001</v>
      </c>
      <c r="M23" s="499">
        <f>-1*(VLOOKUP($A$2,'Footprint Summary'!$B$273:Y$295,COLUMNS('Footprint Summary'!$B$273:M$295)+1,0))</f>
        <v>15.974300000000001</v>
      </c>
      <c r="N23" s="499">
        <f>-1*(VLOOKUP($A$2,'Footprint Summary'!$B$273:Z$295,COLUMNS('Footprint Summary'!$B$273:N$295)+1,0))</f>
        <v>72.657300000000006</v>
      </c>
      <c r="O23" s="499">
        <f>-1*(VLOOKUP($A$2,'Footprint Summary'!$B$273:AA$295,COLUMNS('Footprint Summary'!$B$273:O$295)+1,0))</f>
        <v>72.657300000000006</v>
      </c>
      <c r="P23" s="499">
        <f>-1*(VLOOKUP($A$2,'Footprint Summary'!$B$273:AB$295,COLUMNS('Footprint Summary'!$B$273:P$295)+1,0))</f>
        <v>72.657300000000006</v>
      </c>
      <c r="Q23" s="499">
        <f t="shared" si="7"/>
        <v>249.9205</v>
      </c>
      <c r="R23" s="366"/>
      <c r="S23" s="357"/>
      <c r="T23" s="8"/>
      <c r="U23" s="8"/>
    </row>
    <row r="24" spans="1:21" s="7" customFormat="1" ht="19.5" customHeight="1">
      <c r="A24" s="419" t="s">
        <v>319</v>
      </c>
      <c r="B24" s="419" t="s">
        <v>329</v>
      </c>
      <c r="E24" s="425" t="s">
        <v>321</v>
      </c>
      <c r="F24" s="499">
        <v>0</v>
      </c>
      <c r="G24" s="499">
        <f>VLOOKUP($A$2,'Footprint Summary'!$B$216:$R$238,COLUMNS('Footprint Summary'!$B$216:G238)+1,0)</f>
        <v>136.36445241861151</v>
      </c>
      <c r="H24" s="499">
        <f>VLOOKUP($A$2,'Footprint Summary'!$B$216:$R$238,COLUMNS('Footprint Summary'!$B$216:H238)+1,0)</f>
        <v>123.22610192503508</v>
      </c>
      <c r="I24" s="499">
        <f>VLOOKUP($A$2,'Footprint Summary'!$B$216:$R$238,COLUMNS('Footprint Summary'!$B$216:I238)+1,0)</f>
        <v>110.08775143145864</v>
      </c>
      <c r="J24" s="499">
        <f>VLOOKUP($A$2,'Footprint Summary'!$B$216:$R$238,COLUMNS('Footprint Summary'!$B$216:J238)+1,0)</f>
        <v>96.949400937882203</v>
      </c>
      <c r="K24" s="499">
        <f>VLOOKUP($A$2,'Footprint Summary'!$B$216:$R$238,COLUMNS('Footprint Summary'!$B$216:K238)+1,0)</f>
        <v>83.811050444305764</v>
      </c>
      <c r="L24" s="499">
        <f>VLOOKUP($A$2,'Footprint Summary'!$B$216:$R$238,COLUMNS('Footprint Summary'!$B$216:L238)+1,0)</f>
        <v>70.672699950729324</v>
      </c>
      <c r="M24" s="499">
        <f>VLOOKUP($A$2,'Footprint Summary'!$B$216:$R$238,COLUMNS('Footprint Summary'!$B$216:M238)+1,0)</f>
        <v>57.534349457152885</v>
      </c>
      <c r="N24" s="499">
        <f>VLOOKUP($A$2,'Footprint Summary'!$B$216:$R$238,COLUMNS('Footprint Summary'!$B$216:N238)+1,0)</f>
        <v>44.395998963576446</v>
      </c>
      <c r="O24" s="499">
        <f>VLOOKUP($A$2,'Footprint Summary'!$B$216:$R$238,COLUMNS('Footprint Summary'!$B$216:O238)+1,0)</f>
        <v>31.257648470000003</v>
      </c>
      <c r="P24" s="499">
        <f>VLOOKUP($A$2,'Footprint Summary'!$B$216:$R$238,COLUMNS('Footprint Summary'!$B$216:P238)+1,0)</f>
        <v>31.257648470000003</v>
      </c>
      <c r="Q24" s="499">
        <f t="shared" si="7"/>
        <v>785.55710246875196</v>
      </c>
      <c r="R24" s="366"/>
      <c r="S24" s="357"/>
      <c r="T24" s="8"/>
      <c r="U24" s="8"/>
    </row>
    <row r="25" spans="1:21" s="7" customFormat="1" ht="19.5" customHeight="1">
      <c r="A25" s="419" t="s">
        <v>319</v>
      </c>
      <c r="B25" s="419" t="s">
        <v>319</v>
      </c>
      <c r="E25" s="425" t="s">
        <v>321</v>
      </c>
      <c r="F25" s="499">
        <f>VLOOKUP($A$2,'Footprint Summary'!$B$216:$R$238,COLUMNS('Footprint Summary'!$B$216:F238)+1,0)-F24</f>
        <v>149.50280291218795</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7"/>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240.23924972</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7"/>
        <v>0</v>
      </c>
      <c r="R26" s="366"/>
      <c r="S26" s="357"/>
      <c r="T26" s="8"/>
      <c r="U26" s="8"/>
    </row>
    <row r="27" spans="1:21" s="7" customFormat="1" ht="19.5" customHeight="1">
      <c r="A27" s="368" t="str">
        <f>VLOOKUP($A$2,'Asset Attributes'!$B$3:$D$25,2,0)</f>
        <v>NSW2</v>
      </c>
      <c r="B27" s="368" t="s">
        <v>330</v>
      </c>
      <c r="E27" s="425" t="s">
        <v>321</v>
      </c>
      <c r="F27" s="367">
        <f>VLOOKUP($A$2,'Footprint Summary'!$B$4:$R$26,COLUMNS('Footprint Summary'!$B$4:F$26)+1,0)*VLOOKUP($A$13,Assumptions!$A$4:$N$14,COLUMNS(Assumptions!$A$4:B$14)+1,0)</f>
        <v>2225.4134100000001</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7"/>
        <v>0</v>
      </c>
      <c r="R27" s="366"/>
      <c r="S27" s="357"/>
      <c r="T27" s="8"/>
      <c r="U27" s="8"/>
    </row>
    <row r="28" spans="1:21" s="7" customFormat="1" ht="19.5" customHeight="1" thickBot="1">
      <c r="E28" s="425" t="s">
        <v>321</v>
      </c>
      <c r="F28" s="434">
        <f>SUM(F20:F23)</f>
        <v>0</v>
      </c>
      <c r="G28" s="434">
        <f t="shared" ref="G28:P28" si="8">SUM(G20:G23)</f>
        <v>2330.4376677199998</v>
      </c>
      <c r="H28" s="434">
        <f t="shared" si="8"/>
        <v>2296.6339197199995</v>
      </c>
      <c r="I28" s="434">
        <f t="shared" si="8"/>
        <v>2105.07934772</v>
      </c>
      <c r="J28" s="434">
        <f t="shared" si="8"/>
        <v>1998.03414572</v>
      </c>
      <c r="K28" s="434">
        <f t="shared" si="8"/>
        <v>1781.12676272</v>
      </c>
      <c r="L28" s="434">
        <f t="shared" si="8"/>
        <v>1536.0495897200001</v>
      </c>
      <c r="M28" s="434">
        <f t="shared" si="8"/>
        <v>1319.1422067200001</v>
      </c>
      <c r="N28" s="434">
        <f t="shared" si="8"/>
        <v>1155.75742472</v>
      </c>
      <c r="O28" s="434">
        <f t="shared" si="8"/>
        <v>1051.5292017199999</v>
      </c>
      <c r="P28" s="434">
        <f t="shared" si="8"/>
        <v>983.92170571999998</v>
      </c>
      <c r="Q28" s="434">
        <f t="shared" ref="Q28" si="9">SUM(Q20:Q24)</f>
        <v>17343.269074668751</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10">G55</f>
        <v>CURRENT</v>
      </c>
      <c r="H30" s="200" t="str">
        <f t="shared" si="10"/>
        <v>FY25</v>
      </c>
      <c r="I30" s="200" t="str">
        <f t="shared" si="10"/>
        <v>FY26</v>
      </c>
      <c r="J30" s="200" t="str">
        <f t="shared" si="10"/>
        <v>FY27</v>
      </c>
      <c r="K30" s="200" t="str">
        <f t="shared" si="10"/>
        <v>FY28</v>
      </c>
      <c r="L30" s="200" t="str">
        <f t="shared" si="10"/>
        <v>FY29</v>
      </c>
      <c r="M30" s="200" t="str">
        <f t="shared" si="10"/>
        <v>FY30</v>
      </c>
      <c r="N30" s="200" t="str">
        <f t="shared" si="10"/>
        <v>FY31</v>
      </c>
      <c r="O30" s="200" t="str">
        <f t="shared" si="10"/>
        <v>FY32</v>
      </c>
      <c r="P30" s="200" t="str">
        <f t="shared" si="10"/>
        <v>FY33</v>
      </c>
      <c r="Q30" s="200" t="s">
        <v>84</v>
      </c>
      <c r="R30" s="366"/>
      <c r="S30" s="357"/>
      <c r="T30" s="8"/>
      <c r="U30" s="8"/>
    </row>
    <row r="31" spans="1:21" s="7" customFormat="1" ht="20.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624255.87</v>
      </c>
      <c r="G32" s="424">
        <f>VLOOKUP($A$2,'Costs Summary'!$B$154:$R$176,COLUMNS('Costs Summary'!$B$154:G$176)+1,0)</f>
        <v>764388.50104981987</v>
      </c>
      <c r="H32" s="424">
        <f>VLOOKUP($A$2,'Costs Summary'!$B$154:$R$176,COLUMNS('Costs Summary'!$B$154:H$176)+1,0)</f>
        <v>791142.0985865636</v>
      </c>
      <c r="I32" s="424">
        <f>VLOOKUP($A$2,'Costs Summary'!$B$154:$R$176,COLUMNS('Costs Summary'!$B$154:I$176)+1,0)</f>
        <v>818832.07203709334</v>
      </c>
      <c r="J32" s="424">
        <f>VLOOKUP($A$2,'Costs Summary'!$B$154:$R$176,COLUMNS('Costs Summary'!$B$154:J$176)+1,0)</f>
        <v>847491.19455839158</v>
      </c>
      <c r="K32" s="424">
        <f>VLOOKUP($A$2,'Costs Summary'!$B$154:$R$176,COLUMNS('Costs Summary'!$B$154:K$176)+1,0)</f>
        <v>877153.38636793522</v>
      </c>
      <c r="L32" s="424">
        <f>VLOOKUP($A$2,'Costs Summary'!$B$154:$R$176,COLUMNS('Costs Summary'!$B$154:L$176)+1,0)</f>
        <v>907853.75489081279</v>
      </c>
      <c r="M32" s="424">
        <f>VLOOKUP($A$2,'Costs Summary'!$B$154:$R$176,COLUMNS('Costs Summary'!$B$154:M$176)+1,0)</f>
        <v>939628.63631199114</v>
      </c>
      <c r="N32" s="424">
        <f>VLOOKUP($A$2,'Costs Summary'!$B$154:$R$176,COLUMNS('Costs Summary'!$B$154:N$176)+1,0)</f>
        <v>1127554.3635743894</v>
      </c>
      <c r="O32" s="424">
        <f>VLOOKUP($A$2,'Costs Summary'!$B$154:$R$176,COLUMNS('Costs Summary'!$B$154:O$176)+1,0)</f>
        <v>1167018.7662994929</v>
      </c>
      <c r="P32" s="424">
        <f>VLOOKUP($A$2,'Costs Summary'!$B$154:$R$176,COLUMNS('Costs Summary'!$B$154:P$176)+1,0)</f>
        <v>1207864.423119975</v>
      </c>
      <c r="Q32" s="433">
        <f>SUM(G32:P32)</f>
        <v>9448927.1967964638</v>
      </c>
      <c r="R32" s="366"/>
      <c r="S32" s="357"/>
      <c r="T32" s="8"/>
      <c r="U32" s="8"/>
    </row>
    <row r="33" spans="1:21" s="7" customFormat="1" ht="17.25" customHeight="1">
      <c r="A33" s="368" t="s">
        <v>284</v>
      </c>
      <c r="B33" s="368" t="s">
        <v>335</v>
      </c>
      <c r="C33" s="423"/>
      <c r="D33" s="423"/>
      <c r="E33" s="423"/>
      <c r="F33" s="424">
        <f>VLOOKUP($A$2,'Costs Summary'!$B$183:$R$205,COLUMNS('Costs Summary'!$B$183:F$205)+1,0)</f>
        <v>98408.675099999993</v>
      </c>
      <c r="G33" s="424">
        <f>VLOOKUP($A$2,'Costs Summary'!$B$183:$R$205,COLUMNS('Costs Summary'!$B$183:G$205)+1,0)</f>
        <v>129382.62436418589</v>
      </c>
      <c r="H33" s="424">
        <f>VLOOKUP($A$2,'Costs Summary'!$B$183:$R$205,COLUMNS('Costs Summary'!$B$183:H$205)+1,0)</f>
        <v>133264.10309511147</v>
      </c>
      <c r="I33" s="424">
        <f>VLOOKUP($A$2,'Costs Summary'!$B$183:$R$205,COLUMNS('Costs Summary'!$B$183:I$205)+1,0)</f>
        <v>137262.02618796483</v>
      </c>
      <c r="J33" s="424">
        <f>VLOOKUP($A$2,'Costs Summary'!$B$183:$R$205,COLUMNS('Costs Summary'!$B$183:J$205)+1,0)</f>
        <v>141379.88697360377</v>
      </c>
      <c r="K33" s="424">
        <f>VLOOKUP($A$2,'Costs Summary'!$B$183:$R$205,COLUMNS('Costs Summary'!$B$183:K$205)+1,0)</f>
        <v>145621.28358281188</v>
      </c>
      <c r="L33" s="424">
        <f>VLOOKUP($A$2,'Costs Summary'!$B$183:$R$205,COLUMNS('Costs Summary'!$B$183:L$205)+1,0)</f>
        <v>149989.92209029623</v>
      </c>
      <c r="M33" s="424">
        <f>VLOOKUP($A$2,'Costs Summary'!$B$183:$R$205,COLUMNS('Costs Summary'!$B$183:M$205)+1,0)</f>
        <v>154489.61975300513</v>
      </c>
      <c r="N33" s="424">
        <f>VLOOKUP($A$2,'Costs Summary'!$B$183:$R$205,COLUMNS('Costs Summary'!$B$183:N$205)+1,0)</f>
        <v>159124.30834559526</v>
      </c>
      <c r="O33" s="424">
        <f>VLOOKUP($A$2,'Costs Summary'!$B$183:$R$205,COLUMNS('Costs Summary'!$B$183:O$205)+1,0)</f>
        <v>163898.03759596313</v>
      </c>
      <c r="P33" s="424">
        <f>VLOOKUP($A$2,'Costs Summary'!$B$183:$R$205,COLUMNS('Costs Summary'!$B$183:P$205)+1,0)</f>
        <v>168814.97872384204</v>
      </c>
      <c r="Q33" s="433">
        <f>SUM(G33:P33)</f>
        <v>1483226.7907123794</v>
      </c>
      <c r="R33" s="366"/>
      <c r="S33" s="357"/>
      <c r="T33" s="8"/>
      <c r="U33" s="8"/>
    </row>
    <row r="34" spans="1:21" s="7" customFormat="1" ht="17.25" customHeight="1">
      <c r="A34" s="368" t="s">
        <v>284</v>
      </c>
      <c r="B34" s="368" t="s">
        <v>336</v>
      </c>
      <c r="H34" s="424">
        <f>VLOOKUP($A$2,'Costs Summary'!$B$241:$R$263,COLUMNS('Costs Summary'!$B$241:H263)+1,0)</f>
        <v>14414.354983200001</v>
      </c>
      <c r="I34" s="424">
        <f>VLOOKUP($A$2,'Costs Summary'!$B$241:$R$263,COLUMNS('Costs Summary'!$B$241:I263)+1,0)</f>
        <v>14414.354983200001</v>
      </c>
      <c r="J34" s="424">
        <f>VLOOKUP($A$2,'Costs Summary'!$B$241:$R$263,COLUMNS('Costs Summary'!$B$241:J263)+1,0)</f>
        <v>14414.354983200001</v>
      </c>
      <c r="K34" s="424">
        <f>VLOOKUP($A$2,'Costs Summary'!$B$241:$R$263,COLUMNS('Costs Summary'!$B$241:K263)+1,0)</f>
        <v>14414.354983200001</v>
      </c>
      <c r="L34" s="424">
        <f>VLOOKUP($A$2,'Costs Summary'!$B$241:$R$263,COLUMNS('Costs Summary'!$B$241:L263)+1,0)</f>
        <v>14414.354983200001</v>
      </c>
      <c r="M34" s="424">
        <f>VLOOKUP($A$2,'Costs Summary'!$B$241:$R$263,COLUMNS('Costs Summary'!$B$241:M263)+1,0)</f>
        <v>14414.354983200001</v>
      </c>
      <c r="N34" s="424">
        <f>VLOOKUP($A$2,'Costs Summary'!$B$241:$R$263,COLUMNS('Costs Summary'!$B$241:N263)+1,0)</f>
        <v>14414.354983200001</v>
      </c>
      <c r="O34" s="424">
        <f>VLOOKUP($A$2,'Costs Summary'!$B$241:$R$263,COLUMNS('Costs Summary'!$B$241:O263)+1,0)</f>
        <v>14414.354983200001</v>
      </c>
      <c r="P34" s="424">
        <f>VLOOKUP($A$2,'Costs Summary'!$B$241:$R$263,COLUMNS('Costs Summary'!$B$241:P263)+1,0)</f>
        <v>14414.354983200001</v>
      </c>
      <c r="Q34" s="433">
        <f>SUM(G34:P34)</f>
        <v>129729.19484880001</v>
      </c>
      <c r="R34" s="366"/>
      <c r="S34" s="357"/>
      <c r="T34" s="8"/>
      <c r="U34" s="8"/>
    </row>
    <row r="35" spans="1:21" s="7" customFormat="1" ht="17.25" customHeight="1">
      <c r="A35" s="419" t="s">
        <v>319</v>
      </c>
      <c r="B35" s="419" t="s">
        <v>666</v>
      </c>
      <c r="C35" s="423"/>
      <c r="D35" s="423"/>
      <c r="E35" s="423"/>
      <c r="F35" s="423"/>
      <c r="G35" s="423"/>
      <c r="H35" s="424">
        <f>VLOOKUP($A$2,'Costs Summary'!$B$212:$R$234,COLUMNS('Costs Summary'!$B$212:H$234)+1,0)</f>
        <v>7393.5661155021053</v>
      </c>
      <c r="I35" s="424">
        <f>VLOOKUP($A$2,'Costs Summary'!$B$212:$R$234,COLUMNS('Costs Summary'!$B$212:I$234)+1,0)</f>
        <v>6605.2650858875186</v>
      </c>
      <c r="J35" s="424">
        <f>VLOOKUP($A$2,'Costs Summary'!$B$212:$R$234,COLUMNS('Costs Summary'!$B$212:J$234)+1,0)</f>
        <v>5816.9640562729319</v>
      </c>
      <c r="K35" s="424">
        <f>VLOOKUP($A$2,'Costs Summary'!$B$212:$R$234,COLUMNS('Costs Summary'!$B$212:K$234)+1,0)</f>
        <v>5028.6630266583461</v>
      </c>
      <c r="L35" s="424">
        <f>VLOOKUP($A$2,'Costs Summary'!$B$212:$R$234,COLUMNS('Costs Summary'!$B$212:L$234)+1,0)</f>
        <v>4240.3619970437594</v>
      </c>
      <c r="M35" s="424">
        <f>VLOOKUP($A$2,'Costs Summary'!$B$212:$R$234,COLUMNS('Costs Summary'!$B$212:M$234)+1,0)</f>
        <v>3452.0609674291732</v>
      </c>
      <c r="N35" s="424">
        <f>VLOOKUP($A$2,'Costs Summary'!$B$212:$R$234,COLUMNS('Costs Summary'!$B$212:N$234)+1,0)</f>
        <v>2663.7599378145869</v>
      </c>
      <c r="O35" s="424">
        <f>VLOOKUP($A$2,'Costs Summary'!$B$212:$R$234,COLUMNS('Costs Summary'!$B$212:O$234)+1,0)</f>
        <v>1875.4589082000002</v>
      </c>
      <c r="P35" s="424">
        <f>VLOOKUP($A$2,'Costs Summary'!$B$212:$R$234,COLUMNS('Costs Summary'!$B$212:P$234)+1,0)</f>
        <v>1875.4589082000002</v>
      </c>
      <c r="Q35" s="433">
        <f>SUM(G35:P35)</f>
        <v>38951.559003008428</v>
      </c>
      <c r="R35" s="366"/>
      <c r="S35" s="357"/>
      <c r="T35" s="8"/>
      <c r="U35" s="8"/>
    </row>
    <row r="36" spans="1:21" s="7" customFormat="1" ht="17.25" customHeight="1" thickBot="1">
      <c r="A36" s="437" t="s">
        <v>338</v>
      </c>
      <c r="C36" s="423"/>
      <c r="D36" s="423"/>
      <c r="E36" s="368" t="s">
        <v>669</v>
      </c>
      <c r="F36" s="461">
        <f t="shared" ref="F36:P36" si="11">SUM(F32:F35)</f>
        <v>722664.54509999999</v>
      </c>
      <c r="G36" s="461">
        <f t="shared" si="11"/>
        <v>893771.12541400571</v>
      </c>
      <c r="H36" s="461">
        <f t="shared" si="11"/>
        <v>946214.12278037716</v>
      </c>
      <c r="I36" s="461">
        <f t="shared" si="11"/>
        <v>977113.71829414566</v>
      </c>
      <c r="J36" s="461">
        <f t="shared" si="11"/>
        <v>1009102.4005714682</v>
      </c>
      <c r="K36" s="461">
        <f t="shared" si="11"/>
        <v>1042217.6879606055</v>
      </c>
      <c r="L36" s="461">
        <f t="shared" si="11"/>
        <v>1076498.3939613528</v>
      </c>
      <c r="M36" s="461">
        <f t="shared" si="11"/>
        <v>1111984.6720156255</v>
      </c>
      <c r="N36" s="461">
        <f t="shared" si="11"/>
        <v>1303756.7868409995</v>
      </c>
      <c r="O36" s="461">
        <f t="shared" si="11"/>
        <v>1347206.6177868561</v>
      </c>
      <c r="P36" s="461">
        <f t="shared" si="11"/>
        <v>1392969.2157352171</v>
      </c>
      <c r="Q36" s="462">
        <f t="shared" ref="Q36" si="12">SUM(Q32:Q35)</f>
        <v>11100834.741360651</v>
      </c>
      <c r="R36" s="366"/>
      <c r="S36" s="357"/>
      <c r="T36" s="8"/>
      <c r="U36" s="8"/>
    </row>
    <row r="37" spans="1:21" s="7" customFormat="1" ht="17.25" customHeight="1" thickTop="1" thickBot="1">
      <c r="C37" s="423"/>
      <c r="D37" s="423"/>
      <c r="E37" s="368" t="s">
        <v>340</v>
      </c>
      <c r="F37" s="468">
        <f>F36/(VLOOKUP($A$2,'Asset Attributes'!$B$3:$D$25,3,0))</f>
        <v>17.152391177727143</v>
      </c>
      <c r="G37" s="468">
        <f>G36/(VLOOKUP($A$2,'Asset Attributes'!$B$3:$D$25,3,0))</f>
        <v>21.213593596648764</v>
      </c>
      <c r="H37" s="468">
        <f>H36/(VLOOKUP($A$2,'Asset Attributes'!$B$3:$D$25,3,0))</f>
        <v>22.458324380052623</v>
      </c>
      <c r="I37" s="468">
        <f>I36/(VLOOKUP($A$2,'Asset Attributes'!$B$3:$D$25,3,0))</f>
        <v>23.191724064704871</v>
      </c>
      <c r="J37" s="468">
        <f>J36/(VLOOKUP($A$2,'Asset Attributes'!$B$3:$D$25,3,0))</f>
        <v>23.950973145624896</v>
      </c>
      <c r="K37" s="468">
        <f>K36/(VLOOKUP($A$2,'Asset Attributes'!$B$3:$D$25,3,0))</f>
        <v>24.736962118119376</v>
      </c>
      <c r="L37" s="468">
        <f>L36/(VLOOKUP($A$2,'Asset Attributes'!$B$3:$D$25,3,0))</f>
        <v>25.550612217823812</v>
      </c>
      <c r="M37" s="468">
        <f>M36/(VLOOKUP($A$2,'Asset Attributes'!$B$3:$D$25,3,0))</f>
        <v>26.392876483803892</v>
      </c>
      <c r="N37" s="468">
        <f>N36/(VLOOKUP($A$2,'Asset Attributes'!$B$3:$D$25,3,0))</f>
        <v>30.944573883057995</v>
      </c>
      <c r="O37" s="468">
        <f>O36/(VLOOKUP($A$2,'Asset Attributes'!$B$3:$D$25,3,0))</f>
        <v>31.975852506096462</v>
      </c>
      <c r="P37" s="468">
        <f>P36/(VLOOKUP($A$2,'Asset Attributes'!$B$3:$D$25,3,0))</f>
        <v>33.062024488161427</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624255.87</v>
      </c>
      <c r="G39" s="424">
        <f>VLOOKUP($A$2,'Costs Summary'!$B$4:$R$26,COLUMNS('Costs Summary'!$B$4:G$26)+1,0)</f>
        <v>758961.49217932555</v>
      </c>
      <c r="H39" s="424">
        <f>VLOOKUP($A$2,'Costs Summary'!$B$4:$R$26,COLUMNS('Costs Summary'!$B$4:H$26)+1,0)</f>
        <v>785525.1444056019</v>
      </c>
      <c r="I39" s="424">
        <f>VLOOKUP($A$2,'Costs Summary'!$B$4:$R$26,COLUMNS('Costs Summary'!$B$4:I$26)+1,0)</f>
        <v>769416.91763008293</v>
      </c>
      <c r="J39" s="424">
        <f>VLOOKUP($A$2,'Costs Summary'!$B$4:$R$26,COLUMNS('Costs Summary'!$B$4:J$26)+1,0)</f>
        <v>796346.50974713569</v>
      </c>
      <c r="K39" s="424">
        <f>VLOOKUP($A$2,'Costs Summary'!$B$4:$R$26,COLUMNS('Costs Summary'!$B$4:K$26)+1,0)</f>
        <v>805535.78507782076</v>
      </c>
      <c r="L39" s="424">
        <f>VLOOKUP($A$2,'Costs Summary'!$B$4:$R$26,COLUMNS('Costs Summary'!$B$4:L$26)+1,0)</f>
        <v>833729.5375555444</v>
      </c>
      <c r="M39" s="424">
        <f>VLOOKUP($A$2,'Costs Summary'!$B$4:$R$26,COLUMNS('Costs Summary'!$B$4:M$26)+1,0)</f>
        <v>862910.07136998838</v>
      </c>
      <c r="N39" s="424">
        <f>VLOOKUP($A$2,'Costs Summary'!$B$4:$R$26,COLUMNS('Costs Summary'!$B$4:N$26)+1,0)</f>
        <v>835356.69883876154</v>
      </c>
      <c r="O39" s="424">
        <f>VLOOKUP($A$2,'Costs Summary'!$B$4:$R$26,COLUMNS('Costs Summary'!$B$4:O$26)+1,0)</f>
        <v>781738.13316075515</v>
      </c>
      <c r="P39" s="424">
        <f>VLOOKUP($A$2,'Costs Summary'!$B$4:$R$26,COLUMNS('Costs Summary'!$B$4:P$26)+1,0)</f>
        <v>809098.96782138152</v>
      </c>
      <c r="Q39" s="433">
        <f>SUM(G39:P39)</f>
        <v>8038619.2577863969</v>
      </c>
      <c r="R39" s="366"/>
      <c r="S39" s="357"/>
      <c r="T39" s="8"/>
      <c r="U39" s="8"/>
    </row>
    <row r="40" spans="1:21" s="7" customFormat="1" ht="17.25" customHeight="1">
      <c r="A40" s="368" t="s">
        <v>284</v>
      </c>
      <c r="B40" s="368" t="s">
        <v>343</v>
      </c>
      <c r="C40" s="423"/>
      <c r="D40" s="423"/>
      <c r="E40" s="423"/>
      <c r="F40" s="424">
        <f>VLOOKUP($A$2,'Costs Summary'!$B$33:$R$55,COLUMNS('Costs Summary'!$B$33:F$55)+1,0)</f>
        <v>98408.675099999993</v>
      </c>
      <c r="G40" s="424">
        <f>VLOOKUP($A$2,'Costs Summary'!$B$33:$R$55,COLUMNS('Costs Summary'!$B$33:G$55)+1,0)</f>
        <v>129382.62436418589</v>
      </c>
      <c r="H40" s="424">
        <f>VLOOKUP($A$2,'Costs Summary'!$B$33:$R$55,COLUMNS('Costs Summary'!$B$33:H$55)+1,0)</f>
        <v>133264.10309511147</v>
      </c>
      <c r="I40" s="424">
        <f>VLOOKUP($A$2,'Costs Summary'!$B$33:$R$55,COLUMNS('Costs Summary'!$B$33:I$55)+1,0)</f>
        <v>137262.02618796483</v>
      </c>
      <c r="J40" s="424">
        <f>VLOOKUP($A$2,'Costs Summary'!$B$33:$R$55,COLUMNS('Costs Summary'!$B$33:J$55)+1,0)</f>
        <v>141379.88697360377</v>
      </c>
      <c r="K40" s="424">
        <f>VLOOKUP($A$2,'Costs Summary'!$B$33:$R$55,COLUMNS('Costs Summary'!$B$33:K$55)+1,0)</f>
        <v>145621.28358281188</v>
      </c>
      <c r="L40" s="424">
        <f>VLOOKUP($A$2,'Costs Summary'!$B$33:$R$55,COLUMNS('Costs Summary'!$B$33:L$55)+1,0)</f>
        <v>140016.59751806437</v>
      </c>
      <c r="M40" s="424">
        <f>VLOOKUP($A$2,'Costs Summary'!$B$33:$R$55,COLUMNS('Costs Summary'!$B$33:M$55)+1,0)</f>
        <v>144217.09544360632</v>
      </c>
      <c r="N40" s="424">
        <f>VLOOKUP($A$2,'Costs Summary'!$B$33:$R$55,COLUMNS('Costs Summary'!$B$33:N$55)+1,0)</f>
        <v>110999.18881482145</v>
      </c>
      <c r="O40" s="424">
        <f>VLOOKUP($A$2,'Costs Summary'!$B$33:$R$55,COLUMNS('Costs Summary'!$B$33:O$55)+1,0)</f>
        <v>114329.1644792661</v>
      </c>
      <c r="P40" s="424">
        <f>VLOOKUP($A$2,'Costs Summary'!$B$33:$R$55,COLUMNS('Costs Summary'!$B$33:P$55)+1,0)</f>
        <v>117759.03941364409</v>
      </c>
      <c r="Q40" s="433">
        <f>SUM(G40:P40)</f>
        <v>1314231.0098730801</v>
      </c>
      <c r="R40" s="366"/>
      <c r="S40" s="357"/>
      <c r="T40" s="8"/>
      <c r="U40" s="8"/>
    </row>
    <row r="41" spans="1:21" s="7" customFormat="1" ht="17.25" customHeight="1">
      <c r="A41" s="368" t="s">
        <v>284</v>
      </c>
      <c r="B41" s="368" t="s">
        <v>336</v>
      </c>
      <c r="H41" s="424">
        <f>VLOOKUP($A$2,'Costs Summary'!$B$125:$R$147,COLUMNS('Costs Summary'!$B$125:H$147)+1,0)</f>
        <v>14414.354983200001</v>
      </c>
      <c r="I41" s="424">
        <f>VLOOKUP($A$2,'Costs Summary'!$B$125:$R$147,COLUMNS('Costs Summary'!$B$125:I$147)+1,0)</f>
        <v>14414.354983200001</v>
      </c>
      <c r="J41" s="424">
        <f>VLOOKUP($A$2,'Costs Summary'!$B$125:$R$147,COLUMNS('Costs Summary'!$B$125:J$147)+1,0)</f>
        <v>14414.354983200001</v>
      </c>
      <c r="K41" s="424">
        <f>VLOOKUP($A$2,'Costs Summary'!$B$125:$R$147,COLUMNS('Costs Summary'!$B$125:K$147)+1,0)</f>
        <v>14414.354983200001</v>
      </c>
      <c r="L41" s="424">
        <f>VLOOKUP($A$2,'Costs Summary'!$B$125:$R$147,COLUMNS('Costs Summary'!$B$125:L$147)+1,0)</f>
        <v>13455.8969832</v>
      </c>
      <c r="M41" s="424">
        <f>VLOOKUP($A$2,'Costs Summary'!$B$125:$R$147,COLUMNS('Costs Summary'!$B$125:M$147)+1,0)</f>
        <v>13455.8969832</v>
      </c>
      <c r="N41" s="424">
        <f>VLOOKUP($A$2,'Costs Summary'!$B$125:$R$147,COLUMNS('Costs Summary'!$B$125:N$147)+1,0)</f>
        <v>10054.916983200001</v>
      </c>
      <c r="O41" s="424">
        <f>VLOOKUP($A$2,'Costs Summary'!$B$125:$R$147,COLUMNS('Costs Summary'!$B$125:O$147)+1,0)</f>
        <v>10054.916983200001</v>
      </c>
      <c r="P41" s="424">
        <f>VLOOKUP($A$2,'Costs Summary'!$B$125:$R$147,COLUMNS('Costs Summary'!$B$125:P$147)+1,0)</f>
        <v>10054.916983200001</v>
      </c>
      <c r="Q41" s="433">
        <f t="shared" ref="Q41:Q42" si="13">SUM(G41:P41)</f>
        <v>114733.96484880002</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7393.5661155021053</v>
      </c>
      <c r="I42" s="424">
        <f>VLOOKUP($A$2,'Costs Summary'!$B$212:$R$234,COLUMNS('Costs Summary'!$B$212:I$234)+1,0)</f>
        <v>6605.2650858875186</v>
      </c>
      <c r="J42" s="424">
        <f>VLOOKUP($A$2,'Costs Summary'!$B$212:$R$234,COLUMNS('Costs Summary'!$B$212:J$234)+1,0)</f>
        <v>5816.9640562729319</v>
      </c>
      <c r="K42" s="424">
        <f>VLOOKUP($A$2,'Costs Summary'!$B$212:$R$234,COLUMNS('Costs Summary'!$B$212:K$234)+1,0)</f>
        <v>5028.6630266583461</v>
      </c>
      <c r="L42" s="424">
        <f>VLOOKUP($A$2,'Costs Summary'!$B$212:$R$234,COLUMNS('Costs Summary'!$B$212:L$234)+1,0)</f>
        <v>4240.3619970437594</v>
      </c>
      <c r="M42" s="424">
        <f>VLOOKUP($A$2,'Costs Summary'!$B$212:$R$234,COLUMNS('Costs Summary'!$B$212:M$234)+1,0)</f>
        <v>3452.0609674291732</v>
      </c>
      <c r="N42" s="424">
        <f>VLOOKUP($A$2,'Costs Summary'!$B$212:$R$234,COLUMNS('Costs Summary'!$B$212:N$234)+1,0)</f>
        <v>2663.7599378145869</v>
      </c>
      <c r="O42" s="424">
        <f>VLOOKUP($A$2,'Costs Summary'!$B$212:$R$234,COLUMNS('Costs Summary'!$B$212:O$234)+1,0)</f>
        <v>1875.4589082000002</v>
      </c>
      <c r="P42" s="424">
        <f>VLOOKUP($A$2,'Costs Summary'!$B$212:$R$234,COLUMNS('Costs Summary'!$B$212:P$234)+1,0)</f>
        <v>1875.4589082000002</v>
      </c>
      <c r="Q42" s="433">
        <f t="shared" si="13"/>
        <v>38951.559003008428</v>
      </c>
      <c r="R42" s="366"/>
      <c r="S42" s="357"/>
      <c r="T42" s="8"/>
      <c r="U42" s="8"/>
    </row>
    <row r="43" spans="1:21" s="7" customFormat="1" ht="17.25" customHeight="1" thickBot="1">
      <c r="A43" s="437" t="s">
        <v>338</v>
      </c>
      <c r="E43" s="368" t="s">
        <v>669</v>
      </c>
      <c r="F43" s="461">
        <f t="shared" ref="F43:P43" si="14">SUM(F39:F42)</f>
        <v>722664.54509999999</v>
      </c>
      <c r="G43" s="461">
        <f t="shared" si="14"/>
        <v>888344.11654351139</v>
      </c>
      <c r="H43" s="461">
        <f t="shared" si="14"/>
        <v>940597.16859941545</v>
      </c>
      <c r="I43" s="461">
        <f t="shared" si="14"/>
        <v>927698.56388713524</v>
      </c>
      <c r="J43" s="461">
        <f t="shared" si="14"/>
        <v>957957.71576021228</v>
      </c>
      <c r="K43" s="461">
        <f t="shared" si="14"/>
        <v>970600.08667049103</v>
      </c>
      <c r="L43" s="461">
        <f t="shared" si="14"/>
        <v>991442.39405385242</v>
      </c>
      <c r="M43" s="461">
        <f t="shared" si="14"/>
        <v>1024035.1247642239</v>
      </c>
      <c r="N43" s="461">
        <f t="shared" si="14"/>
        <v>959074.56457459752</v>
      </c>
      <c r="O43" s="461">
        <f t="shared" si="14"/>
        <v>907997.67353142123</v>
      </c>
      <c r="P43" s="461">
        <f t="shared" si="14"/>
        <v>938788.38312642567</v>
      </c>
      <c r="Q43" s="462">
        <f t="shared" ref="Q43" si="15">SUM(Q39:Q42)</f>
        <v>9506535.7915112861</v>
      </c>
      <c r="R43" s="366"/>
      <c r="S43" s="357"/>
      <c r="T43" s="8"/>
      <c r="U43" s="8"/>
    </row>
    <row r="44" spans="1:21" s="7" customFormat="1" ht="17.25" customHeight="1" thickTop="1" thickBot="1">
      <c r="E44" s="368" t="s">
        <v>340</v>
      </c>
      <c r="F44" s="468">
        <f>F43/(VLOOKUP($A$2,'Asset Attributes'!$B$3:$D$25,3,0))</f>
        <v>17.152391177727143</v>
      </c>
      <c r="G44" s="468">
        <f>G43/(VLOOKUP($A$2,'Asset Attributes'!$B$3:$D$25,3,0))</f>
        <v>21.084783930112774</v>
      </c>
      <c r="H44" s="468">
        <f>H43/(VLOOKUP($A$2,'Asset Attributes'!$B$3:$D$25,3,0))</f>
        <v>22.325006375187872</v>
      </c>
      <c r="I44" s="468">
        <f>I43/(VLOOKUP($A$2,'Asset Attributes'!$B$3:$D$25,3,0))</f>
        <v>22.018858916907227</v>
      </c>
      <c r="J44" s="468">
        <f>J43/(VLOOKUP($A$2,'Asset Attributes'!$B$3:$D$25,3,0))</f>
        <v>22.737057717654331</v>
      </c>
      <c r="K44" s="468">
        <f>K43/(VLOOKUP($A$2,'Asset Attributes'!$B$3:$D$25,3,0))</f>
        <v>23.037123485011179</v>
      </c>
      <c r="L44" s="468">
        <f>L43/(VLOOKUP($A$2,'Asset Attributes'!$B$3:$D$25,3,0))</f>
        <v>23.531814156789434</v>
      </c>
      <c r="M44" s="468">
        <f>M43/(VLOOKUP($A$2,'Asset Attributes'!$B$3:$D$25,3,0))</f>
        <v>24.305400283969998</v>
      </c>
      <c r="N44" s="468">
        <f>N43/(VLOOKUP($A$2,'Asset Attributes'!$B$3:$D$25,3,0))</f>
        <v>22.76356604420862</v>
      </c>
      <c r="O44" s="468">
        <f>O43/(VLOOKUP($A$2,'Asset Attributes'!$B$3:$D$25,3,0))</f>
        <v>21.551259696464001</v>
      </c>
      <c r="P44" s="468">
        <f>P43/(VLOOKUP($A$2,'Asset Attributes'!$B$3:$D$25,3,0))</f>
        <v>22.282074981639269</v>
      </c>
      <c r="Q44" s="460">
        <f>Q43/(VLOOKUP($A$2,'Asset Attributes'!$B$3:$D$25,3,0))</f>
        <v>225.63694558794469</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6">G43-G36</f>
        <v>-5427.0088704943191</v>
      </c>
      <c r="H46" s="461">
        <f t="shared" si="16"/>
        <v>-5616.9541809617076</v>
      </c>
      <c r="I46" s="461">
        <f t="shared" si="16"/>
        <v>-49415.154407010414</v>
      </c>
      <c r="J46" s="461">
        <f t="shared" si="16"/>
        <v>-51144.684811255895</v>
      </c>
      <c r="K46" s="461">
        <f t="shared" si="16"/>
        <v>-71617.601290114457</v>
      </c>
      <c r="L46" s="461">
        <f t="shared" si="16"/>
        <v>-85055.999907500343</v>
      </c>
      <c r="M46" s="461">
        <f t="shared" si="16"/>
        <v>-87949.547251401586</v>
      </c>
      <c r="N46" s="461">
        <f t="shared" si="16"/>
        <v>-344682.22226640198</v>
      </c>
      <c r="O46" s="461">
        <f t="shared" si="16"/>
        <v>-439208.94425543491</v>
      </c>
      <c r="P46" s="461">
        <f t="shared" si="16"/>
        <v>-454180.83260879142</v>
      </c>
      <c r="Q46" s="462">
        <f>SUM(F46:P46)</f>
        <v>-1594298.9498493671</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-0.12880966653598971</v>
      </c>
      <c r="H47" s="468">
        <f>H46/(VLOOKUP($A$2,'Asset Attributes'!$B$3:$D$25,3,0))</f>
        <v>-0.13331800486475143</v>
      </c>
      <c r="I47" s="468">
        <f>I46/(VLOOKUP($A$2,'Asset Attributes'!$B$3:$D$25,3,0))</f>
        <v>-1.1728651477976457</v>
      </c>
      <c r="J47" s="468">
        <f>J46/(VLOOKUP($A$2,'Asset Attributes'!$B$3:$D$25,3,0))</f>
        <v>-1.2139154279705662</v>
      </c>
      <c r="K47" s="468">
        <f>K46/(VLOOKUP($A$2,'Asset Attributes'!$B$3:$D$25,3,0))</f>
        <v>-1.6998386331081947</v>
      </c>
      <c r="L47" s="468">
        <f>L46/(VLOOKUP($A$2,'Asset Attributes'!$B$3:$D$25,3,0))</f>
        <v>-2.0187980610343765</v>
      </c>
      <c r="M47" s="468">
        <f>M46/(VLOOKUP($A$2,'Asset Attributes'!$B$3:$D$25,3,0))</f>
        <v>-2.0874761998338931</v>
      </c>
      <c r="N47" s="468">
        <f>N46/(VLOOKUP($A$2,'Asset Attributes'!$B$3:$D$25,3,0))</f>
        <v>-8.1810078388493768</v>
      </c>
      <c r="O47" s="468">
        <f>O46/(VLOOKUP($A$2,'Asset Attributes'!$B$3:$D$25,3,0))</f>
        <v>-10.424592809632463</v>
      </c>
      <c r="P47" s="468">
        <f>P46/(VLOOKUP($A$2,'Asset Attributes'!$B$3:$D$25,3,0))</f>
        <v>-10.779949506522154</v>
      </c>
      <c r="Q47" s="460">
        <f>Q46/(VLOOKUP($A$2,'Asset Attributes'!$B$3:$D$25,3,0))</f>
        <v>-37.840571296149413</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7">G115</f>
        <v>117000</v>
      </c>
      <c r="H49" s="464">
        <f t="shared" si="17"/>
        <v>334394</v>
      </c>
      <c r="I49" s="464">
        <f t="shared" si="17"/>
        <v>0</v>
      </c>
      <c r="J49" s="464">
        <f t="shared" si="17"/>
        <v>0</v>
      </c>
      <c r="K49" s="464">
        <f t="shared" si="17"/>
        <v>1336000</v>
      </c>
      <c r="L49" s="464">
        <f t="shared" si="17"/>
        <v>0</v>
      </c>
      <c r="M49" s="464">
        <f t="shared" si="17"/>
        <v>4324000</v>
      </c>
      <c r="N49" s="464">
        <f t="shared" si="17"/>
        <v>0</v>
      </c>
      <c r="O49" s="464">
        <f t="shared" si="17"/>
        <v>3500000</v>
      </c>
      <c r="P49" s="464">
        <f t="shared" si="17"/>
        <v>0</v>
      </c>
      <c r="Q49" s="465">
        <f>+SUM(F49:P49)</f>
        <v>9611394</v>
      </c>
      <c r="R49" s="366"/>
      <c r="S49" s="357"/>
      <c r="T49" s="8"/>
      <c r="U49" s="8"/>
      <c r="V49" s="8"/>
      <c r="W49" s="8"/>
      <c r="X49" s="8"/>
    </row>
    <row r="50" spans="1:24" s="7" customFormat="1" ht="17.25" customHeight="1">
      <c r="A50" s="9"/>
      <c r="B50" s="368"/>
      <c r="C50" s="2"/>
      <c r="D50" s="2"/>
      <c r="E50" s="459" t="s">
        <v>348</v>
      </c>
      <c r="F50" s="466">
        <f>F46</f>
        <v>0</v>
      </c>
      <c r="G50" s="466">
        <f t="shared" ref="G50:P50" si="18">G46</f>
        <v>-5427.0088704943191</v>
      </c>
      <c r="H50" s="466">
        <f t="shared" si="18"/>
        <v>-5616.9541809617076</v>
      </c>
      <c r="I50" s="466">
        <f t="shared" si="18"/>
        <v>-49415.154407010414</v>
      </c>
      <c r="J50" s="466">
        <f t="shared" si="18"/>
        <v>-51144.684811255895</v>
      </c>
      <c r="K50" s="466">
        <f t="shared" si="18"/>
        <v>-71617.601290114457</v>
      </c>
      <c r="L50" s="466">
        <f t="shared" si="18"/>
        <v>-85055.999907500343</v>
      </c>
      <c r="M50" s="466">
        <f t="shared" si="18"/>
        <v>-87949.547251401586</v>
      </c>
      <c r="N50" s="466">
        <f t="shared" si="18"/>
        <v>-344682.22226640198</v>
      </c>
      <c r="O50" s="466">
        <f t="shared" si="18"/>
        <v>-439208.94425543491</v>
      </c>
      <c r="P50" s="466">
        <f t="shared" si="18"/>
        <v>-454180.83260879142</v>
      </c>
      <c r="Q50" s="467">
        <f>Q46</f>
        <v>-1594298.9498493671</v>
      </c>
      <c r="R50" s="366"/>
      <c r="S50" s="357"/>
      <c r="T50" s="8"/>
      <c r="U50" s="8"/>
      <c r="V50" s="8"/>
      <c r="W50" s="8"/>
      <c r="X50" s="8"/>
    </row>
    <row r="51" spans="1:24" s="7" customFormat="1" ht="17.25" customHeight="1">
      <c r="A51" s="9"/>
      <c r="B51" s="368"/>
      <c r="C51" s="2"/>
      <c r="D51" s="2"/>
      <c r="E51" s="540" t="s">
        <v>670</v>
      </c>
      <c r="F51" s="541">
        <f>-1*F50</f>
        <v>0</v>
      </c>
      <c r="G51" s="541">
        <f t="shared" ref="G51:P51" si="19">-1*G50</f>
        <v>5427.0088704943191</v>
      </c>
      <c r="H51" s="541">
        <f>-1*H50</f>
        <v>5616.9541809617076</v>
      </c>
      <c r="I51" s="541">
        <f t="shared" si="19"/>
        <v>49415.154407010414</v>
      </c>
      <c r="J51" s="541">
        <f t="shared" si="19"/>
        <v>51144.684811255895</v>
      </c>
      <c r="K51" s="541">
        <f t="shared" si="19"/>
        <v>71617.601290114457</v>
      </c>
      <c r="L51" s="541">
        <f t="shared" si="19"/>
        <v>85055.999907500343</v>
      </c>
      <c r="M51" s="541">
        <f t="shared" si="19"/>
        <v>87949.547251401586</v>
      </c>
      <c r="N51" s="541">
        <f t="shared" si="19"/>
        <v>344682.22226640198</v>
      </c>
      <c r="O51" s="541">
        <f t="shared" si="19"/>
        <v>439208.94425543491</v>
      </c>
      <c r="P51" s="541">
        <f t="shared" si="19"/>
        <v>454180.83260879142</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508</v>
      </c>
      <c r="D55" s="10"/>
      <c r="E55" s="441" t="s">
        <v>205</v>
      </c>
      <c r="F55" s="200" t="s">
        <v>188</v>
      </c>
      <c r="G55" s="200" t="str">
        <f>G67</f>
        <v>CURRENT</v>
      </c>
      <c r="H55" s="200" t="str">
        <f t="shared" ref="H55:P55" si="20">H67</f>
        <v>FY25</v>
      </c>
      <c r="I55" s="200" t="str">
        <f t="shared" si="20"/>
        <v>FY26</v>
      </c>
      <c r="J55" s="200" t="str">
        <f t="shared" si="20"/>
        <v>FY27</v>
      </c>
      <c r="K55" s="200" t="str">
        <f t="shared" si="20"/>
        <v>FY28</v>
      </c>
      <c r="L55" s="200" t="str">
        <f t="shared" si="20"/>
        <v>FY29</v>
      </c>
      <c r="M55" s="200" t="str">
        <f t="shared" si="20"/>
        <v>FY30</v>
      </c>
      <c r="N55" s="200" t="str">
        <f t="shared" si="20"/>
        <v>FY31</v>
      </c>
      <c r="O55" s="200" t="str">
        <f t="shared" si="20"/>
        <v>FY32</v>
      </c>
      <c r="P55" s="200" t="str">
        <f t="shared" si="20"/>
        <v>FY33</v>
      </c>
      <c r="Q55" s="200" t="s">
        <v>84</v>
      </c>
      <c r="R55" s="992" t="s">
        <v>685</v>
      </c>
      <c r="S55" s="992"/>
      <c r="T55" s="992" t="s">
        <v>355</v>
      </c>
      <c r="U55" s="992"/>
      <c r="V55" s="992" t="s">
        <v>356</v>
      </c>
      <c r="W55" s="992"/>
      <c r="X55" s="8"/>
    </row>
    <row r="56" spans="1:24" ht="25.5" customHeight="1" thickTop="1">
      <c r="A56" s="438" t="s">
        <v>357</v>
      </c>
      <c r="B56" s="11"/>
      <c r="C56" s="442">
        <v>45016</v>
      </c>
      <c r="D56" s="159"/>
      <c r="E56" s="487" t="str">
        <f>A2</f>
        <v>126 Phillip Street</v>
      </c>
      <c r="F56" s="440">
        <f t="shared" ref="F56:P56" si="21">F272</f>
        <v>5.1893950280212673</v>
      </c>
      <c r="G56" s="440">
        <f t="shared" si="21"/>
        <v>5.1893950280212673</v>
      </c>
      <c r="H56" s="440">
        <f t="shared" si="21"/>
        <v>5.1981210607315385</v>
      </c>
      <c r="I56" s="440">
        <f t="shared" si="21"/>
        <v>5.2635663060585705</v>
      </c>
      <c r="J56" s="440">
        <f t="shared" si="21"/>
        <v>5.2635663060585705</v>
      </c>
      <c r="K56" s="440">
        <f t="shared" si="21"/>
        <v>5.2635663060585705</v>
      </c>
      <c r="L56" s="440">
        <f t="shared" si="21"/>
        <v>5.2983154690224481</v>
      </c>
      <c r="M56" s="440">
        <f t="shared" si="21"/>
        <v>5.2983154690224481</v>
      </c>
      <c r="N56" s="440">
        <f t="shared" si="21"/>
        <v>5.5468797426384837</v>
      </c>
      <c r="O56" s="440">
        <f t="shared" si="21"/>
        <v>5.5468797426384837</v>
      </c>
      <c r="P56" s="440">
        <f t="shared" si="21"/>
        <v>5.6341400697411936</v>
      </c>
      <c r="Q56" s="470">
        <f>IF(E56="",0,P56-F56)</f>
        <v>0.44474504171992635</v>
      </c>
      <c r="R56" s="473" t="s">
        <v>358</v>
      </c>
      <c r="S56" s="478" t="s">
        <v>18</v>
      </c>
      <c r="T56" s="473" t="s">
        <v>358</v>
      </c>
      <c r="U56" s="478" t="s">
        <v>18</v>
      </c>
      <c r="V56" s="473" t="s">
        <v>358</v>
      </c>
      <c r="W56" s="479" t="str">
        <f>IF(W58=1,"Complete",IF(W60&lt;&gt;0,"Complete","Outstanding"))</f>
        <v>Complete</v>
      </c>
      <c r="X56" s="14"/>
    </row>
    <row r="57" spans="1:24" ht="25.5" customHeight="1">
      <c r="A57" s="438" t="s">
        <v>6</v>
      </c>
      <c r="C57" s="275" t="s">
        <v>118</v>
      </c>
      <c r="D57" s="160" t="s">
        <v>686</v>
      </c>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6642394</v>
      </c>
      <c r="T57" s="473" t="s">
        <v>669</v>
      </c>
      <c r="U57" s="479">
        <f>IF(U56="Underway","",S115)</f>
        <v>2808000</v>
      </c>
      <c r="V57" s="473" t="s">
        <v>361</v>
      </c>
      <c r="W57" s="478" t="s">
        <v>680</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174082.75982657311</v>
      </c>
      <c r="T58" s="473" t="s">
        <v>367</v>
      </c>
      <c r="U58" s="478">
        <f>IF(U56="Underway","",-1*S64)</f>
        <v>0.30243725821106432</v>
      </c>
      <c r="V58" s="473" t="s">
        <v>368</v>
      </c>
      <c r="W58" s="478">
        <v>1</v>
      </c>
      <c r="X58" s="14"/>
    </row>
    <row r="59" spans="1:24" ht="25.5" customHeight="1">
      <c r="A59" s="438" t="s">
        <v>369</v>
      </c>
      <c r="B59" s="14"/>
      <c r="C59" s="443">
        <v>2000</v>
      </c>
      <c r="D59" s="161"/>
      <c r="E59" s="488" t="str">
        <f>IF(VLOOKUP($A$2,'Asset Attributes'!B3:G25,5,0)&gt;0.001,"IGO","")</f>
        <v>IGO</v>
      </c>
      <c r="F59" s="439">
        <f>IF($E$59="IGO",SUMPRODUCT('Footprint Summary'!G153:G175,'Footprint Summary'!$C153:$C175,'Footprint Summary'!$E153:$E175)/SUMPRODUCT('Footprint Summary'!$C153:$C175,'Footprint Summary'!$E153:$E175),"")</f>
        <v>5.3773163530915085</v>
      </c>
      <c r="G59" s="439">
        <f>IF($E$59="IGO",SUMPRODUCT('Footprint Summary'!H153:H175,'Footprint Summary'!$C153:$C175,'Footprint Summary'!$E153:$E175)/SUMPRODUCT('Footprint Summary'!$C153:$C175,'Footprint Summary'!$E153:$E175),"")</f>
        <v>5.3897415030978291</v>
      </c>
      <c r="H59" s="439">
        <f>IF($E$59="IGO",SUMPRODUCT('Footprint Summary'!I153:I175,'Footprint Summary'!$C153:$C175,'Footprint Summary'!$E153:$E175)/SUMPRODUCT('Footprint Summary'!$C153:$C175,'Footprint Summary'!$E153:$E175),"")</f>
        <v>5.3989086851726711</v>
      </c>
      <c r="I59" s="439">
        <f>IF($E$59="IGO",SUMPRODUCT('Footprint Summary'!J153:J175,'Footprint Summary'!$C153:$C175,'Footprint Summary'!$E153:$E175)/SUMPRODUCT('Footprint Summary'!$C153:$C175,'Footprint Summary'!$E153:$E175),"")</f>
        <v>5.4212093179158183</v>
      </c>
      <c r="J59" s="439">
        <f>IF($E$59="IGO",SUMPRODUCT('Footprint Summary'!K153:K175,'Footprint Summary'!$C153:$C175,'Footprint Summary'!$E153:$E175)/SUMPRODUCT('Footprint Summary'!$C153:$C175,'Footprint Summary'!$E153:$E175),"")</f>
        <v>5.4717936463248549</v>
      </c>
      <c r="K59" s="439">
        <f>IF($E$59="IGO",SUMPRODUCT('Footprint Summary'!L153:L175,'Footprint Summary'!$C153:$C175,'Footprint Summary'!$E153:$E175)/SUMPRODUCT('Footprint Summary'!$C153:$C175,'Footprint Summary'!$E153:$E175),"")</f>
        <v>5.4936944742974081</v>
      </c>
      <c r="L59" s="439">
        <f>IF($E$59="IGO",SUMPRODUCT('Footprint Summary'!M153:M175,'Footprint Summary'!$C153:$C175,'Footprint Summary'!$E153:$E175)/SUMPRODUCT('Footprint Summary'!$C153:$C175,'Footprint Summary'!$E153:$E175),"")</f>
        <v>5.5096998051417883</v>
      </c>
      <c r="M59" s="439">
        <f>IF($E$59="IGO",SUMPRODUCT('Footprint Summary'!N153:N175,'Footprint Summary'!$C153:$C175,'Footprint Summary'!$E153:$E175)/SUMPRODUCT('Footprint Summary'!$C153:$C175,'Footprint Summary'!$E153:$E175),"")</f>
        <v>5.5139146402024437</v>
      </c>
      <c r="N59" s="439">
        <f>IF($E$59="IGO",SUMPRODUCT('Footprint Summary'!O153:O175,'Footprint Summary'!$C153:$C175,'Footprint Summary'!$E153:$E175)/SUMPRODUCT('Footprint Summary'!$C153:$C175,'Footprint Summary'!$E153:$E175),"")</f>
        <v>5.5351632663682917</v>
      </c>
      <c r="O59" s="439">
        <f>IF($E$59="IGO",SUMPRODUCT('Footprint Summary'!P153:P175,'Footprint Summary'!$C153:$C175,'Footprint Summary'!$E153:$E175)/SUMPRODUCT('Footprint Summary'!$C153:$C175,'Footprint Summary'!$E153:$E175),"")</f>
        <v>5.5351632663682917</v>
      </c>
      <c r="P59" s="439">
        <f>IF($E$59="IGO",SUMPRODUCT('Footprint Summary'!Q153:Q175,'Footprint Summary'!$C153:$C175,'Footprint Summary'!$E153:$E175)/SUMPRODUCT('Footprint Summary'!$C153:$C175,'Footprint Summary'!$E153:$E175),"")</f>
        <v>5.5316015265321372</v>
      </c>
      <c r="Q59" s="470">
        <f>IF(E59="","",P59-G59)</f>
        <v>0.14186002343430815</v>
      </c>
      <c r="R59" s="473" t="s">
        <v>370</v>
      </c>
      <c r="S59" s="480">
        <f>V115</f>
        <v>2.414949865081286E-2</v>
      </c>
      <c r="T59" s="473" t="s">
        <v>371</v>
      </c>
      <c r="U59" s="483" t="e">
        <f ca="1">IF(U56="Underway","",_xlfn.MAXIFS(E69:E88,S69:S88,"Yes"))</f>
        <v>#NAME?</v>
      </c>
      <c r="V59" s="482" t="s">
        <v>372</v>
      </c>
      <c r="W59" s="479">
        <f>T115</f>
        <v>0</v>
      </c>
      <c r="X59" s="14"/>
    </row>
    <row r="60" spans="1:24" ht="25.5" customHeight="1">
      <c r="A60" s="438" t="s">
        <v>373</v>
      </c>
      <c r="B60" s="14"/>
      <c r="C60" s="275">
        <v>39614</v>
      </c>
      <c r="D60" s="160"/>
      <c r="Q60" s="10"/>
      <c r="R60" s="473" t="s">
        <v>374</v>
      </c>
      <c r="S60" s="481">
        <f>IF(S56="Underway","",U115)</f>
        <v>0.57012250543370879</v>
      </c>
      <c r="T60" s="10"/>
      <c r="U60" s="10"/>
      <c r="V60" s="473" t="s">
        <v>375</v>
      </c>
      <c r="W60" s="483" t="str">
        <f>IF(IF(W58=1,"Complete",_xlfn.MAXIFS(E69:E114,T69:T114,"Yes"))=0,"",IF(W58=1,"Complete",_xlfn.MAXIFS(E69:E114,T69:T114,"Yes")))</f>
        <v>Complete</v>
      </c>
      <c r="X60" s="14"/>
    </row>
    <row r="61" spans="1:24" ht="25.5" customHeight="1">
      <c r="A61" s="438" t="s">
        <v>376</v>
      </c>
      <c r="B61" s="14"/>
      <c r="C61" s="444">
        <v>56.4</v>
      </c>
      <c r="D61" s="162"/>
      <c r="H61" s="13"/>
      <c r="J61" s="14"/>
      <c r="K61" s="14"/>
      <c r="L61" s="14"/>
      <c r="M61" s="10"/>
      <c r="N61" s="10"/>
      <c r="O61" s="10"/>
      <c r="P61" s="10"/>
      <c r="Q61" s="10"/>
      <c r="R61" s="482" t="s">
        <v>377</v>
      </c>
      <c r="S61" s="481">
        <f>P272</f>
        <v>5.6341400697411936</v>
      </c>
      <c r="T61" s="10"/>
      <c r="U61" s="10"/>
      <c r="V61" s="473" t="s">
        <v>378</v>
      </c>
      <c r="W61" s="478">
        <v>0</v>
      </c>
      <c r="X61" s="14"/>
    </row>
    <row r="62" spans="1:24" ht="25.5" customHeight="1">
      <c r="A62" s="438" t="s">
        <v>379</v>
      </c>
      <c r="B62" s="14"/>
      <c r="C62" s="275">
        <v>2816.9789999999998</v>
      </c>
      <c r="D62" s="536">
        <f>C115/C62</f>
        <v>-0.33014090626873682</v>
      </c>
      <c r="H62" s="13"/>
      <c r="J62" s="14"/>
      <c r="K62" s="14"/>
      <c r="L62" s="347"/>
      <c r="M62" s="10"/>
      <c r="N62" s="10"/>
      <c r="O62" s="10"/>
      <c r="P62" s="10"/>
      <c r="Q62" s="10"/>
      <c r="R62" s="482" t="s">
        <v>380</v>
      </c>
      <c r="S62" s="481">
        <f>Q272</f>
        <v>5.6341400697411936</v>
      </c>
      <c r="T62" s="496" t="s">
        <v>381</v>
      </c>
      <c r="U62" s="10"/>
      <c r="V62" s="10"/>
      <c r="W62" s="14"/>
      <c r="X62" s="14"/>
    </row>
    <row r="63" spans="1:24" ht="25.5" customHeight="1">
      <c r="A63" s="438" t="s">
        <v>382</v>
      </c>
      <c r="B63" s="14"/>
      <c r="C63" s="275">
        <v>4662.1239999999998</v>
      </c>
      <c r="H63" s="13"/>
      <c r="J63" s="14"/>
      <c r="K63" s="14"/>
      <c r="L63" s="10"/>
      <c r="M63" s="10"/>
      <c r="N63" s="10"/>
      <c r="O63" s="10"/>
      <c r="P63" s="10"/>
      <c r="Q63" s="10"/>
      <c r="R63" s="476" t="s">
        <v>383</v>
      </c>
      <c r="S63" s="478">
        <f>C115/C62</f>
        <v>-0.33014090626873682</v>
      </c>
      <c r="T63" s="496" t="s">
        <v>384</v>
      </c>
      <c r="U63" s="10"/>
      <c r="V63" s="10"/>
      <c r="W63" s="14"/>
      <c r="X63" s="14"/>
    </row>
    <row r="64" spans="1:24" ht="25.5" customHeight="1">
      <c r="A64" s="446" t="s">
        <v>385</v>
      </c>
      <c r="B64" s="447"/>
      <c r="C64" s="445">
        <v>63</v>
      </c>
      <c r="D64" s="495">
        <f>(AJ215-C64)/C64</f>
        <v>-0.24563339248642568</v>
      </c>
      <c r="H64" s="13"/>
      <c r="J64" s="14"/>
      <c r="K64" s="14"/>
      <c r="L64" s="10"/>
      <c r="M64" s="10"/>
      <c r="N64" s="10"/>
      <c r="O64" s="10"/>
      <c r="P64" s="10"/>
      <c r="Q64" s="10"/>
      <c r="R64" s="476" t="s">
        <v>386</v>
      </c>
      <c r="S64" s="478">
        <f>D115/C63</f>
        <v>-0.30243725821106432</v>
      </c>
      <c r="T64" s="10"/>
      <c r="U64" s="14"/>
      <c r="V64" s="10"/>
      <c r="W64" s="14"/>
      <c r="X64" s="14"/>
    </row>
    <row r="65" spans="1:24" ht="25.5" customHeight="1">
      <c r="B65" s="487" t="s">
        <v>387</v>
      </c>
      <c r="C65" s="489">
        <f>Z216</f>
        <v>5.1893950280212673</v>
      </c>
      <c r="D65" s="16"/>
      <c r="J65" s="14"/>
      <c r="K65" s="14"/>
      <c r="L65" s="14"/>
      <c r="M65" s="14"/>
      <c r="N65" s="14"/>
      <c r="O65" s="14"/>
      <c r="P65" s="14"/>
      <c r="Q65" s="14"/>
      <c r="R65" s="35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2">DATE(YEAR(H66)+1,MONTH(H66),DAY(H66))</f>
        <v>46203</v>
      </c>
      <c r="J66" s="416">
        <f t="shared" si="22"/>
        <v>46568</v>
      </c>
      <c r="K66" s="416">
        <f t="shared" si="22"/>
        <v>46934</v>
      </c>
      <c r="L66" s="416">
        <f t="shared" si="22"/>
        <v>47299</v>
      </c>
      <c r="M66" s="416">
        <f t="shared" si="22"/>
        <v>47664</v>
      </c>
      <c r="N66" s="416">
        <f t="shared" si="22"/>
        <v>48029</v>
      </c>
      <c r="O66" s="416">
        <f t="shared" si="22"/>
        <v>48395</v>
      </c>
      <c r="P66" s="416">
        <f t="shared" si="22"/>
        <v>48760</v>
      </c>
      <c r="Q66" s="416">
        <f t="shared" si="22"/>
        <v>49125</v>
      </c>
      <c r="R66" s="9" t="s">
        <v>390</v>
      </c>
      <c r="S66" s="364"/>
      <c r="T66" s="10"/>
      <c r="U66" s="10"/>
      <c r="V66" s="10"/>
      <c r="W66" s="14"/>
      <c r="X66" s="12"/>
    </row>
    <row r="67" spans="1:24" s="18" customFormat="1" ht="43" thickTop="1" thickBot="1">
      <c r="A67" s="184" t="s">
        <v>391</v>
      </c>
      <c r="B67" s="184" t="s">
        <v>392</v>
      </c>
      <c r="C67" s="370" t="s">
        <v>393</v>
      </c>
      <c r="D67" s="370" t="s">
        <v>394</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0.65" customHeight="1" thickTop="1">
      <c r="A68" s="17"/>
      <c r="B68" s="371"/>
      <c r="C68" s="371"/>
      <c r="D68" s="371"/>
      <c r="E68" s="371"/>
      <c r="P68" s="372"/>
      <c r="Q68" s="372"/>
      <c r="S68" s="372"/>
      <c r="V68" s="12"/>
      <c r="W68" s="12"/>
      <c r="X68" s="12"/>
    </row>
    <row r="69" spans="1:24" ht="19.149999999999999" customHeight="1">
      <c r="A69" s="373"/>
      <c r="B69" s="374" t="s">
        <v>687</v>
      </c>
      <c r="C69" s="375"/>
      <c r="D69" s="376"/>
      <c r="E69" s="377">
        <v>45016</v>
      </c>
      <c r="F69" s="378"/>
      <c r="G69" s="403">
        <f>IF(E69&lt;G66,F69,0)</f>
        <v>0</v>
      </c>
      <c r="H69" s="404">
        <f t="shared" ref="H69:Q81" si="23">IF($E69&gt;H$66,0,IF($E69&gt;H$66-365,$F69,0))</f>
        <v>0</v>
      </c>
      <c r="I69" s="404">
        <f t="shared" si="23"/>
        <v>0</v>
      </c>
      <c r="J69" s="404">
        <f t="shared" si="23"/>
        <v>0</v>
      </c>
      <c r="K69" s="404">
        <f t="shared" si="23"/>
        <v>0</v>
      </c>
      <c r="L69" s="404">
        <f t="shared" si="23"/>
        <v>0</v>
      </c>
      <c r="M69" s="404">
        <f t="shared" si="23"/>
        <v>0</v>
      </c>
      <c r="N69" s="404">
        <f t="shared" si="23"/>
        <v>0</v>
      </c>
      <c r="O69" s="404">
        <f t="shared" si="23"/>
        <v>0</v>
      </c>
      <c r="P69" s="404">
        <f t="shared" si="23"/>
        <v>0</v>
      </c>
      <c r="Q69" s="448">
        <f t="shared" si="23"/>
        <v>0</v>
      </c>
      <c r="R69" s="379" t="s">
        <v>32</v>
      </c>
      <c r="S69" s="379"/>
      <c r="T69" s="380"/>
      <c r="U69" s="411" t="str">
        <f>IF(-0.75*((C69/(VLOOKUP($A$2,Assumptions!$B$124:$G$147,2,0)))+D69/(VLOOKUP($A$2,Assumptions!$B$124:$G$147,5,0)))=0,"",-0.75*((C69/(VLOOKUP($A$2,Assumptions!$B$124:$G$147,2,0)))+D69/(VLOOKUP($A$2,Assumptions!$B$124:$G$147,5,0))))</f>
        <v/>
      </c>
      <c r="V69" s="412" t="str">
        <f t="shared" ref="V69:V88" si="24">IF(ISERROR(((-1*C69*1000*$D$6)+(-1*D69*$D$8))/F69),"",((-1*C69*1000*$D$6)+(-1*D69*$D$8))/F69)</f>
        <v/>
      </c>
      <c r="W69" s="450"/>
      <c r="X69" s="506"/>
    </row>
    <row r="70" spans="1:24" ht="75">
      <c r="A70" s="616" t="s">
        <v>688</v>
      </c>
      <c r="B70" s="374" t="s">
        <v>510</v>
      </c>
      <c r="C70" s="381">
        <v>-320</v>
      </c>
      <c r="D70" s="381">
        <v>-1100</v>
      </c>
      <c r="E70" s="614">
        <v>47573</v>
      </c>
      <c r="F70" s="378">
        <v>3680000</v>
      </c>
      <c r="G70" s="403">
        <f t="shared" ref="G70:G81" si="25">IF($E70&lt;G$66,$F70,0)</f>
        <v>0</v>
      </c>
      <c r="H70" s="404">
        <f t="shared" si="23"/>
        <v>0</v>
      </c>
      <c r="I70" s="404">
        <f t="shared" si="23"/>
        <v>0</v>
      </c>
      <c r="J70" s="405">
        <f t="shared" si="23"/>
        <v>0</v>
      </c>
      <c r="K70" s="405">
        <f t="shared" si="23"/>
        <v>0</v>
      </c>
      <c r="L70" s="405">
        <f t="shared" si="23"/>
        <v>0</v>
      </c>
      <c r="M70" s="405">
        <f t="shared" si="23"/>
        <v>3680000</v>
      </c>
      <c r="N70" s="405">
        <f t="shared" si="23"/>
        <v>0</v>
      </c>
      <c r="O70" s="405">
        <f t="shared" si="23"/>
        <v>0</v>
      </c>
      <c r="P70" s="406">
        <f t="shared" si="23"/>
        <v>0</v>
      </c>
      <c r="Q70" s="448">
        <f t="shared" si="23"/>
        <v>0</v>
      </c>
      <c r="R70" s="379" t="s">
        <v>32</v>
      </c>
      <c r="S70" s="379" t="s">
        <v>32</v>
      </c>
      <c r="T70" s="382"/>
      <c r="U70" s="413">
        <f>IF(-0.75*((C70/(VLOOKUP($A$2,Assumptions!$B$124:$G$147,2,0)))+D70/(VLOOKUP($A$2,Assumptions!$B$124:$G$147,5,0)))=0,"",-0.75*((C70/(VLOOKUP($A$2,Assumptions!$B$124:$G$147,2,0)))+D70/(VLOOKUP($A$2,Assumptions!$B$124:$G$147,5,0))))</f>
        <v>0.26448659685174208</v>
      </c>
      <c r="V70" s="414">
        <f t="shared" si="24"/>
        <v>2.6204311623145658E-2</v>
      </c>
      <c r="W70" s="451"/>
      <c r="X70" s="507" t="s">
        <v>32</v>
      </c>
    </row>
    <row r="71" spans="1:24" ht="30">
      <c r="A71" s="553" t="s">
        <v>689</v>
      </c>
      <c r="B71" s="374" t="s">
        <v>512</v>
      </c>
      <c r="C71" s="383">
        <v>-90</v>
      </c>
      <c r="D71" s="383">
        <v>-160</v>
      </c>
      <c r="E71" s="614">
        <v>46843</v>
      </c>
      <c r="F71" s="384">
        <v>736000</v>
      </c>
      <c r="G71" s="403">
        <f t="shared" si="25"/>
        <v>0</v>
      </c>
      <c r="H71" s="404">
        <f t="shared" si="23"/>
        <v>0</v>
      </c>
      <c r="I71" s="405">
        <f t="shared" si="23"/>
        <v>0</v>
      </c>
      <c r="J71" s="405">
        <f t="shared" si="23"/>
        <v>0</v>
      </c>
      <c r="K71" s="405">
        <f t="shared" si="23"/>
        <v>736000</v>
      </c>
      <c r="L71" s="405">
        <f t="shared" si="23"/>
        <v>0</v>
      </c>
      <c r="M71" s="405">
        <f t="shared" si="23"/>
        <v>0</v>
      </c>
      <c r="N71" s="405">
        <f t="shared" si="23"/>
        <v>0</v>
      </c>
      <c r="O71" s="405">
        <f t="shared" si="23"/>
        <v>0</v>
      </c>
      <c r="P71" s="406">
        <f t="shared" si="23"/>
        <v>0</v>
      </c>
      <c r="Q71" s="448">
        <f t="shared" si="23"/>
        <v>0</v>
      </c>
      <c r="R71" s="379" t="s">
        <v>32</v>
      </c>
      <c r="S71" s="379" t="s">
        <v>32</v>
      </c>
      <c r="T71" s="382"/>
      <c r="U71" s="413">
        <f>IF(-0.75*((C71/(VLOOKUP($A$2,Assumptions!$B$124:$G$147,2,0)))+D71/(VLOOKUP($A$2,Assumptions!$B$124:$G$147,5,0)))=0,"",-0.75*((C71/(VLOOKUP($A$2,Assumptions!$B$124:$G$147,2,0)))+D71/(VLOOKUP($A$2,Assumptions!$B$124:$G$147,5,0))))</f>
        <v>5.7789633142330238E-2</v>
      </c>
      <c r="V71" s="414">
        <f t="shared" si="24"/>
        <v>3.1381479447877572E-2</v>
      </c>
      <c r="W71" s="451"/>
      <c r="X71" s="507" t="s">
        <v>32</v>
      </c>
    </row>
    <row r="72" spans="1:24" ht="28.5" customHeight="1">
      <c r="A72" s="553" t="s">
        <v>690</v>
      </c>
      <c r="B72" s="374" t="s">
        <v>514</v>
      </c>
      <c r="C72" s="375">
        <v>30</v>
      </c>
      <c r="D72" s="375">
        <v>-150</v>
      </c>
      <c r="E72" s="614">
        <v>46843</v>
      </c>
      <c r="F72" s="378">
        <v>600000</v>
      </c>
      <c r="G72" s="403">
        <f t="shared" si="25"/>
        <v>0</v>
      </c>
      <c r="H72" s="404">
        <f t="shared" si="23"/>
        <v>0</v>
      </c>
      <c r="I72" s="405">
        <f t="shared" si="23"/>
        <v>0</v>
      </c>
      <c r="J72" s="405">
        <f t="shared" si="23"/>
        <v>0</v>
      </c>
      <c r="K72" s="405">
        <f t="shared" si="23"/>
        <v>600000</v>
      </c>
      <c r="L72" s="405">
        <f t="shared" si="23"/>
        <v>0</v>
      </c>
      <c r="M72" s="405">
        <f t="shared" si="23"/>
        <v>0</v>
      </c>
      <c r="N72" s="405">
        <f t="shared" si="23"/>
        <v>0</v>
      </c>
      <c r="O72" s="405">
        <f t="shared" si="23"/>
        <v>0</v>
      </c>
      <c r="P72" s="406">
        <f t="shared" si="23"/>
        <v>0</v>
      </c>
      <c r="Q72" s="448">
        <f t="shared" si="23"/>
        <v>0</v>
      </c>
      <c r="R72" s="379"/>
      <c r="S72" s="379" t="s">
        <v>32</v>
      </c>
      <c r="T72" s="382"/>
      <c r="U72" s="413">
        <f>IF(-0.75*((C72/(VLOOKUP($A$2,Assumptions!$B$124:$G$147,2,0)))+D72/(VLOOKUP($A$2,Assumptions!$B$124:$G$147,5,0)))=0,"",-0.75*((C72/(VLOOKUP($A$2,Assumptions!$B$124:$G$147,2,0)))+D72/(VLOOKUP($A$2,Assumptions!$B$124:$G$147,5,0))))</f>
        <v>3.3293815451491812E-3</v>
      </c>
      <c r="V72" s="414">
        <f t="shared" si="24"/>
        <v>-3.7006665556327859E-3</v>
      </c>
      <c r="W72" s="451"/>
      <c r="X72" s="507" t="s">
        <v>32</v>
      </c>
    </row>
    <row r="73" spans="1:24" ht="15">
      <c r="A73" s="612"/>
      <c r="B73" s="374"/>
      <c r="C73" s="381"/>
      <c r="D73" s="381"/>
      <c r="E73" s="377"/>
      <c r="F73" s="378"/>
      <c r="G73" s="403">
        <f t="shared" si="25"/>
        <v>0</v>
      </c>
      <c r="H73" s="404">
        <f t="shared" si="23"/>
        <v>0</v>
      </c>
      <c r="I73" s="405">
        <f t="shared" si="23"/>
        <v>0</v>
      </c>
      <c r="J73" s="405">
        <f t="shared" si="23"/>
        <v>0</v>
      </c>
      <c r="K73" s="405">
        <f t="shared" si="23"/>
        <v>0</v>
      </c>
      <c r="L73" s="405">
        <f t="shared" si="23"/>
        <v>0</v>
      </c>
      <c r="M73" s="405">
        <f t="shared" si="23"/>
        <v>0</v>
      </c>
      <c r="N73" s="405">
        <f t="shared" si="23"/>
        <v>0</v>
      </c>
      <c r="O73" s="405">
        <f t="shared" si="23"/>
        <v>0</v>
      </c>
      <c r="P73" s="406">
        <f t="shared" si="23"/>
        <v>0</v>
      </c>
      <c r="Q73" s="448">
        <f t="shared" si="23"/>
        <v>0</v>
      </c>
      <c r="R73" s="379"/>
      <c r="S73" s="379"/>
      <c r="T73" s="382"/>
      <c r="U73" s="413" t="str">
        <f>IF(-0.75*((C73/(VLOOKUP($A$2,Assumptions!$B$124:$G$147,2,0)))+D73/(VLOOKUP($A$2,Assumptions!$B$124:$G$147,5,0)))=0,"",-0.75*((C73/(VLOOKUP($A$2,Assumptions!$B$124:$G$147,2,0)))+D73/(VLOOKUP($A$2,Assumptions!$B$124:$G$147,5,0))))</f>
        <v/>
      </c>
      <c r="V73" s="414" t="str">
        <f t="shared" si="24"/>
        <v/>
      </c>
      <c r="W73" s="451"/>
      <c r="X73" s="507"/>
    </row>
    <row r="74" spans="1:24" ht="30">
      <c r="A74" s="616" t="s">
        <v>688</v>
      </c>
      <c r="B74" s="374" t="s">
        <v>515</v>
      </c>
      <c r="C74" s="375">
        <v>0</v>
      </c>
      <c r="D74" s="375"/>
      <c r="E74" s="377">
        <v>47573</v>
      </c>
      <c r="F74" s="378">
        <v>207000</v>
      </c>
      <c r="G74" s="403">
        <f t="shared" si="25"/>
        <v>0</v>
      </c>
      <c r="H74" s="404">
        <f t="shared" si="23"/>
        <v>0</v>
      </c>
      <c r="I74" s="405">
        <f t="shared" si="23"/>
        <v>0</v>
      </c>
      <c r="J74" s="405">
        <f t="shared" si="23"/>
        <v>0</v>
      </c>
      <c r="K74" s="405">
        <f t="shared" si="23"/>
        <v>0</v>
      </c>
      <c r="L74" s="405">
        <f t="shared" si="23"/>
        <v>0</v>
      </c>
      <c r="M74" s="405">
        <f t="shared" si="23"/>
        <v>207000</v>
      </c>
      <c r="N74" s="405">
        <f t="shared" si="23"/>
        <v>0</v>
      </c>
      <c r="O74" s="405">
        <f t="shared" si="23"/>
        <v>0</v>
      </c>
      <c r="P74" s="406">
        <f t="shared" si="23"/>
        <v>0</v>
      </c>
      <c r="Q74" s="448">
        <f t="shared" si="23"/>
        <v>0</v>
      </c>
      <c r="R74" s="379" t="s">
        <v>32</v>
      </c>
      <c r="S74" s="379"/>
      <c r="T74" s="382"/>
      <c r="U74" s="413" t="str">
        <f>IF(-0.75*((C74/(VLOOKUP($A$2,Assumptions!$B$124:$G$147,2,0)))+D74/(VLOOKUP($A$2,Assumptions!$B$124:$G$147,5,0)))=0,"",-0.75*((C74/(VLOOKUP($A$2,Assumptions!$B$124:$G$147,2,0)))+D74/(VLOOKUP($A$2,Assumptions!$B$124:$G$147,5,0))))</f>
        <v/>
      </c>
      <c r="V74" s="414">
        <f t="shared" si="24"/>
        <v>0</v>
      </c>
      <c r="W74" s="451"/>
      <c r="X74" s="507"/>
    </row>
    <row r="75" spans="1:24" ht="30">
      <c r="A75" s="616" t="s">
        <v>688</v>
      </c>
      <c r="B75" s="374" t="s">
        <v>516</v>
      </c>
      <c r="C75" s="375">
        <v>-180</v>
      </c>
      <c r="D75" s="375"/>
      <c r="E75" s="377">
        <v>47573</v>
      </c>
      <c r="F75" s="378">
        <v>276000</v>
      </c>
      <c r="G75" s="403">
        <f t="shared" si="25"/>
        <v>0</v>
      </c>
      <c r="H75" s="404">
        <f t="shared" si="23"/>
        <v>0</v>
      </c>
      <c r="I75" s="405">
        <f t="shared" si="23"/>
        <v>0</v>
      </c>
      <c r="J75" s="405">
        <f t="shared" si="23"/>
        <v>0</v>
      </c>
      <c r="K75" s="405">
        <f t="shared" si="23"/>
        <v>0</v>
      </c>
      <c r="L75" s="405">
        <f t="shared" si="23"/>
        <v>0</v>
      </c>
      <c r="M75" s="405">
        <f t="shared" si="23"/>
        <v>276000</v>
      </c>
      <c r="N75" s="405">
        <f t="shared" si="23"/>
        <v>0</v>
      </c>
      <c r="O75" s="405">
        <f t="shared" si="23"/>
        <v>0</v>
      </c>
      <c r="P75" s="406">
        <f t="shared" si="23"/>
        <v>0</v>
      </c>
      <c r="Q75" s="448">
        <f t="shared" si="23"/>
        <v>0</v>
      </c>
      <c r="R75" s="379" t="s">
        <v>32</v>
      </c>
      <c r="S75" s="379"/>
      <c r="T75" s="382"/>
      <c r="U75" s="413">
        <f>IF(-0.75*((C75/(VLOOKUP($A$2,Assumptions!$B$124:$G$147,2,0)))+D75/(VLOOKUP($A$2,Assumptions!$B$124:$G$147,5,0)))=0,"",-0.75*((C75/(VLOOKUP($A$2,Assumptions!$B$124:$G$147,2,0)))+D75/(VLOOKUP($A$2,Assumptions!$B$124:$G$147,5,0))))</f>
        <v>8.0023710729104913E-2</v>
      </c>
      <c r="V75" s="414">
        <f t="shared" si="24"/>
        <v>0.13612898504584572</v>
      </c>
      <c r="W75" s="451"/>
      <c r="X75" s="507" t="s">
        <v>32</v>
      </c>
    </row>
    <row r="76" spans="1:24" ht="15">
      <c r="A76" s="616" t="s">
        <v>688</v>
      </c>
      <c r="B76" s="374" t="s">
        <v>517</v>
      </c>
      <c r="C76" s="375">
        <v>0</v>
      </c>
      <c r="D76" s="375"/>
      <c r="E76" s="377">
        <v>47573</v>
      </c>
      <c r="F76" s="378">
        <v>161000</v>
      </c>
      <c r="G76" s="403">
        <f t="shared" si="25"/>
        <v>0</v>
      </c>
      <c r="H76" s="404">
        <f t="shared" si="23"/>
        <v>0</v>
      </c>
      <c r="I76" s="405">
        <f t="shared" si="23"/>
        <v>0</v>
      </c>
      <c r="J76" s="405">
        <f t="shared" si="23"/>
        <v>0</v>
      </c>
      <c r="K76" s="405">
        <f t="shared" si="23"/>
        <v>0</v>
      </c>
      <c r="L76" s="405">
        <f t="shared" si="23"/>
        <v>0</v>
      </c>
      <c r="M76" s="405">
        <f t="shared" si="23"/>
        <v>161000</v>
      </c>
      <c r="N76" s="405">
        <f t="shared" si="23"/>
        <v>0</v>
      </c>
      <c r="O76" s="405">
        <f t="shared" si="23"/>
        <v>0</v>
      </c>
      <c r="P76" s="406">
        <f t="shared" si="23"/>
        <v>0</v>
      </c>
      <c r="Q76" s="448">
        <f t="shared" si="23"/>
        <v>0</v>
      </c>
      <c r="R76" s="379"/>
      <c r="S76" s="379"/>
      <c r="T76" s="382"/>
      <c r="U76" s="413" t="str">
        <f>IF(-0.75*((C76/(VLOOKUP($A$2,Assumptions!$B$124:$G$147,2,0)))+D76/(VLOOKUP($A$2,Assumptions!$B$124:$G$147,5,0)))=0,"",-0.75*((C76/(VLOOKUP($A$2,Assumptions!$B$124:$G$147,2,0)))+D76/(VLOOKUP($A$2,Assumptions!$B$124:$G$147,5,0))))</f>
        <v/>
      </c>
      <c r="V76" s="414">
        <f t="shared" si="24"/>
        <v>0</v>
      </c>
      <c r="W76" s="451"/>
      <c r="X76" s="507"/>
    </row>
    <row r="77" spans="1:24" ht="15">
      <c r="A77" s="615" t="s">
        <v>518</v>
      </c>
      <c r="B77" s="457" t="s">
        <v>519</v>
      </c>
      <c r="C77" s="375">
        <v>-20</v>
      </c>
      <c r="D77" s="375"/>
      <c r="E77" s="377">
        <v>45382</v>
      </c>
      <c r="F77" s="378">
        <v>117000</v>
      </c>
      <c r="G77" s="403">
        <f t="shared" si="25"/>
        <v>117000</v>
      </c>
      <c r="H77" s="404">
        <f t="shared" si="23"/>
        <v>0</v>
      </c>
      <c r="I77" s="405">
        <f t="shared" si="23"/>
        <v>0</v>
      </c>
      <c r="J77" s="405">
        <f t="shared" si="23"/>
        <v>0</v>
      </c>
      <c r="K77" s="405">
        <f t="shared" si="23"/>
        <v>0</v>
      </c>
      <c r="L77" s="405">
        <f t="shared" si="23"/>
        <v>0</v>
      </c>
      <c r="M77" s="405">
        <f t="shared" si="23"/>
        <v>0</v>
      </c>
      <c r="N77" s="405">
        <f t="shared" si="23"/>
        <v>0</v>
      </c>
      <c r="O77" s="405">
        <f t="shared" si="23"/>
        <v>0</v>
      </c>
      <c r="P77" s="406">
        <f t="shared" si="23"/>
        <v>0</v>
      </c>
      <c r="Q77" s="448">
        <f t="shared" si="23"/>
        <v>0</v>
      </c>
      <c r="R77" s="379" t="s">
        <v>32</v>
      </c>
      <c r="S77" s="379"/>
      <c r="T77" s="385"/>
      <c r="U77" s="413">
        <f>IF(-0.75*((C77/(VLOOKUP($A$2,Assumptions!$B$124:$G$147,2,0)))+D77/(VLOOKUP($A$2,Assumptions!$B$124:$G$147,5,0)))=0,"",-0.75*((C77/(VLOOKUP($A$2,Assumptions!$B$124:$G$147,2,0)))+D77/(VLOOKUP($A$2,Assumptions!$B$124:$G$147,5,0))))</f>
        <v>8.8915234143449907E-3</v>
      </c>
      <c r="V77" s="414">
        <f t="shared" si="24"/>
        <v>3.568053169292823E-2</v>
      </c>
      <c r="W77" s="451"/>
      <c r="X77" s="507" t="s">
        <v>32</v>
      </c>
    </row>
    <row r="78" spans="1:24" ht="15">
      <c r="A78" s="553" t="s">
        <v>691</v>
      </c>
      <c r="B78" s="374" t="s">
        <v>521</v>
      </c>
      <c r="C78" s="375">
        <v>-75</v>
      </c>
      <c r="D78" s="375"/>
      <c r="E78" s="614">
        <v>45747</v>
      </c>
      <c r="F78" s="378">
        <v>119460</v>
      </c>
      <c r="G78" s="403">
        <f t="shared" si="25"/>
        <v>0</v>
      </c>
      <c r="H78" s="404">
        <f t="shared" si="23"/>
        <v>119460</v>
      </c>
      <c r="I78" s="405">
        <f t="shared" si="23"/>
        <v>0</v>
      </c>
      <c r="J78" s="405">
        <f t="shared" si="23"/>
        <v>0</v>
      </c>
      <c r="K78" s="405">
        <f t="shared" si="23"/>
        <v>0</v>
      </c>
      <c r="L78" s="405">
        <f t="shared" si="23"/>
        <v>0</v>
      </c>
      <c r="M78" s="405">
        <f t="shared" si="23"/>
        <v>0</v>
      </c>
      <c r="N78" s="405">
        <f t="shared" si="23"/>
        <v>0</v>
      </c>
      <c r="O78" s="405">
        <f t="shared" si="23"/>
        <v>0</v>
      </c>
      <c r="P78" s="406">
        <f t="shared" si="23"/>
        <v>0</v>
      </c>
      <c r="Q78" s="448">
        <f t="shared" si="23"/>
        <v>0</v>
      </c>
      <c r="R78" s="379" t="s">
        <v>32</v>
      </c>
      <c r="S78" s="386"/>
      <c r="T78" s="387"/>
      <c r="U78" s="413">
        <f>IF(-0.75*((C78/(VLOOKUP($A$2,Assumptions!$B$124:$G$147,2,0)))+D78/(VLOOKUP($A$2,Assumptions!$B$124:$G$147,5,0)))=0,"",-0.75*((C78/(VLOOKUP($A$2,Assumptions!$B$124:$G$147,2,0)))+D78/(VLOOKUP($A$2,Assumptions!$B$124:$G$147,5,0))))</f>
        <v>3.3343212803793716E-2</v>
      </c>
      <c r="V78" s="414">
        <f t="shared" si="24"/>
        <v>0.13104665394502144</v>
      </c>
      <c r="W78" s="451"/>
      <c r="X78" s="507"/>
    </row>
    <row r="79" spans="1:24" ht="15">
      <c r="A79" s="553" t="s">
        <v>692</v>
      </c>
      <c r="B79" s="613" t="s">
        <v>523</v>
      </c>
      <c r="C79" s="375">
        <v>-75</v>
      </c>
      <c r="D79" s="375"/>
      <c r="E79" s="614">
        <v>45747</v>
      </c>
      <c r="F79" s="378">
        <v>214934</v>
      </c>
      <c r="G79" s="403">
        <f t="shared" si="25"/>
        <v>0</v>
      </c>
      <c r="H79" s="404">
        <f t="shared" si="23"/>
        <v>214934</v>
      </c>
      <c r="I79" s="405">
        <f t="shared" si="23"/>
        <v>0</v>
      </c>
      <c r="J79" s="405">
        <f t="shared" si="23"/>
        <v>0</v>
      </c>
      <c r="K79" s="405">
        <f t="shared" si="23"/>
        <v>0</v>
      </c>
      <c r="L79" s="405">
        <f t="shared" si="23"/>
        <v>0</v>
      </c>
      <c r="M79" s="405">
        <f t="shared" si="23"/>
        <v>0</v>
      </c>
      <c r="N79" s="405">
        <f t="shared" si="23"/>
        <v>0</v>
      </c>
      <c r="O79" s="405">
        <f t="shared" si="23"/>
        <v>0</v>
      </c>
      <c r="P79" s="406">
        <f t="shared" si="23"/>
        <v>0</v>
      </c>
      <c r="Q79" s="448">
        <f t="shared" si="23"/>
        <v>0</v>
      </c>
      <c r="R79" s="379" t="s">
        <v>32</v>
      </c>
      <c r="S79" s="386"/>
      <c r="T79" s="387"/>
      <c r="U79" s="413">
        <f>IF(-0.75*((C79/(VLOOKUP($A$2,Assumptions!$B$124:$G$147,2,0)))+D79/(VLOOKUP($A$2,Assumptions!$B$124:$G$147,5,0)))=0,"",-0.75*((C79/(VLOOKUP($A$2,Assumptions!$B$124:$G$147,2,0)))+D79/(VLOOKUP($A$2,Assumptions!$B$124:$G$147,5,0))))</f>
        <v>3.3343212803793716E-2</v>
      </c>
      <c r="V79" s="414">
        <f t="shared" si="24"/>
        <v>7.2835536863745429E-2</v>
      </c>
      <c r="W79" s="451"/>
      <c r="X79" s="507"/>
    </row>
    <row r="80" spans="1:24" ht="45">
      <c r="A80" s="373"/>
      <c r="B80" s="457" t="s">
        <v>524</v>
      </c>
      <c r="C80" s="375">
        <v>-200</v>
      </c>
      <c r="D80" s="375"/>
      <c r="E80" s="377">
        <v>48304</v>
      </c>
      <c r="F80" s="378">
        <v>3500000</v>
      </c>
      <c r="G80" s="403">
        <f t="shared" si="25"/>
        <v>0</v>
      </c>
      <c r="H80" s="404">
        <f t="shared" si="23"/>
        <v>0</v>
      </c>
      <c r="I80" s="405">
        <f t="shared" si="23"/>
        <v>0</v>
      </c>
      <c r="J80" s="405">
        <f t="shared" si="23"/>
        <v>0</v>
      </c>
      <c r="K80" s="405">
        <f t="shared" si="23"/>
        <v>0</v>
      </c>
      <c r="L80" s="405">
        <f t="shared" si="23"/>
        <v>0</v>
      </c>
      <c r="M80" s="405">
        <f t="shared" si="23"/>
        <v>0</v>
      </c>
      <c r="N80" s="405">
        <f t="shared" si="23"/>
        <v>0</v>
      </c>
      <c r="O80" s="405">
        <f t="shared" si="23"/>
        <v>3500000</v>
      </c>
      <c r="P80" s="406">
        <f t="shared" si="23"/>
        <v>0</v>
      </c>
      <c r="Q80" s="448">
        <f t="shared" si="23"/>
        <v>0</v>
      </c>
      <c r="R80" s="379" t="s">
        <v>32</v>
      </c>
      <c r="S80" s="386"/>
      <c r="T80" s="387"/>
      <c r="U80" s="413">
        <f>IF(-0.75*((C80/(VLOOKUP($A$2,Assumptions!$B$124:$G$147,2,0)))+D80/(VLOOKUP($A$2,Assumptions!$B$124:$G$147,5,0)))=0,"",-0.75*((C80/(VLOOKUP($A$2,Assumptions!$B$124:$G$147,2,0)))+D80/(VLOOKUP($A$2,Assumptions!$B$124:$G$147,5,0))))</f>
        <v>8.8915234143449901E-2</v>
      </c>
      <c r="V80" s="414">
        <f t="shared" si="24"/>
        <v>1.1927492023064578E-2</v>
      </c>
      <c r="W80" s="451"/>
      <c r="X80" s="507" t="s">
        <v>32</v>
      </c>
    </row>
    <row r="81" spans="1:24" ht="15">
      <c r="A81" s="373"/>
      <c r="B81" s="374" t="s">
        <v>525</v>
      </c>
      <c r="C81" s="381">
        <v>0</v>
      </c>
      <c r="D81" s="381"/>
      <c r="E81" s="377"/>
      <c r="F81" s="378"/>
      <c r="G81" s="403">
        <f t="shared" si="25"/>
        <v>0</v>
      </c>
      <c r="H81" s="404">
        <f t="shared" si="23"/>
        <v>0</v>
      </c>
      <c r="I81" s="405">
        <f t="shared" si="23"/>
        <v>0</v>
      </c>
      <c r="J81" s="405">
        <f t="shared" si="23"/>
        <v>0</v>
      </c>
      <c r="K81" s="405">
        <f t="shared" si="23"/>
        <v>0</v>
      </c>
      <c r="L81" s="405">
        <f t="shared" si="23"/>
        <v>0</v>
      </c>
      <c r="M81" s="405">
        <f t="shared" si="23"/>
        <v>0</v>
      </c>
      <c r="N81" s="405">
        <f t="shared" si="23"/>
        <v>0</v>
      </c>
      <c r="O81" s="405">
        <f t="shared" si="23"/>
        <v>0</v>
      </c>
      <c r="P81" s="406">
        <f t="shared" si="23"/>
        <v>0</v>
      </c>
      <c r="Q81" s="448">
        <f t="shared" si="23"/>
        <v>0</v>
      </c>
      <c r="R81" s="379"/>
      <c r="S81" s="386"/>
      <c r="T81" s="387"/>
      <c r="U81" s="413" t="str">
        <f>IF(-0.75*((C81/(VLOOKUP($A$2,Assumptions!$B$124:$G$147,2,0)))+D81/(VLOOKUP($A$2,Assumptions!$B$124:$G$147,5,0)))=0,"",-0.75*((C81/(VLOOKUP($A$2,Assumptions!$B$124:$G$147,2,0)))+D81/(VLOOKUP($A$2,Assumptions!$B$124:$G$147,5,0))))</f>
        <v/>
      </c>
      <c r="V81" s="414" t="str">
        <f t="shared" si="24"/>
        <v/>
      </c>
      <c r="W81" s="451"/>
      <c r="X81" s="507"/>
    </row>
    <row r="82" spans="1:24" ht="15">
      <c r="A82" s="617" t="s">
        <v>693</v>
      </c>
      <c r="B82" s="618" t="s">
        <v>694</v>
      </c>
      <c r="C82" s="375"/>
      <c r="D82" s="375"/>
      <c r="E82" s="377"/>
      <c r="F82" s="378"/>
      <c r="G82" s="403"/>
      <c r="H82" s="404"/>
      <c r="I82" s="405"/>
      <c r="J82" s="405"/>
      <c r="K82" s="405"/>
      <c r="L82" s="405"/>
      <c r="M82" s="405"/>
      <c r="N82" s="405"/>
      <c r="O82" s="405"/>
      <c r="P82" s="406"/>
      <c r="Q82" s="448"/>
      <c r="R82" s="379"/>
      <c r="S82" s="386"/>
      <c r="T82" s="387"/>
      <c r="U82" s="413" t="str">
        <f>IF(-0.75*((C82/(VLOOKUP($A$2,Assumptions!$B$124:$G$147,2,0)))+D82/(VLOOKUP($A$2,Assumptions!$B$124:$G$147,5,0)))=0,"",-0.75*((C82/(VLOOKUP($A$2,Assumptions!$B$124:$G$147,2,0)))+D82/(VLOOKUP($A$2,Assumptions!$B$124:$G$147,5,0))))</f>
        <v/>
      </c>
      <c r="V82" s="414" t="str">
        <f t="shared" si="24"/>
        <v/>
      </c>
      <c r="W82" s="451"/>
      <c r="X82" s="507"/>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str">
        <f>IF(-0.75*((C83/(VLOOKUP($A$2,Assumptions!$B$124:$G$147,2,0)))+D83/(VLOOKUP($A$2,Assumptions!$B$124:$G$147,5,0)))=0,"",-0.75*((C83/(VLOOKUP($A$2,Assumptions!$B$124:$G$147,2,0)))+D83/(VLOOKUP($A$2,Assumptions!$B$124:$G$147,5,0))))</f>
        <v/>
      </c>
      <c r="V83" s="414" t="str">
        <f t="shared" si="24"/>
        <v/>
      </c>
      <c r="W83" s="451"/>
      <c r="X83" s="507"/>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str">
        <f>IF(-0.75*((C84/(VLOOKUP($A$2,Assumptions!$B$124:$G$147,2,0)))+D84/(VLOOKUP($A$2,Assumptions!$B$124:$G$147,5,0)))=0,"",-0.75*((C84/(VLOOKUP($A$2,Assumptions!$B$124:$G$147,2,0)))+D84/(VLOOKUP($A$2,Assumptions!$B$124:$G$147,5,0))))</f>
        <v/>
      </c>
      <c r="V84" s="414" t="str">
        <f t="shared" si="24"/>
        <v/>
      </c>
      <c r="W84" s="451"/>
      <c r="X84" s="507"/>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str">
        <f>IF(-0.75*((C85/(VLOOKUP($A$2,Assumptions!$B$124:$G$147,2,0)))+D85/(VLOOKUP($A$2,Assumptions!$B$124:$G$147,5,0)))=0,"",-0.75*((C85/(VLOOKUP($A$2,Assumptions!$B$124:$G$147,2,0)))+D85/(VLOOKUP($A$2,Assumptions!$B$124:$G$147,5,0))))</f>
        <v/>
      </c>
      <c r="V85" s="414" t="str">
        <f t="shared" si="24"/>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str">
        <f>IF(-0.75*((C86/(VLOOKUP($A$2,Assumptions!$B$124:$G$147,2,0)))+D86/(VLOOKUP($A$2,Assumptions!$B$124:$G$147,5,0)))=0,"",-0.75*((C86/(VLOOKUP($A$2,Assumptions!$B$124:$G$147,2,0)))+D86/(VLOOKUP($A$2,Assumptions!$B$124:$G$147,5,0))))</f>
        <v/>
      </c>
      <c r="V86" s="414" t="str">
        <f t="shared" si="24"/>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str">
        <f>IF(-0.75*((C87/(VLOOKUP($A$2,Assumptions!$B$124:$G$147,2,0)))+D87/(VLOOKUP($A$2,Assumptions!$B$124:$G$147,5,0)))=0,"",-0.75*((C87/(VLOOKUP($A$2,Assumptions!$B$124:$G$147,2,0)))+D87/(VLOOKUP($A$2,Assumptions!$B$124:$G$147,5,0))))</f>
        <v/>
      </c>
      <c r="V87" s="414" t="str">
        <f t="shared" si="24"/>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str">
        <f>IF(-0.75*((C88/(VLOOKUP($A$2,Assumptions!$B$124:$G$147,2,0)))+D88/(VLOOKUP($A$2,Assumptions!$B$124:$G$147,5,0)))=0,"",-0.75*((C88/(VLOOKUP($A$2,Assumptions!$B$124:$G$147,2,0)))+D88/(VLOOKUP($A$2,Assumptions!$B$124:$G$147,5,0))))</f>
        <v/>
      </c>
      <c r="V88" s="415" t="str">
        <f t="shared" si="24"/>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6">IF(ISERROR(((-C89*1000*$W$162)/F89)),"",((-C89*1000*$W$162)/F89))</f>
        <v/>
      </c>
      <c r="W89" s="304" t="str">
        <f t="shared" si="26"/>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6"/>
        <v/>
      </c>
      <c r="W90" s="170" t="str">
        <f t="shared" si="26"/>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6"/>
        <v/>
      </c>
      <c r="W91" s="170" t="str">
        <f t="shared" si="26"/>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6"/>
        <v/>
      </c>
      <c r="W92" s="170" t="str">
        <f t="shared" si="26"/>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6"/>
        <v/>
      </c>
      <c r="W93" s="170" t="str">
        <f t="shared" si="26"/>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6"/>
        <v/>
      </c>
      <c r="W94" s="170" t="str">
        <f t="shared" si="26"/>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6"/>
        <v/>
      </c>
      <c r="W95" s="170" t="str">
        <f t="shared" si="26"/>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6"/>
        <v/>
      </c>
      <c r="W96" s="170" t="str">
        <f t="shared" si="26"/>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6"/>
        <v/>
      </c>
      <c r="W97" s="170" t="str">
        <f t="shared" si="26"/>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6"/>
        <v/>
      </c>
      <c r="W98" s="170" t="str">
        <f t="shared" si="26"/>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6"/>
        <v/>
      </c>
      <c r="W99" s="170" t="str">
        <f t="shared" si="26"/>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6"/>
        <v/>
      </c>
      <c r="W100" s="170" t="str">
        <f t="shared" si="26"/>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6"/>
        <v/>
      </c>
      <c r="W101" s="170" t="str">
        <f t="shared" si="26"/>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6"/>
        <v/>
      </c>
      <c r="W102" s="170" t="str">
        <f t="shared" si="26"/>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6"/>
        <v/>
      </c>
      <c r="W103" s="170" t="str">
        <f t="shared" si="26"/>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6"/>
        <v/>
      </c>
      <c r="W104" s="170" t="str">
        <f t="shared" si="26"/>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6"/>
        <v/>
      </c>
      <c r="W105" s="170" t="str">
        <f t="shared" si="26"/>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6"/>
        <v/>
      </c>
      <c r="W106" s="170" t="str">
        <f t="shared" si="26"/>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6"/>
        <v/>
      </c>
      <c r="W107" s="170" t="str">
        <f t="shared" si="26"/>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6"/>
        <v/>
      </c>
      <c r="W108" s="170" t="str">
        <f t="shared" si="26"/>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6"/>
        <v/>
      </c>
      <c r="W109" s="170" t="str">
        <f t="shared" si="26"/>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6"/>
        <v/>
      </c>
      <c r="W110" s="170" t="str">
        <f t="shared" si="26"/>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6"/>
        <v/>
      </c>
      <c r="W111" s="170" t="str">
        <f t="shared" si="26"/>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6"/>
        <v/>
      </c>
      <c r="W112" s="170" t="str">
        <f t="shared" si="26"/>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6"/>
        <v/>
      </c>
      <c r="W113" s="170" t="str">
        <f t="shared" si="26"/>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6"/>
        <v/>
      </c>
      <c r="W114" s="173" t="str">
        <f t="shared" si="26"/>
        <v/>
      </c>
      <c r="X114" s="173"/>
    </row>
    <row r="115" spans="1:31" ht="15">
      <c r="A115" s="13"/>
      <c r="B115" s="353"/>
      <c r="C115" s="354">
        <f>SUM(C69:C88)</f>
        <v>-930</v>
      </c>
      <c r="D115" s="354">
        <f>SUM(D69:D88)</f>
        <v>-1410</v>
      </c>
      <c r="E115" s="355"/>
      <c r="F115" s="333">
        <f>SUM(F69:F114)</f>
        <v>9611394</v>
      </c>
      <c r="G115" s="388">
        <f>SUM(G69:G114)</f>
        <v>117000</v>
      </c>
      <c r="H115" s="388">
        <f t="shared" ref="H115:N115" si="27">SUM(H69:H114)</f>
        <v>334394</v>
      </c>
      <c r="I115" s="388">
        <f t="shared" si="27"/>
        <v>0</v>
      </c>
      <c r="J115" s="388">
        <f t="shared" si="27"/>
        <v>0</v>
      </c>
      <c r="K115" s="388">
        <f t="shared" si="27"/>
        <v>1336000</v>
      </c>
      <c r="L115" s="388">
        <f t="shared" si="27"/>
        <v>0</v>
      </c>
      <c r="M115" s="388">
        <f t="shared" si="27"/>
        <v>4324000</v>
      </c>
      <c r="N115" s="388">
        <f t="shared" si="27"/>
        <v>0</v>
      </c>
      <c r="O115" s="388">
        <f>SUM(O69:O114)</f>
        <v>3500000</v>
      </c>
      <c r="P115" s="388">
        <f>SUM(P69:P114)</f>
        <v>0</v>
      </c>
      <c r="Q115" s="388">
        <f>SUM(Q69:Q114)</f>
        <v>0</v>
      </c>
      <c r="R115" s="388">
        <f>SUMIFS(F69:F114,R69:R114,"Yes")-0.5*SUMIFS(F69:F114,R69:R114,"Yes",S69:S114,"Yes")</f>
        <v>6642394</v>
      </c>
      <c r="S115" s="388">
        <f>SUMIFS(F69:F114,S69:S114,"Yes")-0.5*SUMIFS(F69:F114,S69:S114,"Yes",R69:R114,"Yes")</f>
        <v>2808000</v>
      </c>
      <c r="T115" s="388">
        <f>SUMIFS(F69:F114,T69:T114,"Yes")</f>
        <v>0</v>
      </c>
      <c r="U115" s="389">
        <f>SUM(U69:U114)</f>
        <v>0.57012250543370879</v>
      </c>
      <c r="V115" s="390">
        <f>IF(ISERROR(((-1*C115*1000*$D$6)+(-1*D115*$D$8))/F115),"",((-1*C115*1000*$D$6)+(-1*D115*$D$8))/F115)</f>
        <v>2.414949865081286E-2</v>
      </c>
      <c r="W115" s="391">
        <f>SUMIFS(F69:F114,W69:W114,"Yes")</f>
        <v>0</v>
      </c>
      <c r="X115" s="388">
        <f>SUMIFS(F69:F114,X69:X114,"Yes")</f>
        <v>8909000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695</v>
      </c>
      <c r="S120" s="22">
        <f>-AL214</f>
        <v>697.5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78">
        <f>BZ161</f>
        <v>5.2149380300065236</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5.1893950280212673</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5.1981210607315385</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5.2635663060585705</v>
      </c>
      <c r="AA126" s="22">
        <f t="shared" ref="AA126:AC126" si="28">AK216</f>
        <v>5.6341400697411936</v>
      </c>
      <c r="AB126" s="22">
        <f t="shared" si="28"/>
        <v>0</v>
      </c>
      <c r="AC126" s="22">
        <f t="shared" si="28"/>
        <v>0</v>
      </c>
      <c r="AD126" s="22">
        <f t="shared" ref="AD126:AE126" si="29">AI217</f>
        <v>0</v>
      </c>
      <c r="AE126" s="22">
        <f t="shared" si="29"/>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5.2635663060585705</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5.2635663060585705</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5.2983154690224481</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5.2983154690224481</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5.5468797426384837</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5.5468797426384837</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78">
        <f>AJ216</f>
        <v>5.6341400697411936</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285">
        <f>S133-S123</f>
        <v>0.41920203973467007</v>
      </c>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2:78" ht="25">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2:7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30">AQ156*0.5</f>
        <v>20.914999999999999</v>
      </c>
      <c r="AR154" s="338">
        <f t="shared" si="30"/>
        <v>26.98</v>
      </c>
      <c r="AS154" s="8"/>
      <c r="AT154" s="25">
        <v>6</v>
      </c>
      <c r="AU154" s="339">
        <f>AU156*0.5</f>
        <v>64.760000000000005</v>
      </c>
      <c r="AV154" s="339">
        <f t="shared" ref="AV154:AY154" si="31">AV156*0.5</f>
        <v>69.5</v>
      </c>
      <c r="AW154" s="339">
        <f t="shared" si="31"/>
        <v>59.814999999999998</v>
      </c>
      <c r="AX154" s="339">
        <f t="shared" si="31"/>
        <v>33.69</v>
      </c>
      <c r="AY154" s="339">
        <f t="shared" si="31"/>
        <v>44.87</v>
      </c>
      <c r="AZ154" s="8"/>
      <c r="BA154" s="25">
        <v>6</v>
      </c>
      <c r="BB154" s="24">
        <f t="shared" ref="BB154:BB155" si="32">IF($C$58="Base",BF154,BG154)</f>
        <v>34.795000000000002</v>
      </c>
      <c r="BC154" s="24" t="s">
        <v>436</v>
      </c>
      <c r="BD154" s="8"/>
      <c r="BE154" s="8"/>
      <c r="BF154" s="24">
        <f t="shared" ref="BF154:BF155" si="33">IF($C$59&gt;7000,"error",IF($C$59&gt;5999,AR154,IF($C$59&gt;4999,AQ154,IF($C$59&gt;3999,AP154,IF($C$59&gt;2999,AO154,IF($C$59&gt;1999,AN154,"Error"))))))</f>
        <v>34.795000000000002</v>
      </c>
      <c r="BG154" s="24">
        <f t="shared" ref="BG154:BG164" si="34">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2:78" ht="13">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5">AQ156*0.75</f>
        <v>31.372499999999999</v>
      </c>
      <c r="AR155" s="338">
        <f t="shared" si="35"/>
        <v>40.47</v>
      </c>
      <c r="AS155" s="24"/>
      <c r="AT155" s="25">
        <v>5.5</v>
      </c>
      <c r="AU155" s="339">
        <f>AU156*0.75</f>
        <v>97.140000000000015</v>
      </c>
      <c r="AV155" s="339">
        <f t="shared" ref="AV155:AY155" si="36">AV156*0.75</f>
        <v>104.25</v>
      </c>
      <c r="AW155" s="339">
        <f t="shared" si="36"/>
        <v>89.722499999999997</v>
      </c>
      <c r="AX155" s="339">
        <f t="shared" si="36"/>
        <v>50.534999999999997</v>
      </c>
      <c r="AY155" s="339">
        <f t="shared" si="36"/>
        <v>67.304999999999993</v>
      </c>
      <c r="AZ155" s="24"/>
      <c r="BA155" s="25">
        <v>5.5</v>
      </c>
      <c r="BB155" s="24">
        <f t="shared" si="32"/>
        <v>52.192500000000003</v>
      </c>
      <c r="BC155" s="24" t="s">
        <v>436</v>
      </c>
      <c r="BE155" s="24"/>
      <c r="BF155" s="24">
        <f t="shared" si="33"/>
        <v>52.192500000000003</v>
      </c>
      <c r="BG155" s="24">
        <f t="shared" si="34"/>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2:78" ht="12.75" customHeight="1">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4"/>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39614</v>
      </c>
      <c r="BW156" s="14" t="s">
        <v>445</v>
      </c>
      <c r="BX156" s="14" t="s">
        <v>13</v>
      </c>
      <c r="BY156" s="14">
        <f>BY157/BV156</f>
        <v>63.640627427677082</v>
      </c>
      <c r="BZ156" s="14"/>
    </row>
    <row r="157" spans="22:78" ht="13">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7">IF($C$58="Base",BF157,BG157)</f>
        <v>84.92</v>
      </c>
      <c r="BC157" s="24" t="s">
        <v>436</v>
      </c>
      <c r="BD157" s="24">
        <f>BB157-BB156</f>
        <v>15.329999999999998</v>
      </c>
      <c r="BE157" s="24"/>
      <c r="BF157" s="24">
        <f t="shared" ref="BF157:BF164" si="38">IF($C$59&gt;7000,"error",IF($C$59&gt;5999,AR157,IF($C$59&gt;4999,AQ157,IF($C$59&gt;3999,AP157,IF($C$59&gt;2999,AO157,IF($C$59&gt;1999,AN157,"Error"))))))</f>
        <v>84.92</v>
      </c>
      <c r="BG157" s="24">
        <f t="shared" si="34"/>
        <v>158.69</v>
      </c>
      <c r="BH157" s="24"/>
      <c r="BI157" s="29" t="s">
        <v>118</v>
      </c>
      <c r="BJ157" s="29">
        <v>810</v>
      </c>
      <c r="BK157" s="29">
        <v>51.33</v>
      </c>
      <c r="BL157" s="24">
        <v>2000</v>
      </c>
      <c r="BM157" s="25"/>
      <c r="BN157" s="24">
        <f>BV161/BV158</f>
        <v>49.403484517342733</v>
      </c>
      <c r="BO157" s="32" t="s">
        <v>447</v>
      </c>
      <c r="BP157" s="179">
        <f>$BY$158/SUM($BY$158:$BY$159)*C64</f>
        <v>57.019844400066958</v>
      </c>
      <c r="BQ157" s="29" t="s">
        <v>448</v>
      </c>
      <c r="BR157" s="29" t="s">
        <v>449</v>
      </c>
      <c r="BS157" s="29" t="s">
        <v>450</v>
      </c>
      <c r="BT157" s="14"/>
      <c r="BU157" s="30" t="s">
        <v>451</v>
      </c>
      <c r="BV157" s="33">
        <f xml:space="preserve"> 5 - 0.5*(BV158-BB156)/BH166</f>
        <v>5.4099855055425001</v>
      </c>
      <c r="BW157" s="14" t="s">
        <v>452</v>
      </c>
      <c r="BX157" s="14" t="s">
        <v>453</v>
      </c>
      <c r="BY157" s="14">
        <f>SUM(BY158:BY159)</f>
        <v>2521059.8149199998</v>
      </c>
      <c r="BZ157" s="14"/>
    </row>
    <row r="158" spans="22:78" ht="13">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7"/>
        <v>100.25</v>
      </c>
      <c r="BC158" s="24" t="s">
        <v>436</v>
      </c>
      <c r="BD158" s="24">
        <f t="shared" ref="BD158:BD164" si="39">BB158-BB157</f>
        <v>15.329999999999998</v>
      </c>
      <c r="BE158" s="24"/>
      <c r="BF158" s="24">
        <f t="shared" si="38"/>
        <v>100.25</v>
      </c>
      <c r="BG158" s="24">
        <f t="shared" si="34"/>
        <v>187.86</v>
      </c>
      <c r="BH158" s="24"/>
      <c r="BI158" s="29" t="s">
        <v>150</v>
      </c>
      <c r="BJ158" s="29">
        <v>810</v>
      </c>
      <c r="BK158" s="29">
        <v>51.33</v>
      </c>
      <c r="BL158" s="24">
        <v>4000</v>
      </c>
      <c r="BM158" s="25"/>
      <c r="BN158" s="24">
        <f>BV162/BV163</f>
        <v>779.59911278097832</v>
      </c>
      <c r="BO158" s="24" t="s">
        <v>454</v>
      </c>
      <c r="BP158" s="179">
        <f>$BY$159/SUM($BY$158:$BY$159)*C64</f>
        <v>5.9801555999330436</v>
      </c>
      <c r="BQ158" s="29" t="s">
        <v>455</v>
      </c>
      <c r="BR158" s="29" t="s">
        <v>456</v>
      </c>
      <c r="BS158" s="29" t="s">
        <v>457</v>
      </c>
      <c r="BT158" s="14"/>
      <c r="BU158" s="30" t="s">
        <v>458</v>
      </c>
      <c r="BV158" s="31">
        <f>BP157</f>
        <v>57.019844400066958</v>
      </c>
      <c r="BW158" s="14" t="s">
        <v>436</v>
      </c>
      <c r="BX158" s="14" t="s">
        <v>459</v>
      </c>
      <c r="BY158" s="24">
        <f>INDEX($BJ$156:$BJ$161,MATCH($C$57,$BI$156:$BI$161,0))*$C$62</f>
        <v>2281752.9899999998</v>
      </c>
      <c r="BZ158" s="24"/>
    </row>
    <row r="159" spans="22:78" ht="13">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7"/>
        <v>115.57</v>
      </c>
      <c r="BC159" s="24" t="s">
        <v>436</v>
      </c>
      <c r="BD159" s="24">
        <f t="shared" si="39"/>
        <v>15.319999999999993</v>
      </c>
      <c r="BE159" s="24"/>
      <c r="BF159" s="24">
        <f t="shared" si="38"/>
        <v>115.57</v>
      </c>
      <c r="BG159" s="24">
        <f t="shared" si="34"/>
        <v>217.04</v>
      </c>
      <c r="BH159" s="24"/>
      <c r="BI159" s="29" t="s">
        <v>460</v>
      </c>
      <c r="BJ159" s="29">
        <v>770</v>
      </c>
      <c r="BK159" s="29">
        <v>51.33</v>
      </c>
      <c r="BL159" s="24">
        <v>5000</v>
      </c>
      <c r="BM159" s="25"/>
      <c r="BN159" s="24"/>
      <c r="BO159" s="24"/>
      <c r="BP159" s="24"/>
      <c r="BQ159" s="29" t="s">
        <v>461</v>
      </c>
      <c r="BR159" s="29" t="s">
        <v>462</v>
      </c>
      <c r="BS159" s="29" t="s">
        <v>463</v>
      </c>
      <c r="BT159" s="34"/>
      <c r="BU159" s="30" t="s">
        <v>464</v>
      </c>
      <c r="BV159" s="35"/>
      <c r="BW159" s="14" t="s">
        <v>452</v>
      </c>
      <c r="BX159" s="14" t="s">
        <v>465</v>
      </c>
      <c r="BY159" s="179">
        <f>INDEX($BK$156:$BK$161,MATCH($C$57,$BI$156:$BI$161,0))*$C$63</f>
        <v>239306.82491999998</v>
      </c>
      <c r="BZ159" s="24"/>
    </row>
    <row r="160" spans="22:78" ht="13">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7"/>
        <v>130.9</v>
      </c>
      <c r="BC160" s="24" t="s">
        <v>436</v>
      </c>
      <c r="BD160" s="24">
        <f t="shared" si="39"/>
        <v>15.330000000000013</v>
      </c>
      <c r="BE160" s="24"/>
      <c r="BF160" s="24">
        <f t="shared" si="38"/>
        <v>130.9</v>
      </c>
      <c r="BG160" s="24">
        <f t="shared" si="34"/>
        <v>246.21</v>
      </c>
      <c r="BH160" s="24"/>
      <c r="BI160" s="29" t="s">
        <v>129</v>
      </c>
      <c r="BJ160" s="29">
        <v>980</v>
      </c>
      <c r="BK160" s="29">
        <v>51.33</v>
      </c>
      <c r="BL160" s="24">
        <v>3000</v>
      </c>
      <c r="BM160" s="25"/>
      <c r="BN160" s="24">
        <f>D6</f>
        <v>0.20873111040363013</v>
      </c>
      <c r="BO160" s="24"/>
      <c r="BP160" s="24"/>
      <c r="BQ160" s="29" t="s">
        <v>466</v>
      </c>
      <c r="BR160" s="29" t="s">
        <v>467</v>
      </c>
      <c r="BS160" s="29"/>
      <c r="BT160" s="34"/>
      <c r="BU160" s="30" t="s">
        <v>468</v>
      </c>
      <c r="BV160" s="30" t="s">
        <v>469</v>
      </c>
      <c r="BW160" s="30" t="s">
        <v>433</v>
      </c>
      <c r="BX160" s="14"/>
      <c r="BY160" s="24">
        <f>((BY158+BY159)/$C$60)*(50/$C$61)</f>
        <v>56.418995946522237</v>
      </c>
      <c r="BZ160" s="36"/>
    </row>
    <row r="161" spans="7:88">
      <c r="T161" s="24"/>
      <c r="U161" s="24"/>
      <c r="W161" s="283"/>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7"/>
        <v>146.22999999999999</v>
      </c>
      <c r="BC161" s="24" t="s">
        <v>436</v>
      </c>
      <c r="BD161" s="24">
        <f t="shared" si="39"/>
        <v>15.329999999999984</v>
      </c>
      <c r="BE161" s="24"/>
      <c r="BF161" s="24">
        <f t="shared" si="38"/>
        <v>146.22999999999999</v>
      </c>
      <c r="BG161" s="24">
        <f t="shared" si="34"/>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2816.9789999999998</v>
      </c>
      <c r="BW161" s="14" t="s">
        <v>311</v>
      </c>
      <c r="BX161" s="14"/>
      <c r="BY161" s="14"/>
      <c r="BZ161" s="38">
        <f>5-(0.5*(C64-CE177)/(CE176-CE177))</f>
        <v>5.2149380300065236</v>
      </c>
      <c r="CA161" s="14"/>
      <c r="CB161" s="14"/>
      <c r="CC161" s="14"/>
      <c r="CD161" s="14"/>
      <c r="CE161" s="24"/>
      <c r="CF161" s="24"/>
      <c r="CG161" s="14"/>
      <c r="CH161" s="14"/>
      <c r="CI161" s="14"/>
      <c r="CJ161" s="14"/>
    </row>
    <row r="162" spans="7:88">
      <c r="T162" s="24"/>
      <c r="U162" s="24"/>
      <c r="V162" s="12"/>
      <c r="X162" s="290" t="s">
        <v>472</v>
      </c>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7"/>
        <v>161.56</v>
      </c>
      <c r="BC162" s="24" t="s">
        <v>436</v>
      </c>
      <c r="BD162" s="24">
        <f t="shared" si="39"/>
        <v>15.330000000000013</v>
      </c>
      <c r="BE162" s="24"/>
      <c r="BF162" s="24">
        <f t="shared" si="38"/>
        <v>161.56</v>
      </c>
      <c r="BG162" s="24">
        <f t="shared" si="34"/>
        <v>304.55</v>
      </c>
      <c r="BH162" s="24"/>
      <c r="BI162" s="24"/>
      <c r="BJ162" s="24"/>
      <c r="BK162" s="24"/>
      <c r="BL162" s="24"/>
      <c r="BM162" s="37"/>
      <c r="BN162" s="37"/>
      <c r="BO162" s="37"/>
      <c r="BP162" s="37"/>
      <c r="BQ162" s="29" t="s">
        <v>473</v>
      </c>
      <c r="BR162" s="24"/>
      <c r="BS162" s="24"/>
      <c r="BT162" s="14"/>
      <c r="BU162" s="14" t="s">
        <v>474</v>
      </c>
      <c r="BV162" s="31">
        <f>C63</f>
        <v>4662.1239999999998</v>
      </c>
      <c r="BW162" s="14" t="s">
        <v>314</v>
      </c>
      <c r="BX162" s="14"/>
      <c r="BY162" s="14">
        <f>C63*BK156</f>
        <v>239306.82491999998</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7"/>
        <v>176.89</v>
      </c>
      <c r="BC163" s="24" t="s">
        <v>436</v>
      </c>
      <c r="BD163" s="24">
        <f t="shared" si="39"/>
        <v>15.329999999999984</v>
      </c>
      <c r="BE163" s="24"/>
      <c r="BF163" s="24">
        <f t="shared" si="38"/>
        <v>176.89</v>
      </c>
      <c r="BG163" s="24">
        <f t="shared" si="34"/>
        <v>333.72</v>
      </c>
      <c r="BH163" s="24"/>
      <c r="BI163" s="24"/>
      <c r="BJ163" s="24"/>
      <c r="BK163" s="24"/>
      <c r="BL163" s="24"/>
      <c r="BM163" s="37"/>
      <c r="BN163" s="37"/>
      <c r="BO163" s="37"/>
      <c r="BP163" s="37"/>
      <c r="BQ163" s="29" t="s">
        <v>475</v>
      </c>
      <c r="BR163" s="24"/>
      <c r="BS163" s="24"/>
      <c r="BT163" s="14"/>
      <c r="BU163" s="14" t="s">
        <v>476</v>
      </c>
      <c r="BV163" s="38">
        <f>BP158</f>
        <v>5.9801555999330436</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7"/>
        <v>192.21</v>
      </c>
      <c r="BC164" s="24" t="s">
        <v>436</v>
      </c>
      <c r="BD164" s="24">
        <f t="shared" si="39"/>
        <v>15.320000000000022</v>
      </c>
      <c r="BE164" s="24"/>
      <c r="BF164" s="24">
        <f t="shared" si="38"/>
        <v>192.21</v>
      </c>
      <c r="BG164" s="24">
        <f t="shared" si="34"/>
        <v>362.89</v>
      </c>
      <c r="BH164" s="24"/>
      <c r="BI164" s="24"/>
      <c r="BJ164" s="24"/>
      <c r="BK164" s="24"/>
      <c r="BL164" s="24"/>
      <c r="BM164" s="37"/>
      <c r="BN164" s="37"/>
      <c r="BO164" s="37"/>
      <c r="BP164" s="37"/>
      <c r="BQ164" s="29" t="s">
        <v>478</v>
      </c>
      <c r="BR164" s="24"/>
      <c r="BS164" s="24"/>
      <c r="BT164" s="14"/>
      <c r="BU164" s="14"/>
      <c r="BV164" s="14">
        <f>BV163+BV158</f>
        <v>63</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40">H66</f>
        <v>45838</v>
      </c>
      <c r="I166" s="177">
        <f t="shared" si="40"/>
        <v>46203</v>
      </c>
      <c r="J166" s="177">
        <f t="shared" si="40"/>
        <v>46568</v>
      </c>
      <c r="K166" s="177">
        <f t="shared" si="40"/>
        <v>46934</v>
      </c>
      <c r="L166" s="177">
        <f t="shared" si="40"/>
        <v>47299</v>
      </c>
      <c r="M166" s="177">
        <f t="shared" si="40"/>
        <v>47664</v>
      </c>
      <c r="N166" s="177">
        <f t="shared" si="40"/>
        <v>48029</v>
      </c>
      <c r="O166" s="177">
        <f t="shared" si="40"/>
        <v>48395</v>
      </c>
      <c r="P166" s="177">
        <f t="shared" si="40"/>
        <v>48760</v>
      </c>
      <c r="Q166" s="177">
        <f t="shared" si="40"/>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1">DATE(YEAR(AB166)+1,MONTH(AB166),DAY(AB166))</f>
        <v>46112</v>
      </c>
      <c r="AD166" s="46">
        <f t="shared" si="41"/>
        <v>46477</v>
      </c>
      <c r="AE166" s="46">
        <f t="shared" si="41"/>
        <v>46843</v>
      </c>
      <c r="AF166" s="46">
        <f t="shared" si="41"/>
        <v>47208</v>
      </c>
      <c r="AG166" s="46">
        <f t="shared" si="41"/>
        <v>47573</v>
      </c>
      <c r="AH166" s="46">
        <f t="shared" si="41"/>
        <v>47938</v>
      </c>
      <c r="AI166" s="46">
        <f t="shared" si="41"/>
        <v>48304</v>
      </c>
      <c r="AJ166" s="46">
        <f t="shared" si="41"/>
        <v>48669</v>
      </c>
      <c r="AK166" s="46">
        <f t="shared" si="41"/>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2">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3">IF($E69&lt;G$66,$C69,0)</f>
        <v>0</v>
      </c>
      <c r="H167" s="12">
        <f t="shared" ref="H167:J186" si="44">IF($E69&gt;H$66,0,IF($E69&lt;H$66-365,$C69,0))</f>
        <v>0</v>
      </c>
      <c r="I167" s="12">
        <f t="shared" si="44"/>
        <v>0</v>
      </c>
      <c r="J167" s="12">
        <f t="shared" si="44"/>
        <v>0</v>
      </c>
      <c r="K167" s="12">
        <f t="shared" ref="K167:K209" si="45">IF($E69&lt;K$66,$C69,0)</f>
        <v>0</v>
      </c>
      <c r="L167" s="12">
        <f t="shared" ref="L167:N186" si="46">IF($E69&gt;L$66,0,IF($E69&lt;L$66-365,$C69,0))</f>
        <v>0</v>
      </c>
      <c r="M167" s="12">
        <f t="shared" si="46"/>
        <v>0</v>
      </c>
      <c r="N167" s="12">
        <f t="shared" si="46"/>
        <v>0</v>
      </c>
      <c r="O167" s="12">
        <f t="shared" ref="O167:O209" si="47">IF($E69&lt;O$66,$C69,0)</f>
        <v>0</v>
      </c>
      <c r="P167" s="12">
        <f t="shared" ref="P167:Q186" si="48">IF($E69&gt;P$66,0,IF($E69&lt;P$66-365,$C69,0))</f>
        <v>0</v>
      </c>
      <c r="Q167" s="12">
        <f t="shared" si="48"/>
        <v>0</v>
      </c>
      <c r="T167" s="14"/>
      <c r="U167" s="14"/>
      <c r="V167" s="14"/>
      <c r="W167" s="53">
        <f t="shared" ref="W167:W211" si="49">C68*$BN$160*1000</f>
        <v>0</v>
      </c>
      <c r="X167" s="54" t="e">
        <f t="shared" ref="X167:X211" si="50">-1*F68/W167</f>
        <v>#DIV/0!</v>
      </c>
      <c r="Y167" s="25">
        <f>Z167/$BH$166</f>
        <v>0</v>
      </c>
      <c r="Z167" s="54">
        <f>C68/$BN$157</f>
        <v>0</v>
      </c>
      <c r="AA167" s="54">
        <f t="shared" ref="AA167:AJ182" si="51">IF($E68+365&lt;$C$56,0,IF($E68&lt;$C$56,(($E68+365-$C$56)/365)*(($C68/$BN$157)+($D68/$BN$158)),IF($E68&gt;AA$166,0,IF($E68+365&lt;AA$166,($C68/$BN$157)+($D68/$BN$158),((AA$166-$E68)/365)*(($C68/$BN$157)+($D68/$BN$158))))))</f>
        <v>0</v>
      </c>
      <c r="AB167" s="54">
        <f t="shared" si="51"/>
        <v>0</v>
      </c>
      <c r="AC167" s="54">
        <f>IF($E68+365&lt;$C$56,0,IF($E68&lt;$C$56,(($E68+365-$C$56)/365)*(($C68/$BN$157)+($D68/$BN$158)),IF($E68&gt;AC$166,0,IF($E68+365&lt;AC$166,($C68/$BN$157)+($D68/$BN$158),((AC$166-$E68)/365)*(($C68/$BN$157)+($D68/$BN$158))))))</f>
        <v>0</v>
      </c>
      <c r="AD167" s="54">
        <f t="shared" si="51"/>
        <v>0</v>
      </c>
      <c r="AE167" s="54">
        <f t="shared" si="51"/>
        <v>0</v>
      </c>
      <c r="AF167" s="54">
        <f>IF($E68+365&lt;$C$56,0,IF($E68&lt;$C$56,(($E68+365-$C$56)/365)*(($C68/$BN$157)+($D68/$BN$158)),IF($E68&gt;AF$166,0,IF($E68+365&lt;AF$166,($C68/$BN$157)+($D68/$BN$158),((AF$166-$E68)/365)*(($C68/$BN$157)+($D68/$BN$158))))))</f>
        <v>0</v>
      </c>
      <c r="AG167" s="54">
        <f t="shared" si="51"/>
        <v>0</v>
      </c>
      <c r="AH167" s="54">
        <f t="shared" si="51"/>
        <v>0</v>
      </c>
      <c r="AI167" s="54">
        <f t="shared" si="51"/>
        <v>0</v>
      </c>
      <c r="AJ167" s="54">
        <f t="shared" si="51"/>
        <v>0</v>
      </c>
      <c r="AK167" s="54">
        <f t="shared" ref="AK167" si="52">IF($E68+365&lt;$C$56,0,IF($E68&lt;$C$56,(($E68+365-$C$56)/365)*(($C68/$BN$157)+($D68/$BN$158)),IF($E68&gt;AK$166,0,IF($E68+365&lt;AK$166,($C68/$BN$157)+($D68/$BN$158),((AK$166-$E68)/365)*(($C68/$BN$157)+($D68/$BN$158))))))</f>
        <v>0</v>
      </c>
      <c r="AL167" s="24">
        <f t="shared" ref="AL167:AL213" si="53">IF(G68&lt;&gt;"",C68,0)</f>
        <v>0</v>
      </c>
      <c r="AM167" s="24">
        <f t="shared" ref="AM167:AM213" si="54">IF(G68&lt;&gt;"",D68,0)</f>
        <v>0</v>
      </c>
      <c r="AN167" s="55">
        <f t="shared" ref="AN167:AN213" si="55">IF(W68="Yes",0,F68)</f>
        <v>0</v>
      </c>
      <c r="AO167" s="55">
        <f t="shared" ref="AO167:AO213" si="56">IF(W68="Yes",F68,0)</f>
        <v>0</v>
      </c>
      <c r="AP167" s="24"/>
      <c r="AQ167" s="24"/>
      <c r="AR167" s="24"/>
      <c r="AS167" s="24"/>
      <c r="AT167" s="24"/>
      <c r="AU167" s="24"/>
      <c r="AV167" s="24"/>
      <c r="AW167" s="24"/>
      <c r="AX167" s="24"/>
      <c r="AY167" s="24"/>
      <c r="AZ167" s="24"/>
      <c r="BA167" s="24"/>
      <c r="BB167" s="25"/>
      <c r="BC167" s="24"/>
      <c r="BD167" s="24"/>
      <c r="BE167" s="24">
        <f t="shared" si="42"/>
        <v>84.92</v>
      </c>
      <c r="BF167" s="24" t="s">
        <v>486</v>
      </c>
      <c r="BG167" s="56">
        <f>BV158+($C$64-$BV$158)</f>
        <v>63</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3"/>
        <v>0</v>
      </c>
      <c r="H168" s="12">
        <f t="shared" si="44"/>
        <v>0</v>
      </c>
      <c r="I168" s="12">
        <f t="shared" si="44"/>
        <v>0</v>
      </c>
      <c r="J168" s="12">
        <f t="shared" si="44"/>
        <v>0</v>
      </c>
      <c r="K168" s="12">
        <f t="shared" si="45"/>
        <v>0</v>
      </c>
      <c r="L168" s="12">
        <f t="shared" si="46"/>
        <v>0</v>
      </c>
      <c r="M168" s="12">
        <f t="shared" si="46"/>
        <v>0</v>
      </c>
      <c r="N168" s="12">
        <f t="shared" si="46"/>
        <v>-320</v>
      </c>
      <c r="O168" s="12">
        <f t="shared" si="47"/>
        <v>-320</v>
      </c>
      <c r="P168" s="12">
        <f t="shared" si="48"/>
        <v>-320</v>
      </c>
      <c r="Q168" s="12">
        <f t="shared" si="48"/>
        <v>-320</v>
      </c>
      <c r="T168" s="57"/>
      <c r="U168" s="57"/>
      <c r="V168" s="57"/>
      <c r="W168" s="53">
        <f t="shared" si="49"/>
        <v>0</v>
      </c>
      <c r="X168" s="54" t="e">
        <f t="shared" si="50"/>
        <v>#DIV/0!</v>
      </c>
      <c r="Y168" s="54">
        <f t="shared" ref="Y168:Y213" si="57">Z168/$BH$166</f>
        <v>0</v>
      </c>
      <c r="Z168" s="54">
        <f>($C69/$BN$157)+($D69/$BN$158)</f>
        <v>0</v>
      </c>
      <c r="AA168" s="54">
        <f t="shared" si="51"/>
        <v>0</v>
      </c>
      <c r="AB168" s="54">
        <f t="shared" si="51"/>
        <v>0</v>
      </c>
      <c r="AC168" s="54">
        <f t="shared" si="51"/>
        <v>0</v>
      </c>
      <c r="AD168" s="54">
        <f>IF($E69+365&lt;$C$56,0,IF($E69&lt;$C$56,(($E69+365-$C$56)/365)*(($C69/$BN$157)+($D69/$BN$158)),IF($E69&gt;AD$166,0,IF($E69+365&lt;AD$166,($C69/$BN$157)+($D69/$BN$158),((AD$166-$E69)/365)*(($C69/$BN$157)+($D69/$BN$158))))))</f>
        <v>0</v>
      </c>
      <c r="AE168" s="54">
        <f t="shared" si="51"/>
        <v>0</v>
      </c>
      <c r="AF168" s="54">
        <f t="shared" si="51"/>
        <v>0</v>
      </c>
      <c r="AG168" s="54">
        <f t="shared" si="51"/>
        <v>0</v>
      </c>
      <c r="AH168" s="54">
        <f t="shared" si="51"/>
        <v>0</v>
      </c>
      <c r="AI168" s="54">
        <f t="shared" si="51"/>
        <v>0</v>
      </c>
      <c r="AJ168" s="54">
        <f t="shared" si="51"/>
        <v>0</v>
      </c>
      <c r="AK168" s="54">
        <f t="shared" ref="AK168" si="58">IF($E69+365&lt;$C$56,0,IF($E69&lt;$C$56,(($E69+365-$C$56)/365)*(($C69/$BN$157)+($D69/$BN$158)),IF($E69&gt;AK$166,0,IF($E69+365&lt;AK$166,($C69/$BN$157)+($D69/$BN$158),((AK$166-$E69)/365)*(($C69/$BN$157)+($D69/$BN$158))))))</f>
        <v>0</v>
      </c>
      <c r="AL168" s="24">
        <f t="shared" si="53"/>
        <v>0</v>
      </c>
      <c r="AM168" s="24">
        <f t="shared" si="54"/>
        <v>0</v>
      </c>
      <c r="AN168" s="55">
        <f t="shared" si="55"/>
        <v>0</v>
      </c>
      <c r="AO168" s="55">
        <f t="shared" si="56"/>
        <v>0</v>
      </c>
      <c r="AP168" s="24"/>
      <c r="AQ168" s="24"/>
      <c r="AR168" s="24"/>
      <c r="AS168" s="24"/>
      <c r="AT168" s="24"/>
      <c r="AU168" s="24"/>
      <c r="AV168" s="24"/>
      <c r="AW168" s="24"/>
      <c r="AX168" s="24"/>
      <c r="AY168" s="24"/>
      <c r="AZ168" s="24"/>
      <c r="BA168" s="24"/>
      <c r="BB168" s="24"/>
      <c r="BC168" s="24"/>
      <c r="BD168" s="24"/>
      <c r="BE168" s="24">
        <f t="shared" si="42"/>
        <v>84.92</v>
      </c>
      <c r="BF168" s="59">
        <f>AB166</f>
        <v>45747</v>
      </c>
      <c r="BG168" s="36">
        <f>(BV158+AB214)+($C$64-$BV$158)</f>
        <v>62.696377691846124</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3"/>
        <v>0</v>
      </c>
      <c r="H169" s="12">
        <f t="shared" si="44"/>
        <v>0</v>
      </c>
      <c r="I169" s="12">
        <f t="shared" si="44"/>
        <v>0</v>
      </c>
      <c r="J169" s="12">
        <f t="shared" si="44"/>
        <v>0</v>
      </c>
      <c r="K169" s="12">
        <f t="shared" si="45"/>
        <v>-90</v>
      </c>
      <c r="L169" s="12">
        <f t="shared" si="46"/>
        <v>-90</v>
      </c>
      <c r="M169" s="12">
        <f t="shared" si="46"/>
        <v>-90</v>
      </c>
      <c r="N169" s="12">
        <f t="shared" si="46"/>
        <v>-90</v>
      </c>
      <c r="O169" s="12">
        <f t="shared" si="47"/>
        <v>-90</v>
      </c>
      <c r="P169" s="12">
        <f t="shared" si="48"/>
        <v>-90</v>
      </c>
      <c r="Q169" s="12">
        <f t="shared" si="48"/>
        <v>-90</v>
      </c>
      <c r="T169" s="61"/>
      <c r="U169" s="61"/>
      <c r="V169" s="61"/>
      <c r="W169" s="53">
        <f t="shared" si="49"/>
        <v>-66793.955329161632</v>
      </c>
      <c r="X169" s="54">
        <f t="shared" si="50"/>
        <v>55.094805837817269</v>
      </c>
      <c r="Y169" s="343">
        <f>Z169/$BH$166</f>
        <v>-0.51456343788519654</v>
      </c>
      <c r="Z169" s="54">
        <f>($C70/$BN$157)+($D70/$BN$158)</f>
        <v>-7.8882575027800614</v>
      </c>
      <c r="AA169" s="54">
        <f t="shared" si="51"/>
        <v>0</v>
      </c>
      <c r="AB169" s="54">
        <f t="shared" si="51"/>
        <v>0</v>
      </c>
      <c r="AC169" s="54">
        <f t="shared" si="51"/>
        <v>0</v>
      </c>
      <c r="AD169" s="54">
        <f>IF($E70+365&lt;$C$56,0,IF($E70&lt;$C$56,(($E70+365-$C$56)/365)*(($C70/$BN$157)+($D70/$BN$158)),IF($E70&gt;AD$166,0,IF($E70+365&lt;AD$166,($C70/$BN$157)+($D70/$BN$158),((AD$166-$E70)/365)*(($C70/$BN$157)+($D70/$BN$158))))))</f>
        <v>0</v>
      </c>
      <c r="AE169" s="54">
        <f t="shared" si="51"/>
        <v>0</v>
      </c>
      <c r="AF169" s="54">
        <f t="shared" si="51"/>
        <v>0</v>
      </c>
      <c r="AG169" s="54">
        <f t="shared" si="51"/>
        <v>0</v>
      </c>
      <c r="AH169" s="54">
        <f t="shared" si="51"/>
        <v>-7.8882575027800614</v>
      </c>
      <c r="AI169" s="54">
        <f t="shared" si="51"/>
        <v>-7.8882575027800614</v>
      </c>
      <c r="AJ169" s="54">
        <f t="shared" si="51"/>
        <v>-7.8882575027800614</v>
      </c>
      <c r="AK169" s="54">
        <f t="shared" ref="AK169" si="59">IF($E70+365&lt;$C$56,0,IF($E70&lt;$C$56,(($E70+365-$C$56)/365)*(($C70/$BN$157)+($D70/$BN$158)),IF($E70&gt;AK$166,0,IF($E70+365&lt;AK$166,($C70/$BN$157)+($D70/$BN$158),((AK$166-$E70)/365)*(($C70/$BN$157)+($D70/$BN$158))))))</f>
        <v>-7.8882575027800614</v>
      </c>
      <c r="AL169" s="24">
        <f t="shared" si="53"/>
        <v>-320</v>
      </c>
      <c r="AM169" s="24">
        <f t="shared" si="54"/>
        <v>-1100</v>
      </c>
      <c r="AN169" s="55">
        <f t="shared" si="55"/>
        <v>3680000</v>
      </c>
      <c r="AO169" s="55">
        <f t="shared" si="56"/>
        <v>0</v>
      </c>
      <c r="AP169" s="24"/>
      <c r="AQ169" s="24"/>
      <c r="AR169" s="24"/>
      <c r="AS169" s="24"/>
      <c r="AT169" s="24"/>
      <c r="AU169" s="24"/>
      <c r="AV169" s="24"/>
      <c r="AW169" s="24"/>
      <c r="AX169" s="24"/>
      <c r="AY169" s="24"/>
      <c r="AZ169" s="24"/>
      <c r="BA169" s="24"/>
      <c r="BB169" s="24"/>
      <c r="BC169" s="24"/>
      <c r="BD169" s="24"/>
      <c r="BE169" s="24">
        <f t="shared" si="42"/>
        <v>84.92</v>
      </c>
      <c r="BF169" s="59">
        <f>BF168+365</f>
        <v>46112</v>
      </c>
      <c r="BG169" s="36">
        <f>BV158+AC214+($C$64-$BV$158)</f>
        <v>60.419210380692036</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60">INDEX(AN156:AR156,MATCH($CE$168,$AN$165:$AR$165,0))</f>
        <v>69.59</v>
      </c>
      <c r="CJ169" s="14">
        <f t="shared" ref="CJ169:CJ177" si="61">INDEX(AU156:AY156,MATCH($CE$168,$AN$165:$AR$165,0))</f>
        <v>129.52000000000001</v>
      </c>
    </row>
    <row r="170" spans="7:88">
      <c r="G170" s="12">
        <f t="shared" si="43"/>
        <v>0</v>
      </c>
      <c r="H170" s="12">
        <f t="shared" si="44"/>
        <v>0</v>
      </c>
      <c r="I170" s="12">
        <f t="shared" si="44"/>
        <v>0</v>
      </c>
      <c r="J170" s="12">
        <f t="shared" si="44"/>
        <v>0</v>
      </c>
      <c r="K170" s="12">
        <f t="shared" si="45"/>
        <v>30</v>
      </c>
      <c r="L170" s="12">
        <f t="shared" si="46"/>
        <v>30</v>
      </c>
      <c r="M170" s="12">
        <f t="shared" si="46"/>
        <v>30</v>
      </c>
      <c r="N170" s="12">
        <f t="shared" si="46"/>
        <v>30</v>
      </c>
      <c r="O170" s="12">
        <f t="shared" si="47"/>
        <v>30</v>
      </c>
      <c r="P170" s="12">
        <f t="shared" si="48"/>
        <v>30</v>
      </c>
      <c r="Q170" s="12">
        <f t="shared" si="48"/>
        <v>30</v>
      </c>
      <c r="T170" s="61"/>
      <c r="U170" s="61"/>
      <c r="V170" s="61"/>
      <c r="W170" s="53">
        <f t="shared" si="49"/>
        <v>-18785.799936326712</v>
      </c>
      <c r="X170" s="54">
        <f t="shared" si="50"/>
        <v>39.17852859578116</v>
      </c>
      <c r="Y170" s="25">
        <f t="shared" si="57"/>
        <v>-0.13222227890026506</v>
      </c>
      <c r="Z170" s="54">
        <f t="shared" ref="Z170:Z213" si="62">($C71/$BN$157)+($D71/$BN$158)</f>
        <v>-2.026967535541063</v>
      </c>
      <c r="AA170" s="54">
        <f t="shared" si="51"/>
        <v>0</v>
      </c>
      <c r="AB170" s="54">
        <f t="shared" si="51"/>
        <v>0</v>
      </c>
      <c r="AC170" s="54">
        <f t="shared" si="51"/>
        <v>0</v>
      </c>
      <c r="AD170" s="54">
        <f t="shared" si="51"/>
        <v>0</v>
      </c>
      <c r="AE170" s="54">
        <f t="shared" si="51"/>
        <v>0</v>
      </c>
      <c r="AF170" s="54">
        <f t="shared" si="51"/>
        <v>-2.026967535541063</v>
      </c>
      <c r="AG170" s="54">
        <f t="shared" si="51"/>
        <v>-2.026967535541063</v>
      </c>
      <c r="AH170" s="54">
        <f t="shared" si="51"/>
        <v>-2.026967535541063</v>
      </c>
      <c r="AI170" s="54">
        <f t="shared" si="51"/>
        <v>-2.026967535541063</v>
      </c>
      <c r="AJ170" s="54">
        <f t="shared" si="51"/>
        <v>-2.026967535541063</v>
      </c>
      <c r="AK170" s="54">
        <f t="shared" ref="AK170" si="63">IF($E71+365&lt;$C$56,0,IF($E71&lt;$C$56,(($E71+365-$C$56)/365)*(($C71/$BN$157)+($D71/$BN$158)),IF($E71&gt;AK$166,0,IF($E71+365&lt;AK$166,($C71/$BN$157)+($D71/$BN$158),((AK$166-$E71)/365)*(($C71/$BN$157)+($D71/$BN$158))))))</f>
        <v>-2.026967535541063</v>
      </c>
      <c r="AL170" s="24">
        <f t="shared" si="53"/>
        <v>-90</v>
      </c>
      <c r="AM170" s="24">
        <f t="shared" si="54"/>
        <v>-160</v>
      </c>
      <c r="AN170" s="55">
        <f t="shared" si="55"/>
        <v>736000</v>
      </c>
      <c r="AO170" s="55">
        <f t="shared" si="56"/>
        <v>0</v>
      </c>
      <c r="AP170" s="24"/>
      <c r="AQ170" s="24"/>
      <c r="AR170" s="24"/>
      <c r="AS170" s="24"/>
      <c r="AT170" s="24"/>
      <c r="AU170" s="24"/>
      <c r="AV170" s="24"/>
      <c r="AW170" s="24"/>
      <c r="AX170" s="24"/>
      <c r="AY170" s="24"/>
      <c r="AZ170" s="24"/>
      <c r="BA170" s="24"/>
      <c r="BB170" s="24"/>
      <c r="BC170" s="24"/>
      <c r="BD170" s="24"/>
      <c r="BE170" s="24">
        <f t="shared" si="42"/>
        <v>84.92</v>
      </c>
      <c r="BF170" s="59">
        <f>BF169+365</f>
        <v>46477</v>
      </c>
      <c r="BG170" s="36">
        <f>$BV$158+AD214+($C$64-$BV$158)</f>
        <v>60.419210380692036</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60"/>
        <v>84.92</v>
      </c>
      <c r="CJ170" s="14">
        <f t="shared" si="61"/>
        <v>158.69</v>
      </c>
    </row>
    <row r="171" spans="7:88">
      <c r="G171" s="12">
        <f t="shared" si="43"/>
        <v>0</v>
      </c>
      <c r="H171" s="12">
        <f t="shared" si="44"/>
        <v>0</v>
      </c>
      <c r="I171" s="12">
        <f t="shared" si="44"/>
        <v>0</v>
      </c>
      <c r="J171" s="12">
        <f t="shared" si="44"/>
        <v>0</v>
      </c>
      <c r="K171" s="12">
        <f t="shared" si="45"/>
        <v>0</v>
      </c>
      <c r="L171" s="12">
        <f t="shared" si="46"/>
        <v>0</v>
      </c>
      <c r="M171" s="12">
        <f t="shared" si="46"/>
        <v>0</v>
      </c>
      <c r="N171" s="12">
        <f t="shared" si="46"/>
        <v>0</v>
      </c>
      <c r="O171" s="12">
        <f t="shared" si="47"/>
        <v>0</v>
      </c>
      <c r="P171" s="12">
        <f t="shared" si="48"/>
        <v>0</v>
      </c>
      <c r="Q171" s="12">
        <f t="shared" si="48"/>
        <v>0</v>
      </c>
      <c r="T171" s="61"/>
      <c r="U171" s="61"/>
      <c r="V171" s="61"/>
      <c r="W171" s="53">
        <f t="shared" si="49"/>
        <v>6261.9333121089039</v>
      </c>
      <c r="X171" s="54">
        <f t="shared" si="50"/>
        <v>-95.817053630986535</v>
      </c>
      <c r="Y171" s="54">
        <f t="shared" si="57"/>
        <v>2.7060537188752575E-2</v>
      </c>
      <c r="Z171" s="54">
        <f>($C72/$BN$157)+($D72/$BN$158)</f>
        <v>0.41483803510357692</v>
      </c>
      <c r="AA171" s="54">
        <f t="shared" si="51"/>
        <v>0</v>
      </c>
      <c r="AB171" s="54">
        <f t="shared" si="51"/>
        <v>0</v>
      </c>
      <c r="AC171" s="54">
        <f t="shared" si="51"/>
        <v>0</v>
      </c>
      <c r="AD171" s="54">
        <f t="shared" si="51"/>
        <v>0</v>
      </c>
      <c r="AE171" s="54">
        <f t="shared" si="51"/>
        <v>0</v>
      </c>
      <c r="AF171" s="54">
        <f>IF($E72+365&lt;$C$56,0,IF($E72&lt;$C$56,(($E72+365-$C$56)/365)*(($C72/$BN$157)+($D72/$BN$158)),IF($E72&gt;AF$166,0,IF($E72+365&lt;AF$166,($C72/$BN$157)+($D72/$BN$158),((AF$166-$E72)/365)*(($C72/$BN$157)+($D72/$BN$158))))))</f>
        <v>0.41483803510357692</v>
      </c>
      <c r="AG171" s="54">
        <f t="shared" si="51"/>
        <v>0.41483803510357692</v>
      </c>
      <c r="AH171" s="54">
        <f t="shared" si="51"/>
        <v>0.41483803510357692</v>
      </c>
      <c r="AI171" s="54">
        <f t="shared" si="51"/>
        <v>0.41483803510357692</v>
      </c>
      <c r="AJ171" s="54">
        <f t="shared" si="51"/>
        <v>0.41483803510357692</v>
      </c>
      <c r="AK171" s="54">
        <f t="shared" ref="AK171" si="64">IF($E72+365&lt;$C$56,0,IF($E72&lt;$C$56,(($E72+365-$C$56)/365)*(($C72/$BN$157)+($D72/$BN$158)),IF($E72&gt;AK$166,0,IF($E72+365&lt;AK$166,($C72/$BN$157)+($D72/$BN$158),((AK$166-$E72)/365)*(($C72/$BN$157)+($D72/$BN$158))))))</f>
        <v>0.41483803510357692</v>
      </c>
      <c r="AL171" s="24">
        <f t="shared" si="53"/>
        <v>30</v>
      </c>
      <c r="AM171" s="24">
        <f t="shared" si="54"/>
        <v>-150</v>
      </c>
      <c r="AN171" s="55">
        <f t="shared" si="55"/>
        <v>600000</v>
      </c>
      <c r="AO171" s="55">
        <f t="shared" si="56"/>
        <v>0</v>
      </c>
      <c r="AP171" s="24"/>
      <c r="AQ171" s="24"/>
      <c r="AR171" s="24"/>
      <c r="AS171" s="24"/>
      <c r="AT171" s="24"/>
      <c r="AU171" s="24"/>
      <c r="AV171" s="24"/>
      <c r="AW171" s="24"/>
      <c r="AX171" s="24"/>
      <c r="AY171" s="24"/>
      <c r="AZ171" s="24"/>
      <c r="BA171" s="24"/>
      <c r="BB171" s="24"/>
      <c r="BC171" s="24"/>
      <c r="BD171" s="24"/>
      <c r="BE171" s="24">
        <f t="shared" si="42"/>
        <v>84.92</v>
      </c>
      <c r="BF171" s="59">
        <f t="shared" ref="BF171:BF176" si="65">BF170+365</f>
        <v>46842</v>
      </c>
      <c r="BG171" s="36">
        <f>$BV$158+AE214+($C$64-$BV$158)</f>
        <v>60.419210380692036</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60"/>
        <v>100.25</v>
      </c>
      <c r="CJ171" s="14">
        <f t="shared" si="61"/>
        <v>187.86</v>
      </c>
    </row>
    <row r="172" spans="7:88">
      <c r="G172" s="12">
        <f t="shared" si="43"/>
        <v>0</v>
      </c>
      <c r="H172" s="12">
        <f t="shared" si="44"/>
        <v>0</v>
      </c>
      <c r="I172" s="12">
        <f t="shared" si="44"/>
        <v>0</v>
      </c>
      <c r="J172" s="12">
        <f t="shared" si="44"/>
        <v>0</v>
      </c>
      <c r="K172" s="12">
        <f t="shared" si="45"/>
        <v>0</v>
      </c>
      <c r="L172" s="12">
        <f t="shared" si="46"/>
        <v>0</v>
      </c>
      <c r="M172" s="12">
        <f t="shared" si="46"/>
        <v>0</v>
      </c>
      <c r="N172" s="12">
        <f t="shared" si="46"/>
        <v>0</v>
      </c>
      <c r="O172" s="12">
        <f t="shared" si="47"/>
        <v>0</v>
      </c>
      <c r="P172" s="12">
        <f t="shared" si="48"/>
        <v>0</v>
      </c>
      <c r="Q172" s="12">
        <f t="shared" si="48"/>
        <v>0</v>
      </c>
      <c r="T172" s="61"/>
      <c r="U172" s="61"/>
      <c r="V172" s="61"/>
      <c r="W172" s="53">
        <f t="shared" si="49"/>
        <v>0</v>
      </c>
      <c r="X172" s="54" t="e">
        <f t="shared" si="50"/>
        <v>#DIV/0!</v>
      </c>
      <c r="Y172" s="25">
        <f>Z172/$BH$166</f>
        <v>0</v>
      </c>
      <c r="Z172" s="54">
        <f t="shared" si="62"/>
        <v>0</v>
      </c>
      <c r="AA172" s="54">
        <f t="shared" si="51"/>
        <v>0</v>
      </c>
      <c r="AB172" s="54">
        <f t="shared" si="51"/>
        <v>0</v>
      </c>
      <c r="AC172" s="54">
        <f t="shared" si="51"/>
        <v>0</v>
      </c>
      <c r="AD172" s="54">
        <f t="shared" si="51"/>
        <v>0</v>
      </c>
      <c r="AE172" s="54">
        <f t="shared" si="51"/>
        <v>0</v>
      </c>
      <c r="AF172" s="54">
        <f t="shared" si="51"/>
        <v>0</v>
      </c>
      <c r="AG172" s="54">
        <f t="shared" si="51"/>
        <v>0</v>
      </c>
      <c r="AH172" s="54">
        <f t="shared" si="51"/>
        <v>0</v>
      </c>
      <c r="AI172" s="54">
        <f t="shared" si="51"/>
        <v>0</v>
      </c>
      <c r="AJ172" s="54">
        <f t="shared" si="51"/>
        <v>0</v>
      </c>
      <c r="AK172" s="54">
        <f t="shared" ref="AK172" si="66">IF($E73+365&lt;$C$56,0,IF($E73&lt;$C$56,(($E73+365-$C$56)/365)*(($C73/$BN$157)+($D73/$BN$158)),IF($E73&gt;AK$166,0,IF($E73+365&lt;AK$166,($C73/$BN$157)+($D73/$BN$158),((AK$166-$E73)/365)*(($C73/$BN$157)+($D73/$BN$158))))))</f>
        <v>0</v>
      </c>
      <c r="AL172" s="24">
        <f t="shared" si="53"/>
        <v>0</v>
      </c>
      <c r="AM172" s="24">
        <f t="shared" si="54"/>
        <v>0</v>
      </c>
      <c r="AN172" s="55">
        <f t="shared" si="55"/>
        <v>0</v>
      </c>
      <c r="AO172" s="55">
        <f t="shared" si="56"/>
        <v>0</v>
      </c>
      <c r="AP172" s="24"/>
      <c r="AQ172" s="24"/>
      <c r="AR172" s="24"/>
      <c r="AS172" s="24"/>
      <c r="AT172" s="24"/>
      <c r="AU172" s="24"/>
      <c r="AV172" s="24"/>
      <c r="AW172" s="24"/>
      <c r="AX172" s="24"/>
      <c r="AY172" s="24"/>
      <c r="AZ172" s="24"/>
      <c r="BA172" s="24"/>
      <c r="BB172" s="24"/>
      <c r="BC172" s="24"/>
      <c r="BD172" s="24"/>
      <c r="BE172" s="24">
        <f t="shared" si="42"/>
        <v>84.92</v>
      </c>
      <c r="BF172" s="59">
        <f t="shared" si="65"/>
        <v>47207</v>
      </c>
      <c r="BG172" s="36">
        <f>$BV$158+AF214+($C$64-$BV$158)</f>
        <v>59.210113255363922</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60"/>
        <v>115.57</v>
      </c>
      <c r="CJ172" s="14">
        <f t="shared" si="61"/>
        <v>217.04</v>
      </c>
    </row>
    <row r="173" spans="7:88">
      <c r="G173" s="12">
        <f t="shared" si="43"/>
        <v>0</v>
      </c>
      <c r="H173" s="12">
        <f t="shared" si="44"/>
        <v>0</v>
      </c>
      <c r="I173" s="12">
        <f t="shared" si="44"/>
        <v>0</v>
      </c>
      <c r="J173" s="12">
        <f t="shared" si="44"/>
        <v>0</v>
      </c>
      <c r="K173" s="12">
        <f t="shared" si="45"/>
        <v>0</v>
      </c>
      <c r="L173" s="12">
        <f t="shared" si="46"/>
        <v>0</v>
      </c>
      <c r="M173" s="12">
        <f t="shared" si="46"/>
        <v>0</v>
      </c>
      <c r="N173" s="12">
        <f t="shared" si="46"/>
        <v>-180</v>
      </c>
      <c r="O173" s="12">
        <f t="shared" si="47"/>
        <v>-180</v>
      </c>
      <c r="P173" s="12">
        <f t="shared" si="48"/>
        <v>-180</v>
      </c>
      <c r="Q173" s="12">
        <f t="shared" si="48"/>
        <v>-180</v>
      </c>
      <c r="T173" s="61"/>
      <c r="U173" s="61"/>
      <c r="V173" s="61"/>
      <c r="W173" s="53">
        <f t="shared" si="49"/>
        <v>0</v>
      </c>
      <c r="X173" s="54" t="e">
        <f t="shared" si="50"/>
        <v>#DIV/0!</v>
      </c>
      <c r="Y173" s="25">
        <f t="shared" si="57"/>
        <v>0</v>
      </c>
      <c r="Z173" s="54">
        <f t="shared" si="62"/>
        <v>0</v>
      </c>
      <c r="AA173" s="54">
        <f t="shared" si="51"/>
        <v>0</v>
      </c>
      <c r="AB173" s="54">
        <f t="shared" si="51"/>
        <v>0</v>
      </c>
      <c r="AC173" s="54">
        <f t="shared" si="51"/>
        <v>0</v>
      </c>
      <c r="AD173" s="54">
        <f t="shared" si="51"/>
        <v>0</v>
      </c>
      <c r="AE173" s="54">
        <f t="shared" si="51"/>
        <v>0</v>
      </c>
      <c r="AF173" s="54">
        <f t="shared" si="51"/>
        <v>0</v>
      </c>
      <c r="AG173" s="54">
        <f t="shared" si="51"/>
        <v>0</v>
      </c>
      <c r="AH173" s="54">
        <f t="shared" si="51"/>
        <v>0</v>
      </c>
      <c r="AI173" s="54">
        <f t="shared" si="51"/>
        <v>0</v>
      </c>
      <c r="AJ173" s="54">
        <f t="shared" si="51"/>
        <v>0</v>
      </c>
      <c r="AK173" s="54">
        <f t="shared" ref="AK173" si="67">IF($E74+365&lt;$C$56,0,IF($E74&lt;$C$56,(($E74+365-$C$56)/365)*(($C74/$BN$157)+($D74/$BN$158)),IF($E74&gt;AK$166,0,IF($E74+365&lt;AK$166,($C74/$BN$157)+($D74/$BN$158),((AK$166-$E74)/365)*(($C74/$BN$157)+($D74/$BN$158))))))</f>
        <v>0</v>
      </c>
      <c r="AL173" s="24">
        <f t="shared" si="53"/>
        <v>0</v>
      </c>
      <c r="AM173" s="24">
        <f t="shared" si="54"/>
        <v>0</v>
      </c>
      <c r="AN173" s="55">
        <f t="shared" si="55"/>
        <v>207000</v>
      </c>
      <c r="AO173" s="55">
        <f t="shared" si="56"/>
        <v>0</v>
      </c>
      <c r="AP173" s="24"/>
      <c r="AQ173" s="24"/>
      <c r="AR173" s="24"/>
      <c r="AS173" s="24"/>
      <c r="AT173" s="24"/>
      <c r="AU173" s="24"/>
      <c r="AV173" s="24"/>
      <c r="AW173" s="24"/>
      <c r="AX173" s="24"/>
      <c r="AY173" s="24"/>
      <c r="AZ173" s="24"/>
      <c r="BA173" s="24"/>
      <c r="BB173" s="24"/>
      <c r="BC173" s="24"/>
      <c r="BD173" s="24"/>
      <c r="BE173" s="24">
        <f t="shared" si="42"/>
        <v>84.92</v>
      </c>
      <c r="BF173" s="59">
        <f t="shared" si="65"/>
        <v>47572</v>
      </c>
      <c r="BG173" s="36">
        <f>$BV$158+AG214+($C$64-$BV$158)</f>
        <v>59.210113255363922</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60"/>
        <v>130.9</v>
      </c>
      <c r="CJ173" s="14">
        <f t="shared" si="61"/>
        <v>246.21</v>
      </c>
    </row>
    <row r="174" spans="7:88">
      <c r="G174" s="12">
        <f t="shared" si="43"/>
        <v>0</v>
      </c>
      <c r="H174" s="12">
        <f t="shared" si="44"/>
        <v>0</v>
      </c>
      <c r="I174" s="12">
        <f t="shared" si="44"/>
        <v>0</v>
      </c>
      <c r="J174" s="12">
        <f t="shared" si="44"/>
        <v>0</v>
      </c>
      <c r="K174" s="12">
        <f t="shared" si="45"/>
        <v>0</v>
      </c>
      <c r="L174" s="12">
        <f t="shared" si="46"/>
        <v>0</v>
      </c>
      <c r="M174" s="12">
        <f t="shared" si="46"/>
        <v>0</v>
      </c>
      <c r="N174" s="12">
        <f t="shared" si="46"/>
        <v>0</v>
      </c>
      <c r="O174" s="12">
        <f t="shared" si="47"/>
        <v>0</v>
      </c>
      <c r="P174" s="12">
        <f t="shared" si="48"/>
        <v>0</v>
      </c>
      <c r="Q174" s="12">
        <f t="shared" si="48"/>
        <v>0</v>
      </c>
      <c r="T174" s="61"/>
      <c r="U174" s="61"/>
      <c r="V174" s="61"/>
      <c r="W174" s="53">
        <f t="shared" si="49"/>
        <v>-37571.599872653424</v>
      </c>
      <c r="X174" s="54">
        <f t="shared" si="50"/>
        <v>7.3459741117089674</v>
      </c>
      <c r="Y174" s="25">
        <f t="shared" si="57"/>
        <v>-0.23766912575646068</v>
      </c>
      <c r="Z174" s="54">
        <f t="shared" si="62"/>
        <v>-3.6434676978465417</v>
      </c>
      <c r="AA174" s="54">
        <f t="shared" si="51"/>
        <v>0</v>
      </c>
      <c r="AB174" s="54">
        <f t="shared" si="51"/>
        <v>0</v>
      </c>
      <c r="AC174" s="54">
        <f t="shared" si="51"/>
        <v>0</v>
      </c>
      <c r="AD174" s="54">
        <f t="shared" si="51"/>
        <v>0</v>
      </c>
      <c r="AE174" s="54">
        <f t="shared" si="51"/>
        <v>0</v>
      </c>
      <c r="AF174" s="54">
        <f t="shared" si="51"/>
        <v>0</v>
      </c>
      <c r="AG174" s="54">
        <f t="shared" si="51"/>
        <v>0</v>
      </c>
      <c r="AH174" s="54">
        <f t="shared" si="51"/>
        <v>-3.6434676978465417</v>
      </c>
      <c r="AI174" s="54">
        <f t="shared" si="51"/>
        <v>-3.6434676978465417</v>
      </c>
      <c r="AJ174" s="54">
        <f t="shared" si="51"/>
        <v>-3.6434676978465417</v>
      </c>
      <c r="AK174" s="54">
        <f t="shared" ref="AK174" si="68">IF($E75+365&lt;$C$56,0,IF($E75&lt;$C$56,(($E75+365-$C$56)/365)*(($C75/$BN$157)+($D75/$BN$158)),IF($E75&gt;AK$166,0,IF($E75+365&lt;AK$166,($C75/$BN$157)+($D75/$BN$158),((AK$166-$E75)/365)*(($C75/$BN$157)+($D75/$BN$158))))))</f>
        <v>-3.6434676978465417</v>
      </c>
      <c r="AL174" s="24">
        <f t="shared" si="53"/>
        <v>-180</v>
      </c>
      <c r="AM174" s="24">
        <f t="shared" si="54"/>
        <v>0</v>
      </c>
      <c r="AN174" s="55">
        <f t="shared" si="55"/>
        <v>276000</v>
      </c>
      <c r="AO174" s="55">
        <f t="shared" si="56"/>
        <v>0</v>
      </c>
      <c r="AP174" s="24"/>
      <c r="AQ174" s="24"/>
      <c r="AR174" s="24"/>
      <c r="AS174" s="24"/>
      <c r="AT174" s="24"/>
      <c r="AU174" s="24"/>
      <c r="AV174" s="24"/>
      <c r="AW174" s="24"/>
      <c r="AX174" s="24"/>
      <c r="AY174" s="24"/>
      <c r="AZ174" s="24"/>
      <c r="BA174" s="24"/>
      <c r="BB174" s="24"/>
      <c r="BC174" s="24"/>
      <c r="BD174" s="24"/>
      <c r="BE174" s="24">
        <f t="shared" si="42"/>
        <v>84.92</v>
      </c>
      <c r="BF174" s="59">
        <f t="shared" si="65"/>
        <v>47937</v>
      </c>
      <c r="BG174" s="36">
        <f>$BV$158+AH214+($C$64-$BV$158)</f>
        <v>50.561319354893968</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60"/>
        <v>146.22999999999999</v>
      </c>
      <c r="CJ174" s="14">
        <f t="shared" si="61"/>
        <v>275.38</v>
      </c>
    </row>
    <row r="175" spans="7:88">
      <c r="G175" s="12">
        <f t="shared" si="43"/>
        <v>-20</v>
      </c>
      <c r="H175" s="12">
        <f t="shared" si="44"/>
        <v>-20</v>
      </c>
      <c r="I175" s="12">
        <f t="shared" si="44"/>
        <v>-20</v>
      </c>
      <c r="J175" s="12">
        <f t="shared" si="44"/>
        <v>-20</v>
      </c>
      <c r="K175" s="12">
        <f t="shared" si="45"/>
        <v>-20</v>
      </c>
      <c r="L175" s="12">
        <f t="shared" si="46"/>
        <v>-20</v>
      </c>
      <c r="M175" s="12">
        <f t="shared" si="46"/>
        <v>-20</v>
      </c>
      <c r="N175" s="12">
        <f t="shared" si="46"/>
        <v>-20</v>
      </c>
      <c r="O175" s="12">
        <f t="shared" si="47"/>
        <v>-20</v>
      </c>
      <c r="P175" s="12">
        <f t="shared" si="48"/>
        <v>-20</v>
      </c>
      <c r="Q175" s="12">
        <f t="shared" si="48"/>
        <v>-20</v>
      </c>
      <c r="T175" s="61"/>
      <c r="U175" s="61"/>
      <c r="V175" s="61"/>
      <c r="W175" s="53">
        <f t="shared" si="49"/>
        <v>0</v>
      </c>
      <c r="X175" s="54" t="e">
        <f t="shared" si="50"/>
        <v>#DIV/0!</v>
      </c>
      <c r="Y175" s="25">
        <f t="shared" si="57"/>
        <v>0</v>
      </c>
      <c r="Z175" s="54">
        <f t="shared" si="62"/>
        <v>0</v>
      </c>
      <c r="AA175" s="54">
        <f t="shared" si="51"/>
        <v>0</v>
      </c>
      <c r="AB175" s="54">
        <f t="shared" si="51"/>
        <v>0</v>
      </c>
      <c r="AC175" s="54">
        <f t="shared" si="51"/>
        <v>0</v>
      </c>
      <c r="AD175" s="54">
        <f t="shared" si="51"/>
        <v>0</v>
      </c>
      <c r="AE175" s="54">
        <f t="shared" si="51"/>
        <v>0</v>
      </c>
      <c r="AF175" s="54">
        <f t="shared" si="51"/>
        <v>0</v>
      </c>
      <c r="AG175" s="54">
        <f t="shared" si="51"/>
        <v>0</v>
      </c>
      <c r="AH175" s="54">
        <f t="shared" si="51"/>
        <v>0</v>
      </c>
      <c r="AI175" s="54">
        <f t="shared" si="51"/>
        <v>0</v>
      </c>
      <c r="AJ175" s="54">
        <f t="shared" si="51"/>
        <v>0</v>
      </c>
      <c r="AK175" s="54">
        <f t="shared" ref="AK175" si="69">IF($E76+365&lt;$C$56,0,IF($E76&lt;$C$56,(($E76+365-$C$56)/365)*(($C76/$BN$157)+($D76/$BN$158)),IF($E76&gt;AK$166,0,IF($E76+365&lt;AK$166,($C76/$BN$157)+($D76/$BN$158),((AK$166-$E76)/365)*(($C76/$BN$157)+($D76/$BN$158))))))</f>
        <v>0</v>
      </c>
      <c r="AL175" s="24">
        <f t="shared" si="53"/>
        <v>0</v>
      </c>
      <c r="AM175" s="24">
        <f t="shared" si="54"/>
        <v>0</v>
      </c>
      <c r="AN175" s="55">
        <f t="shared" si="55"/>
        <v>161000</v>
      </c>
      <c r="AO175" s="55">
        <f t="shared" si="56"/>
        <v>0</v>
      </c>
      <c r="AP175" s="24"/>
      <c r="AQ175" s="24"/>
      <c r="AR175" s="24"/>
      <c r="AS175" s="24"/>
      <c r="AT175" s="24"/>
      <c r="AU175" s="24"/>
      <c r="AV175" s="24"/>
      <c r="AW175" s="24"/>
      <c r="AX175" s="24"/>
      <c r="AY175" s="24"/>
      <c r="AZ175" s="24"/>
      <c r="BA175" s="24"/>
      <c r="BB175" s="24"/>
      <c r="BC175" s="24"/>
      <c r="BD175" s="24"/>
      <c r="BE175" s="24">
        <f t="shared" si="42"/>
        <v>84.92</v>
      </c>
      <c r="BF175" s="59">
        <f t="shared" si="65"/>
        <v>48302</v>
      </c>
      <c r="BG175" s="36">
        <f>$BV$158+AI214+($C$64-$BV$158)</f>
        <v>50.561319354893968</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60"/>
        <v>161.56</v>
      </c>
      <c r="CJ175" s="14">
        <f t="shared" si="61"/>
        <v>304.55</v>
      </c>
    </row>
    <row r="176" spans="7:88">
      <c r="G176" s="12">
        <f t="shared" si="43"/>
        <v>0</v>
      </c>
      <c r="H176" s="12">
        <f t="shared" si="44"/>
        <v>0</v>
      </c>
      <c r="I176" s="12">
        <f t="shared" si="44"/>
        <v>-75</v>
      </c>
      <c r="J176" s="12">
        <f t="shared" si="44"/>
        <v>-75</v>
      </c>
      <c r="K176" s="12">
        <f t="shared" si="45"/>
        <v>-75</v>
      </c>
      <c r="L176" s="12">
        <f t="shared" si="46"/>
        <v>-75</v>
      </c>
      <c r="M176" s="12">
        <f t="shared" si="46"/>
        <v>-75</v>
      </c>
      <c r="N176" s="12">
        <f t="shared" si="46"/>
        <v>-75</v>
      </c>
      <c r="O176" s="12">
        <f t="shared" si="47"/>
        <v>-75</v>
      </c>
      <c r="P176" s="12">
        <f t="shared" si="48"/>
        <v>-75</v>
      </c>
      <c r="Q176" s="12">
        <f t="shared" si="48"/>
        <v>-75</v>
      </c>
      <c r="T176" s="61"/>
      <c r="U176" s="61"/>
      <c r="V176" s="61"/>
      <c r="W176" s="53">
        <f t="shared" si="49"/>
        <v>-4174.622208072602</v>
      </c>
      <c r="X176" s="54">
        <f t="shared" si="50"/>
        <v>28.026488187063567</v>
      </c>
      <c r="Y176" s="25">
        <f t="shared" si="57"/>
        <v>-2.6407680639606742E-2</v>
      </c>
      <c r="Z176" s="54">
        <f t="shared" si="62"/>
        <v>-0.40482974420517132</v>
      </c>
      <c r="AA176" s="54">
        <f t="shared" si="51"/>
        <v>0</v>
      </c>
      <c r="AB176" s="54">
        <f t="shared" si="51"/>
        <v>-0.40482974420517132</v>
      </c>
      <c r="AC176" s="54">
        <f t="shared" si="51"/>
        <v>-0.40482974420517132</v>
      </c>
      <c r="AD176" s="54">
        <f t="shared" si="51"/>
        <v>-0.40482974420517132</v>
      </c>
      <c r="AE176" s="54">
        <f t="shared" si="51"/>
        <v>-0.40482974420517132</v>
      </c>
      <c r="AF176" s="54">
        <f t="shared" si="51"/>
        <v>-0.40482974420517132</v>
      </c>
      <c r="AG176" s="54">
        <f t="shared" si="51"/>
        <v>-0.40482974420517132</v>
      </c>
      <c r="AH176" s="54">
        <f t="shared" si="51"/>
        <v>-0.40482974420517132</v>
      </c>
      <c r="AI176" s="54">
        <f t="shared" si="51"/>
        <v>-0.40482974420517132</v>
      </c>
      <c r="AJ176" s="54">
        <f t="shared" si="51"/>
        <v>-0.40482974420517132</v>
      </c>
      <c r="AK176" s="54">
        <f t="shared" ref="AK176" si="70">IF($E77+365&lt;$C$56,0,IF($E77&lt;$C$56,(($E77+365-$C$56)/365)*(($C77/$BN$157)+($D77/$BN$158)),IF($E77&gt;AK$166,0,IF($E77+365&lt;AK$166,($C77/$BN$157)+($D77/$BN$158),((AK$166-$E77)/365)*(($C77/$BN$157)+($D77/$BN$158))))))</f>
        <v>-0.40482974420517132</v>
      </c>
      <c r="AL176" s="24">
        <f t="shared" si="53"/>
        <v>-20</v>
      </c>
      <c r="AM176" s="24">
        <f t="shared" si="54"/>
        <v>0</v>
      </c>
      <c r="AN176" s="55">
        <f t="shared" si="55"/>
        <v>117000</v>
      </c>
      <c r="AO176" s="55">
        <f t="shared" si="56"/>
        <v>0</v>
      </c>
      <c r="AP176" s="24"/>
      <c r="AQ176" s="24"/>
      <c r="AR176" s="24"/>
      <c r="AS176" s="24"/>
      <c r="AT176" s="24"/>
      <c r="AU176" s="24"/>
      <c r="AV176" s="24"/>
      <c r="AW176" s="24"/>
      <c r="AX176" s="24"/>
      <c r="AY176" s="24"/>
      <c r="AZ176" s="24"/>
      <c r="BA176" s="24"/>
      <c r="BB176" s="24"/>
      <c r="BC176" s="24"/>
      <c r="BD176" s="24"/>
      <c r="BE176" s="24">
        <f t="shared" si="42"/>
        <v>84.92</v>
      </c>
      <c r="BF176" s="59">
        <f t="shared" si="65"/>
        <v>48667</v>
      </c>
      <c r="BG176" s="36">
        <f>$BV$158+AJ214+($C$64-$BV$158)</f>
        <v>47.525096273355182</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60"/>
        <v>176.89</v>
      </c>
      <c r="CJ176" s="14">
        <f t="shared" si="61"/>
        <v>333.72</v>
      </c>
    </row>
    <row r="177" spans="7:88">
      <c r="G177" s="12">
        <f t="shared" si="43"/>
        <v>0</v>
      </c>
      <c r="H177" s="12">
        <f t="shared" si="44"/>
        <v>0</v>
      </c>
      <c r="I177" s="12">
        <f t="shared" si="44"/>
        <v>-75</v>
      </c>
      <c r="J177" s="12">
        <f t="shared" si="44"/>
        <v>-75</v>
      </c>
      <c r="K177" s="12">
        <f t="shared" si="45"/>
        <v>-75</v>
      </c>
      <c r="L177" s="12">
        <f t="shared" si="46"/>
        <v>-75</v>
      </c>
      <c r="M177" s="12">
        <f t="shared" si="46"/>
        <v>-75</v>
      </c>
      <c r="N177" s="12">
        <f t="shared" si="46"/>
        <v>-75</v>
      </c>
      <c r="O177" s="12">
        <f t="shared" si="47"/>
        <v>-75</v>
      </c>
      <c r="P177" s="12">
        <f t="shared" si="48"/>
        <v>-75</v>
      </c>
      <c r="Q177" s="12">
        <f t="shared" si="48"/>
        <v>-75</v>
      </c>
      <c r="T177" s="61"/>
      <c r="U177" s="61"/>
      <c r="V177" s="61"/>
      <c r="W177" s="53">
        <f t="shared" si="49"/>
        <v>-15654.833280272258</v>
      </c>
      <c r="X177" s="54">
        <f t="shared" si="50"/>
        <v>7.6308701511717683</v>
      </c>
      <c r="Y177" s="25">
        <f t="shared" si="57"/>
        <v>-9.9028802398525281E-2</v>
      </c>
      <c r="Z177" s="54">
        <f t="shared" si="62"/>
        <v>-1.5181115407693924</v>
      </c>
      <c r="AA177" s="54">
        <f t="shared" si="51"/>
        <v>0</v>
      </c>
      <c r="AB177" s="54">
        <f t="shared" si="51"/>
        <v>0</v>
      </c>
      <c r="AC177" s="54">
        <f t="shared" si="51"/>
        <v>-1.5181115407693924</v>
      </c>
      <c r="AD177" s="54">
        <f t="shared" si="51"/>
        <v>-1.5181115407693924</v>
      </c>
      <c r="AE177" s="54">
        <f t="shared" si="51"/>
        <v>-1.5181115407693924</v>
      </c>
      <c r="AF177" s="54">
        <f t="shared" si="51"/>
        <v>-1.5181115407693924</v>
      </c>
      <c r="AG177" s="54">
        <f t="shared" si="51"/>
        <v>-1.5181115407693924</v>
      </c>
      <c r="AH177" s="54">
        <f t="shared" si="51"/>
        <v>-1.5181115407693924</v>
      </c>
      <c r="AI177" s="54">
        <f t="shared" si="51"/>
        <v>-1.5181115407693924</v>
      </c>
      <c r="AJ177" s="54">
        <f t="shared" si="51"/>
        <v>-1.5181115407693924</v>
      </c>
      <c r="AK177" s="54">
        <f t="shared" ref="AK177" si="71">IF($E78+365&lt;$C$56,0,IF($E78&lt;$C$56,(($E78+365-$C$56)/365)*(($C78/$BN$157)+($D78/$BN$158)),IF($E78&gt;AK$166,0,IF($E78+365&lt;AK$166,($C78/$BN$157)+($D78/$BN$158),((AK$166-$E78)/365)*(($C78/$BN$157)+($D78/$BN$158))))))</f>
        <v>-1.5181115407693924</v>
      </c>
      <c r="AL177" s="24">
        <f t="shared" si="53"/>
        <v>-75</v>
      </c>
      <c r="AM177" s="24">
        <f t="shared" si="54"/>
        <v>0</v>
      </c>
      <c r="AN177" s="55">
        <f t="shared" si="55"/>
        <v>119460</v>
      </c>
      <c r="AO177" s="55">
        <f t="shared" si="56"/>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60"/>
        <v>192.21</v>
      </c>
      <c r="CJ177" s="14">
        <f t="shared" si="61"/>
        <v>362.89</v>
      </c>
    </row>
    <row r="178" spans="7:88">
      <c r="G178" s="12">
        <f t="shared" si="43"/>
        <v>0</v>
      </c>
      <c r="H178" s="12">
        <f t="shared" si="44"/>
        <v>0</v>
      </c>
      <c r="I178" s="12">
        <f t="shared" si="44"/>
        <v>0</v>
      </c>
      <c r="J178" s="12">
        <f t="shared" si="44"/>
        <v>0</v>
      </c>
      <c r="K178" s="12">
        <f t="shared" si="45"/>
        <v>0</v>
      </c>
      <c r="L178" s="12">
        <f t="shared" si="46"/>
        <v>0</v>
      </c>
      <c r="M178" s="12">
        <f t="shared" si="46"/>
        <v>0</v>
      </c>
      <c r="N178" s="12">
        <f t="shared" si="46"/>
        <v>0</v>
      </c>
      <c r="O178" s="12">
        <f t="shared" si="47"/>
        <v>-200</v>
      </c>
      <c r="P178" s="12">
        <f t="shared" si="48"/>
        <v>-200</v>
      </c>
      <c r="Q178" s="12">
        <f t="shared" si="48"/>
        <v>-200</v>
      </c>
      <c r="T178" s="61"/>
      <c r="U178" s="61"/>
      <c r="V178" s="61"/>
      <c r="W178" s="53">
        <f t="shared" si="49"/>
        <v>-15654.833280272258</v>
      </c>
      <c r="X178" s="54">
        <f t="shared" si="50"/>
        <v>13.729561736748309</v>
      </c>
      <c r="Y178" s="25">
        <f t="shared" si="57"/>
        <v>-9.9028802398525281E-2</v>
      </c>
      <c r="Z178" s="54">
        <f t="shared" si="62"/>
        <v>-1.5181115407693924</v>
      </c>
      <c r="AA178" s="54">
        <f t="shared" si="51"/>
        <v>0</v>
      </c>
      <c r="AB178" s="54">
        <f t="shared" si="51"/>
        <v>0</v>
      </c>
      <c r="AC178" s="54">
        <f>IF($E79+365&lt;$C$56,0,IF($E79&lt;$C$56,(($E79+365-$C$56)/365)*(($C79/$BN$157)+($D79/$BN$158)),IF($E79&gt;AC$166,0,IF($E79+365&lt;AC$166,($C79/$BN$157)+($D79/$BN$158),((AC$166-$E79)/365)*(($C79/$BN$157)+($D79/$BN$158))))))</f>
        <v>-1.5181115407693924</v>
      </c>
      <c r="AD178" s="54">
        <f t="shared" si="51"/>
        <v>-1.5181115407693924</v>
      </c>
      <c r="AE178" s="54">
        <f t="shared" si="51"/>
        <v>-1.5181115407693924</v>
      </c>
      <c r="AF178" s="54">
        <f t="shared" si="51"/>
        <v>-1.5181115407693924</v>
      </c>
      <c r="AG178" s="54">
        <f t="shared" si="51"/>
        <v>-1.5181115407693924</v>
      </c>
      <c r="AH178" s="54">
        <f t="shared" si="51"/>
        <v>-1.5181115407693924</v>
      </c>
      <c r="AI178" s="54">
        <f t="shared" si="51"/>
        <v>-1.5181115407693924</v>
      </c>
      <c r="AJ178" s="54">
        <f t="shared" si="51"/>
        <v>-1.5181115407693924</v>
      </c>
      <c r="AK178" s="54">
        <f t="shared" ref="AK178" si="72">IF($E79+365&lt;$C$56,0,IF($E79&lt;$C$56,(($E79+365-$C$56)/365)*(($C79/$BN$157)+($D79/$BN$158)),IF($E79&gt;AK$166,0,IF($E79+365&lt;AK$166,($C79/$BN$157)+($D79/$BN$158),((AK$166-$E79)/365)*(($C79/$BN$157)+($D79/$BN$158))))))</f>
        <v>-1.5181115407693924</v>
      </c>
      <c r="AL178" s="24">
        <f t="shared" si="53"/>
        <v>-75</v>
      </c>
      <c r="AM178" s="24">
        <f t="shared" si="54"/>
        <v>0</v>
      </c>
      <c r="AN178" s="55">
        <f t="shared" si="55"/>
        <v>214934</v>
      </c>
      <c r="AO178" s="55">
        <f t="shared" si="56"/>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3"/>
        <v>0</v>
      </c>
      <c r="H179" s="12">
        <f t="shared" si="44"/>
        <v>0</v>
      </c>
      <c r="I179" s="12">
        <f t="shared" si="44"/>
        <v>0</v>
      </c>
      <c r="J179" s="12">
        <f t="shared" si="44"/>
        <v>0</v>
      </c>
      <c r="K179" s="12">
        <f t="shared" si="45"/>
        <v>0</v>
      </c>
      <c r="L179" s="12">
        <f t="shared" si="46"/>
        <v>0</v>
      </c>
      <c r="M179" s="12">
        <f t="shared" si="46"/>
        <v>0</v>
      </c>
      <c r="N179" s="12">
        <f t="shared" si="46"/>
        <v>0</v>
      </c>
      <c r="O179" s="12">
        <f t="shared" si="47"/>
        <v>0</v>
      </c>
      <c r="P179" s="12">
        <f t="shared" si="48"/>
        <v>0</v>
      </c>
      <c r="Q179" s="12">
        <f t="shared" si="48"/>
        <v>0</v>
      </c>
      <c r="T179" s="61"/>
      <c r="U179" s="61"/>
      <c r="V179" s="61"/>
      <c r="W179" s="53">
        <f t="shared" si="49"/>
        <v>-41746.222080726031</v>
      </c>
      <c r="X179" s="54">
        <f t="shared" si="50"/>
        <v>83.83992192711321</v>
      </c>
      <c r="Y179" s="25">
        <f t="shared" si="57"/>
        <v>-0.26407680639606745</v>
      </c>
      <c r="Z179" s="54">
        <f t="shared" si="62"/>
        <v>-4.0482974420517133</v>
      </c>
      <c r="AA179" s="54">
        <f t="shared" si="51"/>
        <v>0</v>
      </c>
      <c r="AB179" s="54">
        <f t="shared" si="51"/>
        <v>0</v>
      </c>
      <c r="AC179" s="54">
        <f t="shared" si="51"/>
        <v>0</v>
      </c>
      <c r="AD179" s="54">
        <f t="shared" si="51"/>
        <v>0</v>
      </c>
      <c r="AE179" s="54">
        <f t="shared" si="51"/>
        <v>0</v>
      </c>
      <c r="AF179" s="54">
        <f t="shared" si="51"/>
        <v>0</v>
      </c>
      <c r="AG179" s="54">
        <f t="shared" si="51"/>
        <v>0</v>
      </c>
      <c r="AH179" s="54">
        <f t="shared" si="51"/>
        <v>0</v>
      </c>
      <c r="AI179" s="54">
        <f t="shared" si="51"/>
        <v>0</v>
      </c>
      <c r="AJ179" s="54">
        <f t="shared" si="51"/>
        <v>-4.0482974420517133</v>
      </c>
      <c r="AK179" s="54">
        <f t="shared" ref="AK179" si="73">IF($E80+365&lt;$C$56,0,IF($E80&lt;$C$56,(($E80+365-$C$56)/365)*(($C80/$BN$157)+($D80/$BN$158)),IF($E80&gt;AK$166,0,IF($E80+365&lt;AK$166,($C80/$BN$157)+($D80/$BN$158),((AK$166-$E80)/365)*(($C80/$BN$157)+($D80/$BN$158))))))</f>
        <v>-4.0482974420517133</v>
      </c>
      <c r="AL179" s="24">
        <f t="shared" si="53"/>
        <v>-200</v>
      </c>
      <c r="AM179" s="24">
        <f t="shared" si="54"/>
        <v>0</v>
      </c>
      <c r="AN179" s="55">
        <f t="shared" si="55"/>
        <v>3500000</v>
      </c>
      <c r="AO179" s="55">
        <f t="shared" si="56"/>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3"/>
        <v>0</v>
      </c>
      <c r="H180" s="12">
        <f t="shared" si="44"/>
        <v>0</v>
      </c>
      <c r="I180" s="12">
        <f t="shared" si="44"/>
        <v>0</v>
      </c>
      <c r="J180" s="12">
        <f t="shared" si="44"/>
        <v>0</v>
      </c>
      <c r="K180" s="12">
        <f t="shared" si="45"/>
        <v>0</v>
      </c>
      <c r="L180" s="12">
        <f t="shared" si="46"/>
        <v>0</v>
      </c>
      <c r="M180" s="12">
        <f t="shared" si="46"/>
        <v>0</v>
      </c>
      <c r="N180" s="12">
        <f t="shared" si="46"/>
        <v>0</v>
      </c>
      <c r="O180" s="12">
        <f t="shared" si="47"/>
        <v>0</v>
      </c>
      <c r="P180" s="12">
        <f t="shared" si="48"/>
        <v>0</v>
      </c>
      <c r="Q180" s="12">
        <f t="shared" si="48"/>
        <v>0</v>
      </c>
      <c r="T180" s="61"/>
      <c r="U180" s="61"/>
      <c r="V180" s="61"/>
      <c r="W180" s="53">
        <f t="shared" si="49"/>
        <v>0</v>
      </c>
      <c r="X180" s="54" t="e">
        <f t="shared" si="50"/>
        <v>#DIV/0!</v>
      </c>
      <c r="Y180" s="25">
        <f t="shared" si="57"/>
        <v>0</v>
      </c>
      <c r="Z180" s="54">
        <f t="shared" si="62"/>
        <v>0</v>
      </c>
      <c r="AA180" s="54">
        <f t="shared" si="51"/>
        <v>0</v>
      </c>
      <c r="AB180" s="54">
        <f t="shared" si="51"/>
        <v>0</v>
      </c>
      <c r="AC180" s="54">
        <f t="shared" si="51"/>
        <v>0</v>
      </c>
      <c r="AD180" s="54">
        <f t="shared" si="51"/>
        <v>0</v>
      </c>
      <c r="AE180" s="54">
        <f t="shared" si="51"/>
        <v>0</v>
      </c>
      <c r="AF180" s="54">
        <f t="shared" si="51"/>
        <v>0</v>
      </c>
      <c r="AG180" s="54">
        <f t="shared" si="51"/>
        <v>0</v>
      </c>
      <c r="AH180" s="54">
        <f t="shared" si="51"/>
        <v>0</v>
      </c>
      <c r="AI180" s="54">
        <f t="shared" si="51"/>
        <v>0</v>
      </c>
      <c r="AJ180" s="54">
        <f t="shared" si="51"/>
        <v>0</v>
      </c>
      <c r="AK180" s="54">
        <f t="shared" ref="AK180" si="74">IF($E81+365&lt;$C$56,0,IF($E81&lt;$C$56,(($E81+365-$C$56)/365)*(($C81/$BN$157)+($D81/$BN$158)),IF($E81&gt;AK$166,0,IF($E81+365&lt;AK$166,($C81/$BN$157)+($D81/$BN$158),((AK$166-$E81)/365)*(($C81/$BN$157)+($D81/$BN$158))))))</f>
        <v>0</v>
      </c>
      <c r="AL180" s="24">
        <f t="shared" si="53"/>
        <v>0</v>
      </c>
      <c r="AM180" s="24">
        <f t="shared" si="54"/>
        <v>0</v>
      </c>
      <c r="AN180" s="55">
        <f t="shared" si="55"/>
        <v>0</v>
      </c>
      <c r="AO180" s="55">
        <f t="shared" si="56"/>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3"/>
        <v>0</v>
      </c>
      <c r="H181" s="12">
        <f t="shared" si="44"/>
        <v>0</v>
      </c>
      <c r="I181" s="12">
        <f t="shared" si="44"/>
        <v>0</v>
      </c>
      <c r="J181" s="12">
        <f t="shared" si="44"/>
        <v>0</v>
      </c>
      <c r="K181" s="12">
        <f t="shared" si="45"/>
        <v>0</v>
      </c>
      <c r="L181" s="12">
        <f t="shared" si="46"/>
        <v>0</v>
      </c>
      <c r="M181" s="12">
        <f t="shared" si="46"/>
        <v>0</v>
      </c>
      <c r="N181" s="12">
        <f t="shared" si="46"/>
        <v>0</v>
      </c>
      <c r="O181" s="12">
        <f t="shared" si="47"/>
        <v>0</v>
      </c>
      <c r="P181" s="12">
        <f t="shared" si="48"/>
        <v>0</v>
      </c>
      <c r="Q181" s="12">
        <f t="shared" si="48"/>
        <v>0</v>
      </c>
      <c r="T181" s="61"/>
      <c r="U181" s="61"/>
      <c r="V181" s="61"/>
      <c r="W181" s="53">
        <f t="shared" si="49"/>
        <v>0</v>
      </c>
      <c r="X181" s="54" t="e">
        <f t="shared" si="50"/>
        <v>#DIV/0!</v>
      </c>
      <c r="Y181" s="25">
        <f t="shared" si="57"/>
        <v>0</v>
      </c>
      <c r="Z181" s="54">
        <f t="shared" si="62"/>
        <v>0</v>
      </c>
      <c r="AA181" s="54">
        <f t="shared" si="51"/>
        <v>0</v>
      </c>
      <c r="AB181" s="54">
        <f t="shared" si="51"/>
        <v>0</v>
      </c>
      <c r="AC181" s="54">
        <f t="shared" si="51"/>
        <v>0</v>
      </c>
      <c r="AD181" s="54">
        <f t="shared" si="51"/>
        <v>0</v>
      </c>
      <c r="AE181" s="54">
        <f t="shared" si="51"/>
        <v>0</v>
      </c>
      <c r="AF181" s="54">
        <f t="shared" si="51"/>
        <v>0</v>
      </c>
      <c r="AG181" s="54">
        <f t="shared" si="51"/>
        <v>0</v>
      </c>
      <c r="AH181" s="54">
        <f t="shared" si="51"/>
        <v>0</v>
      </c>
      <c r="AI181" s="54">
        <f t="shared" si="51"/>
        <v>0</v>
      </c>
      <c r="AJ181" s="54">
        <f t="shared" si="51"/>
        <v>0</v>
      </c>
      <c r="AK181" s="54">
        <f t="shared" ref="AK181" si="75">IF($E82+365&lt;$C$56,0,IF($E82&lt;$C$56,(($E82+365-$C$56)/365)*(($C82/$BN$157)+($D82/$BN$158)),IF($E82&gt;AK$166,0,IF($E82+365&lt;AK$166,($C82/$BN$157)+($D82/$BN$158),((AK$166-$E82)/365)*(($C82/$BN$157)+($D82/$BN$158))))))</f>
        <v>0</v>
      </c>
      <c r="AL181" s="24">
        <f t="shared" si="53"/>
        <v>0</v>
      </c>
      <c r="AM181" s="24">
        <f t="shared" si="54"/>
        <v>0</v>
      </c>
      <c r="AN181" s="55">
        <f t="shared" si="55"/>
        <v>0</v>
      </c>
      <c r="AO181" s="55">
        <f t="shared" si="56"/>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3"/>
        <v>0</v>
      </c>
      <c r="H182" s="12">
        <f t="shared" si="44"/>
        <v>0</v>
      </c>
      <c r="I182" s="12">
        <f t="shared" si="44"/>
        <v>0</v>
      </c>
      <c r="J182" s="12">
        <f t="shared" si="44"/>
        <v>0</v>
      </c>
      <c r="K182" s="12">
        <f t="shared" si="45"/>
        <v>0</v>
      </c>
      <c r="L182" s="12">
        <f t="shared" si="46"/>
        <v>0</v>
      </c>
      <c r="M182" s="12">
        <f t="shared" si="46"/>
        <v>0</v>
      </c>
      <c r="N182" s="12">
        <f t="shared" si="46"/>
        <v>0</v>
      </c>
      <c r="O182" s="12">
        <f t="shared" si="47"/>
        <v>0</v>
      </c>
      <c r="P182" s="12">
        <f t="shared" si="48"/>
        <v>0</v>
      </c>
      <c r="Q182" s="12">
        <f t="shared" si="48"/>
        <v>0</v>
      </c>
      <c r="T182" s="61"/>
      <c r="U182" s="61"/>
      <c r="V182" s="61"/>
      <c r="W182" s="53">
        <f t="shared" si="49"/>
        <v>0</v>
      </c>
      <c r="X182" s="54" t="e">
        <f t="shared" si="50"/>
        <v>#DIV/0!</v>
      </c>
      <c r="Y182" s="25">
        <f t="shared" si="57"/>
        <v>0</v>
      </c>
      <c r="Z182" s="54">
        <f t="shared" si="62"/>
        <v>0</v>
      </c>
      <c r="AA182" s="54">
        <f t="shared" si="51"/>
        <v>0</v>
      </c>
      <c r="AB182" s="54">
        <f t="shared" si="51"/>
        <v>0</v>
      </c>
      <c r="AC182" s="54">
        <f t="shared" si="51"/>
        <v>0</v>
      </c>
      <c r="AD182" s="54">
        <f t="shared" si="51"/>
        <v>0</v>
      </c>
      <c r="AE182" s="54">
        <f t="shared" si="51"/>
        <v>0</v>
      </c>
      <c r="AF182" s="54">
        <f t="shared" si="51"/>
        <v>0</v>
      </c>
      <c r="AG182" s="54">
        <f t="shared" si="51"/>
        <v>0</v>
      </c>
      <c r="AH182" s="54">
        <f t="shared" si="51"/>
        <v>0</v>
      </c>
      <c r="AI182" s="54">
        <f t="shared" si="51"/>
        <v>0</v>
      </c>
      <c r="AJ182" s="54">
        <f t="shared" si="51"/>
        <v>0</v>
      </c>
      <c r="AK182" s="54">
        <f t="shared" ref="AK182" si="76">IF($E83+365&lt;$C$56,0,IF($E83&lt;$C$56,(($E83+365-$C$56)/365)*(($C83/$BN$157)+($D83/$BN$158)),IF($E83&gt;AK$166,0,IF($E83+365&lt;AK$166,($C83/$BN$157)+($D83/$BN$158),((AK$166-$E83)/365)*(($C83/$BN$157)+($D83/$BN$158))))))</f>
        <v>0</v>
      </c>
      <c r="AL182" s="24">
        <f t="shared" si="53"/>
        <v>0</v>
      </c>
      <c r="AM182" s="24">
        <f t="shared" si="54"/>
        <v>0</v>
      </c>
      <c r="AN182" s="55">
        <f t="shared" si="55"/>
        <v>0</v>
      </c>
      <c r="AO182" s="55">
        <f t="shared" si="56"/>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3"/>
        <v>0</v>
      </c>
      <c r="H183" s="12">
        <f t="shared" si="44"/>
        <v>0</v>
      </c>
      <c r="I183" s="12">
        <f t="shared" si="44"/>
        <v>0</v>
      </c>
      <c r="J183" s="12">
        <f t="shared" si="44"/>
        <v>0</v>
      </c>
      <c r="K183" s="12">
        <f t="shared" si="45"/>
        <v>0</v>
      </c>
      <c r="L183" s="12">
        <f t="shared" si="46"/>
        <v>0</v>
      </c>
      <c r="M183" s="12">
        <f t="shared" si="46"/>
        <v>0</v>
      </c>
      <c r="N183" s="12">
        <f t="shared" si="46"/>
        <v>0</v>
      </c>
      <c r="O183" s="12">
        <f t="shared" si="47"/>
        <v>0</v>
      </c>
      <c r="P183" s="12">
        <f t="shared" si="48"/>
        <v>0</v>
      </c>
      <c r="Q183" s="12">
        <f t="shared" si="48"/>
        <v>0</v>
      </c>
      <c r="T183" s="61"/>
      <c r="U183" s="61"/>
      <c r="V183" s="61"/>
      <c r="W183" s="53">
        <f t="shared" si="49"/>
        <v>0</v>
      </c>
      <c r="X183" s="54" t="e">
        <f t="shared" si="50"/>
        <v>#DIV/0!</v>
      </c>
      <c r="Y183" s="25">
        <f t="shared" si="57"/>
        <v>0</v>
      </c>
      <c r="Z183" s="54">
        <f t="shared" si="62"/>
        <v>0</v>
      </c>
      <c r="AA183" s="54">
        <f t="shared" ref="AA183:AJ198" si="77">IF($E84+365&lt;$C$56,0,IF($E84&lt;$C$56,(($E84+365-$C$56)/365)*(($C84/$BN$157)+($D84/$BN$158)),IF($E84&gt;AA$166,0,IF($E84+365&lt;AA$166,($C84/$BN$157)+($D84/$BN$158),((AA$166-$E84)/365)*(($C84/$BN$157)+($D84/$BN$158))))))</f>
        <v>0</v>
      </c>
      <c r="AB183" s="54">
        <f t="shared" si="77"/>
        <v>0</v>
      </c>
      <c r="AC183" s="54">
        <f t="shared" si="77"/>
        <v>0</v>
      </c>
      <c r="AD183" s="54">
        <f t="shared" si="77"/>
        <v>0</v>
      </c>
      <c r="AE183" s="54">
        <f t="shared" si="77"/>
        <v>0</v>
      </c>
      <c r="AF183" s="54">
        <f t="shared" si="77"/>
        <v>0</v>
      </c>
      <c r="AG183" s="54">
        <f t="shared" si="77"/>
        <v>0</v>
      </c>
      <c r="AH183" s="54">
        <f t="shared" si="77"/>
        <v>0</v>
      </c>
      <c r="AI183" s="54">
        <f t="shared" si="77"/>
        <v>0</v>
      </c>
      <c r="AJ183" s="54">
        <f t="shared" si="77"/>
        <v>0</v>
      </c>
      <c r="AK183" s="54">
        <f t="shared" ref="AK183" si="78">IF($E84+365&lt;$C$56,0,IF($E84&lt;$C$56,(($E84+365-$C$56)/365)*(($C84/$BN$157)+($D84/$BN$158)),IF($E84&gt;AK$166,0,IF($E84+365&lt;AK$166,($C84/$BN$157)+($D84/$BN$158),((AK$166-$E84)/365)*(($C84/$BN$157)+($D84/$BN$158))))))</f>
        <v>0</v>
      </c>
      <c r="AL183" s="24">
        <f t="shared" si="53"/>
        <v>0</v>
      </c>
      <c r="AM183" s="24">
        <f t="shared" si="54"/>
        <v>0</v>
      </c>
      <c r="AN183" s="55">
        <f t="shared" si="55"/>
        <v>0</v>
      </c>
      <c r="AO183" s="55">
        <f t="shared" si="56"/>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3"/>
        <v>0</v>
      </c>
      <c r="H184" s="12">
        <f t="shared" si="44"/>
        <v>0</v>
      </c>
      <c r="I184" s="12">
        <f t="shared" si="44"/>
        <v>0</v>
      </c>
      <c r="J184" s="12">
        <f t="shared" si="44"/>
        <v>0</v>
      </c>
      <c r="K184" s="12">
        <f t="shared" si="45"/>
        <v>0</v>
      </c>
      <c r="L184" s="12">
        <f t="shared" si="46"/>
        <v>0</v>
      </c>
      <c r="M184" s="12">
        <f t="shared" si="46"/>
        <v>0</v>
      </c>
      <c r="N184" s="12">
        <f t="shared" si="46"/>
        <v>0</v>
      </c>
      <c r="O184" s="12">
        <f t="shared" si="47"/>
        <v>0</v>
      </c>
      <c r="P184" s="12">
        <f t="shared" si="48"/>
        <v>0</v>
      </c>
      <c r="Q184" s="12">
        <f t="shared" si="48"/>
        <v>0</v>
      </c>
      <c r="T184" s="61"/>
      <c r="U184" s="61"/>
      <c r="V184" s="61"/>
      <c r="W184" s="53">
        <f t="shared" si="49"/>
        <v>0</v>
      </c>
      <c r="X184" s="54" t="e">
        <f t="shared" si="50"/>
        <v>#DIV/0!</v>
      </c>
      <c r="Y184" s="25">
        <f t="shared" si="57"/>
        <v>0</v>
      </c>
      <c r="Z184" s="54">
        <f t="shared" si="62"/>
        <v>0</v>
      </c>
      <c r="AA184" s="54">
        <f t="shared" si="77"/>
        <v>0</v>
      </c>
      <c r="AB184" s="54">
        <f t="shared" si="77"/>
        <v>0</v>
      </c>
      <c r="AC184" s="54">
        <f t="shared" si="77"/>
        <v>0</v>
      </c>
      <c r="AD184" s="54">
        <f t="shared" si="77"/>
        <v>0</v>
      </c>
      <c r="AE184" s="54">
        <f t="shared" si="77"/>
        <v>0</v>
      </c>
      <c r="AF184" s="54">
        <f t="shared" si="77"/>
        <v>0</v>
      </c>
      <c r="AG184" s="54">
        <f t="shared" si="77"/>
        <v>0</v>
      </c>
      <c r="AH184" s="54">
        <f t="shared" si="77"/>
        <v>0</v>
      </c>
      <c r="AI184" s="54">
        <f t="shared" si="77"/>
        <v>0</v>
      </c>
      <c r="AJ184" s="54">
        <f t="shared" si="77"/>
        <v>0</v>
      </c>
      <c r="AK184" s="54">
        <f t="shared" ref="AK184" si="79">IF($E85+365&lt;$C$56,0,IF($E85&lt;$C$56,(($E85+365-$C$56)/365)*(($C85/$BN$157)+($D85/$BN$158)),IF($E85&gt;AK$166,0,IF($E85+365&lt;AK$166,($C85/$BN$157)+($D85/$BN$158),((AK$166-$E85)/365)*(($C85/$BN$157)+($D85/$BN$158))))))</f>
        <v>0</v>
      </c>
      <c r="AL184" s="24">
        <f t="shared" si="53"/>
        <v>0</v>
      </c>
      <c r="AM184" s="24">
        <f t="shared" si="54"/>
        <v>0</v>
      </c>
      <c r="AN184" s="55">
        <f t="shared" si="55"/>
        <v>0</v>
      </c>
      <c r="AO184" s="55">
        <f t="shared" si="56"/>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3"/>
        <v>0</v>
      </c>
      <c r="H185" s="12">
        <f t="shared" si="44"/>
        <v>0</v>
      </c>
      <c r="I185" s="12">
        <f t="shared" si="44"/>
        <v>0</v>
      </c>
      <c r="J185" s="12">
        <f t="shared" si="44"/>
        <v>0</v>
      </c>
      <c r="K185" s="12">
        <f t="shared" si="45"/>
        <v>0</v>
      </c>
      <c r="L185" s="12">
        <f t="shared" si="46"/>
        <v>0</v>
      </c>
      <c r="M185" s="12">
        <f t="shared" si="46"/>
        <v>0</v>
      </c>
      <c r="N185" s="12">
        <f t="shared" si="46"/>
        <v>0</v>
      </c>
      <c r="O185" s="12">
        <f t="shared" si="47"/>
        <v>0</v>
      </c>
      <c r="P185" s="12">
        <f t="shared" si="48"/>
        <v>0</v>
      </c>
      <c r="Q185" s="12">
        <f t="shared" si="48"/>
        <v>0</v>
      </c>
      <c r="T185" s="61"/>
      <c r="U185" s="61"/>
      <c r="V185" s="61"/>
      <c r="W185" s="53">
        <f t="shared" si="49"/>
        <v>0</v>
      </c>
      <c r="X185" s="54" t="e">
        <f t="shared" si="50"/>
        <v>#DIV/0!</v>
      </c>
      <c r="Y185" s="25">
        <f t="shared" si="57"/>
        <v>0</v>
      </c>
      <c r="Z185" s="54">
        <f t="shared" si="62"/>
        <v>0</v>
      </c>
      <c r="AA185" s="54">
        <f t="shared" si="77"/>
        <v>0</v>
      </c>
      <c r="AB185" s="54">
        <f t="shared" si="77"/>
        <v>0</v>
      </c>
      <c r="AC185" s="54">
        <f t="shared" si="77"/>
        <v>0</v>
      </c>
      <c r="AD185" s="54">
        <f t="shared" si="77"/>
        <v>0</v>
      </c>
      <c r="AE185" s="54">
        <f t="shared" si="77"/>
        <v>0</v>
      </c>
      <c r="AF185" s="54">
        <f t="shared" si="77"/>
        <v>0</v>
      </c>
      <c r="AG185" s="54">
        <f t="shared" si="77"/>
        <v>0</v>
      </c>
      <c r="AH185" s="54">
        <f t="shared" si="77"/>
        <v>0</v>
      </c>
      <c r="AI185" s="54">
        <f t="shared" si="77"/>
        <v>0</v>
      </c>
      <c r="AJ185" s="54">
        <f t="shared" si="77"/>
        <v>0</v>
      </c>
      <c r="AK185" s="54">
        <f t="shared" ref="AK185" si="80">IF($E86+365&lt;$C$56,0,IF($E86&lt;$C$56,(($E86+365-$C$56)/365)*(($C86/$BN$157)+($D86/$BN$158)),IF($E86&gt;AK$166,0,IF($E86+365&lt;AK$166,($C86/$BN$157)+($D86/$BN$158),((AK$166-$E86)/365)*(($C86/$BN$157)+($D86/$BN$158))))))</f>
        <v>0</v>
      </c>
      <c r="AL185" s="24">
        <f t="shared" si="53"/>
        <v>0</v>
      </c>
      <c r="AM185" s="24">
        <f t="shared" si="54"/>
        <v>0</v>
      </c>
      <c r="AN185" s="55">
        <f t="shared" si="55"/>
        <v>0</v>
      </c>
      <c r="AO185" s="55">
        <f t="shared" si="56"/>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3"/>
        <v>0</v>
      </c>
      <c r="H186" s="12">
        <f t="shared" si="44"/>
        <v>0</v>
      </c>
      <c r="I186" s="12">
        <f t="shared" si="44"/>
        <v>0</v>
      </c>
      <c r="J186" s="12">
        <f t="shared" si="44"/>
        <v>0</v>
      </c>
      <c r="K186" s="12">
        <f t="shared" si="45"/>
        <v>0</v>
      </c>
      <c r="L186" s="12">
        <f t="shared" si="46"/>
        <v>0</v>
      </c>
      <c r="M186" s="12">
        <f t="shared" si="46"/>
        <v>0</v>
      </c>
      <c r="N186" s="12">
        <f t="shared" si="46"/>
        <v>0</v>
      </c>
      <c r="O186" s="12">
        <f t="shared" si="47"/>
        <v>0</v>
      </c>
      <c r="P186" s="12">
        <f t="shared" si="48"/>
        <v>0</v>
      </c>
      <c r="Q186" s="12">
        <f t="shared" si="48"/>
        <v>0</v>
      </c>
      <c r="T186" s="61"/>
      <c r="U186" s="61"/>
      <c r="V186" s="61"/>
      <c r="W186" s="53">
        <f t="shared" si="49"/>
        <v>0</v>
      </c>
      <c r="X186" s="54" t="e">
        <f t="shared" si="50"/>
        <v>#DIV/0!</v>
      </c>
      <c r="Y186" s="25">
        <f t="shared" si="57"/>
        <v>0</v>
      </c>
      <c r="Z186" s="54">
        <f t="shared" si="62"/>
        <v>0</v>
      </c>
      <c r="AA186" s="54">
        <f t="shared" si="77"/>
        <v>0</v>
      </c>
      <c r="AB186" s="54">
        <f t="shared" si="77"/>
        <v>0</v>
      </c>
      <c r="AC186" s="54">
        <f t="shared" si="77"/>
        <v>0</v>
      </c>
      <c r="AD186" s="54">
        <f t="shared" si="77"/>
        <v>0</v>
      </c>
      <c r="AE186" s="54">
        <f t="shared" si="77"/>
        <v>0</v>
      </c>
      <c r="AF186" s="54">
        <f t="shared" si="77"/>
        <v>0</v>
      </c>
      <c r="AG186" s="54">
        <f t="shared" si="77"/>
        <v>0</v>
      </c>
      <c r="AH186" s="54">
        <f t="shared" si="77"/>
        <v>0</v>
      </c>
      <c r="AI186" s="54">
        <f t="shared" si="77"/>
        <v>0</v>
      </c>
      <c r="AJ186" s="54">
        <f t="shared" si="77"/>
        <v>0</v>
      </c>
      <c r="AK186" s="54">
        <f t="shared" ref="AK186" si="81">IF($E87+365&lt;$C$56,0,IF($E87&lt;$C$56,(($E87+365-$C$56)/365)*(($C87/$BN$157)+($D87/$BN$158)),IF($E87&gt;AK$166,0,IF($E87+365&lt;AK$166,($C87/$BN$157)+($D87/$BN$158),((AK$166-$E87)/365)*(($C87/$BN$157)+($D87/$BN$158))))))</f>
        <v>0</v>
      </c>
      <c r="AL186" s="24">
        <f t="shared" si="53"/>
        <v>0</v>
      </c>
      <c r="AM186" s="24">
        <f t="shared" si="54"/>
        <v>0</v>
      </c>
      <c r="AN186" s="55">
        <f t="shared" si="55"/>
        <v>0</v>
      </c>
      <c r="AO186" s="55">
        <f t="shared" si="56"/>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3"/>
        <v>0</v>
      </c>
      <c r="H187" s="12">
        <f t="shared" ref="H187:J206" si="82">IF($E89&gt;H$66,0,IF($E89&lt;H$66-365,$C89,0))</f>
        <v>0</v>
      </c>
      <c r="I187" s="12">
        <f t="shared" si="82"/>
        <v>0</v>
      </c>
      <c r="J187" s="12">
        <f t="shared" si="82"/>
        <v>0</v>
      </c>
      <c r="K187" s="12">
        <f t="shared" si="45"/>
        <v>0</v>
      </c>
      <c r="L187" s="12">
        <f t="shared" ref="L187:N206" si="83">IF($E89&gt;L$66,0,IF($E89&lt;L$66-365,$C89,0))</f>
        <v>0</v>
      </c>
      <c r="M187" s="12">
        <f t="shared" si="83"/>
        <v>0</v>
      </c>
      <c r="N187" s="12">
        <f t="shared" si="83"/>
        <v>0</v>
      </c>
      <c r="O187" s="12">
        <f t="shared" si="47"/>
        <v>0</v>
      </c>
      <c r="P187" s="12">
        <f t="shared" ref="P187:Q206" si="84">IF($E89&gt;P$66,0,IF($E89&lt;P$66-365,$C89,0))</f>
        <v>0</v>
      </c>
      <c r="Q187" s="12">
        <f t="shared" si="84"/>
        <v>0</v>
      </c>
      <c r="T187" s="61"/>
      <c r="U187" s="61"/>
      <c r="V187" s="61"/>
      <c r="W187" s="53">
        <f t="shared" si="49"/>
        <v>0</v>
      </c>
      <c r="X187" s="54" t="e">
        <f t="shared" si="50"/>
        <v>#DIV/0!</v>
      </c>
      <c r="Y187" s="25">
        <f t="shared" si="57"/>
        <v>0</v>
      </c>
      <c r="Z187" s="54">
        <f t="shared" si="62"/>
        <v>0</v>
      </c>
      <c r="AA187" s="54">
        <f t="shared" si="77"/>
        <v>0</v>
      </c>
      <c r="AB187" s="54">
        <f t="shared" si="77"/>
        <v>0</v>
      </c>
      <c r="AC187" s="54">
        <f t="shared" si="77"/>
        <v>0</v>
      </c>
      <c r="AD187" s="54">
        <f t="shared" si="77"/>
        <v>0</v>
      </c>
      <c r="AE187" s="54">
        <f t="shared" si="77"/>
        <v>0</v>
      </c>
      <c r="AF187" s="54">
        <f t="shared" si="77"/>
        <v>0</v>
      </c>
      <c r="AG187" s="54">
        <f t="shared" si="77"/>
        <v>0</v>
      </c>
      <c r="AH187" s="54">
        <f t="shared" si="77"/>
        <v>0</v>
      </c>
      <c r="AI187" s="54">
        <f t="shared" si="77"/>
        <v>0</v>
      </c>
      <c r="AJ187" s="54">
        <f t="shared" si="77"/>
        <v>0</v>
      </c>
      <c r="AK187" s="54">
        <f t="shared" ref="AK187" si="85">IF($E88+365&lt;$C$56,0,IF($E88&lt;$C$56,(($E88+365-$C$56)/365)*(($C88/$BN$157)+($D88/$BN$158)),IF($E88&gt;AK$166,0,IF($E88+365&lt;AK$166,($C88/$BN$157)+($D88/$BN$158),((AK$166-$E88)/365)*(($C88/$BN$157)+($D88/$BN$158))))))</f>
        <v>0</v>
      </c>
      <c r="AL187" s="24">
        <f t="shared" si="53"/>
        <v>0</v>
      </c>
      <c r="AM187" s="24">
        <f t="shared" si="54"/>
        <v>0</v>
      </c>
      <c r="AN187" s="55">
        <f t="shared" si="55"/>
        <v>0</v>
      </c>
      <c r="AO187" s="55">
        <f t="shared" si="56"/>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3"/>
        <v>0</v>
      </c>
      <c r="H188" s="12">
        <f t="shared" si="82"/>
        <v>0</v>
      </c>
      <c r="I188" s="12">
        <f t="shared" si="82"/>
        <v>0</v>
      </c>
      <c r="J188" s="12">
        <f t="shared" si="82"/>
        <v>0</v>
      </c>
      <c r="K188" s="12">
        <f t="shared" si="45"/>
        <v>0</v>
      </c>
      <c r="L188" s="12">
        <f t="shared" si="83"/>
        <v>0</v>
      </c>
      <c r="M188" s="12">
        <f t="shared" si="83"/>
        <v>0</v>
      </c>
      <c r="N188" s="12">
        <f t="shared" si="83"/>
        <v>0</v>
      </c>
      <c r="O188" s="12">
        <f t="shared" si="47"/>
        <v>0</v>
      </c>
      <c r="P188" s="12">
        <f t="shared" si="84"/>
        <v>0</v>
      </c>
      <c r="Q188" s="12">
        <f t="shared" si="84"/>
        <v>0</v>
      </c>
      <c r="T188" s="61"/>
      <c r="U188" s="61"/>
      <c r="V188" s="61"/>
      <c r="W188" s="53">
        <f t="shared" si="49"/>
        <v>0</v>
      </c>
      <c r="X188" s="54" t="e">
        <f t="shared" si="50"/>
        <v>#DIV/0!</v>
      </c>
      <c r="Y188" s="25">
        <f t="shared" si="57"/>
        <v>0</v>
      </c>
      <c r="Z188" s="54">
        <f t="shared" si="62"/>
        <v>0</v>
      </c>
      <c r="AA188" s="54">
        <f t="shared" si="77"/>
        <v>0</v>
      </c>
      <c r="AB188" s="54">
        <f t="shared" si="77"/>
        <v>0</v>
      </c>
      <c r="AC188" s="54">
        <f t="shared" si="77"/>
        <v>0</v>
      </c>
      <c r="AD188" s="54">
        <f t="shared" si="77"/>
        <v>0</v>
      </c>
      <c r="AE188" s="54">
        <f t="shared" si="77"/>
        <v>0</v>
      </c>
      <c r="AF188" s="54">
        <f t="shared" si="77"/>
        <v>0</v>
      </c>
      <c r="AG188" s="54">
        <f t="shared" si="77"/>
        <v>0</v>
      </c>
      <c r="AH188" s="54">
        <f t="shared" si="77"/>
        <v>0</v>
      </c>
      <c r="AI188" s="54">
        <f t="shared" si="77"/>
        <v>0</v>
      </c>
      <c r="AJ188" s="54">
        <f t="shared" si="77"/>
        <v>0</v>
      </c>
      <c r="AK188" s="54">
        <f t="shared" ref="AK188" si="86">IF($E89+365&lt;$C$56,0,IF($E89&lt;$C$56,(($E89+365-$C$56)/365)*(($C89/$BN$157)+($D89/$BN$158)),IF($E89&gt;AK$166,0,IF($E89+365&lt;AK$166,($C89/$BN$157)+($D89/$BN$158),((AK$166-$E89)/365)*(($C89/$BN$157)+($D89/$BN$158))))))</f>
        <v>0</v>
      </c>
      <c r="AL188" s="24">
        <f t="shared" si="53"/>
        <v>0</v>
      </c>
      <c r="AM188" s="24">
        <f t="shared" si="54"/>
        <v>0</v>
      </c>
      <c r="AN188" s="55">
        <f t="shared" si="55"/>
        <v>0</v>
      </c>
      <c r="AO188" s="55">
        <f t="shared" si="56"/>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3"/>
        <v>0</v>
      </c>
      <c r="H189" s="12">
        <f t="shared" si="82"/>
        <v>0</v>
      </c>
      <c r="I189" s="12">
        <f t="shared" si="82"/>
        <v>0</v>
      </c>
      <c r="J189" s="12">
        <f t="shared" si="82"/>
        <v>0</v>
      </c>
      <c r="K189" s="12">
        <f t="shared" si="45"/>
        <v>0</v>
      </c>
      <c r="L189" s="12">
        <f t="shared" si="83"/>
        <v>0</v>
      </c>
      <c r="M189" s="12">
        <f t="shared" si="83"/>
        <v>0</v>
      </c>
      <c r="N189" s="12">
        <f t="shared" si="83"/>
        <v>0</v>
      </c>
      <c r="O189" s="12">
        <f t="shared" si="47"/>
        <v>0</v>
      </c>
      <c r="P189" s="12">
        <f t="shared" si="84"/>
        <v>0</v>
      </c>
      <c r="Q189" s="12">
        <f t="shared" si="84"/>
        <v>0</v>
      </c>
      <c r="T189" s="61"/>
      <c r="U189" s="61"/>
      <c r="V189" s="61"/>
      <c r="W189" s="53">
        <f t="shared" si="49"/>
        <v>0</v>
      </c>
      <c r="X189" s="54" t="e">
        <f t="shared" si="50"/>
        <v>#DIV/0!</v>
      </c>
      <c r="Y189" s="25">
        <f t="shared" si="57"/>
        <v>0</v>
      </c>
      <c r="Z189" s="54">
        <f t="shared" si="62"/>
        <v>0</v>
      </c>
      <c r="AA189" s="54">
        <f t="shared" si="77"/>
        <v>0</v>
      </c>
      <c r="AB189" s="54">
        <f t="shared" si="77"/>
        <v>0</v>
      </c>
      <c r="AC189" s="54">
        <f t="shared" si="77"/>
        <v>0</v>
      </c>
      <c r="AD189" s="54">
        <f t="shared" si="77"/>
        <v>0</v>
      </c>
      <c r="AE189" s="54">
        <f t="shared" si="77"/>
        <v>0</v>
      </c>
      <c r="AF189" s="54">
        <f t="shared" si="77"/>
        <v>0</v>
      </c>
      <c r="AG189" s="54">
        <f t="shared" si="77"/>
        <v>0</v>
      </c>
      <c r="AH189" s="54">
        <f t="shared" si="77"/>
        <v>0</v>
      </c>
      <c r="AI189" s="54">
        <f t="shared" si="77"/>
        <v>0</v>
      </c>
      <c r="AJ189" s="54">
        <f t="shared" si="77"/>
        <v>0</v>
      </c>
      <c r="AK189" s="54">
        <f t="shared" ref="AK189" si="87">IF($E90+365&lt;$C$56,0,IF($E90&lt;$C$56,(($E90+365-$C$56)/365)*(($C90/$BN$157)+($D90/$BN$158)),IF($E90&gt;AK$166,0,IF($E90+365&lt;AK$166,($C90/$BN$157)+($D90/$BN$158),((AK$166-$E90)/365)*(($C90/$BN$157)+($D90/$BN$158))))))</f>
        <v>0</v>
      </c>
      <c r="AL189" s="24">
        <f t="shared" si="53"/>
        <v>0</v>
      </c>
      <c r="AM189" s="24">
        <f t="shared" si="54"/>
        <v>0</v>
      </c>
      <c r="AN189" s="55">
        <f t="shared" si="55"/>
        <v>0</v>
      </c>
      <c r="AO189" s="55">
        <f t="shared" si="56"/>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3"/>
        <v>0</v>
      </c>
      <c r="H190" s="12">
        <f t="shared" si="82"/>
        <v>0</v>
      </c>
      <c r="I190" s="12">
        <f t="shared" si="82"/>
        <v>0</v>
      </c>
      <c r="J190" s="12">
        <f t="shared" si="82"/>
        <v>0</v>
      </c>
      <c r="K190" s="12">
        <f t="shared" si="45"/>
        <v>0</v>
      </c>
      <c r="L190" s="12">
        <f t="shared" si="83"/>
        <v>0</v>
      </c>
      <c r="M190" s="12">
        <f t="shared" si="83"/>
        <v>0</v>
      </c>
      <c r="N190" s="12">
        <f t="shared" si="83"/>
        <v>0</v>
      </c>
      <c r="O190" s="12">
        <f t="shared" si="47"/>
        <v>0</v>
      </c>
      <c r="P190" s="12">
        <f t="shared" si="84"/>
        <v>0</v>
      </c>
      <c r="Q190" s="12">
        <f t="shared" si="84"/>
        <v>0</v>
      </c>
      <c r="T190" s="61"/>
      <c r="U190" s="61"/>
      <c r="V190" s="61"/>
      <c r="W190" s="53">
        <f t="shared" si="49"/>
        <v>0</v>
      </c>
      <c r="X190" s="54" t="e">
        <f t="shared" si="50"/>
        <v>#DIV/0!</v>
      </c>
      <c r="Y190" s="25">
        <f t="shared" si="57"/>
        <v>0</v>
      </c>
      <c r="Z190" s="54">
        <f t="shared" si="62"/>
        <v>0</v>
      </c>
      <c r="AA190" s="54">
        <f t="shared" si="77"/>
        <v>0</v>
      </c>
      <c r="AB190" s="54">
        <f t="shared" si="77"/>
        <v>0</v>
      </c>
      <c r="AC190" s="54">
        <f t="shared" si="77"/>
        <v>0</v>
      </c>
      <c r="AD190" s="54">
        <f t="shared" si="77"/>
        <v>0</v>
      </c>
      <c r="AE190" s="54">
        <f t="shared" si="77"/>
        <v>0</v>
      </c>
      <c r="AF190" s="54">
        <f t="shared" si="77"/>
        <v>0</v>
      </c>
      <c r="AG190" s="54">
        <f t="shared" si="77"/>
        <v>0</v>
      </c>
      <c r="AH190" s="54">
        <f t="shared" si="77"/>
        <v>0</v>
      </c>
      <c r="AI190" s="54">
        <f t="shared" si="77"/>
        <v>0</v>
      </c>
      <c r="AJ190" s="54">
        <f t="shared" si="77"/>
        <v>0</v>
      </c>
      <c r="AK190" s="54">
        <f t="shared" ref="AK190" si="88">IF($E91+365&lt;$C$56,0,IF($E91&lt;$C$56,(($E91+365-$C$56)/365)*(($C91/$BN$157)+($D91/$BN$158)),IF($E91&gt;AK$166,0,IF($E91+365&lt;AK$166,($C91/$BN$157)+($D91/$BN$158),((AK$166-$E91)/365)*(($C91/$BN$157)+($D91/$BN$158))))))</f>
        <v>0</v>
      </c>
      <c r="AL190" s="24">
        <f t="shared" si="53"/>
        <v>0</v>
      </c>
      <c r="AM190" s="24">
        <f t="shared" si="54"/>
        <v>0</v>
      </c>
      <c r="AN190" s="55">
        <f t="shared" si="55"/>
        <v>0</v>
      </c>
      <c r="AO190" s="55">
        <f t="shared" si="56"/>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3"/>
        <v>0</v>
      </c>
      <c r="H191" s="12">
        <f t="shared" si="82"/>
        <v>0</v>
      </c>
      <c r="I191" s="12">
        <f t="shared" si="82"/>
        <v>0</v>
      </c>
      <c r="J191" s="12">
        <f t="shared" si="82"/>
        <v>0</v>
      </c>
      <c r="K191" s="12">
        <f t="shared" si="45"/>
        <v>0</v>
      </c>
      <c r="L191" s="12">
        <f t="shared" si="83"/>
        <v>0</v>
      </c>
      <c r="M191" s="12">
        <f t="shared" si="83"/>
        <v>0</v>
      </c>
      <c r="N191" s="12">
        <f t="shared" si="83"/>
        <v>0</v>
      </c>
      <c r="O191" s="12">
        <f t="shared" si="47"/>
        <v>0</v>
      </c>
      <c r="P191" s="12">
        <f t="shared" si="84"/>
        <v>0</v>
      </c>
      <c r="Q191" s="12">
        <f t="shared" si="84"/>
        <v>0</v>
      </c>
      <c r="T191" s="61"/>
      <c r="U191" s="61"/>
      <c r="V191" s="61"/>
      <c r="W191" s="53">
        <f t="shared" si="49"/>
        <v>0</v>
      </c>
      <c r="X191" s="54" t="e">
        <f t="shared" si="50"/>
        <v>#DIV/0!</v>
      </c>
      <c r="Y191" s="25">
        <f t="shared" si="57"/>
        <v>0</v>
      </c>
      <c r="Z191" s="54">
        <f t="shared" si="62"/>
        <v>0</v>
      </c>
      <c r="AA191" s="54">
        <f t="shared" si="77"/>
        <v>0</v>
      </c>
      <c r="AB191" s="54">
        <f t="shared" si="77"/>
        <v>0</v>
      </c>
      <c r="AC191" s="54">
        <f t="shared" si="77"/>
        <v>0</v>
      </c>
      <c r="AD191" s="54">
        <f t="shared" si="77"/>
        <v>0</v>
      </c>
      <c r="AE191" s="54">
        <f t="shared" si="77"/>
        <v>0</v>
      </c>
      <c r="AF191" s="54">
        <f t="shared" si="77"/>
        <v>0</v>
      </c>
      <c r="AG191" s="54">
        <f t="shared" si="77"/>
        <v>0</v>
      </c>
      <c r="AH191" s="54">
        <f t="shared" si="77"/>
        <v>0</v>
      </c>
      <c r="AI191" s="54">
        <f t="shared" si="77"/>
        <v>0</v>
      </c>
      <c r="AJ191" s="54">
        <f t="shared" si="77"/>
        <v>0</v>
      </c>
      <c r="AK191" s="54">
        <f t="shared" ref="AK191" si="89">IF($E92+365&lt;$C$56,0,IF($E92&lt;$C$56,(($E92+365-$C$56)/365)*(($C92/$BN$157)+($D92/$BN$158)),IF($E92&gt;AK$166,0,IF($E92+365&lt;AK$166,($C92/$BN$157)+($D92/$BN$158),((AK$166-$E92)/365)*(($C92/$BN$157)+($D92/$BN$158))))))</f>
        <v>0</v>
      </c>
      <c r="AL191" s="24">
        <f t="shared" si="53"/>
        <v>0</v>
      </c>
      <c r="AM191" s="24">
        <f t="shared" si="54"/>
        <v>0</v>
      </c>
      <c r="AN191" s="55">
        <f t="shared" si="55"/>
        <v>0</v>
      </c>
      <c r="AO191" s="55">
        <f t="shared" si="56"/>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3"/>
        <v>0</v>
      </c>
      <c r="H192" s="12">
        <f t="shared" si="82"/>
        <v>0</v>
      </c>
      <c r="I192" s="12">
        <f t="shared" si="82"/>
        <v>0</v>
      </c>
      <c r="J192" s="12">
        <f t="shared" si="82"/>
        <v>0</v>
      </c>
      <c r="K192" s="12">
        <f t="shared" si="45"/>
        <v>0</v>
      </c>
      <c r="L192" s="12">
        <f t="shared" si="83"/>
        <v>0</v>
      </c>
      <c r="M192" s="12">
        <f t="shared" si="83"/>
        <v>0</v>
      </c>
      <c r="N192" s="12">
        <f t="shared" si="83"/>
        <v>0</v>
      </c>
      <c r="O192" s="12">
        <f t="shared" si="47"/>
        <v>0</v>
      </c>
      <c r="P192" s="12">
        <f t="shared" si="84"/>
        <v>0</v>
      </c>
      <c r="Q192" s="12">
        <f t="shared" si="84"/>
        <v>0</v>
      </c>
      <c r="T192" s="61"/>
      <c r="U192" s="61"/>
      <c r="V192" s="61"/>
      <c r="W192" s="53">
        <f t="shared" si="49"/>
        <v>0</v>
      </c>
      <c r="X192" s="54" t="e">
        <f t="shared" si="50"/>
        <v>#DIV/0!</v>
      </c>
      <c r="Y192" s="25">
        <f t="shared" si="57"/>
        <v>0</v>
      </c>
      <c r="Z192" s="54">
        <f t="shared" si="62"/>
        <v>0</v>
      </c>
      <c r="AA192" s="54">
        <f t="shared" si="77"/>
        <v>0</v>
      </c>
      <c r="AB192" s="54">
        <f t="shared" si="77"/>
        <v>0</v>
      </c>
      <c r="AC192" s="54">
        <f t="shared" si="77"/>
        <v>0</v>
      </c>
      <c r="AD192" s="54">
        <f t="shared" si="77"/>
        <v>0</v>
      </c>
      <c r="AE192" s="54">
        <f t="shared" si="77"/>
        <v>0</v>
      </c>
      <c r="AF192" s="54">
        <f t="shared" si="77"/>
        <v>0</v>
      </c>
      <c r="AG192" s="54">
        <f t="shared" si="77"/>
        <v>0</v>
      </c>
      <c r="AH192" s="54">
        <f t="shared" si="77"/>
        <v>0</v>
      </c>
      <c r="AI192" s="54">
        <f t="shared" si="77"/>
        <v>0</v>
      </c>
      <c r="AJ192" s="54">
        <f t="shared" si="77"/>
        <v>0</v>
      </c>
      <c r="AK192" s="54">
        <f t="shared" ref="AK192" si="90">IF($E93+365&lt;$C$56,0,IF($E93&lt;$C$56,(($E93+365-$C$56)/365)*(($C93/$BN$157)+($D93/$BN$158)),IF($E93&gt;AK$166,0,IF($E93+365&lt;AK$166,($C93/$BN$157)+($D93/$BN$158),((AK$166-$E93)/365)*(($C93/$BN$157)+($D93/$BN$158))))))</f>
        <v>0</v>
      </c>
      <c r="AL192" s="24">
        <f t="shared" si="53"/>
        <v>0</v>
      </c>
      <c r="AM192" s="24">
        <f t="shared" si="54"/>
        <v>0</v>
      </c>
      <c r="AN192" s="55">
        <f t="shared" si="55"/>
        <v>0</v>
      </c>
      <c r="AO192" s="55">
        <f t="shared" si="56"/>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3"/>
        <v>0</v>
      </c>
      <c r="H193" s="12">
        <f t="shared" si="82"/>
        <v>0</v>
      </c>
      <c r="I193" s="12">
        <f t="shared" si="82"/>
        <v>0</v>
      </c>
      <c r="J193" s="12">
        <f t="shared" si="82"/>
        <v>0</v>
      </c>
      <c r="K193" s="12">
        <f t="shared" si="45"/>
        <v>0</v>
      </c>
      <c r="L193" s="12">
        <f t="shared" si="83"/>
        <v>0</v>
      </c>
      <c r="M193" s="12">
        <f t="shared" si="83"/>
        <v>0</v>
      </c>
      <c r="N193" s="12">
        <f t="shared" si="83"/>
        <v>0</v>
      </c>
      <c r="O193" s="12">
        <f t="shared" si="47"/>
        <v>0</v>
      </c>
      <c r="P193" s="12">
        <f t="shared" si="84"/>
        <v>0</v>
      </c>
      <c r="Q193" s="12">
        <f t="shared" si="84"/>
        <v>0</v>
      </c>
      <c r="T193" s="61"/>
      <c r="U193" s="61"/>
      <c r="V193" s="61"/>
      <c r="W193" s="53">
        <f t="shared" si="49"/>
        <v>0</v>
      </c>
      <c r="X193" s="54" t="e">
        <f t="shared" si="50"/>
        <v>#DIV/0!</v>
      </c>
      <c r="Y193" s="25">
        <f t="shared" si="57"/>
        <v>0</v>
      </c>
      <c r="Z193" s="54">
        <f t="shared" si="62"/>
        <v>0</v>
      </c>
      <c r="AA193" s="54">
        <f t="shared" si="77"/>
        <v>0</v>
      </c>
      <c r="AB193" s="54">
        <f t="shared" si="77"/>
        <v>0</v>
      </c>
      <c r="AC193" s="54">
        <f t="shared" si="77"/>
        <v>0</v>
      </c>
      <c r="AD193" s="54">
        <f t="shared" si="77"/>
        <v>0</v>
      </c>
      <c r="AE193" s="54">
        <f t="shared" si="77"/>
        <v>0</v>
      </c>
      <c r="AF193" s="54">
        <f t="shared" si="77"/>
        <v>0</v>
      </c>
      <c r="AG193" s="54">
        <f t="shared" si="77"/>
        <v>0</v>
      </c>
      <c r="AH193" s="54">
        <f t="shared" si="77"/>
        <v>0</v>
      </c>
      <c r="AI193" s="54">
        <f t="shared" si="77"/>
        <v>0</v>
      </c>
      <c r="AJ193" s="54">
        <f t="shared" si="77"/>
        <v>0</v>
      </c>
      <c r="AK193" s="54">
        <f t="shared" ref="AK193" si="91">IF($E94+365&lt;$C$56,0,IF($E94&lt;$C$56,(($E94+365-$C$56)/365)*(($C94/$BN$157)+($D94/$BN$158)),IF($E94&gt;AK$166,0,IF($E94+365&lt;AK$166,($C94/$BN$157)+($D94/$BN$158),((AK$166-$E94)/365)*(($C94/$BN$157)+($D94/$BN$158))))))</f>
        <v>0</v>
      </c>
      <c r="AL193" s="24">
        <f t="shared" si="53"/>
        <v>0</v>
      </c>
      <c r="AM193" s="24">
        <f t="shared" si="54"/>
        <v>0</v>
      </c>
      <c r="AN193" s="55">
        <f t="shared" si="55"/>
        <v>0</v>
      </c>
      <c r="AO193" s="55">
        <f t="shared" si="56"/>
        <v>0</v>
      </c>
      <c r="AP193" s="24"/>
      <c r="AQ193" s="24"/>
      <c r="AR193" s="24"/>
      <c r="AS193" s="24"/>
      <c r="AT193" s="24"/>
      <c r="AU193" s="24"/>
      <c r="AV193" s="24"/>
      <c r="AW193" s="24"/>
      <c r="AX193" s="24"/>
      <c r="AY193" s="24"/>
    </row>
    <row r="194" spans="7:51">
      <c r="G194" s="12">
        <f t="shared" si="43"/>
        <v>0</v>
      </c>
      <c r="H194" s="12">
        <f t="shared" si="82"/>
        <v>0</v>
      </c>
      <c r="I194" s="12">
        <f t="shared" si="82"/>
        <v>0</v>
      </c>
      <c r="J194" s="12">
        <f t="shared" si="82"/>
        <v>0</v>
      </c>
      <c r="K194" s="12">
        <f t="shared" si="45"/>
        <v>0</v>
      </c>
      <c r="L194" s="12">
        <f t="shared" si="83"/>
        <v>0</v>
      </c>
      <c r="M194" s="12">
        <f t="shared" si="83"/>
        <v>0</v>
      </c>
      <c r="N194" s="12">
        <f t="shared" si="83"/>
        <v>0</v>
      </c>
      <c r="O194" s="12">
        <f t="shared" si="47"/>
        <v>0</v>
      </c>
      <c r="P194" s="12">
        <f t="shared" si="84"/>
        <v>0</v>
      </c>
      <c r="Q194" s="12">
        <f t="shared" si="84"/>
        <v>0</v>
      </c>
      <c r="T194" s="61"/>
      <c r="U194" s="61"/>
      <c r="V194" s="61"/>
      <c r="W194" s="53">
        <f t="shared" si="49"/>
        <v>0</v>
      </c>
      <c r="X194" s="54" t="e">
        <f t="shared" si="50"/>
        <v>#DIV/0!</v>
      </c>
      <c r="Y194" s="25">
        <f t="shared" si="57"/>
        <v>0</v>
      </c>
      <c r="Z194" s="54">
        <f t="shared" si="62"/>
        <v>0</v>
      </c>
      <c r="AA194" s="54">
        <f t="shared" si="77"/>
        <v>0</v>
      </c>
      <c r="AB194" s="54">
        <f t="shared" si="77"/>
        <v>0</v>
      </c>
      <c r="AC194" s="54">
        <f t="shared" si="77"/>
        <v>0</v>
      </c>
      <c r="AD194" s="54">
        <f t="shared" si="77"/>
        <v>0</v>
      </c>
      <c r="AE194" s="54">
        <f t="shared" si="77"/>
        <v>0</v>
      </c>
      <c r="AF194" s="54">
        <f t="shared" si="77"/>
        <v>0</v>
      </c>
      <c r="AG194" s="54">
        <f t="shared" si="77"/>
        <v>0</v>
      </c>
      <c r="AH194" s="54">
        <f t="shared" si="77"/>
        <v>0</v>
      </c>
      <c r="AI194" s="54">
        <f t="shared" si="77"/>
        <v>0</v>
      </c>
      <c r="AJ194" s="54">
        <f t="shared" si="77"/>
        <v>0</v>
      </c>
      <c r="AK194" s="54">
        <f t="shared" ref="AK194" si="92">IF($E95+365&lt;$C$56,0,IF($E95&lt;$C$56,(($E95+365-$C$56)/365)*(($C95/$BN$157)+($D95/$BN$158)),IF($E95&gt;AK$166,0,IF($E95+365&lt;AK$166,($C95/$BN$157)+($D95/$BN$158),((AK$166-$E95)/365)*(($C95/$BN$157)+($D95/$BN$158))))))</f>
        <v>0</v>
      </c>
      <c r="AL194" s="24">
        <f t="shared" si="53"/>
        <v>0</v>
      </c>
      <c r="AM194" s="24">
        <f t="shared" si="54"/>
        <v>0</v>
      </c>
      <c r="AN194" s="55">
        <f t="shared" si="55"/>
        <v>0</v>
      </c>
      <c r="AO194" s="55">
        <f t="shared" si="56"/>
        <v>0</v>
      </c>
      <c r="AP194" s="24"/>
      <c r="AQ194" s="24"/>
      <c r="AR194" s="24"/>
      <c r="AS194" s="24"/>
      <c r="AT194" s="24"/>
      <c r="AU194" s="24"/>
      <c r="AV194" s="24"/>
      <c r="AW194" s="24"/>
      <c r="AX194" s="24"/>
      <c r="AY194" s="24"/>
    </row>
    <row r="195" spans="7:51">
      <c r="G195" s="12">
        <f t="shared" si="43"/>
        <v>0</v>
      </c>
      <c r="H195" s="12">
        <f t="shared" si="82"/>
        <v>0</v>
      </c>
      <c r="I195" s="12">
        <f t="shared" si="82"/>
        <v>0</v>
      </c>
      <c r="J195" s="12">
        <f t="shared" si="82"/>
        <v>0</v>
      </c>
      <c r="K195" s="12">
        <f t="shared" si="45"/>
        <v>0</v>
      </c>
      <c r="L195" s="12">
        <f t="shared" si="83"/>
        <v>0</v>
      </c>
      <c r="M195" s="12">
        <f t="shared" si="83"/>
        <v>0</v>
      </c>
      <c r="N195" s="12">
        <f t="shared" si="83"/>
        <v>0</v>
      </c>
      <c r="O195" s="12">
        <f t="shared" si="47"/>
        <v>0</v>
      </c>
      <c r="P195" s="12">
        <f t="shared" si="84"/>
        <v>0</v>
      </c>
      <c r="Q195" s="12">
        <f t="shared" si="84"/>
        <v>0</v>
      </c>
      <c r="T195" s="61"/>
      <c r="U195" s="61"/>
      <c r="V195" s="61"/>
      <c r="W195" s="53">
        <f t="shared" si="49"/>
        <v>0</v>
      </c>
      <c r="X195" s="54" t="e">
        <f t="shared" si="50"/>
        <v>#DIV/0!</v>
      </c>
      <c r="Y195" s="25">
        <f t="shared" si="57"/>
        <v>0</v>
      </c>
      <c r="Z195" s="54">
        <f t="shared" si="62"/>
        <v>0</v>
      </c>
      <c r="AA195" s="54">
        <f t="shared" si="77"/>
        <v>0</v>
      </c>
      <c r="AB195" s="54">
        <f t="shared" si="77"/>
        <v>0</v>
      </c>
      <c r="AC195" s="54">
        <f t="shared" si="77"/>
        <v>0</v>
      </c>
      <c r="AD195" s="54">
        <f t="shared" si="77"/>
        <v>0</v>
      </c>
      <c r="AE195" s="54">
        <f t="shared" si="77"/>
        <v>0</v>
      </c>
      <c r="AF195" s="54">
        <f t="shared" si="77"/>
        <v>0</v>
      </c>
      <c r="AG195" s="54">
        <f t="shared" si="77"/>
        <v>0</v>
      </c>
      <c r="AH195" s="54">
        <f t="shared" si="77"/>
        <v>0</v>
      </c>
      <c r="AI195" s="54">
        <f t="shared" si="77"/>
        <v>0</v>
      </c>
      <c r="AJ195" s="54">
        <f t="shared" si="77"/>
        <v>0</v>
      </c>
      <c r="AK195" s="54">
        <f t="shared" ref="AK195" si="93">IF($E96+365&lt;$C$56,0,IF($E96&lt;$C$56,(($E96+365-$C$56)/365)*(($C96/$BN$157)+($D96/$BN$158)),IF($E96&gt;AK$166,0,IF($E96+365&lt;AK$166,($C96/$BN$157)+($D96/$BN$158),((AK$166-$E96)/365)*(($C96/$BN$157)+($D96/$BN$158))))))</f>
        <v>0</v>
      </c>
      <c r="AL195" s="24">
        <f t="shared" si="53"/>
        <v>0</v>
      </c>
      <c r="AM195" s="24">
        <f t="shared" si="54"/>
        <v>0</v>
      </c>
      <c r="AN195" s="55">
        <f t="shared" si="55"/>
        <v>0</v>
      </c>
      <c r="AO195" s="55">
        <f t="shared" si="56"/>
        <v>0</v>
      </c>
      <c r="AP195" s="24"/>
      <c r="AQ195" s="24"/>
      <c r="AR195" s="24"/>
      <c r="AS195" s="24"/>
      <c r="AT195" s="24"/>
      <c r="AU195" s="24"/>
      <c r="AV195" s="24"/>
      <c r="AW195" s="24"/>
      <c r="AX195" s="24"/>
      <c r="AY195" s="24"/>
    </row>
    <row r="196" spans="7:51">
      <c r="G196" s="12">
        <f t="shared" si="43"/>
        <v>0</v>
      </c>
      <c r="H196" s="12">
        <f t="shared" si="82"/>
        <v>0</v>
      </c>
      <c r="I196" s="12">
        <f t="shared" si="82"/>
        <v>0</v>
      </c>
      <c r="J196" s="12">
        <f t="shared" si="82"/>
        <v>0</v>
      </c>
      <c r="K196" s="12">
        <f t="shared" si="45"/>
        <v>0</v>
      </c>
      <c r="L196" s="12">
        <f t="shared" si="83"/>
        <v>0</v>
      </c>
      <c r="M196" s="12">
        <f t="shared" si="83"/>
        <v>0</v>
      </c>
      <c r="N196" s="12">
        <f t="shared" si="83"/>
        <v>0</v>
      </c>
      <c r="O196" s="12">
        <f t="shared" si="47"/>
        <v>0</v>
      </c>
      <c r="P196" s="12">
        <f t="shared" si="84"/>
        <v>0</v>
      </c>
      <c r="Q196" s="12">
        <f t="shared" si="84"/>
        <v>0</v>
      </c>
      <c r="T196" s="61"/>
      <c r="U196" s="61"/>
      <c r="V196" s="61"/>
      <c r="W196" s="53">
        <f t="shared" si="49"/>
        <v>0</v>
      </c>
      <c r="X196" s="54" t="e">
        <f t="shared" si="50"/>
        <v>#DIV/0!</v>
      </c>
      <c r="Y196" s="25">
        <f t="shared" si="57"/>
        <v>0</v>
      </c>
      <c r="Z196" s="54">
        <f t="shared" si="62"/>
        <v>0</v>
      </c>
      <c r="AA196" s="54">
        <f t="shared" si="77"/>
        <v>0</v>
      </c>
      <c r="AB196" s="54">
        <f t="shared" si="77"/>
        <v>0</v>
      </c>
      <c r="AC196" s="54">
        <f t="shared" si="77"/>
        <v>0</v>
      </c>
      <c r="AD196" s="54">
        <f t="shared" si="77"/>
        <v>0</v>
      </c>
      <c r="AE196" s="54">
        <f t="shared" si="77"/>
        <v>0</v>
      </c>
      <c r="AF196" s="54">
        <f t="shared" si="77"/>
        <v>0</v>
      </c>
      <c r="AG196" s="54">
        <f t="shared" si="77"/>
        <v>0</v>
      </c>
      <c r="AH196" s="54">
        <f t="shared" si="77"/>
        <v>0</v>
      </c>
      <c r="AI196" s="54">
        <f t="shared" si="77"/>
        <v>0</v>
      </c>
      <c r="AJ196" s="54">
        <f t="shared" si="77"/>
        <v>0</v>
      </c>
      <c r="AK196" s="54">
        <f t="shared" ref="AK196" si="94">IF($E97+365&lt;$C$56,0,IF($E97&lt;$C$56,(($E97+365-$C$56)/365)*(($C97/$BN$157)+($D97/$BN$158)),IF($E97&gt;AK$166,0,IF($E97+365&lt;AK$166,($C97/$BN$157)+($D97/$BN$158),((AK$166-$E97)/365)*(($C97/$BN$157)+($D97/$BN$158))))))</f>
        <v>0</v>
      </c>
      <c r="AL196" s="24">
        <f t="shared" si="53"/>
        <v>0</v>
      </c>
      <c r="AM196" s="24">
        <f t="shared" si="54"/>
        <v>0</v>
      </c>
      <c r="AN196" s="55">
        <f t="shared" si="55"/>
        <v>0</v>
      </c>
      <c r="AO196" s="55">
        <f t="shared" si="56"/>
        <v>0</v>
      </c>
      <c r="AP196" s="24"/>
      <c r="AQ196" s="24"/>
      <c r="AR196" s="24"/>
      <c r="AS196" s="24"/>
      <c r="AT196" s="24"/>
      <c r="AU196" s="24"/>
      <c r="AV196" s="24"/>
      <c r="AW196" s="24"/>
      <c r="AX196" s="24"/>
      <c r="AY196" s="24"/>
    </row>
    <row r="197" spans="7:51">
      <c r="G197" s="12">
        <f t="shared" si="43"/>
        <v>0</v>
      </c>
      <c r="H197" s="12">
        <f t="shared" si="82"/>
        <v>0</v>
      </c>
      <c r="I197" s="12">
        <f t="shared" si="82"/>
        <v>0</v>
      </c>
      <c r="J197" s="12">
        <f t="shared" si="82"/>
        <v>0</v>
      </c>
      <c r="K197" s="12">
        <f t="shared" si="45"/>
        <v>0</v>
      </c>
      <c r="L197" s="12">
        <f t="shared" si="83"/>
        <v>0</v>
      </c>
      <c r="M197" s="12">
        <f t="shared" si="83"/>
        <v>0</v>
      </c>
      <c r="N197" s="12">
        <f t="shared" si="83"/>
        <v>0</v>
      </c>
      <c r="O197" s="12">
        <f t="shared" si="47"/>
        <v>0</v>
      </c>
      <c r="P197" s="12">
        <f t="shared" si="84"/>
        <v>0</v>
      </c>
      <c r="Q197" s="12">
        <f t="shared" si="84"/>
        <v>0</v>
      </c>
      <c r="T197" s="61"/>
      <c r="U197" s="61"/>
      <c r="V197" s="61"/>
      <c r="W197" s="53">
        <f t="shared" si="49"/>
        <v>0</v>
      </c>
      <c r="X197" s="54" t="e">
        <f t="shared" si="50"/>
        <v>#DIV/0!</v>
      </c>
      <c r="Y197" s="25">
        <f t="shared" si="57"/>
        <v>0</v>
      </c>
      <c r="Z197" s="54">
        <f t="shared" si="62"/>
        <v>0</v>
      </c>
      <c r="AA197" s="54">
        <f t="shared" si="77"/>
        <v>0</v>
      </c>
      <c r="AB197" s="54">
        <f t="shared" si="77"/>
        <v>0</v>
      </c>
      <c r="AC197" s="54">
        <f t="shared" si="77"/>
        <v>0</v>
      </c>
      <c r="AD197" s="54">
        <f t="shared" si="77"/>
        <v>0</v>
      </c>
      <c r="AE197" s="54">
        <f t="shared" si="77"/>
        <v>0</v>
      </c>
      <c r="AF197" s="54">
        <f t="shared" si="77"/>
        <v>0</v>
      </c>
      <c r="AG197" s="54">
        <f t="shared" si="77"/>
        <v>0</v>
      </c>
      <c r="AH197" s="54">
        <f t="shared" si="77"/>
        <v>0</v>
      </c>
      <c r="AI197" s="54">
        <f t="shared" si="77"/>
        <v>0</v>
      </c>
      <c r="AJ197" s="54">
        <f t="shared" si="77"/>
        <v>0</v>
      </c>
      <c r="AK197" s="54">
        <f t="shared" ref="AK197" si="95">IF($E98+365&lt;$C$56,0,IF($E98&lt;$C$56,(($E98+365-$C$56)/365)*(($C98/$BN$157)+($D98/$BN$158)),IF($E98&gt;AK$166,0,IF($E98+365&lt;AK$166,($C98/$BN$157)+($D98/$BN$158),((AK$166-$E98)/365)*(($C98/$BN$157)+($D98/$BN$158))))))</f>
        <v>0</v>
      </c>
      <c r="AL197" s="24">
        <f t="shared" si="53"/>
        <v>0</v>
      </c>
      <c r="AM197" s="24">
        <f t="shared" si="54"/>
        <v>0</v>
      </c>
      <c r="AN197" s="55">
        <f t="shared" si="55"/>
        <v>0</v>
      </c>
      <c r="AO197" s="55">
        <f t="shared" si="56"/>
        <v>0</v>
      </c>
      <c r="AP197" s="24"/>
      <c r="AQ197" s="24"/>
      <c r="AR197" s="24"/>
      <c r="AS197" s="24"/>
      <c r="AT197" s="24"/>
      <c r="AU197" s="24"/>
      <c r="AV197" s="24"/>
      <c r="AW197" s="24"/>
      <c r="AX197" s="24"/>
      <c r="AY197" s="24"/>
    </row>
    <row r="198" spans="7:51">
      <c r="G198" s="12">
        <f t="shared" si="43"/>
        <v>0</v>
      </c>
      <c r="H198" s="12">
        <f t="shared" si="82"/>
        <v>0</v>
      </c>
      <c r="I198" s="12">
        <f t="shared" si="82"/>
        <v>0</v>
      </c>
      <c r="J198" s="12">
        <f t="shared" si="82"/>
        <v>0</v>
      </c>
      <c r="K198" s="12">
        <f t="shared" si="45"/>
        <v>0</v>
      </c>
      <c r="L198" s="12">
        <f t="shared" si="83"/>
        <v>0</v>
      </c>
      <c r="M198" s="12">
        <f t="shared" si="83"/>
        <v>0</v>
      </c>
      <c r="N198" s="12">
        <f t="shared" si="83"/>
        <v>0</v>
      </c>
      <c r="O198" s="12">
        <f t="shared" si="47"/>
        <v>0</v>
      </c>
      <c r="P198" s="12">
        <f t="shared" si="84"/>
        <v>0</v>
      </c>
      <c r="Q198" s="12">
        <f t="shared" si="84"/>
        <v>0</v>
      </c>
      <c r="T198" s="61"/>
      <c r="U198" s="61"/>
      <c r="V198" s="61"/>
      <c r="W198" s="53">
        <f t="shared" si="49"/>
        <v>0</v>
      </c>
      <c r="X198" s="54" t="e">
        <f t="shared" si="50"/>
        <v>#DIV/0!</v>
      </c>
      <c r="Y198" s="25">
        <f t="shared" si="57"/>
        <v>0</v>
      </c>
      <c r="Z198" s="54">
        <f t="shared" si="62"/>
        <v>0</v>
      </c>
      <c r="AA198" s="54">
        <f t="shared" si="77"/>
        <v>0</v>
      </c>
      <c r="AB198" s="54">
        <f t="shared" si="77"/>
        <v>0</v>
      </c>
      <c r="AC198" s="54">
        <f t="shared" si="77"/>
        <v>0</v>
      </c>
      <c r="AD198" s="54">
        <f t="shared" si="77"/>
        <v>0</v>
      </c>
      <c r="AE198" s="54">
        <f t="shared" si="77"/>
        <v>0</v>
      </c>
      <c r="AF198" s="54">
        <f t="shared" si="77"/>
        <v>0</v>
      </c>
      <c r="AG198" s="54">
        <f t="shared" si="77"/>
        <v>0</v>
      </c>
      <c r="AH198" s="54">
        <f t="shared" si="77"/>
        <v>0</v>
      </c>
      <c r="AI198" s="54">
        <f t="shared" si="77"/>
        <v>0</v>
      </c>
      <c r="AJ198" s="54">
        <f t="shared" si="77"/>
        <v>0</v>
      </c>
      <c r="AK198" s="54">
        <f t="shared" ref="AK198" si="96">IF($E99+365&lt;$C$56,0,IF($E99&lt;$C$56,(($E99+365-$C$56)/365)*(($C99/$BN$157)+($D99/$BN$158)),IF($E99&gt;AK$166,0,IF($E99+365&lt;AK$166,($C99/$BN$157)+($D99/$BN$158),((AK$166-$E99)/365)*(($C99/$BN$157)+($D99/$BN$158))))))</f>
        <v>0</v>
      </c>
      <c r="AL198" s="24">
        <f t="shared" si="53"/>
        <v>0</v>
      </c>
      <c r="AM198" s="24">
        <f t="shared" si="54"/>
        <v>0</v>
      </c>
      <c r="AN198" s="55">
        <f t="shared" si="55"/>
        <v>0</v>
      </c>
      <c r="AO198" s="55">
        <f t="shared" si="56"/>
        <v>0</v>
      </c>
      <c r="AP198" s="24"/>
      <c r="AQ198" s="24"/>
      <c r="AR198" s="24"/>
      <c r="AS198" s="24"/>
      <c r="AT198" s="24"/>
      <c r="AU198" s="24"/>
      <c r="AV198" s="24"/>
      <c r="AW198" s="24"/>
      <c r="AX198" s="24"/>
      <c r="AY198" s="24"/>
    </row>
    <row r="199" spans="7:51">
      <c r="G199" s="12">
        <f t="shared" si="43"/>
        <v>0</v>
      </c>
      <c r="H199" s="12">
        <f t="shared" si="82"/>
        <v>0</v>
      </c>
      <c r="I199" s="12">
        <f t="shared" si="82"/>
        <v>0</v>
      </c>
      <c r="J199" s="12">
        <f t="shared" si="82"/>
        <v>0</v>
      </c>
      <c r="K199" s="12">
        <f t="shared" si="45"/>
        <v>0</v>
      </c>
      <c r="L199" s="12">
        <f t="shared" si="83"/>
        <v>0</v>
      </c>
      <c r="M199" s="12">
        <f t="shared" si="83"/>
        <v>0</v>
      </c>
      <c r="N199" s="12">
        <f t="shared" si="83"/>
        <v>0</v>
      </c>
      <c r="O199" s="12">
        <f t="shared" si="47"/>
        <v>0</v>
      </c>
      <c r="P199" s="12">
        <f t="shared" si="84"/>
        <v>0</v>
      </c>
      <c r="Q199" s="12">
        <f t="shared" si="84"/>
        <v>0</v>
      </c>
      <c r="T199" s="61"/>
      <c r="U199" s="61"/>
      <c r="V199" s="61"/>
      <c r="W199" s="53">
        <f t="shared" si="49"/>
        <v>0</v>
      </c>
      <c r="X199" s="54" t="e">
        <f t="shared" si="50"/>
        <v>#DIV/0!</v>
      </c>
      <c r="Y199" s="25">
        <f t="shared" si="57"/>
        <v>0</v>
      </c>
      <c r="Z199" s="54">
        <f t="shared" si="62"/>
        <v>0</v>
      </c>
      <c r="AA199" s="54">
        <f t="shared" ref="AA199:AJ213" si="97">IF($E100+365&lt;$C$56,0,IF($E100&lt;$C$56,(($E100+365-$C$56)/365)*(($C100/$BN$157)+($D100/$BN$158)),IF($E100&gt;AA$166,0,IF($E100+365&lt;AA$166,($C100/$BN$157)+($D100/$BN$158),((AA$166-$E100)/365)*(($C100/$BN$157)+($D100/$BN$158))))))</f>
        <v>0</v>
      </c>
      <c r="AB199" s="54">
        <f t="shared" si="97"/>
        <v>0</v>
      </c>
      <c r="AC199" s="54">
        <f t="shared" si="97"/>
        <v>0</v>
      </c>
      <c r="AD199" s="54">
        <f t="shared" si="97"/>
        <v>0</v>
      </c>
      <c r="AE199" s="54">
        <f t="shared" si="97"/>
        <v>0</v>
      </c>
      <c r="AF199" s="54">
        <f t="shared" si="97"/>
        <v>0</v>
      </c>
      <c r="AG199" s="54">
        <f t="shared" si="97"/>
        <v>0</v>
      </c>
      <c r="AH199" s="54">
        <f t="shared" si="97"/>
        <v>0</v>
      </c>
      <c r="AI199" s="54">
        <f t="shared" si="97"/>
        <v>0</v>
      </c>
      <c r="AJ199" s="54">
        <f t="shared" si="97"/>
        <v>0</v>
      </c>
      <c r="AK199" s="54">
        <f t="shared" ref="AK199" si="98">IF($E100+365&lt;$C$56,0,IF($E100&lt;$C$56,(($E100+365-$C$56)/365)*(($C100/$BN$157)+($D100/$BN$158)),IF($E100&gt;AK$166,0,IF($E100+365&lt;AK$166,($C100/$BN$157)+($D100/$BN$158),((AK$166-$E100)/365)*(($C100/$BN$157)+($D100/$BN$158))))))</f>
        <v>0</v>
      </c>
      <c r="AL199" s="24">
        <f t="shared" si="53"/>
        <v>0</v>
      </c>
      <c r="AM199" s="24">
        <f t="shared" si="54"/>
        <v>0</v>
      </c>
      <c r="AN199" s="55">
        <f t="shared" si="55"/>
        <v>0</v>
      </c>
      <c r="AO199" s="55">
        <f t="shared" si="56"/>
        <v>0</v>
      </c>
      <c r="AP199" s="24"/>
      <c r="AQ199" s="24"/>
      <c r="AR199" s="24"/>
      <c r="AS199" s="24"/>
      <c r="AT199" s="24"/>
      <c r="AU199" s="24"/>
      <c r="AV199" s="24"/>
      <c r="AW199" s="24"/>
      <c r="AX199" s="24"/>
      <c r="AY199" s="24"/>
    </row>
    <row r="200" spans="7:51">
      <c r="G200" s="12">
        <f t="shared" si="43"/>
        <v>0</v>
      </c>
      <c r="H200" s="12">
        <f t="shared" si="82"/>
        <v>0</v>
      </c>
      <c r="I200" s="12">
        <f t="shared" si="82"/>
        <v>0</v>
      </c>
      <c r="J200" s="12">
        <f t="shared" si="82"/>
        <v>0</v>
      </c>
      <c r="K200" s="12">
        <f t="shared" si="45"/>
        <v>0</v>
      </c>
      <c r="L200" s="12">
        <f t="shared" si="83"/>
        <v>0</v>
      </c>
      <c r="M200" s="12">
        <f t="shared" si="83"/>
        <v>0</v>
      </c>
      <c r="N200" s="12">
        <f t="shared" si="83"/>
        <v>0</v>
      </c>
      <c r="O200" s="12">
        <f t="shared" si="47"/>
        <v>0</v>
      </c>
      <c r="P200" s="12">
        <f t="shared" si="84"/>
        <v>0</v>
      </c>
      <c r="Q200" s="12">
        <f t="shared" si="84"/>
        <v>0</v>
      </c>
      <c r="T200" s="61"/>
      <c r="U200" s="61"/>
      <c r="V200" s="61"/>
      <c r="W200" s="53">
        <f t="shared" si="49"/>
        <v>0</v>
      </c>
      <c r="X200" s="54" t="e">
        <f t="shared" si="50"/>
        <v>#DIV/0!</v>
      </c>
      <c r="Y200" s="25">
        <f t="shared" si="57"/>
        <v>0</v>
      </c>
      <c r="Z200" s="54">
        <f t="shared" si="62"/>
        <v>0</v>
      </c>
      <c r="AA200" s="54">
        <f t="shared" si="97"/>
        <v>0</v>
      </c>
      <c r="AB200" s="54">
        <f t="shared" si="97"/>
        <v>0</v>
      </c>
      <c r="AC200" s="54">
        <f t="shared" si="97"/>
        <v>0</v>
      </c>
      <c r="AD200" s="54">
        <f t="shared" si="97"/>
        <v>0</v>
      </c>
      <c r="AE200" s="54">
        <f t="shared" si="97"/>
        <v>0</v>
      </c>
      <c r="AF200" s="54">
        <f t="shared" si="97"/>
        <v>0</v>
      </c>
      <c r="AG200" s="54">
        <f t="shared" si="97"/>
        <v>0</v>
      </c>
      <c r="AH200" s="54">
        <f t="shared" si="97"/>
        <v>0</v>
      </c>
      <c r="AI200" s="54">
        <f t="shared" si="97"/>
        <v>0</v>
      </c>
      <c r="AJ200" s="54">
        <f t="shared" si="97"/>
        <v>0</v>
      </c>
      <c r="AK200" s="54">
        <f t="shared" ref="AK200" si="99">IF($E101+365&lt;$C$56,0,IF($E101&lt;$C$56,(($E101+365-$C$56)/365)*(($C101/$BN$157)+($D101/$BN$158)),IF($E101&gt;AK$166,0,IF($E101+365&lt;AK$166,($C101/$BN$157)+($D101/$BN$158),((AK$166-$E101)/365)*(($C101/$BN$157)+($D101/$BN$158))))))</f>
        <v>0</v>
      </c>
      <c r="AL200" s="24">
        <f t="shared" si="53"/>
        <v>0</v>
      </c>
      <c r="AM200" s="24">
        <f t="shared" si="54"/>
        <v>0</v>
      </c>
      <c r="AN200" s="55">
        <f t="shared" si="55"/>
        <v>0</v>
      </c>
      <c r="AO200" s="55">
        <f t="shared" si="56"/>
        <v>0</v>
      </c>
      <c r="AP200" s="24"/>
      <c r="AQ200" s="24"/>
      <c r="AR200" s="24"/>
      <c r="AS200" s="24"/>
      <c r="AT200" s="24"/>
      <c r="AU200" s="24"/>
      <c r="AV200" s="24"/>
      <c r="AW200" s="24"/>
      <c r="AX200" s="24"/>
      <c r="AY200" s="24"/>
    </row>
    <row r="201" spans="7:51">
      <c r="G201" s="12">
        <f t="shared" si="43"/>
        <v>0</v>
      </c>
      <c r="H201" s="12">
        <f t="shared" si="82"/>
        <v>0</v>
      </c>
      <c r="I201" s="12">
        <f t="shared" si="82"/>
        <v>0</v>
      </c>
      <c r="J201" s="12">
        <f t="shared" si="82"/>
        <v>0</v>
      </c>
      <c r="K201" s="12">
        <f t="shared" si="45"/>
        <v>0</v>
      </c>
      <c r="L201" s="12">
        <f t="shared" si="83"/>
        <v>0</v>
      </c>
      <c r="M201" s="12">
        <f t="shared" si="83"/>
        <v>0</v>
      </c>
      <c r="N201" s="12">
        <f t="shared" si="83"/>
        <v>0</v>
      </c>
      <c r="O201" s="12">
        <f t="shared" si="47"/>
        <v>0</v>
      </c>
      <c r="P201" s="12">
        <f t="shared" si="84"/>
        <v>0</v>
      </c>
      <c r="Q201" s="12">
        <f t="shared" si="84"/>
        <v>0</v>
      </c>
      <c r="T201" s="61"/>
      <c r="U201" s="61"/>
      <c r="V201" s="61"/>
      <c r="W201" s="53">
        <f t="shared" si="49"/>
        <v>0</v>
      </c>
      <c r="X201" s="54" t="e">
        <f t="shared" si="50"/>
        <v>#DIV/0!</v>
      </c>
      <c r="Y201" s="25">
        <f t="shared" si="57"/>
        <v>0</v>
      </c>
      <c r="Z201" s="54">
        <f t="shared" si="62"/>
        <v>0</v>
      </c>
      <c r="AA201" s="54">
        <f t="shared" si="97"/>
        <v>0</v>
      </c>
      <c r="AB201" s="54">
        <f t="shared" si="97"/>
        <v>0</v>
      </c>
      <c r="AC201" s="54">
        <f t="shared" si="97"/>
        <v>0</v>
      </c>
      <c r="AD201" s="54">
        <f t="shared" si="97"/>
        <v>0</v>
      </c>
      <c r="AE201" s="54">
        <f t="shared" si="97"/>
        <v>0</v>
      </c>
      <c r="AF201" s="54">
        <f t="shared" si="97"/>
        <v>0</v>
      </c>
      <c r="AG201" s="54">
        <f t="shared" si="97"/>
        <v>0</v>
      </c>
      <c r="AH201" s="54">
        <f t="shared" si="97"/>
        <v>0</v>
      </c>
      <c r="AI201" s="54">
        <f t="shared" si="97"/>
        <v>0</v>
      </c>
      <c r="AJ201" s="54">
        <f t="shared" si="97"/>
        <v>0</v>
      </c>
      <c r="AK201" s="54">
        <f t="shared" ref="AK201" si="100">IF($E102+365&lt;$C$56,0,IF($E102&lt;$C$56,(($E102+365-$C$56)/365)*(($C102/$BN$157)+($D102/$BN$158)),IF($E102&gt;AK$166,0,IF($E102+365&lt;AK$166,($C102/$BN$157)+($D102/$BN$158),((AK$166-$E102)/365)*(($C102/$BN$157)+($D102/$BN$158))))))</f>
        <v>0</v>
      </c>
      <c r="AL201" s="24">
        <f t="shared" si="53"/>
        <v>0</v>
      </c>
      <c r="AM201" s="24">
        <f t="shared" si="54"/>
        <v>0</v>
      </c>
      <c r="AN201" s="55">
        <f t="shared" si="55"/>
        <v>0</v>
      </c>
      <c r="AO201" s="55">
        <f t="shared" si="56"/>
        <v>0</v>
      </c>
      <c r="AP201" s="24"/>
      <c r="AQ201" s="24"/>
      <c r="AR201" s="24"/>
      <c r="AS201" s="24"/>
      <c r="AT201" s="24"/>
      <c r="AU201" s="24"/>
      <c r="AV201" s="24"/>
      <c r="AW201" s="24"/>
      <c r="AX201" s="24"/>
      <c r="AY201" s="24"/>
    </row>
    <row r="202" spans="7:51">
      <c r="G202" s="12">
        <f t="shared" si="43"/>
        <v>0</v>
      </c>
      <c r="H202" s="12">
        <f t="shared" si="82"/>
        <v>0</v>
      </c>
      <c r="I202" s="12">
        <f t="shared" si="82"/>
        <v>0</v>
      </c>
      <c r="J202" s="12">
        <f t="shared" si="82"/>
        <v>0</v>
      </c>
      <c r="K202" s="12">
        <f t="shared" si="45"/>
        <v>0</v>
      </c>
      <c r="L202" s="12">
        <f t="shared" si="83"/>
        <v>0</v>
      </c>
      <c r="M202" s="12">
        <f t="shared" si="83"/>
        <v>0</v>
      </c>
      <c r="N202" s="12">
        <f t="shared" si="83"/>
        <v>0</v>
      </c>
      <c r="O202" s="12">
        <f t="shared" si="47"/>
        <v>0</v>
      </c>
      <c r="P202" s="12">
        <f t="shared" si="84"/>
        <v>0</v>
      </c>
      <c r="Q202" s="12">
        <f t="shared" si="84"/>
        <v>0</v>
      </c>
      <c r="T202" s="61"/>
      <c r="U202" s="61"/>
      <c r="V202" s="61"/>
      <c r="W202" s="53">
        <f t="shared" si="49"/>
        <v>0</v>
      </c>
      <c r="X202" s="54" t="e">
        <f t="shared" si="50"/>
        <v>#DIV/0!</v>
      </c>
      <c r="Y202" s="25">
        <f t="shared" si="57"/>
        <v>0</v>
      </c>
      <c r="Z202" s="54">
        <f t="shared" si="62"/>
        <v>0</v>
      </c>
      <c r="AA202" s="54">
        <f t="shared" si="97"/>
        <v>0</v>
      </c>
      <c r="AB202" s="54">
        <f t="shared" si="97"/>
        <v>0</v>
      </c>
      <c r="AC202" s="54">
        <f t="shared" si="97"/>
        <v>0</v>
      </c>
      <c r="AD202" s="54">
        <f t="shared" si="97"/>
        <v>0</v>
      </c>
      <c r="AE202" s="54">
        <f t="shared" si="97"/>
        <v>0</v>
      </c>
      <c r="AF202" s="54">
        <f t="shared" si="97"/>
        <v>0</v>
      </c>
      <c r="AG202" s="54">
        <f t="shared" si="97"/>
        <v>0</v>
      </c>
      <c r="AH202" s="54">
        <f t="shared" si="97"/>
        <v>0</v>
      </c>
      <c r="AI202" s="54">
        <f t="shared" si="97"/>
        <v>0</v>
      </c>
      <c r="AJ202" s="54">
        <f t="shared" si="97"/>
        <v>0</v>
      </c>
      <c r="AK202" s="54">
        <f t="shared" ref="AK202" si="101">IF($E103+365&lt;$C$56,0,IF($E103&lt;$C$56,(($E103+365-$C$56)/365)*(($C103/$BN$157)+($D103/$BN$158)),IF($E103&gt;AK$166,0,IF($E103+365&lt;AK$166,($C103/$BN$157)+($D103/$BN$158),((AK$166-$E103)/365)*(($C103/$BN$157)+($D103/$BN$158))))))</f>
        <v>0</v>
      </c>
      <c r="AL202" s="24">
        <f t="shared" si="53"/>
        <v>0</v>
      </c>
      <c r="AM202" s="24">
        <f t="shared" si="54"/>
        <v>0</v>
      </c>
      <c r="AN202" s="55">
        <f t="shared" si="55"/>
        <v>0</v>
      </c>
      <c r="AO202" s="55">
        <f t="shared" si="56"/>
        <v>0</v>
      </c>
      <c r="AP202" s="24"/>
      <c r="AQ202" s="24"/>
      <c r="AR202" s="24"/>
      <c r="AS202" s="24"/>
      <c r="AT202" s="24"/>
      <c r="AU202" s="24"/>
      <c r="AV202" s="24"/>
      <c r="AW202" s="24"/>
      <c r="AX202" s="24"/>
      <c r="AY202" s="24"/>
    </row>
    <row r="203" spans="7:51">
      <c r="G203" s="12">
        <f t="shared" si="43"/>
        <v>0</v>
      </c>
      <c r="H203" s="12">
        <f t="shared" si="82"/>
        <v>0</v>
      </c>
      <c r="I203" s="12">
        <f t="shared" si="82"/>
        <v>0</v>
      </c>
      <c r="J203" s="12">
        <f t="shared" si="82"/>
        <v>0</v>
      </c>
      <c r="K203" s="12">
        <f t="shared" si="45"/>
        <v>0</v>
      </c>
      <c r="L203" s="12">
        <f t="shared" si="83"/>
        <v>0</v>
      </c>
      <c r="M203" s="12">
        <f t="shared" si="83"/>
        <v>0</v>
      </c>
      <c r="N203" s="12">
        <f t="shared" si="83"/>
        <v>0</v>
      </c>
      <c r="O203" s="12">
        <f t="shared" si="47"/>
        <v>0</v>
      </c>
      <c r="P203" s="12">
        <f t="shared" si="84"/>
        <v>0</v>
      </c>
      <c r="Q203" s="12">
        <f t="shared" si="84"/>
        <v>0</v>
      </c>
      <c r="T203" s="61"/>
      <c r="U203" s="61"/>
      <c r="V203" s="61"/>
      <c r="W203" s="53">
        <f t="shared" si="49"/>
        <v>0</v>
      </c>
      <c r="X203" s="54" t="e">
        <f t="shared" si="50"/>
        <v>#DIV/0!</v>
      </c>
      <c r="Y203" s="25">
        <f t="shared" si="57"/>
        <v>0</v>
      </c>
      <c r="Z203" s="54">
        <f t="shared" si="62"/>
        <v>0</v>
      </c>
      <c r="AA203" s="54">
        <f t="shared" si="97"/>
        <v>0</v>
      </c>
      <c r="AB203" s="54">
        <f t="shared" si="97"/>
        <v>0</v>
      </c>
      <c r="AC203" s="54">
        <f t="shared" si="97"/>
        <v>0</v>
      </c>
      <c r="AD203" s="54">
        <f t="shared" si="97"/>
        <v>0</v>
      </c>
      <c r="AE203" s="54">
        <f t="shared" si="97"/>
        <v>0</v>
      </c>
      <c r="AF203" s="54">
        <f t="shared" si="97"/>
        <v>0</v>
      </c>
      <c r="AG203" s="54">
        <f t="shared" si="97"/>
        <v>0</v>
      </c>
      <c r="AH203" s="54">
        <f t="shared" si="97"/>
        <v>0</v>
      </c>
      <c r="AI203" s="54">
        <f t="shared" si="97"/>
        <v>0</v>
      </c>
      <c r="AJ203" s="54">
        <f t="shared" si="97"/>
        <v>0</v>
      </c>
      <c r="AK203" s="54">
        <f t="shared" ref="AK203" si="102">IF($E104+365&lt;$C$56,0,IF($E104&lt;$C$56,(($E104+365-$C$56)/365)*(($C104/$BN$157)+($D104/$BN$158)),IF($E104&gt;AK$166,0,IF($E104+365&lt;AK$166,($C104/$BN$157)+($D104/$BN$158),((AK$166-$E104)/365)*(($C104/$BN$157)+($D104/$BN$158))))))</f>
        <v>0</v>
      </c>
      <c r="AL203" s="24">
        <f t="shared" si="53"/>
        <v>0</v>
      </c>
      <c r="AM203" s="24">
        <f t="shared" si="54"/>
        <v>0</v>
      </c>
      <c r="AN203" s="55">
        <f t="shared" si="55"/>
        <v>0</v>
      </c>
      <c r="AO203" s="55">
        <f t="shared" si="56"/>
        <v>0</v>
      </c>
      <c r="AP203" s="24"/>
      <c r="AQ203" s="24"/>
      <c r="AR203" s="24"/>
      <c r="AS203" s="24"/>
      <c r="AT203" s="24"/>
      <c r="AU203" s="24"/>
      <c r="AV203" s="24"/>
      <c r="AW203" s="24"/>
      <c r="AX203" s="24"/>
      <c r="AY203" s="24"/>
    </row>
    <row r="204" spans="7:51">
      <c r="G204" s="12">
        <f t="shared" si="43"/>
        <v>0</v>
      </c>
      <c r="H204" s="12">
        <f t="shared" si="82"/>
        <v>0</v>
      </c>
      <c r="I204" s="12">
        <f t="shared" si="82"/>
        <v>0</v>
      </c>
      <c r="J204" s="12">
        <f t="shared" si="82"/>
        <v>0</v>
      </c>
      <c r="K204" s="12">
        <f t="shared" si="45"/>
        <v>0</v>
      </c>
      <c r="L204" s="12">
        <f t="shared" si="83"/>
        <v>0</v>
      </c>
      <c r="M204" s="12">
        <f t="shared" si="83"/>
        <v>0</v>
      </c>
      <c r="N204" s="12">
        <f t="shared" si="83"/>
        <v>0</v>
      </c>
      <c r="O204" s="12">
        <f t="shared" si="47"/>
        <v>0</v>
      </c>
      <c r="P204" s="12">
        <f t="shared" si="84"/>
        <v>0</v>
      </c>
      <c r="Q204" s="12">
        <f t="shared" si="84"/>
        <v>0</v>
      </c>
      <c r="T204" s="61"/>
      <c r="U204" s="61"/>
      <c r="V204" s="61"/>
      <c r="W204" s="53">
        <f t="shared" si="49"/>
        <v>0</v>
      </c>
      <c r="X204" s="54" t="e">
        <f t="shared" si="50"/>
        <v>#DIV/0!</v>
      </c>
      <c r="Y204" s="25">
        <f t="shared" si="57"/>
        <v>0</v>
      </c>
      <c r="Z204" s="54">
        <f t="shared" si="62"/>
        <v>0</v>
      </c>
      <c r="AA204" s="54">
        <f t="shared" si="97"/>
        <v>0</v>
      </c>
      <c r="AB204" s="54">
        <f t="shared" si="97"/>
        <v>0</v>
      </c>
      <c r="AC204" s="54">
        <f t="shared" si="97"/>
        <v>0</v>
      </c>
      <c r="AD204" s="54">
        <f t="shared" si="97"/>
        <v>0</v>
      </c>
      <c r="AE204" s="54">
        <f t="shared" si="97"/>
        <v>0</v>
      </c>
      <c r="AF204" s="54">
        <f t="shared" si="97"/>
        <v>0</v>
      </c>
      <c r="AG204" s="54">
        <f t="shared" si="97"/>
        <v>0</v>
      </c>
      <c r="AH204" s="54">
        <f t="shared" si="97"/>
        <v>0</v>
      </c>
      <c r="AI204" s="54">
        <f t="shared" si="97"/>
        <v>0</v>
      </c>
      <c r="AJ204" s="54">
        <f t="shared" si="97"/>
        <v>0</v>
      </c>
      <c r="AK204" s="54">
        <f t="shared" ref="AK204" si="103">IF($E105+365&lt;$C$56,0,IF($E105&lt;$C$56,(($E105+365-$C$56)/365)*(($C105/$BN$157)+($D105/$BN$158)),IF($E105&gt;AK$166,0,IF($E105+365&lt;AK$166,($C105/$BN$157)+($D105/$BN$158),((AK$166-$E105)/365)*(($C105/$BN$157)+($D105/$BN$158))))))</f>
        <v>0</v>
      </c>
      <c r="AL204" s="24">
        <f t="shared" si="53"/>
        <v>0</v>
      </c>
      <c r="AM204" s="24">
        <f t="shared" si="54"/>
        <v>0</v>
      </c>
      <c r="AN204" s="55">
        <f t="shared" si="55"/>
        <v>0</v>
      </c>
      <c r="AO204" s="55">
        <f t="shared" si="56"/>
        <v>0</v>
      </c>
      <c r="AP204" s="24"/>
      <c r="AQ204" s="24"/>
      <c r="AR204" s="24"/>
      <c r="AS204" s="24"/>
      <c r="AT204" s="24"/>
      <c r="AU204" s="24"/>
      <c r="AV204" s="24"/>
      <c r="AW204" s="24"/>
      <c r="AX204" s="24"/>
      <c r="AY204" s="24"/>
    </row>
    <row r="205" spans="7:51">
      <c r="G205" s="12">
        <f t="shared" si="43"/>
        <v>0</v>
      </c>
      <c r="H205" s="12">
        <f t="shared" si="82"/>
        <v>0</v>
      </c>
      <c r="I205" s="12">
        <f t="shared" si="82"/>
        <v>0</v>
      </c>
      <c r="J205" s="12">
        <f t="shared" si="82"/>
        <v>0</v>
      </c>
      <c r="K205" s="12">
        <f t="shared" si="45"/>
        <v>0</v>
      </c>
      <c r="L205" s="12">
        <f t="shared" si="83"/>
        <v>0</v>
      </c>
      <c r="M205" s="12">
        <f t="shared" si="83"/>
        <v>0</v>
      </c>
      <c r="N205" s="12">
        <f t="shared" si="83"/>
        <v>0</v>
      </c>
      <c r="O205" s="12">
        <f t="shared" si="47"/>
        <v>0</v>
      </c>
      <c r="P205" s="12">
        <f t="shared" si="84"/>
        <v>0</v>
      </c>
      <c r="Q205" s="12">
        <f t="shared" si="84"/>
        <v>0</v>
      </c>
      <c r="T205" s="61"/>
      <c r="U205" s="61"/>
      <c r="V205" s="61"/>
      <c r="W205" s="53">
        <f t="shared" si="49"/>
        <v>0</v>
      </c>
      <c r="X205" s="54" t="e">
        <f t="shared" si="50"/>
        <v>#DIV/0!</v>
      </c>
      <c r="Y205" s="25">
        <f t="shared" si="57"/>
        <v>0</v>
      </c>
      <c r="Z205" s="54">
        <f t="shared" si="62"/>
        <v>0</v>
      </c>
      <c r="AA205" s="54">
        <f t="shared" si="97"/>
        <v>0</v>
      </c>
      <c r="AB205" s="54">
        <f t="shared" si="97"/>
        <v>0</v>
      </c>
      <c r="AC205" s="54">
        <f t="shared" si="97"/>
        <v>0</v>
      </c>
      <c r="AD205" s="54">
        <f t="shared" si="97"/>
        <v>0</v>
      </c>
      <c r="AE205" s="54">
        <f t="shared" si="97"/>
        <v>0</v>
      </c>
      <c r="AF205" s="54">
        <f t="shared" si="97"/>
        <v>0</v>
      </c>
      <c r="AG205" s="54">
        <f t="shared" si="97"/>
        <v>0</v>
      </c>
      <c r="AH205" s="54">
        <f t="shared" si="97"/>
        <v>0</v>
      </c>
      <c r="AI205" s="54">
        <f t="shared" si="97"/>
        <v>0</v>
      </c>
      <c r="AJ205" s="54">
        <f t="shared" si="97"/>
        <v>0</v>
      </c>
      <c r="AK205" s="54">
        <f t="shared" ref="AK205" si="104">IF($E106+365&lt;$C$56,0,IF($E106&lt;$C$56,(($E106+365-$C$56)/365)*(($C106/$BN$157)+($D106/$BN$158)),IF($E106&gt;AK$166,0,IF($E106+365&lt;AK$166,($C106/$BN$157)+($D106/$BN$158),((AK$166-$E106)/365)*(($C106/$BN$157)+($D106/$BN$158))))))</f>
        <v>0</v>
      </c>
      <c r="AL205" s="24">
        <f t="shared" si="53"/>
        <v>0</v>
      </c>
      <c r="AM205" s="24">
        <f t="shared" si="54"/>
        <v>0</v>
      </c>
      <c r="AN205" s="55">
        <f t="shared" si="55"/>
        <v>0</v>
      </c>
      <c r="AO205" s="55">
        <f t="shared" si="56"/>
        <v>0</v>
      </c>
      <c r="AP205" s="24"/>
      <c r="AQ205" s="24"/>
      <c r="AR205" s="24"/>
      <c r="AS205" s="24"/>
      <c r="AT205" s="24"/>
      <c r="AU205" s="24"/>
      <c r="AV205" s="24"/>
      <c r="AW205" s="24"/>
      <c r="AX205" s="24"/>
      <c r="AY205" s="24"/>
    </row>
    <row r="206" spans="7:51">
      <c r="G206" s="12">
        <f t="shared" si="43"/>
        <v>0</v>
      </c>
      <c r="H206" s="12">
        <f t="shared" si="82"/>
        <v>0</v>
      </c>
      <c r="I206" s="12">
        <f t="shared" si="82"/>
        <v>0</v>
      </c>
      <c r="J206" s="12">
        <f t="shared" si="82"/>
        <v>0</v>
      </c>
      <c r="K206" s="12">
        <f t="shared" si="45"/>
        <v>0</v>
      </c>
      <c r="L206" s="12">
        <f t="shared" si="83"/>
        <v>0</v>
      </c>
      <c r="M206" s="12">
        <f t="shared" si="83"/>
        <v>0</v>
      </c>
      <c r="N206" s="12">
        <f t="shared" si="83"/>
        <v>0</v>
      </c>
      <c r="O206" s="12">
        <f t="shared" si="47"/>
        <v>0</v>
      </c>
      <c r="P206" s="12">
        <f t="shared" si="84"/>
        <v>0</v>
      </c>
      <c r="Q206" s="12">
        <f t="shared" si="84"/>
        <v>0</v>
      </c>
      <c r="T206" s="61"/>
      <c r="U206" s="61"/>
      <c r="V206" s="61"/>
      <c r="W206" s="53">
        <f t="shared" si="49"/>
        <v>0</v>
      </c>
      <c r="X206" s="54" t="e">
        <f t="shared" si="50"/>
        <v>#DIV/0!</v>
      </c>
      <c r="Y206" s="25">
        <f t="shared" si="57"/>
        <v>0</v>
      </c>
      <c r="Z206" s="54">
        <f t="shared" si="62"/>
        <v>0</v>
      </c>
      <c r="AA206" s="54">
        <f t="shared" si="97"/>
        <v>0</v>
      </c>
      <c r="AB206" s="54">
        <f t="shared" si="97"/>
        <v>0</v>
      </c>
      <c r="AC206" s="54">
        <f t="shared" si="97"/>
        <v>0</v>
      </c>
      <c r="AD206" s="54">
        <f t="shared" si="97"/>
        <v>0</v>
      </c>
      <c r="AE206" s="54">
        <f t="shared" si="97"/>
        <v>0</v>
      </c>
      <c r="AF206" s="54">
        <f t="shared" si="97"/>
        <v>0</v>
      </c>
      <c r="AG206" s="54">
        <f t="shared" si="97"/>
        <v>0</v>
      </c>
      <c r="AH206" s="54">
        <f t="shared" si="97"/>
        <v>0</v>
      </c>
      <c r="AI206" s="54">
        <f t="shared" si="97"/>
        <v>0</v>
      </c>
      <c r="AJ206" s="54">
        <f t="shared" si="97"/>
        <v>0</v>
      </c>
      <c r="AK206" s="54">
        <f t="shared" ref="AK206" si="105">IF($E107+365&lt;$C$56,0,IF($E107&lt;$C$56,(($E107+365-$C$56)/365)*(($C107/$BN$157)+($D107/$BN$158)),IF($E107&gt;AK$166,0,IF($E107+365&lt;AK$166,($C107/$BN$157)+($D107/$BN$158),((AK$166-$E107)/365)*(($C107/$BN$157)+($D107/$BN$158))))))</f>
        <v>0</v>
      </c>
      <c r="AL206" s="24">
        <f t="shared" si="53"/>
        <v>0</v>
      </c>
      <c r="AM206" s="24">
        <f t="shared" si="54"/>
        <v>0</v>
      </c>
      <c r="AN206" s="55">
        <f t="shared" si="55"/>
        <v>0</v>
      </c>
      <c r="AO206" s="55">
        <f t="shared" si="56"/>
        <v>0</v>
      </c>
      <c r="AP206" s="24"/>
      <c r="AQ206" s="24"/>
      <c r="AR206" s="24"/>
      <c r="AS206" s="24"/>
      <c r="AT206" s="24"/>
      <c r="AU206" s="24"/>
      <c r="AV206" s="24"/>
      <c r="AW206" s="24"/>
      <c r="AX206" s="24"/>
      <c r="AY206" s="24"/>
    </row>
    <row r="207" spans="7:51">
      <c r="G207" s="12">
        <f t="shared" si="43"/>
        <v>0</v>
      </c>
      <c r="H207" s="12">
        <f t="shared" ref="H207:J209" si="106">IF($E109&gt;H$66,0,IF($E109&lt;H$66-365,$C109,0))</f>
        <v>0</v>
      </c>
      <c r="I207" s="12">
        <f t="shared" si="106"/>
        <v>0</v>
      </c>
      <c r="J207" s="12">
        <f t="shared" si="106"/>
        <v>0</v>
      </c>
      <c r="K207" s="12">
        <f t="shared" si="45"/>
        <v>0</v>
      </c>
      <c r="L207" s="12">
        <f t="shared" ref="L207:N209" si="107">IF($E109&gt;L$66,0,IF($E109&lt;L$66-365,$C109,0))</f>
        <v>0</v>
      </c>
      <c r="M207" s="12">
        <f t="shared" si="107"/>
        <v>0</v>
      </c>
      <c r="N207" s="12">
        <f t="shared" si="107"/>
        <v>0</v>
      </c>
      <c r="O207" s="12">
        <f t="shared" si="47"/>
        <v>0</v>
      </c>
      <c r="P207" s="12">
        <f t="shared" ref="P207:Q209" si="108">IF($E109&gt;P$66,0,IF($E109&lt;P$66-365,$C109,0))</f>
        <v>0</v>
      </c>
      <c r="Q207" s="12">
        <f t="shared" si="108"/>
        <v>0</v>
      </c>
      <c r="T207" s="61"/>
      <c r="U207" s="61"/>
      <c r="V207" s="61"/>
      <c r="W207" s="53">
        <f t="shared" si="49"/>
        <v>0</v>
      </c>
      <c r="X207" s="54" t="e">
        <f t="shared" si="50"/>
        <v>#DIV/0!</v>
      </c>
      <c r="Y207" s="25">
        <f t="shared" si="57"/>
        <v>0</v>
      </c>
      <c r="Z207" s="54">
        <f t="shared" si="62"/>
        <v>0</v>
      </c>
      <c r="AA207" s="54">
        <f t="shared" si="97"/>
        <v>0</v>
      </c>
      <c r="AB207" s="54">
        <f t="shared" si="97"/>
        <v>0</v>
      </c>
      <c r="AC207" s="54">
        <f t="shared" si="97"/>
        <v>0</v>
      </c>
      <c r="AD207" s="54">
        <f t="shared" si="97"/>
        <v>0</v>
      </c>
      <c r="AE207" s="54">
        <f t="shared" si="97"/>
        <v>0</v>
      </c>
      <c r="AF207" s="54">
        <f t="shared" si="97"/>
        <v>0</v>
      </c>
      <c r="AG207" s="54">
        <f t="shared" si="97"/>
        <v>0</v>
      </c>
      <c r="AH207" s="54">
        <f t="shared" si="97"/>
        <v>0</v>
      </c>
      <c r="AI207" s="54">
        <f t="shared" si="97"/>
        <v>0</v>
      </c>
      <c r="AJ207" s="54">
        <f t="shared" si="97"/>
        <v>0</v>
      </c>
      <c r="AK207" s="54">
        <f t="shared" ref="AK207" si="109">IF($E108+365&lt;$C$56,0,IF($E108&lt;$C$56,(($E108+365-$C$56)/365)*(($C108/$BN$157)+($D108/$BN$158)),IF($E108&gt;AK$166,0,IF($E108+365&lt;AK$166,($C108/$BN$157)+($D108/$BN$158),((AK$166-$E108)/365)*(($C108/$BN$157)+($D108/$BN$158))))))</f>
        <v>0</v>
      </c>
      <c r="AL207" s="24">
        <f t="shared" si="53"/>
        <v>0</v>
      </c>
      <c r="AM207" s="24">
        <f t="shared" si="54"/>
        <v>0</v>
      </c>
      <c r="AN207" s="55">
        <f t="shared" si="55"/>
        <v>0</v>
      </c>
      <c r="AO207" s="55">
        <f t="shared" si="56"/>
        <v>0</v>
      </c>
      <c r="AP207" s="24"/>
      <c r="AQ207" s="24"/>
      <c r="AR207" s="24"/>
      <c r="AS207" s="24"/>
      <c r="AT207" s="24"/>
      <c r="AU207" s="24"/>
      <c r="AV207" s="24"/>
      <c r="AW207" s="24"/>
      <c r="AX207" s="24"/>
      <c r="AY207" s="24"/>
    </row>
    <row r="208" spans="7:51">
      <c r="G208" s="12">
        <f t="shared" si="43"/>
        <v>0</v>
      </c>
      <c r="H208" s="12">
        <f t="shared" si="106"/>
        <v>0</v>
      </c>
      <c r="I208" s="12">
        <f t="shared" si="106"/>
        <v>0</v>
      </c>
      <c r="J208" s="12">
        <f t="shared" si="106"/>
        <v>0</v>
      </c>
      <c r="K208" s="12">
        <f t="shared" si="45"/>
        <v>0</v>
      </c>
      <c r="L208" s="12">
        <f t="shared" si="107"/>
        <v>0</v>
      </c>
      <c r="M208" s="12">
        <f t="shared" si="107"/>
        <v>0</v>
      </c>
      <c r="N208" s="12">
        <f t="shared" si="107"/>
        <v>0</v>
      </c>
      <c r="O208" s="12">
        <f t="shared" si="47"/>
        <v>0</v>
      </c>
      <c r="P208" s="12">
        <f t="shared" si="108"/>
        <v>0</v>
      </c>
      <c r="Q208" s="12">
        <f t="shared" si="108"/>
        <v>0</v>
      </c>
      <c r="T208" s="61"/>
      <c r="U208" s="61"/>
      <c r="V208" s="61"/>
      <c r="W208" s="53">
        <f t="shared" si="49"/>
        <v>0</v>
      </c>
      <c r="X208" s="54" t="e">
        <f t="shared" si="50"/>
        <v>#DIV/0!</v>
      </c>
      <c r="Y208" s="25">
        <f t="shared" si="57"/>
        <v>0</v>
      </c>
      <c r="Z208" s="54">
        <f t="shared" si="62"/>
        <v>0</v>
      </c>
      <c r="AA208" s="54">
        <f t="shared" si="97"/>
        <v>0</v>
      </c>
      <c r="AB208" s="54">
        <f t="shared" si="97"/>
        <v>0</v>
      </c>
      <c r="AC208" s="54">
        <f t="shared" si="97"/>
        <v>0</v>
      </c>
      <c r="AD208" s="54">
        <f t="shared" si="97"/>
        <v>0</v>
      </c>
      <c r="AE208" s="54">
        <f t="shared" si="97"/>
        <v>0</v>
      </c>
      <c r="AF208" s="54">
        <f t="shared" si="97"/>
        <v>0</v>
      </c>
      <c r="AG208" s="54">
        <f t="shared" si="97"/>
        <v>0</v>
      </c>
      <c r="AH208" s="54">
        <f t="shared" si="97"/>
        <v>0</v>
      </c>
      <c r="AI208" s="54">
        <f t="shared" si="97"/>
        <v>0</v>
      </c>
      <c r="AJ208" s="54">
        <f t="shared" si="97"/>
        <v>0</v>
      </c>
      <c r="AK208" s="54">
        <f t="shared" ref="AK208" si="110">IF($E109+365&lt;$C$56,0,IF($E109&lt;$C$56,(($E109+365-$C$56)/365)*(($C109/$BN$157)+($D109/$BN$158)),IF($E109&gt;AK$166,0,IF($E109+365&lt;AK$166,($C109/$BN$157)+($D109/$BN$158),((AK$166-$E109)/365)*(($C109/$BN$157)+($D109/$BN$158))))))</f>
        <v>0</v>
      </c>
      <c r="AL208" s="24">
        <f t="shared" si="53"/>
        <v>0</v>
      </c>
      <c r="AM208" s="24">
        <f t="shared" si="54"/>
        <v>0</v>
      </c>
      <c r="AN208" s="55">
        <f t="shared" si="55"/>
        <v>0</v>
      </c>
      <c r="AO208" s="55">
        <f t="shared" si="56"/>
        <v>0</v>
      </c>
      <c r="AP208" s="24"/>
      <c r="AQ208" s="24"/>
      <c r="AR208" s="24"/>
      <c r="AS208" s="24"/>
      <c r="AT208" s="24"/>
      <c r="AU208" s="24"/>
      <c r="AV208" s="24"/>
      <c r="AW208" s="24"/>
      <c r="AX208" s="24"/>
      <c r="AY208" s="24"/>
    </row>
    <row r="209" spans="6:51">
      <c r="G209" s="12">
        <f t="shared" si="43"/>
        <v>0</v>
      </c>
      <c r="H209" s="12">
        <f t="shared" si="106"/>
        <v>0</v>
      </c>
      <c r="I209" s="12">
        <f t="shared" si="106"/>
        <v>0</v>
      </c>
      <c r="J209" s="12">
        <f t="shared" si="106"/>
        <v>0</v>
      </c>
      <c r="K209" s="12">
        <f t="shared" si="45"/>
        <v>0</v>
      </c>
      <c r="L209" s="12">
        <f t="shared" si="107"/>
        <v>0</v>
      </c>
      <c r="M209" s="12">
        <f t="shared" si="107"/>
        <v>0</v>
      </c>
      <c r="N209" s="12">
        <f t="shared" si="107"/>
        <v>0</v>
      </c>
      <c r="O209" s="12">
        <f t="shared" si="47"/>
        <v>0</v>
      </c>
      <c r="P209" s="12">
        <f t="shared" si="108"/>
        <v>0</v>
      </c>
      <c r="Q209" s="12">
        <f t="shared" si="108"/>
        <v>0</v>
      </c>
      <c r="T209" s="61"/>
      <c r="U209" s="61"/>
      <c r="V209" s="61"/>
      <c r="W209" s="53">
        <f t="shared" si="49"/>
        <v>0</v>
      </c>
      <c r="X209" s="54" t="e">
        <f t="shared" si="50"/>
        <v>#DIV/0!</v>
      </c>
      <c r="Y209" s="25">
        <f t="shared" si="57"/>
        <v>0</v>
      </c>
      <c r="Z209" s="54">
        <f t="shared" si="62"/>
        <v>0</v>
      </c>
      <c r="AA209" s="54">
        <f t="shared" si="97"/>
        <v>0</v>
      </c>
      <c r="AB209" s="54">
        <f t="shared" si="97"/>
        <v>0</v>
      </c>
      <c r="AC209" s="54">
        <f t="shared" si="97"/>
        <v>0</v>
      </c>
      <c r="AD209" s="54">
        <f t="shared" si="97"/>
        <v>0</v>
      </c>
      <c r="AE209" s="54">
        <f t="shared" si="97"/>
        <v>0</v>
      </c>
      <c r="AF209" s="54">
        <f t="shared" si="97"/>
        <v>0</v>
      </c>
      <c r="AG209" s="54">
        <f t="shared" si="97"/>
        <v>0</v>
      </c>
      <c r="AH209" s="54">
        <f t="shared" si="97"/>
        <v>0</v>
      </c>
      <c r="AI209" s="54">
        <f t="shared" si="97"/>
        <v>0</v>
      </c>
      <c r="AJ209" s="54">
        <f t="shared" si="97"/>
        <v>0</v>
      </c>
      <c r="AK209" s="54">
        <f t="shared" ref="AK209" si="111">IF($E110+365&lt;$C$56,0,IF($E110&lt;$C$56,(($E110+365-$C$56)/365)*(($C110/$BN$157)+($D110/$BN$158)),IF($E110&gt;AK$166,0,IF($E110+365&lt;AK$166,($C110/$BN$157)+($D110/$BN$158),((AK$166-$E110)/365)*(($C110/$BN$157)+($D110/$BN$158))))))</f>
        <v>0</v>
      </c>
      <c r="AL209" s="24">
        <f t="shared" si="53"/>
        <v>0</v>
      </c>
      <c r="AM209" s="24">
        <f t="shared" si="54"/>
        <v>0</v>
      </c>
      <c r="AN209" s="55">
        <f t="shared" si="55"/>
        <v>0</v>
      </c>
      <c r="AO209" s="55">
        <f t="shared" si="56"/>
        <v>0</v>
      </c>
      <c r="AP209" s="24"/>
      <c r="AQ209" s="24"/>
      <c r="AR209" s="24"/>
      <c r="AS209" s="24"/>
      <c r="AT209" s="24"/>
      <c r="AU209" s="24"/>
      <c r="AV209" s="24"/>
      <c r="AW209" s="24"/>
      <c r="AX209" s="24"/>
      <c r="AY209" s="24"/>
    </row>
    <row r="210" spans="6:51">
      <c r="T210" s="61"/>
      <c r="U210" s="61"/>
      <c r="V210" s="61"/>
      <c r="W210" s="53">
        <f t="shared" si="49"/>
        <v>0</v>
      </c>
      <c r="X210" s="54" t="e">
        <f t="shared" si="50"/>
        <v>#DIV/0!</v>
      </c>
      <c r="Y210" s="25">
        <f t="shared" si="57"/>
        <v>0</v>
      </c>
      <c r="Z210" s="54">
        <f t="shared" si="62"/>
        <v>0</v>
      </c>
      <c r="AA210" s="54">
        <f t="shared" si="97"/>
        <v>0</v>
      </c>
      <c r="AB210" s="54">
        <f t="shared" si="97"/>
        <v>0</v>
      </c>
      <c r="AC210" s="54">
        <f t="shared" si="97"/>
        <v>0</v>
      </c>
      <c r="AD210" s="54">
        <f t="shared" si="97"/>
        <v>0</v>
      </c>
      <c r="AE210" s="54">
        <f t="shared" si="97"/>
        <v>0</v>
      </c>
      <c r="AF210" s="54">
        <f t="shared" si="97"/>
        <v>0</v>
      </c>
      <c r="AG210" s="54">
        <f t="shared" si="97"/>
        <v>0</v>
      </c>
      <c r="AH210" s="54">
        <f t="shared" si="97"/>
        <v>0</v>
      </c>
      <c r="AI210" s="54">
        <f t="shared" si="97"/>
        <v>0</v>
      </c>
      <c r="AJ210" s="54">
        <f t="shared" si="97"/>
        <v>0</v>
      </c>
      <c r="AK210" s="54">
        <f t="shared" ref="AK210" si="112">IF($E111+365&lt;$C$56,0,IF($E111&lt;$C$56,(($E111+365-$C$56)/365)*(($C111/$BN$157)+($D111/$BN$158)),IF($E111&gt;AK$166,0,IF($E111+365&lt;AK$166,($C111/$BN$157)+($D111/$BN$158),((AK$166-$E111)/365)*(($C111/$BN$157)+($D111/$BN$158))))))</f>
        <v>0</v>
      </c>
      <c r="AL210" s="24">
        <f t="shared" si="53"/>
        <v>0</v>
      </c>
      <c r="AM210" s="24">
        <f t="shared" si="54"/>
        <v>0</v>
      </c>
      <c r="AN210" s="55">
        <f t="shared" si="55"/>
        <v>0</v>
      </c>
      <c r="AO210" s="55">
        <f t="shared" si="56"/>
        <v>0</v>
      </c>
      <c r="AP210" s="24"/>
      <c r="AQ210" s="24"/>
      <c r="AR210" s="24"/>
      <c r="AS210" s="24"/>
      <c r="AT210" s="24"/>
      <c r="AU210" s="24"/>
      <c r="AV210" s="24"/>
      <c r="AW210" s="24"/>
      <c r="AX210" s="24"/>
      <c r="AY210" s="24"/>
    </row>
    <row r="211" spans="6:51">
      <c r="T211" s="61"/>
      <c r="U211" s="61"/>
      <c r="V211" s="61"/>
      <c r="W211" s="53">
        <f t="shared" si="49"/>
        <v>0</v>
      </c>
      <c r="X211" s="54" t="e">
        <f t="shared" si="50"/>
        <v>#DIV/0!</v>
      </c>
      <c r="Y211" s="25">
        <f t="shared" si="57"/>
        <v>0</v>
      </c>
      <c r="Z211" s="54">
        <f t="shared" si="62"/>
        <v>0</v>
      </c>
      <c r="AA211" s="54">
        <f t="shared" si="97"/>
        <v>0</v>
      </c>
      <c r="AB211" s="54">
        <f t="shared" si="97"/>
        <v>0</v>
      </c>
      <c r="AC211" s="54">
        <f t="shared" si="97"/>
        <v>0</v>
      </c>
      <c r="AD211" s="54">
        <f t="shared" si="97"/>
        <v>0</v>
      </c>
      <c r="AE211" s="54">
        <f t="shared" si="97"/>
        <v>0</v>
      </c>
      <c r="AF211" s="54">
        <f t="shared" si="97"/>
        <v>0</v>
      </c>
      <c r="AG211" s="54">
        <f t="shared" si="97"/>
        <v>0</v>
      </c>
      <c r="AH211" s="54">
        <f t="shared" si="97"/>
        <v>0</v>
      </c>
      <c r="AI211" s="54">
        <f t="shared" si="97"/>
        <v>0</v>
      </c>
      <c r="AJ211" s="54">
        <f t="shared" si="97"/>
        <v>0</v>
      </c>
      <c r="AK211" s="54">
        <f t="shared" ref="AK211" si="113">IF($E112+365&lt;$C$56,0,IF($E112&lt;$C$56,(($E112+365-$C$56)/365)*(($C112/$BN$157)+($D112/$BN$158)),IF($E112&gt;AK$166,0,IF($E112+365&lt;AK$166,($C112/$BN$157)+($D112/$BN$158),((AK$166-$E112)/365)*(($C112/$BN$157)+($D112/$BN$158))))))</f>
        <v>0</v>
      </c>
      <c r="AL211" s="24">
        <f t="shared" si="53"/>
        <v>0</v>
      </c>
      <c r="AM211" s="24">
        <f t="shared" si="54"/>
        <v>0</v>
      </c>
      <c r="AN211" s="55">
        <f t="shared" si="55"/>
        <v>0</v>
      </c>
      <c r="AO211" s="55">
        <f t="shared" si="56"/>
        <v>0</v>
      </c>
      <c r="AP211" s="25"/>
      <c r="AQ211" s="24"/>
      <c r="AR211" s="24"/>
      <c r="AS211" s="24"/>
      <c r="AT211" s="24"/>
      <c r="AU211" s="24"/>
      <c r="AV211" s="24"/>
      <c r="AW211" s="24"/>
      <c r="AX211" s="24"/>
      <c r="AY211" s="24"/>
    </row>
    <row r="212" spans="6:51">
      <c r="T212" s="61"/>
      <c r="U212" s="61"/>
      <c r="V212" s="61"/>
      <c r="W212" s="53"/>
      <c r="X212" s="54"/>
      <c r="Y212" s="25">
        <f t="shared" si="57"/>
        <v>0</v>
      </c>
      <c r="Z212" s="54">
        <f t="shared" si="62"/>
        <v>0</v>
      </c>
      <c r="AA212" s="54">
        <f t="shared" si="97"/>
        <v>0</v>
      </c>
      <c r="AB212" s="54">
        <f t="shared" si="97"/>
        <v>0</v>
      </c>
      <c r="AC212" s="54">
        <f t="shared" si="97"/>
        <v>0</v>
      </c>
      <c r="AD212" s="54">
        <f t="shared" si="97"/>
        <v>0</v>
      </c>
      <c r="AE212" s="54">
        <f t="shared" si="97"/>
        <v>0</v>
      </c>
      <c r="AF212" s="54">
        <f t="shared" si="97"/>
        <v>0</v>
      </c>
      <c r="AG212" s="54">
        <f t="shared" si="97"/>
        <v>0</v>
      </c>
      <c r="AH212" s="54">
        <f t="shared" si="97"/>
        <v>0</v>
      </c>
      <c r="AI212" s="54">
        <f t="shared" si="97"/>
        <v>0</v>
      </c>
      <c r="AJ212" s="54">
        <f t="shared" si="97"/>
        <v>0</v>
      </c>
      <c r="AK212" s="54">
        <f t="shared" ref="AK212" si="114">IF($E113+365&lt;$C$56,0,IF($E113&lt;$C$56,(($E113+365-$C$56)/365)*(($C113/$BN$157)+($D113/$BN$158)),IF($E113&gt;AK$166,0,IF($E113+365&lt;AK$166,($C113/$BN$157)+($D113/$BN$158),((AK$166-$E113)/365)*(($C113/$BN$157)+($D113/$BN$158))))))</f>
        <v>0</v>
      </c>
      <c r="AL212" s="24">
        <f t="shared" si="53"/>
        <v>0</v>
      </c>
      <c r="AM212" s="24">
        <f t="shared" si="54"/>
        <v>0</v>
      </c>
      <c r="AN212" s="55">
        <f t="shared" si="55"/>
        <v>0</v>
      </c>
      <c r="AO212" s="55">
        <f t="shared" si="56"/>
        <v>0</v>
      </c>
      <c r="AP212" s="24"/>
      <c r="AQ212" s="24"/>
      <c r="AR212" s="24"/>
      <c r="AS212" s="24"/>
      <c r="AT212" s="24"/>
      <c r="AU212" s="24"/>
      <c r="AV212" s="24"/>
      <c r="AW212" s="24"/>
      <c r="AX212" s="24"/>
      <c r="AY212" s="24"/>
    </row>
    <row r="213" spans="6:51">
      <c r="T213" s="61"/>
      <c r="U213" s="61"/>
      <c r="V213" s="61"/>
      <c r="W213" s="53"/>
      <c r="X213" s="54"/>
      <c r="Y213" s="25">
        <f t="shared" si="57"/>
        <v>0</v>
      </c>
      <c r="Z213" s="54">
        <f t="shared" si="62"/>
        <v>0</v>
      </c>
      <c r="AA213" s="54">
        <f t="shared" si="97"/>
        <v>0</v>
      </c>
      <c r="AB213" s="54">
        <f t="shared" si="97"/>
        <v>0</v>
      </c>
      <c r="AC213" s="54">
        <f t="shared" si="97"/>
        <v>0</v>
      </c>
      <c r="AD213" s="54">
        <f t="shared" si="97"/>
        <v>0</v>
      </c>
      <c r="AE213" s="54">
        <f t="shared" si="97"/>
        <v>0</v>
      </c>
      <c r="AF213" s="54">
        <f t="shared" si="97"/>
        <v>0</v>
      </c>
      <c r="AG213" s="54">
        <f t="shared" si="97"/>
        <v>0</v>
      </c>
      <c r="AH213" s="54">
        <f t="shared" si="97"/>
        <v>0</v>
      </c>
      <c r="AI213" s="54">
        <f t="shared" si="97"/>
        <v>0</v>
      </c>
      <c r="AJ213" s="54">
        <f t="shared" si="97"/>
        <v>0</v>
      </c>
      <c r="AK213" s="54">
        <f t="shared" ref="AK213" si="115">IF($E114+365&lt;$C$56,0,IF($E114&lt;$C$56,(($E114+365-$C$56)/365)*(($C114/$BN$157)+($D114/$BN$158)),IF($E114&gt;AK$166,0,IF($E114+365&lt;AK$166,($C114/$BN$157)+($D114/$BN$158),((AK$166-$E114)/365)*(($C114/$BN$157)+($D114/$BN$158))))))</f>
        <v>0</v>
      </c>
      <c r="AL213" s="24">
        <f t="shared" si="53"/>
        <v>0</v>
      </c>
      <c r="AM213" s="24">
        <f t="shared" si="54"/>
        <v>0</v>
      </c>
      <c r="AN213" s="55">
        <f t="shared" si="55"/>
        <v>0</v>
      </c>
      <c r="AO213" s="55">
        <f t="shared" si="56"/>
        <v>0</v>
      </c>
      <c r="AP213" s="24"/>
      <c r="AQ213" s="24"/>
      <c r="AR213" s="24"/>
      <c r="AS213" s="24"/>
      <c r="AT213" s="24"/>
      <c r="AU213" s="24"/>
      <c r="AV213" s="24"/>
      <c r="AW213" s="24"/>
      <c r="AX213" s="24"/>
      <c r="AY213" s="24"/>
    </row>
    <row r="214" spans="6:51" ht="13">
      <c r="F214" s="187" t="s">
        <v>490</v>
      </c>
      <c r="G214" s="187">
        <f>SUM(G167:G213)</f>
        <v>-20</v>
      </c>
      <c r="H214" s="187">
        <f t="shared" ref="H214:Q214" si="116">SUM(H167:H213)</f>
        <v>-20</v>
      </c>
      <c r="I214" s="187">
        <f t="shared" si="116"/>
        <v>-170</v>
      </c>
      <c r="J214" s="187">
        <f t="shared" si="116"/>
        <v>-170</v>
      </c>
      <c r="K214" s="187">
        <f t="shared" si="116"/>
        <v>-230</v>
      </c>
      <c r="L214" s="187">
        <f t="shared" si="116"/>
        <v>-230</v>
      </c>
      <c r="M214" s="187">
        <f t="shared" si="116"/>
        <v>-230</v>
      </c>
      <c r="N214" s="187">
        <f t="shared" si="116"/>
        <v>-730</v>
      </c>
      <c r="O214" s="187">
        <f t="shared" si="116"/>
        <v>-930</v>
      </c>
      <c r="P214" s="187">
        <f t="shared" si="116"/>
        <v>-930</v>
      </c>
      <c r="Q214" s="187">
        <f t="shared" si="116"/>
        <v>-930</v>
      </c>
      <c r="T214" s="14"/>
      <c r="U214" s="14"/>
      <c r="V214" s="14"/>
      <c r="W214" s="24"/>
      <c r="X214" s="62" t="e">
        <f>SUM(X168:X213)</f>
        <v>#DIV/0!</v>
      </c>
      <c r="Y214" s="157" t="s">
        <v>84</v>
      </c>
      <c r="AA214" s="155">
        <f>VLOOKUP($A$2,Assumptions!$B$124:$G$147,6,0)*SUM(AA167:AA213)</f>
        <v>0</v>
      </c>
      <c r="AB214" s="155">
        <f>VLOOKUP($A$2,Assumptions!$B$124:$G$147,6,0)*SUM(AB167:AB213)</f>
        <v>-0.30362230815387847</v>
      </c>
      <c r="AC214" s="155">
        <f>VLOOKUP($A$2,Assumptions!$B$124:$G$147,6,0)*SUM(AC167:AC213)</f>
        <v>-2.5807896193079669</v>
      </c>
      <c r="AD214" s="155">
        <f>VLOOKUP($A$2,Assumptions!$B$124:$G$147,6,0)*SUM(AD167:AD213)</f>
        <v>-2.5807896193079669</v>
      </c>
      <c r="AE214" s="155">
        <f>VLOOKUP($A$2,Assumptions!$B$124:$G$147,6,0)*SUM(AE167:AE213)</f>
        <v>-2.5807896193079669</v>
      </c>
      <c r="AF214" s="155">
        <f>VLOOKUP($A$2,Assumptions!$B$124:$G$147,6,0)*SUM(AF167:AF213)</f>
        <v>-3.7898867446360809</v>
      </c>
      <c r="AG214" s="155">
        <f>VLOOKUP($A$2,Assumptions!$B$124:$G$147,6,0)*SUM(AG167:AG213)</f>
        <v>-3.7898867446360809</v>
      </c>
      <c r="AH214" s="155">
        <f>VLOOKUP($A$2,Assumptions!$B$124:$G$147,6,0)*SUM(AH167:AH213)</f>
        <v>-12.438680645106034</v>
      </c>
      <c r="AI214" s="155">
        <f>VLOOKUP($A$2,Assumptions!$B$124:$G$147,6,0)*SUM(AI167:AI213)</f>
        <v>-12.438680645106034</v>
      </c>
      <c r="AJ214" s="155">
        <f>VLOOKUP($A$2,Assumptions!$B$124:$G$147,6,0)*SUM(AJ167:AJ213)</f>
        <v>-15.474903726644818</v>
      </c>
      <c r="AK214" s="155">
        <f>VLOOKUP($A$2,Assumptions!$B$124:$G$147,6,0)*SUM(AK167:AK213)</f>
        <v>-15.474903726644818</v>
      </c>
      <c r="AL214" s="155">
        <f>VLOOKUP($A$2,Assumptions!$B$124:$G$147,6,0)*SUM(AL167:AL213)</f>
        <v>-697.5</v>
      </c>
      <c r="AM214" s="155">
        <f>VLOOKUP($A$2,Assumptions!$B$124:$G$147,6,0)*SUM(AM167:AM213)</f>
        <v>-1057.5</v>
      </c>
      <c r="AN214" s="55">
        <f>SUM(AN167:AN213)</f>
        <v>9611394</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46">
        <f>C64</f>
        <v>63</v>
      </c>
      <c r="AA215" s="156">
        <f>$C$64+AA214</f>
        <v>63</v>
      </c>
      <c r="AB215" s="156">
        <f t="shared" ref="AB215:AE215" si="117">$C$64+AB214</f>
        <v>62.696377691846124</v>
      </c>
      <c r="AC215" s="156">
        <f t="shared" si="117"/>
        <v>60.419210380692036</v>
      </c>
      <c r="AD215" s="156">
        <f t="shared" si="117"/>
        <v>60.419210380692036</v>
      </c>
      <c r="AE215" s="156">
        <f t="shared" si="117"/>
        <v>60.419210380692036</v>
      </c>
      <c r="AF215" s="156">
        <f>$C$64+AF214</f>
        <v>59.210113255363922</v>
      </c>
      <c r="AG215" s="156">
        <f t="shared" ref="AG215:AJ215" si="118">$C$64+AG214</f>
        <v>59.210113255363922</v>
      </c>
      <c r="AH215" s="156">
        <f>$C$64+AH214</f>
        <v>50.561319354893968</v>
      </c>
      <c r="AI215" s="156">
        <f t="shared" si="118"/>
        <v>50.561319354893968</v>
      </c>
      <c r="AJ215" s="156">
        <f t="shared" si="118"/>
        <v>47.525096273355182</v>
      </c>
      <c r="AK215" s="156">
        <f t="shared" ref="AK215" si="119">$C$64+AK214</f>
        <v>47.525096273355182</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20">IF(Z215&lt;$BB$154,(6+(1-Z215/$BB$154)),IF(Z215&lt;$BB$155,5.5+(0.5*(($BB$155-Z215)/($BB$155-$BB$154))),IF(Z215&lt;$BB$156,5-0.5*((Z215)-$BB$156)/($BB$156-$BB$155),IF(Z215&lt;$BB$157,4.5-0.5*((Z215-$BB$157)/($BB$157-$BB$156)),5-0.5*((Z215-$BB$156)/$BH$166)))))</f>
        <v>5.1893950280212673</v>
      </c>
      <c r="AA216" s="154">
        <f t="shared" si="120"/>
        <v>5.1893950280212673</v>
      </c>
      <c r="AB216" s="154">
        <f t="shared" si="120"/>
        <v>5.1981210607315385</v>
      </c>
      <c r="AC216" s="154">
        <f t="shared" si="120"/>
        <v>5.2635663060585705</v>
      </c>
      <c r="AD216" s="154">
        <f t="shared" si="120"/>
        <v>5.2635663060585705</v>
      </c>
      <c r="AE216" s="154">
        <f t="shared" si="120"/>
        <v>5.2635663060585705</v>
      </c>
      <c r="AF216" s="154">
        <f t="shared" si="120"/>
        <v>5.2983154690224481</v>
      </c>
      <c r="AG216" s="154">
        <f t="shared" si="120"/>
        <v>5.2983154690224481</v>
      </c>
      <c r="AH216" s="154">
        <f t="shared" si="120"/>
        <v>5.5468797426384837</v>
      </c>
      <c r="AI216" s="154">
        <f t="shared" si="120"/>
        <v>5.5468797426384837</v>
      </c>
      <c r="AJ216" s="154">
        <f t="shared" si="120"/>
        <v>5.6341400697411936</v>
      </c>
      <c r="AK216" s="154">
        <f>IF(AK215&lt;$BB$154,(6+(1-AK215/$BB$154)),IF(AK215&lt;$BB$155,5.5+(0.5*(($BB$155-AK215)/($BB$155-$BB$154))),IF(AK215&lt;$BB$156,5-0.5*((AK215)-$BB$156)/($BB$156-$BB$155),IF(AK215&lt;$BB$157,4.5-0.5*((AK215-$BB$157)/($BB$157-$BB$156)),5-0.5*((AK215-$BB$156)/$BH$166)))))</f>
        <v>5.6341400697411936</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1">IF($E69&lt;G$66,$D69,0)</f>
        <v>0</v>
      </c>
      <c r="H220" s="12">
        <f t="shared" ref="H220:Q220" si="122">IF($E69&gt;H$66,0,IF($E69&lt;H$66-365,$D69,0))</f>
        <v>0</v>
      </c>
      <c r="I220" s="12">
        <f t="shared" si="122"/>
        <v>0</v>
      </c>
      <c r="J220" s="12">
        <f t="shared" si="122"/>
        <v>0</v>
      </c>
      <c r="K220" s="12">
        <f t="shared" si="122"/>
        <v>0</v>
      </c>
      <c r="L220" s="12">
        <f t="shared" si="122"/>
        <v>0</v>
      </c>
      <c r="M220" s="12">
        <f t="shared" si="122"/>
        <v>0</v>
      </c>
      <c r="N220" s="12">
        <f t="shared" si="122"/>
        <v>0</v>
      </c>
      <c r="O220" s="12">
        <f t="shared" si="122"/>
        <v>0</v>
      </c>
      <c r="P220" s="12">
        <f t="shared" si="122"/>
        <v>0</v>
      </c>
      <c r="Q220" s="12">
        <f t="shared" si="122"/>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1"/>
        <v>0</v>
      </c>
      <c r="H221" s="12">
        <f t="shared" ref="H221:Q221" si="123">IF($E70&gt;H$66,0,IF($E70&lt;H$66-365,$D70,0))</f>
        <v>0</v>
      </c>
      <c r="I221" s="12">
        <f t="shared" si="123"/>
        <v>0</v>
      </c>
      <c r="J221" s="12">
        <f t="shared" si="123"/>
        <v>0</v>
      </c>
      <c r="K221" s="12">
        <f t="shared" si="123"/>
        <v>0</v>
      </c>
      <c r="L221" s="12">
        <f t="shared" si="123"/>
        <v>0</v>
      </c>
      <c r="M221" s="12">
        <f t="shared" si="123"/>
        <v>0</v>
      </c>
      <c r="N221" s="12">
        <f t="shared" si="123"/>
        <v>-1100</v>
      </c>
      <c r="O221" s="12">
        <f t="shared" si="123"/>
        <v>-1100</v>
      </c>
      <c r="P221" s="12">
        <f t="shared" si="123"/>
        <v>-1100</v>
      </c>
      <c r="Q221" s="12">
        <f t="shared" si="123"/>
        <v>-1100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1"/>
        <v>0</v>
      </c>
      <c r="H222" s="12">
        <f t="shared" ref="H222:Q222" si="124">IF($E71&gt;H$66,0,IF($E71&lt;H$66-365,$D71,0))</f>
        <v>0</v>
      </c>
      <c r="I222" s="12">
        <f t="shared" si="124"/>
        <v>0</v>
      </c>
      <c r="J222" s="12">
        <f t="shared" si="124"/>
        <v>0</v>
      </c>
      <c r="K222" s="12">
        <f t="shared" si="124"/>
        <v>0</v>
      </c>
      <c r="L222" s="12">
        <f t="shared" si="124"/>
        <v>-160</v>
      </c>
      <c r="M222" s="12">
        <f t="shared" si="124"/>
        <v>-160</v>
      </c>
      <c r="N222" s="12">
        <f t="shared" si="124"/>
        <v>-160</v>
      </c>
      <c r="O222" s="12">
        <f t="shared" si="124"/>
        <v>-160</v>
      </c>
      <c r="P222" s="12">
        <f t="shared" si="124"/>
        <v>-160</v>
      </c>
      <c r="Q222" s="12">
        <f t="shared" si="124"/>
        <v>-160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1"/>
        <v>0</v>
      </c>
      <c r="H223" s="12">
        <f t="shared" ref="H223:Q223" si="125">IF($E72&gt;H$66,0,IF($E72&lt;H$66-365,$D72,0))</f>
        <v>0</v>
      </c>
      <c r="I223" s="12">
        <f t="shared" si="125"/>
        <v>0</v>
      </c>
      <c r="J223" s="12">
        <f t="shared" si="125"/>
        <v>0</v>
      </c>
      <c r="K223" s="12">
        <f t="shared" si="125"/>
        <v>0</v>
      </c>
      <c r="L223" s="12">
        <f t="shared" si="125"/>
        <v>-150</v>
      </c>
      <c r="M223" s="12">
        <f t="shared" si="125"/>
        <v>-150</v>
      </c>
      <c r="N223" s="12">
        <f t="shared" si="125"/>
        <v>-150</v>
      </c>
      <c r="O223" s="12">
        <f t="shared" si="125"/>
        <v>-150</v>
      </c>
      <c r="P223" s="12">
        <f t="shared" si="125"/>
        <v>-150</v>
      </c>
      <c r="Q223" s="12">
        <f t="shared" si="125"/>
        <v>-150</v>
      </c>
      <c r="T223" s="20"/>
      <c r="U223" s="20"/>
      <c r="V223" s="20"/>
    </row>
    <row r="224" spans="6:51">
      <c r="G224" s="12">
        <f t="shared" si="121"/>
        <v>0</v>
      </c>
      <c r="H224" s="12">
        <f t="shared" ref="H224:Q224" si="126">IF($E73&gt;H$66,0,IF($E73&lt;H$66-365,$D73,0))</f>
        <v>0</v>
      </c>
      <c r="I224" s="12">
        <f t="shared" si="126"/>
        <v>0</v>
      </c>
      <c r="J224" s="12">
        <f t="shared" si="126"/>
        <v>0</v>
      </c>
      <c r="K224" s="12">
        <f t="shared" si="126"/>
        <v>0</v>
      </c>
      <c r="L224" s="12">
        <f t="shared" si="126"/>
        <v>0</v>
      </c>
      <c r="M224" s="12">
        <f t="shared" si="126"/>
        <v>0</v>
      </c>
      <c r="N224" s="12">
        <f t="shared" si="126"/>
        <v>0</v>
      </c>
      <c r="O224" s="12">
        <f t="shared" si="126"/>
        <v>0</v>
      </c>
      <c r="P224" s="12">
        <f t="shared" si="126"/>
        <v>0</v>
      </c>
      <c r="Q224" s="12">
        <f t="shared" si="126"/>
        <v>0</v>
      </c>
      <c r="T224" s="20"/>
      <c r="U224" s="20"/>
      <c r="V224" s="20"/>
    </row>
    <row r="225" spans="7:17">
      <c r="G225" s="12">
        <f t="shared" si="121"/>
        <v>0</v>
      </c>
      <c r="H225" s="12">
        <f t="shared" ref="H225:Q225" si="127">IF($E74&gt;H$66,0,IF($E74&lt;H$66-365,$D74,0))</f>
        <v>0</v>
      </c>
      <c r="I225" s="12">
        <f t="shared" si="127"/>
        <v>0</v>
      </c>
      <c r="J225" s="12">
        <f t="shared" si="127"/>
        <v>0</v>
      </c>
      <c r="K225" s="12">
        <f t="shared" si="127"/>
        <v>0</v>
      </c>
      <c r="L225" s="12">
        <f t="shared" si="127"/>
        <v>0</v>
      </c>
      <c r="M225" s="12">
        <f t="shared" si="127"/>
        <v>0</v>
      </c>
      <c r="N225" s="12">
        <f t="shared" si="127"/>
        <v>0</v>
      </c>
      <c r="O225" s="12">
        <f t="shared" si="127"/>
        <v>0</v>
      </c>
      <c r="P225" s="12">
        <f t="shared" si="127"/>
        <v>0</v>
      </c>
      <c r="Q225" s="12">
        <f t="shared" si="127"/>
        <v>0</v>
      </c>
    </row>
    <row r="226" spans="7:17">
      <c r="G226" s="12">
        <f t="shared" si="121"/>
        <v>0</v>
      </c>
      <c r="H226" s="12">
        <f t="shared" ref="H226:Q226" si="128">IF($E75&gt;H$66,0,IF($E75&lt;H$66-365,$D75,0))</f>
        <v>0</v>
      </c>
      <c r="I226" s="12">
        <f t="shared" si="128"/>
        <v>0</v>
      </c>
      <c r="J226" s="12">
        <f t="shared" si="128"/>
        <v>0</v>
      </c>
      <c r="K226" s="12">
        <f t="shared" si="128"/>
        <v>0</v>
      </c>
      <c r="L226" s="12">
        <f t="shared" si="128"/>
        <v>0</v>
      </c>
      <c r="M226" s="12">
        <f t="shared" si="128"/>
        <v>0</v>
      </c>
      <c r="N226" s="12">
        <f t="shared" si="128"/>
        <v>0</v>
      </c>
      <c r="O226" s="12">
        <f t="shared" si="128"/>
        <v>0</v>
      </c>
      <c r="P226" s="12">
        <f t="shared" si="128"/>
        <v>0</v>
      </c>
      <c r="Q226" s="12">
        <f t="shared" si="128"/>
        <v>0</v>
      </c>
    </row>
    <row r="227" spans="7:17">
      <c r="G227" s="12">
        <f t="shared" si="121"/>
        <v>0</v>
      </c>
      <c r="H227" s="12">
        <f t="shared" ref="H227:Q227" si="129">IF($E76&gt;H$66,0,IF($E76&lt;H$66-365,$D76,0))</f>
        <v>0</v>
      </c>
      <c r="I227" s="12">
        <f t="shared" si="129"/>
        <v>0</v>
      </c>
      <c r="J227" s="12">
        <f t="shared" si="129"/>
        <v>0</v>
      </c>
      <c r="K227" s="12">
        <f t="shared" si="129"/>
        <v>0</v>
      </c>
      <c r="L227" s="12">
        <f t="shared" si="129"/>
        <v>0</v>
      </c>
      <c r="M227" s="12">
        <f t="shared" si="129"/>
        <v>0</v>
      </c>
      <c r="N227" s="12">
        <f t="shared" si="129"/>
        <v>0</v>
      </c>
      <c r="O227" s="12">
        <f t="shared" si="129"/>
        <v>0</v>
      </c>
      <c r="P227" s="12">
        <f t="shared" si="129"/>
        <v>0</v>
      </c>
      <c r="Q227" s="12">
        <f t="shared" si="129"/>
        <v>0</v>
      </c>
    </row>
    <row r="228" spans="7:17">
      <c r="G228" s="12">
        <f t="shared" si="121"/>
        <v>0</v>
      </c>
      <c r="H228" s="12">
        <f t="shared" ref="H228:Q228" si="130">IF($E77&gt;H$66,0,IF($E77&lt;H$66-365,$D77,0))</f>
        <v>0</v>
      </c>
      <c r="I228" s="12">
        <f t="shared" si="130"/>
        <v>0</v>
      </c>
      <c r="J228" s="12">
        <f t="shared" si="130"/>
        <v>0</v>
      </c>
      <c r="K228" s="12">
        <f t="shared" si="130"/>
        <v>0</v>
      </c>
      <c r="L228" s="12">
        <f t="shared" si="130"/>
        <v>0</v>
      </c>
      <c r="M228" s="12">
        <f t="shared" si="130"/>
        <v>0</v>
      </c>
      <c r="N228" s="12">
        <f t="shared" si="130"/>
        <v>0</v>
      </c>
      <c r="O228" s="12">
        <f t="shared" si="130"/>
        <v>0</v>
      </c>
      <c r="P228" s="12">
        <f t="shared" si="130"/>
        <v>0</v>
      </c>
      <c r="Q228" s="12">
        <f t="shared" si="130"/>
        <v>0</v>
      </c>
    </row>
    <row r="229" spans="7:17">
      <c r="G229" s="12">
        <f t="shared" si="121"/>
        <v>0</v>
      </c>
      <c r="H229" s="12">
        <f t="shared" ref="H229:Q229" si="131">IF($E78&gt;H$66,0,IF($E78&lt;H$66-365,$D78,0))</f>
        <v>0</v>
      </c>
      <c r="I229" s="12">
        <f t="shared" si="131"/>
        <v>0</v>
      </c>
      <c r="J229" s="12">
        <f t="shared" si="131"/>
        <v>0</v>
      </c>
      <c r="K229" s="12">
        <f t="shared" si="131"/>
        <v>0</v>
      </c>
      <c r="L229" s="12">
        <f t="shared" si="131"/>
        <v>0</v>
      </c>
      <c r="M229" s="12">
        <f t="shared" si="131"/>
        <v>0</v>
      </c>
      <c r="N229" s="12">
        <f t="shared" si="131"/>
        <v>0</v>
      </c>
      <c r="O229" s="12">
        <f t="shared" si="131"/>
        <v>0</v>
      </c>
      <c r="P229" s="12">
        <f t="shared" si="131"/>
        <v>0</v>
      </c>
      <c r="Q229" s="12">
        <f t="shared" si="131"/>
        <v>0</v>
      </c>
    </row>
    <row r="230" spans="7:17">
      <c r="G230" s="12">
        <f t="shared" si="121"/>
        <v>0</v>
      </c>
      <c r="H230" s="12">
        <f t="shared" ref="H230:Q230" si="132">IF($E79&gt;H$66,0,IF($E79&lt;H$66-365,$D79,0))</f>
        <v>0</v>
      </c>
      <c r="I230" s="12">
        <f t="shared" si="132"/>
        <v>0</v>
      </c>
      <c r="J230" s="12">
        <f t="shared" si="132"/>
        <v>0</v>
      </c>
      <c r="K230" s="12">
        <f t="shared" si="132"/>
        <v>0</v>
      </c>
      <c r="L230" s="12">
        <f t="shared" si="132"/>
        <v>0</v>
      </c>
      <c r="M230" s="12">
        <f t="shared" si="132"/>
        <v>0</v>
      </c>
      <c r="N230" s="12">
        <f t="shared" si="132"/>
        <v>0</v>
      </c>
      <c r="O230" s="12">
        <f t="shared" si="132"/>
        <v>0</v>
      </c>
      <c r="P230" s="12">
        <f t="shared" si="132"/>
        <v>0</v>
      </c>
      <c r="Q230" s="12">
        <f t="shared" si="132"/>
        <v>0</v>
      </c>
    </row>
    <row r="231" spans="7:17">
      <c r="G231" s="12">
        <f t="shared" si="121"/>
        <v>0</v>
      </c>
      <c r="H231" s="12">
        <f t="shared" ref="H231:Q231" si="133">IF($E80&gt;H$66,0,IF($E80&lt;H$66-365,$D80,0))</f>
        <v>0</v>
      </c>
      <c r="I231" s="12">
        <f t="shared" si="133"/>
        <v>0</v>
      </c>
      <c r="J231" s="12">
        <f t="shared" si="133"/>
        <v>0</v>
      </c>
      <c r="K231" s="12">
        <f t="shared" si="133"/>
        <v>0</v>
      </c>
      <c r="L231" s="12">
        <f t="shared" si="133"/>
        <v>0</v>
      </c>
      <c r="M231" s="12">
        <f t="shared" si="133"/>
        <v>0</v>
      </c>
      <c r="N231" s="12">
        <f t="shared" si="133"/>
        <v>0</v>
      </c>
      <c r="O231" s="12">
        <f t="shared" si="133"/>
        <v>0</v>
      </c>
      <c r="P231" s="12">
        <f t="shared" si="133"/>
        <v>0</v>
      </c>
      <c r="Q231" s="12">
        <f t="shared" si="133"/>
        <v>0</v>
      </c>
    </row>
    <row r="232" spans="7:17">
      <c r="G232" s="12">
        <f t="shared" si="121"/>
        <v>0</v>
      </c>
      <c r="H232" s="12">
        <f t="shared" ref="H232:Q232" si="134">IF($E81&gt;H$66,0,IF($E81&lt;H$66-365,$D81,0))</f>
        <v>0</v>
      </c>
      <c r="I232" s="12">
        <f t="shared" si="134"/>
        <v>0</v>
      </c>
      <c r="J232" s="12">
        <f t="shared" si="134"/>
        <v>0</v>
      </c>
      <c r="K232" s="12">
        <f t="shared" si="134"/>
        <v>0</v>
      </c>
      <c r="L232" s="12">
        <f t="shared" si="134"/>
        <v>0</v>
      </c>
      <c r="M232" s="12">
        <f t="shared" si="134"/>
        <v>0</v>
      </c>
      <c r="N232" s="12">
        <f t="shared" si="134"/>
        <v>0</v>
      </c>
      <c r="O232" s="12">
        <f t="shared" si="134"/>
        <v>0</v>
      </c>
      <c r="P232" s="12">
        <f t="shared" si="134"/>
        <v>0</v>
      </c>
      <c r="Q232" s="12">
        <f t="shared" si="134"/>
        <v>0</v>
      </c>
    </row>
    <row r="233" spans="7:17">
      <c r="G233" s="12">
        <f t="shared" si="121"/>
        <v>0</v>
      </c>
      <c r="H233" s="12">
        <f t="shared" ref="H233:Q233" si="135">IF($E82&gt;H$66,0,IF($E82&lt;H$66-365,$D82,0))</f>
        <v>0</v>
      </c>
      <c r="I233" s="12">
        <f t="shared" si="135"/>
        <v>0</v>
      </c>
      <c r="J233" s="12">
        <f t="shared" si="135"/>
        <v>0</v>
      </c>
      <c r="K233" s="12">
        <f t="shared" si="135"/>
        <v>0</v>
      </c>
      <c r="L233" s="12">
        <f t="shared" si="135"/>
        <v>0</v>
      </c>
      <c r="M233" s="12">
        <f t="shared" si="135"/>
        <v>0</v>
      </c>
      <c r="N233" s="12">
        <f t="shared" si="135"/>
        <v>0</v>
      </c>
      <c r="O233" s="12">
        <f t="shared" si="135"/>
        <v>0</v>
      </c>
      <c r="P233" s="12">
        <f t="shared" si="135"/>
        <v>0</v>
      </c>
      <c r="Q233" s="12">
        <f t="shared" si="135"/>
        <v>0</v>
      </c>
    </row>
    <row r="234" spans="7:17">
      <c r="G234" s="12">
        <f t="shared" si="121"/>
        <v>0</v>
      </c>
      <c r="H234" s="12">
        <f t="shared" ref="H234:Q234" si="136">IF($E83&gt;H$66,0,IF($E83&lt;H$66-365,$D83,0))</f>
        <v>0</v>
      </c>
      <c r="I234" s="12">
        <f t="shared" si="136"/>
        <v>0</v>
      </c>
      <c r="J234" s="12">
        <f t="shared" si="136"/>
        <v>0</v>
      </c>
      <c r="K234" s="12">
        <f t="shared" si="136"/>
        <v>0</v>
      </c>
      <c r="L234" s="12">
        <f t="shared" si="136"/>
        <v>0</v>
      </c>
      <c r="M234" s="12">
        <f t="shared" si="136"/>
        <v>0</v>
      </c>
      <c r="N234" s="12">
        <f t="shared" si="136"/>
        <v>0</v>
      </c>
      <c r="O234" s="12">
        <f t="shared" si="136"/>
        <v>0</v>
      </c>
      <c r="P234" s="12">
        <f t="shared" si="136"/>
        <v>0</v>
      </c>
      <c r="Q234" s="12">
        <f t="shared" si="136"/>
        <v>0</v>
      </c>
    </row>
    <row r="235" spans="7:17">
      <c r="G235" s="12">
        <f t="shared" si="121"/>
        <v>0</v>
      </c>
      <c r="H235" s="12">
        <f t="shared" ref="H235:Q235" si="137">IF($E84&gt;H$66,0,IF($E84&lt;H$66-365,$D84,0))</f>
        <v>0</v>
      </c>
      <c r="I235" s="12">
        <f t="shared" si="137"/>
        <v>0</v>
      </c>
      <c r="J235" s="12">
        <f t="shared" si="137"/>
        <v>0</v>
      </c>
      <c r="K235" s="12">
        <f t="shared" si="137"/>
        <v>0</v>
      </c>
      <c r="L235" s="12">
        <f t="shared" si="137"/>
        <v>0</v>
      </c>
      <c r="M235" s="12">
        <f t="shared" si="137"/>
        <v>0</v>
      </c>
      <c r="N235" s="12">
        <f t="shared" si="137"/>
        <v>0</v>
      </c>
      <c r="O235" s="12">
        <f t="shared" si="137"/>
        <v>0</v>
      </c>
      <c r="P235" s="12">
        <f t="shared" si="137"/>
        <v>0</v>
      </c>
      <c r="Q235" s="12">
        <f t="shared" si="137"/>
        <v>0</v>
      </c>
    </row>
    <row r="236" spans="7:17">
      <c r="G236" s="12">
        <f t="shared" si="121"/>
        <v>0</v>
      </c>
      <c r="H236" s="12">
        <f t="shared" ref="H236:Q236" si="138">IF($E85&gt;H$66,0,IF($E85&lt;H$66-365,$D85,0))</f>
        <v>0</v>
      </c>
      <c r="I236" s="12">
        <f t="shared" si="138"/>
        <v>0</v>
      </c>
      <c r="J236" s="12">
        <f t="shared" si="138"/>
        <v>0</v>
      </c>
      <c r="K236" s="12">
        <f t="shared" si="138"/>
        <v>0</v>
      </c>
      <c r="L236" s="12">
        <f t="shared" si="138"/>
        <v>0</v>
      </c>
      <c r="M236" s="12">
        <f t="shared" si="138"/>
        <v>0</v>
      </c>
      <c r="N236" s="12">
        <f t="shared" si="138"/>
        <v>0</v>
      </c>
      <c r="O236" s="12">
        <f t="shared" si="138"/>
        <v>0</v>
      </c>
      <c r="P236" s="12">
        <f t="shared" si="138"/>
        <v>0</v>
      </c>
      <c r="Q236" s="12">
        <f t="shared" si="138"/>
        <v>0</v>
      </c>
    </row>
    <row r="237" spans="7:17">
      <c r="G237" s="12">
        <f t="shared" si="121"/>
        <v>0</v>
      </c>
      <c r="H237" s="12">
        <f t="shared" ref="H237:Q237" si="139">IF($E86&gt;H$66,0,IF($E86&lt;H$66-365,$D86,0))</f>
        <v>0</v>
      </c>
      <c r="I237" s="12">
        <f t="shared" si="139"/>
        <v>0</v>
      </c>
      <c r="J237" s="12">
        <f t="shared" si="139"/>
        <v>0</v>
      </c>
      <c r="K237" s="12">
        <f t="shared" si="139"/>
        <v>0</v>
      </c>
      <c r="L237" s="12">
        <f t="shared" si="139"/>
        <v>0</v>
      </c>
      <c r="M237" s="12">
        <f t="shared" si="139"/>
        <v>0</v>
      </c>
      <c r="N237" s="12">
        <f t="shared" si="139"/>
        <v>0</v>
      </c>
      <c r="O237" s="12">
        <f t="shared" si="139"/>
        <v>0</v>
      </c>
      <c r="P237" s="12">
        <f t="shared" si="139"/>
        <v>0</v>
      </c>
      <c r="Q237" s="12">
        <f t="shared" si="139"/>
        <v>0</v>
      </c>
    </row>
    <row r="238" spans="7:17">
      <c r="G238" s="12">
        <f t="shared" si="121"/>
        <v>0</v>
      </c>
      <c r="H238" s="12">
        <f t="shared" ref="H238:Q238" si="140">IF($E87&gt;H$66,0,IF($E87&lt;H$66-365,$D87,0))</f>
        <v>0</v>
      </c>
      <c r="I238" s="12">
        <f t="shared" si="140"/>
        <v>0</v>
      </c>
      <c r="J238" s="12">
        <f t="shared" si="140"/>
        <v>0</v>
      </c>
      <c r="K238" s="12">
        <f t="shared" si="140"/>
        <v>0</v>
      </c>
      <c r="L238" s="12">
        <f t="shared" si="140"/>
        <v>0</v>
      </c>
      <c r="M238" s="12">
        <f t="shared" si="140"/>
        <v>0</v>
      </c>
      <c r="N238" s="12">
        <f t="shared" si="140"/>
        <v>0</v>
      </c>
      <c r="O238" s="12">
        <f t="shared" si="140"/>
        <v>0</v>
      </c>
      <c r="P238" s="12">
        <f t="shared" si="140"/>
        <v>0</v>
      </c>
      <c r="Q238" s="12">
        <f t="shared" si="140"/>
        <v>0</v>
      </c>
    </row>
    <row r="239" spans="7:17">
      <c r="G239" s="12">
        <f t="shared" si="121"/>
        <v>0</v>
      </c>
      <c r="H239" s="12">
        <f t="shared" ref="H239:Q239" si="141">IF($E88&gt;H$66,0,IF($E88&lt;H$66-365,$D88,0))</f>
        <v>0</v>
      </c>
      <c r="I239" s="12">
        <f t="shared" si="141"/>
        <v>0</v>
      </c>
      <c r="J239" s="12">
        <f t="shared" si="141"/>
        <v>0</v>
      </c>
      <c r="K239" s="12">
        <f t="shared" si="141"/>
        <v>0</v>
      </c>
      <c r="L239" s="12">
        <f t="shared" si="141"/>
        <v>0</v>
      </c>
      <c r="M239" s="12">
        <f t="shared" si="141"/>
        <v>0</v>
      </c>
      <c r="N239" s="12">
        <f t="shared" si="141"/>
        <v>0</v>
      </c>
      <c r="O239" s="12">
        <f t="shared" si="141"/>
        <v>0</v>
      </c>
      <c r="P239" s="12">
        <f t="shared" si="141"/>
        <v>0</v>
      </c>
      <c r="Q239" s="12">
        <f t="shared" si="141"/>
        <v>0</v>
      </c>
    </row>
    <row r="240" spans="7:17">
      <c r="G240" s="12">
        <f t="shared" si="121"/>
        <v>0</v>
      </c>
      <c r="H240" s="12">
        <f t="shared" ref="H240:Q240" si="142">IF($E89&gt;H$66,0,IF($E89&lt;H$66-365,$D89,0))</f>
        <v>0</v>
      </c>
      <c r="I240" s="12">
        <f t="shared" si="142"/>
        <v>0</v>
      </c>
      <c r="J240" s="12">
        <f t="shared" si="142"/>
        <v>0</v>
      </c>
      <c r="K240" s="12">
        <f t="shared" si="142"/>
        <v>0</v>
      </c>
      <c r="L240" s="12">
        <f t="shared" si="142"/>
        <v>0</v>
      </c>
      <c r="M240" s="12">
        <f t="shared" si="142"/>
        <v>0</v>
      </c>
      <c r="N240" s="12">
        <f t="shared" si="142"/>
        <v>0</v>
      </c>
      <c r="O240" s="12">
        <f t="shared" si="142"/>
        <v>0</v>
      </c>
      <c r="P240" s="12">
        <f t="shared" si="142"/>
        <v>0</v>
      </c>
      <c r="Q240" s="12">
        <f t="shared" si="142"/>
        <v>0</v>
      </c>
    </row>
    <row r="241" spans="7:17">
      <c r="G241" s="12">
        <f t="shared" si="121"/>
        <v>0</v>
      </c>
      <c r="H241" s="12">
        <f t="shared" ref="H241:Q241" si="143">IF($E90&gt;H$66,0,IF($E90&lt;H$66-365,$D90,0))</f>
        <v>0</v>
      </c>
      <c r="I241" s="12">
        <f t="shared" si="143"/>
        <v>0</v>
      </c>
      <c r="J241" s="12">
        <f t="shared" si="143"/>
        <v>0</v>
      </c>
      <c r="K241" s="12">
        <f t="shared" si="143"/>
        <v>0</v>
      </c>
      <c r="L241" s="12">
        <f t="shared" si="143"/>
        <v>0</v>
      </c>
      <c r="M241" s="12">
        <f t="shared" si="143"/>
        <v>0</v>
      </c>
      <c r="N241" s="12">
        <f t="shared" si="143"/>
        <v>0</v>
      </c>
      <c r="O241" s="12">
        <f t="shared" si="143"/>
        <v>0</v>
      </c>
      <c r="P241" s="12">
        <f t="shared" si="143"/>
        <v>0</v>
      </c>
      <c r="Q241" s="12">
        <f t="shared" si="143"/>
        <v>0</v>
      </c>
    </row>
    <row r="242" spans="7:17">
      <c r="G242" s="12">
        <f t="shared" si="121"/>
        <v>0</v>
      </c>
      <c r="H242" s="12">
        <f t="shared" ref="H242:Q242" si="144">IF($E91&gt;H$66,0,IF($E91&lt;H$66-365,$D91,0))</f>
        <v>0</v>
      </c>
      <c r="I242" s="12">
        <f t="shared" si="144"/>
        <v>0</v>
      </c>
      <c r="J242" s="12">
        <f t="shared" si="144"/>
        <v>0</v>
      </c>
      <c r="K242" s="12">
        <f t="shared" si="144"/>
        <v>0</v>
      </c>
      <c r="L242" s="12">
        <f t="shared" si="144"/>
        <v>0</v>
      </c>
      <c r="M242" s="12">
        <f t="shared" si="144"/>
        <v>0</v>
      </c>
      <c r="N242" s="12">
        <f t="shared" si="144"/>
        <v>0</v>
      </c>
      <c r="O242" s="12">
        <f t="shared" si="144"/>
        <v>0</v>
      </c>
      <c r="P242" s="12">
        <f t="shared" si="144"/>
        <v>0</v>
      </c>
      <c r="Q242" s="12">
        <f t="shared" si="144"/>
        <v>0</v>
      </c>
    </row>
    <row r="243" spans="7:17">
      <c r="G243" s="12">
        <f t="shared" si="121"/>
        <v>0</v>
      </c>
      <c r="H243" s="12">
        <f t="shared" ref="H243:Q243" si="145">IF($E92&gt;H$66,0,IF($E92&lt;H$66-365,$D92,0))</f>
        <v>0</v>
      </c>
      <c r="I243" s="12">
        <f t="shared" si="145"/>
        <v>0</v>
      </c>
      <c r="J243" s="12">
        <f t="shared" si="145"/>
        <v>0</v>
      </c>
      <c r="K243" s="12">
        <f t="shared" si="145"/>
        <v>0</v>
      </c>
      <c r="L243" s="12">
        <f t="shared" si="145"/>
        <v>0</v>
      </c>
      <c r="M243" s="12">
        <f t="shared" si="145"/>
        <v>0</v>
      </c>
      <c r="N243" s="12">
        <f t="shared" si="145"/>
        <v>0</v>
      </c>
      <c r="O243" s="12">
        <f t="shared" si="145"/>
        <v>0</v>
      </c>
      <c r="P243" s="12">
        <f t="shared" si="145"/>
        <v>0</v>
      </c>
      <c r="Q243" s="12">
        <f t="shared" si="145"/>
        <v>0</v>
      </c>
    </row>
    <row r="244" spans="7:17">
      <c r="G244" s="12">
        <f t="shared" si="121"/>
        <v>0</v>
      </c>
      <c r="H244" s="12">
        <f t="shared" ref="H244:Q244" si="146">IF($E93&gt;H$66,0,IF($E93&lt;H$66-365,$D93,0))</f>
        <v>0</v>
      </c>
      <c r="I244" s="12">
        <f t="shared" si="146"/>
        <v>0</v>
      </c>
      <c r="J244" s="12">
        <f t="shared" si="146"/>
        <v>0</v>
      </c>
      <c r="K244" s="12">
        <f t="shared" si="146"/>
        <v>0</v>
      </c>
      <c r="L244" s="12">
        <f t="shared" si="146"/>
        <v>0</v>
      </c>
      <c r="M244" s="12">
        <f t="shared" si="146"/>
        <v>0</v>
      </c>
      <c r="N244" s="12">
        <f t="shared" si="146"/>
        <v>0</v>
      </c>
      <c r="O244" s="12">
        <f t="shared" si="146"/>
        <v>0</v>
      </c>
      <c r="P244" s="12">
        <f t="shared" si="146"/>
        <v>0</v>
      </c>
      <c r="Q244" s="12">
        <f t="shared" si="146"/>
        <v>0</v>
      </c>
    </row>
    <row r="245" spans="7:17">
      <c r="G245" s="12">
        <f t="shared" si="121"/>
        <v>0</v>
      </c>
      <c r="H245" s="12">
        <f t="shared" ref="H245:Q245" si="147">IF($E94&gt;H$66,0,IF($E94&lt;H$66-365,$D94,0))</f>
        <v>0</v>
      </c>
      <c r="I245" s="12">
        <f t="shared" si="147"/>
        <v>0</v>
      </c>
      <c r="J245" s="12">
        <f t="shared" si="147"/>
        <v>0</v>
      </c>
      <c r="K245" s="12">
        <f t="shared" si="147"/>
        <v>0</v>
      </c>
      <c r="L245" s="12">
        <f t="shared" si="147"/>
        <v>0</v>
      </c>
      <c r="M245" s="12">
        <f t="shared" si="147"/>
        <v>0</v>
      </c>
      <c r="N245" s="12">
        <f t="shared" si="147"/>
        <v>0</v>
      </c>
      <c r="O245" s="12">
        <f t="shared" si="147"/>
        <v>0</v>
      </c>
      <c r="P245" s="12">
        <f t="shared" si="147"/>
        <v>0</v>
      </c>
      <c r="Q245" s="12">
        <f t="shared" si="147"/>
        <v>0</v>
      </c>
    </row>
    <row r="246" spans="7:17">
      <c r="G246" s="12">
        <f t="shared" si="121"/>
        <v>0</v>
      </c>
      <c r="H246" s="12">
        <f t="shared" ref="H246:Q246" si="148">IF($E95&gt;H$66,0,IF($E95&lt;H$66-365,$D95,0))</f>
        <v>0</v>
      </c>
      <c r="I246" s="12">
        <f t="shared" si="148"/>
        <v>0</v>
      </c>
      <c r="J246" s="12">
        <f t="shared" si="148"/>
        <v>0</v>
      </c>
      <c r="K246" s="12">
        <f t="shared" si="148"/>
        <v>0</v>
      </c>
      <c r="L246" s="12">
        <f t="shared" si="148"/>
        <v>0</v>
      </c>
      <c r="M246" s="12">
        <f t="shared" si="148"/>
        <v>0</v>
      </c>
      <c r="N246" s="12">
        <f t="shared" si="148"/>
        <v>0</v>
      </c>
      <c r="O246" s="12">
        <f t="shared" si="148"/>
        <v>0</v>
      </c>
      <c r="P246" s="12">
        <f t="shared" si="148"/>
        <v>0</v>
      </c>
      <c r="Q246" s="12">
        <f t="shared" si="148"/>
        <v>0</v>
      </c>
    </row>
    <row r="247" spans="7:17">
      <c r="G247" s="12">
        <f t="shared" si="121"/>
        <v>0</v>
      </c>
      <c r="H247" s="12">
        <f t="shared" ref="H247:Q247" si="149">IF($E96&gt;H$66,0,IF($E96&lt;H$66-365,$D96,0))</f>
        <v>0</v>
      </c>
      <c r="I247" s="12">
        <f t="shared" si="149"/>
        <v>0</v>
      </c>
      <c r="J247" s="12">
        <f t="shared" si="149"/>
        <v>0</v>
      </c>
      <c r="K247" s="12">
        <f t="shared" si="149"/>
        <v>0</v>
      </c>
      <c r="L247" s="12">
        <f t="shared" si="149"/>
        <v>0</v>
      </c>
      <c r="M247" s="12">
        <f t="shared" si="149"/>
        <v>0</v>
      </c>
      <c r="N247" s="12">
        <f t="shared" si="149"/>
        <v>0</v>
      </c>
      <c r="O247" s="12">
        <f t="shared" si="149"/>
        <v>0</v>
      </c>
      <c r="P247" s="12">
        <f t="shared" si="149"/>
        <v>0</v>
      </c>
      <c r="Q247" s="12">
        <f t="shared" si="149"/>
        <v>0</v>
      </c>
    </row>
    <row r="248" spans="7:17">
      <c r="G248" s="12">
        <f t="shared" si="121"/>
        <v>0</v>
      </c>
      <c r="H248" s="12">
        <f t="shared" ref="H248:Q248" si="150">IF($E97&gt;H$66,0,IF($E97&lt;H$66-365,$D97,0))</f>
        <v>0</v>
      </c>
      <c r="I248" s="12">
        <f t="shared" si="150"/>
        <v>0</v>
      </c>
      <c r="J248" s="12">
        <f t="shared" si="150"/>
        <v>0</v>
      </c>
      <c r="K248" s="12">
        <f t="shared" si="150"/>
        <v>0</v>
      </c>
      <c r="L248" s="12">
        <f t="shared" si="150"/>
        <v>0</v>
      </c>
      <c r="M248" s="12">
        <f t="shared" si="150"/>
        <v>0</v>
      </c>
      <c r="N248" s="12">
        <f t="shared" si="150"/>
        <v>0</v>
      </c>
      <c r="O248" s="12">
        <f t="shared" si="150"/>
        <v>0</v>
      </c>
      <c r="P248" s="12">
        <f t="shared" si="150"/>
        <v>0</v>
      </c>
      <c r="Q248" s="12">
        <f t="shared" si="150"/>
        <v>0</v>
      </c>
    </row>
    <row r="249" spans="7:17">
      <c r="G249" s="12">
        <f t="shared" si="121"/>
        <v>0</v>
      </c>
      <c r="H249" s="12">
        <f t="shared" ref="H249:Q249" si="151">IF($E98&gt;H$66,0,IF($E98&lt;H$66-365,$D98,0))</f>
        <v>0</v>
      </c>
      <c r="I249" s="12">
        <f t="shared" si="151"/>
        <v>0</v>
      </c>
      <c r="J249" s="12">
        <f t="shared" si="151"/>
        <v>0</v>
      </c>
      <c r="K249" s="12">
        <f t="shared" si="151"/>
        <v>0</v>
      </c>
      <c r="L249" s="12">
        <f t="shared" si="151"/>
        <v>0</v>
      </c>
      <c r="M249" s="12">
        <f t="shared" si="151"/>
        <v>0</v>
      </c>
      <c r="N249" s="12">
        <f t="shared" si="151"/>
        <v>0</v>
      </c>
      <c r="O249" s="12">
        <f t="shared" si="151"/>
        <v>0</v>
      </c>
      <c r="P249" s="12">
        <f t="shared" si="151"/>
        <v>0</v>
      </c>
      <c r="Q249" s="12">
        <f t="shared" si="151"/>
        <v>0</v>
      </c>
    </row>
    <row r="250" spans="7:17">
      <c r="G250" s="12">
        <f t="shared" si="121"/>
        <v>0</v>
      </c>
      <c r="H250" s="12">
        <f t="shared" ref="H250:Q250" si="152">IF($E99&gt;H$66,0,IF($E99&lt;H$66-365,$D99,0))</f>
        <v>0</v>
      </c>
      <c r="I250" s="12">
        <f t="shared" si="152"/>
        <v>0</v>
      </c>
      <c r="J250" s="12">
        <f t="shared" si="152"/>
        <v>0</v>
      </c>
      <c r="K250" s="12">
        <f t="shared" si="152"/>
        <v>0</v>
      </c>
      <c r="L250" s="12">
        <f t="shared" si="152"/>
        <v>0</v>
      </c>
      <c r="M250" s="12">
        <f t="shared" si="152"/>
        <v>0</v>
      </c>
      <c r="N250" s="12">
        <f t="shared" si="152"/>
        <v>0</v>
      </c>
      <c r="O250" s="12">
        <f t="shared" si="152"/>
        <v>0</v>
      </c>
      <c r="P250" s="12">
        <f t="shared" si="152"/>
        <v>0</v>
      </c>
      <c r="Q250" s="12">
        <f t="shared" si="152"/>
        <v>0</v>
      </c>
    </row>
    <row r="251" spans="7:17">
      <c r="G251" s="12">
        <f t="shared" si="121"/>
        <v>0</v>
      </c>
      <c r="H251" s="12">
        <f t="shared" ref="H251:Q251" si="153">IF($E100&gt;H$66,0,IF($E100&lt;H$66-365,$D100,0))</f>
        <v>0</v>
      </c>
      <c r="I251" s="12">
        <f t="shared" si="153"/>
        <v>0</v>
      </c>
      <c r="J251" s="12">
        <f t="shared" si="153"/>
        <v>0</v>
      </c>
      <c r="K251" s="12">
        <f t="shared" si="153"/>
        <v>0</v>
      </c>
      <c r="L251" s="12">
        <f t="shared" si="153"/>
        <v>0</v>
      </c>
      <c r="M251" s="12">
        <f t="shared" si="153"/>
        <v>0</v>
      </c>
      <c r="N251" s="12">
        <f t="shared" si="153"/>
        <v>0</v>
      </c>
      <c r="O251" s="12">
        <f t="shared" si="153"/>
        <v>0</v>
      </c>
      <c r="P251" s="12">
        <f t="shared" si="153"/>
        <v>0</v>
      </c>
      <c r="Q251" s="12">
        <f t="shared" si="153"/>
        <v>0</v>
      </c>
    </row>
    <row r="252" spans="7:17">
      <c r="G252" s="12">
        <f t="shared" si="121"/>
        <v>0</v>
      </c>
      <c r="H252" s="12">
        <f t="shared" ref="H252:Q252" si="154">IF($E101&gt;H$66,0,IF($E101&lt;H$66-365,$D101,0))</f>
        <v>0</v>
      </c>
      <c r="I252" s="12">
        <f t="shared" si="154"/>
        <v>0</v>
      </c>
      <c r="J252" s="12">
        <f t="shared" si="154"/>
        <v>0</v>
      </c>
      <c r="K252" s="12">
        <f t="shared" si="154"/>
        <v>0</v>
      </c>
      <c r="L252" s="12">
        <f t="shared" si="154"/>
        <v>0</v>
      </c>
      <c r="M252" s="12">
        <f t="shared" si="154"/>
        <v>0</v>
      </c>
      <c r="N252" s="12">
        <f t="shared" si="154"/>
        <v>0</v>
      </c>
      <c r="O252" s="12">
        <f t="shared" si="154"/>
        <v>0</v>
      </c>
      <c r="P252" s="12">
        <f t="shared" si="154"/>
        <v>0</v>
      </c>
      <c r="Q252" s="12">
        <f t="shared" si="154"/>
        <v>0</v>
      </c>
    </row>
    <row r="253" spans="7:17">
      <c r="G253" s="12">
        <f t="shared" si="121"/>
        <v>0</v>
      </c>
      <c r="H253" s="12">
        <f t="shared" ref="H253:Q253" si="155">IF($E102&gt;H$66,0,IF($E102&lt;H$66-365,$D102,0))</f>
        <v>0</v>
      </c>
      <c r="I253" s="12">
        <f t="shared" si="155"/>
        <v>0</v>
      </c>
      <c r="J253" s="12">
        <f t="shared" si="155"/>
        <v>0</v>
      </c>
      <c r="K253" s="12">
        <f t="shared" si="155"/>
        <v>0</v>
      </c>
      <c r="L253" s="12">
        <f t="shared" si="155"/>
        <v>0</v>
      </c>
      <c r="M253" s="12">
        <f t="shared" si="155"/>
        <v>0</v>
      </c>
      <c r="N253" s="12">
        <f t="shared" si="155"/>
        <v>0</v>
      </c>
      <c r="O253" s="12">
        <f t="shared" si="155"/>
        <v>0</v>
      </c>
      <c r="P253" s="12">
        <f t="shared" si="155"/>
        <v>0</v>
      </c>
      <c r="Q253" s="12">
        <f t="shared" si="155"/>
        <v>0</v>
      </c>
    </row>
    <row r="254" spans="7:17">
      <c r="G254" s="12">
        <f t="shared" si="121"/>
        <v>0</v>
      </c>
      <c r="H254" s="12">
        <f t="shared" ref="H254:Q254" si="156">IF($E103&gt;H$66,0,IF($E103&lt;H$66-365,$D103,0))</f>
        <v>0</v>
      </c>
      <c r="I254" s="12">
        <f t="shared" si="156"/>
        <v>0</v>
      </c>
      <c r="J254" s="12">
        <f t="shared" si="156"/>
        <v>0</v>
      </c>
      <c r="K254" s="12">
        <f t="shared" si="156"/>
        <v>0</v>
      </c>
      <c r="L254" s="12">
        <f t="shared" si="156"/>
        <v>0</v>
      </c>
      <c r="M254" s="12">
        <f t="shared" si="156"/>
        <v>0</v>
      </c>
      <c r="N254" s="12">
        <f t="shared" si="156"/>
        <v>0</v>
      </c>
      <c r="O254" s="12">
        <f t="shared" si="156"/>
        <v>0</v>
      </c>
      <c r="P254" s="12">
        <f t="shared" si="156"/>
        <v>0</v>
      </c>
      <c r="Q254" s="12">
        <f t="shared" si="156"/>
        <v>0</v>
      </c>
    </row>
    <row r="255" spans="7:17">
      <c r="G255" s="12">
        <f t="shared" si="121"/>
        <v>0</v>
      </c>
      <c r="H255" s="12">
        <f t="shared" ref="H255:Q255" si="157">IF($E104&gt;H$66,0,IF($E104&lt;H$66-365,$D104,0))</f>
        <v>0</v>
      </c>
      <c r="I255" s="12">
        <f t="shared" si="157"/>
        <v>0</v>
      </c>
      <c r="J255" s="12">
        <f t="shared" si="157"/>
        <v>0</v>
      </c>
      <c r="K255" s="12">
        <f t="shared" si="157"/>
        <v>0</v>
      </c>
      <c r="L255" s="12">
        <f t="shared" si="157"/>
        <v>0</v>
      </c>
      <c r="M255" s="12">
        <f t="shared" si="157"/>
        <v>0</v>
      </c>
      <c r="N255" s="12">
        <f t="shared" si="157"/>
        <v>0</v>
      </c>
      <c r="O255" s="12">
        <f t="shared" si="157"/>
        <v>0</v>
      </c>
      <c r="P255" s="12">
        <f t="shared" si="157"/>
        <v>0</v>
      </c>
      <c r="Q255" s="12">
        <f t="shared" si="157"/>
        <v>0</v>
      </c>
    </row>
    <row r="256" spans="7:17">
      <c r="G256" s="12">
        <f t="shared" si="121"/>
        <v>0</v>
      </c>
      <c r="H256" s="12">
        <f t="shared" ref="H256:Q256" si="158">IF($E105&gt;H$66,0,IF($E105&lt;H$66-365,$D105,0))</f>
        <v>0</v>
      </c>
      <c r="I256" s="12">
        <f t="shared" si="158"/>
        <v>0</v>
      </c>
      <c r="J256" s="12">
        <f t="shared" si="158"/>
        <v>0</v>
      </c>
      <c r="K256" s="12">
        <f t="shared" si="158"/>
        <v>0</v>
      </c>
      <c r="L256" s="12">
        <f t="shared" si="158"/>
        <v>0</v>
      </c>
      <c r="M256" s="12">
        <f t="shared" si="158"/>
        <v>0</v>
      </c>
      <c r="N256" s="12">
        <f t="shared" si="158"/>
        <v>0</v>
      </c>
      <c r="O256" s="12">
        <f t="shared" si="158"/>
        <v>0</v>
      </c>
      <c r="P256" s="12">
        <f t="shared" si="158"/>
        <v>0</v>
      </c>
      <c r="Q256" s="12">
        <f t="shared" si="158"/>
        <v>0</v>
      </c>
    </row>
    <row r="257" spans="5:18">
      <c r="G257" s="12">
        <f t="shared" si="121"/>
        <v>0</v>
      </c>
      <c r="H257" s="12">
        <f t="shared" ref="H257:Q257" si="159">IF($E106&gt;H$66,0,IF($E106&lt;H$66-365,$D106,0))</f>
        <v>0</v>
      </c>
      <c r="I257" s="12">
        <f t="shared" si="159"/>
        <v>0</v>
      </c>
      <c r="J257" s="12">
        <f t="shared" si="159"/>
        <v>0</v>
      </c>
      <c r="K257" s="12">
        <f t="shared" si="159"/>
        <v>0</v>
      </c>
      <c r="L257" s="12">
        <f t="shared" si="159"/>
        <v>0</v>
      </c>
      <c r="M257" s="12">
        <f t="shared" si="159"/>
        <v>0</v>
      </c>
      <c r="N257" s="12">
        <f t="shared" si="159"/>
        <v>0</v>
      </c>
      <c r="O257" s="12">
        <f t="shared" si="159"/>
        <v>0</v>
      </c>
      <c r="P257" s="12">
        <f t="shared" si="159"/>
        <v>0</v>
      </c>
      <c r="Q257" s="12">
        <f t="shared" si="159"/>
        <v>0</v>
      </c>
    </row>
    <row r="258" spans="5:18">
      <c r="G258" s="12">
        <f t="shared" si="121"/>
        <v>0</v>
      </c>
      <c r="H258" s="12">
        <f t="shared" ref="H258:Q258" si="160">IF($E107&gt;H$66,0,IF($E107&lt;H$66-365,$D107,0))</f>
        <v>0</v>
      </c>
      <c r="I258" s="12">
        <f t="shared" si="160"/>
        <v>0</v>
      </c>
      <c r="J258" s="12">
        <f t="shared" si="160"/>
        <v>0</v>
      </c>
      <c r="K258" s="12">
        <f t="shared" si="160"/>
        <v>0</v>
      </c>
      <c r="L258" s="12">
        <f t="shared" si="160"/>
        <v>0</v>
      </c>
      <c r="M258" s="12">
        <f t="shared" si="160"/>
        <v>0</v>
      </c>
      <c r="N258" s="12">
        <f t="shared" si="160"/>
        <v>0</v>
      </c>
      <c r="O258" s="12">
        <f t="shared" si="160"/>
        <v>0</v>
      </c>
      <c r="P258" s="12">
        <f t="shared" si="160"/>
        <v>0</v>
      </c>
      <c r="Q258" s="12">
        <f t="shared" si="160"/>
        <v>0</v>
      </c>
    </row>
    <row r="259" spans="5:18">
      <c r="G259" s="12">
        <f t="shared" si="121"/>
        <v>0</v>
      </c>
      <c r="H259" s="12">
        <f t="shared" ref="H259:Q259" si="161">IF($E108&gt;H$66,0,IF($E108&lt;H$66-365,$D108,0))</f>
        <v>0</v>
      </c>
      <c r="I259" s="12">
        <f t="shared" si="161"/>
        <v>0</v>
      </c>
      <c r="J259" s="12">
        <f t="shared" si="161"/>
        <v>0</v>
      </c>
      <c r="K259" s="12">
        <f t="shared" si="161"/>
        <v>0</v>
      </c>
      <c r="L259" s="12">
        <f t="shared" si="161"/>
        <v>0</v>
      </c>
      <c r="M259" s="12">
        <f t="shared" si="161"/>
        <v>0</v>
      </c>
      <c r="N259" s="12">
        <f t="shared" si="161"/>
        <v>0</v>
      </c>
      <c r="O259" s="12">
        <f t="shared" si="161"/>
        <v>0</v>
      </c>
      <c r="P259" s="12">
        <f t="shared" si="161"/>
        <v>0</v>
      </c>
      <c r="Q259" s="12">
        <f t="shared" si="161"/>
        <v>0</v>
      </c>
    </row>
    <row r="260" spans="5:18">
      <c r="G260" s="12">
        <f t="shared" si="121"/>
        <v>0</v>
      </c>
      <c r="H260" s="12">
        <f t="shared" ref="H260:Q260" si="162">IF($E109&gt;H$66,0,IF($E109&lt;H$66-365,$D109,0))</f>
        <v>0</v>
      </c>
      <c r="I260" s="12">
        <f t="shared" si="162"/>
        <v>0</v>
      </c>
      <c r="J260" s="12">
        <f t="shared" si="162"/>
        <v>0</v>
      </c>
      <c r="K260" s="12">
        <f t="shared" si="162"/>
        <v>0</v>
      </c>
      <c r="L260" s="12">
        <f t="shared" si="162"/>
        <v>0</v>
      </c>
      <c r="M260" s="12">
        <f t="shared" si="162"/>
        <v>0</v>
      </c>
      <c r="N260" s="12">
        <f t="shared" si="162"/>
        <v>0</v>
      </c>
      <c r="O260" s="12">
        <f t="shared" si="162"/>
        <v>0</v>
      </c>
      <c r="P260" s="12">
        <f t="shared" si="162"/>
        <v>0</v>
      </c>
      <c r="Q260" s="12">
        <f t="shared" si="162"/>
        <v>0</v>
      </c>
    </row>
    <row r="261" spans="5:18">
      <c r="G261" s="12">
        <f t="shared" si="121"/>
        <v>0</v>
      </c>
      <c r="H261" s="12">
        <f t="shared" ref="H261:Q261" si="163">IF($E110&gt;H$66,0,IF($E110&lt;H$66-365,$D110,0))</f>
        <v>0</v>
      </c>
      <c r="I261" s="12">
        <f t="shared" si="163"/>
        <v>0</v>
      </c>
      <c r="J261" s="12">
        <f t="shared" si="163"/>
        <v>0</v>
      </c>
      <c r="K261" s="12">
        <f t="shared" si="163"/>
        <v>0</v>
      </c>
      <c r="L261" s="12">
        <f t="shared" si="163"/>
        <v>0</v>
      </c>
      <c r="M261" s="12">
        <f t="shared" si="163"/>
        <v>0</v>
      </c>
      <c r="N261" s="12">
        <f t="shared" si="163"/>
        <v>0</v>
      </c>
      <c r="O261" s="12">
        <f t="shared" si="163"/>
        <v>0</v>
      </c>
      <c r="P261" s="12">
        <f t="shared" si="163"/>
        <v>0</v>
      </c>
      <c r="Q261" s="12">
        <f t="shared" si="163"/>
        <v>0</v>
      </c>
    </row>
    <row r="262" spans="5:18">
      <c r="G262" s="12">
        <f t="shared" si="121"/>
        <v>0</v>
      </c>
      <c r="H262" s="12">
        <f t="shared" ref="H262:Q262" si="164">IF($E111&gt;H$66,0,IF($E111&lt;H$66-365,$D111,0))</f>
        <v>0</v>
      </c>
      <c r="I262" s="12">
        <f t="shared" si="164"/>
        <v>0</v>
      </c>
      <c r="J262" s="12">
        <f t="shared" si="164"/>
        <v>0</v>
      </c>
      <c r="K262" s="12">
        <f t="shared" si="164"/>
        <v>0</v>
      </c>
      <c r="L262" s="12">
        <f t="shared" si="164"/>
        <v>0</v>
      </c>
      <c r="M262" s="12">
        <f t="shared" si="164"/>
        <v>0</v>
      </c>
      <c r="N262" s="12">
        <f t="shared" si="164"/>
        <v>0</v>
      </c>
      <c r="O262" s="12">
        <f t="shared" si="164"/>
        <v>0</v>
      </c>
      <c r="P262" s="12">
        <f t="shared" si="164"/>
        <v>0</v>
      </c>
      <c r="Q262" s="12">
        <f t="shared" si="164"/>
        <v>0</v>
      </c>
    </row>
    <row r="263" spans="5:18">
      <c r="G263" s="12">
        <f t="shared" si="121"/>
        <v>0</v>
      </c>
      <c r="H263" s="12">
        <f t="shared" ref="H263:Q263" si="165">IF($E112&gt;H$66,0,IF($E112&lt;H$66-365,$D112,0))</f>
        <v>0</v>
      </c>
      <c r="I263" s="12">
        <f t="shared" si="165"/>
        <v>0</v>
      </c>
      <c r="J263" s="12">
        <f t="shared" si="165"/>
        <v>0</v>
      </c>
      <c r="K263" s="12">
        <f t="shared" si="165"/>
        <v>0</v>
      </c>
      <c r="L263" s="12">
        <f t="shared" si="165"/>
        <v>0</v>
      </c>
      <c r="M263" s="12">
        <f t="shared" si="165"/>
        <v>0</v>
      </c>
      <c r="N263" s="12">
        <f t="shared" si="165"/>
        <v>0</v>
      </c>
      <c r="O263" s="12">
        <f t="shared" si="165"/>
        <v>0</v>
      </c>
      <c r="P263" s="12">
        <f t="shared" si="165"/>
        <v>0</v>
      </c>
      <c r="Q263" s="12">
        <f t="shared" si="165"/>
        <v>0</v>
      </c>
    </row>
    <row r="264" spans="5:18">
      <c r="G264" s="12">
        <f t="shared" si="121"/>
        <v>0</v>
      </c>
      <c r="H264" s="12">
        <f t="shared" ref="H264:Q264" si="166">IF($E113&gt;H$66,0,IF($E113&lt;H$66-365,$D113,0))</f>
        <v>0</v>
      </c>
      <c r="I264" s="12">
        <f t="shared" si="166"/>
        <v>0</v>
      </c>
      <c r="J264" s="12">
        <f t="shared" si="166"/>
        <v>0</v>
      </c>
      <c r="K264" s="12">
        <f t="shared" si="166"/>
        <v>0</v>
      </c>
      <c r="L264" s="12">
        <f t="shared" si="166"/>
        <v>0</v>
      </c>
      <c r="M264" s="12">
        <f t="shared" si="166"/>
        <v>0</v>
      </c>
      <c r="N264" s="12">
        <f t="shared" si="166"/>
        <v>0</v>
      </c>
      <c r="O264" s="12">
        <f t="shared" si="166"/>
        <v>0</v>
      </c>
      <c r="P264" s="12">
        <f t="shared" si="166"/>
        <v>0</v>
      </c>
      <c r="Q264" s="12">
        <f t="shared" si="166"/>
        <v>0</v>
      </c>
    </row>
    <row r="265" spans="5:18">
      <c r="G265" s="12">
        <f t="shared" si="121"/>
        <v>0</v>
      </c>
      <c r="H265" s="12">
        <f t="shared" ref="H265:Q265" si="167">IF($E114&gt;H$66,0,IF($E114&lt;H$66-365,$D114,0))</f>
        <v>0</v>
      </c>
      <c r="I265" s="12">
        <f t="shared" si="167"/>
        <v>0</v>
      </c>
      <c r="J265" s="12">
        <f t="shared" si="167"/>
        <v>0</v>
      </c>
      <c r="K265" s="12">
        <f t="shared" si="167"/>
        <v>0</v>
      </c>
      <c r="L265" s="12">
        <f t="shared" si="167"/>
        <v>0</v>
      </c>
      <c r="M265" s="12">
        <f t="shared" si="167"/>
        <v>0</v>
      </c>
      <c r="N265" s="12">
        <f t="shared" si="167"/>
        <v>0</v>
      </c>
      <c r="O265" s="12">
        <f t="shared" si="167"/>
        <v>0</v>
      </c>
      <c r="P265" s="12">
        <f t="shared" si="167"/>
        <v>0</v>
      </c>
      <c r="Q265" s="12">
        <f t="shared" si="167"/>
        <v>0</v>
      </c>
    </row>
    <row r="267" spans="5:18">
      <c r="F267" s="187" t="s">
        <v>493</v>
      </c>
      <c r="G267" s="187">
        <f>SUM(G220:G265)</f>
        <v>0</v>
      </c>
      <c r="H267" s="187">
        <f t="shared" ref="H267:Q267" si="168">SUM(H220:H265)</f>
        <v>0</v>
      </c>
      <c r="I267" s="187">
        <f t="shared" si="168"/>
        <v>0</v>
      </c>
      <c r="J267" s="187">
        <f t="shared" si="168"/>
        <v>0</v>
      </c>
      <c r="K267" s="187">
        <f t="shared" si="168"/>
        <v>0</v>
      </c>
      <c r="L267" s="187">
        <f t="shared" si="168"/>
        <v>-310</v>
      </c>
      <c r="M267" s="187">
        <f t="shared" si="168"/>
        <v>-310</v>
      </c>
      <c r="N267" s="187">
        <f t="shared" si="168"/>
        <v>-1410</v>
      </c>
      <c r="O267" s="187">
        <f t="shared" si="168"/>
        <v>-1410</v>
      </c>
      <c r="P267" s="187">
        <f t="shared" si="168"/>
        <v>-1410</v>
      </c>
      <c r="Q267" s="187">
        <f t="shared" si="168"/>
        <v>-1410</v>
      </c>
    </row>
    <row r="271" spans="5:18">
      <c r="F271" s="207" t="s">
        <v>486</v>
      </c>
      <c r="G271" s="206">
        <f>G66</f>
        <v>45473</v>
      </c>
      <c r="H271" s="206">
        <f t="shared" ref="H271:Q271" si="169">H66</f>
        <v>45838</v>
      </c>
      <c r="I271" s="206">
        <f t="shared" si="169"/>
        <v>46203</v>
      </c>
      <c r="J271" s="206">
        <f t="shared" si="169"/>
        <v>46568</v>
      </c>
      <c r="K271" s="206">
        <f t="shared" si="169"/>
        <v>46934</v>
      </c>
      <c r="L271" s="206">
        <f t="shared" si="169"/>
        <v>47299</v>
      </c>
      <c r="M271" s="206">
        <f t="shared" si="169"/>
        <v>47664</v>
      </c>
      <c r="N271" s="206">
        <f t="shared" si="169"/>
        <v>48029</v>
      </c>
      <c r="O271" s="206">
        <f t="shared" si="169"/>
        <v>48395</v>
      </c>
      <c r="P271" s="206">
        <f t="shared" si="169"/>
        <v>48760</v>
      </c>
      <c r="Q271" s="206">
        <f t="shared" si="169"/>
        <v>49125</v>
      </c>
      <c r="R271" s="206">
        <f t="shared" ref="R271" si="170">Q271+365</f>
        <v>49490</v>
      </c>
    </row>
    <row r="272" spans="5:18">
      <c r="E272" s="12" t="s">
        <v>399</v>
      </c>
      <c r="F272" s="348">
        <f t="shared" ref="F272:P272" si="171">Z216</f>
        <v>5.1893950280212673</v>
      </c>
      <c r="G272" s="348">
        <f t="shared" si="171"/>
        <v>5.1893950280212673</v>
      </c>
      <c r="H272" s="348">
        <f t="shared" si="171"/>
        <v>5.1981210607315385</v>
      </c>
      <c r="I272" s="348">
        <f t="shared" si="171"/>
        <v>5.2635663060585705</v>
      </c>
      <c r="J272" s="348">
        <f t="shared" si="171"/>
        <v>5.2635663060585705</v>
      </c>
      <c r="K272" s="348">
        <f t="shared" si="171"/>
        <v>5.2635663060585705</v>
      </c>
      <c r="L272" s="348">
        <f t="shared" si="171"/>
        <v>5.2983154690224481</v>
      </c>
      <c r="M272" s="348">
        <f t="shared" si="171"/>
        <v>5.2983154690224481</v>
      </c>
      <c r="N272" s="348">
        <f t="shared" si="171"/>
        <v>5.5468797426384837</v>
      </c>
      <c r="O272" s="348">
        <f t="shared" si="171"/>
        <v>5.5468797426384837</v>
      </c>
      <c r="P272" s="348">
        <f t="shared" si="171"/>
        <v>5.6341400697411936</v>
      </c>
      <c r="Q272" s="348">
        <f>AK216</f>
        <v>5.6341400697411936</v>
      </c>
    </row>
  </sheetData>
  <sheetProtection formatCells="0" formatColumns="0" formatRows="0" selectLockedCells="1"/>
  <customSheetViews>
    <customSheetView guid="{0FAFE012-8D9E-4ED0-86A4-A997E430971B}" scale="85" showGridLines="0" fitToPage="1" hiddenRows="1" topLeftCell="O27">
      <selection activeCell="W11" sqref="W11"/>
      <pageMargins left="0.74803149606299213" right="0.74803149606299213" top="0.51181102362204722" bottom="0.62992125984251968" header="0.51181102362204722" footer="0.51181102362204722"/>
      <pageSetup paperSize="9" scale="22"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1" type="noConversion"/>
  <conditionalFormatting sqref="F7:Q7 F9:Q9">
    <cfRule type="cellIs" dxfId="59" priority="1" operator="lessThan">
      <formula>0</formula>
    </cfRule>
  </conditionalFormatting>
  <conditionalFormatting sqref="F46:Q47">
    <cfRule type="cellIs" dxfId="58" priority="3" operator="lessThan">
      <formula>0</formula>
    </cfRule>
  </conditionalFormatting>
  <conditionalFormatting sqref="F50:Q50">
    <cfRule type="cellIs" dxfId="57" priority="2" operator="lessThan">
      <formula>0</formula>
    </cfRule>
  </conditionalFormatting>
  <dataValidations count="3">
    <dataValidation type="list" allowBlank="1" showInputMessage="1" showErrorMessage="1" sqref="O114:Q114" xr:uid="{63E0D6C5-74E9-402E-A037-D70FA4B8DA7E}">
      <formula1>$BS$156:$BS$159</formula1>
    </dataValidation>
    <dataValidation type="list" allowBlank="1" showInputMessage="1" showErrorMessage="1" sqref="E114" xr:uid="{8D950F72-4967-4CED-974D-45EF1CCC4023}">
      <formula1>$BQ$155:$BQ$169</formula1>
    </dataValidation>
    <dataValidation type="list" allowBlank="1" showInputMessage="1" showErrorMessage="1" sqref="F141:G141" xr:uid="{0187BE8E-221E-446F-ABEC-CA10BB90A67F}">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2" orientation="landscape" r:id="rId2"/>
  <headerFooter alignWithMargins="0"/>
  <drawing r:id="rId3"/>
  <legacy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4D9BE-1775-4037-AAED-30355B5A6ADC}">
  <sheetPr codeName="Sheet34">
    <tabColor rgb="FFFFC000"/>
    <pageSetUpPr fitToPage="1"/>
  </sheetPr>
  <dimension ref="A1:CJ272"/>
  <sheetViews>
    <sheetView showGridLines="0" topLeftCell="B49" zoomScale="115" zoomScaleNormal="115" workbookViewId="0">
      <selection activeCell="AA214" sqref="AA214"/>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3.179687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133</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NSW3</v>
      </c>
      <c r="B6" s="368" t="s">
        <v>309</v>
      </c>
      <c r="C6" s="484" t="s">
        <v>41</v>
      </c>
      <c r="D6" s="485">
        <f>(VLOOKUP($A$2,Assumptions!$B$41:$C$63,2,0))/1000</f>
        <v>0.45143656419059414</v>
      </c>
      <c r="E6" s="367" t="s">
        <v>311</v>
      </c>
      <c r="F6" s="517">
        <f>VLOOKUP($A$2,'Footprint Summary'!$B$4:$R$26,COLUMNS('Footprint Summary'!$B$4:F$26)+1,0)</f>
        <v>547.97820000000002</v>
      </c>
      <c r="G6" s="517">
        <f>VLOOKUP($A$2,'Footprint Summary'!$B$4:$R$26,COLUMNS('Footprint Summary'!$B$4:G$26)+1,0)</f>
        <v>547.97820000000002</v>
      </c>
      <c r="H6" s="517">
        <f>VLOOKUP($A$2,'Footprint Summary'!$B$4:$R$26,COLUMNS('Footprint Summary'!$B$4:H$26)+1,0)</f>
        <v>547.97820000000002</v>
      </c>
      <c r="I6" s="517">
        <f>VLOOKUP($A$2,'Footprint Summary'!$B$4:$R$26,COLUMNS('Footprint Summary'!$B$4:I$26)+1,0)</f>
        <v>547.97820000000002</v>
      </c>
      <c r="J6" s="517">
        <f>VLOOKUP($A$2,'Footprint Summary'!$B$4:$R$26,COLUMNS('Footprint Summary'!$B$4:J$26)+1,0)</f>
        <v>547.97820000000002</v>
      </c>
      <c r="K6" s="517">
        <f>VLOOKUP($A$2,'Footprint Summary'!$B$4:$R$26,COLUMNS('Footprint Summary'!$B$4:K$26)+1,0)</f>
        <v>547.97820000000002</v>
      </c>
      <c r="L6" s="517">
        <f>VLOOKUP($A$2,'Footprint Summary'!$B$4:$R$26,COLUMNS('Footprint Summary'!$B$4:L$26)+1,0)</f>
        <v>547.97820000000002</v>
      </c>
      <c r="M6" s="517">
        <f>VLOOKUP($A$2,'Footprint Summary'!$B$4:$R$26,COLUMNS('Footprint Summary'!$B$4:M$26)+1,0)</f>
        <v>547.97820000000002</v>
      </c>
      <c r="N6" s="517">
        <f>VLOOKUP($A$2,'Footprint Summary'!$B$4:$R$26,COLUMNS('Footprint Summary'!$B$4:N$26)+1,0)</f>
        <v>547.97820000000002</v>
      </c>
      <c r="O6" s="517">
        <f>VLOOKUP($A$2,'Footprint Summary'!$B$4:$R$26,COLUMNS('Footprint Summary'!$B$4:O$26)+1,0)</f>
        <v>547.97820000000002</v>
      </c>
      <c r="P6" s="517">
        <f>VLOOKUP($A$2,'Footprint Summary'!$B$4:$R$26,COLUMNS('Footprint Summary'!$B$4:P$26)+1,0)</f>
        <v>547.97820000000002</v>
      </c>
      <c r="Q6" s="429">
        <f>(P6-F6)/F6</f>
        <v>0</v>
      </c>
      <c r="R6" s="366"/>
      <c r="S6" s="357"/>
      <c r="T6" s="8"/>
      <c r="U6" s="8"/>
    </row>
    <row r="7" spans="1:21" s="7" customFormat="1" ht="17.25" customHeight="1">
      <c r="A7" s="368" t="str">
        <f>VLOOKUP($A$2,'Asset Attributes'!$B$3:$D$25,2,0)</f>
        <v>NSW3</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0</v>
      </c>
      <c r="E8" s="422" t="s">
        <v>314</v>
      </c>
      <c r="F8" s="519">
        <f>VLOOKUP($A$2,'Footprint Summary'!$B$33:$R$55,COLUMNS('Footprint Summary'!$B$33:F$55)+1,0)</f>
        <v>0</v>
      </c>
      <c r="G8" s="519">
        <f>VLOOKUP($A$2,'Footprint Summary'!$B$33:$R$55,COLUMNS('Footprint Summary'!$B$33:G$55)+1,0)</f>
        <v>0</v>
      </c>
      <c r="H8" s="519">
        <f>VLOOKUP($A$2,'Footprint Summary'!$B$33:$R$55,COLUMNS('Footprint Summary'!$B$33:H$55)+1,0)</f>
        <v>0</v>
      </c>
      <c r="I8" s="519">
        <f>VLOOKUP($A$2,'Footprint Summary'!$B$33:$R$55,COLUMNS('Footprint Summary'!$B$33:I$55)+1,0)</f>
        <v>0</v>
      </c>
      <c r="J8" s="519">
        <f>VLOOKUP($A$2,'Footprint Summary'!$B$33:$R$55,COLUMNS('Footprint Summary'!$B$33:J$55)+1,0)</f>
        <v>0</v>
      </c>
      <c r="K8" s="519">
        <f>VLOOKUP($A$2,'Footprint Summary'!$B$33:$R$55,COLUMNS('Footprint Summary'!$B$33:K$55)+1,0)</f>
        <v>0</v>
      </c>
      <c r="L8" s="519">
        <f>VLOOKUP($A$2,'Footprint Summary'!$B$33:$R$55,COLUMNS('Footprint Summary'!$B$33:L$55)+1,0)</f>
        <v>0</v>
      </c>
      <c r="M8" s="519">
        <f>VLOOKUP($A$2,'Footprint Summary'!$B$33:$R$55,COLUMNS('Footprint Summary'!$B$33:M$55)+1,0)</f>
        <v>0</v>
      </c>
      <c r="N8" s="519">
        <f>VLOOKUP($A$2,'Footprint Summary'!$B$33:$R$55,COLUMNS('Footprint Summary'!$B$33:N$55)+1,0)</f>
        <v>0</v>
      </c>
      <c r="O8" s="519">
        <f>VLOOKUP($A$2,'Footprint Summary'!$B$33:$R$55,COLUMNS('Footprint Summary'!$B$33:O$55)+1,0)</f>
        <v>0</v>
      </c>
      <c r="P8" s="519">
        <f>VLOOKUP($A$2,'Footprint Summary'!$B$33:$R$55,COLUMNS('Footprint Summary'!$B$33:P$55)+1,0)</f>
        <v>0</v>
      </c>
      <c r="Q8" s="429" t="e">
        <f>(P8-F8)/F8</f>
        <v>#DIV/0!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NSW3</v>
      </c>
      <c r="B13" s="368" t="s">
        <v>317</v>
      </c>
      <c r="C13" s="367"/>
      <c r="D13" s="2"/>
      <c r="E13" s="367" t="s">
        <v>321</v>
      </c>
      <c r="F13" s="367">
        <f>VLOOKUP($A$2,'Footprint Summary'!$B$4:$R$26,COLUMNS('Footprint Summary'!$B$4:F$26)+1,0)*VLOOKUP($A$13,Assumptions!$A$4:$N$14,COLUMNS(Assumptions!$A$4:B$14)+1,0)</f>
        <v>432.90277800000001</v>
      </c>
      <c r="G13" s="367">
        <f>VLOOKUP($A$2,'Footprint Summary'!$B$4:$R$26,COLUMNS('Footprint Summary'!$B$4:G$26)+1,0)*VLOOKUP($A$13,Assumptions!$A$4:$N$14,COLUMNS(Assumptions!$A$4:C$14)+1,0)</f>
        <v>203.29991219999999</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0</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t="e">
        <f>(F14-P14)/F14</f>
        <v>#DIV/0!</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14.741070910000001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447.64384891000003</v>
      </c>
      <c r="G16" s="434">
        <f t="shared" ref="G16:P16" si="4">SUM(G13:G15)</f>
        <v>203.29991219999999</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t="e">
        <f>1000*F16/(VLOOKUP($A$2,'Asset Attributes'!$B$3:$D$25,3,0))</f>
        <v>#DIV/0!</v>
      </c>
      <c r="G17" s="428" t="e">
        <f>1000*G16/(VLOOKUP($A$2,'Asset Attributes'!$B$3:$D$25,3,0))</f>
        <v>#DIV/0!</v>
      </c>
      <c r="H17" s="428" t="e">
        <f>1000*H16/(VLOOKUP($A$2,'Asset Attributes'!$B$3:$D$25,3,0))</f>
        <v>#DIV/0!</v>
      </c>
      <c r="I17" s="428" t="e">
        <f>1000*I16/(VLOOKUP($A$2,'Asset Attributes'!$B$3:$D$25,3,0))</f>
        <v>#DIV/0!</v>
      </c>
      <c r="J17" s="428" t="e">
        <f>1000*J16/(VLOOKUP($A$2,'Asset Attributes'!$B$3:$D$25,3,0))</f>
        <v>#DIV/0!</v>
      </c>
      <c r="K17" s="428" t="e">
        <f>1000*K16/(VLOOKUP($A$2,'Asset Attributes'!$B$3:$D$25,3,0))</f>
        <v>#DIV/0!</v>
      </c>
      <c r="L17" s="428" t="e">
        <f>1000*L16/(VLOOKUP($A$2,'Asset Attributes'!$B$3:$D$25,3,0))</f>
        <v>#DIV/0!</v>
      </c>
      <c r="M17" s="428" t="e">
        <f>1000*M16/(VLOOKUP($A$2,'Asset Attributes'!$B$3:$D$25,3,0))</f>
        <v>#DIV/0!</v>
      </c>
      <c r="N17" s="428" t="e">
        <f>1000*N16/(VLOOKUP($A$2,'Asset Attributes'!$B$3:$D$25,3,0))</f>
        <v>#DIV/0!</v>
      </c>
      <c r="O17" s="428" t="e">
        <f>1000*O16/(VLOOKUP($A$2,'Asset Attributes'!$B$3:$D$25,3,0))</f>
        <v>#DIV/0!</v>
      </c>
      <c r="P17" s="428" t="e">
        <f>1000*P16/(VLOOKUP($A$2,'Asset Attributes'!$B$3:$D$25,3,0))</f>
        <v>#DIV/0!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0</v>
      </c>
      <c r="P20" s="499">
        <f>-1*(VLOOKUP($A$2,'Footprint Summary'!$B$244:AB$266,COLUMNS('Footprint Summary'!$B$244:P$266)+1,0))</f>
        <v>0</v>
      </c>
      <c r="Q20" s="499">
        <f>SUM(G20:P20)</f>
        <v>0</v>
      </c>
      <c r="R20" s="366"/>
      <c r="S20" s="357"/>
      <c r="T20" s="8"/>
      <c r="U20" s="8"/>
    </row>
    <row r="21" spans="1:21" s="7" customFormat="1" ht="19.5" customHeight="1">
      <c r="A21" s="368" t="str">
        <f>VLOOKUP($A$2,'Asset Attributes'!$B$3:$D$25,2,0)</f>
        <v>NSW3</v>
      </c>
      <c r="B21" s="368" t="s">
        <v>326</v>
      </c>
      <c r="E21" s="367" t="s">
        <v>321</v>
      </c>
      <c r="F21" s="499">
        <f>-1*(VLOOKUP($A$2,'Footprint Summary'!$B$302:$R$324,COLUMNS('Footprint Summary'!$B$302:F324)+1,0))</f>
        <v>0</v>
      </c>
      <c r="G21" s="499">
        <f>-1*(VLOOKUP($A$2,'Footprint Summary'!$B$302:$R$324,COLUMNS('Footprint Summary'!$B$302:G324)+1,0))</f>
        <v>203.29991219999999</v>
      </c>
      <c r="H21" s="499">
        <f>-1*(VLOOKUP($A$2,'Footprint Summary'!$B$302:$R$324,COLUMNS('Footprint Summary'!$B$302:H324)+1,0))</f>
        <v>400.02408600000001</v>
      </c>
      <c r="I21" s="499">
        <f>-1*(VLOOKUP($A$2,'Footprint Summary'!$B$302:$R$324,COLUMNS('Footprint Summary'!$B$302:I324)+1,0))</f>
        <v>362.76156840000004</v>
      </c>
      <c r="J21" s="499">
        <f>-1*(VLOOKUP($A$2,'Footprint Summary'!$B$302:$R$324,COLUMNS('Footprint Summary'!$B$302:J324)+1,0))</f>
        <v>341.93839680000002</v>
      </c>
      <c r="K21" s="499">
        <f>-1*(VLOOKUP($A$2,'Footprint Summary'!$B$302:$R$324,COLUMNS('Footprint Summary'!$B$302:K324)+1,0))</f>
        <v>299.74407540000004</v>
      </c>
      <c r="L21" s="499">
        <f>-1*(VLOOKUP($A$2,'Footprint Summary'!$B$302:$R$324,COLUMNS('Footprint Summary'!$B$302:L324)+1,0))</f>
        <v>252.06997200000001</v>
      </c>
      <c r="M21" s="499">
        <f>-1*(VLOOKUP($A$2,'Footprint Summary'!$B$302:$R$324,COLUMNS('Footprint Summary'!$B$302:M324)+1,0))</f>
        <v>209.8756506</v>
      </c>
      <c r="N21" s="499">
        <f>-1*(VLOOKUP($A$2,'Footprint Summary'!$B$302:$R$324,COLUMNS('Footprint Summary'!$B$302:N324)+1,0))</f>
        <v>178.092915</v>
      </c>
      <c r="O21" s="499">
        <f>-1*(VLOOKUP($A$2,'Footprint Summary'!$B$302:$R$324,COLUMNS('Footprint Summary'!$B$302:O324)+1,0))</f>
        <v>157.8177216</v>
      </c>
      <c r="P21" s="499">
        <f>-1*(VLOOKUP($A$2,'Footprint Summary'!$B$302:$R$324,COLUMNS('Footprint Summary'!$B$302:P324)+1,0))</f>
        <v>144.66624480000002</v>
      </c>
      <c r="Q21" s="499">
        <f t="shared" ref="Q21:Q27" si="6">SUM(G21:P21)</f>
        <v>2550.2905428000004</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0</v>
      </c>
      <c r="H22" s="499">
        <f>(VLOOKUP($A$2,'Footprint Summary'!$B$33:$R$55,COLUMNS('Footprint Summary'!$B$33:H$55)+1,0)*VLOOKUP($B$14,Assumptions!$B$17:$N$29,COLUMNS(Assumptions!$B$18:D$29)+1,0)/1000)</f>
        <v>0</v>
      </c>
      <c r="I22" s="499">
        <f>(VLOOKUP($A$2,'Footprint Summary'!$B$33:$R$55,COLUMNS('Footprint Summary'!$B$33:I$55)+1,0)*VLOOKUP($B$14,Assumptions!$B$17:$N$29,COLUMNS(Assumptions!$B$18:E$29)+1,0)/1000)</f>
        <v>0</v>
      </c>
      <c r="J22" s="499">
        <f>(VLOOKUP($A$2,'Footprint Summary'!$B$33:$R$55,COLUMNS('Footprint Summary'!$B$33:J$55)+1,0)*VLOOKUP($B$14,Assumptions!$B$17:$N$29,COLUMNS(Assumptions!$B$18:F$29)+1,0)/1000)</f>
        <v>0</v>
      </c>
      <c r="K22" s="499">
        <f>(VLOOKUP($A$2,'Footprint Summary'!$B$33:$R$55,COLUMNS('Footprint Summary'!$B$33:K$55)+1,0)*VLOOKUP($B$14,Assumptions!$B$17:$N$29,COLUMNS(Assumptions!$B$18:G$29)+1,0)/1000)</f>
        <v>0</v>
      </c>
      <c r="L22" s="499">
        <f>(VLOOKUP($A$2,'Footprint Summary'!$B$33:$R$55,COLUMNS('Footprint Summary'!$B$33:L$55)+1,0)*VLOOKUP($B$14,Assumptions!$B$17:$N$29,COLUMNS(Assumptions!$B$18:H$29)+1,0)/1000)</f>
        <v>0</v>
      </c>
      <c r="M22" s="499">
        <f>(VLOOKUP($A$2,'Footprint Summary'!$B$33:$R$55,COLUMNS('Footprint Summary'!$B$33:M$55)+1,0)*VLOOKUP($B$14,Assumptions!$B$17:$N$29,COLUMNS(Assumptions!$B$18:I$29)+1,0)/1000)</f>
        <v>0</v>
      </c>
      <c r="N22" s="499">
        <f>(VLOOKUP($A$2,'Footprint Summary'!$B$33:$R$55,COLUMNS('Footprint Summary'!$B$33:N$55)+1,0)*VLOOKUP($B$14,Assumptions!$B$17:$N$29,COLUMNS(Assumptions!$B$18:J$29)+1,0)/1000)</f>
        <v>0</v>
      </c>
      <c r="O22" s="499">
        <f>(VLOOKUP($A$2,'Footprint Summary'!$B$33:$R$55,COLUMNS('Footprint Summary'!$B$33:O$55)+1,0)*VLOOKUP($B$14,Assumptions!$B$17:$N$29,COLUMNS(Assumptions!$B$18:K$29)+1,0)/1000)</f>
        <v>0</v>
      </c>
      <c r="P22" s="499">
        <f>(VLOOKUP($A$2,'Footprint Summary'!$B$33:$R$55,COLUMNS('Footprint Summary'!$B$33:P$55)+1,0)*VLOOKUP($B$14,Assumptions!$B$17:$N$29,COLUMNS(Assumptions!$B$18:L$29)+1,0)/1000)</f>
        <v>0</v>
      </c>
      <c r="Q22" s="499">
        <f t="shared" si="6"/>
        <v>0</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13.576803910000001</v>
      </c>
      <c r="H24" s="499">
        <f>VLOOKUP($A$2,'Footprint Summary'!$B$216:$R$238,COLUMNS('Footprint Summary'!$B$216:H238)+1,0)</f>
        <v>12.41253691</v>
      </c>
      <c r="I24" s="499">
        <f>VLOOKUP($A$2,'Footprint Summary'!$B$216:$R$238,COLUMNS('Footprint Summary'!$B$216:I238)+1,0)</f>
        <v>11.248269909999999</v>
      </c>
      <c r="J24" s="499">
        <f>VLOOKUP($A$2,'Footprint Summary'!$B$216:$R$238,COLUMNS('Footprint Summary'!$B$216:J238)+1,0)</f>
        <v>10.084002909999999</v>
      </c>
      <c r="K24" s="499">
        <f>VLOOKUP($A$2,'Footprint Summary'!$B$216:$R$238,COLUMNS('Footprint Summary'!$B$216:K238)+1,0)</f>
        <v>8.9197359099999982</v>
      </c>
      <c r="L24" s="499">
        <f>VLOOKUP($A$2,'Footprint Summary'!$B$216:$R$238,COLUMNS('Footprint Summary'!$B$216:L238)+1,0)</f>
        <v>7.7554689099999976</v>
      </c>
      <c r="M24" s="499">
        <f>VLOOKUP($A$2,'Footprint Summary'!$B$216:$R$238,COLUMNS('Footprint Summary'!$B$216:M238)+1,0)</f>
        <v>6.591201909999997</v>
      </c>
      <c r="N24" s="499">
        <f>VLOOKUP($A$2,'Footprint Summary'!$B$216:$R$238,COLUMNS('Footprint Summary'!$B$216:N238)+1,0)</f>
        <v>5.4269349099999964</v>
      </c>
      <c r="O24" s="499">
        <f>VLOOKUP($A$2,'Footprint Summary'!$B$216:$R$238,COLUMNS('Footprint Summary'!$B$216:O238)+1,0)</f>
        <v>4.2626679099999958</v>
      </c>
      <c r="P24" s="499">
        <f>VLOOKUP($A$2,'Footprint Summary'!$B$216:$R$238,COLUMNS('Footprint Summary'!$B$216:P238)+1,0)</f>
        <v>4.2626679099999993</v>
      </c>
      <c r="Q24" s="499">
        <f t="shared" si="6"/>
        <v>84.54029109999999</v>
      </c>
      <c r="R24" s="366"/>
      <c r="S24" s="357"/>
      <c r="T24" s="8"/>
      <c r="U24" s="8"/>
    </row>
    <row r="25" spans="1:21" s="7" customFormat="1" ht="19.5" customHeight="1">
      <c r="A25" s="419" t="s">
        <v>319</v>
      </c>
      <c r="B25" s="419" t="s">
        <v>319</v>
      </c>
      <c r="E25" s="425" t="s">
        <v>321</v>
      </c>
      <c r="F25" s="499">
        <f>VLOOKUP($A$2,'Footprint Summary'!$B$216:$R$238,COLUMNS('Footprint Summary'!$B$216:F238)+1,0)-F24</f>
        <v>14.741070910000001</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0</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NSW3</v>
      </c>
      <c r="B27" s="368" t="s">
        <v>330</v>
      </c>
      <c r="E27" s="425" t="s">
        <v>321</v>
      </c>
      <c r="F27" s="367">
        <f>VLOOKUP($A$2,'Footprint Summary'!$B$4:$R$26,COLUMNS('Footprint Summary'!$B$4:F$26)+1,0)*VLOOKUP($A$13,Assumptions!$A$4:$N$14,COLUMNS(Assumptions!$A$4:B$14)+1,0)</f>
        <v>432.90277800000001</v>
      </c>
      <c r="G27" s="499">
        <f>VLOOKUP($A$2,'Footprint Summary'!$B$4:$R$26,COLUMNS('Footprint Summary'!$B$4:G$26)+1,0)*VLOOKUP($A$13,Assumptions!$A$4:$N$14,COLUMNS(Assumptions!$A$4:C$14)+1,0)</f>
        <v>203.29991219999999</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203.29991219999999</v>
      </c>
      <c r="R27" s="366"/>
      <c r="S27" s="357"/>
      <c r="T27" s="8"/>
      <c r="U27" s="8"/>
    </row>
    <row r="28" spans="1:21" s="7" customFormat="1" ht="19.5" customHeight="1" thickBot="1">
      <c r="E28" s="425" t="s">
        <v>321</v>
      </c>
      <c r="F28" s="434">
        <f>SUM(F20:F23)</f>
        <v>0</v>
      </c>
      <c r="G28" s="434">
        <f t="shared" ref="G28:P28" si="7">SUM(G20:G23)</f>
        <v>203.29991219999999</v>
      </c>
      <c r="H28" s="434">
        <f t="shared" si="7"/>
        <v>400.02408600000001</v>
      </c>
      <c r="I28" s="434">
        <f t="shared" si="7"/>
        <v>362.76156840000004</v>
      </c>
      <c r="J28" s="434">
        <f t="shared" si="7"/>
        <v>341.93839680000002</v>
      </c>
      <c r="K28" s="434">
        <f t="shared" si="7"/>
        <v>299.74407540000004</v>
      </c>
      <c r="L28" s="434">
        <f t="shared" si="7"/>
        <v>252.06997200000001</v>
      </c>
      <c r="M28" s="434">
        <f t="shared" si="7"/>
        <v>209.8756506</v>
      </c>
      <c r="N28" s="434">
        <f t="shared" si="7"/>
        <v>178.092915</v>
      </c>
      <c r="O28" s="434">
        <f t="shared" si="7"/>
        <v>157.8177216</v>
      </c>
      <c r="P28" s="434">
        <f t="shared" si="7"/>
        <v>144.66624480000002</v>
      </c>
      <c r="Q28" s="434">
        <f t="shared" ref="Q28" si="8">SUM(Q20:Q24)</f>
        <v>2634.8308339000005</v>
      </c>
      <c r="R28" s="366"/>
      <c r="S28" s="357"/>
      <c r="T28" s="8"/>
      <c r="U28" s="8"/>
    </row>
    <row r="29" spans="1:21" s="7" customFormat="1" ht="36.75" customHeight="1" thickTop="1" thickBot="1">
      <c r="A29" s="9" t="s">
        <v>331</v>
      </c>
      <c r="B29" s="1"/>
      <c r="C29" s="369" t="s">
        <v>30</v>
      </c>
      <c r="D29" s="2"/>
      <c r="E29" s="3"/>
      <c r="F29" s="539"/>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103108.41</v>
      </c>
      <c r="G32" s="424">
        <f>VLOOKUP($A$2,'Costs Summary'!$B$154:$R$176,COLUMNS('Costs Summary'!$B$154:G$176)+1,0)</f>
        <v>321590.61461715016</v>
      </c>
      <c r="H32" s="424">
        <f>VLOOKUP($A$2,'Costs Summary'!$B$154:$R$176,COLUMNS('Costs Summary'!$B$154:H$176)+1,0)</f>
        <v>332846.28612875036</v>
      </c>
      <c r="I32" s="424">
        <f>VLOOKUP($A$2,'Costs Summary'!$B$154:$R$176,COLUMNS('Costs Summary'!$B$154:I$176)+1,0)</f>
        <v>344495.90614325664</v>
      </c>
      <c r="J32" s="424">
        <f>VLOOKUP($A$2,'Costs Summary'!$B$154:$R$176,COLUMNS('Costs Summary'!$B$154:J$176)+1,0)</f>
        <v>356553.26285827055</v>
      </c>
      <c r="K32" s="424">
        <f>VLOOKUP($A$2,'Costs Summary'!$B$154:$R$176,COLUMNS('Costs Summary'!$B$154:K$176)+1,0)</f>
        <v>369032.62705831003</v>
      </c>
      <c r="L32" s="424">
        <f>VLOOKUP($A$2,'Costs Summary'!$B$154:$R$176,COLUMNS('Costs Summary'!$B$154:L$176)+1,0)</f>
        <v>381948.76900535083</v>
      </c>
      <c r="M32" s="424">
        <f>VLOOKUP($A$2,'Costs Summary'!$B$154:$R$176,COLUMNS('Costs Summary'!$B$154:M$176)+1,0)</f>
        <v>395316.97592053807</v>
      </c>
      <c r="N32" s="424">
        <f>VLOOKUP($A$2,'Costs Summary'!$B$154:$R$176,COLUMNS('Costs Summary'!$B$154:N$176)+1,0)</f>
        <v>474380.37110464566</v>
      </c>
      <c r="O32" s="424">
        <f>VLOOKUP($A$2,'Costs Summary'!$B$154:$R$176,COLUMNS('Costs Summary'!$B$154:O$176)+1,0)</f>
        <v>490983.68409330823</v>
      </c>
      <c r="P32" s="424">
        <f>VLOOKUP($A$2,'Costs Summary'!$B$154:$R$176,COLUMNS('Costs Summary'!$B$154:P$176)+1,0)</f>
        <v>508168.11303657398</v>
      </c>
      <c r="Q32" s="433">
        <f>SUM(G32:P32)</f>
        <v>3975316.6099661542</v>
      </c>
      <c r="R32" s="366"/>
      <c r="S32" s="357"/>
      <c r="T32" s="8"/>
      <c r="U32" s="8"/>
    </row>
    <row r="33" spans="1:21" s="7" customFormat="1" ht="17.25" customHeight="1">
      <c r="A33" s="368" t="s">
        <v>284</v>
      </c>
      <c r="B33" s="368" t="s">
        <v>335</v>
      </c>
      <c r="C33" s="423"/>
      <c r="D33" s="423"/>
      <c r="E33" s="423"/>
      <c r="F33" s="424">
        <f>VLOOKUP($A$2,'Costs Summary'!$B$183:$R$205,COLUMNS('Costs Summary'!$B$183:F$205)+1,0)</f>
        <v>0</v>
      </c>
      <c r="G33" s="424">
        <f>VLOOKUP($A$2,'Costs Summary'!$B$183:$R$205,COLUMNS('Costs Summary'!$B$183:G$205)+1,0)</f>
        <v>0</v>
      </c>
      <c r="H33" s="424">
        <f>VLOOKUP($A$2,'Costs Summary'!$B$183:$R$205,COLUMNS('Costs Summary'!$B$183:H$205)+1,0)</f>
        <v>0</v>
      </c>
      <c r="I33" s="424">
        <f>VLOOKUP($A$2,'Costs Summary'!$B$183:$R$205,COLUMNS('Costs Summary'!$B$183:I$205)+1,0)</f>
        <v>0</v>
      </c>
      <c r="J33" s="424">
        <f>VLOOKUP($A$2,'Costs Summary'!$B$183:$R$205,COLUMNS('Costs Summary'!$B$183:J$205)+1,0)</f>
        <v>0</v>
      </c>
      <c r="K33" s="424">
        <f>VLOOKUP($A$2,'Costs Summary'!$B$183:$R$205,COLUMNS('Costs Summary'!$B$183:K$205)+1,0)</f>
        <v>0</v>
      </c>
      <c r="L33" s="424">
        <f>VLOOKUP($A$2,'Costs Summary'!$B$183:$R$205,COLUMNS('Costs Summary'!$B$183:L$205)+1,0)</f>
        <v>0</v>
      </c>
      <c r="M33" s="424">
        <f>VLOOKUP($A$2,'Costs Summary'!$B$183:$R$205,COLUMNS('Costs Summary'!$B$183:M$205)+1,0)</f>
        <v>0</v>
      </c>
      <c r="N33" s="424">
        <f>VLOOKUP($A$2,'Costs Summary'!$B$183:$R$205,COLUMNS('Costs Summary'!$B$183:N$205)+1,0)</f>
        <v>0</v>
      </c>
      <c r="O33" s="424">
        <f>VLOOKUP($A$2,'Costs Summary'!$B$183:$R$205,COLUMNS('Costs Summary'!$B$183:O$205)+1,0)</f>
        <v>0</v>
      </c>
      <c r="P33" s="424">
        <f>VLOOKUP($A$2,'Costs Summary'!$B$183:$R$205,COLUMNS('Costs Summary'!$B$183:P$205)+1,0)</f>
        <v>0</v>
      </c>
      <c r="Q33" s="433">
        <f>SUM(G33:P33)</f>
        <v>0</v>
      </c>
      <c r="R33" s="366"/>
      <c r="S33" s="357"/>
      <c r="T33" s="8"/>
      <c r="U33" s="8"/>
    </row>
    <row r="34" spans="1:21" s="7" customFormat="1" ht="17.25" customHeight="1">
      <c r="A34" s="368" t="s">
        <v>284</v>
      </c>
      <c r="B34" s="368" t="s">
        <v>336</v>
      </c>
      <c r="H34" s="424">
        <f>VLOOKUP($A$2,'Costs Summary'!$B$241:$R$263,COLUMNS('Costs Summary'!$B$241:H263)+1,0)</f>
        <v>0</v>
      </c>
      <c r="I34" s="424">
        <f>VLOOKUP($A$2,'Costs Summary'!$B$241:$R$263,COLUMNS('Costs Summary'!$B$241:I263)+1,0)</f>
        <v>0</v>
      </c>
      <c r="J34" s="424">
        <f>VLOOKUP($A$2,'Costs Summary'!$B$241:$R$263,COLUMNS('Costs Summary'!$B$241:J263)+1,0)</f>
        <v>0</v>
      </c>
      <c r="K34" s="424">
        <f>VLOOKUP($A$2,'Costs Summary'!$B$241:$R$263,COLUMNS('Costs Summary'!$B$241:K263)+1,0)</f>
        <v>0</v>
      </c>
      <c r="L34" s="424">
        <f>VLOOKUP($A$2,'Costs Summary'!$B$241:$R$263,COLUMNS('Costs Summary'!$B$241:L263)+1,0)</f>
        <v>0</v>
      </c>
      <c r="M34" s="424">
        <f>VLOOKUP($A$2,'Costs Summary'!$B$241:$R$263,COLUMNS('Costs Summary'!$B$241:M263)+1,0)</f>
        <v>0</v>
      </c>
      <c r="N34" s="424">
        <f>VLOOKUP($A$2,'Costs Summary'!$B$241:$R$263,COLUMNS('Costs Summary'!$B$241:N263)+1,0)</f>
        <v>0</v>
      </c>
      <c r="O34" s="424">
        <f>VLOOKUP($A$2,'Costs Summary'!$B$241:$R$263,COLUMNS('Costs Summary'!$B$241:O263)+1,0)</f>
        <v>0</v>
      </c>
      <c r="P34" s="424">
        <f>VLOOKUP($A$2,'Costs Summary'!$B$241:$R$263,COLUMNS('Costs Summary'!$B$241:P263)+1,0)</f>
        <v>0</v>
      </c>
      <c r="Q34" s="433">
        <f>SUM(G34:P34)</f>
        <v>0</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744.7522146</v>
      </c>
      <c r="I35" s="424">
        <f>VLOOKUP($A$2,'Costs Summary'!$B$212:$R$234,COLUMNS('Costs Summary'!$B$212:I$234)+1,0)</f>
        <v>674.89619459999994</v>
      </c>
      <c r="J35" s="424">
        <f>VLOOKUP($A$2,'Costs Summary'!$B$212:$R$234,COLUMNS('Costs Summary'!$B$212:J$234)+1,0)</f>
        <v>605.04017459999989</v>
      </c>
      <c r="K35" s="424">
        <f>VLOOKUP($A$2,'Costs Summary'!$B$212:$R$234,COLUMNS('Costs Summary'!$B$212:K$234)+1,0)</f>
        <v>535.18415459999994</v>
      </c>
      <c r="L35" s="424">
        <f>VLOOKUP($A$2,'Costs Summary'!$B$212:$R$234,COLUMNS('Costs Summary'!$B$212:L$234)+1,0)</f>
        <v>465.32813459999988</v>
      </c>
      <c r="M35" s="424">
        <f>VLOOKUP($A$2,'Costs Summary'!$B$212:$R$234,COLUMNS('Costs Summary'!$B$212:M$234)+1,0)</f>
        <v>395.47211459999983</v>
      </c>
      <c r="N35" s="424">
        <f>VLOOKUP($A$2,'Costs Summary'!$B$212:$R$234,COLUMNS('Costs Summary'!$B$212:N$234)+1,0)</f>
        <v>325.61609459999977</v>
      </c>
      <c r="O35" s="424">
        <f>VLOOKUP($A$2,'Costs Summary'!$B$212:$R$234,COLUMNS('Costs Summary'!$B$212:O$234)+1,0)</f>
        <v>255.76007459999974</v>
      </c>
      <c r="P35" s="424">
        <f>VLOOKUP($A$2,'Costs Summary'!$B$212:$R$234,COLUMNS('Costs Summary'!$B$212:P$234)+1,0)</f>
        <v>255.76007459999997</v>
      </c>
      <c r="Q35" s="433">
        <f>SUM(G35:P35)</f>
        <v>4257.8092313999987</v>
      </c>
      <c r="R35" s="366"/>
      <c r="S35" s="357"/>
      <c r="T35" s="8"/>
      <c r="U35" s="8"/>
    </row>
    <row r="36" spans="1:21" s="7" customFormat="1" ht="17.25" customHeight="1" thickBot="1">
      <c r="A36" s="437" t="s">
        <v>338</v>
      </c>
      <c r="C36" s="423"/>
      <c r="D36" s="423"/>
      <c r="E36" s="368" t="s">
        <v>669</v>
      </c>
      <c r="F36" s="461">
        <f t="shared" ref="F36:P36" si="10">SUM(F32:F35)</f>
        <v>103108.41</v>
      </c>
      <c r="G36" s="461">
        <f t="shared" si="10"/>
        <v>321590.61461715016</v>
      </c>
      <c r="H36" s="461">
        <f t="shared" si="10"/>
        <v>333591.03834335034</v>
      </c>
      <c r="I36" s="461">
        <f t="shared" si="10"/>
        <v>345170.80233785661</v>
      </c>
      <c r="J36" s="461">
        <f t="shared" si="10"/>
        <v>357158.30303287058</v>
      </c>
      <c r="K36" s="461">
        <f t="shared" si="10"/>
        <v>369567.81121291005</v>
      </c>
      <c r="L36" s="461">
        <f t="shared" si="10"/>
        <v>382414.09713995084</v>
      </c>
      <c r="M36" s="461">
        <f t="shared" si="10"/>
        <v>395712.44803513808</v>
      </c>
      <c r="N36" s="461">
        <f t="shared" si="10"/>
        <v>474705.98719924566</v>
      </c>
      <c r="O36" s="461">
        <f t="shared" si="10"/>
        <v>491239.44416790822</v>
      </c>
      <c r="P36" s="461">
        <f t="shared" si="10"/>
        <v>508423.87311117398</v>
      </c>
      <c r="Q36" s="462">
        <f t="shared" ref="Q36" si="11">SUM(Q32:Q35)</f>
        <v>3979574.4191975542</v>
      </c>
      <c r="R36" s="366"/>
      <c r="S36" s="357"/>
      <c r="T36" s="8"/>
      <c r="U36" s="8"/>
    </row>
    <row r="37" spans="1:21" s="7" customFormat="1" ht="17.25" customHeight="1" thickTop="1" thickBot="1">
      <c r="C37" s="423"/>
      <c r="D37" s="423"/>
      <c r="E37" s="368" t="s">
        <v>340</v>
      </c>
      <c r="F37" s="468" t="e">
        <f>F36/(VLOOKUP($A$2,'Asset Attributes'!$B$3:$D$25,3,0))</f>
        <v>#DIV/0!</v>
      </c>
      <c r="G37" s="468" t="e">
        <f>G36/(VLOOKUP($A$2,'Asset Attributes'!$B$3:$D$25,3,0))</f>
        <v>#DIV/0!</v>
      </c>
      <c r="H37" s="468" t="e">
        <f>H36/(VLOOKUP($A$2,'Asset Attributes'!$B$3:$D$25,3,0))</f>
        <v>#DIV/0!</v>
      </c>
      <c r="I37" s="468" t="e">
        <f>I36/(VLOOKUP($A$2,'Asset Attributes'!$B$3:$D$25,3,0))</f>
        <v>#DIV/0!</v>
      </c>
      <c r="J37" s="468" t="e">
        <f>J36/(VLOOKUP($A$2,'Asset Attributes'!$B$3:$D$25,3,0))</f>
        <v>#DIV/0!</v>
      </c>
      <c r="K37" s="468" t="e">
        <f>K36/(VLOOKUP($A$2,'Asset Attributes'!$B$3:$D$25,3,0))</f>
        <v>#DIV/0!</v>
      </c>
      <c r="L37" s="468" t="e">
        <f>L36/(VLOOKUP($A$2,'Asset Attributes'!$B$3:$D$25,3,0))</f>
        <v>#DIV/0!</v>
      </c>
      <c r="M37" s="468" t="e">
        <f>M36/(VLOOKUP($A$2,'Asset Attributes'!$B$3:$D$25,3,0))</f>
        <v>#DIV/0!</v>
      </c>
      <c r="N37" s="468" t="e">
        <f>N36/(VLOOKUP($A$2,'Asset Attributes'!$B$3:$D$25,3,0))</f>
        <v>#DIV/0!</v>
      </c>
      <c r="O37" s="468" t="e">
        <f>O36/(VLOOKUP($A$2,'Asset Attributes'!$B$3:$D$25,3,0))</f>
        <v>#DIV/0!</v>
      </c>
      <c r="P37" s="468" t="e">
        <f>P36/(VLOOKUP($A$2,'Asset Attributes'!$B$3:$D$25,3,0))</f>
        <v>#DIV/0!</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NSW3</v>
      </c>
      <c r="B39" s="368" t="s">
        <v>342</v>
      </c>
      <c r="C39" s="423"/>
      <c r="D39" s="423"/>
      <c r="E39" s="367"/>
      <c r="F39" s="424">
        <f>VLOOKUP($A$2,'Costs Summary'!$B$4:$R$26,COLUMNS('Costs Summary'!$B$4:F$26)+1,0)</f>
        <v>103108.41</v>
      </c>
      <c r="G39" s="424">
        <f>VLOOKUP($A$2,'Costs Summary'!$B$4:$R$26,COLUMNS('Costs Summary'!$B$4:G$26)+1,0)</f>
        <v>321590.61461715016</v>
      </c>
      <c r="H39" s="424">
        <f>VLOOKUP($A$2,'Costs Summary'!$B$4:$R$26,COLUMNS('Costs Summary'!$B$4:H$26)+1,0)</f>
        <v>332846.28612875036</v>
      </c>
      <c r="I39" s="424">
        <f>VLOOKUP($A$2,'Costs Summary'!$B$4:$R$26,COLUMNS('Costs Summary'!$B$4:I$26)+1,0)</f>
        <v>344495.90614325664</v>
      </c>
      <c r="J39" s="424">
        <f>VLOOKUP($A$2,'Costs Summary'!$B$4:$R$26,COLUMNS('Costs Summary'!$B$4:J$26)+1,0)</f>
        <v>356553.26285827055</v>
      </c>
      <c r="K39" s="424">
        <f>VLOOKUP($A$2,'Costs Summary'!$B$4:$R$26,COLUMNS('Costs Summary'!$B$4:K$26)+1,0)</f>
        <v>369032.62705831003</v>
      </c>
      <c r="L39" s="424">
        <f>VLOOKUP($A$2,'Costs Summary'!$B$4:$R$26,COLUMNS('Costs Summary'!$B$4:L$26)+1,0)</f>
        <v>381948.76900535083</v>
      </c>
      <c r="M39" s="424">
        <f>VLOOKUP($A$2,'Costs Summary'!$B$4:$R$26,COLUMNS('Costs Summary'!$B$4:M$26)+1,0)</f>
        <v>395316.97592053807</v>
      </c>
      <c r="N39" s="424">
        <f>VLOOKUP($A$2,'Costs Summary'!$B$4:$R$26,COLUMNS('Costs Summary'!$B$4:N$26)+1,0)</f>
        <v>474380.37110464566</v>
      </c>
      <c r="O39" s="424">
        <f>VLOOKUP($A$2,'Costs Summary'!$B$4:$R$26,COLUMNS('Costs Summary'!$B$4:O$26)+1,0)</f>
        <v>490983.68409330823</v>
      </c>
      <c r="P39" s="424">
        <f>VLOOKUP($A$2,'Costs Summary'!$B$4:$R$26,COLUMNS('Costs Summary'!$B$4:P$26)+1,0)</f>
        <v>508168.11303657398</v>
      </c>
      <c r="Q39" s="433">
        <f>SUM(G39:P39)</f>
        <v>3975316.6099661542</v>
      </c>
      <c r="R39" s="366"/>
      <c r="S39" s="357"/>
      <c r="T39" s="8"/>
      <c r="U39" s="8"/>
    </row>
    <row r="40" spans="1:21" s="7" customFormat="1" ht="17.25" customHeight="1">
      <c r="A40" s="368" t="s">
        <v>284</v>
      </c>
      <c r="B40" s="368" t="s">
        <v>343</v>
      </c>
      <c r="C40" s="423"/>
      <c r="D40" s="423"/>
      <c r="E40" s="423"/>
      <c r="F40" s="424">
        <f>VLOOKUP($A$2,'Costs Summary'!$B$33:$R$55,COLUMNS('Costs Summary'!$B$33:F$55)+1,0)</f>
        <v>0</v>
      </c>
      <c r="G40" s="424">
        <f>VLOOKUP($A$2,'Costs Summary'!$B$33:$R$55,COLUMNS('Costs Summary'!$B$33:G$55)+1,0)</f>
        <v>0</v>
      </c>
      <c r="H40" s="424">
        <f>VLOOKUP($A$2,'Costs Summary'!$B$33:$R$55,COLUMNS('Costs Summary'!$B$33:H$55)+1,0)</f>
        <v>0</v>
      </c>
      <c r="I40" s="424">
        <f>VLOOKUP($A$2,'Costs Summary'!$B$33:$R$55,COLUMNS('Costs Summary'!$B$33:I$55)+1,0)</f>
        <v>0</v>
      </c>
      <c r="J40" s="424">
        <f>VLOOKUP($A$2,'Costs Summary'!$B$33:$R$55,COLUMNS('Costs Summary'!$B$33:J$55)+1,0)</f>
        <v>0</v>
      </c>
      <c r="K40" s="424">
        <f>VLOOKUP($A$2,'Costs Summary'!$B$33:$R$55,COLUMNS('Costs Summary'!$B$33:K$55)+1,0)</f>
        <v>0</v>
      </c>
      <c r="L40" s="424">
        <f>VLOOKUP($A$2,'Costs Summary'!$B$33:$R$55,COLUMNS('Costs Summary'!$B$33:L$55)+1,0)</f>
        <v>0</v>
      </c>
      <c r="M40" s="424">
        <f>VLOOKUP($A$2,'Costs Summary'!$B$33:$R$55,COLUMNS('Costs Summary'!$B$33:M$55)+1,0)</f>
        <v>0</v>
      </c>
      <c r="N40" s="424">
        <f>VLOOKUP($A$2,'Costs Summary'!$B$33:$R$55,COLUMNS('Costs Summary'!$B$33:N$55)+1,0)</f>
        <v>0</v>
      </c>
      <c r="O40" s="424">
        <f>VLOOKUP($A$2,'Costs Summary'!$B$33:$R$55,COLUMNS('Costs Summary'!$B$33:O$55)+1,0)</f>
        <v>0</v>
      </c>
      <c r="P40" s="424">
        <f>VLOOKUP($A$2,'Costs Summary'!$B$33:$R$55,COLUMNS('Costs Summary'!$B$33:P$55)+1,0)</f>
        <v>0</v>
      </c>
      <c r="Q40" s="433">
        <f>SUM(G40:P40)</f>
        <v>0</v>
      </c>
      <c r="R40" s="366"/>
      <c r="S40" s="357"/>
      <c r="T40" s="8"/>
      <c r="U40" s="8"/>
    </row>
    <row r="41" spans="1:21" s="7" customFormat="1" ht="17.25" customHeight="1">
      <c r="A41" s="368" t="s">
        <v>284</v>
      </c>
      <c r="B41" s="368" t="s">
        <v>336</v>
      </c>
      <c r="H41" s="424">
        <f>VLOOKUP($A$2,'Costs Summary'!$B$125:$R$147,COLUMNS('Costs Summary'!$B$125:H$147)+1,0)</f>
        <v>0</v>
      </c>
      <c r="I41" s="424">
        <f>VLOOKUP($A$2,'Costs Summary'!$B$125:$R$147,COLUMNS('Costs Summary'!$B$125:I$147)+1,0)</f>
        <v>0</v>
      </c>
      <c r="J41" s="424">
        <f>VLOOKUP($A$2,'Costs Summary'!$B$125:$R$147,COLUMNS('Costs Summary'!$B$125:J$147)+1,0)</f>
        <v>0</v>
      </c>
      <c r="K41" s="424">
        <f>VLOOKUP($A$2,'Costs Summary'!$B$125:$R$147,COLUMNS('Costs Summary'!$B$125:K$147)+1,0)</f>
        <v>0</v>
      </c>
      <c r="L41" s="424">
        <f>VLOOKUP($A$2,'Costs Summary'!$B$125:$R$147,COLUMNS('Costs Summary'!$B$125:L$147)+1,0)</f>
        <v>0</v>
      </c>
      <c r="M41" s="424">
        <f>VLOOKUP($A$2,'Costs Summary'!$B$125:$R$147,COLUMNS('Costs Summary'!$B$125:M$147)+1,0)</f>
        <v>0</v>
      </c>
      <c r="N41" s="424">
        <f>VLOOKUP($A$2,'Costs Summary'!$B$125:$R$147,COLUMNS('Costs Summary'!$B$125:N$147)+1,0)</f>
        <v>0</v>
      </c>
      <c r="O41" s="424">
        <f>VLOOKUP($A$2,'Costs Summary'!$B$125:$R$147,COLUMNS('Costs Summary'!$B$125:O$147)+1,0)</f>
        <v>0</v>
      </c>
      <c r="P41" s="424">
        <f>VLOOKUP($A$2,'Costs Summary'!$B$125:$R$147,COLUMNS('Costs Summary'!$B$125:P$147)+1,0)</f>
        <v>0</v>
      </c>
      <c r="Q41" s="433">
        <f t="shared" ref="Q41:Q42" si="12">SUM(G41:P41)</f>
        <v>0</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744.7522146</v>
      </c>
      <c r="I42" s="424">
        <f>VLOOKUP($A$2,'Costs Summary'!$B$212:$R$234,COLUMNS('Costs Summary'!$B$212:I$234)+1,0)</f>
        <v>674.89619459999994</v>
      </c>
      <c r="J42" s="424">
        <f>VLOOKUP($A$2,'Costs Summary'!$B$212:$R$234,COLUMNS('Costs Summary'!$B$212:J$234)+1,0)</f>
        <v>605.04017459999989</v>
      </c>
      <c r="K42" s="424">
        <f>VLOOKUP($A$2,'Costs Summary'!$B$212:$R$234,COLUMNS('Costs Summary'!$B$212:K$234)+1,0)</f>
        <v>535.18415459999994</v>
      </c>
      <c r="L42" s="424">
        <f>VLOOKUP($A$2,'Costs Summary'!$B$212:$R$234,COLUMNS('Costs Summary'!$B$212:L$234)+1,0)</f>
        <v>465.32813459999988</v>
      </c>
      <c r="M42" s="424">
        <f>VLOOKUP($A$2,'Costs Summary'!$B$212:$R$234,COLUMNS('Costs Summary'!$B$212:M$234)+1,0)</f>
        <v>395.47211459999983</v>
      </c>
      <c r="N42" s="424">
        <f>VLOOKUP($A$2,'Costs Summary'!$B$212:$R$234,COLUMNS('Costs Summary'!$B$212:N$234)+1,0)</f>
        <v>325.61609459999977</v>
      </c>
      <c r="O42" s="424">
        <f>VLOOKUP($A$2,'Costs Summary'!$B$212:$R$234,COLUMNS('Costs Summary'!$B$212:O$234)+1,0)</f>
        <v>255.76007459999974</v>
      </c>
      <c r="P42" s="424">
        <f>VLOOKUP($A$2,'Costs Summary'!$B$212:$R$234,COLUMNS('Costs Summary'!$B$212:P$234)+1,0)</f>
        <v>255.76007459999997</v>
      </c>
      <c r="Q42" s="433">
        <f t="shared" si="12"/>
        <v>4257.8092313999987</v>
      </c>
      <c r="R42" s="366"/>
      <c r="S42" s="357"/>
      <c r="T42" s="8"/>
      <c r="U42" s="8"/>
    </row>
    <row r="43" spans="1:21" s="7" customFormat="1" ht="17.25" customHeight="1" thickBot="1">
      <c r="A43" s="437" t="s">
        <v>338</v>
      </c>
      <c r="E43" s="368" t="s">
        <v>669</v>
      </c>
      <c r="F43" s="461">
        <f t="shared" ref="F43:P43" si="13">SUM(F39:F42)</f>
        <v>103108.41</v>
      </c>
      <c r="G43" s="461">
        <f t="shared" si="13"/>
        <v>321590.61461715016</v>
      </c>
      <c r="H43" s="461">
        <f t="shared" si="13"/>
        <v>333591.03834335034</v>
      </c>
      <c r="I43" s="461">
        <f t="shared" si="13"/>
        <v>345170.80233785661</v>
      </c>
      <c r="J43" s="461">
        <f t="shared" si="13"/>
        <v>357158.30303287058</v>
      </c>
      <c r="K43" s="461">
        <f t="shared" si="13"/>
        <v>369567.81121291005</v>
      </c>
      <c r="L43" s="461">
        <f t="shared" si="13"/>
        <v>382414.09713995084</v>
      </c>
      <c r="M43" s="461">
        <f t="shared" si="13"/>
        <v>395712.44803513808</v>
      </c>
      <c r="N43" s="461">
        <f t="shared" si="13"/>
        <v>474705.98719924566</v>
      </c>
      <c r="O43" s="461">
        <f t="shared" si="13"/>
        <v>491239.44416790822</v>
      </c>
      <c r="P43" s="461">
        <f t="shared" si="13"/>
        <v>508423.87311117398</v>
      </c>
      <c r="Q43" s="462">
        <f t="shared" ref="Q43" si="14">SUM(Q39:Q42)</f>
        <v>3979574.4191975542</v>
      </c>
      <c r="R43" s="366"/>
      <c r="S43" s="357"/>
      <c r="T43" s="8"/>
      <c r="U43" s="8"/>
    </row>
    <row r="44" spans="1:21" s="7" customFormat="1" ht="17.25" customHeight="1" thickTop="1" thickBot="1">
      <c r="E44" s="368" t="s">
        <v>340</v>
      </c>
      <c r="F44" s="468" t="e">
        <f>F43/(VLOOKUP($A$2,'Asset Attributes'!$B$3:$D$25,3,0))</f>
        <v>#DIV/0!</v>
      </c>
      <c r="G44" s="468" t="e">
        <f>G43/(VLOOKUP($A$2,'Asset Attributes'!$B$3:$D$25,3,0))</f>
        <v>#DIV/0!</v>
      </c>
      <c r="H44" s="468" t="e">
        <f>H43/(VLOOKUP($A$2,'Asset Attributes'!$B$3:$D$25,3,0))</f>
        <v>#DIV/0!</v>
      </c>
      <c r="I44" s="468" t="e">
        <f>I43/(VLOOKUP($A$2,'Asset Attributes'!$B$3:$D$25,3,0))</f>
        <v>#DIV/0!</v>
      </c>
      <c r="J44" s="468" t="e">
        <f>J43/(VLOOKUP($A$2,'Asset Attributes'!$B$3:$D$25,3,0))</f>
        <v>#DIV/0!</v>
      </c>
      <c r="K44" s="468" t="e">
        <f>K43/(VLOOKUP($A$2,'Asset Attributes'!$B$3:$D$25,3,0))</f>
        <v>#DIV/0!</v>
      </c>
      <c r="L44" s="468" t="e">
        <f>L43/(VLOOKUP($A$2,'Asset Attributes'!$B$3:$D$25,3,0))</f>
        <v>#DIV/0!</v>
      </c>
      <c r="M44" s="468" t="e">
        <f>M43/(VLOOKUP($A$2,'Asset Attributes'!$B$3:$D$25,3,0))</f>
        <v>#DIV/0!</v>
      </c>
      <c r="N44" s="468" t="e">
        <f>N43/(VLOOKUP($A$2,'Asset Attributes'!$B$3:$D$25,3,0))</f>
        <v>#DIV/0!</v>
      </c>
      <c r="O44" s="468" t="e">
        <f>O43/(VLOOKUP($A$2,'Asset Attributes'!$B$3:$D$25,3,0))</f>
        <v>#DIV/0!</v>
      </c>
      <c r="P44" s="468" t="e">
        <f>P43/(VLOOKUP($A$2,'Asset Attributes'!$B$3:$D$25,3,0))</f>
        <v>#DIV/0!</v>
      </c>
      <c r="Q44" s="460" t="e">
        <f>Q43/(VLOOKUP($A$2,'Asset Attributes'!$B$3:$D$25,3,0))</f>
        <v>#DIV/0!</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0</v>
      </c>
      <c r="L46" s="461">
        <f t="shared" si="15"/>
        <v>0</v>
      </c>
      <c r="M46" s="461">
        <f t="shared" si="15"/>
        <v>0</v>
      </c>
      <c r="N46" s="461">
        <f t="shared" si="15"/>
        <v>0</v>
      </c>
      <c r="O46" s="461">
        <f t="shared" si="15"/>
        <v>0</v>
      </c>
      <c r="P46" s="461">
        <f t="shared" si="15"/>
        <v>0</v>
      </c>
      <c r="Q46" s="462">
        <f>SUM(F46:P46)</f>
        <v>0</v>
      </c>
      <c r="R46" s="366"/>
      <c r="S46" s="357"/>
      <c r="T46" s="8"/>
      <c r="U46" s="8"/>
    </row>
    <row r="47" spans="1:21" s="7" customFormat="1" ht="17.25" customHeight="1" thickTop="1" thickBot="1">
      <c r="A47" s="9"/>
      <c r="B47" s="1"/>
      <c r="C47" s="2"/>
      <c r="D47" s="2"/>
      <c r="E47" s="368" t="s">
        <v>340</v>
      </c>
      <c r="F47" s="468" t="e">
        <f>F46/(VLOOKUP($A$2,'Asset Attributes'!$B$3:$D$25,3,0))</f>
        <v>#DIV/0!</v>
      </c>
      <c r="G47" s="468" t="e">
        <f>G46/(VLOOKUP($A$2,'Asset Attributes'!$B$3:$D$25,3,0))</f>
        <v>#DIV/0!</v>
      </c>
      <c r="H47" s="468" t="e">
        <f>H46/(VLOOKUP($A$2,'Asset Attributes'!$B$3:$D$25,3,0))</f>
        <v>#DIV/0!</v>
      </c>
      <c r="I47" s="468" t="e">
        <f>I46/(VLOOKUP($A$2,'Asset Attributes'!$B$3:$D$25,3,0))</f>
        <v>#DIV/0!</v>
      </c>
      <c r="J47" s="468" t="e">
        <f>J46/(VLOOKUP($A$2,'Asset Attributes'!$B$3:$D$25,3,0))</f>
        <v>#DIV/0!</v>
      </c>
      <c r="K47" s="468" t="e">
        <f>K46/(VLOOKUP($A$2,'Asset Attributes'!$B$3:$D$25,3,0))</f>
        <v>#DIV/0!</v>
      </c>
      <c r="L47" s="468" t="e">
        <f>L46/(VLOOKUP($A$2,'Asset Attributes'!$B$3:$D$25,3,0))</f>
        <v>#DIV/0!</v>
      </c>
      <c r="M47" s="468" t="e">
        <f>M46/(VLOOKUP($A$2,'Asset Attributes'!$B$3:$D$25,3,0))</f>
        <v>#DIV/0!</v>
      </c>
      <c r="N47" s="468" t="e">
        <f>N46/(VLOOKUP($A$2,'Asset Attributes'!$B$3:$D$25,3,0))</f>
        <v>#DIV/0!</v>
      </c>
      <c r="O47" s="468" t="e">
        <f>O46/(VLOOKUP($A$2,'Asset Attributes'!$B$3:$D$25,3,0))</f>
        <v>#DIV/0!</v>
      </c>
      <c r="P47" s="468" t="e">
        <f>P46/(VLOOKUP($A$2,'Asset Attributes'!$B$3:$D$25,3,0))</f>
        <v>#DIV/0!</v>
      </c>
      <c r="Q47" s="460" t="e">
        <f>Q46/(VLOOKUP($A$2,'Asset Attributes'!$B$3:$D$25,3,0))</f>
        <v>#DIV/0!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0</v>
      </c>
      <c r="H49" s="464">
        <f t="shared" si="16"/>
        <v>0</v>
      </c>
      <c r="I49" s="464">
        <f t="shared" si="16"/>
        <v>0</v>
      </c>
      <c r="J49" s="464">
        <f t="shared" si="16"/>
        <v>0</v>
      </c>
      <c r="K49" s="464">
        <f t="shared" si="16"/>
        <v>0</v>
      </c>
      <c r="L49" s="464">
        <f t="shared" si="16"/>
        <v>0</v>
      </c>
      <c r="M49" s="464">
        <f t="shared" si="16"/>
        <v>0</v>
      </c>
      <c r="N49" s="464">
        <f t="shared" si="16"/>
        <v>0</v>
      </c>
      <c r="O49" s="464">
        <f t="shared" si="16"/>
        <v>0</v>
      </c>
      <c r="P49" s="464">
        <f t="shared" si="16"/>
        <v>0</v>
      </c>
      <c r="Q49" s="465">
        <f>+SUM(F49:P49)</f>
        <v>0</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0</v>
      </c>
      <c r="L50" s="466">
        <f t="shared" si="17"/>
        <v>0</v>
      </c>
      <c r="M50" s="466">
        <f t="shared" si="17"/>
        <v>0</v>
      </c>
      <c r="N50" s="466">
        <f t="shared" si="17"/>
        <v>0</v>
      </c>
      <c r="O50" s="466">
        <f t="shared" si="17"/>
        <v>0</v>
      </c>
      <c r="P50" s="466">
        <f t="shared" si="17"/>
        <v>0</v>
      </c>
      <c r="Q50" s="467">
        <f>Q46</f>
        <v>0</v>
      </c>
      <c r="R50" s="366"/>
      <c r="S50" s="357"/>
      <c r="T50" s="8"/>
      <c r="U50" s="8"/>
      <c r="V50" s="8"/>
      <c r="W50" s="8"/>
      <c r="X50" s="8"/>
    </row>
    <row r="51" spans="1:24"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696</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130 Pitt Street</v>
      </c>
      <c r="F56" s="440">
        <f t="shared" ref="F56:P56" si="19">F272</f>
        <v>4.5300065231572084</v>
      </c>
      <c r="G56" s="440">
        <f t="shared" si="19"/>
        <v>4.5300065231572084</v>
      </c>
      <c r="H56" s="440">
        <f t="shared" si="19"/>
        <v>4.5300065231572084</v>
      </c>
      <c r="I56" s="440">
        <f t="shared" si="19"/>
        <v>4.5300065231572084</v>
      </c>
      <c r="J56" s="440">
        <f t="shared" si="19"/>
        <v>4.5300065231572084</v>
      </c>
      <c r="K56" s="440">
        <f t="shared" si="19"/>
        <v>4.5300065231572084</v>
      </c>
      <c r="L56" s="440">
        <f t="shared" si="19"/>
        <v>4.5300065231572084</v>
      </c>
      <c r="M56" s="440">
        <f t="shared" si="19"/>
        <v>4.5300065231572084</v>
      </c>
      <c r="N56" s="440">
        <f t="shared" si="19"/>
        <v>4.5300065231572084</v>
      </c>
      <c r="O56" s="440">
        <f t="shared" si="19"/>
        <v>4.5300065231572084</v>
      </c>
      <c r="P56" s="440">
        <f t="shared" si="19"/>
        <v>4.5300065231572084</v>
      </c>
      <c r="Q56" s="470">
        <f>IF(E56="",0,P56-F56)</f>
        <v>0</v>
      </c>
      <c r="R56" s="473" t="s">
        <v>358</v>
      </c>
      <c r="S56" s="478" t="s">
        <v>20</v>
      </c>
      <c r="T56" s="473" t="s">
        <v>358</v>
      </c>
      <c r="U56" s="478" t="s">
        <v>20</v>
      </c>
      <c r="V56" s="473" t="s">
        <v>358</v>
      </c>
      <c r="W56" s="479" t="e">
        <f ca="1">IF(W58=1,"Complete",IF(W60&lt;&gt;0,"Complete","Outstanding"))</f>
        <v>#NAME?</v>
      </c>
      <c r="X56" s="14"/>
    </row>
    <row r="57" spans="1:24" ht="25.5" customHeight="1">
      <c r="A57" s="438" t="s">
        <v>6</v>
      </c>
      <c r="C57" s="275" t="s">
        <v>118</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t="str">
        <f>IF(S56="Underway","",R115)</f>
        <v/>
      </c>
      <c r="T57" s="473" t="s">
        <v>669</v>
      </c>
      <c r="U57" s="479" t="str">
        <f>IF(U56="Underway","",S115)</f>
        <v/>
      </c>
      <c r="V57" s="473" t="s">
        <v>361</v>
      </c>
      <c r="W57" s="478"/>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t="str">
        <f>IF(S56="Underway","",-1*(1000*AL214*D6+AM214*D8))</f>
        <v/>
      </c>
      <c r="T58" s="473" t="s">
        <v>367</v>
      </c>
      <c r="U58" s="478" t="str">
        <f>IF(U56="Underway","",-1*S64)</f>
        <v/>
      </c>
      <c r="V58" s="473" t="s">
        <v>368</v>
      </c>
      <c r="W58" s="478">
        <v>0</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t="str">
        <f>V115</f>
        <v/>
      </c>
      <c r="T59" s="473" t="s">
        <v>371</v>
      </c>
      <c r="U59" s="483" t="str">
        <f>IF(U56="Underway","",_xlfn.MAXIFS(E69:E88,S69:S88,"Yes"))</f>
        <v/>
      </c>
      <c r="V59" s="482" t="s">
        <v>372</v>
      </c>
      <c r="W59" s="479">
        <f>T115</f>
        <v>0</v>
      </c>
      <c r="X59" s="14"/>
    </row>
    <row r="60" spans="1:24" ht="25.5" customHeight="1">
      <c r="A60" s="438" t="s">
        <v>373</v>
      </c>
      <c r="B60" s="14"/>
      <c r="C60" s="275">
        <v>5511.8</v>
      </c>
      <c r="D60" s="160"/>
      <c r="Q60" s="10"/>
      <c r="R60" s="473" t="s">
        <v>374</v>
      </c>
      <c r="S60" s="481" t="str">
        <f>IF(S56="Underway","",U115)</f>
        <v/>
      </c>
      <c r="T60" s="10"/>
      <c r="U60" s="10"/>
      <c r="V60" s="473" t="s">
        <v>375</v>
      </c>
      <c r="W60" s="483" t="e">
        <f ca="1">IF(IF(W58=1,"Complete",_xlfn.MAXIFS(E69:E114,T69:T114,"Yes"))=0,"",IF(W58=1,"Complete",_xlfn.MAXIFS(E69:E114,T69:T114,"Yes")))</f>
        <v>#NAME?</v>
      </c>
      <c r="X60" s="14"/>
    </row>
    <row r="61" spans="1:24" ht="25.5" customHeight="1">
      <c r="A61" s="438" t="s">
        <v>376</v>
      </c>
      <c r="B61" s="14"/>
      <c r="C61" s="444">
        <v>50</v>
      </c>
      <c r="D61" s="162"/>
      <c r="H61" s="13"/>
      <c r="J61" s="14"/>
      <c r="K61" s="14"/>
      <c r="L61" s="14"/>
      <c r="M61" s="10"/>
      <c r="N61" s="10"/>
      <c r="O61" s="10"/>
      <c r="P61" s="10"/>
      <c r="Q61" s="10"/>
      <c r="R61" s="482" t="s">
        <v>377</v>
      </c>
      <c r="S61" s="481">
        <f>P272</f>
        <v>4.5300065231572084</v>
      </c>
      <c r="T61" s="10"/>
      <c r="U61" s="10"/>
      <c r="V61" s="473" t="s">
        <v>378</v>
      </c>
      <c r="W61" s="478">
        <v>0</v>
      </c>
      <c r="X61" s="14"/>
    </row>
    <row r="62" spans="1:24" ht="25.5" customHeight="1">
      <c r="A62" s="438" t="s">
        <v>379</v>
      </c>
      <c r="B62" s="14"/>
      <c r="C62" s="275">
        <v>547.97820000000002</v>
      </c>
      <c r="H62" s="13"/>
      <c r="J62" s="14"/>
      <c r="K62" s="14"/>
      <c r="L62" s="347"/>
      <c r="M62" s="10"/>
      <c r="N62" s="10"/>
      <c r="O62" s="10"/>
      <c r="P62" s="10"/>
      <c r="Q62" s="10"/>
      <c r="R62" s="482" t="s">
        <v>380</v>
      </c>
      <c r="S62" s="481">
        <f>Q272</f>
        <v>4.5300065231572084</v>
      </c>
      <c r="T62" s="10"/>
      <c r="U62" s="10"/>
      <c r="V62" s="10"/>
      <c r="W62" s="14"/>
      <c r="X62" s="14"/>
    </row>
    <row r="63" spans="1:24" ht="25.5" customHeight="1">
      <c r="A63" s="438" t="s">
        <v>382</v>
      </c>
      <c r="B63" s="14"/>
      <c r="C63" s="275">
        <v>0</v>
      </c>
      <c r="H63" s="13"/>
      <c r="J63" s="14"/>
      <c r="K63" s="14"/>
      <c r="L63" s="10"/>
      <c r="M63" s="10"/>
      <c r="N63" s="10"/>
      <c r="O63" s="10"/>
      <c r="P63" s="10"/>
      <c r="Q63" s="10"/>
      <c r="R63" s="476" t="s">
        <v>383</v>
      </c>
      <c r="S63" s="478">
        <f>C115/C62</f>
        <v>0</v>
      </c>
      <c r="T63" s="10"/>
      <c r="U63" s="10"/>
      <c r="V63" s="10"/>
      <c r="W63" s="14"/>
      <c r="X63" s="14"/>
    </row>
    <row r="64" spans="1:24" ht="25.5" customHeight="1">
      <c r="A64" s="446" t="s">
        <v>385</v>
      </c>
      <c r="B64" s="447"/>
      <c r="C64" s="445">
        <v>84</v>
      </c>
      <c r="D64" s="495">
        <f>(AJ215-C64)/C64</f>
        <v>0</v>
      </c>
      <c r="H64" s="13"/>
      <c r="J64" s="14"/>
      <c r="K64" s="14"/>
      <c r="L64" s="10"/>
      <c r="M64" s="10"/>
      <c r="N64" s="10"/>
      <c r="O64" s="10"/>
      <c r="P64" s="10"/>
      <c r="Q64" s="10"/>
      <c r="R64" s="476" t="s">
        <v>386</v>
      </c>
      <c r="S64" s="478" t="e">
        <f>D115/C63</f>
        <v>#DIV/0!</v>
      </c>
      <c r="T64" s="10"/>
      <c r="U64" s="14"/>
      <c r="V64" s="10"/>
      <c r="W64" s="14"/>
      <c r="X64" s="14"/>
    </row>
    <row r="65" spans="1:24" ht="25.5" customHeight="1">
      <c r="B65" s="487" t="s">
        <v>387</v>
      </c>
      <c r="C65" s="489">
        <f>Z216</f>
        <v>4.5300065231572084</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77"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c r="S69" s="379"/>
      <c r="T69" s="380"/>
      <c r="U69" s="411" t="e">
        <f>IF(-0.75*((C69/(VLOOKUP($A$2,Assumptions!$B$124:$G$147,2,0)))+D69/(VLOOKUP($A$2,Assumptions!$B$124:$G$147,5,0)))=0,"",-0.75*((C69/(VLOOKUP($A$2,Assumptions!$B$124:$G$147,2,0)))+D69/(VLOOKUP($A$2,Assumptions!$B$124:$G$147,5,0))))</f>
        <v>#DIV/0!</v>
      </c>
      <c r="V69" s="412" t="str">
        <f t="shared" ref="V69:V88" si="22">IF(ISERROR(((-1*C69*1000*$D$6)+(-1*D69*$D$8))/F69),"",((-1*C69*1000*$D$6)+(-1*D69*$D$8))/F69)</f>
        <v/>
      </c>
      <c r="W69" s="450"/>
      <c r="X69" s="506"/>
    </row>
    <row r="70" spans="1:24" ht="15">
      <c r="A70" s="373"/>
      <c r="B70" s="374"/>
      <c r="C70" s="381"/>
      <c r="D70" s="381"/>
      <c r="E70" s="377"/>
      <c r="F70" s="378"/>
      <c r="G70" s="403">
        <f t="shared" ref="G70:G77" si="23">IF($E70&lt;G$66,$F70,0)</f>
        <v>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c r="S70" s="379"/>
      <c r="T70" s="382"/>
      <c r="U70" s="413" t="e">
        <f>IF(-0.75*((C70/(VLOOKUP($A$2,Assumptions!$B$124:$G$147,2,0)))+D70/(VLOOKUP($A$2,Assumptions!$B$124:$G$147,5,0)))=0,"",-0.75*((C70/(VLOOKUP($A$2,Assumptions!$B$124:$G$147,2,0)))+D70/(VLOOKUP($A$2,Assumptions!$B$124:$G$147,5,0))))</f>
        <v>#DIV/0!</v>
      </c>
      <c r="V70" s="414" t="str">
        <f t="shared" si="22"/>
        <v/>
      </c>
      <c r="W70" s="451"/>
      <c r="X70" s="506"/>
    </row>
    <row r="71" spans="1:24" ht="15">
      <c r="A71" s="373"/>
      <c r="B71" s="374"/>
      <c r="C71" s="383"/>
      <c r="D71" s="383"/>
      <c r="E71" s="377"/>
      <c r="F71" s="384"/>
      <c r="G71" s="403">
        <f t="shared" si="23"/>
        <v>0</v>
      </c>
      <c r="H71" s="404">
        <f t="shared" si="21"/>
        <v>0</v>
      </c>
      <c r="I71" s="405">
        <f t="shared" si="21"/>
        <v>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c r="S71" s="379"/>
      <c r="T71" s="382"/>
      <c r="U71" s="413" t="e">
        <f>IF(-0.75*((C71/(VLOOKUP($A$2,Assumptions!$B$124:$G$147,2,0)))+D71/(VLOOKUP($A$2,Assumptions!$B$124:$G$147,5,0)))=0,"",-0.75*((C71/(VLOOKUP($A$2,Assumptions!$B$124:$G$147,2,0)))+D71/(VLOOKUP($A$2,Assumptions!$B$124:$G$147,5,0))))</f>
        <v>#DIV/0!</v>
      </c>
      <c r="V71" s="414" t="str">
        <f t="shared" si="22"/>
        <v/>
      </c>
      <c r="W71" s="451"/>
      <c r="X71" s="506"/>
    </row>
    <row r="72" spans="1:24" ht="15">
      <c r="A72" s="373"/>
      <c r="B72" s="374"/>
      <c r="C72" s="375"/>
      <c r="D72" s="375"/>
      <c r="E72" s="377"/>
      <c r="F72" s="378"/>
      <c r="G72" s="403">
        <f t="shared" si="23"/>
        <v>0</v>
      </c>
      <c r="H72" s="404">
        <f t="shared" si="21"/>
        <v>0</v>
      </c>
      <c r="I72" s="405">
        <f t="shared" si="21"/>
        <v>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c r="S72" s="379"/>
      <c r="T72" s="382"/>
      <c r="U72" s="413" t="e">
        <f>IF(-0.75*((C72/(VLOOKUP($A$2,Assumptions!$B$124:$G$147,2,0)))+D72/(VLOOKUP($A$2,Assumptions!$B$124:$G$147,5,0)))=0,"",-0.75*((C72/(VLOOKUP($A$2,Assumptions!$B$124:$G$147,2,0)))+D72/(VLOOKUP($A$2,Assumptions!$B$124:$G$147,5,0))))</f>
        <v>#DIV/0!</v>
      </c>
      <c r="V72" s="414" t="str">
        <f t="shared" si="22"/>
        <v/>
      </c>
      <c r="W72" s="451"/>
      <c r="X72" s="506"/>
    </row>
    <row r="73" spans="1:24" ht="15">
      <c r="A73" s="373"/>
      <c r="B73" s="374"/>
      <c r="C73" s="381"/>
      <c r="D73" s="381"/>
      <c r="E73" s="377"/>
      <c r="F73" s="378"/>
      <c r="G73" s="403">
        <f t="shared" si="23"/>
        <v>0</v>
      </c>
      <c r="H73" s="404">
        <f t="shared" si="21"/>
        <v>0</v>
      </c>
      <c r="I73" s="405">
        <f t="shared" si="21"/>
        <v>0</v>
      </c>
      <c r="J73" s="405">
        <f t="shared" si="21"/>
        <v>0</v>
      </c>
      <c r="K73" s="405">
        <f t="shared" si="21"/>
        <v>0</v>
      </c>
      <c r="L73" s="405">
        <f t="shared" si="21"/>
        <v>0</v>
      </c>
      <c r="M73" s="405">
        <f t="shared" si="21"/>
        <v>0</v>
      </c>
      <c r="N73" s="405">
        <f t="shared" si="21"/>
        <v>0</v>
      </c>
      <c r="O73" s="405">
        <f t="shared" si="21"/>
        <v>0</v>
      </c>
      <c r="P73" s="406">
        <f t="shared" si="21"/>
        <v>0</v>
      </c>
      <c r="Q73" s="448">
        <f t="shared" si="21"/>
        <v>0</v>
      </c>
      <c r="R73" s="379"/>
      <c r="S73" s="379"/>
      <c r="T73" s="382"/>
      <c r="U73" s="413" t="e">
        <f>IF(-0.75*((C73/(VLOOKUP($A$2,Assumptions!$B$124:$G$147,2,0)))+D73/(VLOOKUP($A$2,Assumptions!$B$124:$G$147,5,0)))=0,"",-0.75*((C73/(VLOOKUP($A$2,Assumptions!$B$124:$G$147,2,0)))+D73/(VLOOKUP($A$2,Assumptions!$B$124:$G$147,5,0))))</f>
        <v>#DIV/0!</v>
      </c>
      <c r="V73" s="414" t="str">
        <f t="shared" si="22"/>
        <v/>
      </c>
      <c r="W73" s="451"/>
      <c r="X73" s="506"/>
    </row>
    <row r="74" spans="1:24" ht="15">
      <c r="A74" s="373"/>
      <c r="B74" s="374"/>
      <c r="C74" s="375"/>
      <c r="D74" s="375"/>
      <c r="E74" s="377"/>
      <c r="F74" s="378"/>
      <c r="G74" s="403">
        <f t="shared" si="23"/>
        <v>0</v>
      </c>
      <c r="H74" s="404">
        <f t="shared" si="21"/>
        <v>0</v>
      </c>
      <c r="I74" s="405">
        <f t="shared" si="21"/>
        <v>0</v>
      </c>
      <c r="J74" s="405">
        <f t="shared" si="21"/>
        <v>0</v>
      </c>
      <c r="K74" s="405">
        <f t="shared" si="21"/>
        <v>0</v>
      </c>
      <c r="L74" s="405">
        <f t="shared" si="21"/>
        <v>0</v>
      </c>
      <c r="M74" s="405">
        <f t="shared" si="21"/>
        <v>0</v>
      </c>
      <c r="N74" s="405">
        <f t="shared" si="21"/>
        <v>0</v>
      </c>
      <c r="O74" s="405">
        <f t="shared" si="21"/>
        <v>0</v>
      </c>
      <c r="P74" s="406">
        <f t="shared" si="21"/>
        <v>0</v>
      </c>
      <c r="Q74" s="448">
        <f t="shared" si="21"/>
        <v>0</v>
      </c>
      <c r="R74" s="379"/>
      <c r="S74" s="379"/>
      <c r="T74" s="382"/>
      <c r="U74" s="413" t="e">
        <f>IF(-0.75*((C74/(VLOOKUP($A$2,Assumptions!$B$124:$G$147,2,0)))+D74/(VLOOKUP($A$2,Assumptions!$B$124:$G$147,5,0)))=0,"",-0.75*((C74/(VLOOKUP($A$2,Assumptions!$B$124:$G$147,2,0)))+D74/(VLOOKUP($A$2,Assumptions!$B$124:$G$147,5,0))))</f>
        <v>#DIV/0!</v>
      </c>
      <c r="V74" s="414" t="str">
        <f t="shared" si="22"/>
        <v/>
      </c>
      <c r="W74" s="451"/>
      <c r="X74" s="506"/>
    </row>
    <row r="75" spans="1:24" ht="15">
      <c r="A75" s="373"/>
      <c r="B75" s="374"/>
      <c r="C75" s="375"/>
      <c r="D75" s="375"/>
      <c r="E75" s="377"/>
      <c r="F75" s="378"/>
      <c r="G75" s="403">
        <f t="shared" si="23"/>
        <v>0</v>
      </c>
      <c r="H75" s="404">
        <f t="shared" si="21"/>
        <v>0</v>
      </c>
      <c r="I75" s="405">
        <f t="shared" si="21"/>
        <v>0</v>
      </c>
      <c r="J75" s="405">
        <f t="shared" si="21"/>
        <v>0</v>
      </c>
      <c r="K75" s="405">
        <f t="shared" si="21"/>
        <v>0</v>
      </c>
      <c r="L75" s="405">
        <f t="shared" si="21"/>
        <v>0</v>
      </c>
      <c r="M75" s="405">
        <f t="shared" si="21"/>
        <v>0</v>
      </c>
      <c r="N75" s="405">
        <f t="shared" si="21"/>
        <v>0</v>
      </c>
      <c r="O75" s="405">
        <f t="shared" si="21"/>
        <v>0</v>
      </c>
      <c r="P75" s="406">
        <f t="shared" si="21"/>
        <v>0</v>
      </c>
      <c r="Q75" s="448">
        <f t="shared" si="21"/>
        <v>0</v>
      </c>
      <c r="R75" s="379"/>
      <c r="S75" s="379"/>
      <c r="T75" s="382"/>
      <c r="U75" s="413" t="e">
        <f>IF(-0.75*((C75/(VLOOKUP($A$2,Assumptions!$B$124:$G$147,2,0)))+D75/(VLOOKUP($A$2,Assumptions!$B$124:$G$147,5,0)))=0,"",-0.75*((C75/(VLOOKUP($A$2,Assumptions!$B$124:$G$147,2,0)))+D75/(VLOOKUP($A$2,Assumptions!$B$124:$G$147,5,0))))</f>
        <v>#DIV/0!</v>
      </c>
      <c r="V75" s="414" t="str">
        <f t="shared" si="22"/>
        <v/>
      </c>
      <c r="W75" s="451"/>
      <c r="X75" s="506"/>
    </row>
    <row r="76" spans="1:24" ht="15">
      <c r="A76" s="373"/>
      <c r="B76" s="374"/>
      <c r="C76" s="375"/>
      <c r="D76" s="375"/>
      <c r="E76" s="377"/>
      <c r="F76" s="378"/>
      <c r="G76" s="403">
        <f t="shared" si="23"/>
        <v>0</v>
      </c>
      <c r="H76" s="404">
        <f t="shared" si="21"/>
        <v>0</v>
      </c>
      <c r="I76" s="405">
        <f t="shared" si="21"/>
        <v>0</v>
      </c>
      <c r="J76" s="405">
        <f t="shared" si="21"/>
        <v>0</v>
      </c>
      <c r="K76" s="405">
        <f t="shared" si="21"/>
        <v>0</v>
      </c>
      <c r="L76" s="405">
        <f t="shared" si="21"/>
        <v>0</v>
      </c>
      <c r="M76" s="405">
        <f t="shared" si="21"/>
        <v>0</v>
      </c>
      <c r="N76" s="405">
        <f t="shared" si="21"/>
        <v>0</v>
      </c>
      <c r="O76" s="405">
        <f t="shared" si="21"/>
        <v>0</v>
      </c>
      <c r="P76" s="406">
        <f t="shared" si="21"/>
        <v>0</v>
      </c>
      <c r="Q76" s="448">
        <f t="shared" si="21"/>
        <v>0</v>
      </c>
      <c r="R76" s="379"/>
      <c r="S76" s="379"/>
      <c r="T76" s="382"/>
      <c r="U76" s="413" t="e">
        <f>IF(-0.75*((C76/(VLOOKUP($A$2,Assumptions!$B$124:$G$147,2,0)))+D76/(VLOOKUP($A$2,Assumptions!$B$124:$G$147,5,0)))=0,"",-0.75*((C76/(VLOOKUP($A$2,Assumptions!$B$124:$G$147,2,0)))+D76/(VLOOKUP($A$2,Assumptions!$B$124:$G$147,5,0))))</f>
        <v>#DIV/0!</v>
      </c>
      <c r="V76" s="414" t="str">
        <f t="shared" si="22"/>
        <v/>
      </c>
      <c r="W76" s="451"/>
      <c r="X76" s="506"/>
    </row>
    <row r="77" spans="1:24" ht="15">
      <c r="A77" s="373"/>
      <c r="B77" s="374"/>
      <c r="C77" s="375"/>
      <c r="D77" s="375"/>
      <c r="E77" s="377"/>
      <c r="F77" s="378"/>
      <c r="G77" s="403">
        <f t="shared" si="23"/>
        <v>0</v>
      </c>
      <c r="H77" s="404">
        <f t="shared" si="21"/>
        <v>0</v>
      </c>
      <c r="I77" s="405">
        <f t="shared" si="21"/>
        <v>0</v>
      </c>
      <c r="J77" s="405">
        <f t="shared" si="21"/>
        <v>0</v>
      </c>
      <c r="K77" s="405">
        <f t="shared" si="21"/>
        <v>0</v>
      </c>
      <c r="L77" s="405">
        <f t="shared" si="21"/>
        <v>0</v>
      </c>
      <c r="M77" s="405">
        <f t="shared" si="21"/>
        <v>0</v>
      </c>
      <c r="N77" s="405">
        <f t="shared" si="21"/>
        <v>0</v>
      </c>
      <c r="O77" s="405">
        <f t="shared" si="21"/>
        <v>0</v>
      </c>
      <c r="P77" s="406">
        <f t="shared" si="21"/>
        <v>0</v>
      </c>
      <c r="Q77" s="448">
        <f t="shared" si="21"/>
        <v>0</v>
      </c>
      <c r="R77" s="379"/>
      <c r="S77" s="379"/>
      <c r="T77" s="385"/>
      <c r="U77" s="413" t="e">
        <f>IF(-0.75*((C77/(VLOOKUP($A$2,Assumptions!$B$124:$G$147,2,0)))+D77/(VLOOKUP($A$2,Assumptions!$B$124:$G$147,5,0)))=0,"",-0.75*((C77/(VLOOKUP($A$2,Assumptions!$B$124:$G$147,2,0)))+D77/(VLOOKUP($A$2,Assumptions!$B$124:$G$147,5,0))))</f>
        <v>#DIV/0!</v>
      </c>
      <c r="V77" s="414" t="str">
        <f t="shared" si="22"/>
        <v/>
      </c>
      <c r="W77" s="451"/>
      <c r="X77" s="506"/>
    </row>
    <row r="78" spans="1:24" ht="15">
      <c r="A78" s="373"/>
      <c r="B78" s="374"/>
      <c r="C78" s="375"/>
      <c r="D78" s="375"/>
      <c r="E78" s="377"/>
      <c r="F78" s="378"/>
      <c r="G78" s="403"/>
      <c r="H78" s="404"/>
      <c r="I78" s="405"/>
      <c r="J78" s="405"/>
      <c r="K78" s="405"/>
      <c r="L78" s="405"/>
      <c r="M78" s="405"/>
      <c r="N78" s="405"/>
      <c r="O78" s="405"/>
      <c r="P78" s="406"/>
      <c r="Q78" s="448"/>
      <c r="R78" s="379"/>
      <c r="S78" s="386"/>
      <c r="T78" s="387"/>
      <c r="U78" s="413" t="e">
        <f>IF(-0.75*((C78/(VLOOKUP($A$2,Assumptions!$B$124:$G$147,2,0)))+D78/(VLOOKUP($A$2,Assumptions!$B$124:$G$147,5,0)))=0,"",-0.75*((C78/(VLOOKUP($A$2,Assumptions!$B$124:$G$147,2,0)))+D78/(VLOOKUP($A$2,Assumptions!$B$124:$G$147,5,0))))</f>
        <v>#DIV/0!</v>
      </c>
      <c r="V78" s="414" t="str">
        <f t="shared" si="22"/>
        <v/>
      </c>
      <c r="W78" s="451"/>
      <c r="X78" s="506"/>
    </row>
    <row r="79" spans="1:24" ht="15">
      <c r="A79" s="373"/>
      <c r="B79" s="374"/>
      <c r="C79" s="375"/>
      <c r="D79" s="375"/>
      <c r="E79" s="377"/>
      <c r="F79" s="378"/>
      <c r="G79" s="403"/>
      <c r="H79" s="404"/>
      <c r="I79" s="405"/>
      <c r="J79" s="405"/>
      <c r="K79" s="405"/>
      <c r="L79" s="405"/>
      <c r="M79" s="405"/>
      <c r="N79" s="405"/>
      <c r="O79" s="405"/>
      <c r="P79" s="406"/>
      <c r="Q79" s="448"/>
      <c r="R79" s="379"/>
      <c r="S79" s="386"/>
      <c r="T79" s="387"/>
      <c r="U79" s="413" t="e">
        <f>IF(-0.75*((C79/(VLOOKUP($A$2,Assumptions!$B$124:$G$147,2,0)))+D79/(VLOOKUP($A$2,Assumptions!$B$124:$G$147,5,0)))=0,"",-0.75*((C79/(VLOOKUP($A$2,Assumptions!$B$124:$G$147,2,0)))+D79/(VLOOKUP($A$2,Assumptions!$B$124:$G$147,5,0))))</f>
        <v>#DIV/0!</v>
      </c>
      <c r="V79" s="414" t="str">
        <f t="shared" si="22"/>
        <v/>
      </c>
      <c r="W79" s="451"/>
      <c r="X79" s="506"/>
    </row>
    <row r="80" spans="1:24" ht="15">
      <c r="A80" s="373"/>
      <c r="B80" s="374"/>
      <c r="C80" s="375"/>
      <c r="D80" s="375"/>
      <c r="E80" s="377"/>
      <c r="F80" s="378"/>
      <c r="G80" s="403"/>
      <c r="H80" s="404"/>
      <c r="I80" s="405"/>
      <c r="J80" s="405"/>
      <c r="K80" s="405"/>
      <c r="L80" s="405"/>
      <c r="M80" s="405"/>
      <c r="N80" s="405"/>
      <c r="O80" s="405"/>
      <c r="P80" s="406"/>
      <c r="Q80" s="448"/>
      <c r="R80" s="379"/>
      <c r="S80" s="386"/>
      <c r="T80" s="387"/>
      <c r="U80" s="413" t="e">
        <f>IF(-0.75*((C80/(VLOOKUP($A$2,Assumptions!$B$124:$G$147,2,0)))+D80/(VLOOKUP($A$2,Assumptions!$B$124:$G$147,5,0)))=0,"",-0.75*((C80/(VLOOKUP($A$2,Assumptions!$B$124:$G$147,2,0)))+D80/(VLOOKUP($A$2,Assumptions!$B$124:$G$147,5,0))))</f>
        <v>#DIV/0!</v>
      </c>
      <c r="V80" s="414" t="str">
        <f t="shared" si="22"/>
        <v/>
      </c>
      <c r="W80" s="451"/>
      <c r="X80" s="506"/>
    </row>
    <row r="81" spans="1:24" ht="15">
      <c r="A81" s="373"/>
      <c r="B81" s="457"/>
      <c r="C81" s="375"/>
      <c r="D81" s="375"/>
      <c r="E81" s="377"/>
      <c r="F81" s="378"/>
      <c r="G81" s="403"/>
      <c r="H81" s="404"/>
      <c r="I81" s="405"/>
      <c r="J81" s="405"/>
      <c r="K81" s="405"/>
      <c r="L81" s="405"/>
      <c r="M81" s="405"/>
      <c r="N81" s="405"/>
      <c r="O81" s="405"/>
      <c r="P81" s="406"/>
      <c r="Q81" s="448"/>
      <c r="R81" s="379"/>
      <c r="S81" s="386"/>
      <c r="T81" s="387"/>
      <c r="U81" s="413" t="e">
        <f>IF(-0.75*((C81/(VLOOKUP($A$2,Assumptions!$B$124:$G$147,2,0)))+D81/(VLOOKUP($A$2,Assumptions!$B$124:$G$147,5,0)))=0,"",-0.75*((C81/(VLOOKUP($A$2,Assumptions!$B$124:$G$147,2,0)))+D81/(VLOOKUP($A$2,Assumptions!$B$124:$G$147,5,0))))</f>
        <v>#DIV/0!</v>
      </c>
      <c r="V81" s="414" t="str">
        <f t="shared" si="22"/>
        <v/>
      </c>
      <c r="W81" s="451"/>
      <c r="X81" s="506"/>
    </row>
    <row r="82" spans="1:24" ht="15">
      <c r="A82" s="373"/>
      <c r="B82" s="457"/>
      <c r="C82" s="375"/>
      <c r="D82" s="375"/>
      <c r="E82" s="377"/>
      <c r="F82" s="378"/>
      <c r="G82" s="403"/>
      <c r="H82" s="404"/>
      <c r="I82" s="405"/>
      <c r="J82" s="405"/>
      <c r="K82" s="405"/>
      <c r="L82" s="405"/>
      <c r="M82" s="405"/>
      <c r="N82" s="405"/>
      <c r="O82" s="405"/>
      <c r="P82" s="406"/>
      <c r="Q82" s="448"/>
      <c r="R82" s="379"/>
      <c r="S82" s="386"/>
      <c r="T82" s="387"/>
      <c r="U82" s="413" t="e">
        <f>IF(-0.75*((C82/(VLOOKUP($A$2,Assumptions!$B$124:$G$147,2,0)))+D82/(VLOOKUP($A$2,Assumptions!$B$124:$G$147,5,0)))=0,"",-0.75*((C82/(VLOOKUP($A$2,Assumptions!$B$124:$G$147,2,0)))+D82/(VLOOKUP($A$2,Assumptions!$B$124:$G$147,5,0))))</f>
        <v>#DIV/0!</v>
      </c>
      <c r="V82" s="414" t="str">
        <f t="shared" si="22"/>
        <v/>
      </c>
      <c r="W82" s="451"/>
      <c r="X82" s="506"/>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e">
        <f>IF(-0.75*((C83/(VLOOKUP($A$2,Assumptions!$B$124:$G$147,2,0)))+D83/(VLOOKUP($A$2,Assumptions!$B$124:$G$147,5,0)))=0,"",-0.75*((C83/(VLOOKUP($A$2,Assumptions!$B$124:$G$147,2,0)))+D83/(VLOOKUP($A$2,Assumptions!$B$124:$G$147,5,0))))</f>
        <v>#DIV/0!</v>
      </c>
      <c r="V83" s="414" t="str">
        <f t="shared" si="22"/>
        <v/>
      </c>
      <c r="W83" s="451"/>
      <c r="X83" s="506"/>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e">
        <f>IF(-0.75*((C84/(VLOOKUP($A$2,Assumptions!$B$124:$G$147,2,0)))+D84/(VLOOKUP($A$2,Assumptions!$B$124:$G$147,5,0)))=0,"",-0.75*((C84/(VLOOKUP($A$2,Assumptions!$B$124:$G$147,2,0)))+D84/(VLOOKUP($A$2,Assumptions!$B$124:$G$147,5,0))))</f>
        <v>#DIV/0!</v>
      </c>
      <c r="V84" s="414" t="str">
        <f t="shared" si="22"/>
        <v/>
      </c>
      <c r="W84" s="451"/>
      <c r="X84" s="506"/>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e">
        <f>IF(-0.75*((C85/(VLOOKUP($A$2,Assumptions!$B$124:$G$147,2,0)))+D85/(VLOOKUP($A$2,Assumptions!$B$124:$G$147,5,0)))=0,"",-0.75*((C85/(VLOOKUP($A$2,Assumptions!$B$124:$G$147,2,0)))+D85/(VLOOKUP($A$2,Assumptions!$B$124:$G$147,5,0))))</f>
        <v>#DIV/0!</v>
      </c>
      <c r="V85" s="414" t="str">
        <f t="shared" si="22"/>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e">
        <f>IF(-0.75*((C86/(VLOOKUP($A$2,Assumptions!$B$124:$G$147,2,0)))+D86/(VLOOKUP($A$2,Assumptions!$B$124:$G$147,5,0)))=0,"",-0.75*((C86/(VLOOKUP($A$2,Assumptions!$B$124:$G$147,2,0)))+D86/(VLOOKUP($A$2,Assumptions!$B$124:$G$147,5,0))))</f>
        <v>#DIV/0!</v>
      </c>
      <c r="V86" s="414" t="str">
        <f t="shared" si="22"/>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e">
        <f>IF(-0.75*((C87/(VLOOKUP($A$2,Assumptions!$B$124:$G$147,2,0)))+D87/(VLOOKUP($A$2,Assumptions!$B$124:$G$147,5,0)))=0,"",-0.75*((C87/(VLOOKUP($A$2,Assumptions!$B$124:$G$147,2,0)))+D87/(VLOOKUP($A$2,Assumptions!$B$124:$G$147,5,0))))</f>
        <v>#DIV/0!</v>
      </c>
      <c r="V87" s="414" t="str">
        <f t="shared" si="22"/>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e">
        <f>IF(-0.75*((C88/(VLOOKUP($A$2,Assumptions!$B$124:$G$147,2,0)))+D88/(VLOOKUP($A$2,Assumptions!$B$124:$G$147,5,0)))=0,"",-0.75*((C88/(VLOOKUP($A$2,Assumptions!$B$124:$G$147,2,0)))+D88/(VLOOKUP($A$2,Assumptions!$B$124:$G$147,5,0))))</f>
        <v>#DIV/0!</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0</v>
      </c>
      <c r="D115" s="354">
        <f>SUM(D69:D88)</f>
        <v>0</v>
      </c>
      <c r="E115" s="355"/>
      <c r="F115" s="333">
        <f>SUM(F69:F114)</f>
        <v>0</v>
      </c>
      <c r="G115" s="388">
        <f>SUM(G69:G114)</f>
        <v>0</v>
      </c>
      <c r="H115" s="388">
        <f t="shared" ref="H115:N115" si="25">SUM(H69:H114)</f>
        <v>0</v>
      </c>
      <c r="I115" s="388">
        <f t="shared" si="25"/>
        <v>0</v>
      </c>
      <c r="J115" s="388">
        <f t="shared" si="25"/>
        <v>0</v>
      </c>
      <c r="K115" s="388">
        <f t="shared" si="25"/>
        <v>0</v>
      </c>
      <c r="L115" s="388">
        <f t="shared" si="25"/>
        <v>0</v>
      </c>
      <c r="M115" s="388">
        <f t="shared" si="25"/>
        <v>0</v>
      </c>
      <c r="N115" s="388">
        <f t="shared" si="25"/>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t="e">
        <f>SUM(U69:U114)</f>
        <v>#DIV/0!</v>
      </c>
      <c r="V115" s="390" t="str">
        <f>IF(ISERROR(((-1*C115*1000*$D$6)+(-1*D115*$D$8))/F115),"",((-1*C115*1000*$D$6)+(-1*D115*$D$8))/F115)</f>
        <v/>
      </c>
      <c r="W115" s="391">
        <f>SUMIFS(F69:F114,W69:W114,"Yes")</f>
        <v>0</v>
      </c>
      <c r="X115" s="516">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4.5300065231572084</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4.5300065231572084</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4.5300065231572084</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4.5300065231572084</v>
      </c>
      <c r="AA126" s="22">
        <f t="shared" ref="AA126:AC126" si="26">AK216</f>
        <v>4.5300065231572084</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4.5300065231572084</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4.5300065231572084</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4.5300065231572084</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4.5300065231572084</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4.5300065231572084</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4.5300065231572084</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4.5300065231572084</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34.795000000000002</v>
      </c>
      <c r="BC154" s="24" t="s">
        <v>436</v>
      </c>
      <c r="BD154" s="8"/>
      <c r="BE154" s="8"/>
      <c r="BF154" s="24">
        <f t="shared" ref="BF154:BF155" si="31">IF($C$59&gt;7000,"error",IF($C$59&gt;5999,AR154,IF($C$59&gt;4999,AQ154,IF($C$59&gt;3999,AP154,IF($C$59&gt;2999,AO154,IF($C$59&gt;1999,AN154,"Error"))))))</f>
        <v>34.795000000000002</v>
      </c>
      <c r="BG154" s="24">
        <f t="shared" ref="BG154:BG164" si="32">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52.192500000000003</v>
      </c>
      <c r="BC155" s="24" t="s">
        <v>436</v>
      </c>
      <c r="BE155" s="24"/>
      <c r="BF155" s="24">
        <f t="shared" si="31"/>
        <v>52.192500000000003</v>
      </c>
      <c r="BG155" s="24">
        <f t="shared" si="32"/>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2"/>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5511.8</v>
      </c>
      <c r="BW156" s="14" t="s">
        <v>445</v>
      </c>
      <c r="BX156" s="181" t="s">
        <v>13</v>
      </c>
      <c r="BY156" s="38">
        <f>BY157/BV156</f>
        <v>80.529471678943352</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84.92</v>
      </c>
      <c r="BC157" s="24" t="s">
        <v>436</v>
      </c>
      <c r="BD157" s="24">
        <f>BB157-BB156</f>
        <v>15.329999999999998</v>
      </c>
      <c r="BE157" s="24"/>
      <c r="BF157" s="24">
        <f t="shared" ref="BF157:BF164" si="36">IF($C$59&gt;7000,"error",IF($C$59&gt;5999,AR157,IF($C$59&gt;4999,AQ157,IF($C$59&gt;3999,AP157,IF($C$59&gt;2999,AO157,IF($C$59&gt;1999,AN157,"Error"))))))</f>
        <v>84.92</v>
      </c>
      <c r="BG157" s="24">
        <f t="shared" si="32"/>
        <v>158.69</v>
      </c>
      <c r="BH157" s="24"/>
      <c r="BI157" s="29" t="s">
        <v>118</v>
      </c>
      <c r="BJ157" s="29">
        <v>810</v>
      </c>
      <c r="BK157" s="29">
        <v>51.33</v>
      </c>
      <c r="BL157" s="24">
        <v>2000</v>
      </c>
      <c r="BM157" s="25"/>
      <c r="BN157" s="24">
        <f>BV161/BV158</f>
        <v>6.5235500000000002</v>
      </c>
      <c r="BO157" s="32" t="s">
        <v>447</v>
      </c>
      <c r="BP157" s="179">
        <f>$BY$158/SUM($BY$158:$BY$159)*C64</f>
        <v>84</v>
      </c>
      <c r="BQ157" s="29" t="s">
        <v>448</v>
      </c>
      <c r="BR157" s="29" t="s">
        <v>449</v>
      </c>
      <c r="BS157" s="29" t="s">
        <v>450</v>
      </c>
      <c r="BT157" s="14"/>
      <c r="BU157" s="30" t="s">
        <v>451</v>
      </c>
      <c r="BV157" s="33">
        <f xml:space="preserve"> 5 - 0.5*(BV158-BB156)/BH166</f>
        <v>4.5300065231572084</v>
      </c>
      <c r="BW157" s="14" t="s">
        <v>452</v>
      </c>
      <c r="BX157" s="181" t="s">
        <v>453</v>
      </c>
      <c r="BY157" s="180">
        <f>SUM(BY158:BY159)</f>
        <v>443862.342</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100.25</v>
      </c>
      <c r="BC158" s="24" t="s">
        <v>436</v>
      </c>
      <c r="BD158" s="24">
        <f t="shared" ref="BD158:BD164" si="37">BB158-BB157</f>
        <v>15.329999999999998</v>
      </c>
      <c r="BE158" s="24"/>
      <c r="BF158" s="24">
        <f t="shared" si="36"/>
        <v>100.25</v>
      </c>
      <c r="BG158" s="24">
        <f t="shared" si="32"/>
        <v>187.86</v>
      </c>
      <c r="BH158" s="24"/>
      <c r="BI158" s="29" t="s">
        <v>150</v>
      </c>
      <c r="BJ158" s="29">
        <v>810</v>
      </c>
      <c r="BK158" s="29">
        <v>51.33</v>
      </c>
      <c r="BL158" s="24">
        <v>3000</v>
      </c>
      <c r="BM158" s="25"/>
      <c r="BN158" s="179" t="e">
        <f>BV162/BV163</f>
        <v>#DIV/0!</v>
      </c>
      <c r="BO158" s="24" t="s">
        <v>454</v>
      </c>
      <c r="BP158" s="179">
        <f>$BY$159/SUM($BY$158:$BY$159)*C64</f>
        <v>0</v>
      </c>
      <c r="BQ158" s="29" t="s">
        <v>455</v>
      </c>
      <c r="BR158" s="29" t="s">
        <v>456</v>
      </c>
      <c r="BS158" s="29" t="s">
        <v>457</v>
      </c>
      <c r="BT158" s="14"/>
      <c r="BU158" s="30" t="s">
        <v>458</v>
      </c>
      <c r="BV158" s="31">
        <f>BP157</f>
        <v>84</v>
      </c>
      <c r="BW158" s="14" t="s">
        <v>436</v>
      </c>
      <c r="BX158" s="181" t="s">
        <v>459</v>
      </c>
      <c r="BY158" s="178">
        <f>INDEX($BJ$156:$BJ$161,MATCH($C$57,$BI$156:$BI$161,0))*$C$62</f>
        <v>443862.342</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115.57</v>
      </c>
      <c r="BC159" s="24" t="s">
        <v>436</v>
      </c>
      <c r="BD159" s="24">
        <f t="shared" si="37"/>
        <v>15.319999999999993</v>
      </c>
      <c r="BE159" s="24"/>
      <c r="BF159" s="24">
        <f t="shared" si="36"/>
        <v>115.57</v>
      </c>
      <c r="BG159" s="24">
        <f t="shared" si="32"/>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0</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130.9</v>
      </c>
      <c r="BC160" s="24" t="s">
        <v>436</v>
      </c>
      <c r="BD160" s="24">
        <f t="shared" si="37"/>
        <v>15.330000000000013</v>
      </c>
      <c r="BE160" s="24"/>
      <c r="BF160" s="24">
        <f t="shared" si="36"/>
        <v>130.9</v>
      </c>
      <c r="BG160" s="24">
        <f t="shared" si="32"/>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80.529471678943352</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146.22999999999999</v>
      </c>
      <c r="BC161" s="24" t="s">
        <v>436</v>
      </c>
      <c r="BD161" s="24">
        <f t="shared" si="37"/>
        <v>15.329999999999984</v>
      </c>
      <c r="BE161" s="24"/>
      <c r="BF161" s="24">
        <f t="shared" si="36"/>
        <v>146.22999999999999</v>
      </c>
      <c r="BG161" s="24">
        <f t="shared" si="32"/>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547.97820000000002</v>
      </c>
      <c r="BW161" s="14" t="s">
        <v>311</v>
      </c>
      <c r="BX161" s="14"/>
      <c r="BY161" s="14"/>
      <c r="BZ161" s="38">
        <f>5-(0.5*(C64-CE177)/(CE176-CE177))</f>
        <v>4.5300065231572084</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161.56</v>
      </c>
      <c r="BC162" s="24" t="s">
        <v>436</v>
      </c>
      <c r="BD162" s="24">
        <f t="shared" si="37"/>
        <v>15.330000000000013</v>
      </c>
      <c r="BE162" s="24"/>
      <c r="BF162" s="24">
        <f t="shared" si="36"/>
        <v>161.56</v>
      </c>
      <c r="BG162" s="24">
        <f t="shared" si="32"/>
        <v>304.55</v>
      </c>
      <c r="BH162" s="24"/>
      <c r="BI162" s="24"/>
      <c r="BJ162" s="24"/>
      <c r="BK162" s="24"/>
      <c r="BL162" s="24"/>
      <c r="BM162" s="37"/>
      <c r="BN162" s="37"/>
      <c r="BO162" s="37"/>
      <c r="BP162" s="37"/>
      <c r="BQ162" s="29" t="s">
        <v>473</v>
      </c>
      <c r="BR162" s="24"/>
      <c r="BS162" s="24"/>
      <c r="BT162" s="14"/>
      <c r="BU162" s="14" t="s">
        <v>474</v>
      </c>
      <c r="BV162" s="31">
        <f>C63</f>
        <v>0</v>
      </c>
      <c r="BW162" s="14" t="s">
        <v>314</v>
      </c>
      <c r="BX162" s="14"/>
      <c r="BY162" s="38">
        <f>C63*BK156</f>
        <v>0</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176.89</v>
      </c>
      <c r="BC163" s="24" t="s">
        <v>436</v>
      </c>
      <c r="BD163" s="24">
        <f t="shared" si="37"/>
        <v>15.329999999999984</v>
      </c>
      <c r="BE163" s="24"/>
      <c r="BF163" s="24">
        <f t="shared" si="36"/>
        <v>176.89</v>
      </c>
      <c r="BG163" s="24">
        <f t="shared" si="32"/>
        <v>333.72</v>
      </c>
      <c r="BH163" s="24"/>
      <c r="BI163" s="24"/>
      <c r="BJ163" s="24"/>
      <c r="BK163" s="24"/>
      <c r="BL163" s="24"/>
      <c r="BM163" s="37"/>
      <c r="BN163" s="37"/>
      <c r="BO163" s="37"/>
      <c r="BP163" s="37"/>
      <c r="BQ163" s="29" t="s">
        <v>475</v>
      </c>
      <c r="BR163" s="24"/>
      <c r="BS163" s="24"/>
      <c r="BT163" s="14"/>
      <c r="BU163" s="14" t="s">
        <v>476</v>
      </c>
      <c r="BV163" s="38">
        <f>BP158</f>
        <v>0</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192.21</v>
      </c>
      <c r="BC164" s="24" t="s">
        <v>436</v>
      </c>
      <c r="BD164" s="24">
        <f t="shared" si="37"/>
        <v>15.320000000000022</v>
      </c>
      <c r="BE164" s="24"/>
      <c r="BF164" s="24">
        <f t="shared" si="36"/>
        <v>192.21</v>
      </c>
      <c r="BG164" s="24">
        <f t="shared" si="32"/>
        <v>362.89</v>
      </c>
      <c r="BH164" s="24"/>
      <c r="BI164" s="24"/>
      <c r="BJ164" s="24"/>
      <c r="BK164" s="24"/>
      <c r="BL164" s="24"/>
      <c r="BM164" s="37"/>
      <c r="BN164" s="37"/>
      <c r="BO164" s="37"/>
      <c r="BP164" s="37"/>
      <c r="BQ164" s="29" t="s">
        <v>478</v>
      </c>
      <c r="BR164" s="24"/>
      <c r="BS164" s="24"/>
      <c r="BT164" s="14"/>
      <c r="BU164" s="14"/>
      <c r="BV164" s="38">
        <f>BV163+BV158</f>
        <v>84</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f>G66</f>
        <v>45473</v>
      </c>
      <c r="H166" s="206">
        <f t="shared" ref="H166:Q166" si="38">H66</f>
        <v>45838</v>
      </c>
      <c r="I166" s="206">
        <f t="shared" si="38"/>
        <v>46203</v>
      </c>
      <c r="J166" s="206">
        <f t="shared" si="38"/>
        <v>46568</v>
      </c>
      <c r="K166" s="206">
        <f t="shared" si="38"/>
        <v>46934</v>
      </c>
      <c r="L166" s="206">
        <f t="shared" si="38"/>
        <v>47299</v>
      </c>
      <c r="M166" s="206">
        <f t="shared" si="38"/>
        <v>47664</v>
      </c>
      <c r="N166" s="206">
        <f t="shared" si="38"/>
        <v>48029</v>
      </c>
      <c r="O166" s="206">
        <f t="shared" si="38"/>
        <v>48395</v>
      </c>
      <c r="P166" s="206">
        <f t="shared" si="38"/>
        <v>48760</v>
      </c>
      <c r="Q166" s="206">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0">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0</v>
      </c>
      <c r="K167" s="12">
        <f t="shared" ref="K167:K209" si="43">IF($E69&lt;K$66,$C69,0)</f>
        <v>0</v>
      </c>
      <c r="L167" s="12">
        <f t="shared" ref="L167:N186" si="44">IF($E69&gt;L$66,0,IF($E69&lt;L$66-365,$C69,0))</f>
        <v>0</v>
      </c>
      <c r="M167" s="12">
        <f t="shared" si="44"/>
        <v>0</v>
      </c>
      <c r="N167" s="12">
        <f t="shared" si="44"/>
        <v>0</v>
      </c>
      <c r="O167" s="12">
        <f t="shared" ref="O167:O209" si="45">IF($E69&lt;O$66,$C69,0)</f>
        <v>0</v>
      </c>
      <c r="P167" s="12">
        <f t="shared" ref="P167:Q186" si="46">IF($E69&gt;P$66,0,IF($E69&lt;P$66-365,$C69,0))</f>
        <v>0</v>
      </c>
      <c r="Q167" s="12">
        <f t="shared" si="46"/>
        <v>0</v>
      </c>
      <c r="T167" s="14"/>
      <c r="U167" s="14"/>
      <c r="V167" s="14"/>
      <c r="W167" s="53">
        <f t="shared" ref="W167:W211" si="47">C68*$BN$160*1000</f>
        <v>0</v>
      </c>
      <c r="X167" s="54" t="e">
        <f t="shared" ref="X167:X211" si="48">-1*F68/W167</f>
        <v>#DIV/0!</v>
      </c>
      <c r="Y167" s="25">
        <f>Z167/$BH$166</f>
        <v>0</v>
      </c>
      <c r="Z167" s="54">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si="40"/>
        <v>84.92</v>
      </c>
      <c r="BF167" s="24" t="s">
        <v>486</v>
      </c>
      <c r="BG167" s="56">
        <f>BV158+($C$64-$BV$158)</f>
        <v>84</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0</v>
      </c>
      <c r="K168" s="12">
        <f t="shared" si="43"/>
        <v>0</v>
      </c>
      <c r="L168" s="12">
        <f t="shared" si="44"/>
        <v>0</v>
      </c>
      <c r="M168" s="12">
        <f t="shared" si="44"/>
        <v>0</v>
      </c>
      <c r="N168" s="12">
        <f t="shared" si="44"/>
        <v>0</v>
      </c>
      <c r="O168" s="12">
        <f t="shared" si="45"/>
        <v>0</v>
      </c>
      <c r="P168" s="12">
        <f t="shared" si="46"/>
        <v>0</v>
      </c>
      <c r="Q168" s="12">
        <f t="shared" si="46"/>
        <v>0</v>
      </c>
      <c r="T168" s="57"/>
      <c r="U168" s="57"/>
      <c r="V168" s="57"/>
      <c r="W168" s="53">
        <f t="shared" si="47"/>
        <v>0</v>
      </c>
      <c r="X168" s="54" t="e">
        <f t="shared" si="48"/>
        <v>#DIV/0!</v>
      </c>
      <c r="Y168" s="54" t="e">
        <f t="shared" ref="Y168:Y213" si="55">Z168/$BH$166</f>
        <v>#DIV/0!</v>
      </c>
      <c r="Z168" s="54" t="e">
        <f>($C69/$BN$157)+($D69/$BN$158)</f>
        <v>#DIV/0!</v>
      </c>
      <c r="AA168" s="54">
        <f t="shared" si="49"/>
        <v>0</v>
      </c>
      <c r="AB168" s="54">
        <f t="shared" si="49"/>
        <v>0</v>
      </c>
      <c r="AC168" s="54">
        <f t="shared" si="49"/>
        <v>0</v>
      </c>
      <c r="AD168" s="54">
        <f>IF($E69+365&lt;$C$56,0,IF($E69&lt;$C$56,(($E69+365-$C$56)/365)*(($C69/$BN$157)+($D69/$BN$158)),IF($E69&gt;AD$166,0,IF($E69+365&lt;AD$166,($C69/$BN$157)+($D69/$BN$158),((AD$166-$E69)/365)*(($C69/$BN$157)+($D69/$BN$158))))))</f>
        <v>0</v>
      </c>
      <c r="AE168" s="54">
        <f t="shared" si="49"/>
        <v>0</v>
      </c>
      <c r="AF168" s="54">
        <f t="shared" si="49"/>
        <v>0</v>
      </c>
      <c r="AG168" s="54">
        <f t="shared" si="49"/>
        <v>0</v>
      </c>
      <c r="AH168" s="54">
        <f t="shared" si="49"/>
        <v>0</v>
      </c>
      <c r="AI168" s="54">
        <f t="shared" si="49"/>
        <v>0</v>
      </c>
      <c r="AJ168" s="54">
        <f t="shared" si="49"/>
        <v>0</v>
      </c>
      <c r="AK168" s="54">
        <f t="shared" ref="AK168" si="56">IF($E69+365&lt;$C$56,0,IF($E69&lt;$C$56,(($E69+365-$C$56)/365)*(($C69/$BN$157)+($D69/$BN$158)),IF($E69&gt;AK$166,0,IF($E69+365&lt;AK$166,($C69/$BN$157)+($D69/$BN$158),((AK$166-$E69)/365)*(($C69/$BN$157)+($D69/$BN$158))))))</f>
        <v>0</v>
      </c>
      <c r="AL168" s="24">
        <f t="shared" si="51"/>
        <v>0</v>
      </c>
      <c r="AM168" s="24">
        <f t="shared" si="52"/>
        <v>0</v>
      </c>
      <c r="AN168" s="55">
        <f t="shared" si="53"/>
        <v>0</v>
      </c>
      <c r="AO168" s="55">
        <f t="shared" si="54"/>
        <v>0</v>
      </c>
      <c r="AP168" s="24"/>
      <c r="AQ168" s="24"/>
      <c r="AR168" s="24"/>
      <c r="AS168" s="24"/>
      <c r="AT168" s="24"/>
      <c r="AU168" s="24"/>
      <c r="AV168" s="24"/>
      <c r="AW168" s="24"/>
      <c r="AX168" s="24"/>
      <c r="AY168" s="24"/>
      <c r="AZ168" s="24"/>
      <c r="BA168" s="24"/>
      <c r="BB168" s="24"/>
      <c r="BC168" s="24"/>
      <c r="BD168" s="24"/>
      <c r="BE168" s="24">
        <f t="shared" si="40"/>
        <v>84.92</v>
      </c>
      <c r="BF168" s="59">
        <f>AB166</f>
        <v>45747</v>
      </c>
      <c r="BG168" s="36">
        <f>(BV158+AB214)+($C$64-$BV$158)</f>
        <v>84</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1"/>
        <v>0</v>
      </c>
      <c r="H169" s="12">
        <f t="shared" si="42"/>
        <v>0</v>
      </c>
      <c r="I169" s="12">
        <f t="shared" si="42"/>
        <v>0</v>
      </c>
      <c r="J169" s="12">
        <f t="shared" si="42"/>
        <v>0</v>
      </c>
      <c r="K169" s="12">
        <f t="shared" si="43"/>
        <v>0</v>
      </c>
      <c r="L169" s="12">
        <f t="shared" si="44"/>
        <v>0</v>
      </c>
      <c r="M169" s="12">
        <f t="shared" si="44"/>
        <v>0</v>
      </c>
      <c r="N169" s="12">
        <f t="shared" si="44"/>
        <v>0</v>
      </c>
      <c r="O169" s="12">
        <f t="shared" si="45"/>
        <v>0</v>
      </c>
      <c r="P169" s="12">
        <f t="shared" si="46"/>
        <v>0</v>
      </c>
      <c r="Q169" s="12">
        <f t="shared" si="46"/>
        <v>0</v>
      </c>
      <c r="T169" s="61"/>
      <c r="U169" s="61"/>
      <c r="V169" s="61"/>
      <c r="W169" s="53">
        <f t="shared" si="47"/>
        <v>0</v>
      </c>
      <c r="X169" s="54" t="e">
        <f t="shared" si="48"/>
        <v>#DIV/0!</v>
      </c>
      <c r="Y169" s="343" t="e">
        <f>Z169/$BH$166</f>
        <v>#DIV/0!</v>
      </c>
      <c r="Z169" s="54" t="e">
        <f>($C70/$BN$157)+($D70/$BN$158)</f>
        <v>#DIV/0!</v>
      </c>
      <c r="AA169" s="54">
        <f t="shared" si="49"/>
        <v>0</v>
      </c>
      <c r="AB169" s="54">
        <f t="shared" si="49"/>
        <v>0</v>
      </c>
      <c r="AC169" s="54">
        <f t="shared" si="49"/>
        <v>0</v>
      </c>
      <c r="AD169" s="54">
        <f>IF($E70+365&lt;$C$56,0,IF($E70&lt;$C$56,(($E70+365-$C$56)/365)*(($C70/$BN$157)+($D70/$BN$158)),IF($E70&gt;AD$166,0,IF($E70+365&lt;AD$166,($C70/$BN$157)+($D70/$BN$158),((AD$166-$E70)/365)*(($C70/$BN$157)+($D70/$BN$158))))))</f>
        <v>0</v>
      </c>
      <c r="AE169" s="54">
        <f t="shared" si="49"/>
        <v>0</v>
      </c>
      <c r="AF169" s="54">
        <f t="shared" si="49"/>
        <v>0</v>
      </c>
      <c r="AG169" s="54">
        <f t="shared" si="49"/>
        <v>0</v>
      </c>
      <c r="AH169" s="54">
        <f t="shared" si="49"/>
        <v>0</v>
      </c>
      <c r="AI169" s="54">
        <f t="shared" si="49"/>
        <v>0</v>
      </c>
      <c r="AJ169" s="54">
        <f t="shared" si="49"/>
        <v>0</v>
      </c>
      <c r="AK169" s="54">
        <f t="shared" ref="AK169" si="57">IF($E70+365&lt;$C$56,0,IF($E70&lt;$C$56,(($E70+365-$C$56)/365)*(($C70/$BN$157)+($D70/$BN$158)),IF($E70&gt;AK$166,0,IF($E70+365&lt;AK$166,($C70/$BN$157)+($D70/$BN$158),((AK$166-$E70)/365)*(($C70/$BN$157)+($D70/$BN$158))))))</f>
        <v>0</v>
      </c>
      <c r="AL169" s="24">
        <f t="shared" si="51"/>
        <v>0</v>
      </c>
      <c r="AM169" s="24">
        <f t="shared" si="52"/>
        <v>0</v>
      </c>
      <c r="AN169" s="55">
        <f t="shared" si="53"/>
        <v>0</v>
      </c>
      <c r="AO169" s="55">
        <f t="shared" si="54"/>
        <v>0</v>
      </c>
      <c r="AP169" s="24"/>
      <c r="AQ169" s="24"/>
      <c r="AR169" s="24"/>
      <c r="AS169" s="24"/>
      <c r="AT169" s="24"/>
      <c r="AU169" s="24"/>
      <c r="AV169" s="24"/>
      <c r="AW169" s="24"/>
      <c r="AX169" s="24"/>
      <c r="AY169" s="24"/>
      <c r="AZ169" s="24"/>
      <c r="BA169" s="24"/>
      <c r="BB169" s="24"/>
      <c r="BC169" s="24"/>
      <c r="BD169" s="24"/>
      <c r="BE169" s="24">
        <f t="shared" si="40"/>
        <v>84.92</v>
      </c>
      <c r="BF169" s="59">
        <f>BF168+365</f>
        <v>46112</v>
      </c>
      <c r="BG169" s="36">
        <f>BV158+AC214+($C$64-$BV$158)</f>
        <v>84</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8">INDEX(AN156:AR156,MATCH($CE$168,$AN$165:$AR$165,0))</f>
        <v>69.59</v>
      </c>
      <c r="CJ169" s="14">
        <f t="shared" ref="CJ169:CJ177" si="59">INDEX(AU156:AY156,MATCH($CE$168,$AN$165:$AR$165,0))</f>
        <v>129.52000000000001</v>
      </c>
    </row>
    <row r="170" spans="7:88">
      <c r="G170" s="12">
        <f t="shared" si="41"/>
        <v>0</v>
      </c>
      <c r="H170" s="12">
        <f t="shared" si="42"/>
        <v>0</v>
      </c>
      <c r="I170" s="12">
        <f t="shared" si="42"/>
        <v>0</v>
      </c>
      <c r="J170" s="12">
        <f t="shared" si="42"/>
        <v>0</v>
      </c>
      <c r="K170" s="12">
        <f t="shared" si="43"/>
        <v>0</v>
      </c>
      <c r="L170" s="12">
        <f t="shared" si="44"/>
        <v>0</v>
      </c>
      <c r="M170" s="12">
        <f t="shared" si="44"/>
        <v>0</v>
      </c>
      <c r="N170" s="12">
        <f t="shared" si="44"/>
        <v>0</v>
      </c>
      <c r="O170" s="12">
        <f t="shared" si="45"/>
        <v>0</v>
      </c>
      <c r="P170" s="12">
        <f t="shared" si="46"/>
        <v>0</v>
      </c>
      <c r="Q170" s="12">
        <f t="shared" si="46"/>
        <v>0</v>
      </c>
      <c r="T170" s="61"/>
      <c r="U170" s="61"/>
      <c r="V170" s="61"/>
      <c r="W170" s="53">
        <f t="shared" si="47"/>
        <v>0</v>
      </c>
      <c r="X170" s="54" t="e">
        <f t="shared" si="48"/>
        <v>#DIV/0!</v>
      </c>
      <c r="Y170" s="25" t="e">
        <f t="shared" si="55"/>
        <v>#DIV/0!</v>
      </c>
      <c r="Z170" s="54" t="e">
        <f t="shared" ref="Z170:Z213" si="60">($C71/$BN$157)+($D71/$BN$158)</f>
        <v>#DIV/0!</v>
      </c>
      <c r="AA170" s="54">
        <f t="shared" si="49"/>
        <v>0</v>
      </c>
      <c r="AB170" s="54">
        <f t="shared" si="49"/>
        <v>0</v>
      </c>
      <c r="AC170" s="54">
        <f t="shared" si="49"/>
        <v>0</v>
      </c>
      <c r="AD170" s="54">
        <f t="shared" si="49"/>
        <v>0</v>
      </c>
      <c r="AE170" s="54">
        <f t="shared" si="49"/>
        <v>0</v>
      </c>
      <c r="AF170" s="54">
        <f t="shared" si="49"/>
        <v>0</v>
      </c>
      <c r="AG170" s="54">
        <f t="shared" si="49"/>
        <v>0</v>
      </c>
      <c r="AH170" s="54">
        <f t="shared" si="49"/>
        <v>0</v>
      </c>
      <c r="AI170" s="54">
        <f t="shared" si="49"/>
        <v>0</v>
      </c>
      <c r="AJ170" s="54">
        <f t="shared" si="49"/>
        <v>0</v>
      </c>
      <c r="AK170" s="54">
        <f t="shared" ref="AK170" si="61">IF($E71+365&lt;$C$56,0,IF($E71&lt;$C$56,(($E71+365-$C$56)/365)*(($C71/$BN$157)+($D71/$BN$158)),IF($E71&gt;AK$166,0,IF($E71+365&lt;AK$166,($C71/$BN$157)+($D71/$BN$158),((AK$166-$E71)/365)*(($C71/$BN$157)+($D71/$BN$158))))))</f>
        <v>0</v>
      </c>
      <c r="AL170" s="24">
        <f t="shared" si="51"/>
        <v>0</v>
      </c>
      <c r="AM170" s="24">
        <f t="shared" si="52"/>
        <v>0</v>
      </c>
      <c r="AN170" s="55">
        <f t="shared" si="53"/>
        <v>0</v>
      </c>
      <c r="AO170" s="55">
        <f t="shared" si="54"/>
        <v>0</v>
      </c>
      <c r="AP170" s="24"/>
      <c r="AQ170" s="24"/>
      <c r="AR170" s="24"/>
      <c r="AS170" s="24"/>
      <c r="AT170" s="24"/>
      <c r="AU170" s="24"/>
      <c r="AV170" s="24"/>
      <c r="AW170" s="24"/>
      <c r="AX170" s="24"/>
      <c r="AY170" s="24"/>
      <c r="AZ170" s="24"/>
      <c r="BA170" s="24"/>
      <c r="BB170" s="24"/>
      <c r="BC170" s="24"/>
      <c r="BD170" s="24"/>
      <c r="BE170" s="24">
        <f t="shared" si="40"/>
        <v>84.92</v>
      </c>
      <c r="BF170" s="59">
        <f>BF169+365</f>
        <v>46477</v>
      </c>
      <c r="BG170" s="36">
        <f>$BV$158+AD214+($C$64-$BV$158)</f>
        <v>84</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8"/>
        <v>84.92</v>
      </c>
      <c r="CJ170" s="14">
        <f t="shared" si="59"/>
        <v>158.69</v>
      </c>
    </row>
    <row r="171" spans="7:88">
      <c r="G171" s="12">
        <f t="shared" si="41"/>
        <v>0</v>
      </c>
      <c r="H171" s="12">
        <f t="shared" si="42"/>
        <v>0</v>
      </c>
      <c r="I171" s="12">
        <f t="shared" si="42"/>
        <v>0</v>
      </c>
      <c r="J171" s="12">
        <f t="shared" si="42"/>
        <v>0</v>
      </c>
      <c r="K171" s="12">
        <f t="shared" si="43"/>
        <v>0</v>
      </c>
      <c r="L171" s="12">
        <f t="shared" si="44"/>
        <v>0</v>
      </c>
      <c r="M171" s="12">
        <f t="shared" si="44"/>
        <v>0</v>
      </c>
      <c r="N171" s="12">
        <f t="shared" si="44"/>
        <v>0</v>
      </c>
      <c r="O171" s="12">
        <f t="shared" si="45"/>
        <v>0</v>
      </c>
      <c r="P171" s="12">
        <f t="shared" si="46"/>
        <v>0</v>
      </c>
      <c r="Q171" s="12">
        <f t="shared" si="46"/>
        <v>0</v>
      </c>
      <c r="T171" s="61"/>
      <c r="U171" s="61"/>
      <c r="V171" s="61"/>
      <c r="W171" s="53">
        <f t="shared" si="47"/>
        <v>0</v>
      </c>
      <c r="X171" s="54" t="e">
        <f t="shared" si="48"/>
        <v>#DIV/0!</v>
      </c>
      <c r="Y171" s="54" t="e">
        <f t="shared" si="55"/>
        <v>#DIV/0!</v>
      </c>
      <c r="Z171" s="54" t="e">
        <f>($C72/$BN$157)+($D72/$BN$158)</f>
        <v>#DIV/0!</v>
      </c>
      <c r="AA171" s="54">
        <f t="shared" si="49"/>
        <v>0</v>
      </c>
      <c r="AB171" s="54">
        <f t="shared" si="49"/>
        <v>0</v>
      </c>
      <c r="AC171" s="54">
        <f t="shared" si="49"/>
        <v>0</v>
      </c>
      <c r="AD171" s="54">
        <f t="shared" si="49"/>
        <v>0</v>
      </c>
      <c r="AE171" s="54">
        <f t="shared" si="49"/>
        <v>0</v>
      </c>
      <c r="AF171" s="54">
        <f>IF($E72+365&lt;$C$56,0,IF($E72&lt;$C$56,(($E72+365-$C$56)/365)*(($C72/$BN$157)+($D72/$BN$158)),IF($E72&gt;AF$166,0,IF($E72+365&lt;AF$166,($C72/$BN$157)+($D72/$BN$158),((AF$166-$E72)/365)*(($C72/$BN$157)+($D72/$BN$158))))))</f>
        <v>0</v>
      </c>
      <c r="AG171" s="54">
        <f t="shared" si="49"/>
        <v>0</v>
      </c>
      <c r="AH171" s="54">
        <f t="shared" si="49"/>
        <v>0</v>
      </c>
      <c r="AI171" s="54">
        <f t="shared" si="49"/>
        <v>0</v>
      </c>
      <c r="AJ171" s="54">
        <f t="shared" si="49"/>
        <v>0</v>
      </c>
      <c r="AK171" s="54">
        <f t="shared" ref="AK171" si="62">IF($E72+365&lt;$C$56,0,IF($E72&lt;$C$56,(($E72+365-$C$56)/365)*(($C72/$BN$157)+($D72/$BN$158)),IF($E72&gt;AK$166,0,IF($E72+365&lt;AK$166,($C72/$BN$157)+($D72/$BN$158),((AK$166-$E72)/365)*(($C72/$BN$157)+($D72/$BN$158))))))</f>
        <v>0</v>
      </c>
      <c r="AL171" s="24">
        <f t="shared" si="51"/>
        <v>0</v>
      </c>
      <c r="AM171" s="24">
        <f t="shared" si="52"/>
        <v>0</v>
      </c>
      <c r="AN171" s="55">
        <f t="shared" si="53"/>
        <v>0</v>
      </c>
      <c r="AO171" s="55">
        <f t="shared" si="54"/>
        <v>0</v>
      </c>
      <c r="AP171" s="24"/>
      <c r="AQ171" s="24"/>
      <c r="AR171" s="24"/>
      <c r="AS171" s="24"/>
      <c r="AT171" s="24"/>
      <c r="AU171" s="24"/>
      <c r="AV171" s="24"/>
      <c r="AW171" s="24"/>
      <c r="AX171" s="24"/>
      <c r="AY171" s="24"/>
      <c r="AZ171" s="24"/>
      <c r="BA171" s="24"/>
      <c r="BB171" s="24"/>
      <c r="BC171" s="24"/>
      <c r="BD171" s="24"/>
      <c r="BE171" s="24">
        <f t="shared" si="40"/>
        <v>84.92</v>
      </c>
      <c r="BF171" s="59">
        <f t="shared" ref="BF171:BF176" si="63">BF170+365</f>
        <v>46842</v>
      </c>
      <c r="BG171" s="36">
        <f>$BV$158+AE214+($C$64-$BV$158)</f>
        <v>84</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8"/>
        <v>100.25</v>
      </c>
      <c r="CJ171" s="14">
        <f t="shared" si="59"/>
        <v>187.86</v>
      </c>
    </row>
    <row r="172" spans="7:88">
      <c r="G172" s="12">
        <f t="shared" si="41"/>
        <v>0</v>
      </c>
      <c r="H172" s="12">
        <f t="shared" si="42"/>
        <v>0</v>
      </c>
      <c r="I172" s="12">
        <f t="shared" si="42"/>
        <v>0</v>
      </c>
      <c r="J172" s="12">
        <f t="shared" si="42"/>
        <v>0</v>
      </c>
      <c r="K172" s="12">
        <f t="shared" si="43"/>
        <v>0</v>
      </c>
      <c r="L172" s="12">
        <f t="shared" si="44"/>
        <v>0</v>
      </c>
      <c r="M172" s="12">
        <f t="shared" si="44"/>
        <v>0</v>
      </c>
      <c r="N172" s="12">
        <f t="shared" si="44"/>
        <v>0</v>
      </c>
      <c r="O172" s="12">
        <f t="shared" si="45"/>
        <v>0</v>
      </c>
      <c r="P172" s="12">
        <f t="shared" si="46"/>
        <v>0</v>
      </c>
      <c r="Q172" s="12">
        <f t="shared" si="46"/>
        <v>0</v>
      </c>
      <c r="T172" s="61"/>
      <c r="U172" s="61"/>
      <c r="V172" s="61"/>
      <c r="W172" s="53">
        <f t="shared" si="47"/>
        <v>0</v>
      </c>
      <c r="X172" s="54" t="e">
        <f t="shared" si="48"/>
        <v>#DIV/0!</v>
      </c>
      <c r="Y172" s="25" t="e">
        <f>Z172/$BH$166</f>
        <v>#DIV/0!</v>
      </c>
      <c r="Z172" s="54" t="e">
        <f t="shared" si="60"/>
        <v>#DIV/0!</v>
      </c>
      <c r="AA172" s="54">
        <f t="shared" si="49"/>
        <v>0</v>
      </c>
      <c r="AB172" s="54">
        <f t="shared" si="49"/>
        <v>0</v>
      </c>
      <c r="AC172" s="54">
        <f t="shared" si="49"/>
        <v>0</v>
      </c>
      <c r="AD172" s="54">
        <f t="shared" si="49"/>
        <v>0</v>
      </c>
      <c r="AE172" s="54">
        <f t="shared" si="49"/>
        <v>0</v>
      </c>
      <c r="AF172" s="54">
        <f t="shared" si="49"/>
        <v>0</v>
      </c>
      <c r="AG172" s="54">
        <f t="shared" si="49"/>
        <v>0</v>
      </c>
      <c r="AH172" s="54">
        <f t="shared" si="49"/>
        <v>0</v>
      </c>
      <c r="AI172" s="54">
        <f t="shared" si="49"/>
        <v>0</v>
      </c>
      <c r="AJ172" s="54">
        <f t="shared" si="49"/>
        <v>0</v>
      </c>
      <c r="AK172" s="54">
        <f t="shared" ref="AK172" si="64">IF($E73+365&lt;$C$56,0,IF($E73&lt;$C$56,(($E73+365-$C$56)/365)*(($C73/$BN$157)+($D73/$BN$158)),IF($E73&gt;AK$166,0,IF($E73+365&lt;AK$166,($C73/$BN$157)+($D73/$BN$158),((AK$166-$E73)/365)*(($C73/$BN$157)+($D73/$BN$158))))))</f>
        <v>0</v>
      </c>
      <c r="AL172" s="24">
        <f t="shared" si="51"/>
        <v>0</v>
      </c>
      <c r="AM172" s="24">
        <f t="shared" si="52"/>
        <v>0</v>
      </c>
      <c r="AN172" s="55">
        <f t="shared" si="53"/>
        <v>0</v>
      </c>
      <c r="AO172" s="55">
        <f t="shared" si="54"/>
        <v>0</v>
      </c>
      <c r="AP172" s="24"/>
      <c r="AQ172" s="24"/>
      <c r="AR172" s="24"/>
      <c r="AS172" s="24"/>
      <c r="AT172" s="24"/>
      <c r="AU172" s="24"/>
      <c r="AV172" s="24"/>
      <c r="AW172" s="24"/>
      <c r="AX172" s="24"/>
      <c r="AY172" s="24"/>
      <c r="AZ172" s="24"/>
      <c r="BA172" s="24"/>
      <c r="BB172" s="24"/>
      <c r="BC172" s="24"/>
      <c r="BD172" s="24"/>
      <c r="BE172" s="24">
        <f t="shared" si="40"/>
        <v>84.92</v>
      </c>
      <c r="BF172" s="59">
        <f t="shared" si="63"/>
        <v>47207</v>
      </c>
      <c r="BG172" s="36">
        <f>$BV$158+AF214+($C$64-$BV$158)</f>
        <v>84</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8"/>
        <v>115.57</v>
      </c>
      <c r="CJ172" s="14">
        <f t="shared" si="59"/>
        <v>217.04</v>
      </c>
    </row>
    <row r="173" spans="7:88">
      <c r="G173" s="12">
        <f t="shared" si="41"/>
        <v>0</v>
      </c>
      <c r="H173" s="12">
        <f t="shared" si="42"/>
        <v>0</v>
      </c>
      <c r="I173" s="12">
        <f t="shared" si="42"/>
        <v>0</v>
      </c>
      <c r="J173" s="12">
        <f t="shared" si="42"/>
        <v>0</v>
      </c>
      <c r="K173" s="12">
        <f t="shared" si="43"/>
        <v>0</v>
      </c>
      <c r="L173" s="12">
        <f t="shared" si="44"/>
        <v>0</v>
      </c>
      <c r="M173" s="12">
        <f t="shared" si="44"/>
        <v>0</v>
      </c>
      <c r="N173" s="12">
        <f t="shared" si="44"/>
        <v>0</v>
      </c>
      <c r="O173" s="12">
        <f t="shared" si="45"/>
        <v>0</v>
      </c>
      <c r="P173" s="12">
        <f t="shared" si="46"/>
        <v>0</v>
      </c>
      <c r="Q173" s="12">
        <f t="shared" si="46"/>
        <v>0</v>
      </c>
      <c r="T173" s="61"/>
      <c r="U173" s="61"/>
      <c r="V173" s="61"/>
      <c r="W173" s="53">
        <f t="shared" si="47"/>
        <v>0</v>
      </c>
      <c r="X173" s="54" t="e">
        <f t="shared" si="48"/>
        <v>#DIV/0!</v>
      </c>
      <c r="Y173" s="25" t="e">
        <f t="shared" si="55"/>
        <v>#DIV/0!</v>
      </c>
      <c r="Z173" s="54" t="e">
        <f t="shared" si="60"/>
        <v>#DIV/0!</v>
      </c>
      <c r="AA173" s="54">
        <f t="shared" si="49"/>
        <v>0</v>
      </c>
      <c r="AB173" s="54">
        <f t="shared" si="49"/>
        <v>0</v>
      </c>
      <c r="AC173" s="54">
        <f t="shared" si="49"/>
        <v>0</v>
      </c>
      <c r="AD173" s="54">
        <f t="shared" si="49"/>
        <v>0</v>
      </c>
      <c r="AE173" s="54">
        <f t="shared" si="49"/>
        <v>0</v>
      </c>
      <c r="AF173" s="54">
        <f t="shared" si="49"/>
        <v>0</v>
      </c>
      <c r="AG173" s="54">
        <f t="shared" si="49"/>
        <v>0</v>
      </c>
      <c r="AH173" s="54">
        <f t="shared" si="49"/>
        <v>0</v>
      </c>
      <c r="AI173" s="54">
        <f t="shared" si="49"/>
        <v>0</v>
      </c>
      <c r="AJ173" s="54">
        <f t="shared" si="49"/>
        <v>0</v>
      </c>
      <c r="AK173" s="54">
        <f t="shared" ref="AK173" si="65">IF($E74+365&lt;$C$56,0,IF($E74&lt;$C$56,(($E74+365-$C$56)/365)*(($C74/$BN$157)+($D74/$BN$158)),IF($E74&gt;AK$166,0,IF($E74+365&lt;AK$166,($C74/$BN$157)+($D74/$BN$158),((AK$166-$E74)/365)*(($C74/$BN$157)+($D74/$BN$158))))))</f>
        <v>0</v>
      </c>
      <c r="AL173" s="24">
        <f t="shared" si="51"/>
        <v>0</v>
      </c>
      <c r="AM173" s="24">
        <f t="shared" si="52"/>
        <v>0</v>
      </c>
      <c r="AN173" s="55">
        <f t="shared" si="53"/>
        <v>0</v>
      </c>
      <c r="AO173" s="55">
        <f t="shared" si="54"/>
        <v>0</v>
      </c>
      <c r="AP173" s="24"/>
      <c r="AQ173" s="24"/>
      <c r="AR173" s="24"/>
      <c r="AS173" s="24"/>
      <c r="AT173" s="24"/>
      <c r="AU173" s="24"/>
      <c r="AV173" s="24"/>
      <c r="AW173" s="24"/>
      <c r="AX173" s="24"/>
      <c r="AY173" s="24"/>
      <c r="AZ173" s="24"/>
      <c r="BA173" s="24"/>
      <c r="BB173" s="24"/>
      <c r="BC173" s="24"/>
      <c r="BD173" s="24"/>
      <c r="BE173" s="24">
        <f t="shared" si="40"/>
        <v>84.92</v>
      </c>
      <c r="BF173" s="59">
        <f t="shared" si="63"/>
        <v>47572</v>
      </c>
      <c r="BG173" s="36">
        <f>$BV$158+AG214+($C$64-$BV$158)</f>
        <v>84</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8"/>
        <v>130.9</v>
      </c>
      <c r="CJ173" s="14">
        <f t="shared" si="59"/>
        <v>246.21</v>
      </c>
    </row>
    <row r="174" spans="7:88">
      <c r="G174" s="12">
        <f t="shared" si="41"/>
        <v>0</v>
      </c>
      <c r="H174" s="12">
        <f t="shared" si="42"/>
        <v>0</v>
      </c>
      <c r="I174" s="12">
        <f t="shared" si="42"/>
        <v>0</v>
      </c>
      <c r="J174" s="12">
        <f t="shared" si="42"/>
        <v>0</v>
      </c>
      <c r="K174" s="12">
        <f t="shared" si="43"/>
        <v>0</v>
      </c>
      <c r="L174" s="12">
        <f t="shared" si="44"/>
        <v>0</v>
      </c>
      <c r="M174" s="12">
        <f t="shared" si="44"/>
        <v>0</v>
      </c>
      <c r="N174" s="12">
        <f t="shared" si="44"/>
        <v>0</v>
      </c>
      <c r="O174" s="12">
        <f t="shared" si="45"/>
        <v>0</v>
      </c>
      <c r="P174" s="12">
        <f t="shared" si="46"/>
        <v>0</v>
      </c>
      <c r="Q174" s="12">
        <f t="shared" si="46"/>
        <v>0</v>
      </c>
      <c r="T174" s="61"/>
      <c r="U174" s="61"/>
      <c r="V174" s="61"/>
      <c r="W174" s="53">
        <f t="shared" si="47"/>
        <v>0</v>
      </c>
      <c r="X174" s="54" t="e">
        <f t="shared" si="48"/>
        <v>#DIV/0!</v>
      </c>
      <c r="Y174" s="25" t="e">
        <f t="shared" si="55"/>
        <v>#DIV/0!</v>
      </c>
      <c r="Z174" s="54" t="e">
        <f t="shared" si="60"/>
        <v>#DIV/0!</v>
      </c>
      <c r="AA174" s="54">
        <f t="shared" si="49"/>
        <v>0</v>
      </c>
      <c r="AB174" s="54">
        <f t="shared" si="49"/>
        <v>0</v>
      </c>
      <c r="AC174" s="54">
        <f t="shared" si="49"/>
        <v>0</v>
      </c>
      <c r="AD174" s="54">
        <f t="shared" si="49"/>
        <v>0</v>
      </c>
      <c r="AE174" s="54">
        <f t="shared" si="49"/>
        <v>0</v>
      </c>
      <c r="AF174" s="54">
        <f t="shared" si="49"/>
        <v>0</v>
      </c>
      <c r="AG174" s="54">
        <f t="shared" si="49"/>
        <v>0</v>
      </c>
      <c r="AH174" s="54">
        <f t="shared" si="49"/>
        <v>0</v>
      </c>
      <c r="AI174" s="54">
        <f t="shared" si="49"/>
        <v>0</v>
      </c>
      <c r="AJ174" s="54">
        <f t="shared" si="49"/>
        <v>0</v>
      </c>
      <c r="AK174" s="54">
        <f t="shared" ref="AK174" si="66">IF($E75+365&lt;$C$56,0,IF($E75&lt;$C$56,(($E75+365-$C$56)/365)*(($C75/$BN$157)+($D75/$BN$158)),IF($E75&gt;AK$166,0,IF($E75+365&lt;AK$166,($C75/$BN$157)+($D75/$BN$158),((AK$166-$E75)/365)*(($C75/$BN$157)+($D75/$BN$158))))))</f>
        <v>0</v>
      </c>
      <c r="AL174" s="24">
        <f t="shared" si="51"/>
        <v>0</v>
      </c>
      <c r="AM174" s="24">
        <f t="shared" si="52"/>
        <v>0</v>
      </c>
      <c r="AN174" s="55">
        <f t="shared" si="53"/>
        <v>0</v>
      </c>
      <c r="AO174" s="55">
        <f t="shared" si="54"/>
        <v>0</v>
      </c>
      <c r="AP174" s="24"/>
      <c r="AQ174" s="24"/>
      <c r="AR174" s="24"/>
      <c r="AS174" s="24"/>
      <c r="AT174" s="24"/>
      <c r="AU174" s="24"/>
      <c r="AV174" s="24"/>
      <c r="AW174" s="24"/>
      <c r="AX174" s="24"/>
      <c r="AY174" s="24"/>
      <c r="AZ174" s="24"/>
      <c r="BA174" s="24"/>
      <c r="BB174" s="24"/>
      <c r="BC174" s="24"/>
      <c r="BD174" s="24"/>
      <c r="BE174" s="24">
        <f t="shared" si="40"/>
        <v>84.92</v>
      </c>
      <c r="BF174" s="59">
        <f t="shared" si="63"/>
        <v>47937</v>
      </c>
      <c r="BG174" s="36">
        <f>$BV$158+AH214+($C$64-$BV$158)</f>
        <v>84</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8"/>
        <v>146.22999999999999</v>
      </c>
      <c r="CJ174" s="14">
        <f t="shared" si="59"/>
        <v>275.38</v>
      </c>
    </row>
    <row r="175" spans="7:88">
      <c r="G175" s="12">
        <f t="shared" si="41"/>
        <v>0</v>
      </c>
      <c r="H175" s="12">
        <f t="shared" si="42"/>
        <v>0</v>
      </c>
      <c r="I175" s="12">
        <f t="shared" si="42"/>
        <v>0</v>
      </c>
      <c r="J175" s="12">
        <f t="shared" si="42"/>
        <v>0</v>
      </c>
      <c r="K175" s="12">
        <f t="shared" si="43"/>
        <v>0</v>
      </c>
      <c r="L175" s="12">
        <f t="shared" si="44"/>
        <v>0</v>
      </c>
      <c r="M175" s="12">
        <f t="shared" si="44"/>
        <v>0</v>
      </c>
      <c r="N175" s="12">
        <f t="shared" si="44"/>
        <v>0</v>
      </c>
      <c r="O175" s="12">
        <f t="shared" si="45"/>
        <v>0</v>
      </c>
      <c r="P175" s="12">
        <f t="shared" si="46"/>
        <v>0</v>
      </c>
      <c r="Q175" s="12">
        <f t="shared" si="46"/>
        <v>0</v>
      </c>
      <c r="T175" s="61"/>
      <c r="U175" s="61"/>
      <c r="V175" s="61"/>
      <c r="W175" s="53">
        <f t="shared" si="47"/>
        <v>0</v>
      </c>
      <c r="X175" s="54" t="e">
        <f t="shared" si="48"/>
        <v>#DIV/0!</v>
      </c>
      <c r="Y175" s="25" t="e">
        <f t="shared" si="55"/>
        <v>#DIV/0!</v>
      </c>
      <c r="Z175" s="54" t="e">
        <f t="shared" si="60"/>
        <v>#DIV/0!</v>
      </c>
      <c r="AA175" s="54">
        <f t="shared" si="49"/>
        <v>0</v>
      </c>
      <c r="AB175" s="54">
        <f t="shared" si="49"/>
        <v>0</v>
      </c>
      <c r="AC175" s="54">
        <f t="shared" si="49"/>
        <v>0</v>
      </c>
      <c r="AD175" s="54">
        <f t="shared" si="49"/>
        <v>0</v>
      </c>
      <c r="AE175" s="54">
        <f t="shared" si="49"/>
        <v>0</v>
      </c>
      <c r="AF175" s="54">
        <f t="shared" si="49"/>
        <v>0</v>
      </c>
      <c r="AG175" s="54">
        <f t="shared" si="49"/>
        <v>0</v>
      </c>
      <c r="AH175" s="54">
        <f t="shared" si="49"/>
        <v>0</v>
      </c>
      <c r="AI175" s="54">
        <f t="shared" si="49"/>
        <v>0</v>
      </c>
      <c r="AJ175" s="54">
        <f t="shared" si="49"/>
        <v>0</v>
      </c>
      <c r="AK175" s="54">
        <f t="shared" ref="AK175" si="67">IF($E76+365&lt;$C$56,0,IF($E76&lt;$C$56,(($E76+365-$C$56)/365)*(($C76/$BN$157)+($D76/$BN$158)),IF($E76&gt;AK$166,0,IF($E76+365&lt;AK$166,($C76/$BN$157)+($D76/$BN$158),((AK$166-$E76)/365)*(($C76/$BN$157)+($D76/$BN$158))))))</f>
        <v>0</v>
      </c>
      <c r="AL175" s="24">
        <f t="shared" si="51"/>
        <v>0</v>
      </c>
      <c r="AM175" s="24">
        <f t="shared" si="52"/>
        <v>0</v>
      </c>
      <c r="AN175" s="55">
        <f t="shared" si="53"/>
        <v>0</v>
      </c>
      <c r="AO175" s="55">
        <f t="shared" si="54"/>
        <v>0</v>
      </c>
      <c r="AP175" s="24"/>
      <c r="AQ175" s="24"/>
      <c r="AR175" s="24"/>
      <c r="AS175" s="24"/>
      <c r="AT175" s="24"/>
      <c r="AU175" s="24"/>
      <c r="AV175" s="24"/>
      <c r="AW175" s="24"/>
      <c r="AX175" s="24"/>
      <c r="AY175" s="24"/>
      <c r="AZ175" s="24"/>
      <c r="BA175" s="24"/>
      <c r="BB175" s="24"/>
      <c r="BC175" s="24"/>
      <c r="BD175" s="24"/>
      <c r="BE175" s="24">
        <f t="shared" si="40"/>
        <v>84.92</v>
      </c>
      <c r="BF175" s="59">
        <f t="shared" si="63"/>
        <v>48302</v>
      </c>
      <c r="BG175" s="36">
        <f>$BV$158+AI214+($C$64-$BV$158)</f>
        <v>84</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8"/>
        <v>161.56</v>
      </c>
      <c r="CJ175" s="14">
        <f t="shared" si="59"/>
        <v>304.55</v>
      </c>
    </row>
    <row r="176" spans="7:88">
      <c r="G176" s="12">
        <f t="shared" si="41"/>
        <v>0</v>
      </c>
      <c r="H176" s="12">
        <f t="shared" si="42"/>
        <v>0</v>
      </c>
      <c r="I176" s="12">
        <f t="shared" si="42"/>
        <v>0</v>
      </c>
      <c r="J176" s="12">
        <f t="shared" si="42"/>
        <v>0</v>
      </c>
      <c r="K176" s="12">
        <f t="shared" si="43"/>
        <v>0</v>
      </c>
      <c r="L176" s="12">
        <f t="shared" si="44"/>
        <v>0</v>
      </c>
      <c r="M176" s="12">
        <f t="shared" si="44"/>
        <v>0</v>
      </c>
      <c r="N176" s="12">
        <f t="shared" si="44"/>
        <v>0</v>
      </c>
      <c r="O176" s="12">
        <f t="shared" si="45"/>
        <v>0</v>
      </c>
      <c r="P176" s="12">
        <f t="shared" si="46"/>
        <v>0</v>
      </c>
      <c r="Q176" s="12">
        <f t="shared" si="46"/>
        <v>0</v>
      </c>
      <c r="T176" s="61"/>
      <c r="U176" s="61"/>
      <c r="V176" s="61"/>
      <c r="W176" s="53">
        <f t="shared" si="47"/>
        <v>0</v>
      </c>
      <c r="X176" s="54" t="e">
        <f t="shared" si="48"/>
        <v>#DIV/0!</v>
      </c>
      <c r="Y176" s="25" t="e">
        <f t="shared" si="55"/>
        <v>#DIV/0!</v>
      </c>
      <c r="Z176" s="54" t="e">
        <f t="shared" si="60"/>
        <v>#DIV/0!</v>
      </c>
      <c r="AA176" s="54">
        <f t="shared" si="49"/>
        <v>0</v>
      </c>
      <c r="AB176" s="54">
        <f t="shared" si="49"/>
        <v>0</v>
      </c>
      <c r="AC176" s="54">
        <f t="shared" si="49"/>
        <v>0</v>
      </c>
      <c r="AD176" s="54">
        <f t="shared" si="49"/>
        <v>0</v>
      </c>
      <c r="AE176" s="54">
        <f t="shared" si="49"/>
        <v>0</v>
      </c>
      <c r="AF176" s="54">
        <f t="shared" si="49"/>
        <v>0</v>
      </c>
      <c r="AG176" s="54">
        <f t="shared" si="49"/>
        <v>0</v>
      </c>
      <c r="AH176" s="54">
        <f t="shared" si="49"/>
        <v>0</v>
      </c>
      <c r="AI176" s="54">
        <f t="shared" si="49"/>
        <v>0</v>
      </c>
      <c r="AJ176" s="54">
        <f t="shared" si="49"/>
        <v>0</v>
      </c>
      <c r="AK176" s="54">
        <f t="shared" ref="AK176" si="68">IF($E77+365&lt;$C$56,0,IF($E77&lt;$C$56,(($E77+365-$C$56)/365)*(($C77/$BN$157)+($D77/$BN$158)),IF($E77&gt;AK$166,0,IF($E77+365&lt;AK$166,($C77/$BN$157)+($D77/$BN$158),((AK$166-$E77)/365)*(($C77/$BN$157)+($D77/$BN$158))))))</f>
        <v>0</v>
      </c>
      <c r="AL176" s="24">
        <f t="shared" si="51"/>
        <v>0</v>
      </c>
      <c r="AM176" s="24">
        <f t="shared" si="52"/>
        <v>0</v>
      </c>
      <c r="AN176" s="55">
        <f t="shared" si="53"/>
        <v>0</v>
      </c>
      <c r="AO176" s="55">
        <f t="shared" si="54"/>
        <v>0</v>
      </c>
      <c r="AP176" s="24"/>
      <c r="AQ176" s="24"/>
      <c r="AR176" s="24"/>
      <c r="AS176" s="24"/>
      <c r="AT176" s="24"/>
      <c r="AU176" s="24"/>
      <c r="AV176" s="24"/>
      <c r="AW176" s="24"/>
      <c r="AX176" s="24"/>
      <c r="AY176" s="24"/>
      <c r="AZ176" s="24"/>
      <c r="BA176" s="24"/>
      <c r="BB176" s="24"/>
      <c r="BC176" s="24"/>
      <c r="BD176" s="24"/>
      <c r="BE176" s="24">
        <f t="shared" si="40"/>
        <v>84.92</v>
      </c>
      <c r="BF176" s="59">
        <f t="shared" si="63"/>
        <v>48667</v>
      </c>
      <c r="BG176" s="36">
        <f>$BV$158+AJ214+($C$64-$BV$158)</f>
        <v>84</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8"/>
        <v>176.89</v>
      </c>
      <c r="CJ176" s="14">
        <f t="shared" si="59"/>
        <v>333.72</v>
      </c>
    </row>
    <row r="177" spans="7:88">
      <c r="G177" s="12">
        <f t="shared" si="41"/>
        <v>0</v>
      </c>
      <c r="H177" s="12">
        <f t="shared" si="42"/>
        <v>0</v>
      </c>
      <c r="I177" s="12">
        <f t="shared" si="42"/>
        <v>0</v>
      </c>
      <c r="J177" s="12">
        <f t="shared" si="42"/>
        <v>0</v>
      </c>
      <c r="K177" s="12">
        <f t="shared" si="43"/>
        <v>0</v>
      </c>
      <c r="L177" s="12">
        <f t="shared" si="44"/>
        <v>0</v>
      </c>
      <c r="M177" s="12">
        <f t="shared" si="44"/>
        <v>0</v>
      </c>
      <c r="N177" s="12">
        <f t="shared" si="44"/>
        <v>0</v>
      </c>
      <c r="O177" s="12">
        <f t="shared" si="45"/>
        <v>0</v>
      </c>
      <c r="P177" s="12">
        <f t="shared" si="46"/>
        <v>0</v>
      </c>
      <c r="Q177" s="12">
        <f t="shared" si="46"/>
        <v>0</v>
      </c>
      <c r="T177" s="61"/>
      <c r="U177" s="61"/>
      <c r="V177" s="61"/>
      <c r="W177" s="53">
        <f t="shared" si="47"/>
        <v>0</v>
      </c>
      <c r="X177" s="54" t="e">
        <f t="shared" si="48"/>
        <v>#DIV/0!</v>
      </c>
      <c r="Y177" s="25" t="e">
        <f t="shared" si="55"/>
        <v>#DIV/0!</v>
      </c>
      <c r="Z177" s="54" t="e">
        <f t="shared" si="60"/>
        <v>#DIV/0!</v>
      </c>
      <c r="AA177" s="54">
        <f t="shared" si="49"/>
        <v>0</v>
      </c>
      <c r="AB177" s="54">
        <f t="shared" si="49"/>
        <v>0</v>
      </c>
      <c r="AC177" s="54">
        <f t="shared" si="49"/>
        <v>0</v>
      </c>
      <c r="AD177" s="54">
        <f t="shared" si="49"/>
        <v>0</v>
      </c>
      <c r="AE177" s="54">
        <f t="shared" si="49"/>
        <v>0</v>
      </c>
      <c r="AF177" s="54">
        <f t="shared" si="49"/>
        <v>0</v>
      </c>
      <c r="AG177" s="54">
        <f t="shared" si="49"/>
        <v>0</v>
      </c>
      <c r="AH177" s="54">
        <f t="shared" si="49"/>
        <v>0</v>
      </c>
      <c r="AI177" s="54">
        <f t="shared" si="49"/>
        <v>0</v>
      </c>
      <c r="AJ177" s="54">
        <f t="shared" si="49"/>
        <v>0</v>
      </c>
      <c r="AK177" s="54">
        <f t="shared" ref="AK177" si="69">IF($E78+365&lt;$C$56,0,IF($E78&lt;$C$56,(($E78+365-$C$56)/365)*(($C78/$BN$157)+($D78/$BN$158)),IF($E78&gt;AK$166,0,IF($E78+365&lt;AK$166,($C78/$BN$157)+($D78/$BN$158),((AK$166-$E78)/365)*(($C78/$BN$157)+($D78/$BN$158))))))</f>
        <v>0</v>
      </c>
      <c r="AL177" s="24">
        <f t="shared" si="51"/>
        <v>0</v>
      </c>
      <c r="AM177" s="24">
        <f t="shared" si="52"/>
        <v>0</v>
      </c>
      <c r="AN177" s="55">
        <f t="shared" si="53"/>
        <v>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8"/>
        <v>192.21</v>
      </c>
      <c r="CJ177" s="14">
        <f t="shared" si="59"/>
        <v>362.89</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0</v>
      </c>
      <c r="X178" s="54" t="e">
        <f t="shared" si="48"/>
        <v>#DIV/0!</v>
      </c>
      <c r="Y178" s="25" t="e">
        <f t="shared" si="55"/>
        <v>#DIV/0!</v>
      </c>
      <c r="Z178" s="54" t="e">
        <f t="shared" si="60"/>
        <v>#DIV/0!</v>
      </c>
      <c r="AA178" s="54">
        <f t="shared" si="49"/>
        <v>0</v>
      </c>
      <c r="AB178" s="54">
        <f t="shared" si="49"/>
        <v>0</v>
      </c>
      <c r="AC178" s="54">
        <f>IF($E79+365&lt;$C$56,0,IF($E79&lt;$C$56,(($E79+365-$C$56)/365)*(($C79/$BN$157)+($D79/$BN$158)),IF($E79&gt;AC$166,0,IF($E79+365&lt;AC$166,($C79/$BN$157)+($D79/$BN$158),((AC$166-$E79)/365)*(($C79/$BN$157)+($D79/$BN$158))))))</f>
        <v>0</v>
      </c>
      <c r="AD178" s="54">
        <f t="shared" si="49"/>
        <v>0</v>
      </c>
      <c r="AE178" s="54">
        <f t="shared" si="49"/>
        <v>0</v>
      </c>
      <c r="AF178" s="54">
        <f t="shared" si="49"/>
        <v>0</v>
      </c>
      <c r="AG178" s="54">
        <f t="shared" si="49"/>
        <v>0</v>
      </c>
      <c r="AH178" s="54">
        <f t="shared" si="49"/>
        <v>0</v>
      </c>
      <c r="AI178" s="54">
        <f t="shared" si="49"/>
        <v>0</v>
      </c>
      <c r="AJ178" s="54">
        <f t="shared" si="49"/>
        <v>0</v>
      </c>
      <c r="AK178" s="54">
        <f t="shared" ref="AK178" si="70">IF($E79+365&lt;$C$56,0,IF($E79&lt;$C$56,(($E79+365-$C$56)/365)*(($C79/$BN$157)+($D79/$BN$158)),IF($E79&gt;AK$166,0,IF($E79+365&lt;AK$166,($C79/$BN$157)+($D79/$BN$158),((AK$166-$E79)/365)*(($C79/$BN$157)+($D79/$BN$158))))))</f>
        <v>0</v>
      </c>
      <c r="AL178" s="24">
        <f t="shared" si="51"/>
        <v>0</v>
      </c>
      <c r="AM178" s="24">
        <f t="shared" si="52"/>
        <v>0</v>
      </c>
      <c r="AN178" s="55">
        <f t="shared" si="53"/>
        <v>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0</v>
      </c>
      <c r="X179" s="54" t="e">
        <f t="shared" si="48"/>
        <v>#DIV/0!</v>
      </c>
      <c r="Y179" s="25" t="e">
        <f t="shared" si="55"/>
        <v>#DIV/0!</v>
      </c>
      <c r="Z179" s="54" t="e">
        <f t="shared" si="60"/>
        <v>#DIV/0!</v>
      </c>
      <c r="AA179" s="54">
        <f t="shared" si="49"/>
        <v>0</v>
      </c>
      <c r="AB179" s="54">
        <f t="shared" si="49"/>
        <v>0</v>
      </c>
      <c r="AC179" s="54">
        <f t="shared" si="49"/>
        <v>0</v>
      </c>
      <c r="AD179" s="54">
        <f t="shared" si="49"/>
        <v>0</v>
      </c>
      <c r="AE179" s="54">
        <f t="shared" si="49"/>
        <v>0</v>
      </c>
      <c r="AF179" s="54">
        <f t="shared" si="49"/>
        <v>0</v>
      </c>
      <c r="AG179" s="54">
        <f t="shared" si="49"/>
        <v>0</v>
      </c>
      <c r="AH179" s="54">
        <f t="shared" si="49"/>
        <v>0</v>
      </c>
      <c r="AI179" s="54">
        <f t="shared" si="49"/>
        <v>0</v>
      </c>
      <c r="AJ179" s="54">
        <f t="shared" si="49"/>
        <v>0</v>
      </c>
      <c r="AK179" s="54">
        <f t="shared" ref="AK179" si="71">IF($E80+365&lt;$C$56,0,IF($E80&lt;$C$56,(($E80+365-$C$56)/365)*(($C80/$BN$157)+($D80/$BN$158)),IF($E80&gt;AK$166,0,IF($E80+365&lt;AK$166,($C80/$BN$157)+($D80/$BN$158),((AK$166-$E80)/365)*(($C80/$BN$157)+($D80/$BN$158))))))</f>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48"/>
        <v>#DIV/0!</v>
      </c>
      <c r="Y180" s="25" t="e">
        <f t="shared" si="55"/>
        <v>#DIV/0!</v>
      </c>
      <c r="Z180" s="54" t="e">
        <f t="shared" si="60"/>
        <v>#DIV/0!</v>
      </c>
      <c r="AA180" s="54">
        <f t="shared" si="49"/>
        <v>0</v>
      </c>
      <c r="AB180" s="54">
        <f t="shared" si="49"/>
        <v>0</v>
      </c>
      <c r="AC180" s="54">
        <f t="shared" si="49"/>
        <v>0</v>
      </c>
      <c r="AD180" s="54">
        <f t="shared" si="49"/>
        <v>0</v>
      </c>
      <c r="AE180" s="54">
        <f t="shared" si="49"/>
        <v>0</v>
      </c>
      <c r="AF180" s="54">
        <f t="shared" si="49"/>
        <v>0</v>
      </c>
      <c r="AG180" s="54">
        <f t="shared" si="49"/>
        <v>0</v>
      </c>
      <c r="AH180" s="54">
        <f t="shared" si="49"/>
        <v>0</v>
      </c>
      <c r="AI180" s="54">
        <f t="shared" si="49"/>
        <v>0</v>
      </c>
      <c r="AJ180" s="54">
        <f t="shared" si="49"/>
        <v>0</v>
      </c>
      <c r="AK180" s="54">
        <f t="shared" ref="AK180" si="72">IF($E81+365&lt;$C$56,0,IF($E81&lt;$C$56,(($E81+365-$C$56)/365)*(($C81/$BN$157)+($D81/$BN$158)),IF($E81&gt;AK$166,0,IF($E81+365&lt;AK$166,($C81/$BN$157)+($D81/$BN$158),((AK$166-$E81)/365)*(($C81/$BN$157)+($D81/$BN$158))))))</f>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48"/>
        <v>#DIV/0!</v>
      </c>
      <c r="Y181" s="25" t="e">
        <f t="shared" si="55"/>
        <v>#DIV/0!</v>
      </c>
      <c r="Z181" s="54" t="e">
        <f t="shared" si="60"/>
        <v>#DIV/0!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48"/>
        <v>#DIV/0!</v>
      </c>
      <c r="Y182" s="25" t="e">
        <f t="shared" si="55"/>
        <v>#DIV/0!</v>
      </c>
      <c r="Z182" s="54" t="e">
        <f t="shared" si="60"/>
        <v>#DIV/0!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48"/>
        <v>#DIV/0!</v>
      </c>
      <c r="Y183" s="25" t="e">
        <f t="shared" si="55"/>
        <v>#DIV/0!</v>
      </c>
      <c r="Z183" s="54" t="e">
        <f t="shared" si="60"/>
        <v>#DIV/0!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48"/>
        <v>#DIV/0!</v>
      </c>
      <c r="Y184" s="25" t="e">
        <f t="shared" si="55"/>
        <v>#DIV/0!</v>
      </c>
      <c r="Z184" s="54" t="e">
        <f t="shared" si="60"/>
        <v>#DIV/0!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48"/>
        <v>#DIV/0!</v>
      </c>
      <c r="Y185" s="25" t="e">
        <f t="shared" si="55"/>
        <v>#DIV/0!</v>
      </c>
      <c r="Z185" s="54" t="e">
        <f t="shared" si="60"/>
        <v>#DIV/0!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48"/>
        <v>#DIV/0!</v>
      </c>
      <c r="Y186" s="25" t="e">
        <f t="shared" si="55"/>
        <v>#DIV/0!</v>
      </c>
      <c r="Z186" s="54" t="e">
        <f t="shared" si="60"/>
        <v>#DIV/0!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48"/>
        <v>#DIV/0!</v>
      </c>
      <c r="Y187" s="25" t="e">
        <f t="shared" si="55"/>
        <v>#DIV/0!</v>
      </c>
      <c r="Z187" s="54" t="e">
        <f t="shared" si="60"/>
        <v>#DIV/0!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48"/>
        <v>#DIV/0!</v>
      </c>
      <c r="Y188" s="25" t="e">
        <f t="shared" si="55"/>
        <v>#DIV/0!</v>
      </c>
      <c r="Z188" s="54" t="e">
        <f t="shared" si="60"/>
        <v>#DIV/0!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48"/>
        <v>#DIV/0!</v>
      </c>
      <c r="Y189" s="25" t="e">
        <f t="shared" si="55"/>
        <v>#DIV/0!</v>
      </c>
      <c r="Z189" s="54" t="e">
        <f t="shared" si="60"/>
        <v>#DIV/0!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48"/>
        <v>#DIV/0!</v>
      </c>
      <c r="Y190" s="25" t="e">
        <f t="shared" si="55"/>
        <v>#DIV/0!</v>
      </c>
      <c r="Z190" s="54" t="e">
        <f t="shared" si="60"/>
        <v>#DIV/0!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48"/>
        <v>#DIV/0!</v>
      </c>
      <c r="Y191" s="25" t="e">
        <f t="shared" si="55"/>
        <v>#DIV/0!</v>
      </c>
      <c r="Z191" s="54" t="e">
        <f t="shared" si="60"/>
        <v>#DIV/0!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48"/>
        <v>#DIV/0!</v>
      </c>
      <c r="Y192" s="25" t="e">
        <f t="shared" si="55"/>
        <v>#DIV/0!</v>
      </c>
      <c r="Z192" s="54" t="e">
        <f t="shared" si="60"/>
        <v>#DIV/0!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48"/>
        <v>#DIV/0!</v>
      </c>
      <c r="Y193" s="25" t="e">
        <f t="shared" si="55"/>
        <v>#DIV/0!</v>
      </c>
      <c r="Z193" s="54" t="e">
        <f t="shared" si="60"/>
        <v>#DIV/0!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48"/>
        <v>#DIV/0!</v>
      </c>
      <c r="Y194" s="25" t="e">
        <f t="shared" si="55"/>
        <v>#DIV/0!</v>
      </c>
      <c r="Z194" s="54" t="e">
        <f t="shared" si="60"/>
        <v>#DIV/0!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0">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48"/>
        <v>#DIV/0!</v>
      </c>
      <c r="Y195" s="25" t="e">
        <f t="shared" si="55"/>
        <v>#DIV/0!</v>
      </c>
      <c r="Z195" s="54" t="e">
        <f t="shared" si="60"/>
        <v>#DIV/0!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1">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48"/>
        <v>#DIV/0!</v>
      </c>
      <c r="Y196" s="25" t="e">
        <f t="shared" si="55"/>
        <v>#DIV/0!</v>
      </c>
      <c r="Z196" s="54" t="e">
        <f t="shared" si="60"/>
        <v>#DIV/0!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2">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48"/>
        <v>#DIV/0!</v>
      </c>
      <c r="Y197" s="25" t="e">
        <f t="shared" si="55"/>
        <v>#DIV/0!</v>
      </c>
      <c r="Z197" s="54" t="e">
        <f t="shared" si="60"/>
        <v>#DIV/0!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3">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48"/>
        <v>#DIV/0!</v>
      </c>
      <c r="Y198" s="25" t="e">
        <f t="shared" si="55"/>
        <v>#DIV/0!</v>
      </c>
      <c r="Z198" s="54" t="e">
        <f t="shared" si="60"/>
        <v>#DIV/0!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4">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48"/>
        <v>#DIV/0!</v>
      </c>
      <c r="Y199" s="25" t="e">
        <f t="shared" si="55"/>
        <v>#DIV/0!</v>
      </c>
      <c r="Z199" s="54" t="e">
        <f t="shared" si="60"/>
        <v>#DIV/0!</v>
      </c>
      <c r="AA199" s="54">
        <f t="shared" ref="AA199:AJ213" si="95">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ref="AK199" si="96">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c r="AU199" s="24"/>
      <c r="AV199" s="24"/>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48"/>
        <v>#DIV/0!</v>
      </c>
      <c r="Y200" s="25" t="e">
        <f t="shared" si="55"/>
        <v>#DIV/0!</v>
      </c>
      <c r="Z200" s="54" t="e">
        <f t="shared" si="60"/>
        <v>#DIV/0!</v>
      </c>
      <c r="AA200" s="54">
        <f t="shared" si="95"/>
        <v>0</v>
      </c>
      <c r="AB200" s="54">
        <f t="shared" si="95"/>
        <v>0</v>
      </c>
      <c r="AC200" s="54">
        <f t="shared" si="95"/>
        <v>0</v>
      </c>
      <c r="AD200" s="54">
        <f t="shared" si="95"/>
        <v>0</v>
      </c>
      <c r="AE200" s="54">
        <f t="shared" si="95"/>
        <v>0</v>
      </c>
      <c r="AF200" s="54">
        <f t="shared" si="95"/>
        <v>0</v>
      </c>
      <c r="AG200" s="54">
        <f t="shared" si="95"/>
        <v>0</v>
      </c>
      <c r="AH200" s="54">
        <f t="shared" si="95"/>
        <v>0</v>
      </c>
      <c r="AI200" s="54">
        <f t="shared" si="95"/>
        <v>0</v>
      </c>
      <c r="AJ200" s="54">
        <f t="shared" si="95"/>
        <v>0</v>
      </c>
      <c r="AK200" s="54">
        <f t="shared" ref="AK200" si="97">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c r="AT200" s="24"/>
      <c r="AU200" s="24"/>
      <c r="AV200" s="24"/>
      <c r="AW200" s="24"/>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48"/>
        <v>#DIV/0!</v>
      </c>
      <c r="Y201" s="25" t="e">
        <f t="shared" si="55"/>
        <v>#DIV/0!</v>
      </c>
      <c r="Z201" s="54" t="e">
        <f t="shared" si="60"/>
        <v>#DIV/0!</v>
      </c>
      <c r="AA201" s="54">
        <f t="shared" si="95"/>
        <v>0</v>
      </c>
      <c r="AB201" s="54">
        <f t="shared" si="95"/>
        <v>0</v>
      </c>
      <c r="AC201" s="54">
        <f t="shared" si="95"/>
        <v>0</v>
      </c>
      <c r="AD201" s="54">
        <f t="shared" si="95"/>
        <v>0</v>
      </c>
      <c r="AE201" s="54">
        <f t="shared" si="95"/>
        <v>0</v>
      </c>
      <c r="AF201" s="54">
        <f t="shared" si="95"/>
        <v>0</v>
      </c>
      <c r="AG201" s="54">
        <f t="shared" si="95"/>
        <v>0</v>
      </c>
      <c r="AH201" s="54">
        <f t="shared" si="95"/>
        <v>0</v>
      </c>
      <c r="AI201" s="54">
        <f t="shared" si="95"/>
        <v>0</v>
      </c>
      <c r="AJ201" s="54">
        <f t="shared" si="95"/>
        <v>0</v>
      </c>
      <c r="AK201" s="54">
        <f t="shared" ref="AK201" si="98">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c r="AU201" s="24"/>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48"/>
        <v>#DIV/0!</v>
      </c>
      <c r="Y202" s="25" t="e">
        <f t="shared" si="55"/>
        <v>#DIV/0!</v>
      </c>
      <c r="Z202" s="54" t="e">
        <f t="shared" si="60"/>
        <v>#DIV/0!</v>
      </c>
      <c r="AA202" s="54">
        <f t="shared" si="95"/>
        <v>0</v>
      </c>
      <c r="AB202" s="54">
        <f t="shared" si="95"/>
        <v>0</v>
      </c>
      <c r="AC202" s="54">
        <f t="shared" si="95"/>
        <v>0</v>
      </c>
      <c r="AD202" s="54">
        <f t="shared" si="95"/>
        <v>0</v>
      </c>
      <c r="AE202" s="54">
        <f t="shared" si="95"/>
        <v>0</v>
      </c>
      <c r="AF202" s="54">
        <f t="shared" si="95"/>
        <v>0</v>
      </c>
      <c r="AG202" s="54">
        <f t="shared" si="95"/>
        <v>0</v>
      </c>
      <c r="AH202" s="54">
        <f t="shared" si="95"/>
        <v>0</v>
      </c>
      <c r="AI202" s="54">
        <f t="shared" si="95"/>
        <v>0</v>
      </c>
      <c r="AJ202" s="54">
        <f t="shared" si="95"/>
        <v>0</v>
      </c>
      <c r="AK202" s="54">
        <f t="shared" ref="AK202" si="99">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48"/>
        <v>#DIV/0!</v>
      </c>
      <c r="Y203" s="25" t="e">
        <f t="shared" si="55"/>
        <v>#DIV/0!</v>
      </c>
      <c r="Z203" s="54" t="e">
        <f t="shared" si="60"/>
        <v>#DIV/0!</v>
      </c>
      <c r="AA203" s="54">
        <f t="shared" si="95"/>
        <v>0</v>
      </c>
      <c r="AB203" s="54">
        <f t="shared" si="95"/>
        <v>0</v>
      </c>
      <c r="AC203" s="54">
        <f t="shared" si="95"/>
        <v>0</v>
      </c>
      <c r="AD203" s="54">
        <f t="shared" si="95"/>
        <v>0</v>
      </c>
      <c r="AE203" s="54">
        <f t="shared" si="95"/>
        <v>0</v>
      </c>
      <c r="AF203" s="54">
        <f t="shared" si="95"/>
        <v>0</v>
      </c>
      <c r="AG203" s="54">
        <f t="shared" si="95"/>
        <v>0</v>
      </c>
      <c r="AH203" s="54">
        <f t="shared" si="95"/>
        <v>0</v>
      </c>
      <c r="AI203" s="54">
        <f t="shared" si="95"/>
        <v>0</v>
      </c>
      <c r="AJ203" s="54">
        <f t="shared" si="95"/>
        <v>0</v>
      </c>
      <c r="AK203" s="54">
        <f t="shared" ref="AK203" si="100">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48"/>
        <v>#DIV/0!</v>
      </c>
      <c r="Y204" s="25" t="e">
        <f t="shared" si="55"/>
        <v>#DIV/0!</v>
      </c>
      <c r="Z204" s="54" t="e">
        <f t="shared" si="60"/>
        <v>#DIV/0!</v>
      </c>
      <c r="AA204" s="54">
        <f t="shared" si="95"/>
        <v>0</v>
      </c>
      <c r="AB204" s="54">
        <f t="shared" si="95"/>
        <v>0</v>
      </c>
      <c r="AC204" s="54">
        <f t="shared" si="95"/>
        <v>0</v>
      </c>
      <c r="AD204" s="54">
        <f t="shared" si="95"/>
        <v>0</v>
      </c>
      <c r="AE204" s="54">
        <f t="shared" si="95"/>
        <v>0</v>
      </c>
      <c r="AF204" s="54">
        <f t="shared" si="95"/>
        <v>0</v>
      </c>
      <c r="AG204" s="54">
        <f t="shared" si="95"/>
        <v>0</v>
      </c>
      <c r="AH204" s="54">
        <f t="shared" si="95"/>
        <v>0</v>
      </c>
      <c r="AI204" s="54">
        <f t="shared" si="95"/>
        <v>0</v>
      </c>
      <c r="AJ204" s="54">
        <f t="shared" si="95"/>
        <v>0</v>
      </c>
      <c r="AK204" s="54">
        <f t="shared" ref="AK204" si="101">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48"/>
        <v>#DIV/0!</v>
      </c>
      <c r="Y205" s="25" t="e">
        <f t="shared" si="55"/>
        <v>#DIV/0!</v>
      </c>
      <c r="Z205" s="54" t="e">
        <f t="shared" si="60"/>
        <v>#DIV/0!</v>
      </c>
      <c r="AA205" s="54">
        <f t="shared" si="95"/>
        <v>0</v>
      </c>
      <c r="AB205" s="54">
        <f t="shared" si="95"/>
        <v>0</v>
      </c>
      <c r="AC205" s="54">
        <f t="shared" si="95"/>
        <v>0</v>
      </c>
      <c r="AD205" s="54">
        <f t="shared" si="95"/>
        <v>0</v>
      </c>
      <c r="AE205" s="54">
        <f t="shared" si="95"/>
        <v>0</v>
      </c>
      <c r="AF205" s="54">
        <f t="shared" si="95"/>
        <v>0</v>
      </c>
      <c r="AG205" s="54">
        <f t="shared" si="95"/>
        <v>0</v>
      </c>
      <c r="AH205" s="54">
        <f t="shared" si="95"/>
        <v>0</v>
      </c>
      <c r="AI205" s="54">
        <f t="shared" si="95"/>
        <v>0</v>
      </c>
      <c r="AJ205" s="54">
        <f t="shared" si="95"/>
        <v>0</v>
      </c>
      <c r="AK205" s="54">
        <f t="shared" ref="AK205" si="102">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48"/>
        <v>#DIV/0!</v>
      </c>
      <c r="Y206" s="25" t="e">
        <f t="shared" si="55"/>
        <v>#DIV/0!</v>
      </c>
      <c r="Z206" s="54" t="e">
        <f t="shared" si="60"/>
        <v>#DIV/0!</v>
      </c>
      <c r="AA206" s="54">
        <f t="shared" si="95"/>
        <v>0</v>
      </c>
      <c r="AB206" s="54">
        <f t="shared" si="95"/>
        <v>0</v>
      </c>
      <c r="AC206" s="54">
        <f t="shared" si="95"/>
        <v>0</v>
      </c>
      <c r="AD206" s="54">
        <f t="shared" si="95"/>
        <v>0</v>
      </c>
      <c r="AE206" s="54">
        <f t="shared" si="95"/>
        <v>0</v>
      </c>
      <c r="AF206" s="54">
        <f t="shared" si="95"/>
        <v>0</v>
      </c>
      <c r="AG206" s="54">
        <f t="shared" si="95"/>
        <v>0</v>
      </c>
      <c r="AH206" s="54">
        <f t="shared" si="95"/>
        <v>0</v>
      </c>
      <c r="AI206" s="54">
        <f t="shared" si="95"/>
        <v>0</v>
      </c>
      <c r="AJ206" s="54">
        <f t="shared" si="95"/>
        <v>0</v>
      </c>
      <c r="AK206" s="54">
        <f t="shared" ref="AK206" si="103">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4">IF($E109&gt;H$66,0,IF($E109&lt;H$66-365,$C109,0))</f>
        <v>0</v>
      </c>
      <c r="I207" s="12">
        <f t="shared" si="104"/>
        <v>0</v>
      </c>
      <c r="J207" s="12">
        <f t="shared" si="104"/>
        <v>0</v>
      </c>
      <c r="K207" s="12">
        <f t="shared" si="43"/>
        <v>0</v>
      </c>
      <c r="L207" s="12">
        <f t="shared" ref="L207:N209" si="105">IF($E109&gt;L$66,0,IF($E109&lt;L$66-365,$C109,0))</f>
        <v>0</v>
      </c>
      <c r="M207" s="12">
        <f t="shared" si="105"/>
        <v>0</v>
      </c>
      <c r="N207" s="12">
        <f t="shared" si="105"/>
        <v>0</v>
      </c>
      <c r="O207" s="12">
        <f t="shared" si="45"/>
        <v>0</v>
      </c>
      <c r="P207" s="12">
        <f t="shared" ref="P207:Q209" si="106">IF($E109&gt;P$66,0,IF($E109&lt;P$66-365,$C109,0))</f>
        <v>0</v>
      </c>
      <c r="Q207" s="12">
        <f t="shared" si="106"/>
        <v>0</v>
      </c>
      <c r="T207" s="61"/>
      <c r="U207" s="61"/>
      <c r="V207" s="61"/>
      <c r="W207" s="53">
        <f t="shared" si="47"/>
        <v>0</v>
      </c>
      <c r="X207" s="54" t="e">
        <f t="shared" si="48"/>
        <v>#DIV/0!</v>
      </c>
      <c r="Y207" s="25" t="e">
        <f t="shared" si="55"/>
        <v>#DIV/0!</v>
      </c>
      <c r="Z207" s="54" t="e">
        <f t="shared" si="60"/>
        <v>#DIV/0!</v>
      </c>
      <c r="AA207" s="54">
        <f t="shared" si="95"/>
        <v>0</v>
      </c>
      <c r="AB207" s="54">
        <f t="shared" si="95"/>
        <v>0</v>
      </c>
      <c r="AC207" s="54">
        <f t="shared" si="95"/>
        <v>0</v>
      </c>
      <c r="AD207" s="54">
        <f t="shared" si="95"/>
        <v>0</v>
      </c>
      <c r="AE207" s="54">
        <f t="shared" si="95"/>
        <v>0</v>
      </c>
      <c r="AF207" s="54">
        <f t="shared" si="95"/>
        <v>0</v>
      </c>
      <c r="AG207" s="54">
        <f t="shared" si="95"/>
        <v>0</v>
      </c>
      <c r="AH207" s="54">
        <f t="shared" si="95"/>
        <v>0</v>
      </c>
      <c r="AI207" s="54">
        <f t="shared" si="95"/>
        <v>0</v>
      </c>
      <c r="AJ207" s="54">
        <f t="shared" si="95"/>
        <v>0</v>
      </c>
      <c r="AK207" s="54">
        <f t="shared" ref="AK207" si="107">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4"/>
        <v>0</v>
      </c>
      <c r="I208" s="12">
        <f t="shared" si="104"/>
        <v>0</v>
      </c>
      <c r="J208" s="12">
        <f t="shared" si="104"/>
        <v>0</v>
      </c>
      <c r="K208" s="12">
        <f t="shared" si="43"/>
        <v>0</v>
      </c>
      <c r="L208" s="12">
        <f t="shared" si="105"/>
        <v>0</v>
      </c>
      <c r="M208" s="12">
        <f t="shared" si="105"/>
        <v>0</v>
      </c>
      <c r="N208" s="12">
        <f t="shared" si="105"/>
        <v>0</v>
      </c>
      <c r="O208" s="12">
        <f t="shared" si="45"/>
        <v>0</v>
      </c>
      <c r="P208" s="12">
        <f t="shared" si="106"/>
        <v>0</v>
      </c>
      <c r="Q208" s="12">
        <f t="shared" si="106"/>
        <v>0</v>
      </c>
      <c r="T208" s="61"/>
      <c r="U208" s="61"/>
      <c r="V208" s="61"/>
      <c r="W208" s="53">
        <f t="shared" si="47"/>
        <v>0</v>
      </c>
      <c r="X208" s="54" t="e">
        <f t="shared" si="48"/>
        <v>#DIV/0!</v>
      </c>
      <c r="Y208" s="25" t="e">
        <f t="shared" si="55"/>
        <v>#DIV/0!</v>
      </c>
      <c r="Z208" s="54" t="e">
        <f t="shared" si="60"/>
        <v>#DIV/0!</v>
      </c>
      <c r="AA208" s="54">
        <f t="shared" si="95"/>
        <v>0</v>
      </c>
      <c r="AB208" s="54">
        <f t="shared" si="95"/>
        <v>0</v>
      </c>
      <c r="AC208" s="54">
        <f t="shared" si="95"/>
        <v>0</v>
      </c>
      <c r="AD208" s="54">
        <f t="shared" si="95"/>
        <v>0</v>
      </c>
      <c r="AE208" s="54">
        <f t="shared" si="95"/>
        <v>0</v>
      </c>
      <c r="AF208" s="54">
        <f t="shared" si="95"/>
        <v>0</v>
      </c>
      <c r="AG208" s="54">
        <f t="shared" si="95"/>
        <v>0</v>
      </c>
      <c r="AH208" s="54">
        <f t="shared" si="95"/>
        <v>0</v>
      </c>
      <c r="AI208" s="54">
        <f t="shared" si="95"/>
        <v>0</v>
      </c>
      <c r="AJ208" s="54">
        <f t="shared" si="95"/>
        <v>0</v>
      </c>
      <c r="AK208" s="54">
        <f t="shared" ref="AK208" si="108">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4"/>
        <v>0</v>
      </c>
      <c r="I209" s="12">
        <f t="shared" si="104"/>
        <v>0</v>
      </c>
      <c r="J209" s="12">
        <f t="shared" si="104"/>
        <v>0</v>
      </c>
      <c r="K209" s="12">
        <f t="shared" si="43"/>
        <v>0</v>
      </c>
      <c r="L209" s="12">
        <f t="shared" si="105"/>
        <v>0</v>
      </c>
      <c r="M209" s="12">
        <f t="shared" si="105"/>
        <v>0</v>
      </c>
      <c r="N209" s="12">
        <f t="shared" si="105"/>
        <v>0</v>
      </c>
      <c r="O209" s="12">
        <f t="shared" si="45"/>
        <v>0</v>
      </c>
      <c r="P209" s="12">
        <f t="shared" si="106"/>
        <v>0</v>
      </c>
      <c r="Q209" s="12">
        <f t="shared" si="106"/>
        <v>0</v>
      </c>
      <c r="T209" s="61"/>
      <c r="U209" s="61"/>
      <c r="V209" s="61"/>
      <c r="W209" s="53">
        <f t="shared" si="47"/>
        <v>0</v>
      </c>
      <c r="X209" s="54" t="e">
        <f t="shared" si="48"/>
        <v>#DIV/0!</v>
      </c>
      <c r="Y209" s="25" t="e">
        <f t="shared" si="55"/>
        <v>#DIV/0!</v>
      </c>
      <c r="Z209" s="54" t="e">
        <f t="shared" si="60"/>
        <v>#DIV/0!</v>
      </c>
      <c r="AA209" s="54">
        <f t="shared" si="95"/>
        <v>0</v>
      </c>
      <c r="AB209" s="54">
        <f t="shared" si="95"/>
        <v>0</v>
      </c>
      <c r="AC209" s="54">
        <f t="shared" si="95"/>
        <v>0</v>
      </c>
      <c r="AD209" s="54">
        <f t="shared" si="95"/>
        <v>0</v>
      </c>
      <c r="AE209" s="54">
        <f t="shared" si="95"/>
        <v>0</v>
      </c>
      <c r="AF209" s="54">
        <f t="shared" si="95"/>
        <v>0</v>
      </c>
      <c r="AG209" s="54">
        <f t="shared" si="95"/>
        <v>0</v>
      </c>
      <c r="AH209" s="54">
        <f t="shared" si="95"/>
        <v>0</v>
      </c>
      <c r="AI209" s="54">
        <f t="shared" si="95"/>
        <v>0</v>
      </c>
      <c r="AJ209" s="54">
        <f t="shared" si="95"/>
        <v>0</v>
      </c>
      <c r="AK209" s="54">
        <f t="shared" ref="AK209" si="109">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48"/>
        <v>#DIV/0!</v>
      </c>
      <c r="Y210" s="25" t="e">
        <f t="shared" si="55"/>
        <v>#DIV/0!</v>
      </c>
      <c r="Z210" s="54" t="e">
        <f t="shared" si="60"/>
        <v>#DIV/0!</v>
      </c>
      <c r="AA210" s="54">
        <f t="shared" si="95"/>
        <v>0</v>
      </c>
      <c r="AB210" s="54">
        <f t="shared" si="95"/>
        <v>0</v>
      </c>
      <c r="AC210" s="54">
        <f t="shared" si="95"/>
        <v>0</v>
      </c>
      <c r="AD210" s="54">
        <f t="shared" si="95"/>
        <v>0</v>
      </c>
      <c r="AE210" s="54">
        <f t="shared" si="95"/>
        <v>0</v>
      </c>
      <c r="AF210" s="54">
        <f t="shared" si="95"/>
        <v>0</v>
      </c>
      <c r="AG210" s="54">
        <f t="shared" si="95"/>
        <v>0</v>
      </c>
      <c r="AH210" s="54">
        <f t="shared" si="95"/>
        <v>0</v>
      </c>
      <c r="AI210" s="54">
        <f t="shared" si="95"/>
        <v>0</v>
      </c>
      <c r="AJ210" s="54">
        <f t="shared" si="95"/>
        <v>0</v>
      </c>
      <c r="AK210" s="54">
        <f t="shared" ref="AK210" si="110">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48"/>
        <v>#DIV/0!</v>
      </c>
      <c r="Y211" s="25" t="e">
        <f t="shared" si="55"/>
        <v>#DIV/0!</v>
      </c>
      <c r="Z211" s="54" t="e">
        <f t="shared" si="60"/>
        <v>#DIV/0!</v>
      </c>
      <c r="AA211" s="54">
        <f t="shared" si="95"/>
        <v>0</v>
      </c>
      <c r="AB211" s="54">
        <f t="shared" si="95"/>
        <v>0</v>
      </c>
      <c r="AC211" s="54">
        <f t="shared" si="95"/>
        <v>0</v>
      </c>
      <c r="AD211" s="54">
        <f t="shared" si="95"/>
        <v>0</v>
      </c>
      <c r="AE211" s="54">
        <f t="shared" si="95"/>
        <v>0</v>
      </c>
      <c r="AF211" s="54">
        <f t="shared" si="95"/>
        <v>0</v>
      </c>
      <c r="AG211" s="54">
        <f t="shared" si="95"/>
        <v>0</v>
      </c>
      <c r="AH211" s="54">
        <f t="shared" si="95"/>
        <v>0</v>
      </c>
      <c r="AI211" s="54">
        <f t="shared" si="95"/>
        <v>0</v>
      </c>
      <c r="AJ211" s="54">
        <f t="shared" si="95"/>
        <v>0</v>
      </c>
      <c r="AK211" s="54">
        <f t="shared" ref="AK211" si="111">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c r="Y212" s="25" t="e">
        <f t="shared" si="55"/>
        <v>#DIV/0!</v>
      </c>
      <c r="Z212" s="54" t="e">
        <f t="shared" si="60"/>
        <v>#DIV/0!</v>
      </c>
      <c r="AA212" s="54">
        <f t="shared" si="95"/>
        <v>0</v>
      </c>
      <c r="AB212" s="54">
        <f t="shared" si="95"/>
        <v>0</v>
      </c>
      <c r="AC212" s="54">
        <f t="shared" si="95"/>
        <v>0</v>
      </c>
      <c r="AD212" s="54">
        <f t="shared" si="95"/>
        <v>0</v>
      </c>
      <c r="AE212" s="54">
        <f t="shared" si="95"/>
        <v>0</v>
      </c>
      <c r="AF212" s="54">
        <f t="shared" si="95"/>
        <v>0</v>
      </c>
      <c r="AG212" s="54">
        <f t="shared" si="95"/>
        <v>0</v>
      </c>
      <c r="AH212" s="54">
        <f t="shared" si="95"/>
        <v>0</v>
      </c>
      <c r="AI212" s="54">
        <f t="shared" si="95"/>
        <v>0</v>
      </c>
      <c r="AJ212" s="54">
        <f t="shared" si="95"/>
        <v>0</v>
      </c>
      <c r="AK212" s="54">
        <f t="shared" ref="AK212" si="112">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c r="Y213" s="25" t="e">
        <f t="shared" si="55"/>
        <v>#DIV/0!</v>
      </c>
      <c r="Z213" s="54" t="e">
        <f t="shared" si="60"/>
        <v>#DIV/0!</v>
      </c>
      <c r="AA213" s="54">
        <f t="shared" si="95"/>
        <v>0</v>
      </c>
      <c r="AB213" s="54">
        <f t="shared" si="95"/>
        <v>0</v>
      </c>
      <c r="AC213" s="54">
        <f t="shared" si="95"/>
        <v>0</v>
      </c>
      <c r="AD213" s="54">
        <f t="shared" si="95"/>
        <v>0</v>
      </c>
      <c r="AE213" s="54">
        <f t="shared" si="95"/>
        <v>0</v>
      </c>
      <c r="AF213" s="54">
        <f t="shared" si="95"/>
        <v>0</v>
      </c>
      <c r="AG213" s="54">
        <f t="shared" si="95"/>
        <v>0</v>
      </c>
      <c r="AH213" s="54">
        <f t="shared" si="95"/>
        <v>0</v>
      </c>
      <c r="AI213" s="54">
        <f t="shared" si="95"/>
        <v>0</v>
      </c>
      <c r="AJ213" s="54">
        <f t="shared" si="95"/>
        <v>0</v>
      </c>
      <c r="AK213" s="54">
        <f t="shared" ref="AK213" si="113">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0</v>
      </c>
      <c r="H214" s="187">
        <f t="shared" ref="H214:Q214" si="114">SUM(H167:H213)</f>
        <v>0</v>
      </c>
      <c r="I214" s="187">
        <f t="shared" si="114"/>
        <v>0</v>
      </c>
      <c r="J214" s="187">
        <f t="shared" si="114"/>
        <v>0</v>
      </c>
      <c r="K214" s="187">
        <f t="shared" si="114"/>
        <v>0</v>
      </c>
      <c r="L214" s="187">
        <f t="shared" si="114"/>
        <v>0</v>
      </c>
      <c r="M214" s="187">
        <f t="shared" si="114"/>
        <v>0</v>
      </c>
      <c r="N214" s="187">
        <f t="shared" si="114"/>
        <v>0</v>
      </c>
      <c r="O214" s="187">
        <f t="shared" si="114"/>
        <v>0</v>
      </c>
      <c r="P214" s="187">
        <f t="shared" si="114"/>
        <v>0</v>
      </c>
      <c r="Q214" s="187">
        <f t="shared" si="114"/>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84</v>
      </c>
      <c r="AA215" s="156">
        <f>$C$64+AA214</f>
        <v>84</v>
      </c>
      <c r="AB215" s="156">
        <f t="shared" ref="AB215:AE215" si="115">$C$64+AB214</f>
        <v>84</v>
      </c>
      <c r="AC215" s="156">
        <f t="shared" si="115"/>
        <v>84</v>
      </c>
      <c r="AD215" s="156">
        <f t="shared" si="115"/>
        <v>84</v>
      </c>
      <c r="AE215" s="156">
        <f t="shared" si="115"/>
        <v>84</v>
      </c>
      <c r="AF215" s="156">
        <f>$C$64+AF214</f>
        <v>84</v>
      </c>
      <c r="AG215" s="156">
        <f t="shared" ref="AG215:AJ215" si="116">$C$64+AG214</f>
        <v>84</v>
      </c>
      <c r="AH215" s="156">
        <f>$C$64+AH214</f>
        <v>84</v>
      </c>
      <c r="AI215" s="156">
        <f t="shared" si="116"/>
        <v>84</v>
      </c>
      <c r="AJ215" s="156">
        <f t="shared" si="116"/>
        <v>84</v>
      </c>
      <c r="AK215" s="156">
        <f t="shared" ref="AK215" si="117">$C$64+AK214</f>
        <v>84</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IF(Z215&lt;$BB$154,(6+(1-Z215/$BB$154)),IF(Z215&lt;$BB$155,5.5+(0.5*(($BB$155-Z215)/($BB$155-$BB$154))),(5 - 0.5*((Z215)-$BB$156)/$BH$166)))</f>
        <v>4.5300065231572084</v>
      </c>
      <c r="AA216" s="154">
        <f>IF(AA215&lt;$BB$154,(6+(1-AA215/$BB$154)),IF(AA215&lt;$BB$155,5.5+(0.5*(($BB$155-AA215)/($BB$155-$BB$154))),(5 - 0.5*((AA215)-$BB$156)/$BH$166)))</f>
        <v>4.5300065231572084</v>
      </c>
      <c r="AB216" s="154">
        <f t="shared" ref="AB216:AG216" si="118">IF(AB215&lt;$BB$154,(6+(1-AB215/$BB$154)),IF(AB215&lt;$BB$155,5.5+(0.5*(($BB$155-AB215)/($BB$155-$BB$154))),(5 - 0.5*((AB215)-$BB$156)/$BH$166)))</f>
        <v>4.5300065231572084</v>
      </c>
      <c r="AC216" s="154">
        <f t="shared" si="118"/>
        <v>4.5300065231572084</v>
      </c>
      <c r="AD216" s="154">
        <f t="shared" si="118"/>
        <v>4.5300065231572084</v>
      </c>
      <c r="AE216" s="154">
        <f t="shared" si="118"/>
        <v>4.5300065231572084</v>
      </c>
      <c r="AF216" s="154">
        <f t="shared" si="118"/>
        <v>4.5300065231572084</v>
      </c>
      <c r="AG216" s="154">
        <f t="shared" si="118"/>
        <v>4.5300065231572084</v>
      </c>
      <c r="AH216" s="154">
        <f>IF(AH215&lt;$BB$154,(6+(1-AH215/$BB$154)),IF(AH215&lt;$BB$155,5.5+(0.5*(($BB$155-AH215)/($BB$155-$BB$154))),(5 - 0.5*((AH215)-$BB$156)/$BH$166)))</f>
        <v>4.5300065231572084</v>
      </c>
      <c r="AI216" s="154">
        <f>IF(AI215&lt;$BB$154,(6+(1-AI215/$BB$154)),IF(AI215&lt;$BB$155,5.5+(0.5*(($BB$155-AI215)/($BB$155-$BB$154))),(5 - 0.5*((AI215)-$BB$156)/$BH$166)))</f>
        <v>4.5300065231572084</v>
      </c>
      <c r="AJ216" s="154">
        <f>IF(AJ215&lt;$BB$154,(6+(1-AJ215/$BB$154)),IF(AJ215&lt;$BB$155,5.5+(0.5*(($BB$155-AJ215)/($BB$155-$BB$154))),(5 - 0.5*((AJ215)-$BB$156)/$BH$166)))</f>
        <v>4.5300065231572084</v>
      </c>
      <c r="AK216" s="154">
        <f>IF(AK215&lt;$BB$154,(6+(1-AK215/$BB$154)),IF(AK215&lt;$BB$155,5.5+(0.5*(($BB$155-AK215)/($BB$155-$BB$154))),(5 - 0.5*((AK215)-$BB$156)/$BH$166)))</f>
        <v>4.5300065231572084</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9">IF($E69&lt;G$66,$D69,0)</f>
        <v>0</v>
      </c>
      <c r="H220" s="12">
        <f t="shared" ref="H220:Q220" si="120">IF($E69&gt;H$66,0,IF($E69&lt;H$66-365,$D69,0))</f>
        <v>0</v>
      </c>
      <c r="I220" s="12">
        <f t="shared" si="120"/>
        <v>0</v>
      </c>
      <c r="J220" s="12">
        <f t="shared" si="120"/>
        <v>0</v>
      </c>
      <c r="K220" s="12">
        <f t="shared" si="120"/>
        <v>0</v>
      </c>
      <c r="L220" s="12">
        <f t="shared" si="120"/>
        <v>0</v>
      </c>
      <c r="M220" s="12">
        <f t="shared" si="120"/>
        <v>0</v>
      </c>
      <c r="N220" s="12">
        <f t="shared" si="120"/>
        <v>0</v>
      </c>
      <c r="O220" s="12">
        <f t="shared" si="120"/>
        <v>0</v>
      </c>
      <c r="P220" s="12">
        <f t="shared" si="120"/>
        <v>0</v>
      </c>
      <c r="Q220" s="12">
        <f t="shared" si="120"/>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9"/>
        <v>0</v>
      </c>
      <c r="H221" s="12">
        <f t="shared" ref="H221:Q221" si="121">IF($E70&gt;H$66,0,IF($E70&lt;H$66-365,$D70,0))</f>
        <v>0</v>
      </c>
      <c r="I221" s="12">
        <f t="shared" si="121"/>
        <v>0</v>
      </c>
      <c r="J221" s="12">
        <f t="shared" si="121"/>
        <v>0</v>
      </c>
      <c r="K221" s="12">
        <f t="shared" si="121"/>
        <v>0</v>
      </c>
      <c r="L221" s="12">
        <f t="shared" si="121"/>
        <v>0</v>
      </c>
      <c r="M221" s="12">
        <f t="shared" si="121"/>
        <v>0</v>
      </c>
      <c r="N221" s="12">
        <f t="shared" si="121"/>
        <v>0</v>
      </c>
      <c r="O221" s="12">
        <f t="shared" si="121"/>
        <v>0</v>
      </c>
      <c r="P221" s="12">
        <f t="shared" si="121"/>
        <v>0</v>
      </c>
      <c r="Q221" s="12">
        <f t="shared" si="12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9"/>
        <v>0</v>
      </c>
      <c r="H222" s="12">
        <f t="shared" ref="H222:Q222" si="122">IF($E71&gt;H$66,0,IF($E71&lt;H$66-365,$D71,0))</f>
        <v>0</v>
      </c>
      <c r="I222" s="12">
        <f t="shared" si="122"/>
        <v>0</v>
      </c>
      <c r="J222" s="12">
        <f t="shared" si="122"/>
        <v>0</v>
      </c>
      <c r="K222" s="12">
        <f t="shared" si="122"/>
        <v>0</v>
      </c>
      <c r="L222" s="12">
        <f t="shared" si="122"/>
        <v>0</v>
      </c>
      <c r="M222" s="12">
        <f t="shared" si="122"/>
        <v>0</v>
      </c>
      <c r="N222" s="12">
        <f t="shared" si="122"/>
        <v>0</v>
      </c>
      <c r="O222" s="12">
        <f t="shared" si="122"/>
        <v>0</v>
      </c>
      <c r="P222" s="12">
        <f t="shared" si="122"/>
        <v>0</v>
      </c>
      <c r="Q222" s="12">
        <f t="shared" si="122"/>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9"/>
        <v>0</v>
      </c>
      <c r="H223" s="12">
        <f t="shared" ref="H223:Q223" si="123">IF($E72&gt;H$66,0,IF($E72&lt;H$66-365,$D72,0))</f>
        <v>0</v>
      </c>
      <c r="I223" s="12">
        <f t="shared" si="123"/>
        <v>0</v>
      </c>
      <c r="J223" s="12">
        <f t="shared" si="123"/>
        <v>0</v>
      </c>
      <c r="K223" s="12">
        <f t="shared" si="123"/>
        <v>0</v>
      </c>
      <c r="L223" s="12">
        <f t="shared" si="123"/>
        <v>0</v>
      </c>
      <c r="M223" s="12">
        <f t="shared" si="123"/>
        <v>0</v>
      </c>
      <c r="N223" s="12">
        <f t="shared" si="123"/>
        <v>0</v>
      </c>
      <c r="O223" s="12">
        <f t="shared" si="123"/>
        <v>0</v>
      </c>
      <c r="P223" s="12">
        <f t="shared" si="123"/>
        <v>0</v>
      </c>
      <c r="Q223" s="12">
        <f t="shared" si="123"/>
        <v>0</v>
      </c>
      <c r="T223" s="20"/>
      <c r="U223" s="20"/>
      <c r="V223" s="20"/>
    </row>
    <row r="224" spans="6:51">
      <c r="G224" s="12">
        <f t="shared" si="119"/>
        <v>0</v>
      </c>
      <c r="H224" s="12">
        <f t="shared" ref="H224:Q224" si="124">IF($E73&gt;H$66,0,IF($E73&lt;H$66-365,$D73,0))</f>
        <v>0</v>
      </c>
      <c r="I224" s="12">
        <f t="shared" si="124"/>
        <v>0</v>
      </c>
      <c r="J224" s="12">
        <f t="shared" si="124"/>
        <v>0</v>
      </c>
      <c r="K224" s="12">
        <f t="shared" si="124"/>
        <v>0</v>
      </c>
      <c r="L224" s="12">
        <f t="shared" si="124"/>
        <v>0</v>
      </c>
      <c r="M224" s="12">
        <f t="shared" si="124"/>
        <v>0</v>
      </c>
      <c r="N224" s="12">
        <f t="shared" si="124"/>
        <v>0</v>
      </c>
      <c r="O224" s="12">
        <f t="shared" si="124"/>
        <v>0</v>
      </c>
      <c r="P224" s="12">
        <f t="shared" si="124"/>
        <v>0</v>
      </c>
      <c r="Q224" s="12">
        <f t="shared" si="124"/>
        <v>0</v>
      </c>
      <c r="T224" s="20"/>
      <c r="U224" s="20"/>
      <c r="V224" s="20"/>
    </row>
    <row r="225" spans="7:28">
      <c r="G225" s="12">
        <f t="shared" si="119"/>
        <v>0</v>
      </c>
      <c r="H225" s="12">
        <f t="shared" ref="H225:Q225" si="125">IF($E74&gt;H$66,0,IF($E74&lt;H$66-365,$D74,0))</f>
        <v>0</v>
      </c>
      <c r="I225" s="12">
        <f t="shared" si="125"/>
        <v>0</v>
      </c>
      <c r="J225" s="12">
        <f t="shared" si="125"/>
        <v>0</v>
      </c>
      <c r="K225" s="12">
        <f t="shared" si="125"/>
        <v>0</v>
      </c>
      <c r="L225" s="12">
        <f t="shared" si="125"/>
        <v>0</v>
      </c>
      <c r="M225" s="12">
        <f t="shared" si="125"/>
        <v>0</v>
      </c>
      <c r="N225" s="12">
        <f t="shared" si="125"/>
        <v>0</v>
      </c>
      <c r="O225" s="12">
        <f t="shared" si="125"/>
        <v>0</v>
      </c>
      <c r="P225" s="12">
        <f t="shared" si="125"/>
        <v>0</v>
      </c>
      <c r="Q225" s="12">
        <f t="shared" si="125"/>
        <v>0</v>
      </c>
      <c r="T225" s="20"/>
      <c r="U225" s="20"/>
      <c r="V225" s="20"/>
      <c r="AA225" s="55">
        <f>SUM(AN167:AN213)</f>
        <v>0</v>
      </c>
      <c r="AB225" s="24">
        <f>SUM(AO167:AO213)</f>
        <v>0</v>
      </c>
    </row>
    <row r="226" spans="7:28">
      <c r="G226" s="12">
        <f t="shared" si="119"/>
        <v>0</v>
      </c>
      <c r="H226" s="12">
        <f t="shared" ref="H226:Q226" si="126">IF($E75&gt;H$66,0,IF($E75&lt;H$66-365,$D75,0))</f>
        <v>0</v>
      </c>
      <c r="I226" s="12">
        <f t="shared" si="126"/>
        <v>0</v>
      </c>
      <c r="J226" s="12">
        <f t="shared" si="126"/>
        <v>0</v>
      </c>
      <c r="K226" s="12">
        <f t="shared" si="126"/>
        <v>0</v>
      </c>
      <c r="L226" s="12">
        <f t="shared" si="126"/>
        <v>0</v>
      </c>
      <c r="M226" s="12">
        <f t="shared" si="126"/>
        <v>0</v>
      </c>
      <c r="N226" s="12">
        <f t="shared" si="126"/>
        <v>0</v>
      </c>
      <c r="O226" s="12">
        <f t="shared" si="126"/>
        <v>0</v>
      </c>
      <c r="P226" s="12">
        <f t="shared" si="126"/>
        <v>0</v>
      </c>
      <c r="Q226" s="12">
        <f t="shared" si="126"/>
        <v>0</v>
      </c>
      <c r="T226" s="20"/>
      <c r="U226" s="20"/>
      <c r="V226" s="20"/>
      <c r="AA226" s="24">
        <f>AA225*1.35</f>
        <v>0</v>
      </c>
      <c r="AB226" s="24">
        <f>AB225*1.35</f>
        <v>0</v>
      </c>
    </row>
    <row r="227" spans="7:28">
      <c r="G227" s="12">
        <f t="shared" si="119"/>
        <v>0</v>
      </c>
      <c r="H227" s="12">
        <f t="shared" ref="H227:Q227" si="127">IF($E76&gt;H$66,0,IF($E76&lt;H$66-365,$D76,0))</f>
        <v>0</v>
      </c>
      <c r="I227" s="12">
        <f t="shared" si="127"/>
        <v>0</v>
      </c>
      <c r="J227" s="12">
        <f t="shared" si="127"/>
        <v>0</v>
      </c>
      <c r="K227" s="12">
        <f t="shared" si="127"/>
        <v>0</v>
      </c>
      <c r="L227" s="12">
        <f t="shared" si="127"/>
        <v>0</v>
      </c>
      <c r="M227" s="12">
        <f t="shared" si="127"/>
        <v>0</v>
      </c>
      <c r="N227" s="12">
        <f t="shared" si="127"/>
        <v>0</v>
      </c>
      <c r="O227" s="12">
        <f t="shared" si="127"/>
        <v>0</v>
      </c>
      <c r="P227" s="12">
        <f t="shared" si="127"/>
        <v>0</v>
      </c>
      <c r="Q227" s="12">
        <f t="shared" si="127"/>
        <v>0</v>
      </c>
    </row>
    <row r="228" spans="7:28">
      <c r="G228" s="12">
        <f t="shared" si="119"/>
        <v>0</v>
      </c>
      <c r="H228" s="12">
        <f t="shared" ref="H228:Q228" si="128">IF($E77&gt;H$66,0,IF($E77&lt;H$66-365,$D77,0))</f>
        <v>0</v>
      </c>
      <c r="I228" s="12">
        <f t="shared" si="128"/>
        <v>0</v>
      </c>
      <c r="J228" s="12">
        <f t="shared" si="128"/>
        <v>0</v>
      </c>
      <c r="K228" s="12">
        <f t="shared" si="128"/>
        <v>0</v>
      </c>
      <c r="L228" s="12">
        <f t="shared" si="128"/>
        <v>0</v>
      </c>
      <c r="M228" s="12">
        <f t="shared" si="128"/>
        <v>0</v>
      </c>
      <c r="N228" s="12">
        <f t="shared" si="128"/>
        <v>0</v>
      </c>
      <c r="O228" s="12">
        <f t="shared" si="128"/>
        <v>0</v>
      </c>
      <c r="P228" s="12">
        <f t="shared" si="128"/>
        <v>0</v>
      </c>
      <c r="Q228" s="12">
        <f t="shared" si="128"/>
        <v>0</v>
      </c>
    </row>
    <row r="229" spans="7:28">
      <c r="G229" s="12">
        <f t="shared" si="119"/>
        <v>0</v>
      </c>
      <c r="H229" s="12">
        <f t="shared" ref="H229:Q229" si="129">IF($E78&gt;H$66,0,IF($E78&lt;H$66-365,$D78,0))</f>
        <v>0</v>
      </c>
      <c r="I229" s="12">
        <f t="shared" si="129"/>
        <v>0</v>
      </c>
      <c r="J229" s="12">
        <f t="shared" si="129"/>
        <v>0</v>
      </c>
      <c r="K229" s="12">
        <f t="shared" si="129"/>
        <v>0</v>
      </c>
      <c r="L229" s="12">
        <f t="shared" si="129"/>
        <v>0</v>
      </c>
      <c r="M229" s="12">
        <f t="shared" si="129"/>
        <v>0</v>
      </c>
      <c r="N229" s="12">
        <f t="shared" si="129"/>
        <v>0</v>
      </c>
      <c r="O229" s="12">
        <f t="shared" si="129"/>
        <v>0</v>
      </c>
      <c r="P229" s="12">
        <f t="shared" si="129"/>
        <v>0</v>
      </c>
      <c r="Q229" s="12">
        <f t="shared" si="129"/>
        <v>0</v>
      </c>
    </row>
    <row r="230" spans="7:28">
      <c r="G230" s="12">
        <f t="shared" si="119"/>
        <v>0</v>
      </c>
      <c r="H230" s="12">
        <f t="shared" ref="H230:Q230" si="130">IF($E79&gt;H$66,0,IF($E79&lt;H$66-365,$D79,0))</f>
        <v>0</v>
      </c>
      <c r="I230" s="12">
        <f t="shared" si="130"/>
        <v>0</v>
      </c>
      <c r="J230" s="12">
        <f t="shared" si="130"/>
        <v>0</v>
      </c>
      <c r="K230" s="12">
        <f t="shared" si="130"/>
        <v>0</v>
      </c>
      <c r="L230" s="12">
        <f t="shared" si="130"/>
        <v>0</v>
      </c>
      <c r="M230" s="12">
        <f t="shared" si="130"/>
        <v>0</v>
      </c>
      <c r="N230" s="12">
        <f t="shared" si="130"/>
        <v>0</v>
      </c>
      <c r="O230" s="12">
        <f t="shared" si="130"/>
        <v>0</v>
      </c>
      <c r="P230" s="12">
        <f t="shared" si="130"/>
        <v>0</v>
      </c>
      <c r="Q230" s="12">
        <f t="shared" si="130"/>
        <v>0</v>
      </c>
    </row>
    <row r="231" spans="7:28">
      <c r="G231" s="12">
        <f t="shared" si="119"/>
        <v>0</v>
      </c>
      <c r="H231" s="12">
        <f t="shared" ref="H231:Q231" si="131">IF($E80&gt;H$66,0,IF($E80&lt;H$66-365,$D80,0))</f>
        <v>0</v>
      </c>
      <c r="I231" s="12">
        <f t="shared" si="131"/>
        <v>0</v>
      </c>
      <c r="J231" s="12">
        <f t="shared" si="131"/>
        <v>0</v>
      </c>
      <c r="K231" s="12">
        <f t="shared" si="131"/>
        <v>0</v>
      </c>
      <c r="L231" s="12">
        <f t="shared" si="131"/>
        <v>0</v>
      </c>
      <c r="M231" s="12">
        <f t="shared" si="131"/>
        <v>0</v>
      </c>
      <c r="N231" s="12">
        <f t="shared" si="131"/>
        <v>0</v>
      </c>
      <c r="O231" s="12">
        <f t="shared" si="131"/>
        <v>0</v>
      </c>
      <c r="P231" s="12">
        <f t="shared" si="131"/>
        <v>0</v>
      </c>
      <c r="Q231" s="12">
        <f t="shared" si="131"/>
        <v>0</v>
      </c>
    </row>
    <row r="232" spans="7:28">
      <c r="G232" s="12">
        <f t="shared" si="119"/>
        <v>0</v>
      </c>
      <c r="H232" s="12">
        <f t="shared" ref="H232:Q232" si="132">IF($E81&gt;H$66,0,IF($E81&lt;H$66-365,$D81,0))</f>
        <v>0</v>
      </c>
      <c r="I232" s="12">
        <f t="shared" si="132"/>
        <v>0</v>
      </c>
      <c r="J232" s="12">
        <f t="shared" si="132"/>
        <v>0</v>
      </c>
      <c r="K232" s="12">
        <f t="shared" si="132"/>
        <v>0</v>
      </c>
      <c r="L232" s="12">
        <f t="shared" si="132"/>
        <v>0</v>
      </c>
      <c r="M232" s="12">
        <f t="shared" si="132"/>
        <v>0</v>
      </c>
      <c r="N232" s="12">
        <f t="shared" si="132"/>
        <v>0</v>
      </c>
      <c r="O232" s="12">
        <f t="shared" si="132"/>
        <v>0</v>
      </c>
      <c r="P232" s="12">
        <f t="shared" si="132"/>
        <v>0</v>
      </c>
      <c r="Q232" s="12">
        <f t="shared" si="132"/>
        <v>0</v>
      </c>
    </row>
    <row r="233" spans="7:28">
      <c r="G233" s="12">
        <f t="shared" si="119"/>
        <v>0</v>
      </c>
      <c r="H233" s="12">
        <f t="shared" ref="H233:Q233" si="133">IF($E82&gt;H$66,0,IF($E82&lt;H$66-365,$D82,0))</f>
        <v>0</v>
      </c>
      <c r="I233" s="12">
        <f t="shared" si="133"/>
        <v>0</v>
      </c>
      <c r="J233" s="12">
        <f t="shared" si="133"/>
        <v>0</v>
      </c>
      <c r="K233" s="12">
        <f t="shared" si="133"/>
        <v>0</v>
      </c>
      <c r="L233" s="12">
        <f t="shared" si="133"/>
        <v>0</v>
      </c>
      <c r="M233" s="12">
        <f t="shared" si="133"/>
        <v>0</v>
      </c>
      <c r="N233" s="12">
        <f t="shared" si="133"/>
        <v>0</v>
      </c>
      <c r="O233" s="12">
        <f t="shared" si="133"/>
        <v>0</v>
      </c>
      <c r="P233" s="12">
        <f t="shared" si="133"/>
        <v>0</v>
      </c>
      <c r="Q233" s="12">
        <f t="shared" si="133"/>
        <v>0</v>
      </c>
    </row>
    <row r="234" spans="7:28">
      <c r="G234" s="12">
        <f t="shared" si="119"/>
        <v>0</v>
      </c>
      <c r="H234" s="12">
        <f t="shared" ref="H234:Q234" si="134">IF($E83&gt;H$66,0,IF($E83&lt;H$66-365,$D83,0))</f>
        <v>0</v>
      </c>
      <c r="I234" s="12">
        <f t="shared" si="134"/>
        <v>0</v>
      </c>
      <c r="J234" s="12">
        <f t="shared" si="134"/>
        <v>0</v>
      </c>
      <c r="K234" s="12">
        <f t="shared" si="134"/>
        <v>0</v>
      </c>
      <c r="L234" s="12">
        <f t="shared" si="134"/>
        <v>0</v>
      </c>
      <c r="M234" s="12">
        <f t="shared" si="134"/>
        <v>0</v>
      </c>
      <c r="N234" s="12">
        <f t="shared" si="134"/>
        <v>0</v>
      </c>
      <c r="O234" s="12">
        <f t="shared" si="134"/>
        <v>0</v>
      </c>
      <c r="P234" s="12">
        <f t="shared" si="134"/>
        <v>0</v>
      </c>
      <c r="Q234" s="12">
        <f t="shared" si="134"/>
        <v>0</v>
      </c>
    </row>
    <row r="235" spans="7:28">
      <c r="G235" s="12">
        <f t="shared" si="119"/>
        <v>0</v>
      </c>
      <c r="H235" s="12">
        <f t="shared" ref="H235:Q235" si="135">IF($E84&gt;H$66,0,IF($E84&lt;H$66-365,$D84,0))</f>
        <v>0</v>
      </c>
      <c r="I235" s="12">
        <f t="shared" si="135"/>
        <v>0</v>
      </c>
      <c r="J235" s="12">
        <f t="shared" si="135"/>
        <v>0</v>
      </c>
      <c r="K235" s="12">
        <f t="shared" si="135"/>
        <v>0</v>
      </c>
      <c r="L235" s="12">
        <f t="shared" si="135"/>
        <v>0</v>
      </c>
      <c r="M235" s="12">
        <f t="shared" si="135"/>
        <v>0</v>
      </c>
      <c r="N235" s="12">
        <f t="shared" si="135"/>
        <v>0</v>
      </c>
      <c r="O235" s="12">
        <f t="shared" si="135"/>
        <v>0</v>
      </c>
      <c r="P235" s="12">
        <f t="shared" si="135"/>
        <v>0</v>
      </c>
      <c r="Q235" s="12">
        <f t="shared" si="135"/>
        <v>0</v>
      </c>
    </row>
    <row r="236" spans="7:28">
      <c r="G236" s="12">
        <f t="shared" si="119"/>
        <v>0</v>
      </c>
      <c r="H236" s="12">
        <f t="shared" ref="H236:Q236" si="136">IF($E85&gt;H$66,0,IF($E85&lt;H$66-365,$D85,0))</f>
        <v>0</v>
      </c>
      <c r="I236" s="12">
        <f t="shared" si="136"/>
        <v>0</v>
      </c>
      <c r="J236" s="12">
        <f t="shared" si="136"/>
        <v>0</v>
      </c>
      <c r="K236" s="12">
        <f t="shared" si="136"/>
        <v>0</v>
      </c>
      <c r="L236" s="12">
        <f t="shared" si="136"/>
        <v>0</v>
      </c>
      <c r="M236" s="12">
        <f t="shared" si="136"/>
        <v>0</v>
      </c>
      <c r="N236" s="12">
        <f t="shared" si="136"/>
        <v>0</v>
      </c>
      <c r="O236" s="12">
        <f t="shared" si="136"/>
        <v>0</v>
      </c>
      <c r="P236" s="12">
        <f t="shared" si="136"/>
        <v>0</v>
      </c>
      <c r="Q236" s="12">
        <f t="shared" si="136"/>
        <v>0</v>
      </c>
    </row>
    <row r="237" spans="7:28">
      <c r="G237" s="12">
        <f t="shared" si="119"/>
        <v>0</v>
      </c>
      <c r="H237" s="12">
        <f t="shared" ref="H237:Q237" si="137">IF($E86&gt;H$66,0,IF($E86&lt;H$66-365,$D86,0))</f>
        <v>0</v>
      </c>
      <c r="I237" s="12">
        <f t="shared" si="137"/>
        <v>0</v>
      </c>
      <c r="J237" s="12">
        <f t="shared" si="137"/>
        <v>0</v>
      </c>
      <c r="K237" s="12">
        <f t="shared" si="137"/>
        <v>0</v>
      </c>
      <c r="L237" s="12">
        <f t="shared" si="137"/>
        <v>0</v>
      </c>
      <c r="M237" s="12">
        <f t="shared" si="137"/>
        <v>0</v>
      </c>
      <c r="N237" s="12">
        <f t="shared" si="137"/>
        <v>0</v>
      </c>
      <c r="O237" s="12">
        <f t="shared" si="137"/>
        <v>0</v>
      </c>
      <c r="P237" s="12">
        <f t="shared" si="137"/>
        <v>0</v>
      </c>
      <c r="Q237" s="12">
        <f t="shared" si="137"/>
        <v>0</v>
      </c>
    </row>
    <row r="238" spans="7:28">
      <c r="G238" s="12">
        <f t="shared" si="119"/>
        <v>0</v>
      </c>
      <c r="H238" s="12">
        <f t="shared" ref="H238:Q238" si="138">IF($E87&gt;H$66,0,IF($E87&lt;H$66-365,$D87,0))</f>
        <v>0</v>
      </c>
      <c r="I238" s="12">
        <f t="shared" si="138"/>
        <v>0</v>
      </c>
      <c r="J238" s="12">
        <f t="shared" si="138"/>
        <v>0</v>
      </c>
      <c r="K238" s="12">
        <f t="shared" si="138"/>
        <v>0</v>
      </c>
      <c r="L238" s="12">
        <f t="shared" si="138"/>
        <v>0</v>
      </c>
      <c r="M238" s="12">
        <f t="shared" si="138"/>
        <v>0</v>
      </c>
      <c r="N238" s="12">
        <f t="shared" si="138"/>
        <v>0</v>
      </c>
      <c r="O238" s="12">
        <f t="shared" si="138"/>
        <v>0</v>
      </c>
      <c r="P238" s="12">
        <f t="shared" si="138"/>
        <v>0</v>
      </c>
      <c r="Q238" s="12">
        <f t="shared" si="138"/>
        <v>0</v>
      </c>
    </row>
    <row r="239" spans="7:28">
      <c r="G239" s="12">
        <f t="shared" si="119"/>
        <v>0</v>
      </c>
      <c r="H239" s="12">
        <f t="shared" ref="H239:Q239" si="139">IF($E88&gt;H$66,0,IF($E88&lt;H$66-365,$D88,0))</f>
        <v>0</v>
      </c>
      <c r="I239" s="12">
        <f t="shared" si="139"/>
        <v>0</v>
      </c>
      <c r="J239" s="12">
        <f t="shared" si="139"/>
        <v>0</v>
      </c>
      <c r="K239" s="12">
        <f t="shared" si="139"/>
        <v>0</v>
      </c>
      <c r="L239" s="12">
        <f t="shared" si="139"/>
        <v>0</v>
      </c>
      <c r="M239" s="12">
        <f t="shared" si="139"/>
        <v>0</v>
      </c>
      <c r="N239" s="12">
        <f t="shared" si="139"/>
        <v>0</v>
      </c>
      <c r="O239" s="12">
        <f t="shared" si="139"/>
        <v>0</v>
      </c>
      <c r="P239" s="12">
        <f t="shared" si="139"/>
        <v>0</v>
      </c>
      <c r="Q239" s="12">
        <f t="shared" si="139"/>
        <v>0</v>
      </c>
    </row>
    <row r="240" spans="7:28">
      <c r="G240" s="12">
        <f t="shared" si="119"/>
        <v>0</v>
      </c>
      <c r="H240" s="12">
        <f t="shared" ref="H240:Q240" si="140">IF($E89&gt;H$66,0,IF($E89&lt;H$66-365,$D89,0))</f>
        <v>0</v>
      </c>
      <c r="I240" s="12">
        <f t="shared" si="140"/>
        <v>0</v>
      </c>
      <c r="J240" s="12">
        <f t="shared" si="140"/>
        <v>0</v>
      </c>
      <c r="K240" s="12">
        <f t="shared" si="140"/>
        <v>0</v>
      </c>
      <c r="L240" s="12">
        <f t="shared" si="140"/>
        <v>0</v>
      </c>
      <c r="M240" s="12">
        <f t="shared" si="140"/>
        <v>0</v>
      </c>
      <c r="N240" s="12">
        <f t="shared" si="140"/>
        <v>0</v>
      </c>
      <c r="O240" s="12">
        <f t="shared" si="140"/>
        <v>0</v>
      </c>
      <c r="P240" s="12">
        <f t="shared" si="140"/>
        <v>0</v>
      </c>
      <c r="Q240" s="12">
        <f t="shared" si="140"/>
        <v>0</v>
      </c>
    </row>
    <row r="241" spans="7:17">
      <c r="G241" s="12">
        <f t="shared" si="119"/>
        <v>0</v>
      </c>
      <c r="H241" s="12">
        <f t="shared" ref="H241:Q241" si="141">IF($E90&gt;H$66,0,IF($E90&lt;H$66-365,$D90,0))</f>
        <v>0</v>
      </c>
      <c r="I241" s="12">
        <f t="shared" si="141"/>
        <v>0</v>
      </c>
      <c r="J241" s="12">
        <f t="shared" si="141"/>
        <v>0</v>
      </c>
      <c r="K241" s="12">
        <f t="shared" si="141"/>
        <v>0</v>
      </c>
      <c r="L241" s="12">
        <f t="shared" si="141"/>
        <v>0</v>
      </c>
      <c r="M241" s="12">
        <f t="shared" si="141"/>
        <v>0</v>
      </c>
      <c r="N241" s="12">
        <f t="shared" si="141"/>
        <v>0</v>
      </c>
      <c r="O241" s="12">
        <f t="shared" si="141"/>
        <v>0</v>
      </c>
      <c r="P241" s="12">
        <f t="shared" si="141"/>
        <v>0</v>
      </c>
      <c r="Q241" s="12">
        <f t="shared" si="141"/>
        <v>0</v>
      </c>
    </row>
    <row r="242" spans="7:17">
      <c r="G242" s="12">
        <f t="shared" si="119"/>
        <v>0</v>
      </c>
      <c r="H242" s="12">
        <f t="shared" ref="H242:Q242" si="142">IF($E91&gt;H$66,0,IF($E91&lt;H$66-365,$D91,0))</f>
        <v>0</v>
      </c>
      <c r="I242" s="12">
        <f t="shared" si="142"/>
        <v>0</v>
      </c>
      <c r="J242" s="12">
        <f t="shared" si="142"/>
        <v>0</v>
      </c>
      <c r="K242" s="12">
        <f t="shared" si="142"/>
        <v>0</v>
      </c>
      <c r="L242" s="12">
        <f t="shared" si="142"/>
        <v>0</v>
      </c>
      <c r="M242" s="12">
        <f t="shared" si="142"/>
        <v>0</v>
      </c>
      <c r="N242" s="12">
        <f t="shared" si="142"/>
        <v>0</v>
      </c>
      <c r="O242" s="12">
        <f t="shared" si="142"/>
        <v>0</v>
      </c>
      <c r="P242" s="12">
        <f t="shared" si="142"/>
        <v>0</v>
      </c>
      <c r="Q242" s="12">
        <f t="shared" si="142"/>
        <v>0</v>
      </c>
    </row>
    <row r="243" spans="7:17">
      <c r="G243" s="12">
        <f t="shared" si="119"/>
        <v>0</v>
      </c>
      <c r="H243" s="12">
        <f t="shared" ref="H243:Q243" si="143">IF($E92&gt;H$66,0,IF($E92&lt;H$66-365,$D92,0))</f>
        <v>0</v>
      </c>
      <c r="I243" s="12">
        <f t="shared" si="143"/>
        <v>0</v>
      </c>
      <c r="J243" s="12">
        <f t="shared" si="143"/>
        <v>0</v>
      </c>
      <c r="K243" s="12">
        <f t="shared" si="143"/>
        <v>0</v>
      </c>
      <c r="L243" s="12">
        <f t="shared" si="143"/>
        <v>0</v>
      </c>
      <c r="M243" s="12">
        <f t="shared" si="143"/>
        <v>0</v>
      </c>
      <c r="N243" s="12">
        <f t="shared" si="143"/>
        <v>0</v>
      </c>
      <c r="O243" s="12">
        <f t="shared" si="143"/>
        <v>0</v>
      </c>
      <c r="P243" s="12">
        <f t="shared" si="143"/>
        <v>0</v>
      </c>
      <c r="Q243" s="12">
        <f t="shared" si="143"/>
        <v>0</v>
      </c>
    </row>
    <row r="244" spans="7:17">
      <c r="G244" s="12">
        <f t="shared" si="119"/>
        <v>0</v>
      </c>
      <c r="H244" s="12">
        <f t="shared" ref="H244:Q244" si="144">IF($E93&gt;H$66,0,IF($E93&lt;H$66-365,$D93,0))</f>
        <v>0</v>
      </c>
      <c r="I244" s="12">
        <f t="shared" si="144"/>
        <v>0</v>
      </c>
      <c r="J244" s="12">
        <f t="shared" si="144"/>
        <v>0</v>
      </c>
      <c r="K244" s="12">
        <f t="shared" si="144"/>
        <v>0</v>
      </c>
      <c r="L244" s="12">
        <f t="shared" si="144"/>
        <v>0</v>
      </c>
      <c r="M244" s="12">
        <f t="shared" si="144"/>
        <v>0</v>
      </c>
      <c r="N244" s="12">
        <f t="shared" si="144"/>
        <v>0</v>
      </c>
      <c r="O244" s="12">
        <f t="shared" si="144"/>
        <v>0</v>
      </c>
      <c r="P244" s="12">
        <f t="shared" si="144"/>
        <v>0</v>
      </c>
      <c r="Q244" s="12">
        <f t="shared" si="144"/>
        <v>0</v>
      </c>
    </row>
    <row r="245" spans="7:17">
      <c r="G245" s="12">
        <f t="shared" si="119"/>
        <v>0</v>
      </c>
      <c r="H245" s="12">
        <f t="shared" ref="H245:Q245" si="145">IF($E94&gt;H$66,0,IF($E94&lt;H$66-365,$D94,0))</f>
        <v>0</v>
      </c>
      <c r="I245" s="12">
        <f t="shared" si="145"/>
        <v>0</v>
      </c>
      <c r="J245" s="12">
        <f t="shared" si="145"/>
        <v>0</v>
      </c>
      <c r="K245" s="12">
        <f t="shared" si="145"/>
        <v>0</v>
      </c>
      <c r="L245" s="12">
        <f t="shared" si="145"/>
        <v>0</v>
      </c>
      <c r="M245" s="12">
        <f t="shared" si="145"/>
        <v>0</v>
      </c>
      <c r="N245" s="12">
        <f t="shared" si="145"/>
        <v>0</v>
      </c>
      <c r="O245" s="12">
        <f t="shared" si="145"/>
        <v>0</v>
      </c>
      <c r="P245" s="12">
        <f t="shared" si="145"/>
        <v>0</v>
      </c>
      <c r="Q245" s="12">
        <f t="shared" si="145"/>
        <v>0</v>
      </c>
    </row>
    <row r="246" spans="7:17">
      <c r="G246" s="12">
        <f t="shared" si="119"/>
        <v>0</v>
      </c>
      <c r="H246" s="12">
        <f t="shared" ref="H246:Q246" si="146">IF($E95&gt;H$66,0,IF($E95&lt;H$66-365,$D95,0))</f>
        <v>0</v>
      </c>
      <c r="I246" s="12">
        <f t="shared" si="146"/>
        <v>0</v>
      </c>
      <c r="J246" s="12">
        <f t="shared" si="146"/>
        <v>0</v>
      </c>
      <c r="K246" s="12">
        <f t="shared" si="146"/>
        <v>0</v>
      </c>
      <c r="L246" s="12">
        <f t="shared" si="146"/>
        <v>0</v>
      </c>
      <c r="M246" s="12">
        <f t="shared" si="146"/>
        <v>0</v>
      </c>
      <c r="N246" s="12">
        <f t="shared" si="146"/>
        <v>0</v>
      </c>
      <c r="O246" s="12">
        <f t="shared" si="146"/>
        <v>0</v>
      </c>
      <c r="P246" s="12">
        <f t="shared" si="146"/>
        <v>0</v>
      </c>
      <c r="Q246" s="12">
        <f t="shared" si="146"/>
        <v>0</v>
      </c>
    </row>
    <row r="247" spans="7:17">
      <c r="G247" s="12">
        <f t="shared" si="119"/>
        <v>0</v>
      </c>
      <c r="H247" s="12">
        <f t="shared" ref="H247:Q247" si="147">IF($E96&gt;H$66,0,IF($E96&lt;H$66-365,$D96,0))</f>
        <v>0</v>
      </c>
      <c r="I247" s="12">
        <f t="shared" si="147"/>
        <v>0</v>
      </c>
      <c r="J247" s="12">
        <f t="shared" si="147"/>
        <v>0</v>
      </c>
      <c r="K247" s="12">
        <f t="shared" si="147"/>
        <v>0</v>
      </c>
      <c r="L247" s="12">
        <f t="shared" si="147"/>
        <v>0</v>
      </c>
      <c r="M247" s="12">
        <f t="shared" si="147"/>
        <v>0</v>
      </c>
      <c r="N247" s="12">
        <f t="shared" si="147"/>
        <v>0</v>
      </c>
      <c r="O247" s="12">
        <f t="shared" si="147"/>
        <v>0</v>
      </c>
      <c r="P247" s="12">
        <f t="shared" si="147"/>
        <v>0</v>
      </c>
      <c r="Q247" s="12">
        <f t="shared" si="147"/>
        <v>0</v>
      </c>
    </row>
    <row r="248" spans="7:17">
      <c r="G248" s="12">
        <f t="shared" si="119"/>
        <v>0</v>
      </c>
      <c r="H248" s="12">
        <f t="shared" ref="H248:Q248" si="148">IF($E97&gt;H$66,0,IF($E97&lt;H$66-365,$D97,0))</f>
        <v>0</v>
      </c>
      <c r="I248" s="12">
        <f t="shared" si="148"/>
        <v>0</v>
      </c>
      <c r="J248" s="12">
        <f t="shared" si="148"/>
        <v>0</v>
      </c>
      <c r="K248" s="12">
        <f t="shared" si="148"/>
        <v>0</v>
      </c>
      <c r="L248" s="12">
        <f t="shared" si="148"/>
        <v>0</v>
      </c>
      <c r="M248" s="12">
        <f t="shared" si="148"/>
        <v>0</v>
      </c>
      <c r="N248" s="12">
        <f t="shared" si="148"/>
        <v>0</v>
      </c>
      <c r="O248" s="12">
        <f t="shared" si="148"/>
        <v>0</v>
      </c>
      <c r="P248" s="12">
        <f t="shared" si="148"/>
        <v>0</v>
      </c>
      <c r="Q248" s="12">
        <f t="shared" si="148"/>
        <v>0</v>
      </c>
    </row>
    <row r="249" spans="7:17">
      <c r="G249" s="12">
        <f t="shared" si="119"/>
        <v>0</v>
      </c>
      <c r="H249" s="12">
        <f t="shared" ref="H249:Q249" si="149">IF($E98&gt;H$66,0,IF($E98&lt;H$66-365,$D98,0))</f>
        <v>0</v>
      </c>
      <c r="I249" s="12">
        <f t="shared" si="149"/>
        <v>0</v>
      </c>
      <c r="J249" s="12">
        <f t="shared" si="149"/>
        <v>0</v>
      </c>
      <c r="K249" s="12">
        <f t="shared" si="149"/>
        <v>0</v>
      </c>
      <c r="L249" s="12">
        <f t="shared" si="149"/>
        <v>0</v>
      </c>
      <c r="M249" s="12">
        <f t="shared" si="149"/>
        <v>0</v>
      </c>
      <c r="N249" s="12">
        <f t="shared" si="149"/>
        <v>0</v>
      </c>
      <c r="O249" s="12">
        <f t="shared" si="149"/>
        <v>0</v>
      </c>
      <c r="P249" s="12">
        <f t="shared" si="149"/>
        <v>0</v>
      </c>
      <c r="Q249" s="12">
        <f t="shared" si="149"/>
        <v>0</v>
      </c>
    </row>
    <row r="250" spans="7:17">
      <c r="G250" s="12">
        <f t="shared" si="119"/>
        <v>0</v>
      </c>
      <c r="H250" s="12">
        <f t="shared" ref="H250:Q250" si="150">IF($E99&gt;H$66,0,IF($E99&lt;H$66-365,$D99,0))</f>
        <v>0</v>
      </c>
      <c r="I250" s="12">
        <f t="shared" si="150"/>
        <v>0</v>
      </c>
      <c r="J250" s="12">
        <f t="shared" si="150"/>
        <v>0</v>
      </c>
      <c r="K250" s="12">
        <f t="shared" si="150"/>
        <v>0</v>
      </c>
      <c r="L250" s="12">
        <f t="shared" si="150"/>
        <v>0</v>
      </c>
      <c r="M250" s="12">
        <f t="shared" si="150"/>
        <v>0</v>
      </c>
      <c r="N250" s="12">
        <f t="shared" si="150"/>
        <v>0</v>
      </c>
      <c r="O250" s="12">
        <f t="shared" si="150"/>
        <v>0</v>
      </c>
      <c r="P250" s="12">
        <f t="shared" si="150"/>
        <v>0</v>
      </c>
      <c r="Q250" s="12">
        <f t="shared" si="150"/>
        <v>0</v>
      </c>
    </row>
    <row r="251" spans="7:17">
      <c r="G251" s="12">
        <f t="shared" si="119"/>
        <v>0</v>
      </c>
      <c r="H251" s="12">
        <f t="shared" ref="H251:Q251" si="151">IF($E100&gt;H$66,0,IF($E100&lt;H$66-365,$D100,0))</f>
        <v>0</v>
      </c>
      <c r="I251" s="12">
        <f t="shared" si="151"/>
        <v>0</v>
      </c>
      <c r="J251" s="12">
        <f t="shared" si="151"/>
        <v>0</v>
      </c>
      <c r="K251" s="12">
        <f t="shared" si="151"/>
        <v>0</v>
      </c>
      <c r="L251" s="12">
        <f t="shared" si="151"/>
        <v>0</v>
      </c>
      <c r="M251" s="12">
        <f t="shared" si="151"/>
        <v>0</v>
      </c>
      <c r="N251" s="12">
        <f t="shared" si="151"/>
        <v>0</v>
      </c>
      <c r="O251" s="12">
        <f t="shared" si="151"/>
        <v>0</v>
      </c>
      <c r="P251" s="12">
        <f t="shared" si="151"/>
        <v>0</v>
      </c>
      <c r="Q251" s="12">
        <f t="shared" si="151"/>
        <v>0</v>
      </c>
    </row>
    <row r="252" spans="7:17">
      <c r="G252" s="12">
        <f t="shared" si="119"/>
        <v>0</v>
      </c>
      <c r="H252" s="12">
        <f t="shared" ref="H252:Q252" si="152">IF($E101&gt;H$66,0,IF($E101&lt;H$66-365,$D101,0))</f>
        <v>0</v>
      </c>
      <c r="I252" s="12">
        <f t="shared" si="152"/>
        <v>0</v>
      </c>
      <c r="J252" s="12">
        <f t="shared" si="152"/>
        <v>0</v>
      </c>
      <c r="K252" s="12">
        <f t="shared" si="152"/>
        <v>0</v>
      </c>
      <c r="L252" s="12">
        <f t="shared" si="152"/>
        <v>0</v>
      </c>
      <c r="M252" s="12">
        <f t="shared" si="152"/>
        <v>0</v>
      </c>
      <c r="N252" s="12">
        <f t="shared" si="152"/>
        <v>0</v>
      </c>
      <c r="O252" s="12">
        <f t="shared" si="152"/>
        <v>0</v>
      </c>
      <c r="P252" s="12">
        <f t="shared" si="152"/>
        <v>0</v>
      </c>
      <c r="Q252" s="12">
        <f t="shared" si="152"/>
        <v>0</v>
      </c>
    </row>
    <row r="253" spans="7:17">
      <c r="G253" s="12">
        <f t="shared" si="119"/>
        <v>0</v>
      </c>
      <c r="H253" s="12">
        <f t="shared" ref="H253:Q253" si="153">IF($E102&gt;H$66,0,IF($E102&lt;H$66-365,$D102,0))</f>
        <v>0</v>
      </c>
      <c r="I253" s="12">
        <f t="shared" si="153"/>
        <v>0</v>
      </c>
      <c r="J253" s="12">
        <f t="shared" si="153"/>
        <v>0</v>
      </c>
      <c r="K253" s="12">
        <f t="shared" si="153"/>
        <v>0</v>
      </c>
      <c r="L253" s="12">
        <f t="shared" si="153"/>
        <v>0</v>
      </c>
      <c r="M253" s="12">
        <f t="shared" si="153"/>
        <v>0</v>
      </c>
      <c r="N253" s="12">
        <f t="shared" si="153"/>
        <v>0</v>
      </c>
      <c r="O253" s="12">
        <f t="shared" si="153"/>
        <v>0</v>
      </c>
      <c r="P253" s="12">
        <f t="shared" si="153"/>
        <v>0</v>
      </c>
      <c r="Q253" s="12">
        <f t="shared" si="153"/>
        <v>0</v>
      </c>
    </row>
    <row r="254" spans="7:17">
      <c r="G254" s="12">
        <f t="shared" si="119"/>
        <v>0</v>
      </c>
      <c r="H254" s="12">
        <f t="shared" ref="H254:Q254" si="154">IF($E103&gt;H$66,0,IF($E103&lt;H$66-365,$D103,0))</f>
        <v>0</v>
      </c>
      <c r="I254" s="12">
        <f t="shared" si="154"/>
        <v>0</v>
      </c>
      <c r="J254" s="12">
        <f t="shared" si="154"/>
        <v>0</v>
      </c>
      <c r="K254" s="12">
        <f t="shared" si="154"/>
        <v>0</v>
      </c>
      <c r="L254" s="12">
        <f t="shared" si="154"/>
        <v>0</v>
      </c>
      <c r="M254" s="12">
        <f t="shared" si="154"/>
        <v>0</v>
      </c>
      <c r="N254" s="12">
        <f t="shared" si="154"/>
        <v>0</v>
      </c>
      <c r="O254" s="12">
        <f t="shared" si="154"/>
        <v>0</v>
      </c>
      <c r="P254" s="12">
        <f t="shared" si="154"/>
        <v>0</v>
      </c>
      <c r="Q254" s="12">
        <f t="shared" si="154"/>
        <v>0</v>
      </c>
    </row>
    <row r="255" spans="7:17">
      <c r="G255" s="12">
        <f t="shared" si="119"/>
        <v>0</v>
      </c>
      <c r="H255" s="12">
        <f t="shared" ref="H255:Q255" si="155">IF($E104&gt;H$66,0,IF($E104&lt;H$66-365,$D104,0))</f>
        <v>0</v>
      </c>
      <c r="I255" s="12">
        <f t="shared" si="155"/>
        <v>0</v>
      </c>
      <c r="J255" s="12">
        <f t="shared" si="155"/>
        <v>0</v>
      </c>
      <c r="K255" s="12">
        <f t="shared" si="155"/>
        <v>0</v>
      </c>
      <c r="L255" s="12">
        <f t="shared" si="155"/>
        <v>0</v>
      </c>
      <c r="M255" s="12">
        <f t="shared" si="155"/>
        <v>0</v>
      </c>
      <c r="N255" s="12">
        <f t="shared" si="155"/>
        <v>0</v>
      </c>
      <c r="O255" s="12">
        <f t="shared" si="155"/>
        <v>0</v>
      </c>
      <c r="P255" s="12">
        <f t="shared" si="155"/>
        <v>0</v>
      </c>
      <c r="Q255" s="12">
        <f t="shared" si="155"/>
        <v>0</v>
      </c>
    </row>
    <row r="256" spans="7:17">
      <c r="G256" s="12">
        <f t="shared" si="119"/>
        <v>0</v>
      </c>
      <c r="H256" s="12">
        <f t="shared" ref="H256:Q256" si="156">IF($E105&gt;H$66,0,IF($E105&lt;H$66-365,$D105,0))</f>
        <v>0</v>
      </c>
      <c r="I256" s="12">
        <f t="shared" si="156"/>
        <v>0</v>
      </c>
      <c r="J256" s="12">
        <f t="shared" si="156"/>
        <v>0</v>
      </c>
      <c r="K256" s="12">
        <f t="shared" si="156"/>
        <v>0</v>
      </c>
      <c r="L256" s="12">
        <f t="shared" si="156"/>
        <v>0</v>
      </c>
      <c r="M256" s="12">
        <f t="shared" si="156"/>
        <v>0</v>
      </c>
      <c r="N256" s="12">
        <f t="shared" si="156"/>
        <v>0</v>
      </c>
      <c r="O256" s="12">
        <f t="shared" si="156"/>
        <v>0</v>
      </c>
      <c r="P256" s="12">
        <f t="shared" si="156"/>
        <v>0</v>
      </c>
      <c r="Q256" s="12">
        <f t="shared" si="156"/>
        <v>0</v>
      </c>
    </row>
    <row r="257" spans="5:18">
      <c r="G257" s="12">
        <f t="shared" si="119"/>
        <v>0</v>
      </c>
      <c r="H257" s="12">
        <f t="shared" ref="H257:Q257" si="157">IF($E106&gt;H$66,0,IF($E106&lt;H$66-365,$D106,0))</f>
        <v>0</v>
      </c>
      <c r="I257" s="12">
        <f t="shared" si="157"/>
        <v>0</v>
      </c>
      <c r="J257" s="12">
        <f t="shared" si="157"/>
        <v>0</v>
      </c>
      <c r="K257" s="12">
        <f t="shared" si="157"/>
        <v>0</v>
      </c>
      <c r="L257" s="12">
        <f t="shared" si="157"/>
        <v>0</v>
      </c>
      <c r="M257" s="12">
        <f t="shared" si="157"/>
        <v>0</v>
      </c>
      <c r="N257" s="12">
        <f t="shared" si="157"/>
        <v>0</v>
      </c>
      <c r="O257" s="12">
        <f t="shared" si="157"/>
        <v>0</v>
      </c>
      <c r="P257" s="12">
        <f t="shared" si="157"/>
        <v>0</v>
      </c>
      <c r="Q257" s="12">
        <f t="shared" si="157"/>
        <v>0</v>
      </c>
    </row>
    <row r="258" spans="5:18">
      <c r="G258" s="12">
        <f t="shared" si="119"/>
        <v>0</v>
      </c>
      <c r="H258" s="12">
        <f t="shared" ref="H258:Q258" si="158">IF($E107&gt;H$66,0,IF($E107&lt;H$66-365,$D107,0))</f>
        <v>0</v>
      </c>
      <c r="I258" s="12">
        <f t="shared" si="158"/>
        <v>0</v>
      </c>
      <c r="J258" s="12">
        <f t="shared" si="158"/>
        <v>0</v>
      </c>
      <c r="K258" s="12">
        <f t="shared" si="158"/>
        <v>0</v>
      </c>
      <c r="L258" s="12">
        <f t="shared" si="158"/>
        <v>0</v>
      </c>
      <c r="M258" s="12">
        <f t="shared" si="158"/>
        <v>0</v>
      </c>
      <c r="N258" s="12">
        <f t="shared" si="158"/>
        <v>0</v>
      </c>
      <c r="O258" s="12">
        <f t="shared" si="158"/>
        <v>0</v>
      </c>
      <c r="P258" s="12">
        <f t="shared" si="158"/>
        <v>0</v>
      </c>
      <c r="Q258" s="12">
        <f t="shared" si="158"/>
        <v>0</v>
      </c>
    </row>
    <row r="259" spans="5:18">
      <c r="G259" s="12">
        <f t="shared" si="119"/>
        <v>0</v>
      </c>
      <c r="H259" s="12">
        <f t="shared" ref="H259:Q259" si="159">IF($E108&gt;H$66,0,IF($E108&lt;H$66-365,$D108,0))</f>
        <v>0</v>
      </c>
      <c r="I259" s="12">
        <f t="shared" si="159"/>
        <v>0</v>
      </c>
      <c r="J259" s="12">
        <f t="shared" si="159"/>
        <v>0</v>
      </c>
      <c r="K259" s="12">
        <f t="shared" si="159"/>
        <v>0</v>
      </c>
      <c r="L259" s="12">
        <f t="shared" si="159"/>
        <v>0</v>
      </c>
      <c r="M259" s="12">
        <f t="shared" si="159"/>
        <v>0</v>
      </c>
      <c r="N259" s="12">
        <f t="shared" si="159"/>
        <v>0</v>
      </c>
      <c r="O259" s="12">
        <f t="shared" si="159"/>
        <v>0</v>
      </c>
      <c r="P259" s="12">
        <f t="shared" si="159"/>
        <v>0</v>
      </c>
      <c r="Q259" s="12">
        <f t="shared" si="159"/>
        <v>0</v>
      </c>
    </row>
    <row r="260" spans="5:18">
      <c r="G260" s="12">
        <f t="shared" si="119"/>
        <v>0</v>
      </c>
      <c r="H260" s="12">
        <f t="shared" ref="H260:Q260" si="160">IF($E109&gt;H$66,0,IF($E109&lt;H$66-365,$D109,0))</f>
        <v>0</v>
      </c>
      <c r="I260" s="12">
        <f t="shared" si="160"/>
        <v>0</v>
      </c>
      <c r="J260" s="12">
        <f t="shared" si="160"/>
        <v>0</v>
      </c>
      <c r="K260" s="12">
        <f t="shared" si="160"/>
        <v>0</v>
      </c>
      <c r="L260" s="12">
        <f t="shared" si="160"/>
        <v>0</v>
      </c>
      <c r="M260" s="12">
        <f t="shared" si="160"/>
        <v>0</v>
      </c>
      <c r="N260" s="12">
        <f t="shared" si="160"/>
        <v>0</v>
      </c>
      <c r="O260" s="12">
        <f t="shared" si="160"/>
        <v>0</v>
      </c>
      <c r="P260" s="12">
        <f t="shared" si="160"/>
        <v>0</v>
      </c>
      <c r="Q260" s="12">
        <f t="shared" si="160"/>
        <v>0</v>
      </c>
    </row>
    <row r="261" spans="5:18">
      <c r="G261" s="12">
        <f t="shared" si="119"/>
        <v>0</v>
      </c>
      <c r="H261" s="12">
        <f t="shared" ref="H261:Q261" si="161">IF($E110&gt;H$66,0,IF($E110&lt;H$66-365,$D110,0))</f>
        <v>0</v>
      </c>
      <c r="I261" s="12">
        <f t="shared" si="161"/>
        <v>0</v>
      </c>
      <c r="J261" s="12">
        <f t="shared" si="161"/>
        <v>0</v>
      </c>
      <c r="K261" s="12">
        <f t="shared" si="161"/>
        <v>0</v>
      </c>
      <c r="L261" s="12">
        <f t="shared" si="161"/>
        <v>0</v>
      </c>
      <c r="M261" s="12">
        <f t="shared" si="161"/>
        <v>0</v>
      </c>
      <c r="N261" s="12">
        <f t="shared" si="161"/>
        <v>0</v>
      </c>
      <c r="O261" s="12">
        <f t="shared" si="161"/>
        <v>0</v>
      </c>
      <c r="P261" s="12">
        <f t="shared" si="161"/>
        <v>0</v>
      </c>
      <c r="Q261" s="12">
        <f t="shared" si="161"/>
        <v>0</v>
      </c>
    </row>
    <row r="262" spans="5:18">
      <c r="G262" s="12">
        <f t="shared" si="119"/>
        <v>0</v>
      </c>
      <c r="H262" s="12">
        <f t="shared" ref="H262:Q262" si="162">IF($E111&gt;H$66,0,IF($E111&lt;H$66-365,$D111,0))</f>
        <v>0</v>
      </c>
      <c r="I262" s="12">
        <f t="shared" si="162"/>
        <v>0</v>
      </c>
      <c r="J262" s="12">
        <f t="shared" si="162"/>
        <v>0</v>
      </c>
      <c r="K262" s="12">
        <f t="shared" si="162"/>
        <v>0</v>
      </c>
      <c r="L262" s="12">
        <f t="shared" si="162"/>
        <v>0</v>
      </c>
      <c r="M262" s="12">
        <f t="shared" si="162"/>
        <v>0</v>
      </c>
      <c r="N262" s="12">
        <f t="shared" si="162"/>
        <v>0</v>
      </c>
      <c r="O262" s="12">
        <f t="shared" si="162"/>
        <v>0</v>
      </c>
      <c r="P262" s="12">
        <f t="shared" si="162"/>
        <v>0</v>
      </c>
      <c r="Q262" s="12">
        <f t="shared" si="162"/>
        <v>0</v>
      </c>
    </row>
    <row r="263" spans="5:18">
      <c r="G263" s="12">
        <f t="shared" si="119"/>
        <v>0</v>
      </c>
      <c r="H263" s="12">
        <f t="shared" ref="H263:Q263" si="163">IF($E112&gt;H$66,0,IF($E112&lt;H$66-365,$D112,0))</f>
        <v>0</v>
      </c>
      <c r="I263" s="12">
        <f t="shared" si="163"/>
        <v>0</v>
      </c>
      <c r="J263" s="12">
        <f t="shared" si="163"/>
        <v>0</v>
      </c>
      <c r="K263" s="12">
        <f t="shared" si="163"/>
        <v>0</v>
      </c>
      <c r="L263" s="12">
        <f t="shared" si="163"/>
        <v>0</v>
      </c>
      <c r="M263" s="12">
        <f t="shared" si="163"/>
        <v>0</v>
      </c>
      <c r="N263" s="12">
        <f t="shared" si="163"/>
        <v>0</v>
      </c>
      <c r="O263" s="12">
        <f t="shared" si="163"/>
        <v>0</v>
      </c>
      <c r="P263" s="12">
        <f t="shared" si="163"/>
        <v>0</v>
      </c>
      <c r="Q263" s="12">
        <f t="shared" si="163"/>
        <v>0</v>
      </c>
    </row>
    <row r="264" spans="5:18">
      <c r="G264" s="12">
        <f t="shared" si="119"/>
        <v>0</v>
      </c>
      <c r="H264" s="12">
        <f t="shared" ref="H264:Q264" si="164">IF($E113&gt;H$66,0,IF($E113&lt;H$66-365,$D113,0))</f>
        <v>0</v>
      </c>
      <c r="I264" s="12">
        <f t="shared" si="164"/>
        <v>0</v>
      </c>
      <c r="J264" s="12">
        <f t="shared" si="164"/>
        <v>0</v>
      </c>
      <c r="K264" s="12">
        <f t="shared" si="164"/>
        <v>0</v>
      </c>
      <c r="L264" s="12">
        <f t="shared" si="164"/>
        <v>0</v>
      </c>
      <c r="M264" s="12">
        <f t="shared" si="164"/>
        <v>0</v>
      </c>
      <c r="N264" s="12">
        <f t="shared" si="164"/>
        <v>0</v>
      </c>
      <c r="O264" s="12">
        <f t="shared" si="164"/>
        <v>0</v>
      </c>
      <c r="P264" s="12">
        <f t="shared" si="164"/>
        <v>0</v>
      </c>
      <c r="Q264" s="12">
        <f t="shared" si="164"/>
        <v>0</v>
      </c>
    </row>
    <row r="265" spans="5:18">
      <c r="G265" s="12">
        <f t="shared" si="119"/>
        <v>0</v>
      </c>
      <c r="H265" s="12">
        <f t="shared" ref="H265:Q265" si="165">IF($E114&gt;H$66,0,IF($E114&lt;H$66-365,$D114,0))</f>
        <v>0</v>
      </c>
      <c r="I265" s="12">
        <f t="shared" si="165"/>
        <v>0</v>
      </c>
      <c r="J265" s="12">
        <f t="shared" si="165"/>
        <v>0</v>
      </c>
      <c r="K265" s="12">
        <f t="shared" si="165"/>
        <v>0</v>
      </c>
      <c r="L265" s="12">
        <f t="shared" si="165"/>
        <v>0</v>
      </c>
      <c r="M265" s="12">
        <f t="shared" si="165"/>
        <v>0</v>
      </c>
      <c r="N265" s="12">
        <f t="shared" si="165"/>
        <v>0</v>
      </c>
      <c r="O265" s="12">
        <f t="shared" si="165"/>
        <v>0</v>
      </c>
      <c r="P265" s="12">
        <f t="shared" si="165"/>
        <v>0</v>
      </c>
      <c r="Q265" s="12">
        <f t="shared" si="165"/>
        <v>0</v>
      </c>
    </row>
    <row r="267" spans="5:18">
      <c r="F267" s="187" t="s">
        <v>493</v>
      </c>
      <c r="G267" s="187">
        <f>SUM(G220:G265)</f>
        <v>0</v>
      </c>
      <c r="H267" s="187">
        <f t="shared" ref="H267:Q267" si="166">SUM(H220:H265)</f>
        <v>0</v>
      </c>
      <c r="I267" s="187">
        <f t="shared" si="166"/>
        <v>0</v>
      </c>
      <c r="J267" s="187">
        <f t="shared" si="166"/>
        <v>0</v>
      </c>
      <c r="K267" s="187">
        <f t="shared" si="166"/>
        <v>0</v>
      </c>
      <c r="L267" s="187">
        <f t="shared" si="166"/>
        <v>0</v>
      </c>
      <c r="M267" s="187">
        <f t="shared" si="166"/>
        <v>0</v>
      </c>
      <c r="N267" s="187">
        <f t="shared" si="166"/>
        <v>0</v>
      </c>
      <c r="O267" s="187">
        <f t="shared" si="166"/>
        <v>0</v>
      </c>
      <c r="P267" s="187">
        <f t="shared" si="166"/>
        <v>0</v>
      </c>
      <c r="Q267" s="187">
        <f t="shared" si="166"/>
        <v>0</v>
      </c>
    </row>
    <row r="271" spans="5:18">
      <c r="F271" s="207" t="s">
        <v>486</v>
      </c>
      <c r="G271" s="206">
        <f>G66</f>
        <v>45473</v>
      </c>
      <c r="H271" s="206">
        <f t="shared" ref="H271:Q271" si="167">H66</f>
        <v>45838</v>
      </c>
      <c r="I271" s="206">
        <f t="shared" si="167"/>
        <v>46203</v>
      </c>
      <c r="J271" s="206">
        <f t="shared" si="167"/>
        <v>46568</v>
      </c>
      <c r="K271" s="206">
        <f t="shared" si="167"/>
        <v>46934</v>
      </c>
      <c r="L271" s="206">
        <f t="shared" si="167"/>
        <v>47299</v>
      </c>
      <c r="M271" s="206">
        <f t="shared" si="167"/>
        <v>47664</v>
      </c>
      <c r="N271" s="206">
        <f t="shared" si="167"/>
        <v>48029</v>
      </c>
      <c r="O271" s="206">
        <f t="shared" si="167"/>
        <v>48395</v>
      </c>
      <c r="P271" s="206">
        <f t="shared" si="167"/>
        <v>48760</v>
      </c>
      <c r="Q271" s="206">
        <f t="shared" si="167"/>
        <v>49125</v>
      </c>
      <c r="R271" s="206">
        <f t="shared" ref="R271" si="168">Q271+365</f>
        <v>49490</v>
      </c>
    </row>
    <row r="272" spans="5:18">
      <c r="E272" s="12" t="s">
        <v>399</v>
      </c>
      <c r="F272" s="348">
        <f t="shared" ref="F272:P272" si="169">Z216</f>
        <v>4.5300065231572084</v>
      </c>
      <c r="G272" s="348">
        <f t="shared" si="169"/>
        <v>4.5300065231572084</v>
      </c>
      <c r="H272" s="348">
        <f t="shared" si="169"/>
        <v>4.5300065231572084</v>
      </c>
      <c r="I272" s="348">
        <f t="shared" si="169"/>
        <v>4.5300065231572084</v>
      </c>
      <c r="J272" s="348">
        <f t="shared" si="169"/>
        <v>4.5300065231572084</v>
      </c>
      <c r="K272" s="348">
        <f t="shared" si="169"/>
        <v>4.5300065231572084</v>
      </c>
      <c r="L272" s="348">
        <f t="shared" si="169"/>
        <v>4.5300065231572084</v>
      </c>
      <c r="M272" s="348">
        <f t="shared" si="169"/>
        <v>4.5300065231572084</v>
      </c>
      <c r="N272" s="348">
        <f t="shared" si="169"/>
        <v>4.5300065231572084</v>
      </c>
      <c r="O272" s="348">
        <f t="shared" si="169"/>
        <v>4.5300065231572084</v>
      </c>
      <c r="P272" s="348">
        <f t="shared" si="169"/>
        <v>4.5300065231572084</v>
      </c>
      <c r="Q272" s="348">
        <f>AK216</f>
        <v>4.5300065231572084</v>
      </c>
    </row>
  </sheetData>
  <sheetProtection formatCells="0" formatColumns="0" formatRows="0" selectLockedCells="1"/>
  <customSheetViews>
    <customSheetView guid="{0FAFE012-8D9E-4ED0-86A4-A997E430971B}" scale="115" showGridLines="0" fitToPage="1" hiddenRows="1" topLeftCell="B49">
      <selection activeCell="AA214" sqref="AA214"/>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56" priority="1" operator="lessThan">
      <formula>0</formula>
    </cfRule>
  </conditionalFormatting>
  <conditionalFormatting sqref="F46:Q47">
    <cfRule type="cellIs" dxfId="55" priority="3" operator="lessThan">
      <formula>0</formula>
    </cfRule>
  </conditionalFormatting>
  <conditionalFormatting sqref="F50:Q50">
    <cfRule type="cellIs" dxfId="54" priority="2" operator="lessThan">
      <formula>0</formula>
    </cfRule>
  </conditionalFormatting>
  <dataValidations count="3">
    <dataValidation type="list" allowBlank="1" showInputMessage="1" showErrorMessage="1" sqref="O114:Q114" xr:uid="{49B39AE7-B9F6-4AAD-965C-470E0B80AB5E}">
      <formula1>$BS$156:$BS$159</formula1>
    </dataValidation>
    <dataValidation type="list" allowBlank="1" showInputMessage="1" showErrorMessage="1" sqref="E114" xr:uid="{90125A27-8834-4C98-B29B-7B6B4119B73E}">
      <formula1>$BQ$155:$BQ$169</formula1>
    </dataValidation>
    <dataValidation type="list" allowBlank="1" showInputMessage="1" showErrorMessage="1" sqref="F141:G141" xr:uid="{51FAE955-E47A-46E4-BE9C-0F801D7634AC}">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3248B-9362-4C04-87CB-8731186E5EFD}">
  <sheetPr codeName="Sheet7">
    <tabColor rgb="FF7030A0"/>
    <pageSetUpPr fitToPage="1"/>
  </sheetPr>
  <dimension ref="A1:CJ273"/>
  <sheetViews>
    <sheetView showGridLines="0" topLeftCell="A22" zoomScale="55" zoomScaleNormal="55" workbookViewId="0">
      <selection activeCell="G66" sqref="G66"/>
    </sheetView>
  </sheetViews>
  <sheetFormatPr defaultColWidth="9.1796875" defaultRowHeight="12.5"/>
  <cols>
    <col min="1" max="1" width="28.269531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8.26953125" style="20" customWidth="1"/>
    <col min="25" max="27" width="13.54296875" style="20" customWidth="1"/>
    <col min="28" max="36" width="14.1796875" style="20" customWidth="1"/>
    <col min="37" max="37" width="12.54296875" style="20" customWidth="1"/>
    <col min="38" max="38" width="12" style="20" customWidth="1"/>
    <col min="39" max="39" width="16.26953125" style="20"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46</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0.22750243914899693</v>
      </c>
      <c r="E6" s="367" t="s">
        <v>311</v>
      </c>
      <c r="F6" s="517">
        <f>VLOOKUP($A$2,'Footprint Summary'!$B$4:$R$26,COLUMNS('Footprint Summary'!$B$4:F$26)+1,0)</f>
        <v>1415.5930000000001</v>
      </c>
      <c r="G6" s="517">
        <f>VLOOKUP($A$2,'Footprint Summary'!$B$4:$R$26,COLUMNS('Footprint Summary'!$B$4:G$26)+1,0)</f>
        <v>1415.5930000000001</v>
      </c>
      <c r="H6" s="517">
        <f>VLOOKUP($A$2,'Footprint Summary'!$B$4:$R$26,COLUMNS('Footprint Summary'!$B$4:H$26)+1,0)</f>
        <v>1415.5930000000001</v>
      </c>
      <c r="I6" s="517">
        <f>VLOOKUP($A$2,'Footprint Summary'!$B$4:$R$26,COLUMNS('Footprint Summary'!$B$4:I$26)+1,0)</f>
        <v>1415.5930000000001</v>
      </c>
      <c r="J6" s="517">
        <f>VLOOKUP($A$2,'Footprint Summary'!$B$4:$R$26,COLUMNS('Footprint Summary'!$B$4:J$26)+1,0)</f>
        <v>1415.5930000000001</v>
      </c>
      <c r="K6" s="517">
        <f>VLOOKUP($A$2,'Footprint Summary'!$B$4:$R$26,COLUMNS('Footprint Summary'!$B$4:K$26)+1,0)</f>
        <v>1185.5930000000001</v>
      </c>
      <c r="L6" s="517">
        <f>VLOOKUP($A$2,'Footprint Summary'!$B$4:$R$26,COLUMNS('Footprint Summary'!$B$4:L$26)+1,0)</f>
        <v>1185.5930000000001</v>
      </c>
      <c r="M6" s="517">
        <f>VLOOKUP($A$2,'Footprint Summary'!$B$4:$R$26,COLUMNS('Footprint Summary'!$B$4:M$26)+1,0)</f>
        <v>1185.5930000000001</v>
      </c>
      <c r="N6" s="517">
        <f>VLOOKUP($A$2,'Footprint Summary'!$B$4:$R$26,COLUMNS('Footprint Summary'!$B$4:N$26)+1,0)</f>
        <v>1205.5930000000001</v>
      </c>
      <c r="O6" s="517">
        <f>VLOOKUP($A$2,'Footprint Summary'!$B$4:$R$26,COLUMNS('Footprint Summary'!$B$4:O$26)+1,0)</f>
        <v>1205.5930000000001</v>
      </c>
      <c r="P6" s="517">
        <f>VLOOKUP($A$2,'Footprint Summary'!$B$4:$R$26,COLUMNS('Footprint Summary'!$B$4:P$26)+1,0)</f>
        <v>1205.5930000000001</v>
      </c>
      <c r="Q6" s="429">
        <f>(P6-F6)/F6</f>
        <v>-0.14834772423994749</v>
      </c>
      <c r="R6" s="366"/>
      <c r="S6" s="357"/>
      <c r="T6" s="8"/>
      <c r="U6" s="8"/>
    </row>
    <row r="7" spans="1:21" s="7" customFormat="1" ht="17.25" customHeight="1">
      <c r="A7" s="368" t="str">
        <f>VLOOKUP($A$2,'Asset Attributes'!$B$3:$D$25,2,0)</f>
        <v>NSW2</v>
      </c>
      <c r="B7" s="368" t="s">
        <v>312</v>
      </c>
      <c r="E7" s="367" t="s">
        <v>311</v>
      </c>
      <c r="F7" s="518">
        <f>F6-$F$6</f>
        <v>0</v>
      </c>
      <c r="G7" s="518">
        <f t="shared" ref="G7:P7" si="1">G6-$F$6</f>
        <v>0</v>
      </c>
      <c r="H7" s="518">
        <f t="shared" si="1"/>
        <v>0</v>
      </c>
      <c r="I7" s="518">
        <f t="shared" si="1"/>
        <v>0</v>
      </c>
      <c r="J7" s="518">
        <f t="shared" si="1"/>
        <v>0</v>
      </c>
      <c r="K7" s="518">
        <f t="shared" si="1"/>
        <v>-230</v>
      </c>
      <c r="L7" s="518">
        <f t="shared" si="1"/>
        <v>-230</v>
      </c>
      <c r="M7" s="518">
        <f t="shared" si="1"/>
        <v>-230</v>
      </c>
      <c r="N7" s="518">
        <f t="shared" si="1"/>
        <v>-210</v>
      </c>
      <c r="O7" s="518">
        <f t="shared" si="1"/>
        <v>-210</v>
      </c>
      <c r="P7" s="518">
        <f t="shared" si="1"/>
        <v>-210</v>
      </c>
      <c r="Q7" s="490">
        <f>SUM(F7:P7)</f>
        <v>-1320</v>
      </c>
      <c r="R7" s="366"/>
      <c r="S7" s="357"/>
      <c r="T7" s="8"/>
      <c r="U7" s="8"/>
    </row>
    <row r="8" spans="1:21" s="7" customFormat="1" ht="17.25" customHeight="1">
      <c r="A8" s="419" t="s">
        <v>284</v>
      </c>
      <c r="B8" s="368" t="s">
        <v>313</v>
      </c>
      <c r="C8" s="2"/>
      <c r="D8" s="486">
        <f>(VLOOKUP($A$2,Assumptions!$B$69:$C$91,2,0))</f>
        <v>28.514716505380822</v>
      </c>
      <c r="E8" s="422" t="s">
        <v>314</v>
      </c>
      <c r="F8" s="519">
        <f>VLOOKUP($A$2,'Footprint Summary'!$B$33:$R$55,COLUMNS('Footprint Summary'!$B$33:F$55)+1,0)</f>
        <v>930.447</v>
      </c>
      <c r="G8" s="519">
        <f>VLOOKUP($A$2,'Footprint Summary'!$B$33:$R$55,COLUMNS('Footprint Summary'!$B$33:G$55)+1,0)</f>
        <v>930.447</v>
      </c>
      <c r="H8" s="519">
        <f>VLOOKUP($A$2,'Footprint Summary'!$B$33:$R$55,COLUMNS('Footprint Summary'!$B$33:H$55)+1,0)</f>
        <v>930.447</v>
      </c>
      <c r="I8" s="519">
        <f>VLOOKUP($A$2,'Footprint Summary'!$B$33:$R$55,COLUMNS('Footprint Summary'!$B$33:I$55)+1,0)</f>
        <v>930.447</v>
      </c>
      <c r="J8" s="519">
        <f>VLOOKUP($A$2,'Footprint Summary'!$B$33:$R$55,COLUMNS('Footprint Summary'!$B$33:J$55)+1,0)</f>
        <v>930.447</v>
      </c>
      <c r="K8" s="519">
        <f>VLOOKUP($A$2,'Footprint Summary'!$B$33:$R$55,COLUMNS('Footprint Summary'!$B$33:K$55)+1,0)</f>
        <v>510.447</v>
      </c>
      <c r="L8" s="519">
        <f>VLOOKUP($A$2,'Footprint Summary'!$B$33:$R$55,COLUMNS('Footprint Summary'!$B$33:L$55)+1,0)</f>
        <v>510.447</v>
      </c>
      <c r="M8" s="519">
        <f>VLOOKUP($A$2,'Footprint Summary'!$B$33:$R$55,COLUMNS('Footprint Summary'!$B$33:M$55)+1,0)</f>
        <v>510.447</v>
      </c>
      <c r="N8" s="519">
        <f>VLOOKUP($A$2,'Footprint Summary'!$B$33:$R$55,COLUMNS('Footprint Summary'!$B$33:N$55)+1,0)</f>
        <v>450.447</v>
      </c>
      <c r="O8" s="519">
        <f>VLOOKUP($A$2,'Footprint Summary'!$B$33:$R$55,COLUMNS('Footprint Summary'!$B$33:O$55)+1,0)</f>
        <v>450.447</v>
      </c>
      <c r="P8" s="519">
        <f>VLOOKUP($A$2,'Footprint Summary'!$B$33:$R$55,COLUMNS('Footprint Summary'!$B$33:P$55)+1,0)</f>
        <v>450.447</v>
      </c>
      <c r="Q8" s="429">
        <f>(P8-F8)/F8</f>
        <v>-0.51588107651483639</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-420</v>
      </c>
      <c r="L9" s="518">
        <f t="shared" si="2"/>
        <v>-420</v>
      </c>
      <c r="M9" s="518">
        <f t="shared" si="2"/>
        <v>-420</v>
      </c>
      <c r="N9" s="518">
        <f t="shared" si="2"/>
        <v>-480</v>
      </c>
      <c r="O9" s="518">
        <f t="shared" si="2"/>
        <v>-480</v>
      </c>
      <c r="P9" s="518">
        <f t="shared" si="2"/>
        <v>-480</v>
      </c>
      <c r="Q9" s="490">
        <f>SUM(F9:P9)</f>
        <v>-2700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1118.3184700000002</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47.945933910000001</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56.833416289870542</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1223.0978201998705</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44.862921182550359</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f>F14*1000/(VLOOKUP($A$2,'Asset Attributes'!$B$3:$D$25,3,0))</f>
        <v>1.7586448266881853</v>
      </c>
      <c r="G18" s="428">
        <f>G14*1000/(VLOOKUP($A$2,'Asset Attributes'!$B$3:$D$25,3,0))</f>
        <v>0</v>
      </c>
      <c r="H18" s="428">
        <f>H14*1000/(VLOOKUP($A$2,'Asset Attributes'!$B$3:$D$25,3,0))</f>
        <v>0</v>
      </c>
      <c r="I18" s="428">
        <f>I14*1000/(VLOOKUP($A$2,'Asset Attributes'!$B$3:$D$25,3,0))</f>
        <v>0</v>
      </c>
      <c r="J18" s="428">
        <f>J14*1000/(VLOOKUP($A$2,'Asset Attributes'!$B$3:$D$25,3,0))</f>
        <v>0</v>
      </c>
      <c r="K18" s="428">
        <f>K14*1000/(VLOOKUP($A$2,'Asset Attributes'!$B$3:$D$25,3,0))</f>
        <v>0</v>
      </c>
      <c r="L18" s="428">
        <f>L14*1000/(VLOOKUP($A$2,'Asset Attributes'!$B$3:$D$25,3,0))</f>
        <v>0</v>
      </c>
      <c r="M18" s="428">
        <f>M14*1000/(VLOOKUP($A$2,'Asset Attributes'!$B$3:$D$25,3,0))</f>
        <v>0</v>
      </c>
      <c r="N18" s="428">
        <f>N14*1000/(VLOOKUP($A$2,'Asset Attributes'!$B$3:$D$25,3,0))</f>
        <v>0</v>
      </c>
      <c r="O18" s="428">
        <f>O14*1000/(VLOOKUP($A$2,'Asset Attributes'!$B$3:$D$25,3,0))</f>
        <v>0</v>
      </c>
      <c r="P18" s="428">
        <f>P14*1000/(VLOOKUP($A$2,'Asset Attributes'!$B$3:$D$25,3,0))</f>
        <v>0</v>
      </c>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125.81000000000002</v>
      </c>
      <c r="L20" s="499">
        <f>-1*(VLOOKUP($A$2,'Footprint Summary'!$B$244:X$266,COLUMNS('Footprint Summary'!$B$244:L$266)+1,0))</f>
        <v>105.80000000000001</v>
      </c>
      <c r="M20" s="499">
        <f>-1*(VLOOKUP($A$2,'Footprint Summary'!$B$244:Y$266,COLUMNS('Footprint Summary'!$B$244:M$266)+1,0))</f>
        <v>88.09</v>
      </c>
      <c r="N20" s="499">
        <f>-1*(VLOOKUP($A$2,'Footprint Summary'!$B$244:Z$266,COLUMNS('Footprint Summary'!$B$244:N$266)+1,0))</f>
        <v>68.25</v>
      </c>
      <c r="O20" s="499">
        <f>-1*(VLOOKUP($A$2,'Footprint Summary'!$B$244:AA$266,COLUMNS('Footprint Summary'!$B$244:O$266)+1,0))</f>
        <v>60.48</v>
      </c>
      <c r="P20" s="499">
        <f>-1*(VLOOKUP($A$2,'Footprint Summary'!$B$244:AB$266,COLUMNS('Footprint Summary'!$B$244:P$266)+1,0))</f>
        <v>55.440000000000005</v>
      </c>
      <c r="Q20" s="499">
        <f>SUM(G20:P20)</f>
        <v>503.87000000000006</v>
      </c>
      <c r="R20" s="366"/>
      <c r="S20" s="357"/>
      <c r="T20" s="8"/>
      <c r="U20" s="8"/>
    </row>
    <row r="21" spans="1:21"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1050.3700060000001</v>
      </c>
      <c r="H21" s="499">
        <f>-1*(VLOOKUP($A$2,'Footprint Summary'!$B$302:$R$324,COLUMNS('Footprint Summary'!$B$302:H324)+1,0))</f>
        <v>1033.3828900000001</v>
      </c>
      <c r="I21" s="499">
        <f>-1*(VLOOKUP($A$2,'Footprint Summary'!$B$302:$R$324,COLUMNS('Footprint Summary'!$B$302:I324)+1,0))</f>
        <v>937.12256600000012</v>
      </c>
      <c r="J21" s="499">
        <f>-1*(VLOOKUP($A$2,'Footprint Summary'!$B$302:$R$324,COLUMNS('Footprint Summary'!$B$302:J324)+1,0))</f>
        <v>883.33003200000007</v>
      </c>
      <c r="K21" s="499">
        <f>-1*(VLOOKUP($A$2,'Footprint Summary'!$B$302:$R$324,COLUMNS('Footprint Summary'!$B$302:K324)+1,0))</f>
        <v>648.51937100000009</v>
      </c>
      <c r="L21" s="499">
        <f>-1*(VLOOKUP($A$2,'Footprint Summary'!$B$302:$R$324,COLUMNS('Footprint Summary'!$B$302:L324)+1,0))</f>
        <v>545.37278000000003</v>
      </c>
      <c r="M21" s="499">
        <f>-1*(VLOOKUP($A$2,'Footprint Summary'!$B$302:$R$324,COLUMNS('Footprint Summary'!$B$302:M324)+1,0))</f>
        <v>454.08211900000003</v>
      </c>
      <c r="N21" s="499">
        <f>-1*(VLOOKUP($A$2,'Footprint Summary'!$B$302:$R$324,COLUMNS('Footprint Summary'!$B$302:N324)+1,0))</f>
        <v>391.81772500000005</v>
      </c>
      <c r="O21" s="499">
        <f>-1*(VLOOKUP($A$2,'Footprint Summary'!$B$302:$R$324,COLUMNS('Footprint Summary'!$B$302:O324)+1,0))</f>
        <v>347.21078399999999</v>
      </c>
      <c r="P21" s="499">
        <f>-1*(VLOOKUP($A$2,'Footprint Summary'!$B$302:$R$324,COLUMNS('Footprint Summary'!$B$302:P324)+1,0))</f>
        <v>318.27655200000004</v>
      </c>
      <c r="Q21" s="499">
        <f t="shared" ref="Q21:Q27" si="6">SUM(G21:P21)</f>
        <v>6609.4848249999995</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47.945933910000001</v>
      </c>
      <c r="H22" s="499">
        <f>(VLOOKUP($A$2,'Footprint Summary'!$B$33:$R$55,COLUMNS('Footprint Summary'!$B$33:H$55)+1,0)*VLOOKUP($B$14,Assumptions!$B$17:$N$29,COLUMNS(Assumptions!$B$18:D$29)+1,0)/1000)</f>
        <v>47.945933910000001</v>
      </c>
      <c r="I22" s="499">
        <f>(VLOOKUP($A$2,'Footprint Summary'!$B$33:$R$55,COLUMNS('Footprint Summary'!$B$33:I$55)+1,0)*VLOOKUP($B$14,Assumptions!$B$17:$N$29,COLUMNS(Assumptions!$B$18:E$29)+1,0)/1000)</f>
        <v>47.945933910000001</v>
      </c>
      <c r="J22" s="499">
        <f>(VLOOKUP($A$2,'Footprint Summary'!$B$33:$R$55,COLUMNS('Footprint Summary'!$B$33:J$55)+1,0)*VLOOKUP($B$14,Assumptions!$B$17:$N$29,COLUMNS(Assumptions!$B$18:F$29)+1,0)/1000)</f>
        <v>47.945933910000001</v>
      </c>
      <c r="K22" s="499">
        <f>(VLOOKUP($A$2,'Footprint Summary'!$B$33:$R$55,COLUMNS('Footprint Summary'!$B$33:K$55)+1,0)*VLOOKUP($B$14,Assumptions!$B$17:$N$29,COLUMNS(Assumptions!$B$18:G$29)+1,0)/1000)</f>
        <v>26.303333910000003</v>
      </c>
      <c r="L22" s="499">
        <f>(VLOOKUP($A$2,'Footprint Summary'!$B$33:$R$55,COLUMNS('Footprint Summary'!$B$33:L$55)+1,0)*VLOOKUP($B$14,Assumptions!$B$17:$N$29,COLUMNS(Assumptions!$B$18:H$29)+1,0)/1000)</f>
        <v>26.303333910000003</v>
      </c>
      <c r="M22" s="499">
        <f>(VLOOKUP($A$2,'Footprint Summary'!$B$33:$R$55,COLUMNS('Footprint Summary'!$B$33:M$55)+1,0)*VLOOKUP($B$14,Assumptions!$B$17:$N$29,COLUMNS(Assumptions!$B$18:I$29)+1,0)/1000)</f>
        <v>26.303333910000003</v>
      </c>
      <c r="N22" s="499">
        <f>(VLOOKUP($A$2,'Footprint Summary'!$B$33:$R$55,COLUMNS('Footprint Summary'!$B$33:N$55)+1,0)*VLOOKUP($B$14,Assumptions!$B$17:$N$29,COLUMNS(Assumptions!$B$18:J$29)+1,0)/1000)</f>
        <v>23.211533910000004</v>
      </c>
      <c r="O22" s="499">
        <f>(VLOOKUP($A$2,'Footprint Summary'!$B$33:$R$55,COLUMNS('Footprint Summary'!$B$33:O$55)+1,0)*VLOOKUP($B$14,Assumptions!$B$17:$N$29,COLUMNS(Assumptions!$B$18:K$29)+1,0)/1000)</f>
        <v>23.211533910000004</v>
      </c>
      <c r="P22" s="499">
        <f>(VLOOKUP($A$2,'Footprint Summary'!$B$33:$R$55,COLUMNS('Footprint Summary'!$B$33:P$55)+1,0)*VLOOKUP($B$14,Assumptions!$B$17:$N$29,COLUMNS(Assumptions!$B$18:L$29)+1,0)/1000)</f>
        <v>23.211533910000004</v>
      </c>
      <c r="Q22" s="499">
        <f t="shared" si="6"/>
        <v>340.32833910000005</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21.642600000000002</v>
      </c>
      <c r="L23" s="499">
        <f>-1*(VLOOKUP($A$2,'Footprint Summary'!$B$273:X$295,COLUMNS('Footprint Summary'!$B$273:L$295)+1,0))</f>
        <v>21.642600000000002</v>
      </c>
      <c r="M23" s="499">
        <f>-1*(VLOOKUP($A$2,'Footprint Summary'!$B$273:Y$295,COLUMNS('Footprint Summary'!$B$273:M$295)+1,0))</f>
        <v>21.642600000000002</v>
      </c>
      <c r="N23" s="499">
        <f>-1*(VLOOKUP($A$2,'Footprint Summary'!$B$273:Z$295,COLUMNS('Footprint Summary'!$B$273:N$295)+1,0))</f>
        <v>24.734400000000001</v>
      </c>
      <c r="O23" s="499">
        <f>-1*(VLOOKUP($A$2,'Footprint Summary'!$B$273:AA$295,COLUMNS('Footprint Summary'!$B$273:O$295)+1,0))</f>
        <v>24.734400000000001</v>
      </c>
      <c r="P23" s="499">
        <f>-1*(VLOOKUP($A$2,'Footprint Summary'!$B$273:AB$295,COLUMNS('Footprint Summary'!$B$273:P$295)+1,0))</f>
        <v>24.734400000000001</v>
      </c>
      <c r="Q23" s="499">
        <f t="shared" si="6"/>
        <v>139.131</v>
      </c>
      <c r="R23" s="366"/>
      <c r="S23" s="357"/>
      <c r="T23" s="8"/>
      <c r="U23" s="8"/>
    </row>
    <row r="24" spans="1:21" s="7" customFormat="1" ht="19.5" customHeight="1">
      <c r="A24" s="419" t="s">
        <v>319</v>
      </c>
      <c r="B24" s="419" t="s">
        <v>329</v>
      </c>
      <c r="E24" s="425" t="s">
        <v>321</v>
      </c>
      <c r="F24" s="499">
        <v>0</v>
      </c>
      <c r="G24" s="499">
        <f>VLOOKUP($A$2,'Footprint Summary'!$B$216:$R$238,COLUMNS('Footprint Summary'!$B$216:G238)+1,0)</f>
        <v>52.405172293773816</v>
      </c>
      <c r="H24" s="499">
        <f>VLOOKUP($A$2,'Footprint Summary'!$B$216:$R$238,COLUMNS('Footprint Summary'!$B$216:H238)+1,0)</f>
        <v>47.976928297677091</v>
      </c>
      <c r="I24" s="499">
        <f>VLOOKUP($A$2,'Footprint Summary'!$B$216:$R$238,COLUMNS('Footprint Summary'!$B$216:I238)+1,0)</f>
        <v>43.548684301580366</v>
      </c>
      <c r="J24" s="499">
        <f>VLOOKUP($A$2,'Footprint Summary'!$B$216:$R$238,COLUMNS('Footprint Summary'!$B$216:J238)+1,0)</f>
        <v>39.12044030548364</v>
      </c>
      <c r="K24" s="499">
        <f>VLOOKUP($A$2,'Footprint Summary'!$B$216:$R$238,COLUMNS('Footprint Summary'!$B$216:K238)+1,0)</f>
        <v>34.692196309386915</v>
      </c>
      <c r="L24" s="499">
        <f>VLOOKUP($A$2,'Footprint Summary'!$B$216:$R$238,COLUMNS('Footprint Summary'!$B$216:L238)+1,0)</f>
        <v>30.26395231329019</v>
      </c>
      <c r="M24" s="499">
        <f>VLOOKUP($A$2,'Footprint Summary'!$B$216:$R$238,COLUMNS('Footprint Summary'!$B$216:M238)+1,0)</f>
        <v>25.835708317193461</v>
      </c>
      <c r="N24" s="499">
        <f>VLOOKUP($A$2,'Footprint Summary'!$B$216:$R$238,COLUMNS('Footprint Summary'!$B$216:N238)+1,0)</f>
        <v>21.407464321096732</v>
      </c>
      <c r="O24" s="499">
        <f>VLOOKUP($A$2,'Footprint Summary'!$B$216:$R$238,COLUMNS('Footprint Summary'!$B$216:O238)+1,0)</f>
        <v>16.979220325000007</v>
      </c>
      <c r="P24" s="499">
        <f>VLOOKUP($A$2,'Footprint Summary'!$B$216:$R$238,COLUMNS('Footprint Summary'!$B$216:P238)+1,0)</f>
        <v>16.979220325</v>
      </c>
      <c r="Q24" s="499">
        <f t="shared" si="6"/>
        <v>329.20898710948222</v>
      </c>
      <c r="R24" s="366"/>
      <c r="S24" s="357"/>
      <c r="T24" s="8"/>
      <c r="U24" s="8"/>
    </row>
    <row r="25" spans="1:21" s="7" customFormat="1" ht="19.5" customHeight="1">
      <c r="A25" s="419" t="s">
        <v>319</v>
      </c>
      <c r="B25" s="419" t="s">
        <v>319</v>
      </c>
      <c r="E25" s="425" t="s">
        <v>321</v>
      </c>
      <c r="F25" s="499">
        <f>VLOOKUP($A$2,'Footprint Summary'!$B$216:$R$238,COLUMNS('Footprint Summary'!$B$216:F238)+1,0)-F24</f>
        <v>56.833416289870542</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47.945933910000001</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NSW2</v>
      </c>
      <c r="B27" s="368" t="s">
        <v>330</v>
      </c>
      <c r="E27" s="425" t="s">
        <v>321</v>
      </c>
      <c r="F27" s="367">
        <f>VLOOKUP($A$2,'Footprint Summary'!$B$4:$R$26,COLUMNS('Footprint Summary'!$B$4:F$26)+1,0)*VLOOKUP($A$13,Assumptions!$A$4:$N$14,COLUMNS(Assumptions!$A$4:B$14)+1,0)</f>
        <v>1118.3184700000002</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row>
    <row r="28" spans="1:21" s="7" customFormat="1" ht="19.5" customHeight="1" thickBot="1">
      <c r="E28" s="425" t="s">
        <v>321</v>
      </c>
      <c r="F28" s="434">
        <f>SUM(F20:F23)</f>
        <v>0</v>
      </c>
      <c r="G28" s="434">
        <f t="shared" ref="G28:P28" si="7">SUM(G20:G23)</f>
        <v>1098.31593991</v>
      </c>
      <c r="H28" s="434">
        <f t="shared" si="7"/>
        <v>1081.32882391</v>
      </c>
      <c r="I28" s="434">
        <f t="shared" si="7"/>
        <v>985.06849991000013</v>
      </c>
      <c r="J28" s="434">
        <f t="shared" si="7"/>
        <v>931.27596591000008</v>
      </c>
      <c r="K28" s="434">
        <f t="shared" si="7"/>
        <v>822.27530491000016</v>
      </c>
      <c r="L28" s="434">
        <f t="shared" si="7"/>
        <v>699.11871391000011</v>
      </c>
      <c r="M28" s="434">
        <f t="shared" si="7"/>
        <v>590.11805291000007</v>
      </c>
      <c r="N28" s="434">
        <f t="shared" si="7"/>
        <v>508.01365891000006</v>
      </c>
      <c r="O28" s="434">
        <f t="shared" si="7"/>
        <v>455.63671791000002</v>
      </c>
      <c r="P28" s="434">
        <f t="shared" si="7"/>
        <v>421.66248591000004</v>
      </c>
      <c r="Q28" s="434">
        <f t="shared" ref="Q28" si="8">SUM(Q20:Q24)</f>
        <v>7922.0231512094824</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297195.53999999998</v>
      </c>
      <c r="G32" s="424">
        <f>VLOOKUP($A$2,'Costs Summary'!$B$154:$R$176,COLUMNS('Costs Summary'!$B$154:G$176)+1,0)</f>
        <v>418666.11844491982</v>
      </c>
      <c r="H32" s="424">
        <f>VLOOKUP($A$2,'Costs Summary'!$B$154:$R$176,COLUMNS('Costs Summary'!$B$154:H$176)+1,0)</f>
        <v>433319.43259049201</v>
      </c>
      <c r="I32" s="424">
        <f>VLOOKUP($A$2,'Costs Summary'!$B$154:$R$176,COLUMNS('Costs Summary'!$B$154:I$176)+1,0)</f>
        <v>448485.6127311592</v>
      </c>
      <c r="J32" s="424">
        <f>VLOOKUP($A$2,'Costs Summary'!$B$154:$R$176,COLUMNS('Costs Summary'!$B$154:J$176)+1,0)</f>
        <v>464182.60917674971</v>
      </c>
      <c r="K32" s="424">
        <f>VLOOKUP($A$2,'Costs Summary'!$B$154:$R$176,COLUMNS('Costs Summary'!$B$154:K$176)+1,0)</f>
        <v>480429.00049793592</v>
      </c>
      <c r="L32" s="424">
        <f>VLOOKUP($A$2,'Costs Summary'!$B$154:$R$176,COLUMNS('Costs Summary'!$B$154:L$176)+1,0)</f>
        <v>497244.01551536366</v>
      </c>
      <c r="M32" s="424">
        <f>VLOOKUP($A$2,'Costs Summary'!$B$154:$R$176,COLUMNS('Costs Summary'!$B$154:M$176)+1,0)</f>
        <v>514647.55605840136</v>
      </c>
      <c r="N32" s="424">
        <f>VLOOKUP($A$2,'Costs Summary'!$B$154:$R$176,COLUMNS('Costs Summary'!$B$154:N$176)+1,0)</f>
        <v>617577.06727008172</v>
      </c>
      <c r="O32" s="424">
        <f>VLOOKUP($A$2,'Costs Summary'!$B$154:$R$176,COLUMNS('Costs Summary'!$B$154:O$176)+1,0)</f>
        <v>639192.26462453441</v>
      </c>
      <c r="P32" s="424">
        <f>VLOOKUP($A$2,'Costs Summary'!$B$154:$R$176,COLUMNS('Costs Summary'!$B$154:P$176)+1,0)</f>
        <v>661563.99388639315</v>
      </c>
      <c r="Q32" s="433">
        <f>SUM(G32:P32)</f>
        <v>5175307.6707960311</v>
      </c>
      <c r="R32" s="366"/>
      <c r="S32" s="357"/>
      <c r="T32" s="8"/>
      <c r="U32" s="8"/>
    </row>
    <row r="33" spans="1:21" s="7" customFormat="1" ht="17.25" customHeight="1">
      <c r="A33" s="368" t="s">
        <v>284</v>
      </c>
      <c r="B33" s="368" t="s">
        <v>335</v>
      </c>
      <c r="C33" s="423"/>
      <c r="D33" s="423"/>
      <c r="E33" s="423"/>
      <c r="F33" s="424">
        <f>VLOOKUP($A$2,'Costs Summary'!$B$183:$R$205,COLUMNS('Costs Summary'!$B$183:F$205)+1,0)</f>
        <v>39476.285300000003</v>
      </c>
      <c r="G33" s="424">
        <f>VLOOKUP($A$2,'Costs Summary'!$B$183:$R$205,COLUMNS('Costs Summary'!$B$183:G$205)+1,0)</f>
        <v>27327.375401130532</v>
      </c>
      <c r="H33" s="424">
        <f>VLOOKUP($A$2,'Costs Summary'!$B$183:$R$205,COLUMNS('Costs Summary'!$B$183:H$205)+1,0)</f>
        <v>28147.19666316445</v>
      </c>
      <c r="I33" s="424">
        <f>VLOOKUP($A$2,'Costs Summary'!$B$183:$R$205,COLUMNS('Costs Summary'!$B$183:I$205)+1,0)</f>
        <v>28991.612563059385</v>
      </c>
      <c r="J33" s="424">
        <f>VLOOKUP($A$2,'Costs Summary'!$B$183:$R$205,COLUMNS('Costs Summary'!$B$183:J$205)+1,0)</f>
        <v>29861.36093995117</v>
      </c>
      <c r="K33" s="424">
        <f>VLOOKUP($A$2,'Costs Summary'!$B$183:$R$205,COLUMNS('Costs Summary'!$B$183:K$205)+1,0)</f>
        <v>30757.201768149705</v>
      </c>
      <c r="L33" s="424">
        <f>VLOOKUP($A$2,'Costs Summary'!$B$183:$R$205,COLUMNS('Costs Summary'!$B$183:L$205)+1,0)</f>
        <v>31679.917821194198</v>
      </c>
      <c r="M33" s="424">
        <f>VLOOKUP($A$2,'Costs Summary'!$B$183:$R$205,COLUMNS('Costs Summary'!$B$183:M$205)+1,0)</f>
        <v>32630.315355830022</v>
      </c>
      <c r="N33" s="424">
        <f>VLOOKUP($A$2,'Costs Summary'!$B$183:$R$205,COLUMNS('Costs Summary'!$B$183:N$205)+1,0)</f>
        <v>33609.224816504924</v>
      </c>
      <c r="O33" s="424">
        <f>VLOOKUP($A$2,'Costs Summary'!$B$183:$R$205,COLUMNS('Costs Summary'!$B$183:O$205)+1,0)</f>
        <v>34617.50156100007</v>
      </c>
      <c r="P33" s="424">
        <f>VLOOKUP($A$2,'Costs Summary'!$B$183:$R$205,COLUMNS('Costs Summary'!$B$183:P$205)+1,0)</f>
        <v>35656.02660783007</v>
      </c>
      <c r="Q33" s="433">
        <f>SUM(G33:P33)</f>
        <v>313277.73349781451</v>
      </c>
      <c r="R33" s="366"/>
      <c r="S33" s="357"/>
      <c r="T33" s="8"/>
      <c r="U33" s="8"/>
    </row>
    <row r="34" spans="1:21" s="7" customFormat="1" ht="17.25" customHeight="1">
      <c r="A34" s="368" t="s">
        <v>284</v>
      </c>
      <c r="B34" s="368" t="s">
        <v>336</v>
      </c>
      <c r="H34" s="424">
        <f>VLOOKUP($A$2,'Costs Summary'!$B$241:$R$263,COLUMNS('Costs Summary'!$B$241:H263)+1,0)</f>
        <v>2876.7560346</v>
      </c>
      <c r="I34" s="424">
        <f>VLOOKUP($A$2,'Costs Summary'!$B$241:$R$263,COLUMNS('Costs Summary'!$B$241:I263)+1,0)</f>
        <v>2876.7560346</v>
      </c>
      <c r="J34" s="424">
        <f>VLOOKUP($A$2,'Costs Summary'!$B$241:$R$263,COLUMNS('Costs Summary'!$B$241:J263)+1,0)</f>
        <v>2876.7560346</v>
      </c>
      <c r="K34" s="424">
        <f>VLOOKUP($A$2,'Costs Summary'!$B$241:$R$263,COLUMNS('Costs Summary'!$B$241:K263)+1,0)</f>
        <v>2876.7560346</v>
      </c>
      <c r="L34" s="424">
        <f>VLOOKUP($A$2,'Costs Summary'!$B$241:$R$263,COLUMNS('Costs Summary'!$B$241:L263)+1,0)</f>
        <v>2876.7560346</v>
      </c>
      <c r="M34" s="424">
        <f>VLOOKUP($A$2,'Costs Summary'!$B$241:$R$263,COLUMNS('Costs Summary'!$B$241:M263)+1,0)</f>
        <v>2876.7560346</v>
      </c>
      <c r="N34" s="424">
        <f>VLOOKUP($A$2,'Costs Summary'!$B$241:$R$263,COLUMNS('Costs Summary'!$B$241:N263)+1,0)</f>
        <v>2876.7560346</v>
      </c>
      <c r="O34" s="424">
        <f>VLOOKUP($A$2,'Costs Summary'!$B$241:$R$263,COLUMNS('Costs Summary'!$B$241:O263)+1,0)</f>
        <v>2876.7560346</v>
      </c>
      <c r="P34" s="424">
        <f>VLOOKUP($A$2,'Costs Summary'!$B$241:$R$263,COLUMNS('Costs Summary'!$B$241:P263)+1,0)</f>
        <v>2876.7560346</v>
      </c>
      <c r="Q34" s="433">
        <f>SUM(G34:P34)</f>
        <v>25890.804311399996</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2878.6156978606255</v>
      </c>
      <c r="I35" s="424">
        <f>VLOOKUP($A$2,'Costs Summary'!$B$212:$R$234,COLUMNS('Costs Summary'!$B$212:I$234)+1,0)</f>
        <v>2612.921058094822</v>
      </c>
      <c r="J35" s="424">
        <f>VLOOKUP($A$2,'Costs Summary'!$B$212:$R$234,COLUMNS('Costs Summary'!$B$212:J$234)+1,0)</f>
        <v>2347.2264183290185</v>
      </c>
      <c r="K35" s="424">
        <f>VLOOKUP($A$2,'Costs Summary'!$B$212:$R$234,COLUMNS('Costs Summary'!$B$212:K$234)+1,0)</f>
        <v>2081.5317785632151</v>
      </c>
      <c r="L35" s="424">
        <f>VLOOKUP($A$2,'Costs Summary'!$B$212:$R$234,COLUMNS('Costs Summary'!$B$212:L$234)+1,0)</f>
        <v>1815.8371387974114</v>
      </c>
      <c r="M35" s="424">
        <f>VLOOKUP($A$2,'Costs Summary'!$B$212:$R$234,COLUMNS('Costs Summary'!$B$212:M$234)+1,0)</f>
        <v>1550.1424990316077</v>
      </c>
      <c r="N35" s="424">
        <f>VLOOKUP($A$2,'Costs Summary'!$B$212:$R$234,COLUMNS('Costs Summary'!$B$212:N$234)+1,0)</f>
        <v>1284.447859265804</v>
      </c>
      <c r="O35" s="424">
        <f>VLOOKUP($A$2,'Costs Summary'!$B$212:$R$234,COLUMNS('Costs Summary'!$B$212:O$234)+1,0)</f>
        <v>1018.7532195000005</v>
      </c>
      <c r="P35" s="424">
        <f>VLOOKUP($A$2,'Costs Summary'!$B$212:$R$234,COLUMNS('Costs Summary'!$B$212:P$234)+1,0)</f>
        <v>1018.7532195</v>
      </c>
      <c r="Q35" s="433">
        <f>SUM(G35:P35)</f>
        <v>16608.228888942504</v>
      </c>
      <c r="R35" s="366"/>
      <c r="S35" s="357"/>
      <c r="T35" s="8"/>
      <c r="U35" s="8"/>
    </row>
    <row r="36" spans="1:21" s="7" customFormat="1" ht="17.25" customHeight="1" thickBot="1">
      <c r="A36" s="437" t="s">
        <v>338</v>
      </c>
      <c r="C36" s="423"/>
      <c r="D36" s="423"/>
      <c r="E36" s="368" t="s">
        <v>669</v>
      </c>
      <c r="F36" s="461">
        <f t="shared" ref="F36:P36" si="10">SUM(F32:F35)</f>
        <v>336671.82529999997</v>
      </c>
      <c r="G36" s="461">
        <f t="shared" si="10"/>
        <v>445993.49384605035</v>
      </c>
      <c r="H36" s="461">
        <f t="shared" si="10"/>
        <v>467222.00098611711</v>
      </c>
      <c r="I36" s="461">
        <f t="shared" si="10"/>
        <v>482966.90238691343</v>
      </c>
      <c r="J36" s="461">
        <f t="shared" si="10"/>
        <v>499267.95256962988</v>
      </c>
      <c r="K36" s="461">
        <f t="shared" si="10"/>
        <v>516144.49007924885</v>
      </c>
      <c r="L36" s="461">
        <f t="shared" si="10"/>
        <v>533616.52650995518</v>
      </c>
      <c r="M36" s="461">
        <f t="shared" si="10"/>
        <v>551704.76994786295</v>
      </c>
      <c r="N36" s="461">
        <f t="shared" si="10"/>
        <v>655347.4959804524</v>
      </c>
      <c r="O36" s="461">
        <f t="shared" si="10"/>
        <v>677705.27543963434</v>
      </c>
      <c r="P36" s="461">
        <f t="shared" si="10"/>
        <v>701115.52974832314</v>
      </c>
      <c r="Q36" s="462">
        <f t="shared" ref="Q36" si="11">SUM(Q32:Q35)</f>
        <v>5531084.4374941885</v>
      </c>
      <c r="R36" s="366"/>
      <c r="S36" s="357"/>
      <c r="T36" s="8"/>
      <c r="U36" s="8"/>
    </row>
    <row r="37" spans="1:21" s="7" customFormat="1" ht="17.25" customHeight="1" thickTop="1" thickBot="1">
      <c r="C37" s="423"/>
      <c r="D37" s="423"/>
      <c r="E37" s="368" t="s">
        <v>340</v>
      </c>
      <c r="F37" s="468">
        <f>F36/(VLOOKUP($A$2,'Asset Attributes'!$B$3:$D$25,3,0))</f>
        <v>12.349038084583499</v>
      </c>
      <c r="G37" s="468">
        <f>G36/(VLOOKUP($A$2,'Asset Attributes'!$B$3:$D$25,3,0))</f>
        <v>16.358929459195625</v>
      </c>
      <c r="H37" s="468">
        <f>H36/(VLOOKUP($A$2,'Asset Attributes'!$B$3:$D$25,3,0))</f>
        <v>17.137585775084073</v>
      </c>
      <c r="I37" s="468">
        <f>I36/(VLOOKUP($A$2,'Asset Attributes'!$B$3:$D$25,3,0))</f>
        <v>17.715104808235097</v>
      </c>
      <c r="J37" s="468">
        <f>J36/(VLOOKUP($A$2,'Asset Attributes'!$B$3:$D$25,3,0))</f>
        <v>18.313023239175067</v>
      </c>
      <c r="K37" s="468">
        <f>K36/(VLOOKUP($A$2,'Asset Attributes'!$B$3:$D$25,3,0))</f>
        <v>18.932050400882105</v>
      </c>
      <c r="L37" s="468">
        <f>L36/(VLOOKUP($A$2,'Asset Attributes'!$B$3:$D$25,3,0))</f>
        <v>19.572920313610211</v>
      </c>
      <c r="M37" s="468">
        <f>M36/(VLOOKUP($A$2,'Asset Attributes'!$B$3:$D$25,3,0))</f>
        <v>20.236392544762605</v>
      </c>
      <c r="N37" s="468">
        <f>N36/(VLOOKUP($A$2,'Asset Attributes'!$B$3:$D$25,3,0))</f>
        <v>24.037981732767943</v>
      </c>
      <c r="O37" s="468">
        <f>O36/(VLOOKUP($A$2,'Asset Attributes'!$B$3:$D$25,3,0))</f>
        <v>24.858059473998985</v>
      </c>
      <c r="P37" s="468">
        <f>P36/(VLOOKUP($A$2,'Asset Attributes'!$B$3:$D$25,3,0))</f>
        <v>25.716741728655069</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297195.53999999998</v>
      </c>
      <c r="G39" s="424">
        <f>VLOOKUP($A$2,'Costs Summary'!$B$4:$R$26,COLUMNS('Costs Summary'!$B$4:G$26)+1,0)</f>
        <v>418666.11844491982</v>
      </c>
      <c r="H39" s="424">
        <f>VLOOKUP($A$2,'Costs Summary'!$B$4:$R$26,COLUMNS('Costs Summary'!$B$4:H$26)+1,0)</f>
        <v>433319.43259049201</v>
      </c>
      <c r="I39" s="424">
        <f>VLOOKUP($A$2,'Costs Summary'!$B$4:$R$26,COLUMNS('Costs Summary'!$B$4:I$26)+1,0)</f>
        <v>448485.6127311592</v>
      </c>
      <c r="J39" s="424">
        <f>VLOOKUP($A$2,'Costs Summary'!$B$4:$R$26,COLUMNS('Costs Summary'!$B$4:J$26)+1,0)</f>
        <v>464182.60917674971</v>
      </c>
      <c r="K39" s="424">
        <f>VLOOKUP($A$2,'Costs Summary'!$B$4:$R$26,COLUMNS('Costs Summary'!$B$4:K$26)+1,0)</f>
        <v>402370.78029302869</v>
      </c>
      <c r="L39" s="424">
        <f>VLOOKUP($A$2,'Costs Summary'!$B$4:$R$26,COLUMNS('Costs Summary'!$B$4:L$26)+1,0)</f>
        <v>416453.75760328467</v>
      </c>
      <c r="M39" s="424">
        <f>VLOOKUP($A$2,'Costs Summary'!$B$4:$R$26,COLUMNS('Costs Summary'!$B$4:M$26)+1,0)</f>
        <v>431029.6391193996</v>
      </c>
      <c r="N39" s="424">
        <f>VLOOKUP($A$2,'Costs Summary'!$B$4:$R$26,COLUMNS('Costs Summary'!$B$4:N$26)+1,0)</f>
        <v>525960.91479778406</v>
      </c>
      <c r="O39" s="424">
        <f>VLOOKUP($A$2,'Costs Summary'!$B$4:$R$26,COLUMNS('Costs Summary'!$B$4:O$26)+1,0)</f>
        <v>544369.54681570642</v>
      </c>
      <c r="P39" s="424">
        <f>VLOOKUP($A$2,'Costs Summary'!$B$4:$R$26,COLUMNS('Costs Summary'!$B$4:P$26)+1,0)</f>
        <v>563422.48095425614</v>
      </c>
      <c r="Q39" s="433">
        <f>SUM(G39:P39)</f>
        <v>4648260.8925267803</v>
      </c>
      <c r="R39" s="366"/>
      <c r="S39" s="357"/>
      <c r="T39" s="8"/>
      <c r="U39" s="8"/>
    </row>
    <row r="40" spans="1:21" s="7" customFormat="1" ht="17.25" customHeight="1">
      <c r="A40" s="368" t="s">
        <v>284</v>
      </c>
      <c r="B40" s="368" t="s">
        <v>343</v>
      </c>
      <c r="C40" s="423"/>
      <c r="D40" s="423"/>
      <c r="E40" s="423"/>
      <c r="F40" s="424">
        <f>VLOOKUP($A$2,'Costs Summary'!$B$33:$R$55,COLUMNS('Costs Summary'!$B$33:F$55)+1,0)</f>
        <v>39476.285300000003</v>
      </c>
      <c r="G40" s="424">
        <f>VLOOKUP($A$2,'Costs Summary'!$B$33:$R$55,COLUMNS('Costs Summary'!$B$33:G$55)+1,0)</f>
        <v>27327.375401130532</v>
      </c>
      <c r="H40" s="424">
        <f>VLOOKUP($A$2,'Costs Summary'!$B$33:$R$55,COLUMNS('Costs Summary'!$B$33:H$55)+1,0)</f>
        <v>28147.19666316445</v>
      </c>
      <c r="I40" s="424">
        <f>VLOOKUP($A$2,'Costs Summary'!$B$33:$R$55,COLUMNS('Costs Summary'!$B$33:I$55)+1,0)</f>
        <v>28991.612563059385</v>
      </c>
      <c r="J40" s="424">
        <f>VLOOKUP($A$2,'Costs Summary'!$B$33:$R$55,COLUMNS('Costs Summary'!$B$33:J$55)+1,0)</f>
        <v>29861.36093995117</v>
      </c>
      <c r="K40" s="424">
        <f>VLOOKUP($A$2,'Costs Summary'!$B$33:$R$55,COLUMNS('Costs Summary'!$B$33:K$55)+1,0)</f>
        <v>16873.525704254742</v>
      </c>
      <c r="L40" s="424">
        <f>VLOOKUP($A$2,'Costs Summary'!$B$33:$R$55,COLUMNS('Costs Summary'!$B$33:L$55)+1,0)</f>
        <v>17379.731475382385</v>
      </c>
      <c r="M40" s="424">
        <f>VLOOKUP($A$2,'Costs Summary'!$B$33:$R$55,COLUMNS('Costs Summary'!$B$33:M$55)+1,0)</f>
        <v>17901.123419643856</v>
      </c>
      <c r="N40" s="424">
        <f>VLOOKUP($A$2,'Costs Summary'!$B$33:$R$55,COLUMNS('Costs Summary'!$B$33:N$55)+1,0)</f>
        <v>16270.861737337209</v>
      </c>
      <c r="O40" s="424">
        <f>VLOOKUP($A$2,'Costs Summary'!$B$33:$R$55,COLUMNS('Costs Summary'!$B$33:O$55)+1,0)</f>
        <v>16758.987589457327</v>
      </c>
      <c r="P40" s="424">
        <f>VLOOKUP($A$2,'Costs Summary'!$B$33:$R$55,COLUMNS('Costs Summary'!$B$33:P$55)+1,0)</f>
        <v>17261.757217141043</v>
      </c>
      <c r="Q40" s="433">
        <f>SUM(G40:P40)</f>
        <v>216773.53271052206</v>
      </c>
      <c r="R40" s="366"/>
      <c r="S40" s="357"/>
      <c r="T40" s="8"/>
      <c r="U40" s="8"/>
    </row>
    <row r="41" spans="1:21" s="7" customFormat="1" ht="17.25" customHeight="1">
      <c r="A41" s="368" t="s">
        <v>284</v>
      </c>
      <c r="B41" s="368" t="s">
        <v>336</v>
      </c>
      <c r="H41" s="424">
        <f>VLOOKUP($A$2,'Costs Summary'!$B$125:$R$147,COLUMNS('Costs Summary'!$B$125:H$147)+1,0)</f>
        <v>2876.7560346</v>
      </c>
      <c r="I41" s="424">
        <f>VLOOKUP($A$2,'Costs Summary'!$B$125:$R$147,COLUMNS('Costs Summary'!$B$125:I$147)+1,0)</f>
        <v>2876.7560346</v>
      </c>
      <c r="J41" s="424">
        <f>VLOOKUP($A$2,'Costs Summary'!$B$125:$R$147,COLUMNS('Costs Summary'!$B$125:J$147)+1,0)</f>
        <v>2876.7560346</v>
      </c>
      <c r="K41" s="424">
        <f>VLOOKUP($A$2,'Costs Summary'!$B$125:$R$147,COLUMNS('Costs Summary'!$B$125:K$147)+1,0)</f>
        <v>1578.2000346000002</v>
      </c>
      <c r="L41" s="424">
        <f>VLOOKUP($A$2,'Costs Summary'!$B$125:$R$147,COLUMNS('Costs Summary'!$B$125:L$147)+1,0)</f>
        <v>1578.2000346000002</v>
      </c>
      <c r="M41" s="424">
        <f>VLOOKUP($A$2,'Costs Summary'!$B$125:$R$147,COLUMNS('Costs Summary'!$B$125:M$147)+1,0)</f>
        <v>1578.2000346000002</v>
      </c>
      <c r="N41" s="424">
        <f>VLOOKUP($A$2,'Costs Summary'!$B$125:$R$147,COLUMNS('Costs Summary'!$B$125:N$147)+1,0)</f>
        <v>1392.6920346000002</v>
      </c>
      <c r="O41" s="424">
        <f>VLOOKUP($A$2,'Costs Summary'!$B$125:$R$147,COLUMNS('Costs Summary'!$B$125:O$147)+1,0)</f>
        <v>1392.6920346000002</v>
      </c>
      <c r="P41" s="424">
        <f>VLOOKUP($A$2,'Costs Summary'!$B$125:$R$147,COLUMNS('Costs Summary'!$B$125:P$147)+1,0)</f>
        <v>1392.6920346000002</v>
      </c>
      <c r="Q41" s="433">
        <f t="shared" ref="Q41:Q42" si="12">SUM(G41:P41)</f>
        <v>17542.944311400002</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2878.6156978606255</v>
      </c>
      <c r="I42" s="424">
        <f>VLOOKUP($A$2,'Costs Summary'!$B$212:$R$234,COLUMNS('Costs Summary'!$B$212:I$234)+1,0)</f>
        <v>2612.921058094822</v>
      </c>
      <c r="J42" s="424">
        <f>VLOOKUP($A$2,'Costs Summary'!$B$212:$R$234,COLUMNS('Costs Summary'!$B$212:J$234)+1,0)</f>
        <v>2347.2264183290185</v>
      </c>
      <c r="K42" s="424">
        <f>VLOOKUP($A$2,'Costs Summary'!$B$212:$R$234,COLUMNS('Costs Summary'!$B$212:K$234)+1,0)</f>
        <v>2081.5317785632151</v>
      </c>
      <c r="L42" s="424">
        <f>VLOOKUP($A$2,'Costs Summary'!$B$212:$R$234,COLUMNS('Costs Summary'!$B$212:L$234)+1,0)</f>
        <v>1815.8371387974114</v>
      </c>
      <c r="M42" s="424">
        <f>VLOOKUP($A$2,'Costs Summary'!$B$212:$R$234,COLUMNS('Costs Summary'!$B$212:M$234)+1,0)</f>
        <v>1550.1424990316077</v>
      </c>
      <c r="N42" s="424">
        <f>VLOOKUP($A$2,'Costs Summary'!$B$212:$R$234,COLUMNS('Costs Summary'!$B$212:N$234)+1,0)</f>
        <v>1284.447859265804</v>
      </c>
      <c r="O42" s="424">
        <f>VLOOKUP($A$2,'Costs Summary'!$B$212:$R$234,COLUMNS('Costs Summary'!$B$212:O$234)+1,0)</f>
        <v>1018.7532195000005</v>
      </c>
      <c r="P42" s="424">
        <f>VLOOKUP($A$2,'Costs Summary'!$B$212:$R$234,COLUMNS('Costs Summary'!$B$212:P$234)+1,0)</f>
        <v>1018.7532195</v>
      </c>
      <c r="Q42" s="433">
        <f t="shared" si="12"/>
        <v>16608.228888942504</v>
      </c>
      <c r="R42" s="366"/>
      <c r="S42" s="357"/>
      <c r="T42" s="8"/>
      <c r="U42" s="8"/>
    </row>
    <row r="43" spans="1:21" s="7" customFormat="1" ht="17.25" customHeight="1" thickBot="1">
      <c r="A43" s="437" t="s">
        <v>338</v>
      </c>
      <c r="E43" s="368" t="s">
        <v>669</v>
      </c>
      <c r="F43" s="461">
        <f t="shared" ref="F43:P43" si="13">SUM(F39:F42)</f>
        <v>336671.82529999997</v>
      </c>
      <c r="G43" s="461">
        <f t="shared" si="13"/>
        <v>445993.49384605035</v>
      </c>
      <c r="H43" s="461">
        <f t="shared" si="13"/>
        <v>467222.00098611711</v>
      </c>
      <c r="I43" s="461">
        <f t="shared" si="13"/>
        <v>482966.90238691343</v>
      </c>
      <c r="J43" s="461">
        <f t="shared" si="13"/>
        <v>499267.95256962988</v>
      </c>
      <c r="K43" s="461">
        <f t="shared" si="13"/>
        <v>422904.03781044664</v>
      </c>
      <c r="L43" s="461">
        <f t="shared" si="13"/>
        <v>437227.52625206445</v>
      </c>
      <c r="M43" s="461">
        <f t="shared" si="13"/>
        <v>452059.10507267504</v>
      </c>
      <c r="N43" s="461">
        <f t="shared" si="13"/>
        <v>544908.91642898705</v>
      </c>
      <c r="O43" s="461">
        <f t="shared" si="13"/>
        <v>563539.97965926363</v>
      </c>
      <c r="P43" s="461">
        <f t="shared" si="13"/>
        <v>583095.68342549715</v>
      </c>
      <c r="Q43" s="462">
        <f t="shared" ref="Q43" si="14">SUM(Q39:Q42)</f>
        <v>4899185.5984376455</v>
      </c>
      <c r="R43" s="366"/>
      <c r="S43" s="357"/>
      <c r="T43" s="8"/>
      <c r="U43" s="8"/>
    </row>
    <row r="44" spans="1:21" s="7" customFormat="1" ht="17.25" customHeight="1" thickTop="1" thickBot="1">
      <c r="E44" s="368" t="s">
        <v>340</v>
      </c>
      <c r="F44" s="468">
        <f>F43/(VLOOKUP($A$2,'Asset Attributes'!$B$3:$D$25,3,0))</f>
        <v>12.349038084583499</v>
      </c>
      <c r="G44" s="468">
        <f>G43/(VLOOKUP($A$2,'Asset Attributes'!$B$3:$D$25,3,0))</f>
        <v>16.358929459195625</v>
      </c>
      <c r="H44" s="468">
        <f>H43/(VLOOKUP($A$2,'Asset Attributes'!$B$3:$D$25,3,0))</f>
        <v>17.137585775084073</v>
      </c>
      <c r="I44" s="468">
        <f>I43/(VLOOKUP($A$2,'Asset Attributes'!$B$3:$D$25,3,0))</f>
        <v>17.715104808235097</v>
      </c>
      <c r="J44" s="468">
        <f>J43/(VLOOKUP($A$2,'Asset Attributes'!$B$3:$D$25,3,0))</f>
        <v>18.313023239175067</v>
      </c>
      <c r="K44" s="468">
        <f>K43/(VLOOKUP($A$2,'Asset Attributes'!$B$3:$D$25,3,0))</f>
        <v>15.512014004711391</v>
      </c>
      <c r="L44" s="468">
        <f>L43/(VLOOKUP($A$2,'Asset Attributes'!$B$3:$D$25,3,0))</f>
        <v>16.037395967137307</v>
      </c>
      <c r="M44" s="468">
        <f>M43/(VLOOKUP($A$2,'Asset Attributes'!$B$3:$D$25,3,0))</f>
        <v>16.581414557190151</v>
      </c>
      <c r="N44" s="468">
        <f>N43/(VLOOKUP($A$2,'Asset Attributes'!$B$3:$D$25,3,0))</f>
        <v>19.98712234269842</v>
      </c>
      <c r="O44" s="468">
        <f>O43/(VLOOKUP($A$2,'Asset Attributes'!$B$3:$D$25,3,0))</f>
        <v>20.670505067647127</v>
      </c>
      <c r="P44" s="468">
        <f>P43/(VLOOKUP($A$2,'Asset Attributes'!$B$3:$D$25,3,0))</f>
        <v>21.387803375472146</v>
      </c>
      <c r="Q44" s="460">
        <f>Q43/(VLOOKUP($A$2,'Asset Attributes'!$B$3:$D$25,3,0))</f>
        <v>179.70089859654644</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-93240.452268802212</v>
      </c>
      <c r="L46" s="461">
        <f t="shared" si="15"/>
        <v>-96389.00025789073</v>
      </c>
      <c r="M46" s="461">
        <f t="shared" si="15"/>
        <v>-99645.664875187911</v>
      </c>
      <c r="N46" s="461">
        <f t="shared" si="15"/>
        <v>-110438.57955146534</v>
      </c>
      <c r="O46" s="461">
        <f t="shared" si="15"/>
        <v>-114165.29578037071</v>
      </c>
      <c r="P46" s="461">
        <f t="shared" si="15"/>
        <v>-118019.84632282599</v>
      </c>
      <c r="Q46" s="462">
        <f>SUM(F46:P46)</f>
        <v>-631898.83905654284</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-3.4200363961707154</v>
      </c>
      <c r="L47" s="468">
        <f>L46/(VLOOKUP($A$2,'Asset Attributes'!$B$3:$D$25,3,0))</f>
        <v>-3.535524346472902</v>
      </c>
      <c r="M47" s="468">
        <f>M46/(VLOOKUP($A$2,'Asset Attributes'!$B$3:$D$25,3,0))</f>
        <v>-3.6549779875724577</v>
      </c>
      <c r="N47" s="468">
        <f>N46/(VLOOKUP($A$2,'Asset Attributes'!$B$3:$D$25,3,0))</f>
        <v>-4.0508593900695207</v>
      </c>
      <c r="O47" s="468">
        <f>O46/(VLOOKUP($A$2,'Asset Attributes'!$B$3:$D$25,3,0))</f>
        <v>-4.1875544063518584</v>
      </c>
      <c r="P47" s="468">
        <f>P46/(VLOOKUP($A$2,'Asset Attributes'!$B$3:$D$25,3,0))</f>
        <v>-4.328938353182922</v>
      </c>
      <c r="Q47" s="460">
        <f>Q46/(VLOOKUP($A$2,'Asset Attributes'!$B$3:$D$25,3,0))</f>
        <v>-23.177890879820374</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G116</f>
        <v>0</v>
      </c>
      <c r="H49" s="464">
        <f t="shared" si="16"/>
        <v>25000</v>
      </c>
      <c r="I49" s="464">
        <f t="shared" si="16"/>
        <v>0</v>
      </c>
      <c r="J49" s="464">
        <f t="shared" si="16"/>
        <v>3465459</v>
      </c>
      <c r="K49" s="464">
        <f t="shared" si="16"/>
        <v>364200</v>
      </c>
      <c r="L49" s="464">
        <f t="shared" si="16"/>
        <v>0</v>
      </c>
      <c r="M49" s="464">
        <f t="shared" si="16"/>
        <v>466100</v>
      </c>
      <c r="N49" s="464">
        <f t="shared" si="16"/>
        <v>0</v>
      </c>
      <c r="O49" s="464">
        <f t="shared" si="16"/>
        <v>484900</v>
      </c>
      <c r="P49" s="464">
        <f t="shared" si="16"/>
        <v>0</v>
      </c>
      <c r="Q49" s="465">
        <f>+SUM(F49:P49)</f>
        <v>4805659</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-93240.452268802212</v>
      </c>
      <c r="L50" s="466">
        <f t="shared" si="17"/>
        <v>-96389.00025789073</v>
      </c>
      <c r="M50" s="466">
        <f t="shared" si="17"/>
        <v>-99645.664875187911</v>
      </c>
      <c r="N50" s="466">
        <f t="shared" si="17"/>
        <v>-110438.57955146534</v>
      </c>
      <c r="O50" s="466">
        <f t="shared" si="17"/>
        <v>-114165.29578037071</v>
      </c>
      <c r="P50" s="466">
        <f t="shared" si="17"/>
        <v>-118019.84632282599</v>
      </c>
      <c r="Q50" s="467">
        <f>Q46</f>
        <v>-631898.83905654284</v>
      </c>
      <c r="R50" s="366"/>
      <c r="S50" s="357"/>
      <c r="T50" s="8"/>
      <c r="U50" s="8"/>
      <c r="V50" s="8"/>
      <c r="W50" s="8"/>
      <c r="X50" s="8"/>
    </row>
    <row r="51" spans="1:24" s="7" customFormat="1" ht="17.25" customHeight="1">
      <c r="A51" s="9"/>
      <c r="B51" s="368"/>
      <c r="C51" s="2"/>
      <c r="D51" s="2"/>
      <c r="E51" s="540" t="s">
        <v>670</v>
      </c>
      <c r="F51" s="541">
        <f>-1*F50</f>
        <v>0</v>
      </c>
      <c r="G51" s="541">
        <f t="shared" ref="G51:P51" si="18">-1*G50</f>
        <v>0</v>
      </c>
      <c r="H51" s="541">
        <f t="shared" si="18"/>
        <v>0</v>
      </c>
      <c r="I51" s="541">
        <f t="shared" si="18"/>
        <v>0</v>
      </c>
      <c r="J51" s="541">
        <f t="shared" si="18"/>
        <v>0</v>
      </c>
      <c r="K51" s="541">
        <f t="shared" si="18"/>
        <v>93240.452268802212</v>
      </c>
      <c r="L51" s="541">
        <f t="shared" si="18"/>
        <v>96389.00025789073</v>
      </c>
      <c r="M51" s="541">
        <f t="shared" si="18"/>
        <v>99645.664875187911</v>
      </c>
      <c r="N51" s="541">
        <f t="shared" si="18"/>
        <v>110438.57955146534</v>
      </c>
      <c r="O51" s="541">
        <f t="shared" si="18"/>
        <v>114165.29578037071</v>
      </c>
      <c r="P51" s="541">
        <f t="shared" si="18"/>
        <v>118019.84632282599</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526</v>
      </c>
      <c r="D55" s="10"/>
      <c r="E55" s="441" t="s">
        <v>205</v>
      </c>
      <c r="F55" s="200" t="s">
        <v>188</v>
      </c>
      <c r="G55" s="200" t="str">
        <f>G67</f>
        <v>CURRENT</v>
      </c>
      <c r="H55" s="200" t="str">
        <f t="shared" ref="H55:P55" si="19">H67</f>
        <v>FY25</v>
      </c>
      <c r="I55" s="200" t="str">
        <f t="shared" si="19"/>
        <v>FY26</v>
      </c>
      <c r="J55" s="200" t="str">
        <f t="shared" si="19"/>
        <v>FY27</v>
      </c>
      <c r="K55" s="200" t="str">
        <f t="shared" si="19"/>
        <v>FY28</v>
      </c>
      <c r="L55" s="200" t="str">
        <f t="shared" si="19"/>
        <v>FY29</v>
      </c>
      <c r="M55" s="200" t="str">
        <f t="shared" si="19"/>
        <v>FY30</v>
      </c>
      <c r="N55" s="200" t="str">
        <f t="shared" si="19"/>
        <v>FY31</v>
      </c>
      <c r="O55" s="200" t="str">
        <f t="shared" si="19"/>
        <v>FY32</v>
      </c>
      <c r="P55" s="200" t="str">
        <f t="shared" si="19"/>
        <v>FY33</v>
      </c>
      <c r="Q55" s="200" t="s">
        <v>84</v>
      </c>
      <c r="R55" s="992" t="s">
        <v>354</v>
      </c>
      <c r="S55" s="992"/>
      <c r="T55" s="992" t="s">
        <v>355</v>
      </c>
      <c r="U55" s="992"/>
      <c r="V55" s="992" t="s">
        <v>356</v>
      </c>
      <c r="W55" s="992"/>
      <c r="X55" s="8"/>
    </row>
    <row r="56" spans="1:24" ht="25.5" customHeight="1" thickTop="1">
      <c r="A56" s="438" t="s">
        <v>357</v>
      </c>
      <c r="B56" s="11"/>
      <c r="C56" s="442">
        <v>45016</v>
      </c>
      <c r="D56" s="159"/>
      <c r="E56" s="487" t="str">
        <f>A2</f>
        <v>135 King Street</v>
      </c>
      <c r="F56" s="440">
        <f t="shared" ref="F56:P56" si="20">F273</f>
        <v>5.5572639747090102</v>
      </c>
      <c r="G56" s="440">
        <f t="shared" si="20"/>
        <v>5.5572639747090102</v>
      </c>
      <c r="H56" s="440">
        <f t="shared" si="20"/>
        <v>5.5572639747090102</v>
      </c>
      <c r="I56" s="440">
        <f t="shared" si="20"/>
        <v>5.5572639747090102</v>
      </c>
      <c r="J56" s="440">
        <f t="shared" si="20"/>
        <v>5.5572639747090102</v>
      </c>
      <c r="K56" s="440">
        <f t="shared" si="20"/>
        <v>5.65751459975733</v>
      </c>
      <c r="L56" s="440">
        <f t="shared" si="20"/>
        <v>5.7455724710361702</v>
      </c>
      <c r="M56" s="440">
        <f t="shared" si="20"/>
        <v>5.7455724710361702</v>
      </c>
      <c r="N56" s="440">
        <f t="shared" si="20"/>
        <v>5.7336862891148463</v>
      </c>
      <c r="O56" s="440">
        <f t="shared" si="20"/>
        <v>5.7336862891148463</v>
      </c>
      <c r="P56" s="440">
        <f t="shared" si="20"/>
        <v>5.7336862891148463</v>
      </c>
      <c r="Q56" s="470">
        <f>IF(E56="",0,P56-F56)</f>
        <v>0.17642231440583611</v>
      </c>
      <c r="R56" s="473" t="s">
        <v>358</v>
      </c>
      <c r="S56" s="478" t="s">
        <v>18</v>
      </c>
      <c r="T56" s="473" t="s">
        <v>358</v>
      </c>
      <c r="U56" s="478" t="s">
        <v>18</v>
      </c>
      <c r="V56" s="473" t="s">
        <v>358</v>
      </c>
      <c r="W56" s="479" t="s">
        <v>18</v>
      </c>
      <c r="X56" s="14"/>
    </row>
    <row r="57" spans="1:24" ht="25.5" customHeight="1">
      <c r="A57" s="438" t="s">
        <v>6</v>
      </c>
      <c r="C57" s="275" t="s">
        <v>118</v>
      </c>
      <c r="D57" s="160" t="s">
        <v>676</v>
      </c>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IF(S56="Underway","",R116)</f>
        <v>3875359</v>
      </c>
      <c r="T57" s="473" t="s">
        <v>669</v>
      </c>
      <c r="U57" s="479">
        <f>IF(U56="Underway","",S116)</f>
        <v>2825300</v>
      </c>
      <c r="V57" s="473" t="s">
        <v>361</v>
      </c>
      <c r="W57" s="478" t="s">
        <v>675</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IF(S56="Underway","",-1*(1000*AL215*D6+AM215*D8))</f>
        <v>46096.932107904111</v>
      </c>
      <c r="T58" s="473" t="s">
        <v>367</v>
      </c>
      <c r="U58" s="478">
        <f>IF(U56="Underway","",-1*S64)</f>
        <v>0.51588107651483639</v>
      </c>
      <c r="V58" s="473" t="s">
        <v>368</v>
      </c>
      <c r="W58" s="478">
        <v>0.14000000000000001</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V116</f>
        <v>9.138521019854285E-3</v>
      </c>
      <c r="T59" s="473" t="s">
        <v>371</v>
      </c>
      <c r="U59" s="483" t="e">
        <f ca="1">IF(U56="Underway","",_xlfn.MAXIFS(E69:E89,S69:S89,"Yes"))</f>
        <v>#NAME?</v>
      </c>
      <c r="V59" s="482" t="s">
        <v>372</v>
      </c>
      <c r="W59" s="479">
        <f>T116</f>
        <v>25000</v>
      </c>
      <c r="X59" s="14"/>
    </row>
    <row r="60" spans="1:24" ht="25.5" customHeight="1">
      <c r="A60" s="438" t="s">
        <v>373</v>
      </c>
      <c r="B60" s="14"/>
      <c r="C60" s="275">
        <v>22430</v>
      </c>
      <c r="D60" s="160"/>
      <c r="Q60" s="10"/>
      <c r="R60" s="473" t="s">
        <v>374</v>
      </c>
      <c r="S60" s="481">
        <f>IF(S56="Underway","",U116)</f>
        <v>0.22067772768904631</v>
      </c>
      <c r="T60" s="10"/>
      <c r="U60" s="10"/>
      <c r="V60" s="473" t="s">
        <v>375</v>
      </c>
      <c r="W60" s="483" t="e">
        <f ca="1">IF(IF(W58=1,"Complete",_xlfn.MAXIFS(E69:E115,T69:T115,"Yes"))=0,"",IF(W58=1,"Complete",_xlfn.MAXIFS(E69:E115,T69:T115,"Yes")))</f>
        <v>#NAME?</v>
      </c>
      <c r="X60" s="14"/>
    </row>
    <row r="61" spans="1:24" ht="25.5" customHeight="1">
      <c r="A61" s="438" t="s">
        <v>376</v>
      </c>
      <c r="B61" s="14"/>
      <c r="C61" s="444">
        <v>60</v>
      </c>
      <c r="D61" s="162"/>
      <c r="H61" s="13"/>
      <c r="J61" s="14"/>
      <c r="K61" s="14"/>
      <c r="L61" s="14"/>
      <c r="M61" s="10"/>
      <c r="N61" s="10"/>
      <c r="O61" s="10"/>
      <c r="P61" s="10"/>
      <c r="Q61" s="10"/>
      <c r="R61" s="482" t="s">
        <v>377</v>
      </c>
      <c r="S61" s="481">
        <f>P273</f>
        <v>5.7336862891148463</v>
      </c>
      <c r="T61" s="10"/>
      <c r="U61" s="10"/>
      <c r="V61" s="473" t="s">
        <v>378</v>
      </c>
      <c r="W61" s="478">
        <v>0</v>
      </c>
      <c r="X61" s="14"/>
    </row>
    <row r="62" spans="1:24" ht="25.5" customHeight="1">
      <c r="A62" s="438" t="s">
        <v>379</v>
      </c>
      <c r="B62" s="14"/>
      <c r="C62" s="275">
        <v>1415.5930000000001</v>
      </c>
      <c r="H62" s="13"/>
      <c r="J62" s="14"/>
      <c r="K62" s="14"/>
      <c r="L62" s="347"/>
      <c r="M62" s="10"/>
      <c r="N62" s="10"/>
      <c r="O62" s="10"/>
      <c r="P62" s="10"/>
      <c r="Q62" s="10"/>
      <c r="R62" s="482" t="s">
        <v>380</v>
      </c>
      <c r="S62" s="481">
        <f>Q273</f>
        <v>5.7336862891148463</v>
      </c>
      <c r="T62" s="496" t="s">
        <v>381</v>
      </c>
      <c r="U62" s="10"/>
      <c r="V62" s="10"/>
      <c r="W62" s="14"/>
      <c r="X62" s="14"/>
    </row>
    <row r="63" spans="1:24" ht="25.5" customHeight="1">
      <c r="A63" s="438" t="s">
        <v>382</v>
      </c>
      <c r="B63" s="14"/>
      <c r="C63" s="275">
        <v>930.447</v>
      </c>
      <c r="H63" s="13"/>
      <c r="J63" s="14"/>
      <c r="K63" s="14"/>
      <c r="L63" s="10"/>
      <c r="M63" s="10"/>
      <c r="N63" s="10"/>
      <c r="O63" s="10"/>
      <c r="P63" s="10"/>
      <c r="Q63" s="10"/>
      <c r="R63" s="476" t="s">
        <v>383</v>
      </c>
      <c r="S63" s="478">
        <f>C116/C62</f>
        <v>-0.14834772423994749</v>
      </c>
      <c r="T63" s="496" t="s">
        <v>384</v>
      </c>
      <c r="U63" s="10"/>
      <c r="V63" s="10"/>
      <c r="W63" s="14"/>
      <c r="X63" s="14"/>
    </row>
    <row r="64" spans="1:24" ht="25.5" customHeight="1">
      <c r="A64" s="446" t="s">
        <v>385</v>
      </c>
      <c r="B64" s="447"/>
      <c r="C64" s="445">
        <v>50.2</v>
      </c>
      <c r="D64" s="495">
        <f>(AJ216-C64)/C64</f>
        <v>-0.12228315597113718</v>
      </c>
      <c r="H64" s="13"/>
      <c r="J64" s="14"/>
      <c r="K64" s="14"/>
      <c r="L64" s="10"/>
      <c r="M64" s="10"/>
      <c r="N64" s="10"/>
      <c r="O64" s="10"/>
      <c r="P64" s="10"/>
      <c r="Q64" s="10"/>
      <c r="R64" s="476" t="s">
        <v>386</v>
      </c>
      <c r="S64" s="478">
        <f>D116/C63</f>
        <v>-0.51588107651483639</v>
      </c>
      <c r="T64" s="10"/>
      <c r="U64" s="14"/>
      <c r="V64" s="10"/>
      <c r="W64" s="14"/>
      <c r="X64" s="14"/>
    </row>
    <row r="65" spans="1:25" ht="25.5" customHeight="1">
      <c r="B65" s="487" t="s">
        <v>387</v>
      </c>
      <c r="C65" s="489">
        <f>Z217</f>
        <v>5.5572639747090102</v>
      </c>
      <c r="D65" s="16"/>
      <c r="J65" s="14"/>
      <c r="K65" s="14"/>
      <c r="L65" s="14"/>
      <c r="M65" s="14"/>
      <c r="N65" s="14"/>
      <c r="O65" s="14"/>
      <c r="P65" s="14"/>
      <c r="Q65" s="14"/>
      <c r="R65" s="10"/>
      <c r="S65" s="10"/>
      <c r="T65" s="14"/>
      <c r="U65" s="14"/>
      <c r="V65" s="14"/>
      <c r="W65" s="14"/>
      <c r="X65" s="14"/>
      <c r="Y65" s="14"/>
    </row>
    <row r="66" spans="1:25" ht="25.5" customHeight="1" thickBot="1">
      <c r="A66" s="9" t="s">
        <v>389</v>
      </c>
      <c r="B66" s="17"/>
      <c r="E66" s="17"/>
      <c r="F66" s="15"/>
      <c r="G66" s="416">
        <v>45473</v>
      </c>
      <c r="H66" s="416">
        <f>DATE(YEAR(G66)+1,MONTH(G66),DAY(G66))</f>
        <v>45838</v>
      </c>
      <c r="I66" s="416">
        <f t="shared" ref="I66:Q66" si="21">DATE(YEAR(H66)+1,MONTH(H66),DAY(H66))</f>
        <v>46203</v>
      </c>
      <c r="J66" s="416">
        <f t="shared" si="21"/>
        <v>46568</v>
      </c>
      <c r="K66" s="416">
        <f t="shared" si="21"/>
        <v>46934</v>
      </c>
      <c r="L66" s="416">
        <f t="shared" si="21"/>
        <v>47299</v>
      </c>
      <c r="M66" s="416">
        <f t="shared" si="21"/>
        <v>47664</v>
      </c>
      <c r="N66" s="416">
        <f t="shared" si="21"/>
        <v>48029</v>
      </c>
      <c r="O66" s="416">
        <f t="shared" si="21"/>
        <v>48395</v>
      </c>
      <c r="P66" s="416">
        <f t="shared" si="21"/>
        <v>48760</v>
      </c>
      <c r="Q66" s="416">
        <f t="shared" si="21"/>
        <v>49125</v>
      </c>
      <c r="R66" s="9" t="s">
        <v>390</v>
      </c>
      <c r="S66" s="364"/>
      <c r="T66" s="10"/>
      <c r="U66" s="10"/>
      <c r="V66" s="10"/>
      <c r="W66" s="14"/>
      <c r="X66" s="12"/>
      <c r="Y66" s="12"/>
    </row>
    <row r="67" spans="1:25"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4" t="s">
        <v>697</v>
      </c>
      <c r="R67" s="200" t="s">
        <v>397</v>
      </c>
      <c r="S67" s="200" t="s">
        <v>328</v>
      </c>
      <c r="T67" s="200" t="s">
        <v>398</v>
      </c>
      <c r="U67" s="200" t="s">
        <v>399</v>
      </c>
      <c r="V67" s="200" t="s">
        <v>370</v>
      </c>
      <c r="W67" s="200" t="s">
        <v>400</v>
      </c>
      <c r="X67" s="200" t="s">
        <v>401</v>
      </c>
    </row>
    <row r="68" spans="1:25" ht="13.5" hidden="1" thickTop="1">
      <c r="A68" s="17"/>
      <c r="B68" s="371"/>
      <c r="C68" s="371"/>
      <c r="D68" s="371"/>
      <c r="E68" s="371"/>
      <c r="P68" s="372"/>
      <c r="Q68" s="645"/>
      <c r="S68" s="372"/>
      <c r="V68" s="12"/>
      <c r="W68" s="12"/>
      <c r="X68" s="12"/>
      <c r="Y68" s="12"/>
    </row>
    <row r="69" spans="1:25" ht="30.5" thickTop="1">
      <c r="A69" s="652" t="s">
        <v>698</v>
      </c>
      <c r="B69" s="374" t="s">
        <v>528</v>
      </c>
      <c r="C69" s="375">
        <v>-25</v>
      </c>
      <c r="D69" s="376"/>
      <c r="E69" s="377">
        <v>46477</v>
      </c>
      <c r="F69" s="378">
        <v>1484359</v>
      </c>
      <c r="G69" s="403">
        <f t="shared" ref="G69:G78" si="22">IF($E69&lt;G$66,$F69,0)</f>
        <v>0</v>
      </c>
      <c r="H69" s="404">
        <f t="shared" ref="H69:Q78" si="23">IF($E69&gt;H$66,0,IF($E69&gt;H$66-365,$F69,0))</f>
        <v>0</v>
      </c>
      <c r="I69" s="404">
        <f t="shared" si="23"/>
        <v>0</v>
      </c>
      <c r="J69" s="404">
        <f t="shared" si="23"/>
        <v>1484359</v>
      </c>
      <c r="K69" s="404">
        <f t="shared" si="23"/>
        <v>0</v>
      </c>
      <c r="L69" s="404">
        <f t="shared" si="23"/>
        <v>0</v>
      </c>
      <c r="M69" s="404">
        <f t="shared" si="23"/>
        <v>0</v>
      </c>
      <c r="N69" s="404">
        <f t="shared" si="23"/>
        <v>0</v>
      </c>
      <c r="O69" s="404">
        <f t="shared" si="23"/>
        <v>0</v>
      </c>
      <c r="P69" s="404">
        <f t="shared" si="23"/>
        <v>0</v>
      </c>
      <c r="Q69" s="646">
        <f t="shared" si="23"/>
        <v>0</v>
      </c>
      <c r="R69" s="379" t="s">
        <v>32</v>
      </c>
      <c r="S69" s="379"/>
      <c r="T69" s="380"/>
      <c r="U69" s="411">
        <f>IF(-0.75*((C69/(VLOOKUP($A$2,Assumptions!$B$124:$G$147,2,0)))+D69/(VLOOKUP($A$2,Assumptions!$B$124:$G$147,5,0)))=0,"",-0.75*((C69/(VLOOKUP($A$2,Assumptions!$B$124:$G$147,2,0)))+D69/(VLOOKUP($A$2,Assumptions!$B$124:$G$147,5,0))))</f>
        <v>1.672613737734166E-2</v>
      </c>
      <c r="V69" s="412">
        <f t="shared" ref="V69:V89" si="24">IF(ISERROR(((-1*C69*1000*$D$6)+(-1*D69*$D$8))/F69),"",((-1*C69*1000*$D$6)+(-1*D69*$D$8))/F69)</f>
        <v>3.8316613290483794E-3</v>
      </c>
      <c r="W69" s="450"/>
      <c r="X69" s="506" t="s">
        <v>32</v>
      </c>
      <c r="Y69" s="12"/>
    </row>
    <row r="70" spans="1:25" ht="30">
      <c r="A70" s="652" t="s">
        <v>699</v>
      </c>
      <c r="B70" s="374" t="s">
        <v>530</v>
      </c>
      <c r="C70" s="381">
        <v>-25</v>
      </c>
      <c r="D70" s="381"/>
      <c r="E70" s="377">
        <v>46477</v>
      </c>
      <c r="F70" s="378">
        <v>985600</v>
      </c>
      <c r="G70" s="403">
        <f t="shared" si="22"/>
        <v>0</v>
      </c>
      <c r="H70" s="404">
        <f t="shared" si="23"/>
        <v>0</v>
      </c>
      <c r="I70" s="404">
        <f t="shared" si="23"/>
        <v>0</v>
      </c>
      <c r="J70" s="405">
        <f t="shared" si="23"/>
        <v>985600</v>
      </c>
      <c r="K70" s="405">
        <f t="shared" si="23"/>
        <v>0</v>
      </c>
      <c r="L70" s="405">
        <f t="shared" si="23"/>
        <v>0</v>
      </c>
      <c r="M70" s="405">
        <f t="shared" si="23"/>
        <v>0</v>
      </c>
      <c r="N70" s="405">
        <f t="shared" si="23"/>
        <v>0</v>
      </c>
      <c r="O70" s="405">
        <f t="shared" si="23"/>
        <v>0</v>
      </c>
      <c r="P70" s="406">
        <f t="shared" si="23"/>
        <v>0</v>
      </c>
      <c r="Q70" s="646">
        <f t="shared" si="23"/>
        <v>0</v>
      </c>
      <c r="R70" s="379" t="s">
        <v>32</v>
      </c>
      <c r="S70" s="379"/>
      <c r="T70" s="382"/>
      <c r="U70" s="413">
        <f>IF(-0.75*((C70/(VLOOKUP($A$2,Assumptions!$B$124:$G$147,2,0)))+D70/(VLOOKUP($A$2,Assumptions!$B$124:$G$147,5,0)))=0,"",-0.75*((C70/(VLOOKUP($A$2,Assumptions!$B$124:$G$147,2,0)))+D70/(VLOOKUP($A$2,Assumptions!$B$124:$G$147,5,0))))</f>
        <v>1.672613737734166E-2</v>
      </c>
      <c r="V70" s="414">
        <f t="shared" si="24"/>
        <v>5.770658460556943E-3</v>
      </c>
      <c r="W70" s="451"/>
      <c r="X70" s="507" t="s">
        <v>32</v>
      </c>
      <c r="Y70" s="12" t="s">
        <v>700</v>
      </c>
    </row>
    <row r="71" spans="1:25" ht="45">
      <c r="A71" s="652" t="s">
        <v>701</v>
      </c>
      <c r="B71" s="374" t="s">
        <v>532</v>
      </c>
      <c r="C71" s="383">
        <v>-20</v>
      </c>
      <c r="D71" s="383">
        <v>-420</v>
      </c>
      <c r="E71" s="377">
        <v>46477</v>
      </c>
      <c r="F71" s="384">
        <v>878400</v>
      </c>
      <c r="G71" s="403">
        <f t="shared" si="22"/>
        <v>0</v>
      </c>
      <c r="H71" s="404">
        <f t="shared" si="23"/>
        <v>0</v>
      </c>
      <c r="I71" s="405">
        <f t="shared" si="23"/>
        <v>0</v>
      </c>
      <c r="J71" s="405">
        <f t="shared" si="23"/>
        <v>878400</v>
      </c>
      <c r="K71" s="405">
        <f t="shared" si="23"/>
        <v>0</v>
      </c>
      <c r="L71" s="405">
        <f t="shared" si="23"/>
        <v>0</v>
      </c>
      <c r="M71" s="405">
        <f t="shared" si="23"/>
        <v>0</v>
      </c>
      <c r="N71" s="405">
        <f t="shared" si="23"/>
        <v>0</v>
      </c>
      <c r="O71" s="405">
        <f t="shared" si="23"/>
        <v>0</v>
      </c>
      <c r="P71" s="406">
        <f t="shared" si="23"/>
        <v>0</v>
      </c>
      <c r="Q71" s="646">
        <f t="shared" si="23"/>
        <v>0</v>
      </c>
      <c r="R71" s="379" t="s">
        <v>32</v>
      </c>
      <c r="S71" s="379" t="s">
        <v>32</v>
      </c>
      <c r="T71" s="382"/>
      <c r="U71" s="413">
        <f>IF(-0.75*((C71/(VLOOKUP($A$2,Assumptions!$B$124:$G$147,2,0)))+D71/(VLOOKUP($A$2,Assumptions!$B$124:$G$147,5,0)))=0,"",-0.75*((C71/(VLOOKUP($A$2,Assumptions!$B$124:$G$147,2,0)))+D71/(VLOOKUP($A$2,Assumptions!$B$124:$G$147,5,0))))</f>
        <v>8.3536811906327668E-2</v>
      </c>
      <c r="V71" s="414">
        <f t="shared" si="24"/>
        <v>1.881401379239513E-2</v>
      </c>
      <c r="W71" s="451"/>
      <c r="X71" s="507"/>
      <c r="Y71" s="12"/>
    </row>
    <row r="72" spans="1:25" ht="15">
      <c r="A72" s="652" t="s">
        <v>702</v>
      </c>
      <c r="B72" s="374" t="s">
        <v>534</v>
      </c>
      <c r="C72" s="375">
        <v>-40</v>
      </c>
      <c r="D72" s="375"/>
      <c r="E72" s="377">
        <v>46477</v>
      </c>
      <c r="F72" s="378">
        <v>117100</v>
      </c>
      <c r="G72" s="403">
        <f t="shared" si="22"/>
        <v>0</v>
      </c>
      <c r="H72" s="404">
        <f t="shared" si="23"/>
        <v>0</v>
      </c>
      <c r="I72" s="405">
        <f t="shared" si="23"/>
        <v>0</v>
      </c>
      <c r="J72" s="405">
        <f t="shared" si="23"/>
        <v>117100</v>
      </c>
      <c r="K72" s="405">
        <f t="shared" si="23"/>
        <v>0</v>
      </c>
      <c r="L72" s="405">
        <f t="shared" si="23"/>
        <v>0</v>
      </c>
      <c r="M72" s="405">
        <f t="shared" si="23"/>
        <v>0</v>
      </c>
      <c r="N72" s="405">
        <f t="shared" si="23"/>
        <v>0</v>
      </c>
      <c r="O72" s="405">
        <f t="shared" si="23"/>
        <v>0</v>
      </c>
      <c r="P72" s="406">
        <f t="shared" si="23"/>
        <v>0</v>
      </c>
      <c r="Q72" s="646">
        <f t="shared" si="23"/>
        <v>0</v>
      </c>
      <c r="R72" s="379" t="s">
        <v>32</v>
      </c>
      <c r="S72" s="379"/>
      <c r="T72" s="382"/>
      <c r="U72" s="413">
        <f>IF(-0.75*((C72/(VLOOKUP($A$2,Assumptions!$B$124:$G$147,2,0)))+D72/(VLOOKUP($A$2,Assumptions!$B$124:$G$147,5,0)))=0,"",-0.75*((C72/(VLOOKUP($A$2,Assumptions!$B$124:$G$147,2,0)))+D72/(VLOOKUP($A$2,Assumptions!$B$124:$G$147,5,0))))</f>
        <v>2.6761819803746655E-2</v>
      </c>
      <c r="V72" s="414">
        <f t="shared" si="24"/>
        <v>7.7712190998803388E-2</v>
      </c>
      <c r="W72" s="451"/>
      <c r="X72" s="507" t="s">
        <v>32</v>
      </c>
      <c r="Y72" s="12"/>
    </row>
    <row r="73" spans="1:25" ht="15">
      <c r="A73" s="652" t="s">
        <v>703</v>
      </c>
      <c r="B73" s="374" t="s">
        <v>536</v>
      </c>
      <c r="C73" s="381">
        <v>20</v>
      </c>
      <c r="D73" s="381">
        <v>-60</v>
      </c>
      <c r="E73" s="377">
        <v>47573</v>
      </c>
      <c r="F73" s="378">
        <v>466100</v>
      </c>
      <c r="G73" s="403">
        <f t="shared" si="22"/>
        <v>0</v>
      </c>
      <c r="H73" s="404">
        <f t="shared" si="23"/>
        <v>0</v>
      </c>
      <c r="I73" s="405">
        <f t="shared" si="23"/>
        <v>0</v>
      </c>
      <c r="J73" s="405">
        <f t="shared" si="23"/>
        <v>0</v>
      </c>
      <c r="K73" s="405">
        <f t="shared" si="23"/>
        <v>0</v>
      </c>
      <c r="L73" s="405">
        <f t="shared" si="23"/>
        <v>0</v>
      </c>
      <c r="M73" s="405">
        <f t="shared" si="23"/>
        <v>466100</v>
      </c>
      <c r="N73" s="405">
        <f t="shared" si="23"/>
        <v>0</v>
      </c>
      <c r="O73" s="405">
        <f t="shared" si="23"/>
        <v>0</v>
      </c>
      <c r="P73" s="406">
        <f t="shared" si="23"/>
        <v>0</v>
      </c>
      <c r="Q73" s="646">
        <f t="shared" si="23"/>
        <v>0</v>
      </c>
      <c r="R73" s="379"/>
      <c r="S73" s="379" t="s">
        <v>32</v>
      </c>
      <c r="T73" s="382"/>
      <c r="U73" s="413">
        <f>IF(-0.75*((C73/(VLOOKUP($A$2,Assumptions!$B$124:$G$147,2,0)))+D73/(VLOOKUP($A$2,Assumptions!$B$124:$G$147,5,0)))=0,"",-0.75*((C73/(VLOOKUP($A$2,Assumptions!$B$124:$G$147,2,0)))+D73/(VLOOKUP($A$2,Assumptions!$B$124:$G$147,5,0))))</f>
        <v>-3.3586381869512784E-3</v>
      </c>
      <c r="V73" s="414">
        <f t="shared" si="24"/>
        <v>-6.0913233054217747E-3</v>
      </c>
      <c r="W73" s="451"/>
      <c r="X73" s="507"/>
      <c r="Y73" s="12"/>
    </row>
    <row r="74" spans="1:25" ht="15">
      <c r="A74" s="652" t="s">
        <v>699</v>
      </c>
      <c r="B74" s="374" t="s">
        <v>538</v>
      </c>
      <c r="C74" s="375"/>
      <c r="D74" s="375"/>
      <c r="E74" s="377">
        <v>48304</v>
      </c>
      <c r="F74" s="378">
        <v>484900</v>
      </c>
      <c r="G74" s="403">
        <f t="shared" si="22"/>
        <v>0</v>
      </c>
      <c r="H74" s="404">
        <f t="shared" si="23"/>
        <v>0</v>
      </c>
      <c r="I74" s="405">
        <f t="shared" si="23"/>
        <v>0</v>
      </c>
      <c r="J74" s="405">
        <f t="shared" si="23"/>
        <v>0</v>
      </c>
      <c r="K74" s="405">
        <f t="shared" si="23"/>
        <v>0</v>
      </c>
      <c r="L74" s="405">
        <f t="shared" si="23"/>
        <v>0</v>
      </c>
      <c r="M74" s="405">
        <f t="shared" si="23"/>
        <v>0</v>
      </c>
      <c r="N74" s="405">
        <f t="shared" si="23"/>
        <v>0</v>
      </c>
      <c r="O74" s="405">
        <f t="shared" si="23"/>
        <v>484900</v>
      </c>
      <c r="P74" s="406">
        <f t="shared" si="23"/>
        <v>0</v>
      </c>
      <c r="Q74" s="646">
        <f t="shared" si="23"/>
        <v>0</v>
      </c>
      <c r="R74" s="379" t="s">
        <v>32</v>
      </c>
      <c r="S74" s="379"/>
      <c r="T74" s="382"/>
      <c r="U74" s="413" t="str">
        <f>IF(-0.75*((C74/(VLOOKUP($A$2,Assumptions!$B$124:$G$147,2,0)))+D74/(VLOOKUP($A$2,Assumptions!$B$124:$G$147,5,0)))=0,"",-0.75*((C74/(VLOOKUP($A$2,Assumptions!$B$124:$G$147,2,0)))+D74/(VLOOKUP($A$2,Assumptions!$B$124:$G$147,5,0))))</f>
        <v/>
      </c>
      <c r="V74" s="414">
        <f t="shared" si="24"/>
        <v>0</v>
      </c>
      <c r="W74" s="451"/>
      <c r="X74" s="507" t="s">
        <v>32</v>
      </c>
      <c r="Y74" s="12" t="s">
        <v>704</v>
      </c>
    </row>
    <row r="75" spans="1:25" ht="30">
      <c r="A75" s="652" t="s">
        <v>705</v>
      </c>
      <c r="B75" s="374" t="s">
        <v>540</v>
      </c>
      <c r="C75" s="375">
        <v>-80</v>
      </c>
      <c r="D75" s="375"/>
      <c r="E75" s="377">
        <v>46843</v>
      </c>
      <c r="F75" s="378">
        <v>155100</v>
      </c>
      <c r="G75" s="403">
        <f t="shared" si="22"/>
        <v>0</v>
      </c>
      <c r="H75" s="404">
        <f t="shared" si="23"/>
        <v>0</v>
      </c>
      <c r="I75" s="405">
        <f t="shared" si="23"/>
        <v>0</v>
      </c>
      <c r="J75" s="405">
        <f t="shared" si="23"/>
        <v>0</v>
      </c>
      <c r="K75" s="405">
        <f t="shared" si="23"/>
        <v>155100</v>
      </c>
      <c r="L75" s="405">
        <f t="shared" si="23"/>
        <v>0</v>
      </c>
      <c r="M75" s="405">
        <f t="shared" si="23"/>
        <v>0</v>
      </c>
      <c r="N75" s="405">
        <f t="shared" si="23"/>
        <v>0</v>
      </c>
      <c r="O75" s="405">
        <f t="shared" si="23"/>
        <v>0</v>
      </c>
      <c r="P75" s="406">
        <f t="shared" si="23"/>
        <v>0</v>
      </c>
      <c r="Q75" s="646">
        <f t="shared" si="23"/>
        <v>0</v>
      </c>
      <c r="R75" s="379" t="s">
        <v>32</v>
      </c>
      <c r="S75" s="379"/>
      <c r="T75" s="382"/>
      <c r="U75" s="413">
        <f>IF(-0.75*((C75/(VLOOKUP($A$2,Assumptions!$B$124:$G$147,2,0)))+D75/(VLOOKUP($A$2,Assumptions!$B$124:$G$147,5,0)))=0,"",-0.75*((C75/(VLOOKUP($A$2,Assumptions!$B$124:$G$147,2,0)))+D75/(VLOOKUP($A$2,Assumptions!$B$124:$G$147,5,0))))</f>
        <v>5.352363960749331E-2</v>
      </c>
      <c r="V75" s="414">
        <f t="shared" si="24"/>
        <v>0.11734490736247424</v>
      </c>
      <c r="W75" s="451"/>
      <c r="X75" s="507" t="s">
        <v>32</v>
      </c>
      <c r="Y75" s="12"/>
    </row>
    <row r="76" spans="1:25" ht="30">
      <c r="A76" s="652" t="s">
        <v>698</v>
      </c>
      <c r="B76" s="374" t="s">
        <v>542</v>
      </c>
      <c r="C76" s="375">
        <v>-40</v>
      </c>
      <c r="D76" s="375"/>
      <c r="E76" s="377">
        <v>46843</v>
      </c>
      <c r="F76" s="378">
        <v>209100</v>
      </c>
      <c r="G76" s="403">
        <f t="shared" si="22"/>
        <v>0</v>
      </c>
      <c r="H76" s="404">
        <f t="shared" si="23"/>
        <v>0</v>
      </c>
      <c r="I76" s="405">
        <f t="shared" si="23"/>
        <v>0</v>
      </c>
      <c r="J76" s="405">
        <f t="shared" si="23"/>
        <v>0</v>
      </c>
      <c r="K76" s="405">
        <f t="shared" si="23"/>
        <v>209100</v>
      </c>
      <c r="L76" s="405">
        <f t="shared" si="23"/>
        <v>0</v>
      </c>
      <c r="M76" s="405">
        <f t="shared" si="23"/>
        <v>0</v>
      </c>
      <c r="N76" s="405">
        <f t="shared" si="23"/>
        <v>0</v>
      </c>
      <c r="O76" s="405">
        <f t="shared" si="23"/>
        <v>0</v>
      </c>
      <c r="P76" s="406">
        <f t="shared" si="23"/>
        <v>0</v>
      </c>
      <c r="Q76" s="646">
        <f t="shared" si="23"/>
        <v>0</v>
      </c>
      <c r="R76" s="379" t="s">
        <v>32</v>
      </c>
      <c r="S76" s="379"/>
      <c r="T76" s="382"/>
      <c r="U76" s="413">
        <f>IF(-0.75*((C76/(VLOOKUP($A$2,Assumptions!$B$124:$G$147,2,0)))+D76/(VLOOKUP($A$2,Assumptions!$B$124:$G$147,5,0)))=0,"",-0.75*((C76/(VLOOKUP($A$2,Assumptions!$B$124:$G$147,2,0)))+D76/(VLOOKUP($A$2,Assumptions!$B$124:$G$147,5,0))))</f>
        <v>2.6761819803746655E-2</v>
      </c>
      <c r="V76" s="414">
        <f t="shared" si="24"/>
        <v>4.3520313562696686E-2</v>
      </c>
      <c r="W76" s="451"/>
      <c r="X76" s="507" t="s">
        <v>32</v>
      </c>
      <c r="Y76" s="12"/>
    </row>
    <row r="77" spans="1:25" ht="30.5">
      <c r="A77" s="652" t="s">
        <v>706</v>
      </c>
      <c r="B77" s="374" t="s">
        <v>544</v>
      </c>
      <c r="C77" s="375">
        <v>0</v>
      </c>
      <c r="D77" s="375"/>
      <c r="E77" s="377">
        <v>45747</v>
      </c>
      <c r="F77" s="378">
        <v>25000</v>
      </c>
      <c r="G77" s="403">
        <f t="shared" si="22"/>
        <v>0</v>
      </c>
      <c r="H77" s="404">
        <f t="shared" si="23"/>
        <v>25000</v>
      </c>
      <c r="I77" s="405">
        <f t="shared" si="23"/>
        <v>0</v>
      </c>
      <c r="J77" s="405">
        <f t="shared" si="23"/>
        <v>0</v>
      </c>
      <c r="K77" s="405">
        <f t="shared" si="23"/>
        <v>0</v>
      </c>
      <c r="L77" s="405">
        <f t="shared" si="23"/>
        <v>0</v>
      </c>
      <c r="M77" s="405">
        <f t="shared" si="23"/>
        <v>0</v>
      </c>
      <c r="N77" s="405">
        <f t="shared" si="23"/>
        <v>0</v>
      </c>
      <c r="O77" s="405">
        <f t="shared" si="23"/>
        <v>0</v>
      </c>
      <c r="P77" s="406">
        <f t="shared" si="23"/>
        <v>0</v>
      </c>
      <c r="Q77" s="646">
        <f t="shared" si="23"/>
        <v>0</v>
      </c>
      <c r="R77" s="379"/>
      <c r="S77" s="379"/>
      <c r="T77" s="385" t="s">
        <v>32</v>
      </c>
      <c r="U77" s="413" t="str">
        <f>IF(-0.75*((C77/(VLOOKUP($A$2,Assumptions!$B$124:$G$147,2,0)))+D77/(VLOOKUP($A$2,Assumptions!$B$124:$G$147,5,0)))=0,"",-0.75*((C77/(VLOOKUP($A$2,Assumptions!$B$124:$G$147,2,0)))+D77/(VLOOKUP($A$2,Assumptions!$B$124:$G$147,5,0))))</f>
        <v/>
      </c>
      <c r="V77" s="414">
        <f t="shared" si="24"/>
        <v>0</v>
      </c>
      <c r="W77" s="451"/>
      <c r="X77" s="507" t="s">
        <v>32</v>
      </c>
      <c r="Y77" s="18" t="s">
        <v>707</v>
      </c>
    </row>
    <row r="78" spans="1:25" ht="15.5">
      <c r="A78" s="375"/>
      <c r="B78" s="374" t="s">
        <v>708</v>
      </c>
      <c r="C78" s="375"/>
      <c r="D78" s="375"/>
      <c r="E78" s="377">
        <v>49309</v>
      </c>
      <c r="F78" s="378">
        <v>1920000</v>
      </c>
      <c r="G78" s="403">
        <f t="shared" si="22"/>
        <v>0</v>
      </c>
      <c r="H78" s="404">
        <f t="shared" si="23"/>
        <v>0</v>
      </c>
      <c r="I78" s="405">
        <f t="shared" si="23"/>
        <v>0</v>
      </c>
      <c r="J78" s="405">
        <f t="shared" si="23"/>
        <v>0</v>
      </c>
      <c r="K78" s="405">
        <f t="shared" si="23"/>
        <v>0</v>
      </c>
      <c r="L78" s="405">
        <f t="shared" si="23"/>
        <v>0</v>
      </c>
      <c r="M78" s="405">
        <f t="shared" si="23"/>
        <v>0</v>
      </c>
      <c r="N78" s="405">
        <f t="shared" si="23"/>
        <v>0</v>
      </c>
      <c r="O78" s="405">
        <f t="shared" si="23"/>
        <v>0</v>
      </c>
      <c r="P78" s="406">
        <f t="shared" si="23"/>
        <v>0</v>
      </c>
      <c r="Q78" s="646">
        <f t="shared" si="23"/>
        <v>0</v>
      </c>
      <c r="R78" s="379"/>
      <c r="S78" s="379" t="s">
        <v>32</v>
      </c>
      <c r="T78" s="385"/>
      <c r="U78" s="413"/>
      <c r="V78" s="414"/>
      <c r="W78" s="451"/>
      <c r="X78" s="507"/>
      <c r="Y78" s="18"/>
    </row>
    <row r="79" spans="1:25" ht="15">
      <c r="A79" s="373"/>
      <c r="B79" s="458" t="s">
        <v>709</v>
      </c>
      <c r="C79" s="375"/>
      <c r="D79" s="375"/>
      <c r="E79" s="377"/>
      <c r="F79" s="378"/>
      <c r="G79" s="403"/>
      <c r="H79" s="404"/>
      <c r="I79" s="405"/>
      <c r="J79" s="405"/>
      <c r="K79" s="405"/>
      <c r="L79" s="405"/>
      <c r="M79" s="405"/>
      <c r="N79" s="405"/>
      <c r="O79" s="405"/>
      <c r="P79" s="406"/>
      <c r="Q79" s="646"/>
      <c r="R79" s="379"/>
      <c r="S79" s="386"/>
      <c r="T79" s="387"/>
      <c r="U79" s="413" t="str">
        <f>IF(-0.75*((C79/(VLOOKUP($A$2,Assumptions!$B$124:$G$147,2,0)))+D79/(VLOOKUP($A$2,Assumptions!$B$124:$G$147,5,0)))=0,"",-0.75*((C79/(VLOOKUP($A$2,Assumptions!$B$124:$G$147,2,0)))+D79/(VLOOKUP($A$2,Assumptions!$B$124:$G$147,5,0))))</f>
        <v/>
      </c>
      <c r="V79" s="414" t="str">
        <f t="shared" si="24"/>
        <v/>
      </c>
      <c r="W79" s="451"/>
      <c r="X79" s="507"/>
      <c r="Y79" s="12"/>
    </row>
    <row r="80" spans="1:25" ht="15">
      <c r="A80" s="373"/>
      <c r="B80" s="374"/>
      <c r="C80" s="375"/>
      <c r="D80" s="375"/>
      <c r="E80" s="377"/>
      <c r="F80" s="378"/>
      <c r="G80" s="403"/>
      <c r="H80" s="404"/>
      <c r="I80" s="405"/>
      <c r="J80" s="405"/>
      <c r="K80" s="405"/>
      <c r="L80" s="405"/>
      <c r="M80" s="405"/>
      <c r="N80" s="405"/>
      <c r="O80" s="405"/>
      <c r="P80" s="406"/>
      <c r="Q80" s="646"/>
      <c r="R80" s="379"/>
      <c r="S80" s="386"/>
      <c r="T80" s="387"/>
      <c r="U80" s="413" t="str">
        <f>IF(-0.75*((C80/(VLOOKUP($A$2,Assumptions!$B$124:$G$147,2,0)))+D80/(VLOOKUP($A$2,Assumptions!$B$124:$G$147,5,0)))=0,"",-0.75*((C80/(VLOOKUP($A$2,Assumptions!$B$124:$G$147,2,0)))+D80/(VLOOKUP($A$2,Assumptions!$B$124:$G$147,5,0))))</f>
        <v/>
      </c>
      <c r="V80" s="414" t="str">
        <f t="shared" si="24"/>
        <v/>
      </c>
      <c r="W80" s="451"/>
      <c r="X80" s="507"/>
      <c r="Y80" s="12"/>
    </row>
    <row r="81" spans="1:25" ht="15">
      <c r="A81" s="373"/>
      <c r="B81" s="374"/>
      <c r="C81" s="375"/>
      <c r="D81" s="375"/>
      <c r="E81" s="377"/>
      <c r="F81" s="378"/>
      <c r="G81" s="403"/>
      <c r="H81" s="404"/>
      <c r="I81" s="405"/>
      <c r="J81" s="405"/>
      <c r="K81" s="405"/>
      <c r="L81" s="405"/>
      <c r="M81" s="405"/>
      <c r="N81" s="405"/>
      <c r="O81" s="405"/>
      <c r="P81" s="406"/>
      <c r="Q81" s="646"/>
      <c r="R81" s="379"/>
      <c r="S81" s="386"/>
      <c r="T81" s="387"/>
      <c r="U81" s="413" t="str">
        <f>IF(-0.75*((C81/(VLOOKUP($A$2,Assumptions!$B$124:$G$147,2,0)))+D81/(VLOOKUP($A$2,Assumptions!$B$124:$G$147,5,0)))=0,"",-0.75*((C81/(VLOOKUP($A$2,Assumptions!$B$124:$G$147,2,0)))+D81/(VLOOKUP($A$2,Assumptions!$B$124:$G$147,5,0))))</f>
        <v/>
      </c>
      <c r="V81" s="414" t="str">
        <f t="shared" si="24"/>
        <v/>
      </c>
      <c r="W81" s="451"/>
      <c r="X81" s="507"/>
      <c r="Y81" s="12"/>
    </row>
    <row r="82" spans="1:25" ht="15">
      <c r="A82" s="373"/>
      <c r="B82" s="457"/>
      <c r="C82" s="375"/>
      <c r="D82" s="375"/>
      <c r="E82" s="377"/>
      <c r="F82" s="378"/>
      <c r="G82" s="403"/>
      <c r="H82" s="404"/>
      <c r="I82" s="405"/>
      <c r="J82" s="405"/>
      <c r="K82" s="405"/>
      <c r="L82" s="405"/>
      <c r="M82" s="405"/>
      <c r="N82" s="405"/>
      <c r="O82" s="405"/>
      <c r="P82" s="406"/>
      <c r="Q82" s="646"/>
      <c r="R82" s="379"/>
      <c r="S82" s="386"/>
      <c r="T82" s="387"/>
      <c r="U82" s="413" t="str">
        <f>IF(-0.75*((C82/(VLOOKUP($A$2,Assumptions!$B$124:$G$147,2,0)))+D82/(VLOOKUP($A$2,Assumptions!$B$124:$G$147,5,0)))=0,"",-0.75*((C82/(VLOOKUP($A$2,Assumptions!$B$124:$G$147,2,0)))+D82/(VLOOKUP($A$2,Assumptions!$B$124:$G$147,5,0))))</f>
        <v/>
      </c>
      <c r="V82" s="414" t="str">
        <f t="shared" si="24"/>
        <v/>
      </c>
      <c r="W82" s="451"/>
      <c r="X82" s="507"/>
      <c r="Y82" s="12"/>
    </row>
    <row r="83" spans="1:25" ht="15">
      <c r="A83" s="373"/>
      <c r="B83" s="457"/>
      <c r="C83" s="375"/>
      <c r="D83" s="375"/>
      <c r="E83" s="377"/>
      <c r="F83" s="378"/>
      <c r="G83" s="403"/>
      <c r="H83" s="404"/>
      <c r="I83" s="405"/>
      <c r="J83" s="405"/>
      <c r="K83" s="405"/>
      <c r="L83" s="405"/>
      <c r="M83" s="405"/>
      <c r="N83" s="405"/>
      <c r="O83" s="405"/>
      <c r="P83" s="406"/>
      <c r="Q83" s="646"/>
      <c r="R83" s="379"/>
      <c r="S83" s="386"/>
      <c r="T83" s="387"/>
      <c r="U83" s="413" t="str">
        <f>IF(-0.75*((C83/(VLOOKUP($A$2,Assumptions!$B$124:$G$147,2,0)))+D83/(VLOOKUP($A$2,Assumptions!$B$124:$G$147,5,0)))=0,"",-0.75*((C83/(VLOOKUP($A$2,Assumptions!$B$124:$G$147,2,0)))+D83/(VLOOKUP($A$2,Assumptions!$B$124:$G$147,5,0))))</f>
        <v/>
      </c>
      <c r="V83" s="414" t="str">
        <f t="shared" si="24"/>
        <v/>
      </c>
      <c r="W83" s="451"/>
      <c r="X83" s="507"/>
      <c r="Y83" s="12"/>
    </row>
    <row r="84" spans="1:25" ht="15">
      <c r="A84" s="373"/>
      <c r="B84" s="457"/>
      <c r="C84" s="375"/>
      <c r="D84" s="375"/>
      <c r="E84" s="377"/>
      <c r="F84" s="378"/>
      <c r="G84" s="403"/>
      <c r="H84" s="404"/>
      <c r="I84" s="405"/>
      <c r="J84" s="405"/>
      <c r="K84" s="405"/>
      <c r="L84" s="405"/>
      <c r="M84" s="405"/>
      <c r="N84" s="405"/>
      <c r="O84" s="405"/>
      <c r="P84" s="406"/>
      <c r="Q84" s="646"/>
      <c r="R84" s="379"/>
      <c r="S84" s="386"/>
      <c r="T84" s="387"/>
      <c r="U84" s="413" t="str">
        <f>IF(-0.75*((C84/(VLOOKUP($A$2,Assumptions!$B$124:$G$147,2,0)))+D84/(VLOOKUP($A$2,Assumptions!$B$124:$G$147,5,0)))=0,"",-0.75*((C84/(VLOOKUP($A$2,Assumptions!$B$124:$G$147,2,0)))+D84/(VLOOKUP($A$2,Assumptions!$B$124:$G$147,5,0))))</f>
        <v/>
      </c>
      <c r="V84" s="414" t="str">
        <f t="shared" si="24"/>
        <v/>
      </c>
      <c r="W84" s="451"/>
      <c r="X84" s="507"/>
      <c r="Y84" s="12"/>
    </row>
    <row r="85" spans="1:25" ht="15">
      <c r="A85" s="373"/>
      <c r="B85" s="457"/>
      <c r="C85" s="375"/>
      <c r="D85" s="375"/>
      <c r="E85" s="377"/>
      <c r="F85" s="378"/>
      <c r="G85" s="403"/>
      <c r="H85" s="404"/>
      <c r="I85" s="405"/>
      <c r="J85" s="405"/>
      <c r="K85" s="405"/>
      <c r="L85" s="405"/>
      <c r="M85" s="405"/>
      <c r="N85" s="405"/>
      <c r="O85" s="405"/>
      <c r="P85" s="406"/>
      <c r="Q85" s="646"/>
      <c r="R85" s="379"/>
      <c r="S85" s="386"/>
      <c r="T85" s="387"/>
      <c r="U85" s="413" t="str">
        <f>IF(-0.75*((C85/(VLOOKUP($A$2,Assumptions!$B$124:$G$147,2,0)))+D85/(VLOOKUP($A$2,Assumptions!$B$124:$G$147,5,0)))=0,"",-0.75*((C85/(VLOOKUP($A$2,Assumptions!$B$124:$G$147,2,0)))+D85/(VLOOKUP($A$2,Assumptions!$B$124:$G$147,5,0))))</f>
        <v/>
      </c>
      <c r="V85" s="414" t="str">
        <f t="shared" si="24"/>
        <v/>
      </c>
      <c r="W85" s="451"/>
      <c r="X85" s="507"/>
      <c r="Y85" s="12"/>
    </row>
    <row r="86" spans="1:25" ht="15">
      <c r="A86" s="373"/>
      <c r="B86" s="457"/>
      <c r="C86" s="375"/>
      <c r="D86" s="375"/>
      <c r="E86" s="377"/>
      <c r="F86" s="378"/>
      <c r="G86" s="403"/>
      <c r="H86" s="404"/>
      <c r="I86" s="405"/>
      <c r="J86" s="405"/>
      <c r="K86" s="405"/>
      <c r="L86" s="405"/>
      <c r="M86" s="405"/>
      <c r="N86" s="405"/>
      <c r="O86" s="405"/>
      <c r="P86" s="406"/>
      <c r="Q86" s="646"/>
      <c r="R86" s="379"/>
      <c r="S86" s="386"/>
      <c r="T86" s="387"/>
      <c r="U86" s="413" t="str">
        <f>IF(-0.75*((C86/(VLOOKUP($A$2,Assumptions!$B$124:$G$147,2,0)))+D86/(VLOOKUP($A$2,Assumptions!$B$124:$G$147,5,0)))=0,"",-0.75*((C86/(VLOOKUP($A$2,Assumptions!$B$124:$G$147,2,0)))+D86/(VLOOKUP($A$2,Assumptions!$B$124:$G$147,5,0))))</f>
        <v/>
      </c>
      <c r="V86" s="414" t="str">
        <f t="shared" si="24"/>
        <v/>
      </c>
      <c r="W86" s="451"/>
      <c r="X86" s="507"/>
      <c r="Y86" s="12"/>
    </row>
    <row r="87" spans="1:25" ht="15">
      <c r="A87" s="373"/>
      <c r="B87" s="457"/>
      <c r="C87" s="375"/>
      <c r="D87" s="375"/>
      <c r="E87" s="377"/>
      <c r="F87" s="378"/>
      <c r="G87" s="403"/>
      <c r="H87" s="404"/>
      <c r="I87" s="405"/>
      <c r="J87" s="405"/>
      <c r="K87" s="405"/>
      <c r="L87" s="405"/>
      <c r="M87" s="405"/>
      <c r="N87" s="405"/>
      <c r="O87" s="405"/>
      <c r="P87" s="406"/>
      <c r="Q87" s="646"/>
      <c r="R87" s="379"/>
      <c r="S87" s="386"/>
      <c r="T87" s="387"/>
      <c r="U87" s="413" t="str">
        <f>IF(-0.75*((C87/(VLOOKUP($A$2,Assumptions!$B$124:$G$147,2,0)))+D87/(VLOOKUP($A$2,Assumptions!$B$124:$G$147,5,0)))=0,"",-0.75*((C87/(VLOOKUP($A$2,Assumptions!$B$124:$G$147,2,0)))+D87/(VLOOKUP($A$2,Assumptions!$B$124:$G$147,5,0))))</f>
        <v/>
      </c>
      <c r="V87" s="414" t="str">
        <f t="shared" si="24"/>
        <v/>
      </c>
      <c r="W87" s="451"/>
      <c r="X87" s="507"/>
      <c r="Y87" s="12"/>
    </row>
    <row r="88" spans="1:25" ht="15">
      <c r="A88" s="373"/>
      <c r="B88" s="374"/>
      <c r="C88" s="375"/>
      <c r="D88" s="375"/>
      <c r="E88" s="377"/>
      <c r="F88" s="378"/>
      <c r="G88" s="403"/>
      <c r="H88" s="404"/>
      <c r="I88" s="405"/>
      <c r="J88" s="405"/>
      <c r="K88" s="405"/>
      <c r="L88" s="405"/>
      <c r="M88" s="405"/>
      <c r="N88" s="405"/>
      <c r="O88" s="405"/>
      <c r="P88" s="406"/>
      <c r="Q88" s="646"/>
      <c r="R88" s="379"/>
      <c r="S88" s="379"/>
      <c r="T88" s="387"/>
      <c r="U88" s="413" t="str">
        <f>IF(-0.75*((C88/(VLOOKUP($A$2,Assumptions!$B$124:$G$147,2,0)))+D88/(VLOOKUP($A$2,Assumptions!$B$124:$G$147,5,0)))=0,"",-0.75*((C88/(VLOOKUP($A$2,Assumptions!$B$124:$G$147,2,0)))+D88/(VLOOKUP($A$2,Assumptions!$B$124:$G$147,5,0))))</f>
        <v/>
      </c>
      <c r="V88" s="414" t="str">
        <f t="shared" si="24"/>
        <v/>
      </c>
      <c r="W88" s="451"/>
      <c r="X88" s="507"/>
      <c r="Y88" s="12"/>
    </row>
    <row r="89" spans="1:25" ht="15">
      <c r="A89" s="456"/>
      <c r="B89" s="397"/>
      <c r="C89" s="398"/>
      <c r="D89" s="398"/>
      <c r="E89" s="399"/>
      <c r="F89" s="400"/>
      <c r="G89" s="407"/>
      <c r="H89" s="408"/>
      <c r="I89" s="409"/>
      <c r="J89" s="409"/>
      <c r="K89" s="409"/>
      <c r="L89" s="409"/>
      <c r="M89" s="409"/>
      <c r="N89" s="409"/>
      <c r="O89" s="409"/>
      <c r="P89" s="410"/>
      <c r="Q89" s="647"/>
      <c r="R89" s="401"/>
      <c r="S89" s="401"/>
      <c r="T89" s="402"/>
      <c r="U89" s="413" t="str">
        <f>IF(-0.75*((C89/(VLOOKUP($A$2,Assumptions!$B$124:$G$147,2,0)))+D89/(VLOOKUP($A$2,Assumptions!$B$124:$G$147,5,0)))=0,"",-0.75*((C89/(VLOOKUP($A$2,Assumptions!$B$124:$G$147,2,0)))+D89/(VLOOKUP($A$2,Assumptions!$B$124:$G$147,5,0))))</f>
        <v/>
      </c>
      <c r="V89" s="415" t="str">
        <f t="shared" si="24"/>
        <v/>
      </c>
      <c r="W89" s="452"/>
      <c r="X89" s="507"/>
      <c r="Y89" s="12"/>
    </row>
    <row r="90" spans="1:25" ht="15" hidden="1">
      <c r="A90" s="174"/>
      <c r="B90" s="393"/>
      <c r="C90" s="175"/>
      <c r="D90" s="175"/>
      <c r="E90" s="394"/>
      <c r="F90" s="395"/>
      <c r="G90" s="299"/>
      <c r="H90" s="300"/>
      <c r="I90" s="301"/>
      <c r="J90" s="301"/>
      <c r="K90" s="301"/>
      <c r="L90" s="301"/>
      <c r="M90" s="301"/>
      <c r="N90" s="301"/>
      <c r="O90" s="301"/>
      <c r="P90" s="302"/>
      <c r="Q90" s="302"/>
      <c r="R90" s="303"/>
      <c r="S90" s="303"/>
      <c r="T90" s="175"/>
      <c r="U90" s="396" t="str">
        <f>IF(-0.75*((C90/(VLOOKUP($A$2,Assumptions!$B$124:$G$147,2,0)))+D90/(VLOOKUP($A$2,Assumptions!$B$124:$G$147,5,0)))=0,"",-0.75*((C90/(VLOOKUP($A$2,Assumptions!$B$124:$G$147,2,0)))+D90/(VLOOKUP($A$2,Assumptions!$B$124:$G$147,5,0))))</f>
        <v/>
      </c>
      <c r="V90" s="304" t="str">
        <f t="shared" ref="V90:V114" si="25">IF(ISERROR(((-C90*1000*$W$163)/F90)),"",((-C90*1000*$W$163)/F90))</f>
        <v/>
      </c>
      <c r="W90" s="304" t="str">
        <f t="shared" ref="W90:W114" si="26">IF(ISERROR(((-D90*1000*$W$163)/G90)),"",((-D90*1000*$W$163)/G90))</f>
        <v/>
      </c>
      <c r="X90" s="304"/>
    </row>
    <row r="91" spans="1:25" ht="15" hidden="1">
      <c r="A91" s="171"/>
      <c r="B91" s="164"/>
      <c r="C91" s="233"/>
      <c r="D91" s="233"/>
      <c r="E91" s="163"/>
      <c r="F91" s="165"/>
      <c r="G91" s="166"/>
      <c r="H91" s="167"/>
      <c r="I91" s="168"/>
      <c r="J91" s="168"/>
      <c r="K91" s="168"/>
      <c r="L91" s="168"/>
      <c r="M91" s="168"/>
      <c r="N91" s="168"/>
      <c r="O91" s="168"/>
      <c r="P91" s="176"/>
      <c r="Q91" s="176"/>
      <c r="R91" s="168"/>
      <c r="S91" s="168"/>
      <c r="T91" s="169"/>
      <c r="U91" s="284"/>
      <c r="V91" s="170" t="str">
        <f t="shared" si="25"/>
        <v/>
      </c>
      <c r="W91" s="170" t="str">
        <f t="shared" si="26"/>
        <v/>
      </c>
      <c r="X91" s="170"/>
    </row>
    <row r="92" spans="1:25"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6"/>
        <v/>
      </c>
      <c r="X92" s="170"/>
    </row>
    <row r="93" spans="1:25"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6"/>
        <v/>
      </c>
      <c r="X93" s="170"/>
    </row>
    <row r="94" spans="1:25"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6"/>
        <v/>
      </c>
      <c r="X94" s="170"/>
    </row>
    <row r="95" spans="1:25"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6"/>
        <v/>
      </c>
      <c r="X95" s="170"/>
    </row>
    <row r="96" spans="1:25"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6"/>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6"/>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6"/>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6"/>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6"/>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6"/>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6"/>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6"/>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6"/>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6"/>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6"/>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6"/>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6"/>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6"/>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6"/>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6"/>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6"/>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6"/>
        <v/>
      </c>
      <c r="X113" s="170"/>
    </row>
    <row r="114" spans="1:31" ht="15" hidden="1">
      <c r="A114" s="171"/>
      <c r="B114" s="164"/>
      <c r="C114" s="233"/>
      <c r="D114" s="233"/>
      <c r="E114" s="163"/>
      <c r="F114" s="165"/>
      <c r="G114" s="166"/>
      <c r="H114" s="167"/>
      <c r="I114" s="168"/>
      <c r="J114" s="168"/>
      <c r="K114" s="168"/>
      <c r="L114" s="168"/>
      <c r="M114" s="168"/>
      <c r="N114" s="168"/>
      <c r="O114" s="168"/>
      <c r="P114" s="176"/>
      <c r="Q114" s="176"/>
      <c r="R114" s="168"/>
      <c r="S114" s="168"/>
      <c r="T114" s="169"/>
      <c r="U114" s="274"/>
      <c r="V114" s="170" t="str">
        <f t="shared" si="25"/>
        <v/>
      </c>
      <c r="W114" s="170" t="str">
        <f t="shared" si="26"/>
        <v/>
      </c>
      <c r="X114" s="170"/>
    </row>
    <row r="115" spans="1:31" ht="15">
      <c r="A115" s="171"/>
      <c r="B115" s="352"/>
      <c r="C115" s="334"/>
      <c r="D115" s="334"/>
      <c r="E115" s="335"/>
      <c r="F115" s="172"/>
      <c r="G115" s="336"/>
      <c r="H115" s="337"/>
      <c r="I115" s="329"/>
      <c r="J115" s="329"/>
      <c r="K115" s="329"/>
      <c r="L115" s="329"/>
      <c r="M115" s="329"/>
      <c r="N115" s="329"/>
      <c r="O115" s="329"/>
      <c r="P115" s="332"/>
      <c r="Q115" s="332"/>
      <c r="R115" s="329"/>
      <c r="S115" s="329"/>
      <c r="T115" s="330"/>
      <c r="U115" s="331"/>
      <c r="V115" s="173"/>
      <c r="W115" s="173" t="str">
        <f>IF(ISERROR(((-D115*1000*$W$163)/G115)),"",((-D115*1000*$W$163)/G115))</f>
        <v/>
      </c>
      <c r="X115" s="173"/>
    </row>
    <row r="116" spans="1:31" ht="15">
      <c r="A116" s="13"/>
      <c r="B116" s="353"/>
      <c r="C116" s="354">
        <f>SUM(C69:C89)</f>
        <v>-210</v>
      </c>
      <c r="D116" s="354">
        <f>SUM(D69:D89)</f>
        <v>-480</v>
      </c>
      <c r="E116" s="355"/>
      <c r="F116" s="333">
        <f t="shared" ref="F116:Q116" si="27">SUM(F69:F115)</f>
        <v>6725659</v>
      </c>
      <c r="G116" s="388">
        <f t="shared" si="27"/>
        <v>0</v>
      </c>
      <c r="H116" s="388">
        <f t="shared" si="27"/>
        <v>25000</v>
      </c>
      <c r="I116" s="388">
        <f t="shared" si="27"/>
        <v>0</v>
      </c>
      <c r="J116" s="388">
        <f t="shared" si="27"/>
        <v>3465459</v>
      </c>
      <c r="K116" s="388">
        <f t="shared" si="27"/>
        <v>364200</v>
      </c>
      <c r="L116" s="388">
        <f t="shared" si="27"/>
        <v>0</v>
      </c>
      <c r="M116" s="388">
        <f t="shared" si="27"/>
        <v>466100</v>
      </c>
      <c r="N116" s="532">
        <f t="shared" si="27"/>
        <v>0</v>
      </c>
      <c r="O116" s="388">
        <f t="shared" si="27"/>
        <v>484900</v>
      </c>
      <c r="P116" s="388">
        <f t="shared" si="27"/>
        <v>0</v>
      </c>
      <c r="Q116" s="388">
        <f t="shared" si="27"/>
        <v>0</v>
      </c>
      <c r="R116" s="388">
        <f>SUMIFS(F69:F115,R69:R115,"Yes")-0.5*SUMIFS(F69:F115,R69:R115,"Yes",S69:S115,"Yes")</f>
        <v>3875359</v>
      </c>
      <c r="S116" s="388">
        <f>SUMIFS(F69:F115,S69:S115,"Yes")-0.5*SUMIFS(F69:F115,S69:S115,"Yes",R69:R115,"Yes")</f>
        <v>2825300</v>
      </c>
      <c r="T116" s="388">
        <f>SUMIFS(F69:F115,T69:T115,"Yes")</f>
        <v>25000</v>
      </c>
      <c r="U116" s="389">
        <f>SUM(U69:U115)</f>
        <v>0.22067772768904631</v>
      </c>
      <c r="V116" s="390">
        <f>IF(ISERROR(((-1*C116*1000*$D$6)+(-1*D116*$D$8))/F116),"",((-1*C116*1000*$D$6)+(-1*D116*$D$8))/F116)</f>
        <v>9.138521019854285E-3</v>
      </c>
      <c r="W116" s="391">
        <f>SUMIFS(F69:F115,W69:W115,"Yes")</f>
        <v>0</v>
      </c>
      <c r="X116" s="388">
        <f>SUMIFS(F69:F115,X69:X115,"Yes")</f>
        <v>3461159</v>
      </c>
    </row>
    <row r="117" spans="1:31" ht="15">
      <c r="A117" s="13"/>
      <c r="B117" s="13"/>
      <c r="C117" s="13"/>
      <c r="D117" s="13"/>
      <c r="E117" s="13"/>
      <c r="F117" s="13"/>
      <c r="G117" s="13"/>
      <c r="H117" s="13"/>
      <c r="I117" s="13"/>
      <c r="J117" s="13"/>
      <c r="K117" s="13"/>
      <c r="L117" s="13"/>
      <c r="M117" s="13"/>
      <c r="N117" s="13"/>
      <c r="O117" s="13"/>
      <c r="P117" s="13"/>
      <c r="Q117" s="13"/>
      <c r="S117" s="392" t="e">
        <f ca="1">_xlfn.MAXIFS(E69:E115,S69:S115,"Yes")</f>
        <v>#NAME?</v>
      </c>
      <c r="T117" s="13"/>
      <c r="U117" s="160">
        <f>S134-S124</f>
        <v>0.10126619779064505</v>
      </c>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c r="A120" s="13"/>
      <c r="B120" s="13"/>
      <c r="C120" s="13"/>
      <c r="D120" s="13"/>
      <c r="E120" s="13"/>
      <c r="F120" s="13"/>
      <c r="G120" s="13"/>
      <c r="H120" s="13"/>
      <c r="I120" s="13"/>
      <c r="J120" s="13"/>
      <c r="K120" s="13"/>
      <c r="L120" s="13"/>
      <c r="M120" s="13"/>
      <c r="N120" s="13"/>
      <c r="O120" s="13"/>
      <c r="P120" s="13"/>
      <c r="Q120" s="13"/>
      <c r="R120" s="13"/>
      <c r="S120" s="13"/>
      <c r="T120" s="13"/>
      <c r="U120" s="13"/>
    </row>
    <row r="121" spans="1:31" ht="13">
      <c r="A121" s="13"/>
      <c r="B121" s="13"/>
      <c r="C121" s="13"/>
      <c r="D121" s="13"/>
      <c r="E121" s="13"/>
      <c r="F121" s="13"/>
      <c r="G121" s="13"/>
      <c r="H121" s="13"/>
      <c r="I121" s="13"/>
      <c r="J121" s="13"/>
      <c r="K121" s="13"/>
      <c r="L121" s="13"/>
      <c r="M121" s="13"/>
      <c r="N121" s="13"/>
      <c r="O121" s="13"/>
      <c r="P121" s="13"/>
      <c r="Q121" s="13"/>
      <c r="R121" s="21" t="s">
        <v>425</v>
      </c>
      <c r="S121" s="22">
        <f>-AL215</f>
        <v>157.5</v>
      </c>
      <c r="T121" s="13"/>
      <c r="U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c r="A123" s="13"/>
      <c r="B123" s="13"/>
      <c r="C123" s="13"/>
      <c r="D123" s="13"/>
      <c r="E123" s="13"/>
      <c r="F123" s="13"/>
      <c r="G123" s="13"/>
      <c r="H123" s="13"/>
      <c r="I123" s="13"/>
      <c r="J123" s="13"/>
      <c r="K123" s="13"/>
      <c r="L123" s="13"/>
      <c r="M123" s="13"/>
      <c r="N123" s="13"/>
      <c r="O123" s="13"/>
      <c r="P123" s="13"/>
      <c r="Q123" s="13"/>
      <c r="R123" s="13"/>
      <c r="S123" s="13"/>
      <c r="T123" s="13"/>
      <c r="U123" s="13"/>
      <c r="V123" s="13"/>
    </row>
    <row r="124" spans="1:31" s="20" customFormat="1" ht="13">
      <c r="A124" s="13"/>
      <c r="B124" s="13"/>
      <c r="C124" s="13"/>
      <c r="D124" s="13"/>
      <c r="E124" s="13"/>
      <c r="F124" s="13"/>
      <c r="G124" s="13"/>
      <c r="H124" s="13"/>
      <c r="I124" s="13"/>
      <c r="J124" s="13"/>
      <c r="K124" s="13"/>
      <c r="L124" s="13"/>
      <c r="M124" s="13"/>
      <c r="N124" s="13"/>
      <c r="O124" s="13"/>
      <c r="P124" s="13"/>
      <c r="Q124" s="13"/>
      <c r="R124" s="21" t="s">
        <v>426</v>
      </c>
      <c r="S124" s="276">
        <f>BZ162</f>
        <v>5.6324200913242013</v>
      </c>
      <c r="T124" s="13"/>
      <c r="U124" s="13"/>
      <c r="V124" s="13"/>
    </row>
    <row r="125" spans="1:31" s="20" customFormat="1" ht="13">
      <c r="A125" s="13"/>
      <c r="B125" s="13"/>
      <c r="C125" s="13"/>
      <c r="D125" s="13"/>
      <c r="E125" s="13"/>
      <c r="F125" s="13"/>
      <c r="G125" s="13"/>
      <c r="H125" s="13"/>
      <c r="K125" s="13"/>
      <c r="L125" s="13"/>
      <c r="M125" s="13"/>
      <c r="N125" s="13"/>
      <c r="R125" s="21" t="str">
        <f>"Expected Rating at "&amp;DAY(AA167)&amp;"/"&amp;MONTH(AA167)&amp;"/"&amp;YEAR(AA167)&amp;":"</f>
        <v>Expected Rating at 31/3/2024:</v>
      </c>
      <c r="S125" s="22">
        <f>AA217</f>
        <v>5.5572639747090102</v>
      </c>
      <c r="T125" s="13"/>
      <c r="U125" s="13"/>
      <c r="V125" s="13"/>
    </row>
    <row r="126" spans="1:31" s="20" customFormat="1" ht="13">
      <c r="A126" s="13"/>
      <c r="B126" s="13"/>
      <c r="C126" s="13"/>
      <c r="D126" s="13"/>
      <c r="E126" s="13"/>
      <c r="F126" s="13"/>
      <c r="G126" s="13"/>
      <c r="H126" s="13"/>
      <c r="K126" s="13"/>
      <c r="L126" s="13"/>
      <c r="M126" s="13"/>
      <c r="N126" s="13"/>
      <c r="R126" s="21" t="str">
        <f>"Expected Rating at "&amp;DAY(AB167)&amp;"/"&amp;MONTH(AB167)&amp;"/"&amp;YEAR(AB167)&amp;":"</f>
        <v>Expected Rating at 31/3/2025:</v>
      </c>
      <c r="S126" s="22">
        <f>AB217</f>
        <v>5.5572639747090102</v>
      </c>
      <c r="T126" s="13"/>
      <c r="U126" s="13"/>
      <c r="V126" s="13"/>
    </row>
    <row r="127" spans="1:31" s="20" customFormat="1" ht="13">
      <c r="A127" s="13"/>
      <c r="B127" s="13"/>
      <c r="C127" s="13"/>
      <c r="D127" s="13"/>
      <c r="E127" s="13"/>
      <c r="F127" s="13"/>
      <c r="G127" s="13"/>
      <c r="H127" s="13"/>
      <c r="K127" s="13"/>
      <c r="L127" s="13"/>
      <c r="M127" s="13"/>
      <c r="N127" s="13"/>
      <c r="R127" s="21" t="str">
        <f>"Expected Rating at "&amp;DAY(AC167)&amp;"/"&amp;MONTH(AC167)&amp;"/"&amp;YEAR(AC167)&amp;":"</f>
        <v>Expected Rating at 31/3/2026:</v>
      </c>
      <c r="S127" s="22">
        <f>AC217</f>
        <v>5.5572639747090102</v>
      </c>
      <c r="AA127" s="22">
        <f t="shared" ref="AA127:AC127" si="28">AK217</f>
        <v>5.7336862891148463</v>
      </c>
      <c r="AB127" s="22">
        <f t="shared" si="28"/>
        <v>0</v>
      </c>
      <c r="AC127" s="22">
        <f t="shared" si="28"/>
        <v>0</v>
      </c>
      <c r="AD127" s="22">
        <f t="shared" ref="AD127:AE127" si="29">AI218</f>
        <v>0</v>
      </c>
      <c r="AE127" s="22">
        <f t="shared" si="29"/>
        <v>0</v>
      </c>
    </row>
    <row r="128" spans="1:31" s="20" customFormat="1" ht="13">
      <c r="A128" s="13"/>
      <c r="B128" s="13"/>
      <c r="C128" s="13"/>
      <c r="D128" s="13"/>
      <c r="E128" s="13"/>
      <c r="F128" s="13"/>
      <c r="G128" s="13"/>
      <c r="H128" s="13"/>
      <c r="K128" s="13"/>
      <c r="L128" s="13"/>
      <c r="M128" s="13"/>
      <c r="N128" s="13"/>
      <c r="R128" s="21" t="str">
        <f>"Expected Rating at "&amp;DAY(AD167)&amp;"/"&amp;MONTH(AD167)&amp;"/"&amp;YEAR(AD167)&amp;":"</f>
        <v>Expected Rating at 31/3/2027:</v>
      </c>
      <c r="S128" s="22">
        <f>AD217</f>
        <v>5.5572639747090102</v>
      </c>
      <c r="T128" s="13"/>
      <c r="U128" s="13"/>
      <c r="V128" s="13"/>
    </row>
    <row r="129" spans="1:21" s="20" customFormat="1" ht="13">
      <c r="A129" s="13"/>
      <c r="B129" s="13"/>
      <c r="C129" s="13"/>
      <c r="D129" s="13"/>
      <c r="E129" s="13"/>
      <c r="F129" s="13"/>
      <c r="G129" s="13"/>
      <c r="H129" s="13"/>
      <c r="K129" s="13"/>
      <c r="L129" s="13"/>
      <c r="M129" s="13"/>
      <c r="N129" s="13"/>
      <c r="R129" s="21" t="str">
        <f>"Expected Rating at "&amp;DAY(AE167)&amp;"/"&amp;MONTH(AE167)&amp;"/"&amp;YEAR(AE167)&amp;":"</f>
        <v>Expected Rating at 31/3/2028:</v>
      </c>
      <c r="S129" s="22">
        <f>AE217</f>
        <v>5.65751459975733</v>
      </c>
      <c r="T129" s="13"/>
      <c r="U129" s="13"/>
    </row>
    <row r="130" spans="1:21" s="20" customFormat="1" ht="13">
      <c r="A130" s="13"/>
      <c r="B130" s="13"/>
      <c r="C130" s="13"/>
      <c r="D130" s="13"/>
      <c r="E130" s="13"/>
      <c r="F130" s="13"/>
      <c r="G130" s="13"/>
      <c r="H130" s="13"/>
      <c r="K130" s="13"/>
      <c r="L130" s="13"/>
      <c r="M130" s="13"/>
      <c r="N130" s="13"/>
      <c r="R130" s="21" t="str">
        <f>"Expected Rating at "&amp;DAY(AF167)&amp;"/"&amp;MONTH(AF167)&amp;"/"&amp;YEAR(AF167)&amp;":"</f>
        <v>Expected Rating at 31/3/2029:</v>
      </c>
      <c r="S130" s="22">
        <f>AF217</f>
        <v>5.7455724710361702</v>
      </c>
      <c r="T130" s="13"/>
      <c r="U130" s="13"/>
    </row>
    <row r="131" spans="1:21" s="20" customFormat="1" ht="13">
      <c r="A131" s="13"/>
      <c r="B131" s="13"/>
      <c r="C131" s="13"/>
      <c r="D131" s="13"/>
      <c r="E131" s="13"/>
      <c r="F131" s="13"/>
      <c r="G131" s="13"/>
      <c r="H131" s="13"/>
      <c r="K131" s="13"/>
      <c r="L131" s="13"/>
      <c r="M131" s="13"/>
      <c r="N131" s="13"/>
      <c r="R131" s="21" t="str">
        <f>"Expected Rating at "&amp;DAY(AG167)&amp;"/"&amp;MONTH(AG167)&amp;"/"&amp;YEAR(AG167)&amp;":"</f>
        <v>Expected Rating at 31/3/2030:</v>
      </c>
      <c r="S131" s="22">
        <f>AG217</f>
        <v>5.7455724710361702</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"&amp;DAY(AH167)&amp;"/"&amp;MONTH(AH167)&amp;"/"&amp;YEAR(AH167)&amp;":"</f>
        <v>Expected Rating at 31/3/2031:</v>
      </c>
      <c r="S132" s="22">
        <f>AH217</f>
        <v>5.7336862891148463</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"&amp;DAY(AI167)&amp;"/"&amp;MONTH(AI167)&amp;"/"&amp;YEAR(AI167)&amp;":"</f>
        <v>Expected Rating at 31/3/2032:</v>
      </c>
      <c r="S133" s="22">
        <f>AI217</f>
        <v>5.7336862891148463</v>
      </c>
      <c r="T133" s="13"/>
      <c r="U133" s="13"/>
    </row>
    <row r="134" spans="1:21" s="20" customFormat="1" ht="13">
      <c r="A134" s="13"/>
      <c r="B134" s="13"/>
      <c r="C134" s="13"/>
      <c r="D134" s="13"/>
      <c r="E134" s="13"/>
      <c r="F134" s="13"/>
      <c r="G134" s="13"/>
      <c r="H134" s="13"/>
      <c r="I134" s="13"/>
      <c r="J134" s="13"/>
      <c r="K134" s="13"/>
      <c r="L134" s="13"/>
      <c r="M134" s="13"/>
      <c r="N134" s="13"/>
      <c r="O134" s="13"/>
      <c r="P134" s="13"/>
      <c r="Q134" s="13"/>
      <c r="R134" s="21" t="str">
        <f>"Expected Rating at "&amp;DAY(AJ167)&amp;"/"&amp;MONTH(AJ167)&amp;"/"&amp;YEAR(AJ167)&amp;":"</f>
        <v>Expected Rating at 31/3/2033:</v>
      </c>
      <c r="S134" s="276">
        <f>AJ217</f>
        <v>5.7336862891148463</v>
      </c>
      <c r="T134" s="13"/>
      <c r="U134" s="13"/>
    </row>
    <row r="135" spans="1:21" s="20" customFormat="1">
      <c r="A135" s="13"/>
      <c r="B135" s="13"/>
      <c r="C135" s="13"/>
      <c r="D135" s="13"/>
      <c r="E135" s="13"/>
      <c r="F135" s="13"/>
      <c r="G135" s="13"/>
      <c r="H135" s="13"/>
      <c r="I135" s="13"/>
      <c r="J135" s="13"/>
      <c r="K135" s="13"/>
      <c r="L135" s="13"/>
      <c r="M135" s="13"/>
      <c r="N135" s="13"/>
      <c r="O135" s="13"/>
      <c r="P135" s="13"/>
      <c r="Q135" s="13"/>
      <c r="S135" s="277"/>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20" customFormat="1">
      <c r="A137" s="13"/>
      <c r="B137" s="13"/>
      <c r="C137" s="13"/>
      <c r="D137" s="13"/>
      <c r="E137" s="13"/>
      <c r="F137" s="13"/>
      <c r="G137" s="13"/>
      <c r="H137" s="13"/>
      <c r="I137" s="13"/>
      <c r="J137" s="13"/>
      <c r="K137" s="13"/>
      <c r="L137" s="13"/>
      <c r="M137" s="13"/>
      <c r="N137" s="13"/>
      <c r="O137" s="13"/>
      <c r="P137" s="13"/>
      <c r="Q137" s="13"/>
      <c r="R137" s="13"/>
      <c r="S137" s="13"/>
      <c r="T137" s="13"/>
      <c r="U137" s="13"/>
    </row>
    <row r="138" spans="1:21" s="13" customFormat="1"/>
    <row r="139" spans="1:21" s="13" customFormat="1"/>
    <row r="140" spans="1:21" s="13" customFormat="1"/>
    <row r="141" spans="1:21" s="13" customFormat="1"/>
    <row r="154" spans="20:78" ht="25">
      <c r="T154" s="8"/>
      <c r="U154" s="8"/>
      <c r="V154" s="8"/>
      <c r="W154" s="8"/>
      <c r="X154" s="8"/>
      <c r="Y154" s="8"/>
      <c r="Z154" s="8"/>
      <c r="AA154" s="8"/>
      <c r="AB154" s="8"/>
      <c r="AC154" s="8"/>
      <c r="AD154" s="8"/>
      <c r="AE154" s="8"/>
      <c r="AF154" s="8"/>
      <c r="AG154" s="8"/>
      <c r="AH154" s="8"/>
      <c r="AI154" s="8"/>
      <c r="AJ154" s="8"/>
      <c r="AK154" s="8"/>
      <c r="AL154" s="8"/>
      <c r="AM154" s="25" t="s">
        <v>388</v>
      </c>
      <c r="AN154" s="26" t="s">
        <v>427</v>
      </c>
      <c r="AO154" s="26" t="s">
        <v>428</v>
      </c>
      <c r="AP154" s="26" t="s">
        <v>429</v>
      </c>
      <c r="AQ154" s="26" t="s">
        <v>430</v>
      </c>
      <c r="AR154" s="26" t="s">
        <v>431</v>
      </c>
      <c r="AS154" s="8"/>
      <c r="AT154" s="25" t="s">
        <v>388</v>
      </c>
      <c r="AU154" s="26" t="s">
        <v>427</v>
      </c>
      <c r="AV154" s="27" t="s">
        <v>428</v>
      </c>
      <c r="AW154" s="27" t="s">
        <v>429</v>
      </c>
      <c r="AX154" s="27" t="s">
        <v>430</v>
      </c>
      <c r="AY154" s="27" t="s">
        <v>431</v>
      </c>
      <c r="AZ154" s="24"/>
      <c r="BA154" s="25" t="s">
        <v>388</v>
      </c>
      <c r="BB154" s="28" t="s">
        <v>432</v>
      </c>
      <c r="BC154" s="24" t="s">
        <v>433</v>
      </c>
      <c r="BD154" s="24" t="s">
        <v>434</v>
      </c>
      <c r="BE154" s="24"/>
      <c r="BF154" s="24" t="s">
        <v>364</v>
      </c>
      <c r="BG154" s="24" t="s">
        <v>435</v>
      </c>
      <c r="BH154" s="8"/>
      <c r="BI154" s="8"/>
      <c r="BJ154" s="8"/>
      <c r="BK154" s="8"/>
      <c r="BL154" s="8"/>
      <c r="BM154" s="8"/>
      <c r="BN154" s="8"/>
      <c r="BO154" s="8"/>
      <c r="BP154" s="8"/>
      <c r="BQ154" s="8"/>
      <c r="BR154" s="8"/>
      <c r="BS154" s="8"/>
      <c r="BT154" s="8"/>
      <c r="BU154" s="8"/>
      <c r="BV154" s="8"/>
      <c r="BW154" s="8"/>
      <c r="BX154" s="8"/>
      <c r="BY154" s="8"/>
      <c r="BZ154" s="8"/>
    </row>
    <row r="155" spans="20:78">
      <c r="T155" s="8"/>
      <c r="U155" s="8"/>
      <c r="V155" s="8"/>
      <c r="W155" s="8"/>
      <c r="X155" s="8"/>
      <c r="Y155" s="8"/>
      <c r="Z155" s="8"/>
      <c r="AA155" s="8"/>
      <c r="AB155" s="8"/>
      <c r="AC155" s="8"/>
      <c r="AD155" s="8"/>
      <c r="AE155" s="8"/>
      <c r="AF155" s="8"/>
      <c r="AG155" s="8"/>
      <c r="AH155" s="8"/>
      <c r="AI155" s="8"/>
      <c r="AJ155" s="8"/>
      <c r="AK155" s="8"/>
      <c r="AL155" s="8"/>
      <c r="AM155" s="25">
        <v>6</v>
      </c>
      <c r="AN155" s="338">
        <f>AN157*0.5</f>
        <v>34.795000000000002</v>
      </c>
      <c r="AO155" s="338">
        <f>AO157*0.5</f>
        <v>42.145000000000003</v>
      </c>
      <c r="AP155" s="338">
        <f>AP157*0.5</f>
        <v>35.585000000000001</v>
      </c>
      <c r="AQ155" s="338">
        <f t="shared" ref="AQ155:AR155" si="30">AQ157*0.5</f>
        <v>20.914999999999999</v>
      </c>
      <c r="AR155" s="338">
        <f t="shared" si="30"/>
        <v>26.98</v>
      </c>
      <c r="AS155" s="8"/>
      <c r="AT155" s="25">
        <v>6</v>
      </c>
      <c r="AU155" s="339">
        <f>AU157*0.5</f>
        <v>64.760000000000005</v>
      </c>
      <c r="AV155" s="339">
        <f t="shared" ref="AV155:AY155" si="31">AV157*0.5</f>
        <v>69.5</v>
      </c>
      <c r="AW155" s="339">
        <f t="shared" si="31"/>
        <v>59.814999999999998</v>
      </c>
      <c r="AX155" s="339">
        <f t="shared" si="31"/>
        <v>33.69</v>
      </c>
      <c r="AY155" s="339">
        <f t="shared" si="31"/>
        <v>44.87</v>
      </c>
      <c r="AZ155" s="8"/>
      <c r="BA155" s="25">
        <v>6</v>
      </c>
      <c r="BB155" s="24">
        <f t="shared" ref="BB155:BB156" si="32">IF($C$58="Base",BF155,BG155)</f>
        <v>34.795000000000002</v>
      </c>
      <c r="BC155" s="24" t="s">
        <v>436</v>
      </c>
      <c r="BD155" s="8"/>
      <c r="BE155" s="8"/>
      <c r="BF155" s="24">
        <f t="shared" ref="BF155:BF156" si="33">IF($C$59&gt;7000,"error",IF($C$59&gt;5999,AR155,IF($C$59&gt;4999,AQ155,IF($C$59&gt;3999,AP155,IF($C$59&gt;2999,AO155,IF($C$59&gt;1999,AN155,"Error"))))))</f>
        <v>34.795000000000002</v>
      </c>
      <c r="BG155" s="24">
        <f t="shared" ref="BG155:BG165" si="34">IF($C$59&gt;7000,"error",IF($C$59&gt;5999,AY155,IF($C$59&gt;4999,AX155,IF($C$59&gt;3999,AW155,IF($C$59&gt;2999,AV155,IF($C$59&gt;1999,AU155,"Error"))))))</f>
        <v>64.760000000000005</v>
      </c>
      <c r="BH155" s="8"/>
      <c r="BI155" s="8"/>
      <c r="BJ155" s="8"/>
      <c r="BK155" s="8"/>
      <c r="BL155" s="8"/>
      <c r="BM155" s="8"/>
      <c r="BN155" s="8"/>
      <c r="BO155" s="8"/>
      <c r="BP155" s="8"/>
      <c r="BQ155" s="8"/>
      <c r="BR155" s="8"/>
      <c r="BS155" s="8"/>
      <c r="BT155" s="8"/>
      <c r="BU155" s="8"/>
      <c r="BV155" s="8"/>
      <c r="BW155" s="8"/>
      <c r="BX155" s="8"/>
      <c r="BY155" s="8"/>
      <c r="BZ155" s="8"/>
    </row>
    <row r="156" spans="20:78" ht="13">
      <c r="T156" s="24"/>
      <c r="U156" s="24"/>
      <c r="V156" s="24"/>
      <c r="W156" s="24"/>
      <c r="X156" s="24"/>
      <c r="Y156" s="24"/>
      <c r="Z156" s="974" t="s">
        <v>437</v>
      </c>
      <c r="AA156" s="974"/>
      <c r="AB156" s="974"/>
      <c r="AC156" s="974"/>
      <c r="AD156" s="153"/>
      <c r="AE156" s="153"/>
      <c r="AF156" s="153"/>
      <c r="AG156" s="153"/>
      <c r="AH156" s="153"/>
      <c r="AI156" s="153"/>
      <c r="AJ156" s="153"/>
      <c r="AK156" s="24"/>
      <c r="AL156" s="56"/>
      <c r="AM156" s="25">
        <v>5.5</v>
      </c>
      <c r="AN156" s="338">
        <f>AN157*0.75</f>
        <v>52.192500000000003</v>
      </c>
      <c r="AO156" s="340">
        <f>AO157*0.75</f>
        <v>63.217500000000001</v>
      </c>
      <c r="AP156" s="338">
        <f>AP157*0.75</f>
        <v>53.377499999999998</v>
      </c>
      <c r="AQ156" s="338">
        <f t="shared" ref="AQ156:AR156" si="35">AQ157*0.75</f>
        <v>31.372499999999999</v>
      </c>
      <c r="AR156" s="338">
        <f t="shared" si="35"/>
        <v>40.47</v>
      </c>
      <c r="AS156" s="24"/>
      <c r="AT156" s="25">
        <v>5.5</v>
      </c>
      <c r="AU156" s="339">
        <f>AU157*0.75</f>
        <v>97.140000000000015</v>
      </c>
      <c r="AV156" s="339">
        <f t="shared" ref="AV156:AY156" si="36">AV157*0.75</f>
        <v>104.25</v>
      </c>
      <c r="AW156" s="339">
        <f t="shared" si="36"/>
        <v>89.722499999999997</v>
      </c>
      <c r="AX156" s="339">
        <f t="shared" si="36"/>
        <v>50.534999999999997</v>
      </c>
      <c r="AY156" s="339">
        <f t="shared" si="36"/>
        <v>67.304999999999993</v>
      </c>
      <c r="AZ156" s="24"/>
      <c r="BA156" s="25">
        <v>5.5</v>
      </c>
      <c r="BB156" s="24">
        <f t="shared" si="32"/>
        <v>52.192500000000003</v>
      </c>
      <c r="BC156" s="24" t="s">
        <v>436</v>
      </c>
      <c r="BE156" s="24"/>
      <c r="BF156" s="24">
        <f t="shared" si="33"/>
        <v>52.192500000000003</v>
      </c>
      <c r="BG156" s="24">
        <f t="shared" si="34"/>
        <v>97.140000000000015</v>
      </c>
      <c r="BH156" s="24"/>
      <c r="BI156" s="24"/>
      <c r="BJ156" s="24" t="s">
        <v>438</v>
      </c>
      <c r="BK156" s="24" t="s">
        <v>439</v>
      </c>
      <c r="BL156" s="24"/>
      <c r="BM156" s="25"/>
      <c r="BN156" s="28"/>
      <c r="BO156" s="24"/>
      <c r="BP156" s="24"/>
      <c r="BQ156" s="24"/>
      <c r="BR156" s="24"/>
      <c r="BS156" s="24"/>
      <c r="BT156" s="14"/>
      <c r="BU156" s="14"/>
      <c r="BV156" s="14"/>
      <c r="BW156" s="14"/>
      <c r="BX156" s="14"/>
      <c r="BY156" s="14"/>
      <c r="BZ156" s="14"/>
    </row>
    <row r="157" spans="20:78" ht="12.75" customHeight="1">
      <c r="T157" s="24"/>
      <c r="U157" s="24"/>
      <c r="V157" s="24"/>
      <c r="W157" s="24"/>
      <c r="X157" s="24"/>
      <c r="Y157" s="24"/>
      <c r="Z157" s="974"/>
      <c r="AA157" s="974"/>
      <c r="AB157" s="974"/>
      <c r="AC157" s="974"/>
      <c r="AD157" s="153"/>
      <c r="AE157" s="153"/>
      <c r="AF157" s="153"/>
      <c r="AG157" s="153"/>
      <c r="AH157" s="153"/>
      <c r="AI157" s="153"/>
      <c r="AJ157" s="153"/>
      <c r="AK157" s="24"/>
      <c r="AL157" s="970" t="s">
        <v>440</v>
      </c>
      <c r="AM157" s="25">
        <v>5</v>
      </c>
      <c r="AN157" s="339">
        <v>69.59</v>
      </c>
      <c r="AO157" s="339">
        <v>84.29</v>
      </c>
      <c r="AP157" s="339">
        <v>71.17</v>
      </c>
      <c r="AQ157" s="339">
        <v>41.83</v>
      </c>
      <c r="AR157" s="339">
        <v>53.96</v>
      </c>
      <c r="AS157" s="970" t="s">
        <v>435</v>
      </c>
      <c r="AT157" s="25">
        <v>5</v>
      </c>
      <c r="AU157" s="339">
        <v>129.52000000000001</v>
      </c>
      <c r="AV157" s="339">
        <v>139</v>
      </c>
      <c r="AW157" s="339">
        <v>119.63</v>
      </c>
      <c r="AX157" s="339">
        <v>67.38</v>
      </c>
      <c r="AY157" s="339">
        <v>89.74</v>
      </c>
      <c r="AZ157" s="24"/>
      <c r="BA157" s="25">
        <v>5</v>
      </c>
      <c r="BB157" s="24">
        <f>IF($C$58="Base",BF157,BG157)</f>
        <v>69.59</v>
      </c>
      <c r="BC157" s="24" t="s">
        <v>436</v>
      </c>
      <c r="BD157" s="24">
        <f>IF(C58="base",BF157,BG157)</f>
        <v>69.59</v>
      </c>
      <c r="BE157" s="24"/>
      <c r="BF157" s="24">
        <f>IF($C$59&gt;7000,"error",IF($C$59&gt;5999,AR157,IF($C$59&gt;4999,AQ157,IF($C$59&gt;3999,AP157,IF($C$59&gt;2999,AO157,IF($C$59&gt;1999,AN157,"Error"))))))</f>
        <v>69.59</v>
      </c>
      <c r="BG157" s="24">
        <f t="shared" si="34"/>
        <v>129.52000000000001</v>
      </c>
      <c r="BH157" s="24"/>
      <c r="BI157" s="29" t="s">
        <v>142</v>
      </c>
      <c r="BJ157" s="29">
        <v>810</v>
      </c>
      <c r="BK157" s="29">
        <v>51.33</v>
      </c>
      <c r="BL157" s="24">
        <v>2000</v>
      </c>
      <c r="BM157" s="25"/>
      <c r="BN157" s="24"/>
      <c r="BO157" s="24"/>
      <c r="BP157" s="24"/>
      <c r="BQ157" s="29" t="s">
        <v>441</v>
      </c>
      <c r="BR157" s="29" t="s">
        <v>442</v>
      </c>
      <c r="BS157" s="29" t="s">
        <v>443</v>
      </c>
      <c r="BT157" s="14"/>
      <c r="BU157" s="30" t="s">
        <v>444</v>
      </c>
      <c r="BV157" s="31">
        <f>C60</f>
        <v>22430</v>
      </c>
      <c r="BW157" s="14" t="s">
        <v>445</v>
      </c>
      <c r="BX157" s="14" t="s">
        <v>13</v>
      </c>
      <c r="BY157" s="621">
        <f>BY158/BV157</f>
        <v>53.249673406598305</v>
      </c>
      <c r="BZ157" s="14"/>
    </row>
    <row r="158" spans="20:78" ht="13">
      <c r="T158" s="24">
        <v>152</v>
      </c>
      <c r="U158" s="24" t="s">
        <v>446</v>
      </c>
      <c r="V158" s="24"/>
      <c r="W158" s="24"/>
      <c r="X158" s="24"/>
      <c r="Y158" s="24"/>
      <c r="Z158" s="974"/>
      <c r="AA158" s="974"/>
      <c r="AB158" s="974"/>
      <c r="AC158" s="974"/>
      <c r="AD158" s="153"/>
      <c r="AE158" s="153"/>
      <c r="AF158" s="153"/>
      <c r="AG158" s="153"/>
      <c r="AH158" s="153"/>
      <c r="AI158" s="153"/>
      <c r="AJ158" s="153"/>
      <c r="AK158" s="24"/>
      <c r="AL158" s="970"/>
      <c r="AM158" s="25">
        <v>4.5</v>
      </c>
      <c r="AN158" s="339">
        <v>84.92</v>
      </c>
      <c r="AO158" s="339">
        <v>101.75</v>
      </c>
      <c r="AP158" s="339">
        <v>80.290000000000006</v>
      </c>
      <c r="AQ158" s="339">
        <v>51.46</v>
      </c>
      <c r="AR158" s="339">
        <v>62.39</v>
      </c>
      <c r="AS158" s="970"/>
      <c r="AT158" s="25">
        <v>4.5</v>
      </c>
      <c r="AU158" s="339">
        <v>158.69</v>
      </c>
      <c r="AV158" s="339">
        <v>166.57</v>
      </c>
      <c r="AW158" s="339">
        <v>142.47</v>
      </c>
      <c r="AX158" s="339">
        <v>84.06</v>
      </c>
      <c r="AY158" s="339">
        <v>105.77</v>
      </c>
      <c r="AZ158" s="24"/>
      <c r="BA158" s="25">
        <v>4.5</v>
      </c>
      <c r="BB158" s="24">
        <f t="shared" ref="BB158:BB165" si="37">IF($C$58="Base",BF158,BG158)</f>
        <v>84.92</v>
      </c>
      <c r="BC158" s="24" t="s">
        <v>436</v>
      </c>
      <c r="BD158" s="24">
        <f>BB158-BB157</f>
        <v>15.329999999999998</v>
      </c>
      <c r="BE158" s="24"/>
      <c r="BF158" s="24">
        <f t="shared" ref="BF158:BF165" si="38">IF($C$59&gt;7000,"error",IF($C$59&gt;5999,AR158,IF($C$59&gt;4999,AQ158,IF($C$59&gt;3999,AP158,IF($C$59&gt;2999,AO158,IF($C$59&gt;1999,AN158,"Error"))))))</f>
        <v>84.92</v>
      </c>
      <c r="BG158" s="24">
        <f t="shared" si="34"/>
        <v>158.69</v>
      </c>
      <c r="BH158" s="24"/>
      <c r="BI158" s="29" t="s">
        <v>118</v>
      </c>
      <c r="BJ158" s="29">
        <v>810</v>
      </c>
      <c r="BK158" s="29">
        <v>51.33</v>
      </c>
      <c r="BL158" s="24">
        <v>2000</v>
      </c>
      <c r="BM158" s="25"/>
      <c r="BN158" s="36">
        <f>BV162/BV159</f>
        <v>29.373620936254976</v>
      </c>
      <c r="BO158" s="32" t="s">
        <v>447</v>
      </c>
      <c r="BP158" s="36">
        <f>$BY$159/SUM($BY$159:$BY$160)*C64</f>
        <v>48.192662493740301</v>
      </c>
      <c r="BQ158" s="29" t="s">
        <v>448</v>
      </c>
      <c r="BR158" s="29" t="s">
        <v>449</v>
      </c>
      <c r="BS158" s="29" t="s">
        <v>450</v>
      </c>
      <c r="BT158" s="14"/>
      <c r="BU158" s="30" t="s">
        <v>451</v>
      </c>
      <c r="BV158" s="33">
        <f xml:space="preserve"> 5 - 0.5*(BV159-BB157)/BH167</f>
        <v>5.6978909819393246</v>
      </c>
      <c r="BW158" s="14" t="s">
        <v>452</v>
      </c>
      <c r="BX158" s="14" t="s">
        <v>453</v>
      </c>
      <c r="BY158" s="609">
        <f>SUM(BY159:BY160)</f>
        <v>1194390.17451</v>
      </c>
      <c r="BZ158" s="1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4</v>
      </c>
      <c r="AN159" s="339">
        <v>100.25</v>
      </c>
      <c r="AO159" s="339">
        <v>120.31</v>
      </c>
      <c r="AP159" s="339">
        <v>89.42</v>
      </c>
      <c r="AQ159" s="339">
        <v>61.1</v>
      </c>
      <c r="AR159" s="339">
        <v>70.83</v>
      </c>
      <c r="AS159" s="970"/>
      <c r="AT159" s="25">
        <v>4</v>
      </c>
      <c r="AU159" s="339">
        <v>187.86</v>
      </c>
      <c r="AV159" s="339">
        <v>194.15</v>
      </c>
      <c r="AW159" s="339">
        <v>165.3</v>
      </c>
      <c r="AX159" s="339">
        <v>100.73</v>
      </c>
      <c r="AY159" s="339">
        <v>121.79</v>
      </c>
      <c r="AZ159" s="24"/>
      <c r="BA159" s="25">
        <v>4</v>
      </c>
      <c r="BB159" s="24">
        <f t="shared" si="37"/>
        <v>100.25</v>
      </c>
      <c r="BC159" s="24" t="s">
        <v>436</v>
      </c>
      <c r="BD159" s="24">
        <f t="shared" ref="BD159:BD165" si="39">BB159-BB158</f>
        <v>15.329999999999998</v>
      </c>
      <c r="BE159" s="24"/>
      <c r="BF159" s="24">
        <f t="shared" si="38"/>
        <v>100.25</v>
      </c>
      <c r="BG159" s="24">
        <f t="shared" si="34"/>
        <v>187.86</v>
      </c>
      <c r="BH159" s="24"/>
      <c r="BI159" s="29" t="s">
        <v>150</v>
      </c>
      <c r="BJ159" s="29">
        <v>810</v>
      </c>
      <c r="BK159" s="29">
        <v>51.33</v>
      </c>
      <c r="BL159" s="24">
        <v>3000</v>
      </c>
      <c r="BM159" s="25"/>
      <c r="BN159" s="36">
        <f>BV163/BV164</f>
        <v>463.52294873108389</v>
      </c>
      <c r="BO159" s="24" t="s">
        <v>454</v>
      </c>
      <c r="BP159" s="36">
        <f>$BY$160/SUM($BY$159:$BY$160)*C64</f>
        <v>2.0073375062597072</v>
      </c>
      <c r="BQ159" s="29" t="s">
        <v>455</v>
      </c>
      <c r="BR159" s="29" t="s">
        <v>456</v>
      </c>
      <c r="BS159" s="29" t="s">
        <v>457</v>
      </c>
      <c r="BT159" s="14"/>
      <c r="BU159" s="30" t="s">
        <v>458</v>
      </c>
      <c r="BV159" s="31">
        <f>BP158</f>
        <v>48.192662493740301</v>
      </c>
      <c r="BW159" s="14" t="s">
        <v>436</v>
      </c>
      <c r="BX159" s="14" t="s">
        <v>459</v>
      </c>
      <c r="BY159" s="620">
        <f>INDEX($BJ$157:$BJ$162,MATCH($C$57,$BI$157:$BI$162,0))*$C$62</f>
        <v>1146630.33</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3.5</v>
      </c>
      <c r="AN160" s="339">
        <v>115.57</v>
      </c>
      <c r="AO160" s="339">
        <v>138.88</v>
      </c>
      <c r="AP160" s="339">
        <v>98.54</v>
      </c>
      <c r="AQ160" s="339">
        <v>70.739999999999995</v>
      </c>
      <c r="AR160" s="339">
        <v>79.260000000000005</v>
      </c>
      <c r="AS160" s="970"/>
      <c r="AT160" s="25">
        <v>3.5</v>
      </c>
      <c r="AU160" s="339">
        <v>217.04</v>
      </c>
      <c r="AV160" s="339">
        <v>221.73</v>
      </c>
      <c r="AW160" s="339">
        <v>188.13</v>
      </c>
      <c r="AX160" s="339">
        <v>117.41</v>
      </c>
      <c r="AY160" s="339">
        <v>137.82</v>
      </c>
      <c r="AZ160" s="24"/>
      <c r="BA160" s="25">
        <v>3.5</v>
      </c>
      <c r="BB160" s="24">
        <f t="shared" si="37"/>
        <v>115.57</v>
      </c>
      <c r="BC160" s="24" t="s">
        <v>436</v>
      </c>
      <c r="BD160" s="24">
        <f t="shared" si="39"/>
        <v>15.319999999999993</v>
      </c>
      <c r="BE160" s="24"/>
      <c r="BF160" s="24">
        <f t="shared" si="38"/>
        <v>115.57</v>
      </c>
      <c r="BG160" s="24">
        <f t="shared" si="34"/>
        <v>217.04</v>
      </c>
      <c r="BH160" s="24"/>
      <c r="BI160" s="29" t="s">
        <v>460</v>
      </c>
      <c r="BJ160" s="29">
        <v>770</v>
      </c>
      <c r="BK160" s="29">
        <v>51.33</v>
      </c>
      <c r="BL160" s="24">
        <v>4000</v>
      </c>
      <c r="BM160" s="25"/>
      <c r="BN160" s="24"/>
      <c r="BO160" s="24"/>
      <c r="BP160" s="24"/>
      <c r="BQ160" s="29" t="s">
        <v>461</v>
      </c>
      <c r="BR160" s="29" t="s">
        <v>462</v>
      </c>
      <c r="BS160" s="29" t="s">
        <v>463</v>
      </c>
      <c r="BT160" s="34"/>
      <c r="BU160" s="30" t="s">
        <v>464</v>
      </c>
      <c r="BV160" s="35"/>
      <c r="BW160" s="14" t="s">
        <v>452</v>
      </c>
      <c r="BX160" s="14" t="s">
        <v>465</v>
      </c>
      <c r="BY160" s="620">
        <f>INDEX($BK$157:$BK$162,MATCH($C$57,$BI$157:$BI$162,0))*$C$63</f>
        <v>47759.844509999995</v>
      </c>
      <c r="BZ160" s="607">
        <f>BY160/BY158</f>
        <v>3.9986802913539982E-2</v>
      </c>
    </row>
    <row r="161" spans="7:88" ht="13">
      <c r="T161" s="24"/>
      <c r="U161" s="24"/>
      <c r="V161" s="24"/>
      <c r="W161" s="24"/>
      <c r="X161" s="24"/>
      <c r="Y161" s="24"/>
      <c r="Z161" s="24"/>
      <c r="AA161" s="24"/>
      <c r="AB161" s="24"/>
      <c r="AC161" s="24"/>
      <c r="AD161" s="24"/>
      <c r="AE161" s="24"/>
      <c r="AF161" s="24"/>
      <c r="AG161" s="24"/>
      <c r="AH161" s="24"/>
      <c r="AI161" s="24"/>
      <c r="AJ161" s="24"/>
      <c r="AK161" s="24"/>
      <c r="AL161" s="970"/>
      <c r="AM161" s="25">
        <v>3</v>
      </c>
      <c r="AN161" s="339">
        <v>130.9</v>
      </c>
      <c r="AO161" s="339">
        <v>157.44999999999999</v>
      </c>
      <c r="AP161" s="339">
        <v>107.66</v>
      </c>
      <c r="AQ161" s="339">
        <v>80.38</v>
      </c>
      <c r="AR161" s="339">
        <v>87.69</v>
      </c>
      <c r="AS161" s="970"/>
      <c r="AT161" s="25">
        <v>3</v>
      </c>
      <c r="AU161" s="339">
        <v>246.21</v>
      </c>
      <c r="AV161" s="339">
        <v>249.31</v>
      </c>
      <c r="AW161" s="339">
        <v>210.96</v>
      </c>
      <c r="AX161" s="339">
        <v>134.09</v>
      </c>
      <c r="AY161" s="339">
        <v>153.85</v>
      </c>
      <c r="AZ161" s="24"/>
      <c r="BA161" s="25">
        <v>3</v>
      </c>
      <c r="BB161" s="24">
        <f t="shared" si="37"/>
        <v>130.9</v>
      </c>
      <c r="BC161" s="24" t="s">
        <v>436</v>
      </c>
      <c r="BD161" s="24">
        <f t="shared" si="39"/>
        <v>15.330000000000013</v>
      </c>
      <c r="BE161" s="24"/>
      <c r="BF161" s="24">
        <f t="shared" si="38"/>
        <v>130.9</v>
      </c>
      <c r="BG161" s="24">
        <f t="shared" si="34"/>
        <v>246.21</v>
      </c>
      <c r="BH161" s="24"/>
      <c r="BI161" s="29" t="s">
        <v>129</v>
      </c>
      <c r="BJ161" s="29">
        <v>980</v>
      </c>
      <c r="BK161" s="29">
        <v>51.33</v>
      </c>
      <c r="BL161" s="24">
        <v>5000</v>
      </c>
      <c r="BM161" s="25"/>
      <c r="BN161" s="24">
        <f>W163</f>
        <v>0.152</v>
      </c>
      <c r="BO161" s="24"/>
      <c r="BP161" s="24"/>
      <c r="BQ161" s="29" t="s">
        <v>466</v>
      </c>
      <c r="BR161" s="29" t="s">
        <v>467</v>
      </c>
      <c r="BS161" s="29"/>
      <c r="BT161" s="34"/>
      <c r="BU161" s="30" t="s">
        <v>468</v>
      </c>
      <c r="BV161" s="30" t="s">
        <v>469</v>
      </c>
      <c r="BW161" s="30" t="s">
        <v>433</v>
      </c>
      <c r="BX161" s="14"/>
      <c r="BY161" s="620">
        <f>((BY159+BY160)/$C$60)*(50/$C$61)</f>
        <v>44.374727838831923</v>
      </c>
      <c r="BZ161" s="36"/>
      <c r="CA161" s="14"/>
      <c r="CB161" s="14"/>
      <c r="CC161" s="14"/>
      <c r="CD161" s="14"/>
      <c r="CE161" s="24"/>
      <c r="CF161" s="24"/>
      <c r="CG161" s="14"/>
      <c r="CH161" s="14"/>
      <c r="CI161" s="14"/>
      <c r="CJ161" s="14"/>
    </row>
    <row r="162" spans="7:88">
      <c r="T162" s="24"/>
      <c r="U162" s="24"/>
      <c r="V162" s="24"/>
      <c r="W162" s="24"/>
      <c r="X162" s="24"/>
      <c r="Y162" s="24"/>
      <c r="Z162" s="24"/>
      <c r="AA162" s="24"/>
      <c r="AB162" s="24"/>
      <c r="AC162" s="24"/>
      <c r="AD162" s="24"/>
      <c r="AE162" s="24"/>
      <c r="AF162" s="24"/>
      <c r="AG162" s="24"/>
      <c r="AH162" s="24"/>
      <c r="AI162" s="24"/>
      <c r="AJ162" s="24"/>
      <c r="AK162" s="24"/>
      <c r="AL162" s="970"/>
      <c r="AM162" s="25">
        <v>2.5</v>
      </c>
      <c r="AN162" s="339">
        <v>146.22999999999999</v>
      </c>
      <c r="AO162" s="339">
        <v>176.01</v>
      </c>
      <c r="AP162" s="339">
        <v>116.79</v>
      </c>
      <c r="AQ162" s="339">
        <v>90.02</v>
      </c>
      <c r="AR162" s="339">
        <v>96.12</v>
      </c>
      <c r="AS162" s="970"/>
      <c r="AT162" s="25">
        <v>2.5</v>
      </c>
      <c r="AU162" s="339">
        <v>275.38</v>
      </c>
      <c r="AV162" s="339">
        <v>276.89</v>
      </c>
      <c r="AW162" s="339">
        <v>233.79</v>
      </c>
      <c r="AX162" s="339">
        <v>150.77000000000001</v>
      </c>
      <c r="AY162" s="339">
        <v>169.87</v>
      </c>
      <c r="AZ162" s="24"/>
      <c r="BA162" s="25">
        <v>2.5</v>
      </c>
      <c r="BB162" s="24">
        <f t="shared" si="37"/>
        <v>146.22999999999999</v>
      </c>
      <c r="BC162" s="24" t="s">
        <v>436</v>
      </c>
      <c r="BD162" s="24">
        <f t="shared" si="39"/>
        <v>15.329999999999984</v>
      </c>
      <c r="BE162" s="24"/>
      <c r="BF162" s="24">
        <f t="shared" si="38"/>
        <v>146.22999999999999</v>
      </c>
      <c r="BG162" s="24">
        <f t="shared" si="34"/>
        <v>275.38</v>
      </c>
      <c r="BH162" s="24"/>
      <c r="BI162" s="29" t="s">
        <v>147</v>
      </c>
      <c r="BJ162" s="29">
        <v>680</v>
      </c>
      <c r="BK162" s="29">
        <v>51.33</v>
      </c>
      <c r="BL162" s="24">
        <v>6000</v>
      </c>
      <c r="BM162" s="37"/>
      <c r="BN162" s="37"/>
      <c r="BO162" s="37"/>
      <c r="BP162" s="37"/>
      <c r="BQ162" s="29" t="s">
        <v>470</v>
      </c>
      <c r="BR162" s="29" t="s">
        <v>18</v>
      </c>
      <c r="BS162" s="29"/>
      <c r="BT162" s="14"/>
      <c r="BU162" s="14" t="s">
        <v>471</v>
      </c>
      <c r="BV162" s="31">
        <f>C62</f>
        <v>1415.5930000000001</v>
      </c>
      <c r="BW162" s="14" t="s">
        <v>311</v>
      </c>
      <c r="BX162" s="14"/>
      <c r="BY162" s="609"/>
      <c r="BZ162" s="38">
        <f>5-(0.5*(C64-CE178)/(CE177-CE178))</f>
        <v>5.6324200913242013</v>
      </c>
      <c r="CA162" s="14"/>
      <c r="CB162" s="14"/>
      <c r="CC162" s="14"/>
      <c r="CD162" s="14"/>
      <c r="CE162" s="24"/>
      <c r="CF162" s="24"/>
      <c r="CG162" s="14"/>
      <c r="CH162" s="14"/>
      <c r="CI162" s="14"/>
      <c r="CJ162" s="14"/>
    </row>
    <row r="163" spans="7:88">
      <c r="T163" s="24"/>
      <c r="U163" s="24"/>
      <c r="V163" s="39" t="s">
        <v>472</v>
      </c>
      <c r="W163" s="40">
        <v>0.152</v>
      </c>
      <c r="X163" s="24"/>
      <c r="Y163" s="24"/>
      <c r="Z163" s="24"/>
      <c r="AA163" s="24"/>
      <c r="AB163" s="24"/>
      <c r="AC163" s="24"/>
      <c r="AD163" s="24"/>
      <c r="AE163" s="24"/>
      <c r="AF163" s="24"/>
      <c r="AG163" s="24"/>
      <c r="AH163" s="24"/>
      <c r="AI163" s="24"/>
      <c r="AJ163" s="24"/>
      <c r="AK163" s="24"/>
      <c r="AL163" s="970"/>
      <c r="AM163" s="25">
        <v>2</v>
      </c>
      <c r="AN163" s="339">
        <v>161.56</v>
      </c>
      <c r="AO163" s="339">
        <v>194.58</v>
      </c>
      <c r="AP163" s="339">
        <v>125.91</v>
      </c>
      <c r="AQ163" s="339">
        <v>99.65</v>
      </c>
      <c r="AR163" s="339">
        <v>104.55</v>
      </c>
      <c r="AS163" s="970"/>
      <c r="AT163" s="25">
        <v>2</v>
      </c>
      <c r="AU163" s="339">
        <v>304.55</v>
      </c>
      <c r="AV163" s="339">
        <v>304.47000000000003</v>
      </c>
      <c r="AW163" s="339">
        <v>256.62</v>
      </c>
      <c r="AX163" s="339">
        <v>167.44</v>
      </c>
      <c r="AY163" s="339">
        <v>185.9</v>
      </c>
      <c r="AZ163" s="24"/>
      <c r="BA163" s="25">
        <v>2</v>
      </c>
      <c r="BB163" s="24">
        <f t="shared" si="37"/>
        <v>161.56</v>
      </c>
      <c r="BC163" s="24" t="s">
        <v>436</v>
      </c>
      <c r="BD163" s="24">
        <f t="shared" si="39"/>
        <v>15.330000000000013</v>
      </c>
      <c r="BE163" s="24"/>
      <c r="BF163" s="24">
        <f t="shared" si="38"/>
        <v>161.56</v>
      </c>
      <c r="BG163" s="24">
        <f t="shared" si="34"/>
        <v>304.55</v>
      </c>
      <c r="BH163" s="24"/>
      <c r="BI163" s="24"/>
      <c r="BJ163" s="24"/>
      <c r="BK163" s="24"/>
      <c r="BL163" s="24"/>
      <c r="BM163" s="37"/>
      <c r="BN163" s="37"/>
      <c r="BO163" s="37"/>
      <c r="BP163" s="37"/>
      <c r="BQ163" s="29" t="s">
        <v>473</v>
      </c>
      <c r="BR163" s="24"/>
      <c r="BS163" s="24"/>
      <c r="BT163" s="14"/>
      <c r="BU163" s="14" t="s">
        <v>474</v>
      </c>
      <c r="BV163" s="31">
        <f>C63</f>
        <v>930.447</v>
      </c>
      <c r="BW163" s="14" t="s">
        <v>314</v>
      </c>
      <c r="BX163" s="14"/>
      <c r="BY163" s="609">
        <f>C63*BK157</f>
        <v>47759.844509999995</v>
      </c>
      <c r="CA163" s="14"/>
      <c r="CB163" s="14"/>
      <c r="CC163" s="14"/>
      <c r="CD163" s="14"/>
      <c r="CE163" s="24"/>
      <c r="CF163" s="24"/>
      <c r="CG163" s="14"/>
      <c r="CH163" s="14"/>
      <c r="CI163" s="14"/>
      <c r="CJ163" s="14"/>
    </row>
    <row r="164" spans="7:88">
      <c r="T164" s="24"/>
      <c r="U164" s="24"/>
      <c r="V164" s="24"/>
      <c r="W164" s="24"/>
      <c r="X164" s="24"/>
      <c r="Y164" s="24"/>
      <c r="Z164" s="24"/>
      <c r="AA164" s="24"/>
      <c r="AB164" s="24"/>
      <c r="AC164" s="24"/>
      <c r="AD164" s="24"/>
      <c r="AE164" s="24"/>
      <c r="AF164" s="24"/>
      <c r="AG164" s="24"/>
      <c r="AH164" s="24"/>
      <c r="AI164" s="24"/>
      <c r="AJ164" s="24"/>
      <c r="AK164" s="24"/>
      <c r="AL164" s="970"/>
      <c r="AM164" s="25">
        <v>1.5</v>
      </c>
      <c r="AN164" s="339">
        <v>176.89</v>
      </c>
      <c r="AO164" s="339">
        <v>213.15</v>
      </c>
      <c r="AP164" s="339">
        <v>135.04</v>
      </c>
      <c r="AQ164" s="339">
        <v>109.29</v>
      </c>
      <c r="AR164" s="339">
        <v>112.98</v>
      </c>
      <c r="AS164" s="970"/>
      <c r="AT164" s="25">
        <v>1.5</v>
      </c>
      <c r="AU164" s="339">
        <v>333.72</v>
      </c>
      <c r="AV164" s="339">
        <v>332.05</v>
      </c>
      <c r="AW164" s="339">
        <v>279.45</v>
      </c>
      <c r="AX164" s="339">
        <v>184.12</v>
      </c>
      <c r="AY164" s="339">
        <v>201.92</v>
      </c>
      <c r="AZ164" s="24"/>
      <c r="BA164" s="25">
        <v>1.5</v>
      </c>
      <c r="BB164" s="24">
        <f t="shared" si="37"/>
        <v>176.89</v>
      </c>
      <c r="BC164" s="24" t="s">
        <v>436</v>
      </c>
      <c r="BD164" s="24">
        <f t="shared" si="39"/>
        <v>15.329999999999984</v>
      </c>
      <c r="BE164" s="24"/>
      <c r="BF164" s="24">
        <f t="shared" si="38"/>
        <v>176.89</v>
      </c>
      <c r="BG164" s="24">
        <f t="shared" si="34"/>
        <v>333.72</v>
      </c>
      <c r="BH164" s="24"/>
      <c r="BI164" s="24"/>
      <c r="BJ164" s="24"/>
      <c r="BK164" s="24"/>
      <c r="BL164" s="24"/>
      <c r="BM164" s="37"/>
      <c r="BN164" s="37"/>
      <c r="BO164" s="37"/>
      <c r="BP164" s="37"/>
      <c r="BQ164" s="29" t="s">
        <v>475</v>
      </c>
      <c r="BR164" s="24"/>
      <c r="BS164" s="24"/>
      <c r="BT164" s="14"/>
      <c r="BU164" s="14" t="s">
        <v>476</v>
      </c>
      <c r="BV164" s="35">
        <f>BP159</f>
        <v>2.0073375062597072</v>
      </c>
      <c r="BW164" s="14"/>
      <c r="BX164" s="14"/>
      <c r="BY164" s="14"/>
      <c r="CA164" s="14"/>
      <c r="CB164" s="14"/>
      <c r="CC164" s="14"/>
      <c r="CD164" s="14"/>
      <c r="CE164" s="24"/>
      <c r="CF164" s="24"/>
      <c r="CG164" s="14"/>
      <c r="CH164" s="14"/>
      <c r="CI164" s="14"/>
      <c r="CJ164" s="14"/>
    </row>
    <row r="165" spans="7:88" ht="13">
      <c r="T165" s="24"/>
      <c r="U165" s="24"/>
      <c r="V165" s="971" t="s">
        <v>477</v>
      </c>
      <c r="W165" s="971"/>
      <c r="X165" s="971"/>
      <c r="Y165" s="24"/>
      <c r="Z165" s="971"/>
      <c r="AA165" s="971"/>
      <c r="AB165" s="971"/>
      <c r="AC165" s="24"/>
      <c r="AD165" s="24"/>
      <c r="AE165" s="24"/>
      <c r="AF165" s="24"/>
      <c r="AG165" s="24"/>
      <c r="AH165" s="24"/>
      <c r="AI165" s="24"/>
      <c r="AJ165" s="24"/>
      <c r="AK165" s="24"/>
      <c r="AL165" s="970"/>
      <c r="AM165" s="25">
        <v>1</v>
      </c>
      <c r="AN165" s="339">
        <v>192.21</v>
      </c>
      <c r="AO165" s="339">
        <v>231.71</v>
      </c>
      <c r="AP165" s="339">
        <v>144.16</v>
      </c>
      <c r="AQ165" s="339">
        <v>118.93</v>
      </c>
      <c r="AR165" s="339">
        <v>121.42</v>
      </c>
      <c r="AS165" s="970"/>
      <c r="AT165" s="25">
        <v>1</v>
      </c>
      <c r="AU165" s="339">
        <v>362.89</v>
      </c>
      <c r="AV165" s="339">
        <v>359.62</v>
      </c>
      <c r="AW165" s="339">
        <v>302.27999999999997</v>
      </c>
      <c r="AX165" s="339">
        <v>200.8</v>
      </c>
      <c r="AY165" s="339">
        <v>217.95</v>
      </c>
      <c r="AZ165" s="24"/>
      <c r="BA165" s="25">
        <v>1</v>
      </c>
      <c r="BB165" s="24">
        <f t="shared" si="37"/>
        <v>192.21</v>
      </c>
      <c r="BC165" s="24" t="s">
        <v>436</v>
      </c>
      <c r="BD165" s="24">
        <f t="shared" si="39"/>
        <v>15.320000000000022</v>
      </c>
      <c r="BE165" s="24"/>
      <c r="BF165" s="24">
        <f t="shared" si="38"/>
        <v>192.21</v>
      </c>
      <c r="BG165" s="24">
        <f t="shared" si="34"/>
        <v>362.89</v>
      </c>
      <c r="BH165" s="24"/>
      <c r="BI165" s="24"/>
      <c r="BJ165" s="24"/>
      <c r="BK165" s="24"/>
      <c r="BL165" s="24"/>
      <c r="BM165" s="37"/>
      <c r="BN165" s="37"/>
      <c r="BO165" s="37"/>
      <c r="BP165" s="37"/>
      <c r="BQ165" s="29" t="s">
        <v>478</v>
      </c>
      <c r="BR165" s="24"/>
      <c r="BS165" s="24"/>
      <c r="BT165" s="14"/>
      <c r="BU165" s="14"/>
      <c r="BV165" s="14">
        <f>BV164+BV159</f>
        <v>50.20000000000001</v>
      </c>
      <c r="BW165" s="14"/>
      <c r="BX165" s="14"/>
      <c r="BY165" s="14"/>
      <c r="BZ165" s="14"/>
      <c r="CA165" s="14"/>
      <c r="CB165" s="14"/>
      <c r="CC165" s="14"/>
      <c r="CD165" s="14"/>
      <c r="CE165" s="24"/>
      <c r="CF165" s="24"/>
      <c r="CG165" s="14"/>
      <c r="CH165" s="14"/>
      <c r="CI165" s="14"/>
      <c r="CJ165" s="14"/>
    </row>
    <row r="166" spans="7:88">
      <c r="G166" s="207">
        <f>G66</f>
        <v>45473</v>
      </c>
      <c r="H166" s="207">
        <f t="shared" ref="H166:Q166" si="40">H66</f>
        <v>45838</v>
      </c>
      <c r="I166" s="207">
        <f t="shared" si="40"/>
        <v>46203</v>
      </c>
      <c r="J166" s="207">
        <f t="shared" si="40"/>
        <v>46568</v>
      </c>
      <c r="K166" s="207">
        <f t="shared" si="40"/>
        <v>46934</v>
      </c>
      <c r="L166" s="207">
        <f t="shared" si="40"/>
        <v>47299</v>
      </c>
      <c r="M166" s="207">
        <f t="shared" si="40"/>
        <v>47664</v>
      </c>
      <c r="N166" s="207">
        <f t="shared" si="40"/>
        <v>48029</v>
      </c>
      <c r="O166" s="207">
        <f t="shared" si="40"/>
        <v>48395</v>
      </c>
      <c r="P166" s="207">
        <f t="shared" si="40"/>
        <v>48760</v>
      </c>
      <c r="Q166" s="207">
        <f t="shared" si="40"/>
        <v>49125</v>
      </c>
      <c r="T166" s="24"/>
      <c r="U166" s="24"/>
      <c r="V166" s="971"/>
      <c r="W166" s="971"/>
      <c r="X166" s="971"/>
      <c r="Y166" s="24"/>
      <c r="Z166" s="24"/>
      <c r="AA166" s="24"/>
      <c r="AB166" s="24"/>
      <c r="AC166" s="24"/>
      <c r="AD166" s="24"/>
      <c r="AE166" s="24"/>
      <c r="AF166" s="24"/>
      <c r="AG166" s="24"/>
      <c r="AH166" s="24"/>
      <c r="AI166" s="24"/>
      <c r="AJ166" s="24"/>
      <c r="AK166" s="24"/>
      <c r="AL166" s="24"/>
      <c r="AM166" s="24"/>
      <c r="AN166" s="41" t="s">
        <v>118</v>
      </c>
      <c r="AO166" s="41" t="s">
        <v>129</v>
      </c>
      <c r="AP166" s="42" t="s">
        <v>150</v>
      </c>
      <c r="AQ166" s="42" t="s">
        <v>460</v>
      </c>
      <c r="AR166" s="42" t="s">
        <v>147</v>
      </c>
      <c r="AS166" s="24"/>
      <c r="AT166" s="24"/>
      <c r="AU166" s="41" t="s">
        <v>118</v>
      </c>
      <c r="AV166" s="41" t="s">
        <v>129</v>
      </c>
      <c r="AW166" s="42" t="s">
        <v>150</v>
      </c>
      <c r="AX166" s="42" t="s">
        <v>460</v>
      </c>
      <c r="AY166" s="42" t="s">
        <v>147</v>
      </c>
      <c r="AZ166" s="24"/>
      <c r="BA166" s="24"/>
      <c r="BB166" s="24"/>
      <c r="BC166" s="24"/>
      <c r="BD166" s="24"/>
      <c r="BE166" s="24"/>
      <c r="BF166" s="24"/>
      <c r="BG166" s="24"/>
      <c r="BH166" s="24"/>
      <c r="BI166" s="24"/>
      <c r="BJ166" s="24"/>
      <c r="BK166" s="24"/>
      <c r="BL166" s="24"/>
      <c r="BM166" s="37"/>
      <c r="BN166" s="37"/>
      <c r="BO166" s="37"/>
      <c r="BP166" s="37"/>
      <c r="BQ166" s="29" t="s">
        <v>479</v>
      </c>
      <c r="BR166" s="24"/>
      <c r="BS166" s="24"/>
      <c r="BT166" s="14"/>
      <c r="BU166" s="14"/>
      <c r="BV166" s="14"/>
      <c r="BW166" s="14"/>
      <c r="BX166" s="14"/>
      <c r="BY166" s="14"/>
      <c r="BZ166" s="14"/>
      <c r="CA166" s="14"/>
      <c r="CB166" s="14"/>
      <c r="CC166" s="14"/>
      <c r="CD166" s="14"/>
      <c r="CE166" s="24"/>
      <c r="CF166" s="24"/>
      <c r="CG166" s="14"/>
      <c r="CH166" s="14"/>
      <c r="CI166" s="14"/>
      <c r="CJ166" s="14"/>
    </row>
    <row r="167" spans="7:88" ht="15.5">
      <c r="G167" s="177">
        <v>45107</v>
      </c>
      <c r="H167" s="177">
        <f>G167+365</f>
        <v>45472</v>
      </c>
      <c r="I167" s="177">
        <f t="shared" ref="I167:Q167" si="41">H167+365</f>
        <v>45837</v>
      </c>
      <c r="J167" s="177">
        <f t="shared" si="41"/>
        <v>46202</v>
      </c>
      <c r="K167" s="177">
        <f t="shared" si="41"/>
        <v>46567</v>
      </c>
      <c r="L167" s="177">
        <f t="shared" si="41"/>
        <v>46932</v>
      </c>
      <c r="M167" s="177">
        <f t="shared" si="41"/>
        <v>47297</v>
      </c>
      <c r="N167" s="177">
        <f t="shared" si="41"/>
        <v>47662</v>
      </c>
      <c r="O167" s="177">
        <f t="shared" si="41"/>
        <v>48027</v>
      </c>
      <c r="P167" s="177">
        <f t="shared" si="41"/>
        <v>48392</v>
      </c>
      <c r="Q167" s="177">
        <f t="shared" si="41"/>
        <v>48757</v>
      </c>
      <c r="T167" s="43"/>
      <c r="U167" s="43"/>
      <c r="V167" s="43"/>
      <c r="W167" s="44" t="s">
        <v>200</v>
      </c>
      <c r="X167" s="44" t="s">
        <v>480</v>
      </c>
      <c r="Y167" s="45" t="s">
        <v>481</v>
      </c>
      <c r="Z167" s="44" t="s">
        <v>436</v>
      </c>
      <c r="AA167" s="46">
        <f>DATE(YEAR(C56)+1,MONTH(C56),DAY(C56))</f>
        <v>45382</v>
      </c>
      <c r="AB167" s="46">
        <f>DATE(YEAR(AA167)+1,MONTH(AA167),DAY(AA167))</f>
        <v>45747</v>
      </c>
      <c r="AC167" s="46">
        <f t="shared" ref="AC167:AK167" si="42">DATE(YEAR(AB167)+1,MONTH(AB167),DAY(AB167))</f>
        <v>46112</v>
      </c>
      <c r="AD167" s="46">
        <f t="shared" si="42"/>
        <v>46477</v>
      </c>
      <c r="AE167" s="46">
        <f t="shared" si="42"/>
        <v>46843</v>
      </c>
      <c r="AF167" s="46">
        <f t="shared" si="42"/>
        <v>47208</v>
      </c>
      <c r="AG167" s="46">
        <f t="shared" si="42"/>
        <v>47573</v>
      </c>
      <c r="AH167" s="46">
        <f t="shared" si="42"/>
        <v>47938</v>
      </c>
      <c r="AI167" s="46">
        <f t="shared" si="42"/>
        <v>48304</v>
      </c>
      <c r="AJ167" s="46">
        <f t="shared" si="42"/>
        <v>48669</v>
      </c>
      <c r="AK167" s="46">
        <f t="shared" si="42"/>
        <v>49034</v>
      </c>
      <c r="AL167" s="47" t="s">
        <v>482</v>
      </c>
      <c r="AM167" s="48"/>
      <c r="AN167" s="48" t="s">
        <v>483</v>
      </c>
      <c r="AO167" s="48" t="s">
        <v>484</v>
      </c>
      <c r="AP167" s="47"/>
      <c r="AQ167" s="47"/>
      <c r="AR167" s="47"/>
      <c r="AS167" s="47"/>
      <c r="AT167" s="47"/>
      <c r="AU167" s="47"/>
      <c r="AV167" s="47"/>
      <c r="AW167" s="47"/>
      <c r="AX167" s="47"/>
      <c r="AY167" s="47"/>
      <c r="AZ167" s="47"/>
      <c r="BA167" s="47"/>
      <c r="BB167" s="49"/>
      <c r="BC167" s="50"/>
      <c r="BD167" s="47"/>
      <c r="BE167" s="47">
        <f t="shared" ref="BE167:BE177" si="43">IF($C$58="base",INDEX($AN$158:$AR$158,MATCH($C$57,$AN$166:$AR$166,0)),INDEX($AU$158:$AY$158,MATCH($C$57,$AU$166:$AY$166,0)))</f>
        <v>84.92</v>
      </c>
      <c r="BF167" s="47" t="s">
        <v>388</v>
      </c>
      <c r="BG167" s="47">
        <f>BD157</f>
        <v>69.59</v>
      </c>
      <c r="BH167" s="47">
        <f>BD158</f>
        <v>15.329999999999998</v>
      </c>
      <c r="BI167" s="47">
        <f>BD159</f>
        <v>15.329999999999998</v>
      </c>
      <c r="BJ167" s="47">
        <f>BD160</f>
        <v>15.319999999999993</v>
      </c>
      <c r="BK167" s="47">
        <f>BD161</f>
        <v>15.330000000000013</v>
      </c>
      <c r="BL167" s="47">
        <f>BD162</f>
        <v>15.329999999999984</v>
      </c>
      <c r="BM167" s="47">
        <f>BD163</f>
        <v>15.330000000000013</v>
      </c>
      <c r="BN167" s="47">
        <f>BD164</f>
        <v>15.329999999999984</v>
      </c>
      <c r="BO167" s="47">
        <f>BD165</f>
        <v>15.320000000000022</v>
      </c>
      <c r="BP167" s="47"/>
      <c r="BQ167" s="47"/>
      <c r="BR167" s="51"/>
      <c r="BS167" s="51"/>
      <c r="BT167" s="52" t="s">
        <v>485</v>
      </c>
      <c r="BU167" s="47"/>
      <c r="BV167" s="47"/>
      <c r="BW167" s="19"/>
      <c r="BX167" s="19"/>
      <c r="BY167" s="19"/>
      <c r="BZ167" s="19"/>
      <c r="CA167" s="19"/>
      <c r="CB167" s="19"/>
      <c r="CC167" s="19"/>
      <c r="CD167" s="19"/>
      <c r="CE167" s="19" t="s">
        <v>364</v>
      </c>
      <c r="CF167" s="19" t="s">
        <v>435</v>
      </c>
      <c r="CG167" s="19"/>
      <c r="CH167" s="19"/>
      <c r="CI167" s="19"/>
      <c r="CJ167" s="19"/>
    </row>
    <row r="168" spans="7:88">
      <c r="G168" s="12">
        <f t="shared" ref="G168:G176" si="44">IF($E69&lt;G$66,$C69,0)</f>
        <v>0</v>
      </c>
      <c r="H168" s="12">
        <f t="shared" ref="H168:J176" si="45">IF($E69&gt;H$66,0,IF($E69&lt;H$66-365,$C69,0))</f>
        <v>0</v>
      </c>
      <c r="I168" s="12">
        <f t="shared" si="45"/>
        <v>0</v>
      </c>
      <c r="J168" s="12">
        <f t="shared" si="45"/>
        <v>0</v>
      </c>
      <c r="K168" s="12">
        <f t="shared" ref="K168:K176" si="46">IF($E69&lt;K$66,$C69,0)</f>
        <v>-25</v>
      </c>
      <c r="L168" s="12">
        <f t="shared" ref="L168:N176" si="47">IF($E69&gt;L$66,0,IF($E69&lt;L$66-365,$C69,0))</f>
        <v>-25</v>
      </c>
      <c r="M168" s="12">
        <f t="shared" si="47"/>
        <v>-25</v>
      </c>
      <c r="N168" s="12">
        <f t="shared" si="47"/>
        <v>-25</v>
      </c>
      <c r="O168" s="12">
        <f t="shared" ref="O168:O176" si="48">IF($E69&lt;O$66,$C69,0)</f>
        <v>-25</v>
      </c>
      <c r="P168" s="12">
        <f t="shared" ref="P168:Q176" si="49">IF($E69&gt;P$66,0,IF($E69&lt;P$66-365,$C69,0))</f>
        <v>-25</v>
      </c>
      <c r="Q168" s="12">
        <f t="shared" si="49"/>
        <v>-25</v>
      </c>
      <c r="T168" s="14"/>
      <c r="U168" s="14"/>
      <c r="V168" s="14"/>
      <c r="W168" s="53">
        <f t="shared" ref="W168:W177" si="50">C68*$BN$161*1000</f>
        <v>0</v>
      </c>
      <c r="X168" s="54" t="e">
        <f t="shared" ref="X168:X177" si="51">-1*F68/W168</f>
        <v>#DIV/0!</v>
      </c>
      <c r="Y168" s="25">
        <f>Z168/$BH$167</f>
        <v>0</v>
      </c>
      <c r="Z168" s="54">
        <f>C68/$BN$158</f>
        <v>0</v>
      </c>
      <c r="AA168" s="54">
        <f t="shared" ref="AA168:AK168" si="52">IF($E68+365&lt;$C$56,0,IF($E68&lt;$C$56,(($E68+365-$C$56)/365)*(($C68/$BN$158)+($D68/$BN$159)),IF($E68&gt;AA$167,0,IF($E68+365&lt;AA$167,($C68/$BN$158)+($D68/$BN$159),((AA$167-$E68)/365)*(($C68/$BN$158)+($D68/$BN$159))))))</f>
        <v>0</v>
      </c>
      <c r="AB168" s="54">
        <f t="shared" si="52"/>
        <v>0</v>
      </c>
      <c r="AC168" s="54">
        <f t="shared" si="52"/>
        <v>0</v>
      </c>
      <c r="AD168" s="54">
        <f t="shared" si="52"/>
        <v>0</v>
      </c>
      <c r="AE168" s="54">
        <f t="shared" si="52"/>
        <v>0</v>
      </c>
      <c r="AF168" s="54">
        <f t="shared" si="52"/>
        <v>0</v>
      </c>
      <c r="AG168" s="54">
        <f t="shared" si="52"/>
        <v>0</v>
      </c>
      <c r="AH168" s="54">
        <f t="shared" si="52"/>
        <v>0</v>
      </c>
      <c r="AI168" s="54">
        <f t="shared" si="52"/>
        <v>0</v>
      </c>
      <c r="AJ168" s="54">
        <f t="shared" si="52"/>
        <v>0</v>
      </c>
      <c r="AK168" s="54">
        <f t="shared" si="52"/>
        <v>0</v>
      </c>
      <c r="AL168" s="24">
        <f t="shared" ref="AL168:AL177" si="53">IF(G68&lt;&gt;"",C68,0)</f>
        <v>0</v>
      </c>
      <c r="AM168" s="24">
        <f t="shared" ref="AM168:AM177" si="54">IF(G68&lt;&gt;"",D68,0)</f>
        <v>0</v>
      </c>
      <c r="AN168" s="55">
        <f t="shared" ref="AN168:AN177" si="55">IF(W68="Yes",0,F68)</f>
        <v>0</v>
      </c>
      <c r="AO168" s="55">
        <f t="shared" ref="AO168:AO177" si="56">IF(W68="Yes",F68,0)</f>
        <v>0</v>
      </c>
      <c r="AP168" s="24"/>
      <c r="AQ168" s="24"/>
      <c r="AR168" s="24"/>
      <c r="AS168" s="24"/>
      <c r="AT168" s="24"/>
      <c r="AU168" s="24"/>
      <c r="AV168" s="24"/>
      <c r="AW168" s="24"/>
      <c r="AX168" s="24"/>
      <c r="AY168" s="24"/>
      <c r="AZ168" s="24"/>
      <c r="BA168" s="24"/>
      <c r="BB168" s="25"/>
      <c r="BC168" s="24"/>
      <c r="BD168" s="24"/>
      <c r="BE168" s="24">
        <f t="shared" si="43"/>
        <v>84.92</v>
      </c>
      <c r="BF168" s="24" t="s">
        <v>486</v>
      </c>
      <c r="BG168" s="56">
        <f>BV159+($C$64-$BV$159)</f>
        <v>50.2</v>
      </c>
      <c r="BH168" s="24"/>
      <c r="BI168" s="24"/>
      <c r="BJ168" s="24"/>
      <c r="BK168" s="24"/>
      <c r="BL168" s="24"/>
      <c r="BM168" s="24"/>
      <c r="BN168" s="24"/>
      <c r="BO168" s="24"/>
      <c r="BP168" s="24"/>
      <c r="BQ168" s="24"/>
      <c r="BR168" s="37"/>
      <c r="BS168" s="37"/>
      <c r="BT168" s="29" t="s">
        <v>487</v>
      </c>
      <c r="BU168" s="24"/>
      <c r="BV168" s="24"/>
      <c r="BW168" s="14"/>
      <c r="BX168" s="14"/>
      <c r="BY168" s="14"/>
      <c r="BZ168" s="14"/>
      <c r="CA168" s="14"/>
      <c r="CB168" s="14"/>
      <c r="CC168" s="14"/>
      <c r="CD168" s="14"/>
      <c r="CE168" s="14"/>
      <c r="CF168" s="14"/>
      <c r="CG168" s="14"/>
      <c r="CH168" s="14"/>
      <c r="CI168" s="14"/>
      <c r="CJ168" s="14"/>
    </row>
    <row r="169" spans="7:88">
      <c r="G169" s="12">
        <f t="shared" si="44"/>
        <v>0</v>
      </c>
      <c r="H169" s="12">
        <f t="shared" si="45"/>
        <v>0</v>
      </c>
      <c r="I169" s="12">
        <f t="shared" si="45"/>
        <v>0</v>
      </c>
      <c r="J169" s="12">
        <f t="shared" si="45"/>
        <v>0</v>
      </c>
      <c r="K169" s="12">
        <f t="shared" si="46"/>
        <v>-25</v>
      </c>
      <c r="L169" s="12">
        <f t="shared" si="47"/>
        <v>-25</v>
      </c>
      <c r="M169" s="12">
        <f t="shared" si="47"/>
        <v>-25</v>
      </c>
      <c r="N169" s="12">
        <f t="shared" si="47"/>
        <v>-25</v>
      </c>
      <c r="O169" s="12">
        <f t="shared" si="48"/>
        <v>-25</v>
      </c>
      <c r="P169" s="12">
        <f t="shared" si="49"/>
        <v>-25</v>
      </c>
      <c r="Q169" s="12">
        <f t="shared" si="49"/>
        <v>-25</v>
      </c>
      <c r="T169" s="57"/>
      <c r="U169" s="57"/>
      <c r="V169" s="57"/>
      <c r="W169" s="53">
        <f t="shared" si="50"/>
        <v>-3800</v>
      </c>
      <c r="X169" s="54">
        <f t="shared" si="51"/>
        <v>390.62078947368423</v>
      </c>
      <c r="Y169" s="54">
        <f t="shared" ref="Y169:Y214" si="57">Z169/$BH$167</f>
        <v>-5.5518837992810918E-2</v>
      </c>
      <c r="Z169" s="54">
        <f t="shared" ref="Z169:Z177" si="58">($C69/$BN$158)+($D69/$BN$159)</f>
        <v>-0.85110378642979123</v>
      </c>
      <c r="AA169" s="54">
        <f t="shared" ref="AA169:AK169" si="59">IF($E69+365&lt;$C$56,0,IF($E69&lt;$C$56,(($E69+365-$C$56)/365)*(($C69/$BN$158)+($D69/$BN$159)),IF($E69&gt;AA$167,0,IF($E69+365&lt;AA$167,($C69/$BN$158)+($D69/$BN$159),((AA$167-$E69)/365)*(($C69/$BN$158)+($D69/$BN$159))))))</f>
        <v>0</v>
      </c>
      <c r="AB169" s="54">
        <f t="shared" si="59"/>
        <v>0</v>
      </c>
      <c r="AC169" s="54">
        <f t="shared" si="59"/>
        <v>0</v>
      </c>
      <c r="AD169" s="54">
        <f t="shared" si="59"/>
        <v>0</v>
      </c>
      <c r="AE169" s="54">
        <f t="shared" si="59"/>
        <v>-0.85110378642979123</v>
      </c>
      <c r="AF169" s="54">
        <f t="shared" si="59"/>
        <v>-0.85110378642979123</v>
      </c>
      <c r="AG169" s="54">
        <f t="shared" si="59"/>
        <v>-0.85110378642979123</v>
      </c>
      <c r="AH169" s="54">
        <f t="shared" si="59"/>
        <v>-0.85110378642979123</v>
      </c>
      <c r="AI169" s="54">
        <f t="shared" si="59"/>
        <v>-0.85110378642979123</v>
      </c>
      <c r="AJ169" s="54">
        <f t="shared" si="59"/>
        <v>-0.85110378642979123</v>
      </c>
      <c r="AK169" s="54">
        <f t="shared" si="59"/>
        <v>-0.85110378642979123</v>
      </c>
      <c r="AL169" s="24">
        <f t="shared" si="53"/>
        <v>-25</v>
      </c>
      <c r="AM169" s="24">
        <f t="shared" si="54"/>
        <v>0</v>
      </c>
      <c r="AN169" s="55">
        <f t="shared" si="55"/>
        <v>1484359</v>
      </c>
      <c r="AO169" s="55">
        <f t="shared" si="56"/>
        <v>0</v>
      </c>
      <c r="AP169" s="24"/>
      <c r="AQ169" s="24"/>
      <c r="AR169" s="24"/>
      <c r="AS169" s="24"/>
      <c r="AT169" s="24"/>
      <c r="AU169" s="24"/>
      <c r="AV169" s="24"/>
      <c r="AW169" s="24"/>
      <c r="AX169" s="24"/>
      <c r="AY169" s="24"/>
      <c r="AZ169" s="24"/>
      <c r="BA169" s="24"/>
      <c r="BB169" s="24"/>
      <c r="BC169" s="24"/>
      <c r="BD169" s="24"/>
      <c r="BE169" s="24">
        <f t="shared" si="43"/>
        <v>84.92</v>
      </c>
      <c r="BF169" s="59">
        <f>AB167</f>
        <v>45747</v>
      </c>
      <c r="BG169" s="36">
        <f>(BV159+AB215)+($C$64-$BV$159)</f>
        <v>50.2</v>
      </c>
      <c r="BH169" s="24"/>
      <c r="BI169" s="24"/>
      <c r="BJ169" s="24"/>
      <c r="BK169" s="24"/>
      <c r="BL169" s="24"/>
      <c r="BM169" s="24"/>
      <c r="BN169" s="24"/>
      <c r="BO169" s="24"/>
      <c r="BP169" s="24"/>
      <c r="BQ169" s="24"/>
      <c r="BR169" s="37"/>
      <c r="BS169" s="37"/>
      <c r="BT169" s="29" t="s">
        <v>310</v>
      </c>
      <c r="BU169" s="24"/>
      <c r="BV169" s="24"/>
      <c r="BW169" s="14"/>
      <c r="BX169" s="14"/>
      <c r="BY169" s="14"/>
      <c r="BZ169" s="14"/>
      <c r="CA169" s="14"/>
      <c r="CB169" s="14"/>
      <c r="CC169" s="14"/>
      <c r="CD169" s="14" t="s">
        <v>388</v>
      </c>
      <c r="CE169" s="60" t="str">
        <f>C57</f>
        <v>NSW</v>
      </c>
      <c r="CF169" s="14" t="str">
        <f>C57</f>
        <v>NSW</v>
      </c>
      <c r="CG169" s="14"/>
      <c r="CH169" s="25" t="s">
        <v>388</v>
      </c>
      <c r="CI169" s="14" t="s">
        <v>488</v>
      </c>
      <c r="CJ169" s="14"/>
    </row>
    <row r="170" spans="7:88">
      <c r="G170" s="12">
        <f t="shared" si="44"/>
        <v>0</v>
      </c>
      <c r="H170" s="12">
        <f t="shared" si="45"/>
        <v>0</v>
      </c>
      <c r="I170" s="12">
        <f t="shared" si="45"/>
        <v>0</v>
      </c>
      <c r="J170" s="12">
        <f t="shared" si="45"/>
        <v>0</v>
      </c>
      <c r="K170" s="12">
        <f t="shared" si="46"/>
        <v>-20</v>
      </c>
      <c r="L170" s="12">
        <f t="shared" si="47"/>
        <v>-20</v>
      </c>
      <c r="M170" s="12">
        <f t="shared" si="47"/>
        <v>-20</v>
      </c>
      <c r="N170" s="12">
        <f t="shared" si="47"/>
        <v>-20</v>
      </c>
      <c r="O170" s="12">
        <f t="shared" si="48"/>
        <v>-20</v>
      </c>
      <c r="P170" s="12">
        <f t="shared" si="49"/>
        <v>-20</v>
      </c>
      <c r="Q170" s="12">
        <f t="shared" si="49"/>
        <v>-20</v>
      </c>
      <c r="T170" s="61"/>
      <c r="U170" s="61"/>
      <c r="V170" s="61"/>
      <c r="W170" s="53">
        <f t="shared" si="50"/>
        <v>-3800</v>
      </c>
      <c r="X170" s="54">
        <f t="shared" si="51"/>
        <v>259.36842105263156</v>
      </c>
      <c r="Y170" s="343">
        <f>Z170/$BH$167</f>
        <v>-5.5518837992810918E-2</v>
      </c>
      <c r="Z170" s="54">
        <f t="shared" si="58"/>
        <v>-0.85110378642979123</v>
      </c>
      <c r="AA170" s="54">
        <f t="shared" ref="AA170:AK170" si="60">IF($E70+365&lt;$C$56,0,IF($E70&lt;$C$56,(($E70+365-$C$56)/365)*(($C70/$BN$158)+($D70/$BN$159)),IF($E70&gt;AA$167,0,IF($E70+365&lt;AA$167,($C70/$BN$158)+($D70/$BN$159),((AA$167-$E70)/365)*(($C70/$BN$158)+($D70/$BN$159))))))</f>
        <v>0</v>
      </c>
      <c r="AB170" s="54">
        <f t="shared" si="60"/>
        <v>0</v>
      </c>
      <c r="AC170" s="54">
        <f t="shared" si="60"/>
        <v>0</v>
      </c>
      <c r="AD170" s="54">
        <f t="shared" si="60"/>
        <v>0</v>
      </c>
      <c r="AE170" s="54">
        <f t="shared" si="60"/>
        <v>-0.85110378642979123</v>
      </c>
      <c r="AF170" s="54">
        <f t="shared" si="60"/>
        <v>-0.85110378642979123</v>
      </c>
      <c r="AG170" s="54">
        <f t="shared" si="60"/>
        <v>-0.85110378642979123</v>
      </c>
      <c r="AH170" s="54">
        <f t="shared" si="60"/>
        <v>-0.85110378642979123</v>
      </c>
      <c r="AI170" s="54">
        <f t="shared" si="60"/>
        <v>-0.85110378642979123</v>
      </c>
      <c r="AJ170" s="54">
        <f t="shared" si="60"/>
        <v>-0.85110378642979123</v>
      </c>
      <c r="AK170" s="54">
        <f t="shared" si="60"/>
        <v>-0.85110378642979123</v>
      </c>
      <c r="AL170" s="24">
        <f t="shared" si="53"/>
        <v>-25</v>
      </c>
      <c r="AM170" s="24">
        <f t="shared" si="54"/>
        <v>0</v>
      </c>
      <c r="AN170" s="55">
        <f t="shared" si="55"/>
        <v>985600</v>
      </c>
      <c r="AO170" s="55">
        <f t="shared" si="56"/>
        <v>0</v>
      </c>
      <c r="AP170" s="24"/>
      <c r="AQ170" s="24"/>
      <c r="AR170" s="24"/>
      <c r="AS170" s="24"/>
      <c r="AT170" s="24"/>
      <c r="AU170" s="24"/>
      <c r="AV170" s="24"/>
      <c r="AW170" s="24"/>
      <c r="AX170" s="24"/>
      <c r="AY170" s="24"/>
      <c r="AZ170" s="24"/>
      <c r="BA170" s="24"/>
      <c r="BB170" s="24"/>
      <c r="BC170" s="24"/>
      <c r="BD170" s="24"/>
      <c r="BE170" s="24">
        <f t="shared" si="43"/>
        <v>84.92</v>
      </c>
      <c r="BF170" s="59">
        <f>BF169+365</f>
        <v>46112</v>
      </c>
      <c r="BG170" s="36">
        <f>BV159+AC215+($C$64-$BV$159)</f>
        <v>50.2</v>
      </c>
      <c r="BH170" s="24"/>
      <c r="BI170" s="24"/>
      <c r="BJ170" s="24"/>
      <c r="BK170" s="24"/>
      <c r="BL170" s="24"/>
      <c r="BM170" s="24"/>
      <c r="BN170" s="24"/>
      <c r="BO170" s="24"/>
      <c r="BP170" s="24"/>
      <c r="BQ170" s="24"/>
      <c r="BR170" s="24"/>
      <c r="BS170" s="24"/>
      <c r="BT170" s="29" t="s">
        <v>489</v>
      </c>
      <c r="BU170" s="24"/>
      <c r="BV170" s="24"/>
      <c r="BW170" s="14"/>
      <c r="BX170" s="14"/>
      <c r="BY170" s="14"/>
      <c r="BZ170" s="14"/>
      <c r="CA170" s="14"/>
      <c r="CB170" s="14"/>
      <c r="CC170" s="14"/>
      <c r="CD170" s="14">
        <v>1</v>
      </c>
      <c r="CE170" s="14">
        <f>CI178</f>
        <v>192.21</v>
      </c>
      <c r="CF170" s="14">
        <f>CJ178</f>
        <v>362.89</v>
      </c>
      <c r="CG170" s="14"/>
      <c r="CH170" s="25">
        <v>5</v>
      </c>
      <c r="CI170" s="14">
        <f t="shared" ref="CI170:CI178" si="61">INDEX(AN157:AR157,MATCH($CE$169,$AN$166:$AR$166,0))</f>
        <v>69.59</v>
      </c>
      <c r="CJ170" s="14">
        <f t="shared" ref="CJ170:CJ178" si="62">INDEX(AU157:AY157,MATCH($CE$169,$AN$166:$AR$166,0))</f>
        <v>129.52000000000001</v>
      </c>
    </row>
    <row r="171" spans="7:88">
      <c r="G171" s="12">
        <f t="shared" si="44"/>
        <v>0</v>
      </c>
      <c r="H171" s="12">
        <f t="shared" si="45"/>
        <v>0</v>
      </c>
      <c r="I171" s="12">
        <f t="shared" si="45"/>
        <v>0</v>
      </c>
      <c r="J171" s="12">
        <f t="shared" si="45"/>
        <v>0</v>
      </c>
      <c r="K171" s="12">
        <f t="shared" si="46"/>
        <v>-40</v>
      </c>
      <c r="L171" s="12">
        <f t="shared" si="47"/>
        <v>-40</v>
      </c>
      <c r="M171" s="12">
        <f t="shared" si="47"/>
        <v>-40</v>
      </c>
      <c r="N171" s="12">
        <f t="shared" si="47"/>
        <v>-40</v>
      </c>
      <c r="O171" s="12">
        <f t="shared" si="48"/>
        <v>-40</v>
      </c>
      <c r="P171" s="12">
        <f t="shared" si="49"/>
        <v>-40</v>
      </c>
      <c r="Q171" s="12">
        <f t="shared" si="49"/>
        <v>-40</v>
      </c>
      <c r="T171" s="61"/>
      <c r="U171" s="61"/>
      <c r="V171" s="61"/>
      <c r="W171" s="53">
        <f t="shared" si="50"/>
        <v>-3040</v>
      </c>
      <c r="X171" s="54">
        <f t="shared" si="51"/>
        <v>288.94736842105266</v>
      </c>
      <c r="Y171" s="25">
        <f t="shared" si="57"/>
        <v>-0.10352165907335061</v>
      </c>
      <c r="Z171" s="54">
        <f t="shared" si="58"/>
        <v>-1.5869870335944647</v>
      </c>
      <c r="AA171" s="54">
        <f t="shared" ref="AA171:AK171" si="63">IF($E71+365&lt;$C$56,0,IF($E71&lt;$C$56,(($E71+365-$C$56)/365)*(($C71/$BN$158)+($D71/$BN$159)),IF($E71&gt;AA$167,0,IF($E71+365&lt;AA$167,($C71/$BN$158)+($D71/$BN$159),((AA$167-$E71)/365)*(($C71/$BN$158)+($D71/$BN$159))))))</f>
        <v>0</v>
      </c>
      <c r="AB171" s="54">
        <f t="shared" si="63"/>
        <v>0</v>
      </c>
      <c r="AC171" s="54">
        <f t="shared" si="63"/>
        <v>0</v>
      </c>
      <c r="AD171" s="54">
        <f t="shared" si="63"/>
        <v>0</v>
      </c>
      <c r="AE171" s="54">
        <f t="shared" si="63"/>
        <v>-1.5869870335944647</v>
      </c>
      <c r="AF171" s="54">
        <f t="shared" si="63"/>
        <v>-1.5869870335944647</v>
      </c>
      <c r="AG171" s="54">
        <f t="shared" si="63"/>
        <v>-1.5869870335944647</v>
      </c>
      <c r="AH171" s="54">
        <f t="shared" si="63"/>
        <v>-1.5869870335944647</v>
      </c>
      <c r="AI171" s="54">
        <f t="shared" si="63"/>
        <v>-1.5869870335944647</v>
      </c>
      <c r="AJ171" s="54">
        <f t="shared" si="63"/>
        <v>-1.5869870335944647</v>
      </c>
      <c r="AK171" s="54">
        <f t="shared" si="63"/>
        <v>-1.5869870335944647</v>
      </c>
      <c r="AL171" s="24">
        <f t="shared" si="53"/>
        <v>-20</v>
      </c>
      <c r="AM171" s="24">
        <f t="shared" si="54"/>
        <v>-420</v>
      </c>
      <c r="AN171" s="55">
        <f t="shared" si="55"/>
        <v>878400</v>
      </c>
      <c r="AO171" s="55">
        <f t="shared" si="56"/>
        <v>0</v>
      </c>
      <c r="AP171" s="24"/>
      <c r="AQ171" s="24"/>
      <c r="AR171" s="24"/>
      <c r="AS171" s="24"/>
      <c r="AT171" s="24"/>
      <c r="AU171" s="24"/>
      <c r="AV171" s="24"/>
      <c r="AW171" s="24"/>
      <c r="AX171" s="24"/>
      <c r="AY171" s="24"/>
      <c r="AZ171" s="24"/>
      <c r="BA171" s="24"/>
      <c r="BB171" s="24"/>
      <c r="BC171" s="24"/>
      <c r="BD171" s="24"/>
      <c r="BE171" s="24">
        <f t="shared" si="43"/>
        <v>84.92</v>
      </c>
      <c r="BF171" s="59">
        <f>BF170+365</f>
        <v>46477</v>
      </c>
      <c r="BG171" s="36">
        <f>$BV$159+AD215+($C$64-$BV$159)</f>
        <v>50.2</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1.5</v>
      </c>
      <c r="CE171" s="14">
        <f>CI177</f>
        <v>176.89</v>
      </c>
      <c r="CF171" s="14">
        <f>CJ177</f>
        <v>333.72</v>
      </c>
      <c r="CG171" s="14"/>
      <c r="CH171" s="25">
        <v>4.5</v>
      </c>
      <c r="CI171" s="14">
        <f t="shared" si="61"/>
        <v>84.92</v>
      </c>
      <c r="CJ171" s="14">
        <f t="shared" si="62"/>
        <v>158.69</v>
      </c>
    </row>
    <row r="172" spans="7:88">
      <c r="G172" s="12">
        <f t="shared" si="44"/>
        <v>0</v>
      </c>
      <c r="H172" s="12">
        <f t="shared" si="45"/>
        <v>0</v>
      </c>
      <c r="I172" s="12">
        <f t="shared" si="45"/>
        <v>0</v>
      </c>
      <c r="J172" s="12">
        <f t="shared" si="45"/>
        <v>0</v>
      </c>
      <c r="K172" s="12">
        <f t="shared" si="46"/>
        <v>0</v>
      </c>
      <c r="L172" s="12">
        <f t="shared" si="47"/>
        <v>0</v>
      </c>
      <c r="M172" s="12">
        <f t="shared" si="47"/>
        <v>0</v>
      </c>
      <c r="N172" s="12">
        <f t="shared" si="47"/>
        <v>20</v>
      </c>
      <c r="O172" s="12">
        <f t="shared" si="48"/>
        <v>20</v>
      </c>
      <c r="P172" s="12">
        <f t="shared" si="49"/>
        <v>20</v>
      </c>
      <c r="Q172" s="12">
        <f t="shared" si="49"/>
        <v>20</v>
      </c>
      <c r="T172" s="61"/>
      <c r="U172" s="61"/>
      <c r="V172" s="61"/>
      <c r="W172" s="53">
        <f t="shared" si="50"/>
        <v>-6080</v>
      </c>
      <c r="X172" s="54">
        <f t="shared" si="51"/>
        <v>19.25986842105263</v>
      </c>
      <c r="Y172" s="54">
        <f t="shared" si="57"/>
        <v>-8.8830140788497464E-2</v>
      </c>
      <c r="Z172" s="54">
        <f t="shared" si="58"/>
        <v>-1.3617660582876661</v>
      </c>
      <c r="AA172" s="54">
        <f t="shared" ref="AA172:AK172" si="64">IF($E72+365&lt;$C$56,0,IF($E72&lt;$C$56,(($E72+365-$C$56)/365)*(($C72/$BN$158)+($D72/$BN$159)),IF($E72&gt;AA$167,0,IF($E72+365&lt;AA$167,($C72/$BN$158)+($D72/$BN$159),((AA$167-$E72)/365)*(($C72/$BN$158)+($D72/$BN$159))))))</f>
        <v>0</v>
      </c>
      <c r="AB172" s="54">
        <f t="shared" si="64"/>
        <v>0</v>
      </c>
      <c r="AC172" s="54">
        <f t="shared" si="64"/>
        <v>0</v>
      </c>
      <c r="AD172" s="54">
        <f t="shared" si="64"/>
        <v>0</v>
      </c>
      <c r="AE172" s="54">
        <f t="shared" si="64"/>
        <v>-1.3617660582876661</v>
      </c>
      <c r="AF172" s="54">
        <f t="shared" si="64"/>
        <v>-1.3617660582876661</v>
      </c>
      <c r="AG172" s="54">
        <f t="shared" si="64"/>
        <v>-1.3617660582876661</v>
      </c>
      <c r="AH172" s="54">
        <f t="shared" si="64"/>
        <v>-1.3617660582876661</v>
      </c>
      <c r="AI172" s="54">
        <f t="shared" si="64"/>
        <v>-1.3617660582876661</v>
      </c>
      <c r="AJ172" s="54">
        <f t="shared" si="64"/>
        <v>-1.3617660582876661</v>
      </c>
      <c r="AK172" s="54">
        <f t="shared" si="64"/>
        <v>-1.3617660582876661</v>
      </c>
      <c r="AL172" s="24">
        <f t="shared" si="53"/>
        <v>-40</v>
      </c>
      <c r="AM172" s="24">
        <f t="shared" si="54"/>
        <v>0</v>
      </c>
      <c r="AN172" s="55">
        <f t="shared" si="55"/>
        <v>117100</v>
      </c>
      <c r="AO172" s="55">
        <f t="shared" si="56"/>
        <v>0</v>
      </c>
      <c r="AP172" s="24"/>
      <c r="AQ172" s="24"/>
      <c r="AR172" s="24"/>
      <c r="AS172" s="24"/>
      <c r="AT172" s="24"/>
      <c r="AU172" s="24"/>
      <c r="AV172" s="24"/>
      <c r="AW172" s="24"/>
      <c r="AX172" s="24"/>
      <c r="AY172" s="24"/>
      <c r="AZ172" s="24"/>
      <c r="BA172" s="24"/>
      <c r="BB172" s="24"/>
      <c r="BC172" s="24"/>
      <c r="BD172" s="24"/>
      <c r="BE172" s="24">
        <f t="shared" si="43"/>
        <v>84.92</v>
      </c>
      <c r="BF172" s="59">
        <f t="shared" ref="BF172:BF177" si="65">BF171+365</f>
        <v>46842</v>
      </c>
      <c r="BG172" s="36">
        <f>$BV$159+AE215+($C$64-$BV$159)</f>
        <v>46.711779501443715</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v>
      </c>
      <c r="CE172" s="14">
        <f>CI176</f>
        <v>161.56</v>
      </c>
      <c r="CF172" s="14">
        <f>CJ176</f>
        <v>304.55</v>
      </c>
      <c r="CG172" s="14"/>
      <c r="CH172" s="25">
        <v>4</v>
      </c>
      <c r="CI172" s="14">
        <f t="shared" si="61"/>
        <v>100.25</v>
      </c>
      <c r="CJ172" s="14">
        <f t="shared" si="62"/>
        <v>187.86</v>
      </c>
    </row>
    <row r="173" spans="7:88">
      <c r="G173" s="12">
        <f t="shared" si="44"/>
        <v>0</v>
      </c>
      <c r="H173" s="12">
        <f t="shared" si="45"/>
        <v>0</v>
      </c>
      <c r="I173" s="12">
        <f t="shared" si="45"/>
        <v>0</v>
      </c>
      <c r="J173" s="12">
        <f t="shared" si="45"/>
        <v>0</v>
      </c>
      <c r="K173" s="12">
        <f t="shared" si="46"/>
        <v>0</v>
      </c>
      <c r="L173" s="12">
        <f t="shared" si="47"/>
        <v>0</v>
      </c>
      <c r="M173" s="12">
        <f t="shared" si="47"/>
        <v>0</v>
      </c>
      <c r="N173" s="12">
        <f t="shared" si="47"/>
        <v>0</v>
      </c>
      <c r="O173" s="12">
        <f t="shared" si="48"/>
        <v>0</v>
      </c>
      <c r="P173" s="12">
        <f t="shared" si="49"/>
        <v>0</v>
      </c>
      <c r="Q173" s="12">
        <f t="shared" si="49"/>
        <v>0</v>
      </c>
      <c r="T173" s="61"/>
      <c r="U173" s="61"/>
      <c r="V173" s="61"/>
      <c r="W173" s="53">
        <f t="shared" si="50"/>
        <v>3040</v>
      </c>
      <c r="X173" s="54">
        <f t="shared" si="51"/>
        <v>-153.32236842105263</v>
      </c>
      <c r="Y173" s="25">
        <f>Z173/$BH$167</f>
        <v>3.5971272011519895E-2</v>
      </c>
      <c r="Z173" s="54">
        <f t="shared" si="58"/>
        <v>0.55143959993659997</v>
      </c>
      <c r="AA173" s="54">
        <f t="shared" ref="AA173:AK173" si="66">IF($E73+365&lt;$C$56,0,IF($E73&lt;$C$56,(($E73+365-$C$56)/365)*(($C73/$BN$158)+($D73/$BN$159)),IF($E73&gt;AA$167,0,IF($E73+365&lt;AA$167,($C73/$BN$158)+($D73/$BN$159),((AA$167-$E73)/365)*(($C73/$BN$158)+($D73/$BN$159))))))</f>
        <v>0</v>
      </c>
      <c r="AB173" s="54">
        <f t="shared" si="66"/>
        <v>0</v>
      </c>
      <c r="AC173" s="54">
        <f t="shared" si="66"/>
        <v>0</v>
      </c>
      <c r="AD173" s="54">
        <f t="shared" si="66"/>
        <v>0</v>
      </c>
      <c r="AE173" s="54">
        <f t="shared" si="66"/>
        <v>0</v>
      </c>
      <c r="AF173" s="54">
        <f t="shared" si="66"/>
        <v>0</v>
      </c>
      <c r="AG173" s="54">
        <f t="shared" si="66"/>
        <v>0</v>
      </c>
      <c r="AH173" s="54">
        <f t="shared" si="66"/>
        <v>0.55143959993659997</v>
      </c>
      <c r="AI173" s="54">
        <f t="shared" si="66"/>
        <v>0.55143959993659997</v>
      </c>
      <c r="AJ173" s="54">
        <f t="shared" si="66"/>
        <v>0.55143959993659997</v>
      </c>
      <c r="AK173" s="54">
        <f t="shared" si="66"/>
        <v>0.55143959993659997</v>
      </c>
      <c r="AL173" s="24">
        <f t="shared" si="53"/>
        <v>20</v>
      </c>
      <c r="AM173" s="24">
        <f t="shared" si="54"/>
        <v>-60</v>
      </c>
      <c r="AN173" s="55">
        <f t="shared" si="55"/>
        <v>466100</v>
      </c>
      <c r="AO173" s="55">
        <f t="shared" si="56"/>
        <v>0</v>
      </c>
      <c r="AP173" s="24"/>
      <c r="AQ173" s="24"/>
      <c r="AR173" s="24"/>
      <c r="AS173" s="24"/>
      <c r="AT173" s="24"/>
      <c r="AU173" s="24"/>
      <c r="AV173" s="24"/>
      <c r="AW173" s="24"/>
      <c r="AX173" s="24"/>
      <c r="AY173" s="24"/>
      <c r="AZ173" s="24"/>
      <c r="BA173" s="24"/>
      <c r="BB173" s="24"/>
      <c r="BC173" s="24"/>
      <c r="BD173" s="24"/>
      <c r="BE173" s="24">
        <f t="shared" si="43"/>
        <v>84.92</v>
      </c>
      <c r="BF173" s="59">
        <f t="shared" si="65"/>
        <v>47207</v>
      </c>
      <c r="BG173" s="36">
        <f>$BV$159+AF215+($C$64-$BV$159)</f>
        <v>43.647805870296466</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2.5</v>
      </c>
      <c r="CE173" s="14">
        <f>CI175</f>
        <v>146.22999999999999</v>
      </c>
      <c r="CF173" s="14">
        <f>CJ175</f>
        <v>275.38</v>
      </c>
      <c r="CG173" s="14"/>
      <c r="CH173" s="25">
        <v>3.5</v>
      </c>
      <c r="CI173" s="14">
        <f t="shared" si="61"/>
        <v>115.57</v>
      </c>
      <c r="CJ173" s="14">
        <f t="shared" si="62"/>
        <v>217.04</v>
      </c>
    </row>
    <row r="174" spans="7:88">
      <c r="G174" s="12">
        <f t="shared" si="44"/>
        <v>0</v>
      </c>
      <c r="H174" s="12">
        <f t="shared" si="45"/>
        <v>0</v>
      </c>
      <c r="I174" s="12">
        <f t="shared" si="45"/>
        <v>0</v>
      </c>
      <c r="J174" s="12">
        <f t="shared" si="45"/>
        <v>0</v>
      </c>
      <c r="K174" s="12">
        <f t="shared" si="46"/>
        <v>-80</v>
      </c>
      <c r="L174" s="12">
        <f t="shared" si="47"/>
        <v>-80</v>
      </c>
      <c r="M174" s="12">
        <f t="shared" si="47"/>
        <v>-80</v>
      </c>
      <c r="N174" s="12">
        <f t="shared" si="47"/>
        <v>-80</v>
      </c>
      <c r="O174" s="12">
        <f t="shared" si="48"/>
        <v>-80</v>
      </c>
      <c r="P174" s="12">
        <f t="shared" si="49"/>
        <v>-80</v>
      </c>
      <c r="Q174" s="12">
        <f t="shared" si="49"/>
        <v>-80</v>
      </c>
      <c r="T174" s="61"/>
      <c r="U174" s="61"/>
      <c r="V174" s="61"/>
      <c r="W174" s="53">
        <f t="shared" si="50"/>
        <v>0</v>
      </c>
      <c r="X174" s="54" t="e">
        <f t="shared" si="51"/>
        <v>#DIV/0!</v>
      </c>
      <c r="Y174" s="25">
        <f t="shared" si="57"/>
        <v>0</v>
      </c>
      <c r="Z174" s="54">
        <f t="shared" si="58"/>
        <v>0</v>
      </c>
      <c r="AA174" s="54">
        <f t="shared" ref="AA174:AK174" si="67">IF($E74+365&lt;$C$56,0,IF($E74&lt;$C$56,(($E74+365-$C$56)/365)*(($C74/$BN$158)+($D74/$BN$159)),IF($E74&gt;AA$167,0,IF($E74+365&lt;AA$167,($C74/$BN$158)+($D74/$BN$159),((AA$167-$E74)/365)*(($C74/$BN$158)+($D74/$BN$159))))))</f>
        <v>0</v>
      </c>
      <c r="AB174" s="54">
        <f t="shared" si="67"/>
        <v>0</v>
      </c>
      <c r="AC174" s="54">
        <f t="shared" si="67"/>
        <v>0</v>
      </c>
      <c r="AD174" s="54">
        <f t="shared" si="67"/>
        <v>0</v>
      </c>
      <c r="AE174" s="54">
        <f t="shared" si="67"/>
        <v>0</v>
      </c>
      <c r="AF174" s="54">
        <f t="shared" si="67"/>
        <v>0</v>
      </c>
      <c r="AG174" s="54">
        <f t="shared" si="67"/>
        <v>0</v>
      </c>
      <c r="AH174" s="54">
        <f t="shared" si="67"/>
        <v>0</v>
      </c>
      <c r="AI174" s="54">
        <f t="shared" si="67"/>
        <v>0</v>
      </c>
      <c r="AJ174" s="54">
        <f t="shared" si="67"/>
        <v>0</v>
      </c>
      <c r="AK174" s="54">
        <f t="shared" si="67"/>
        <v>0</v>
      </c>
      <c r="AL174" s="24">
        <f t="shared" si="53"/>
        <v>0</v>
      </c>
      <c r="AM174" s="24">
        <f t="shared" si="54"/>
        <v>0</v>
      </c>
      <c r="AN174" s="55">
        <f t="shared" si="55"/>
        <v>484900</v>
      </c>
      <c r="AO174" s="55">
        <f t="shared" si="56"/>
        <v>0</v>
      </c>
      <c r="AP174" s="24"/>
      <c r="AQ174" s="24"/>
      <c r="AR174" s="24"/>
      <c r="AS174" s="24"/>
      <c r="AT174" s="24"/>
      <c r="AU174" s="24"/>
      <c r="AV174" s="24"/>
      <c r="AW174" s="24"/>
      <c r="AX174" s="24"/>
      <c r="AY174" s="24"/>
      <c r="AZ174" s="24"/>
      <c r="BA174" s="24"/>
      <c r="BB174" s="24"/>
      <c r="BC174" s="24"/>
      <c r="BD174" s="24"/>
      <c r="BE174" s="24">
        <f t="shared" si="43"/>
        <v>84.92</v>
      </c>
      <c r="BF174" s="59">
        <f t="shared" si="65"/>
        <v>47572</v>
      </c>
      <c r="BG174" s="36">
        <f>$BV$159+AG215+($C$64-$BV$159)</f>
        <v>43.647805870296466</v>
      </c>
      <c r="BI174" s="24"/>
      <c r="BJ174" s="24"/>
      <c r="BK174" s="24"/>
      <c r="BL174" s="24"/>
      <c r="BM174" s="24"/>
      <c r="BN174" s="24"/>
      <c r="BO174" s="24"/>
      <c r="BP174" s="24"/>
      <c r="BQ174" s="24"/>
      <c r="BR174" s="24"/>
      <c r="BS174" s="24"/>
      <c r="BT174" s="24"/>
      <c r="BU174" s="24"/>
      <c r="BV174" s="24"/>
      <c r="BW174" s="14"/>
      <c r="BX174" s="14"/>
      <c r="BY174" s="14"/>
      <c r="BZ174" s="14"/>
      <c r="CA174" s="14"/>
      <c r="CB174" s="14"/>
      <c r="CC174" s="14"/>
      <c r="CD174" s="14">
        <v>3</v>
      </c>
      <c r="CE174" s="14">
        <f>CI174</f>
        <v>130.9</v>
      </c>
      <c r="CF174" s="14">
        <f>CJ174</f>
        <v>246.21</v>
      </c>
      <c r="CG174" s="14"/>
      <c r="CH174" s="25">
        <v>3</v>
      </c>
      <c r="CI174" s="14">
        <f t="shared" si="61"/>
        <v>130.9</v>
      </c>
      <c r="CJ174" s="14">
        <f t="shared" si="62"/>
        <v>246.21</v>
      </c>
    </row>
    <row r="175" spans="7:88">
      <c r="G175" s="12">
        <f t="shared" si="44"/>
        <v>0</v>
      </c>
      <c r="H175" s="12">
        <f t="shared" si="45"/>
        <v>0</v>
      </c>
      <c r="I175" s="12">
        <f t="shared" si="45"/>
        <v>0</v>
      </c>
      <c r="J175" s="12">
        <f t="shared" si="45"/>
        <v>0</v>
      </c>
      <c r="K175" s="12">
        <f t="shared" si="46"/>
        <v>-40</v>
      </c>
      <c r="L175" s="12">
        <f t="shared" si="47"/>
        <v>-40</v>
      </c>
      <c r="M175" s="12">
        <f t="shared" si="47"/>
        <v>-40</v>
      </c>
      <c r="N175" s="12">
        <f t="shared" si="47"/>
        <v>-40</v>
      </c>
      <c r="O175" s="12">
        <f t="shared" si="48"/>
        <v>-40</v>
      </c>
      <c r="P175" s="12">
        <f t="shared" si="49"/>
        <v>-40</v>
      </c>
      <c r="Q175" s="12">
        <f t="shared" si="49"/>
        <v>-40</v>
      </c>
      <c r="T175" s="61"/>
      <c r="U175" s="61"/>
      <c r="V175" s="61"/>
      <c r="W175" s="53">
        <f t="shared" si="50"/>
        <v>-12160</v>
      </c>
      <c r="X175" s="54">
        <f t="shared" si="51"/>
        <v>12.754934210526315</v>
      </c>
      <c r="Y175" s="25">
        <f t="shared" si="57"/>
        <v>-0.17766028157699493</v>
      </c>
      <c r="Z175" s="54">
        <f t="shared" si="58"/>
        <v>-2.7235321165753321</v>
      </c>
      <c r="AA175" s="54">
        <f t="shared" ref="AA175:AK175" si="68">IF($E75+365&lt;$C$56,0,IF($E75&lt;$C$56,(($E75+365-$C$56)/365)*(($C75/$BN$158)+($D75/$BN$159)),IF($E75&gt;AA$167,0,IF($E75+365&lt;AA$167,($C75/$BN$158)+($D75/$BN$159),((AA$167-$E75)/365)*(($C75/$BN$158)+($D75/$BN$159))))))</f>
        <v>0</v>
      </c>
      <c r="AB175" s="54">
        <f t="shared" si="68"/>
        <v>0</v>
      </c>
      <c r="AC175" s="54">
        <f t="shared" si="68"/>
        <v>0</v>
      </c>
      <c r="AD175" s="54">
        <f t="shared" si="68"/>
        <v>0</v>
      </c>
      <c r="AE175" s="54">
        <f t="shared" si="68"/>
        <v>0</v>
      </c>
      <c r="AF175" s="54">
        <f t="shared" si="68"/>
        <v>-2.7235321165753321</v>
      </c>
      <c r="AG175" s="54">
        <f t="shared" si="68"/>
        <v>-2.7235321165753321</v>
      </c>
      <c r="AH175" s="54">
        <f t="shared" si="68"/>
        <v>-2.7235321165753321</v>
      </c>
      <c r="AI175" s="54">
        <f t="shared" si="68"/>
        <v>-2.7235321165753321</v>
      </c>
      <c r="AJ175" s="54">
        <f t="shared" si="68"/>
        <v>-2.7235321165753321</v>
      </c>
      <c r="AK175" s="54">
        <f t="shared" si="68"/>
        <v>-2.7235321165753321</v>
      </c>
      <c r="AL175" s="24">
        <f t="shared" si="53"/>
        <v>-80</v>
      </c>
      <c r="AM175" s="24">
        <f t="shared" si="54"/>
        <v>0</v>
      </c>
      <c r="AN175" s="55">
        <f t="shared" si="55"/>
        <v>155100</v>
      </c>
      <c r="AO175" s="55">
        <f t="shared" si="56"/>
        <v>0</v>
      </c>
      <c r="AP175" s="24"/>
      <c r="AQ175" s="24"/>
      <c r="AR175" s="24"/>
      <c r="AS175" s="24"/>
      <c r="AT175" s="24"/>
      <c r="AU175" s="24"/>
      <c r="AV175" s="24"/>
      <c r="AW175" s="24"/>
      <c r="AX175" s="24"/>
      <c r="AY175" s="24"/>
      <c r="AZ175" s="24"/>
      <c r="BA175" s="24"/>
      <c r="BB175" s="24"/>
      <c r="BC175" s="24"/>
      <c r="BD175" s="24"/>
      <c r="BE175" s="24">
        <f t="shared" si="43"/>
        <v>84.92</v>
      </c>
      <c r="BF175" s="59">
        <f t="shared" si="65"/>
        <v>47937</v>
      </c>
      <c r="BG175" s="36">
        <f>$BV$159+AH215+($C$64-$BV$159)</f>
        <v>44.061385570248916</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3.5</v>
      </c>
      <c r="CE175" s="14">
        <f>CI173</f>
        <v>115.57</v>
      </c>
      <c r="CF175" s="14">
        <f>CJ173</f>
        <v>217.04</v>
      </c>
      <c r="CG175" s="14"/>
      <c r="CH175" s="25">
        <v>2.5</v>
      </c>
      <c r="CI175" s="14">
        <f t="shared" si="61"/>
        <v>146.22999999999999</v>
      </c>
      <c r="CJ175" s="14">
        <f t="shared" si="62"/>
        <v>275.38</v>
      </c>
    </row>
    <row r="176" spans="7:88">
      <c r="G176" s="12">
        <f t="shared" si="44"/>
        <v>0</v>
      </c>
      <c r="H176" s="12">
        <f t="shared" si="45"/>
        <v>0</v>
      </c>
      <c r="I176" s="12">
        <f t="shared" si="45"/>
        <v>0</v>
      </c>
      <c r="J176" s="12">
        <f t="shared" si="45"/>
        <v>0</v>
      </c>
      <c r="K176" s="12">
        <f t="shared" si="46"/>
        <v>0</v>
      </c>
      <c r="L176" s="12">
        <f t="shared" si="47"/>
        <v>0</v>
      </c>
      <c r="M176" s="12">
        <f t="shared" si="47"/>
        <v>0</v>
      </c>
      <c r="N176" s="12">
        <f t="shared" si="47"/>
        <v>0</v>
      </c>
      <c r="O176" s="12">
        <f t="shared" si="48"/>
        <v>0</v>
      </c>
      <c r="P176" s="12">
        <f t="shared" si="49"/>
        <v>0</v>
      </c>
      <c r="Q176" s="12">
        <f t="shared" si="49"/>
        <v>0</v>
      </c>
      <c r="T176" s="61"/>
      <c r="U176" s="61"/>
      <c r="V176" s="61"/>
      <c r="W176" s="53">
        <f t="shared" si="50"/>
        <v>-6080</v>
      </c>
      <c r="X176" s="54">
        <f t="shared" si="51"/>
        <v>34.391447368421055</v>
      </c>
      <c r="Y176" s="25">
        <f t="shared" si="57"/>
        <v>-8.8830140788497464E-2</v>
      </c>
      <c r="Z176" s="54">
        <f t="shared" si="58"/>
        <v>-1.3617660582876661</v>
      </c>
      <c r="AA176" s="54">
        <f t="shared" ref="AA176:AK176" si="69">IF($E76+365&lt;$C$56,0,IF($E76&lt;$C$56,(($E76+365-$C$56)/365)*(($C76/$BN$158)+($D76/$BN$159)),IF($E76&gt;AA$167,0,IF($E76+365&lt;AA$167,($C76/$BN$158)+($D76/$BN$159),((AA$167-$E76)/365)*(($C76/$BN$158)+($D76/$BN$159))))))</f>
        <v>0</v>
      </c>
      <c r="AB176" s="54">
        <f t="shared" si="69"/>
        <v>0</v>
      </c>
      <c r="AC176" s="54">
        <f t="shared" si="69"/>
        <v>0</v>
      </c>
      <c r="AD176" s="54">
        <f t="shared" si="69"/>
        <v>0</v>
      </c>
      <c r="AE176" s="54">
        <f t="shared" si="69"/>
        <v>0</v>
      </c>
      <c r="AF176" s="54">
        <f t="shared" si="69"/>
        <v>-1.3617660582876661</v>
      </c>
      <c r="AG176" s="54">
        <f t="shared" si="69"/>
        <v>-1.3617660582876661</v>
      </c>
      <c r="AH176" s="54">
        <f t="shared" si="69"/>
        <v>-1.3617660582876661</v>
      </c>
      <c r="AI176" s="54">
        <f t="shared" si="69"/>
        <v>-1.3617660582876661</v>
      </c>
      <c r="AJ176" s="54">
        <f t="shared" si="69"/>
        <v>-1.3617660582876661</v>
      </c>
      <c r="AK176" s="54">
        <f t="shared" si="69"/>
        <v>-1.3617660582876661</v>
      </c>
      <c r="AL176" s="24">
        <f t="shared" si="53"/>
        <v>-40</v>
      </c>
      <c r="AM176" s="24">
        <f t="shared" si="54"/>
        <v>0</v>
      </c>
      <c r="AN176" s="55">
        <f t="shared" si="55"/>
        <v>209100</v>
      </c>
      <c r="AO176" s="55">
        <f t="shared" si="56"/>
        <v>0</v>
      </c>
      <c r="AP176" s="24"/>
      <c r="AQ176" s="24"/>
      <c r="AR176" s="24"/>
      <c r="AS176" s="24"/>
      <c r="AT176" s="24"/>
      <c r="AU176" s="24"/>
      <c r="AV176" s="24"/>
      <c r="AW176" s="24"/>
      <c r="AX176" s="24"/>
      <c r="AY176" s="24"/>
      <c r="AZ176" s="24"/>
      <c r="BA176" s="24"/>
      <c r="BB176" s="24"/>
      <c r="BC176" s="24"/>
      <c r="BD176" s="24"/>
      <c r="BE176" s="24">
        <f t="shared" si="43"/>
        <v>84.92</v>
      </c>
      <c r="BF176" s="59">
        <f t="shared" si="65"/>
        <v>48302</v>
      </c>
      <c r="BG176" s="36">
        <f>$BV$159+AI215+($C$64-$BV$159)</f>
        <v>44.061385570248916</v>
      </c>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v>
      </c>
      <c r="CE176" s="14">
        <f>CI172</f>
        <v>100.25</v>
      </c>
      <c r="CF176" s="14">
        <f>CJ172</f>
        <v>187.86</v>
      </c>
      <c r="CG176" s="14"/>
      <c r="CH176" s="25">
        <v>2</v>
      </c>
      <c r="CI176" s="14">
        <f t="shared" si="61"/>
        <v>161.56</v>
      </c>
      <c r="CJ176" s="14">
        <f t="shared" si="62"/>
        <v>304.55</v>
      </c>
    </row>
    <row r="177" spans="7:88">
      <c r="G177" s="12">
        <f t="shared" ref="G177:G210" si="70">IF($E79&lt;G$66,$C79,0)</f>
        <v>0</v>
      </c>
      <c r="H177" s="12">
        <f t="shared" ref="H177:J196" si="71">IF($E79&gt;H$66,0,IF($E79&lt;H$66-365,$C79,0))</f>
        <v>0</v>
      </c>
      <c r="I177" s="12">
        <f t="shared" si="71"/>
        <v>0</v>
      </c>
      <c r="J177" s="12">
        <f t="shared" si="71"/>
        <v>0</v>
      </c>
      <c r="K177" s="12">
        <f t="shared" ref="K177:K210" si="72">IF($E79&lt;K$66,$C79,0)</f>
        <v>0</v>
      </c>
      <c r="L177" s="12">
        <f t="shared" ref="L177:N196" si="73">IF($E79&gt;L$66,0,IF($E79&lt;L$66-365,$C79,0))</f>
        <v>0</v>
      </c>
      <c r="M177" s="12">
        <f t="shared" si="73"/>
        <v>0</v>
      </c>
      <c r="N177" s="12">
        <f t="shared" si="73"/>
        <v>0</v>
      </c>
      <c r="O177" s="12">
        <f t="shared" ref="O177:O210" si="74">IF($E79&lt;O$66,$C79,0)</f>
        <v>0</v>
      </c>
      <c r="P177" s="12">
        <f t="shared" ref="P177:Q196" si="75">IF($E79&gt;P$66,0,IF($E79&lt;P$66-365,$C79,0))</f>
        <v>0</v>
      </c>
      <c r="Q177" s="12">
        <f t="shared" si="75"/>
        <v>0</v>
      </c>
      <c r="T177" s="61"/>
      <c r="U177" s="61"/>
      <c r="V177" s="61"/>
      <c r="W177" s="53">
        <f t="shared" si="50"/>
        <v>0</v>
      </c>
      <c r="X177" s="54" t="e">
        <f t="shared" si="51"/>
        <v>#DIV/0!</v>
      </c>
      <c r="Y177" s="25">
        <f t="shared" si="57"/>
        <v>0</v>
      </c>
      <c r="Z177" s="54">
        <f t="shared" si="58"/>
        <v>0</v>
      </c>
      <c r="AA177" s="54">
        <f t="shared" ref="AA177:AK177" si="76">IF($E77+365&lt;$C$56,0,IF($E77&lt;$C$56,(($E77+365-$C$56)/365)*(($C77/$BN$158)+($D77/$BN$159)),IF($E77&gt;AA$167,0,IF($E77+365&lt;AA$167,($C77/$BN$158)+($D77/$BN$159),((AA$167-$E77)/365)*(($C77/$BN$158)+($D77/$BN$159))))))</f>
        <v>0</v>
      </c>
      <c r="AB177" s="54">
        <f t="shared" si="76"/>
        <v>0</v>
      </c>
      <c r="AC177" s="54">
        <f t="shared" si="76"/>
        <v>0</v>
      </c>
      <c r="AD177" s="54">
        <f t="shared" si="76"/>
        <v>0</v>
      </c>
      <c r="AE177" s="54">
        <f t="shared" si="76"/>
        <v>0</v>
      </c>
      <c r="AF177" s="54">
        <f t="shared" si="76"/>
        <v>0</v>
      </c>
      <c r="AG177" s="54">
        <f t="shared" si="76"/>
        <v>0</v>
      </c>
      <c r="AH177" s="54">
        <f t="shared" si="76"/>
        <v>0</v>
      </c>
      <c r="AI177" s="54">
        <f t="shared" si="76"/>
        <v>0</v>
      </c>
      <c r="AJ177" s="54">
        <f t="shared" si="76"/>
        <v>0</v>
      </c>
      <c r="AK177" s="54">
        <f t="shared" si="76"/>
        <v>0</v>
      </c>
      <c r="AL177" s="24">
        <f t="shared" si="53"/>
        <v>0</v>
      </c>
      <c r="AM177" s="24">
        <f t="shared" si="54"/>
        <v>0</v>
      </c>
      <c r="AN177" s="55">
        <f t="shared" si="55"/>
        <v>25000</v>
      </c>
      <c r="AO177" s="55">
        <f t="shared" si="56"/>
        <v>0</v>
      </c>
      <c r="AP177" s="24"/>
      <c r="AQ177" s="24"/>
      <c r="AR177" s="24"/>
      <c r="AS177" s="24"/>
      <c r="AT177" s="24"/>
      <c r="AU177" s="24"/>
      <c r="AV177" s="24"/>
      <c r="AW177" s="24"/>
      <c r="AX177" s="24"/>
      <c r="AY177" s="24"/>
      <c r="AZ177" s="24"/>
      <c r="BA177" s="24"/>
      <c r="BB177" s="24"/>
      <c r="BC177" s="24"/>
      <c r="BD177" s="24"/>
      <c r="BE177" s="24">
        <f t="shared" si="43"/>
        <v>84.92</v>
      </c>
      <c r="BF177" s="59">
        <f t="shared" si="65"/>
        <v>48667</v>
      </c>
      <c r="BG177" s="36">
        <f>$BV$159+AJ215+($C$64-$BV$159)</f>
        <v>44.061385570248916</v>
      </c>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4.5</v>
      </c>
      <c r="CE177" s="14">
        <f>CI171</f>
        <v>84.92</v>
      </c>
      <c r="CF177" s="14">
        <f>CJ171</f>
        <v>158.69</v>
      </c>
      <c r="CG177" s="14"/>
      <c r="CH177" s="25">
        <v>1.5</v>
      </c>
      <c r="CI177" s="14">
        <f t="shared" si="61"/>
        <v>176.89</v>
      </c>
      <c r="CJ177" s="14">
        <f t="shared" si="62"/>
        <v>333.72</v>
      </c>
    </row>
    <row r="178" spans="7:88">
      <c r="G178" s="12">
        <f t="shared" si="70"/>
        <v>0</v>
      </c>
      <c r="H178" s="12">
        <f t="shared" si="71"/>
        <v>0</v>
      </c>
      <c r="I178" s="12">
        <f t="shared" si="71"/>
        <v>0</v>
      </c>
      <c r="J178" s="12">
        <f t="shared" si="71"/>
        <v>0</v>
      </c>
      <c r="K178" s="12">
        <f t="shared" si="72"/>
        <v>0</v>
      </c>
      <c r="L178" s="12">
        <f t="shared" si="73"/>
        <v>0</v>
      </c>
      <c r="M178" s="12">
        <f t="shared" si="73"/>
        <v>0</v>
      </c>
      <c r="N178" s="12">
        <f t="shared" si="73"/>
        <v>0</v>
      </c>
      <c r="O178" s="12">
        <f t="shared" si="74"/>
        <v>0</v>
      </c>
      <c r="P178" s="12">
        <f t="shared" si="75"/>
        <v>0</v>
      </c>
      <c r="Q178" s="12">
        <f t="shared" si="75"/>
        <v>0</v>
      </c>
      <c r="T178" s="61"/>
      <c r="U178" s="61"/>
      <c r="V178" s="61"/>
      <c r="W178" s="53">
        <f t="shared" ref="W178:W212" si="77">C79*$BN$161*1000</f>
        <v>0</v>
      </c>
      <c r="X178" s="54" t="e">
        <f t="shared" ref="X178:X212" si="78">-1*F79/W178</f>
        <v>#DIV/0!</v>
      </c>
      <c r="Y178" s="25">
        <f t="shared" si="57"/>
        <v>0</v>
      </c>
      <c r="Z178" s="54">
        <f t="shared" ref="Z178:Z214" si="79">($C79/$BN$158)+($D79/$BN$159)</f>
        <v>0</v>
      </c>
      <c r="AA178" s="54">
        <f t="shared" ref="AA178:AK178" si="80">IF($E79+365&lt;$C$56,0,IF($E79&lt;$C$56,(($E79+365-$C$56)/365)*(($C79/$BN$158)+($D79/$BN$159)),IF($E79&gt;AA$167,0,IF($E79+365&lt;AA$167,($C79/$BN$158)+($D79/$BN$159),((AA$167-$E79)/365)*(($C79/$BN$158)+($D79/$BN$159))))))</f>
        <v>0</v>
      </c>
      <c r="AB178" s="54">
        <f t="shared" si="80"/>
        <v>0</v>
      </c>
      <c r="AC178" s="54">
        <f t="shared" si="80"/>
        <v>0</v>
      </c>
      <c r="AD178" s="54">
        <f t="shared" si="80"/>
        <v>0</v>
      </c>
      <c r="AE178" s="54">
        <f t="shared" si="80"/>
        <v>0</v>
      </c>
      <c r="AF178" s="54">
        <f t="shared" si="80"/>
        <v>0</v>
      </c>
      <c r="AG178" s="54">
        <f t="shared" si="80"/>
        <v>0</v>
      </c>
      <c r="AH178" s="54">
        <f t="shared" si="80"/>
        <v>0</v>
      </c>
      <c r="AI178" s="54">
        <f t="shared" si="80"/>
        <v>0</v>
      </c>
      <c r="AJ178" s="54">
        <f t="shared" si="80"/>
        <v>0</v>
      </c>
      <c r="AK178" s="54">
        <f t="shared" si="80"/>
        <v>0</v>
      </c>
      <c r="AL178" s="24">
        <f t="shared" ref="AL178:AL214" si="81">IF(G79&lt;&gt;"",C79,0)</f>
        <v>0</v>
      </c>
      <c r="AM178" s="24">
        <f t="shared" ref="AM178:AM214" si="82">IF(G79&lt;&gt;"",D79,0)</f>
        <v>0</v>
      </c>
      <c r="AN178" s="55">
        <f t="shared" ref="AN178:AN214" si="83">IF(W79="Yes",0,F79)</f>
        <v>0</v>
      </c>
      <c r="AO178" s="55">
        <f t="shared" ref="AO178:AO214" si="84">IF(W79="Yes",F79,0)</f>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v>5</v>
      </c>
      <c r="CE178" s="14">
        <f>CI170</f>
        <v>69.59</v>
      </c>
      <c r="CF178" s="14">
        <f>CJ170</f>
        <v>129.52000000000001</v>
      </c>
      <c r="CG178" s="14"/>
      <c r="CH178" s="25">
        <v>1</v>
      </c>
      <c r="CI178" s="14">
        <f t="shared" si="61"/>
        <v>192.21</v>
      </c>
      <c r="CJ178" s="14">
        <f t="shared" si="62"/>
        <v>362.89</v>
      </c>
    </row>
    <row r="179" spans="7:88">
      <c r="G179" s="12">
        <f t="shared" si="70"/>
        <v>0</v>
      </c>
      <c r="H179" s="12">
        <f t="shared" si="71"/>
        <v>0</v>
      </c>
      <c r="I179" s="12">
        <f t="shared" si="71"/>
        <v>0</v>
      </c>
      <c r="J179" s="12">
        <f t="shared" si="71"/>
        <v>0</v>
      </c>
      <c r="K179" s="12">
        <f t="shared" si="72"/>
        <v>0</v>
      </c>
      <c r="L179" s="12">
        <f t="shared" si="73"/>
        <v>0</v>
      </c>
      <c r="M179" s="12">
        <f t="shared" si="73"/>
        <v>0</v>
      </c>
      <c r="N179" s="12">
        <f t="shared" si="73"/>
        <v>0</v>
      </c>
      <c r="O179" s="12">
        <f t="shared" si="74"/>
        <v>0</v>
      </c>
      <c r="P179" s="12">
        <f t="shared" si="75"/>
        <v>0</v>
      </c>
      <c r="Q179" s="12">
        <f t="shared" si="75"/>
        <v>0</v>
      </c>
      <c r="T179" s="61"/>
      <c r="U179" s="61"/>
      <c r="V179" s="61"/>
      <c r="W179" s="53">
        <f t="shared" si="77"/>
        <v>0</v>
      </c>
      <c r="X179" s="54" t="e">
        <f t="shared" si="78"/>
        <v>#DIV/0!</v>
      </c>
      <c r="Y179" s="25">
        <f t="shared" si="57"/>
        <v>0</v>
      </c>
      <c r="Z179" s="54">
        <f t="shared" si="79"/>
        <v>0</v>
      </c>
      <c r="AA179" s="54">
        <f t="shared" ref="AA179:AK179" si="85">IF($E80+365&lt;$C$56,0,IF($E80&lt;$C$56,(($E80+365-$C$56)/365)*(($C80/$BN$158)+($D80/$BN$159)),IF($E80&gt;AA$167,0,IF($E80+365&lt;AA$167,($C80/$BN$158)+($D80/$BN$159),((AA$167-$E80)/365)*(($C80/$BN$158)+($D80/$BN$159))))))</f>
        <v>0</v>
      </c>
      <c r="AB179" s="54">
        <f t="shared" si="85"/>
        <v>0</v>
      </c>
      <c r="AC179" s="54">
        <f t="shared" si="85"/>
        <v>0</v>
      </c>
      <c r="AD179" s="54">
        <f t="shared" si="85"/>
        <v>0</v>
      </c>
      <c r="AE179" s="54">
        <f t="shared" si="85"/>
        <v>0</v>
      </c>
      <c r="AF179" s="54">
        <f t="shared" si="85"/>
        <v>0</v>
      </c>
      <c r="AG179" s="54">
        <f t="shared" si="85"/>
        <v>0</v>
      </c>
      <c r="AH179" s="54">
        <f t="shared" si="85"/>
        <v>0</v>
      </c>
      <c r="AI179" s="54">
        <f t="shared" si="85"/>
        <v>0</v>
      </c>
      <c r="AJ179" s="54">
        <f t="shared" si="85"/>
        <v>0</v>
      </c>
      <c r="AK179" s="54">
        <f t="shared" si="85"/>
        <v>0</v>
      </c>
      <c r="AL179" s="24">
        <f t="shared" si="81"/>
        <v>0</v>
      </c>
      <c r="AM179" s="24">
        <f t="shared" si="82"/>
        <v>0</v>
      </c>
      <c r="AN179" s="55">
        <f t="shared" si="83"/>
        <v>0</v>
      </c>
      <c r="AO179" s="55">
        <f t="shared" si="84"/>
        <v>0</v>
      </c>
      <c r="AP179" s="24"/>
      <c r="AQ179" s="24"/>
      <c r="AR179" s="24"/>
      <c r="AS179" s="24"/>
      <c r="AT179" s="24"/>
      <c r="AU179" s="24"/>
      <c r="AV179" s="24"/>
      <c r="AW179" s="24"/>
      <c r="AX179" s="24"/>
      <c r="AY179" s="24"/>
      <c r="AZ179" s="24"/>
      <c r="BA179" s="24"/>
      <c r="BB179" s="24"/>
      <c r="BC179" s="24"/>
      <c r="BD179" s="24"/>
      <c r="BE179" s="24"/>
      <c r="BF179" s="59"/>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70"/>
        <v>0</v>
      </c>
      <c r="H180" s="12">
        <f t="shared" si="71"/>
        <v>0</v>
      </c>
      <c r="I180" s="12">
        <f t="shared" si="71"/>
        <v>0</v>
      </c>
      <c r="J180" s="12">
        <f t="shared" si="71"/>
        <v>0</v>
      </c>
      <c r="K180" s="12">
        <f t="shared" si="72"/>
        <v>0</v>
      </c>
      <c r="L180" s="12">
        <f t="shared" si="73"/>
        <v>0</v>
      </c>
      <c r="M180" s="12">
        <f t="shared" si="73"/>
        <v>0</v>
      </c>
      <c r="N180" s="12">
        <f t="shared" si="73"/>
        <v>0</v>
      </c>
      <c r="O180" s="12">
        <f t="shared" si="74"/>
        <v>0</v>
      </c>
      <c r="P180" s="12">
        <f t="shared" si="75"/>
        <v>0</v>
      </c>
      <c r="Q180" s="12">
        <f t="shared" si="75"/>
        <v>0</v>
      </c>
      <c r="T180" s="61"/>
      <c r="U180" s="61"/>
      <c r="V180" s="61"/>
      <c r="W180" s="53">
        <f t="shared" si="77"/>
        <v>0</v>
      </c>
      <c r="X180" s="54" t="e">
        <f t="shared" si="78"/>
        <v>#DIV/0!</v>
      </c>
      <c r="Y180" s="25">
        <f t="shared" si="57"/>
        <v>0</v>
      </c>
      <c r="Z180" s="54">
        <f t="shared" si="79"/>
        <v>0</v>
      </c>
      <c r="AA180" s="54">
        <f t="shared" ref="AA180:AK180" si="86">IF($E81+365&lt;$C$56,0,IF($E81&lt;$C$56,(($E81+365-$C$56)/365)*(($C81/$BN$158)+($D81/$BN$159)),IF($E81&gt;AA$167,0,IF($E81+365&lt;AA$167,($C81/$BN$158)+($D81/$BN$159),((AA$167-$E81)/365)*(($C81/$BN$158)+($D81/$BN$159))))))</f>
        <v>0</v>
      </c>
      <c r="AB180" s="54">
        <f t="shared" si="86"/>
        <v>0</v>
      </c>
      <c r="AC180" s="54">
        <f t="shared" si="86"/>
        <v>0</v>
      </c>
      <c r="AD180" s="54">
        <f t="shared" si="86"/>
        <v>0</v>
      </c>
      <c r="AE180" s="54">
        <f t="shared" si="86"/>
        <v>0</v>
      </c>
      <c r="AF180" s="54">
        <f t="shared" si="86"/>
        <v>0</v>
      </c>
      <c r="AG180" s="54">
        <f t="shared" si="86"/>
        <v>0</v>
      </c>
      <c r="AH180" s="54">
        <f t="shared" si="86"/>
        <v>0</v>
      </c>
      <c r="AI180" s="54">
        <f t="shared" si="86"/>
        <v>0</v>
      </c>
      <c r="AJ180" s="54">
        <f t="shared" si="86"/>
        <v>0</v>
      </c>
      <c r="AK180" s="54">
        <f t="shared" si="86"/>
        <v>0</v>
      </c>
      <c r="AL180" s="24">
        <f t="shared" si="81"/>
        <v>0</v>
      </c>
      <c r="AM180" s="24">
        <f t="shared" si="82"/>
        <v>0</v>
      </c>
      <c r="AN180" s="55">
        <f t="shared" si="83"/>
        <v>0</v>
      </c>
      <c r="AO180" s="55">
        <f t="shared" si="8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70"/>
        <v>0</v>
      </c>
      <c r="H181" s="12">
        <f t="shared" si="71"/>
        <v>0</v>
      </c>
      <c r="I181" s="12">
        <f t="shared" si="71"/>
        <v>0</v>
      </c>
      <c r="J181" s="12">
        <f t="shared" si="71"/>
        <v>0</v>
      </c>
      <c r="K181" s="12">
        <f t="shared" si="72"/>
        <v>0</v>
      </c>
      <c r="L181" s="12">
        <f t="shared" si="73"/>
        <v>0</v>
      </c>
      <c r="M181" s="12">
        <f t="shared" si="73"/>
        <v>0</v>
      </c>
      <c r="N181" s="12">
        <f t="shared" si="73"/>
        <v>0</v>
      </c>
      <c r="O181" s="12">
        <f t="shared" si="74"/>
        <v>0</v>
      </c>
      <c r="P181" s="12">
        <f t="shared" si="75"/>
        <v>0</v>
      </c>
      <c r="Q181" s="12">
        <f t="shared" si="75"/>
        <v>0</v>
      </c>
      <c r="T181" s="61"/>
      <c r="U181" s="61"/>
      <c r="V181" s="61"/>
      <c r="W181" s="53">
        <f t="shared" si="77"/>
        <v>0</v>
      </c>
      <c r="X181" s="54" t="e">
        <f t="shared" si="78"/>
        <v>#DIV/0!</v>
      </c>
      <c r="Y181" s="25">
        <f t="shared" si="57"/>
        <v>0</v>
      </c>
      <c r="Z181" s="54">
        <f t="shared" si="79"/>
        <v>0</v>
      </c>
      <c r="AA181" s="54">
        <f t="shared" ref="AA181:AK181" si="87">IF($E82+365&lt;$C$56,0,IF($E82&lt;$C$56,(($E82+365-$C$56)/365)*(($C82/$BN$158)+($D82/$BN$159)),IF($E82&gt;AA$167,0,IF($E82+365&lt;AA$167,($C82/$BN$158)+($D82/$BN$159),((AA$167-$E82)/365)*(($C82/$BN$158)+($D82/$BN$159))))))</f>
        <v>0</v>
      </c>
      <c r="AB181" s="54">
        <f t="shared" si="87"/>
        <v>0</v>
      </c>
      <c r="AC181" s="54">
        <f t="shared" si="87"/>
        <v>0</v>
      </c>
      <c r="AD181" s="54">
        <f t="shared" si="87"/>
        <v>0</v>
      </c>
      <c r="AE181" s="54">
        <f t="shared" si="87"/>
        <v>0</v>
      </c>
      <c r="AF181" s="54">
        <f t="shared" si="87"/>
        <v>0</v>
      </c>
      <c r="AG181" s="54">
        <f t="shared" si="87"/>
        <v>0</v>
      </c>
      <c r="AH181" s="54">
        <f t="shared" si="87"/>
        <v>0</v>
      </c>
      <c r="AI181" s="54">
        <f t="shared" si="87"/>
        <v>0</v>
      </c>
      <c r="AJ181" s="54">
        <f t="shared" si="87"/>
        <v>0</v>
      </c>
      <c r="AK181" s="54">
        <f t="shared" si="87"/>
        <v>0</v>
      </c>
      <c r="AL181" s="24">
        <f t="shared" si="81"/>
        <v>0</v>
      </c>
      <c r="AM181" s="24">
        <f t="shared" si="82"/>
        <v>0</v>
      </c>
      <c r="AN181" s="55">
        <f t="shared" si="83"/>
        <v>0</v>
      </c>
      <c r="AO181" s="55">
        <f t="shared" si="8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70"/>
        <v>0</v>
      </c>
      <c r="H182" s="12">
        <f t="shared" si="71"/>
        <v>0</v>
      </c>
      <c r="I182" s="12">
        <f t="shared" si="71"/>
        <v>0</v>
      </c>
      <c r="J182" s="12">
        <f t="shared" si="71"/>
        <v>0</v>
      </c>
      <c r="K182" s="12">
        <f t="shared" si="72"/>
        <v>0</v>
      </c>
      <c r="L182" s="12">
        <f t="shared" si="73"/>
        <v>0</v>
      </c>
      <c r="M182" s="12">
        <f t="shared" si="73"/>
        <v>0</v>
      </c>
      <c r="N182" s="12">
        <f t="shared" si="73"/>
        <v>0</v>
      </c>
      <c r="O182" s="12">
        <f t="shared" si="74"/>
        <v>0</v>
      </c>
      <c r="P182" s="12">
        <f t="shared" si="75"/>
        <v>0</v>
      </c>
      <c r="Q182" s="12">
        <f t="shared" si="75"/>
        <v>0</v>
      </c>
      <c r="T182" s="61"/>
      <c r="U182" s="61"/>
      <c r="V182" s="61"/>
      <c r="W182" s="53">
        <f t="shared" si="77"/>
        <v>0</v>
      </c>
      <c r="X182" s="54" t="e">
        <f t="shared" si="78"/>
        <v>#DIV/0!</v>
      </c>
      <c r="Y182" s="25">
        <f t="shared" si="57"/>
        <v>0</v>
      </c>
      <c r="Z182" s="54">
        <f t="shared" si="79"/>
        <v>0</v>
      </c>
      <c r="AA182" s="54">
        <f t="shared" ref="AA182:AK182" si="88">IF($E83+365&lt;$C$56,0,IF($E83&lt;$C$56,(($E83+365-$C$56)/365)*(($C83/$BN$158)+($D83/$BN$159)),IF($E83&gt;AA$167,0,IF($E83+365&lt;AA$167,($C83/$BN$158)+($D83/$BN$159),((AA$167-$E83)/365)*(($C83/$BN$158)+($D83/$BN$159))))))</f>
        <v>0</v>
      </c>
      <c r="AB182" s="54">
        <f t="shared" si="88"/>
        <v>0</v>
      </c>
      <c r="AC182" s="54">
        <f t="shared" si="88"/>
        <v>0</v>
      </c>
      <c r="AD182" s="54">
        <f t="shared" si="88"/>
        <v>0</v>
      </c>
      <c r="AE182" s="54">
        <f t="shared" si="88"/>
        <v>0</v>
      </c>
      <c r="AF182" s="54">
        <f t="shared" si="88"/>
        <v>0</v>
      </c>
      <c r="AG182" s="54">
        <f t="shared" si="88"/>
        <v>0</v>
      </c>
      <c r="AH182" s="54">
        <f t="shared" si="88"/>
        <v>0</v>
      </c>
      <c r="AI182" s="54">
        <f t="shared" si="88"/>
        <v>0</v>
      </c>
      <c r="AJ182" s="54">
        <f t="shared" si="88"/>
        <v>0</v>
      </c>
      <c r="AK182" s="54">
        <f t="shared" si="88"/>
        <v>0</v>
      </c>
      <c r="AL182" s="24">
        <f t="shared" si="81"/>
        <v>0</v>
      </c>
      <c r="AM182" s="24">
        <f t="shared" si="82"/>
        <v>0</v>
      </c>
      <c r="AN182" s="55">
        <f t="shared" si="83"/>
        <v>0</v>
      </c>
      <c r="AO182" s="55">
        <f t="shared" si="8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70"/>
        <v>0</v>
      </c>
      <c r="H183" s="12">
        <f t="shared" si="71"/>
        <v>0</v>
      </c>
      <c r="I183" s="12">
        <f t="shared" si="71"/>
        <v>0</v>
      </c>
      <c r="J183" s="12">
        <f t="shared" si="71"/>
        <v>0</v>
      </c>
      <c r="K183" s="12">
        <f t="shared" si="72"/>
        <v>0</v>
      </c>
      <c r="L183" s="12">
        <f t="shared" si="73"/>
        <v>0</v>
      </c>
      <c r="M183" s="12">
        <f t="shared" si="73"/>
        <v>0</v>
      </c>
      <c r="N183" s="12">
        <f t="shared" si="73"/>
        <v>0</v>
      </c>
      <c r="O183" s="12">
        <f t="shared" si="74"/>
        <v>0</v>
      </c>
      <c r="P183" s="12">
        <f t="shared" si="75"/>
        <v>0</v>
      </c>
      <c r="Q183" s="12">
        <f t="shared" si="75"/>
        <v>0</v>
      </c>
      <c r="T183" s="61"/>
      <c r="U183" s="61"/>
      <c r="V183" s="61"/>
      <c r="W183" s="53">
        <f t="shared" si="77"/>
        <v>0</v>
      </c>
      <c r="X183" s="54" t="e">
        <f t="shared" si="78"/>
        <v>#DIV/0!</v>
      </c>
      <c r="Y183" s="25">
        <f t="shared" si="57"/>
        <v>0</v>
      </c>
      <c r="Z183" s="54">
        <f t="shared" si="79"/>
        <v>0</v>
      </c>
      <c r="AA183" s="54">
        <f t="shared" ref="AA183:AK183" si="89">IF($E84+365&lt;$C$56,0,IF($E84&lt;$C$56,(($E84+365-$C$56)/365)*(($C84/$BN$158)+($D84/$BN$159)),IF($E84&gt;AA$167,0,IF($E84+365&lt;AA$167,($C84/$BN$158)+($D84/$BN$159),((AA$167-$E84)/365)*(($C84/$BN$158)+($D84/$BN$159))))))</f>
        <v>0</v>
      </c>
      <c r="AB183" s="54">
        <f t="shared" si="89"/>
        <v>0</v>
      </c>
      <c r="AC183" s="54">
        <f t="shared" si="89"/>
        <v>0</v>
      </c>
      <c r="AD183" s="54">
        <f t="shared" si="89"/>
        <v>0</v>
      </c>
      <c r="AE183" s="54">
        <f t="shared" si="89"/>
        <v>0</v>
      </c>
      <c r="AF183" s="54">
        <f t="shared" si="89"/>
        <v>0</v>
      </c>
      <c r="AG183" s="54">
        <f t="shared" si="89"/>
        <v>0</v>
      </c>
      <c r="AH183" s="54">
        <f t="shared" si="89"/>
        <v>0</v>
      </c>
      <c r="AI183" s="54">
        <f t="shared" si="89"/>
        <v>0</v>
      </c>
      <c r="AJ183" s="54">
        <f t="shared" si="89"/>
        <v>0</v>
      </c>
      <c r="AK183" s="54">
        <f t="shared" si="89"/>
        <v>0</v>
      </c>
      <c r="AL183" s="24">
        <f t="shared" si="81"/>
        <v>0</v>
      </c>
      <c r="AM183" s="24">
        <f t="shared" si="82"/>
        <v>0</v>
      </c>
      <c r="AN183" s="55">
        <f t="shared" si="83"/>
        <v>0</v>
      </c>
      <c r="AO183" s="55">
        <f t="shared" si="8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70"/>
        <v>0</v>
      </c>
      <c r="H184" s="12">
        <f t="shared" si="71"/>
        <v>0</v>
      </c>
      <c r="I184" s="12">
        <f t="shared" si="71"/>
        <v>0</v>
      </c>
      <c r="J184" s="12">
        <f t="shared" si="71"/>
        <v>0</v>
      </c>
      <c r="K184" s="12">
        <f t="shared" si="72"/>
        <v>0</v>
      </c>
      <c r="L184" s="12">
        <f t="shared" si="73"/>
        <v>0</v>
      </c>
      <c r="M184" s="12">
        <f t="shared" si="73"/>
        <v>0</v>
      </c>
      <c r="N184" s="12">
        <f t="shared" si="73"/>
        <v>0</v>
      </c>
      <c r="O184" s="12">
        <f t="shared" si="74"/>
        <v>0</v>
      </c>
      <c r="P184" s="12">
        <f t="shared" si="75"/>
        <v>0</v>
      </c>
      <c r="Q184" s="12">
        <f t="shared" si="75"/>
        <v>0</v>
      </c>
      <c r="T184" s="61"/>
      <c r="U184" s="61"/>
      <c r="V184" s="61"/>
      <c r="W184" s="53">
        <f t="shared" si="77"/>
        <v>0</v>
      </c>
      <c r="X184" s="54" t="e">
        <f t="shared" si="78"/>
        <v>#DIV/0!</v>
      </c>
      <c r="Y184" s="25">
        <f t="shared" si="57"/>
        <v>0</v>
      </c>
      <c r="Z184" s="54">
        <f t="shared" si="79"/>
        <v>0</v>
      </c>
      <c r="AA184" s="54">
        <f t="shared" ref="AA184:AK184" si="90">IF($E85+365&lt;$C$56,0,IF($E85&lt;$C$56,(($E85+365-$C$56)/365)*(($C85/$BN$158)+($D85/$BN$159)),IF($E85&gt;AA$167,0,IF($E85+365&lt;AA$167,($C85/$BN$158)+($D85/$BN$159),((AA$167-$E85)/365)*(($C85/$BN$158)+($D85/$BN$159))))))</f>
        <v>0</v>
      </c>
      <c r="AB184" s="54">
        <f t="shared" si="90"/>
        <v>0</v>
      </c>
      <c r="AC184" s="54">
        <f t="shared" si="90"/>
        <v>0</v>
      </c>
      <c r="AD184" s="54">
        <f t="shared" si="90"/>
        <v>0</v>
      </c>
      <c r="AE184" s="54">
        <f t="shared" si="90"/>
        <v>0</v>
      </c>
      <c r="AF184" s="54">
        <f t="shared" si="90"/>
        <v>0</v>
      </c>
      <c r="AG184" s="54">
        <f t="shared" si="90"/>
        <v>0</v>
      </c>
      <c r="AH184" s="54">
        <f t="shared" si="90"/>
        <v>0</v>
      </c>
      <c r="AI184" s="54">
        <f t="shared" si="90"/>
        <v>0</v>
      </c>
      <c r="AJ184" s="54">
        <f t="shared" si="90"/>
        <v>0</v>
      </c>
      <c r="AK184" s="54">
        <f t="shared" si="90"/>
        <v>0</v>
      </c>
      <c r="AL184" s="24">
        <f t="shared" si="81"/>
        <v>0</v>
      </c>
      <c r="AM184" s="24">
        <f t="shared" si="82"/>
        <v>0</v>
      </c>
      <c r="AN184" s="55">
        <f t="shared" si="83"/>
        <v>0</v>
      </c>
      <c r="AO184" s="55">
        <f t="shared" si="8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70"/>
        <v>0</v>
      </c>
      <c r="H185" s="12">
        <f t="shared" si="71"/>
        <v>0</v>
      </c>
      <c r="I185" s="12">
        <f t="shared" si="71"/>
        <v>0</v>
      </c>
      <c r="J185" s="12">
        <f t="shared" si="71"/>
        <v>0</v>
      </c>
      <c r="K185" s="12">
        <f t="shared" si="72"/>
        <v>0</v>
      </c>
      <c r="L185" s="12">
        <f t="shared" si="73"/>
        <v>0</v>
      </c>
      <c r="M185" s="12">
        <f t="shared" si="73"/>
        <v>0</v>
      </c>
      <c r="N185" s="12">
        <f t="shared" si="73"/>
        <v>0</v>
      </c>
      <c r="O185" s="12">
        <f t="shared" si="74"/>
        <v>0</v>
      </c>
      <c r="P185" s="12">
        <f t="shared" si="75"/>
        <v>0</v>
      </c>
      <c r="Q185" s="12">
        <f t="shared" si="75"/>
        <v>0</v>
      </c>
      <c r="T185" s="61"/>
      <c r="U185" s="61"/>
      <c r="V185" s="61"/>
      <c r="W185" s="53">
        <f t="shared" si="77"/>
        <v>0</v>
      </c>
      <c r="X185" s="54" t="e">
        <f t="shared" si="78"/>
        <v>#DIV/0!</v>
      </c>
      <c r="Y185" s="25">
        <f t="shared" si="57"/>
        <v>0</v>
      </c>
      <c r="Z185" s="54">
        <f t="shared" si="79"/>
        <v>0</v>
      </c>
      <c r="AA185" s="54">
        <f t="shared" ref="AA185:AK185" si="91">IF($E86+365&lt;$C$56,0,IF($E86&lt;$C$56,(($E86+365-$C$56)/365)*(($C86/$BN$158)+($D86/$BN$159)),IF($E86&gt;AA$167,0,IF($E86+365&lt;AA$167,($C86/$BN$158)+($D86/$BN$159),((AA$167-$E86)/365)*(($C86/$BN$158)+($D86/$BN$159))))))</f>
        <v>0</v>
      </c>
      <c r="AB185" s="54">
        <f t="shared" si="91"/>
        <v>0</v>
      </c>
      <c r="AC185" s="54">
        <f t="shared" si="91"/>
        <v>0</v>
      </c>
      <c r="AD185" s="54">
        <f t="shared" si="91"/>
        <v>0</v>
      </c>
      <c r="AE185" s="54">
        <f t="shared" si="91"/>
        <v>0</v>
      </c>
      <c r="AF185" s="54">
        <f t="shared" si="91"/>
        <v>0</v>
      </c>
      <c r="AG185" s="54">
        <f t="shared" si="91"/>
        <v>0</v>
      </c>
      <c r="AH185" s="54">
        <f t="shared" si="91"/>
        <v>0</v>
      </c>
      <c r="AI185" s="54">
        <f t="shared" si="91"/>
        <v>0</v>
      </c>
      <c r="AJ185" s="54">
        <f t="shared" si="91"/>
        <v>0</v>
      </c>
      <c r="AK185" s="54">
        <f t="shared" si="91"/>
        <v>0</v>
      </c>
      <c r="AL185" s="24">
        <f t="shared" si="81"/>
        <v>0</v>
      </c>
      <c r="AM185" s="24">
        <f t="shared" si="82"/>
        <v>0</v>
      </c>
      <c r="AN185" s="55">
        <f t="shared" si="83"/>
        <v>0</v>
      </c>
      <c r="AO185" s="55">
        <f t="shared" si="8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70"/>
        <v>0</v>
      </c>
      <c r="H186" s="12">
        <f t="shared" si="71"/>
        <v>0</v>
      </c>
      <c r="I186" s="12">
        <f t="shared" si="71"/>
        <v>0</v>
      </c>
      <c r="J186" s="12">
        <f t="shared" si="71"/>
        <v>0</v>
      </c>
      <c r="K186" s="12">
        <f t="shared" si="72"/>
        <v>0</v>
      </c>
      <c r="L186" s="12">
        <f t="shared" si="73"/>
        <v>0</v>
      </c>
      <c r="M186" s="12">
        <f t="shared" si="73"/>
        <v>0</v>
      </c>
      <c r="N186" s="12">
        <f t="shared" si="73"/>
        <v>0</v>
      </c>
      <c r="O186" s="12">
        <f t="shared" si="74"/>
        <v>0</v>
      </c>
      <c r="P186" s="12">
        <f t="shared" si="75"/>
        <v>0</v>
      </c>
      <c r="Q186" s="12">
        <f t="shared" si="75"/>
        <v>0</v>
      </c>
      <c r="T186" s="61"/>
      <c r="U186" s="61"/>
      <c r="V186" s="61"/>
      <c r="W186" s="53">
        <f t="shared" si="77"/>
        <v>0</v>
      </c>
      <c r="X186" s="54" t="e">
        <f t="shared" si="78"/>
        <v>#DIV/0!</v>
      </c>
      <c r="Y186" s="25">
        <f t="shared" si="57"/>
        <v>0</v>
      </c>
      <c r="Z186" s="54">
        <f t="shared" si="79"/>
        <v>0</v>
      </c>
      <c r="AA186" s="54">
        <f t="shared" ref="AA186:AK186" si="92">IF($E87+365&lt;$C$56,0,IF($E87&lt;$C$56,(($E87+365-$C$56)/365)*(($C87/$BN$158)+($D87/$BN$159)),IF($E87&gt;AA$167,0,IF($E87+365&lt;AA$167,($C87/$BN$158)+($D87/$BN$159),((AA$167-$E87)/365)*(($C87/$BN$158)+($D87/$BN$159))))))</f>
        <v>0</v>
      </c>
      <c r="AB186" s="54">
        <f t="shared" si="92"/>
        <v>0</v>
      </c>
      <c r="AC186" s="54">
        <f t="shared" si="92"/>
        <v>0</v>
      </c>
      <c r="AD186" s="54">
        <f t="shared" si="92"/>
        <v>0</v>
      </c>
      <c r="AE186" s="54">
        <f t="shared" si="92"/>
        <v>0</v>
      </c>
      <c r="AF186" s="54">
        <f t="shared" si="92"/>
        <v>0</v>
      </c>
      <c r="AG186" s="54">
        <f t="shared" si="92"/>
        <v>0</v>
      </c>
      <c r="AH186" s="54">
        <f t="shared" si="92"/>
        <v>0</v>
      </c>
      <c r="AI186" s="54">
        <f t="shared" si="92"/>
        <v>0</v>
      </c>
      <c r="AJ186" s="54">
        <f t="shared" si="92"/>
        <v>0</v>
      </c>
      <c r="AK186" s="54">
        <f t="shared" si="92"/>
        <v>0</v>
      </c>
      <c r="AL186" s="24">
        <f t="shared" si="81"/>
        <v>0</v>
      </c>
      <c r="AM186" s="24">
        <f t="shared" si="82"/>
        <v>0</v>
      </c>
      <c r="AN186" s="55">
        <f t="shared" si="83"/>
        <v>0</v>
      </c>
      <c r="AO186" s="55">
        <f t="shared" si="8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70"/>
        <v>0</v>
      </c>
      <c r="H187" s="12">
        <f t="shared" si="71"/>
        <v>0</v>
      </c>
      <c r="I187" s="12">
        <f t="shared" si="71"/>
        <v>0</v>
      </c>
      <c r="J187" s="12">
        <f t="shared" si="71"/>
        <v>0</v>
      </c>
      <c r="K187" s="12">
        <f t="shared" si="72"/>
        <v>0</v>
      </c>
      <c r="L187" s="12">
        <f t="shared" si="73"/>
        <v>0</v>
      </c>
      <c r="M187" s="12">
        <f t="shared" si="73"/>
        <v>0</v>
      </c>
      <c r="N187" s="12">
        <f t="shared" si="73"/>
        <v>0</v>
      </c>
      <c r="O187" s="12">
        <f t="shared" si="74"/>
        <v>0</v>
      </c>
      <c r="P187" s="12">
        <f t="shared" si="75"/>
        <v>0</v>
      </c>
      <c r="Q187" s="12">
        <f t="shared" si="75"/>
        <v>0</v>
      </c>
      <c r="T187" s="61"/>
      <c r="U187" s="61"/>
      <c r="V187" s="61"/>
      <c r="W187" s="53">
        <f t="shared" si="77"/>
        <v>0</v>
      </c>
      <c r="X187" s="54" t="e">
        <f t="shared" si="78"/>
        <v>#DIV/0!</v>
      </c>
      <c r="Y187" s="25">
        <f t="shared" si="57"/>
        <v>0</v>
      </c>
      <c r="Z187" s="54">
        <f t="shared" si="79"/>
        <v>0</v>
      </c>
      <c r="AA187" s="54">
        <f t="shared" ref="AA187:AK187" si="93">IF($E88+365&lt;$C$56,0,IF($E88&lt;$C$56,(($E88+365-$C$56)/365)*(($C88/$BN$158)+($D88/$BN$159)),IF($E88&gt;AA$167,0,IF($E88+365&lt;AA$167,($C88/$BN$158)+($D88/$BN$159),((AA$167-$E88)/365)*(($C88/$BN$158)+($D88/$BN$159))))))</f>
        <v>0</v>
      </c>
      <c r="AB187" s="54">
        <f t="shared" si="93"/>
        <v>0</v>
      </c>
      <c r="AC187" s="54">
        <f t="shared" si="93"/>
        <v>0</v>
      </c>
      <c r="AD187" s="54">
        <f t="shared" si="93"/>
        <v>0</v>
      </c>
      <c r="AE187" s="54">
        <f t="shared" si="93"/>
        <v>0</v>
      </c>
      <c r="AF187" s="54">
        <f t="shared" si="93"/>
        <v>0</v>
      </c>
      <c r="AG187" s="54">
        <f t="shared" si="93"/>
        <v>0</v>
      </c>
      <c r="AH187" s="54">
        <f t="shared" si="93"/>
        <v>0</v>
      </c>
      <c r="AI187" s="54">
        <f t="shared" si="93"/>
        <v>0</v>
      </c>
      <c r="AJ187" s="54">
        <f t="shared" si="93"/>
        <v>0</v>
      </c>
      <c r="AK187" s="54">
        <f t="shared" si="93"/>
        <v>0</v>
      </c>
      <c r="AL187" s="24">
        <f t="shared" si="81"/>
        <v>0</v>
      </c>
      <c r="AM187" s="24">
        <f t="shared" si="82"/>
        <v>0</v>
      </c>
      <c r="AN187" s="55">
        <f t="shared" si="83"/>
        <v>0</v>
      </c>
      <c r="AO187" s="55">
        <f t="shared" si="8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70"/>
        <v>0</v>
      </c>
      <c r="H188" s="12">
        <f t="shared" si="71"/>
        <v>0</v>
      </c>
      <c r="I188" s="12">
        <f t="shared" si="71"/>
        <v>0</v>
      </c>
      <c r="J188" s="12">
        <f t="shared" si="71"/>
        <v>0</v>
      </c>
      <c r="K188" s="12">
        <f t="shared" si="72"/>
        <v>0</v>
      </c>
      <c r="L188" s="12">
        <f t="shared" si="73"/>
        <v>0</v>
      </c>
      <c r="M188" s="12">
        <f t="shared" si="73"/>
        <v>0</v>
      </c>
      <c r="N188" s="12">
        <f t="shared" si="73"/>
        <v>0</v>
      </c>
      <c r="O188" s="12">
        <f t="shared" si="74"/>
        <v>0</v>
      </c>
      <c r="P188" s="12">
        <f t="shared" si="75"/>
        <v>0</v>
      </c>
      <c r="Q188" s="12">
        <f t="shared" si="75"/>
        <v>0</v>
      </c>
      <c r="T188" s="61"/>
      <c r="U188" s="61"/>
      <c r="V188" s="61"/>
      <c r="W188" s="53">
        <f t="shared" si="77"/>
        <v>0</v>
      </c>
      <c r="X188" s="54" t="e">
        <f t="shared" si="78"/>
        <v>#DIV/0!</v>
      </c>
      <c r="Y188" s="25">
        <f t="shared" si="57"/>
        <v>0</v>
      </c>
      <c r="Z188" s="54">
        <f t="shared" si="79"/>
        <v>0</v>
      </c>
      <c r="AA188" s="54">
        <f t="shared" ref="AA188:AK188" si="94">IF($E89+365&lt;$C$56,0,IF($E89&lt;$C$56,(($E89+365-$C$56)/365)*(($C89/$BN$158)+($D89/$BN$159)),IF($E89&gt;AA$167,0,IF($E89+365&lt;AA$167,($C89/$BN$158)+($D89/$BN$159),((AA$167-$E89)/365)*(($C89/$BN$158)+($D89/$BN$159))))))</f>
        <v>0</v>
      </c>
      <c r="AB188" s="54">
        <f t="shared" si="94"/>
        <v>0</v>
      </c>
      <c r="AC188" s="54">
        <f t="shared" si="94"/>
        <v>0</v>
      </c>
      <c r="AD188" s="54">
        <f t="shared" si="94"/>
        <v>0</v>
      </c>
      <c r="AE188" s="54">
        <f t="shared" si="94"/>
        <v>0</v>
      </c>
      <c r="AF188" s="54">
        <f t="shared" si="94"/>
        <v>0</v>
      </c>
      <c r="AG188" s="54">
        <f t="shared" si="94"/>
        <v>0</v>
      </c>
      <c r="AH188" s="54">
        <f t="shared" si="94"/>
        <v>0</v>
      </c>
      <c r="AI188" s="54">
        <f t="shared" si="94"/>
        <v>0</v>
      </c>
      <c r="AJ188" s="54">
        <f t="shared" si="94"/>
        <v>0</v>
      </c>
      <c r="AK188" s="54">
        <f t="shared" si="94"/>
        <v>0</v>
      </c>
      <c r="AL188" s="24">
        <f t="shared" si="81"/>
        <v>0</v>
      </c>
      <c r="AM188" s="24">
        <f t="shared" si="82"/>
        <v>0</v>
      </c>
      <c r="AN188" s="55">
        <f t="shared" si="83"/>
        <v>0</v>
      </c>
      <c r="AO188" s="55">
        <f t="shared" si="8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70"/>
        <v>0</v>
      </c>
      <c r="H189" s="12">
        <f t="shared" si="71"/>
        <v>0</v>
      </c>
      <c r="I189" s="12">
        <f t="shared" si="71"/>
        <v>0</v>
      </c>
      <c r="J189" s="12">
        <f t="shared" si="71"/>
        <v>0</v>
      </c>
      <c r="K189" s="12">
        <f t="shared" si="72"/>
        <v>0</v>
      </c>
      <c r="L189" s="12">
        <f t="shared" si="73"/>
        <v>0</v>
      </c>
      <c r="M189" s="12">
        <f t="shared" si="73"/>
        <v>0</v>
      </c>
      <c r="N189" s="12">
        <f t="shared" si="73"/>
        <v>0</v>
      </c>
      <c r="O189" s="12">
        <f t="shared" si="74"/>
        <v>0</v>
      </c>
      <c r="P189" s="12">
        <f t="shared" si="75"/>
        <v>0</v>
      </c>
      <c r="Q189" s="12">
        <f t="shared" si="75"/>
        <v>0</v>
      </c>
      <c r="T189" s="61"/>
      <c r="U189" s="61"/>
      <c r="V189" s="61"/>
      <c r="W189" s="53">
        <f t="shared" si="77"/>
        <v>0</v>
      </c>
      <c r="X189" s="54" t="e">
        <f t="shared" si="78"/>
        <v>#DIV/0!</v>
      </c>
      <c r="Y189" s="25">
        <f t="shared" si="57"/>
        <v>0</v>
      </c>
      <c r="Z189" s="54">
        <f t="shared" si="79"/>
        <v>0</v>
      </c>
      <c r="AA189" s="54">
        <f t="shared" ref="AA189:AK189" si="95">IF($E90+365&lt;$C$56,0,IF($E90&lt;$C$56,(($E90+365-$C$56)/365)*(($C90/$BN$158)+($D90/$BN$159)),IF($E90&gt;AA$167,0,IF($E90+365&lt;AA$167,($C90/$BN$158)+($D90/$BN$159),((AA$167-$E90)/365)*(($C90/$BN$158)+($D90/$BN$159))))))</f>
        <v>0</v>
      </c>
      <c r="AB189" s="54">
        <f t="shared" si="95"/>
        <v>0</v>
      </c>
      <c r="AC189" s="54">
        <f t="shared" si="95"/>
        <v>0</v>
      </c>
      <c r="AD189" s="54">
        <f t="shared" si="95"/>
        <v>0</v>
      </c>
      <c r="AE189" s="54">
        <f t="shared" si="95"/>
        <v>0</v>
      </c>
      <c r="AF189" s="54">
        <f t="shared" si="95"/>
        <v>0</v>
      </c>
      <c r="AG189" s="54">
        <f t="shared" si="95"/>
        <v>0</v>
      </c>
      <c r="AH189" s="54">
        <f t="shared" si="95"/>
        <v>0</v>
      </c>
      <c r="AI189" s="54">
        <f t="shared" si="95"/>
        <v>0</v>
      </c>
      <c r="AJ189" s="54">
        <f t="shared" si="95"/>
        <v>0</v>
      </c>
      <c r="AK189" s="54">
        <f t="shared" si="95"/>
        <v>0</v>
      </c>
      <c r="AL189" s="24">
        <f t="shared" si="81"/>
        <v>0</v>
      </c>
      <c r="AM189" s="24">
        <f t="shared" si="82"/>
        <v>0</v>
      </c>
      <c r="AN189" s="55">
        <f t="shared" si="83"/>
        <v>0</v>
      </c>
      <c r="AO189" s="55">
        <f t="shared" si="8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70"/>
        <v>0</v>
      </c>
      <c r="H190" s="12">
        <f t="shared" si="71"/>
        <v>0</v>
      </c>
      <c r="I190" s="12">
        <f t="shared" si="71"/>
        <v>0</v>
      </c>
      <c r="J190" s="12">
        <f t="shared" si="71"/>
        <v>0</v>
      </c>
      <c r="K190" s="12">
        <f t="shared" si="72"/>
        <v>0</v>
      </c>
      <c r="L190" s="12">
        <f t="shared" si="73"/>
        <v>0</v>
      </c>
      <c r="M190" s="12">
        <f t="shared" si="73"/>
        <v>0</v>
      </c>
      <c r="N190" s="12">
        <f t="shared" si="73"/>
        <v>0</v>
      </c>
      <c r="O190" s="12">
        <f t="shared" si="74"/>
        <v>0</v>
      </c>
      <c r="P190" s="12">
        <f t="shared" si="75"/>
        <v>0</v>
      </c>
      <c r="Q190" s="12">
        <f t="shared" si="75"/>
        <v>0</v>
      </c>
      <c r="T190" s="61"/>
      <c r="U190" s="61"/>
      <c r="V190" s="61"/>
      <c r="W190" s="53">
        <f t="shared" si="77"/>
        <v>0</v>
      </c>
      <c r="X190" s="54" t="e">
        <f t="shared" si="78"/>
        <v>#DIV/0!</v>
      </c>
      <c r="Y190" s="25">
        <f t="shared" si="57"/>
        <v>0</v>
      </c>
      <c r="Z190" s="54">
        <f t="shared" si="79"/>
        <v>0</v>
      </c>
      <c r="AA190" s="54">
        <f t="shared" ref="AA190:AK190" si="96">IF($E91+365&lt;$C$56,0,IF($E91&lt;$C$56,(($E91+365-$C$56)/365)*(($C91/$BN$158)+($D91/$BN$159)),IF($E91&gt;AA$167,0,IF($E91+365&lt;AA$167,($C91/$BN$158)+($D91/$BN$159),((AA$167-$E91)/365)*(($C91/$BN$158)+($D91/$BN$159))))))</f>
        <v>0</v>
      </c>
      <c r="AB190" s="54">
        <f t="shared" si="96"/>
        <v>0</v>
      </c>
      <c r="AC190" s="54">
        <f t="shared" si="96"/>
        <v>0</v>
      </c>
      <c r="AD190" s="54">
        <f t="shared" si="96"/>
        <v>0</v>
      </c>
      <c r="AE190" s="54">
        <f t="shared" si="96"/>
        <v>0</v>
      </c>
      <c r="AF190" s="54">
        <f t="shared" si="96"/>
        <v>0</v>
      </c>
      <c r="AG190" s="54">
        <f t="shared" si="96"/>
        <v>0</v>
      </c>
      <c r="AH190" s="54">
        <f t="shared" si="96"/>
        <v>0</v>
      </c>
      <c r="AI190" s="54">
        <f t="shared" si="96"/>
        <v>0</v>
      </c>
      <c r="AJ190" s="54">
        <f t="shared" si="96"/>
        <v>0</v>
      </c>
      <c r="AK190" s="54">
        <f t="shared" si="96"/>
        <v>0</v>
      </c>
      <c r="AL190" s="24">
        <f t="shared" si="81"/>
        <v>0</v>
      </c>
      <c r="AM190" s="24">
        <f t="shared" si="82"/>
        <v>0</v>
      </c>
      <c r="AN190" s="55">
        <f t="shared" si="83"/>
        <v>0</v>
      </c>
      <c r="AO190" s="55">
        <f t="shared" si="8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70"/>
        <v>0</v>
      </c>
      <c r="H191" s="12">
        <f t="shared" si="71"/>
        <v>0</v>
      </c>
      <c r="I191" s="12">
        <f t="shared" si="71"/>
        <v>0</v>
      </c>
      <c r="J191" s="12">
        <f t="shared" si="71"/>
        <v>0</v>
      </c>
      <c r="K191" s="12">
        <f t="shared" si="72"/>
        <v>0</v>
      </c>
      <c r="L191" s="12">
        <f t="shared" si="73"/>
        <v>0</v>
      </c>
      <c r="M191" s="12">
        <f t="shared" si="73"/>
        <v>0</v>
      </c>
      <c r="N191" s="12">
        <f t="shared" si="73"/>
        <v>0</v>
      </c>
      <c r="O191" s="12">
        <f t="shared" si="74"/>
        <v>0</v>
      </c>
      <c r="P191" s="12">
        <f t="shared" si="75"/>
        <v>0</v>
      </c>
      <c r="Q191" s="12">
        <f t="shared" si="75"/>
        <v>0</v>
      </c>
      <c r="T191" s="61"/>
      <c r="U191" s="61"/>
      <c r="V191" s="61"/>
      <c r="W191" s="53">
        <f t="shared" si="77"/>
        <v>0</v>
      </c>
      <c r="X191" s="54" t="e">
        <f t="shared" si="78"/>
        <v>#DIV/0!</v>
      </c>
      <c r="Y191" s="25">
        <f t="shared" si="57"/>
        <v>0</v>
      </c>
      <c r="Z191" s="54">
        <f t="shared" si="79"/>
        <v>0</v>
      </c>
      <c r="AA191" s="54">
        <f t="shared" ref="AA191:AK191" si="97">IF($E92+365&lt;$C$56,0,IF($E92&lt;$C$56,(($E92+365-$C$56)/365)*(($C92/$BN$158)+($D92/$BN$159)),IF($E92&gt;AA$167,0,IF($E92+365&lt;AA$167,($C92/$BN$158)+($D92/$BN$159),((AA$167-$E92)/365)*(($C92/$BN$158)+($D92/$BN$159))))))</f>
        <v>0</v>
      </c>
      <c r="AB191" s="54">
        <f t="shared" si="97"/>
        <v>0</v>
      </c>
      <c r="AC191" s="54">
        <f t="shared" si="97"/>
        <v>0</v>
      </c>
      <c r="AD191" s="54">
        <f t="shared" si="97"/>
        <v>0</v>
      </c>
      <c r="AE191" s="54">
        <f t="shared" si="97"/>
        <v>0</v>
      </c>
      <c r="AF191" s="54">
        <f t="shared" si="97"/>
        <v>0</v>
      </c>
      <c r="AG191" s="54">
        <f t="shared" si="97"/>
        <v>0</v>
      </c>
      <c r="AH191" s="54">
        <f t="shared" si="97"/>
        <v>0</v>
      </c>
      <c r="AI191" s="54">
        <f t="shared" si="97"/>
        <v>0</v>
      </c>
      <c r="AJ191" s="54">
        <f t="shared" si="97"/>
        <v>0</v>
      </c>
      <c r="AK191" s="54">
        <f t="shared" si="97"/>
        <v>0</v>
      </c>
      <c r="AL191" s="24">
        <f t="shared" si="81"/>
        <v>0</v>
      </c>
      <c r="AM191" s="24">
        <f t="shared" si="82"/>
        <v>0</v>
      </c>
      <c r="AN191" s="55">
        <f t="shared" si="83"/>
        <v>0</v>
      </c>
      <c r="AO191" s="55">
        <f t="shared" si="8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70"/>
        <v>0</v>
      </c>
      <c r="H192" s="12">
        <f t="shared" si="71"/>
        <v>0</v>
      </c>
      <c r="I192" s="12">
        <f t="shared" si="71"/>
        <v>0</v>
      </c>
      <c r="J192" s="12">
        <f t="shared" si="71"/>
        <v>0</v>
      </c>
      <c r="K192" s="12">
        <f t="shared" si="72"/>
        <v>0</v>
      </c>
      <c r="L192" s="12">
        <f t="shared" si="73"/>
        <v>0</v>
      </c>
      <c r="M192" s="12">
        <f t="shared" si="73"/>
        <v>0</v>
      </c>
      <c r="N192" s="12">
        <f t="shared" si="73"/>
        <v>0</v>
      </c>
      <c r="O192" s="12">
        <f t="shared" si="74"/>
        <v>0</v>
      </c>
      <c r="P192" s="12">
        <f t="shared" si="75"/>
        <v>0</v>
      </c>
      <c r="Q192" s="12">
        <f t="shared" si="75"/>
        <v>0</v>
      </c>
      <c r="T192" s="61"/>
      <c r="U192" s="61"/>
      <c r="V192" s="61"/>
      <c r="W192" s="53">
        <f t="shared" si="77"/>
        <v>0</v>
      </c>
      <c r="X192" s="54" t="e">
        <f t="shared" si="78"/>
        <v>#DIV/0!</v>
      </c>
      <c r="Y192" s="25">
        <f t="shared" si="57"/>
        <v>0</v>
      </c>
      <c r="Z192" s="54">
        <f t="shared" si="79"/>
        <v>0</v>
      </c>
      <c r="AA192" s="54">
        <f t="shared" ref="AA192:AK192" si="98">IF($E93+365&lt;$C$56,0,IF($E93&lt;$C$56,(($E93+365-$C$56)/365)*(($C93/$BN$158)+($D93/$BN$159)),IF($E93&gt;AA$167,0,IF($E93+365&lt;AA$167,($C93/$BN$158)+($D93/$BN$159),((AA$167-$E93)/365)*(($C93/$BN$158)+($D93/$BN$159))))))</f>
        <v>0</v>
      </c>
      <c r="AB192" s="54">
        <f t="shared" si="98"/>
        <v>0</v>
      </c>
      <c r="AC192" s="54">
        <f t="shared" si="98"/>
        <v>0</v>
      </c>
      <c r="AD192" s="54">
        <f t="shared" si="98"/>
        <v>0</v>
      </c>
      <c r="AE192" s="54">
        <f t="shared" si="98"/>
        <v>0</v>
      </c>
      <c r="AF192" s="54">
        <f t="shared" si="98"/>
        <v>0</v>
      </c>
      <c r="AG192" s="54">
        <f t="shared" si="98"/>
        <v>0</v>
      </c>
      <c r="AH192" s="54">
        <f t="shared" si="98"/>
        <v>0</v>
      </c>
      <c r="AI192" s="54">
        <f t="shared" si="98"/>
        <v>0</v>
      </c>
      <c r="AJ192" s="54">
        <f t="shared" si="98"/>
        <v>0</v>
      </c>
      <c r="AK192" s="54">
        <f t="shared" si="98"/>
        <v>0</v>
      </c>
      <c r="AL192" s="24">
        <f t="shared" si="81"/>
        <v>0</v>
      </c>
      <c r="AM192" s="24">
        <f t="shared" si="82"/>
        <v>0</v>
      </c>
      <c r="AN192" s="55">
        <f t="shared" si="83"/>
        <v>0</v>
      </c>
      <c r="AO192" s="55">
        <f t="shared" si="8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70"/>
        <v>0</v>
      </c>
      <c r="H193" s="12">
        <f t="shared" si="71"/>
        <v>0</v>
      </c>
      <c r="I193" s="12">
        <f t="shared" si="71"/>
        <v>0</v>
      </c>
      <c r="J193" s="12">
        <f t="shared" si="71"/>
        <v>0</v>
      </c>
      <c r="K193" s="12">
        <f t="shared" si="72"/>
        <v>0</v>
      </c>
      <c r="L193" s="12">
        <f t="shared" si="73"/>
        <v>0</v>
      </c>
      <c r="M193" s="12">
        <f t="shared" si="73"/>
        <v>0</v>
      </c>
      <c r="N193" s="12">
        <f t="shared" si="73"/>
        <v>0</v>
      </c>
      <c r="O193" s="12">
        <f t="shared" si="74"/>
        <v>0</v>
      </c>
      <c r="P193" s="12">
        <f t="shared" si="75"/>
        <v>0</v>
      </c>
      <c r="Q193" s="12">
        <f t="shared" si="75"/>
        <v>0</v>
      </c>
      <c r="T193" s="61"/>
      <c r="U193" s="61"/>
      <c r="V193" s="61"/>
      <c r="W193" s="53">
        <f t="shared" si="77"/>
        <v>0</v>
      </c>
      <c r="X193" s="54" t="e">
        <f t="shared" si="78"/>
        <v>#DIV/0!</v>
      </c>
      <c r="Y193" s="25">
        <f t="shared" si="57"/>
        <v>0</v>
      </c>
      <c r="Z193" s="54">
        <f t="shared" si="79"/>
        <v>0</v>
      </c>
      <c r="AA193" s="54">
        <f t="shared" ref="AA193:AK193" si="99">IF($E94+365&lt;$C$56,0,IF($E94&lt;$C$56,(($E94+365-$C$56)/365)*(($C94/$BN$158)+($D94/$BN$159)),IF($E94&gt;AA$167,0,IF($E94+365&lt;AA$167,($C94/$BN$158)+($D94/$BN$159),((AA$167-$E94)/365)*(($C94/$BN$158)+($D94/$BN$159))))))</f>
        <v>0</v>
      </c>
      <c r="AB193" s="54">
        <f t="shared" si="99"/>
        <v>0</v>
      </c>
      <c r="AC193" s="54">
        <f t="shared" si="99"/>
        <v>0</v>
      </c>
      <c r="AD193" s="54">
        <f t="shared" si="99"/>
        <v>0</v>
      </c>
      <c r="AE193" s="54">
        <f t="shared" si="99"/>
        <v>0</v>
      </c>
      <c r="AF193" s="54">
        <f t="shared" si="99"/>
        <v>0</v>
      </c>
      <c r="AG193" s="54">
        <f t="shared" si="99"/>
        <v>0</v>
      </c>
      <c r="AH193" s="54">
        <f t="shared" si="99"/>
        <v>0</v>
      </c>
      <c r="AI193" s="54">
        <f t="shared" si="99"/>
        <v>0</v>
      </c>
      <c r="AJ193" s="54">
        <f t="shared" si="99"/>
        <v>0</v>
      </c>
      <c r="AK193" s="54">
        <f t="shared" si="99"/>
        <v>0</v>
      </c>
      <c r="AL193" s="24">
        <f t="shared" si="81"/>
        <v>0</v>
      </c>
      <c r="AM193" s="24">
        <f t="shared" si="82"/>
        <v>0</v>
      </c>
      <c r="AN193" s="55">
        <f t="shared" si="83"/>
        <v>0</v>
      </c>
      <c r="AO193" s="55">
        <f t="shared" si="84"/>
        <v>0</v>
      </c>
      <c r="AP193" s="24"/>
      <c r="AQ193" s="24"/>
      <c r="AR193" s="24"/>
      <c r="AS193" s="24"/>
      <c r="AT193" s="24"/>
      <c r="AU193" s="24"/>
      <c r="AV193" s="24"/>
      <c r="AW193" s="24"/>
      <c r="AX193" s="24"/>
      <c r="AY193" s="24"/>
    </row>
    <row r="194" spans="7:51">
      <c r="G194" s="12">
        <f t="shared" si="70"/>
        <v>0</v>
      </c>
      <c r="H194" s="12">
        <f t="shared" si="71"/>
        <v>0</v>
      </c>
      <c r="I194" s="12">
        <f t="shared" si="71"/>
        <v>0</v>
      </c>
      <c r="J194" s="12">
        <f t="shared" si="71"/>
        <v>0</v>
      </c>
      <c r="K194" s="12">
        <f t="shared" si="72"/>
        <v>0</v>
      </c>
      <c r="L194" s="12">
        <f t="shared" si="73"/>
        <v>0</v>
      </c>
      <c r="M194" s="12">
        <f t="shared" si="73"/>
        <v>0</v>
      </c>
      <c r="N194" s="12">
        <f t="shared" si="73"/>
        <v>0</v>
      </c>
      <c r="O194" s="12">
        <f t="shared" si="74"/>
        <v>0</v>
      </c>
      <c r="P194" s="12">
        <f t="shared" si="75"/>
        <v>0</v>
      </c>
      <c r="Q194" s="12">
        <f t="shared" si="75"/>
        <v>0</v>
      </c>
      <c r="T194" s="61"/>
      <c r="U194" s="61"/>
      <c r="V194" s="61"/>
      <c r="W194" s="53">
        <f t="shared" si="77"/>
        <v>0</v>
      </c>
      <c r="X194" s="54" t="e">
        <f t="shared" si="78"/>
        <v>#DIV/0!</v>
      </c>
      <c r="Y194" s="25">
        <f t="shared" si="57"/>
        <v>0</v>
      </c>
      <c r="Z194" s="54">
        <f t="shared" si="79"/>
        <v>0</v>
      </c>
      <c r="AA194" s="54">
        <f t="shared" ref="AA194:AK194" si="100">IF($E95+365&lt;$C$56,0,IF($E95&lt;$C$56,(($E95+365-$C$56)/365)*(($C95/$BN$158)+($D95/$BN$159)),IF($E95&gt;AA$167,0,IF($E95+365&lt;AA$167,($C95/$BN$158)+($D95/$BN$159),((AA$167-$E95)/365)*(($C95/$BN$158)+($D95/$BN$159))))))</f>
        <v>0</v>
      </c>
      <c r="AB194" s="54">
        <f t="shared" si="100"/>
        <v>0</v>
      </c>
      <c r="AC194" s="54">
        <f t="shared" si="100"/>
        <v>0</v>
      </c>
      <c r="AD194" s="54">
        <f t="shared" si="100"/>
        <v>0</v>
      </c>
      <c r="AE194" s="54">
        <f t="shared" si="100"/>
        <v>0</v>
      </c>
      <c r="AF194" s="54">
        <f t="shared" si="100"/>
        <v>0</v>
      </c>
      <c r="AG194" s="54">
        <f t="shared" si="100"/>
        <v>0</v>
      </c>
      <c r="AH194" s="54">
        <f t="shared" si="100"/>
        <v>0</v>
      </c>
      <c r="AI194" s="54">
        <f t="shared" si="100"/>
        <v>0</v>
      </c>
      <c r="AJ194" s="54">
        <f t="shared" si="100"/>
        <v>0</v>
      </c>
      <c r="AK194" s="54">
        <f t="shared" si="100"/>
        <v>0</v>
      </c>
      <c r="AL194" s="24">
        <f t="shared" si="81"/>
        <v>0</v>
      </c>
      <c r="AM194" s="24">
        <f t="shared" si="82"/>
        <v>0</v>
      </c>
      <c r="AN194" s="55">
        <f t="shared" si="83"/>
        <v>0</v>
      </c>
      <c r="AO194" s="55">
        <f t="shared" si="84"/>
        <v>0</v>
      </c>
      <c r="AP194" s="24"/>
      <c r="AQ194" s="24"/>
      <c r="AR194" s="24"/>
      <c r="AS194" s="24"/>
      <c r="AT194" s="24"/>
      <c r="AU194" s="24"/>
      <c r="AV194" s="24"/>
      <c r="AW194" s="24"/>
      <c r="AX194" s="24"/>
      <c r="AY194" s="24"/>
    </row>
    <row r="195" spans="7:51">
      <c r="G195" s="12">
        <f t="shared" si="70"/>
        <v>0</v>
      </c>
      <c r="H195" s="12">
        <f t="shared" si="71"/>
        <v>0</v>
      </c>
      <c r="I195" s="12">
        <f t="shared" si="71"/>
        <v>0</v>
      </c>
      <c r="J195" s="12">
        <f t="shared" si="71"/>
        <v>0</v>
      </c>
      <c r="K195" s="12">
        <f t="shared" si="72"/>
        <v>0</v>
      </c>
      <c r="L195" s="12">
        <f t="shared" si="73"/>
        <v>0</v>
      </c>
      <c r="M195" s="12">
        <f t="shared" si="73"/>
        <v>0</v>
      </c>
      <c r="N195" s="12">
        <f t="shared" si="73"/>
        <v>0</v>
      </c>
      <c r="O195" s="12">
        <f t="shared" si="74"/>
        <v>0</v>
      </c>
      <c r="P195" s="12">
        <f t="shared" si="75"/>
        <v>0</v>
      </c>
      <c r="Q195" s="12">
        <f t="shared" si="75"/>
        <v>0</v>
      </c>
      <c r="T195" s="61"/>
      <c r="U195" s="61"/>
      <c r="V195" s="61"/>
      <c r="W195" s="53">
        <f t="shared" si="77"/>
        <v>0</v>
      </c>
      <c r="X195" s="54" t="e">
        <f t="shared" si="78"/>
        <v>#DIV/0!</v>
      </c>
      <c r="Y195" s="25">
        <f t="shared" si="57"/>
        <v>0</v>
      </c>
      <c r="Z195" s="54">
        <f t="shared" si="79"/>
        <v>0</v>
      </c>
      <c r="AA195" s="54">
        <f t="shared" ref="AA195:AK195" si="101">IF($E96+365&lt;$C$56,0,IF($E96&lt;$C$56,(($E96+365-$C$56)/365)*(($C96/$BN$158)+($D96/$BN$159)),IF($E96&gt;AA$167,0,IF($E96+365&lt;AA$167,($C96/$BN$158)+($D96/$BN$159),((AA$167-$E96)/365)*(($C96/$BN$158)+($D96/$BN$159))))))</f>
        <v>0</v>
      </c>
      <c r="AB195" s="54">
        <f t="shared" si="101"/>
        <v>0</v>
      </c>
      <c r="AC195" s="54">
        <f t="shared" si="101"/>
        <v>0</v>
      </c>
      <c r="AD195" s="54">
        <f t="shared" si="101"/>
        <v>0</v>
      </c>
      <c r="AE195" s="54">
        <f t="shared" si="101"/>
        <v>0</v>
      </c>
      <c r="AF195" s="54">
        <f t="shared" si="101"/>
        <v>0</v>
      </c>
      <c r="AG195" s="54">
        <f t="shared" si="101"/>
        <v>0</v>
      </c>
      <c r="AH195" s="54">
        <f t="shared" si="101"/>
        <v>0</v>
      </c>
      <c r="AI195" s="54">
        <f t="shared" si="101"/>
        <v>0</v>
      </c>
      <c r="AJ195" s="54">
        <f t="shared" si="101"/>
        <v>0</v>
      </c>
      <c r="AK195" s="54">
        <f t="shared" si="101"/>
        <v>0</v>
      </c>
      <c r="AL195" s="24">
        <f t="shared" si="81"/>
        <v>0</v>
      </c>
      <c r="AM195" s="24">
        <f t="shared" si="82"/>
        <v>0</v>
      </c>
      <c r="AN195" s="55">
        <f t="shared" si="83"/>
        <v>0</v>
      </c>
      <c r="AO195" s="55">
        <f t="shared" si="84"/>
        <v>0</v>
      </c>
      <c r="AP195" s="24"/>
      <c r="AQ195" s="24"/>
      <c r="AR195" s="24"/>
      <c r="AS195" s="24"/>
      <c r="AT195" s="24"/>
      <c r="AU195" s="24"/>
      <c r="AV195" s="24"/>
      <c r="AW195" s="24"/>
      <c r="AX195" s="24"/>
      <c r="AY195" s="24"/>
    </row>
    <row r="196" spans="7:51">
      <c r="G196" s="12">
        <f t="shared" si="70"/>
        <v>0</v>
      </c>
      <c r="H196" s="12">
        <f t="shared" si="71"/>
        <v>0</v>
      </c>
      <c r="I196" s="12">
        <f t="shared" si="71"/>
        <v>0</v>
      </c>
      <c r="J196" s="12">
        <f t="shared" si="71"/>
        <v>0</v>
      </c>
      <c r="K196" s="12">
        <f t="shared" si="72"/>
        <v>0</v>
      </c>
      <c r="L196" s="12">
        <f t="shared" si="73"/>
        <v>0</v>
      </c>
      <c r="M196" s="12">
        <f t="shared" si="73"/>
        <v>0</v>
      </c>
      <c r="N196" s="12">
        <f t="shared" si="73"/>
        <v>0</v>
      </c>
      <c r="O196" s="12">
        <f t="shared" si="74"/>
        <v>0</v>
      </c>
      <c r="P196" s="12">
        <f t="shared" si="75"/>
        <v>0</v>
      </c>
      <c r="Q196" s="12">
        <f t="shared" si="75"/>
        <v>0</v>
      </c>
      <c r="T196" s="61"/>
      <c r="U196" s="61"/>
      <c r="V196" s="61"/>
      <c r="W196" s="53">
        <f t="shared" si="77"/>
        <v>0</v>
      </c>
      <c r="X196" s="54" t="e">
        <f t="shared" si="78"/>
        <v>#DIV/0!</v>
      </c>
      <c r="Y196" s="25">
        <f t="shared" si="57"/>
        <v>0</v>
      </c>
      <c r="Z196" s="54">
        <f t="shared" si="79"/>
        <v>0</v>
      </c>
      <c r="AA196" s="54">
        <f t="shared" ref="AA196:AK196" si="102">IF($E97+365&lt;$C$56,0,IF($E97&lt;$C$56,(($E97+365-$C$56)/365)*(($C97/$BN$158)+($D97/$BN$159)),IF($E97&gt;AA$167,0,IF($E97+365&lt;AA$167,($C97/$BN$158)+($D97/$BN$159),((AA$167-$E97)/365)*(($C97/$BN$158)+($D97/$BN$159))))))</f>
        <v>0</v>
      </c>
      <c r="AB196" s="54">
        <f t="shared" si="102"/>
        <v>0</v>
      </c>
      <c r="AC196" s="54">
        <f t="shared" si="102"/>
        <v>0</v>
      </c>
      <c r="AD196" s="54">
        <f t="shared" si="102"/>
        <v>0</v>
      </c>
      <c r="AE196" s="54">
        <f t="shared" si="102"/>
        <v>0</v>
      </c>
      <c r="AF196" s="54">
        <f t="shared" si="102"/>
        <v>0</v>
      </c>
      <c r="AG196" s="54">
        <f t="shared" si="102"/>
        <v>0</v>
      </c>
      <c r="AH196" s="54">
        <f t="shared" si="102"/>
        <v>0</v>
      </c>
      <c r="AI196" s="54">
        <f t="shared" si="102"/>
        <v>0</v>
      </c>
      <c r="AJ196" s="54">
        <f t="shared" si="102"/>
        <v>0</v>
      </c>
      <c r="AK196" s="54">
        <f t="shared" si="102"/>
        <v>0</v>
      </c>
      <c r="AL196" s="24">
        <f t="shared" si="81"/>
        <v>0</v>
      </c>
      <c r="AM196" s="24">
        <f t="shared" si="82"/>
        <v>0</v>
      </c>
      <c r="AN196" s="55">
        <f t="shared" si="83"/>
        <v>0</v>
      </c>
      <c r="AO196" s="55">
        <f t="shared" si="84"/>
        <v>0</v>
      </c>
      <c r="AP196" s="24"/>
      <c r="AQ196" s="24"/>
      <c r="AR196" s="24"/>
      <c r="AS196" s="24"/>
      <c r="AT196" s="24"/>
      <c r="AU196" s="24"/>
      <c r="AV196" s="24"/>
      <c r="AW196" s="24"/>
      <c r="AX196" s="24"/>
      <c r="AY196" s="24"/>
    </row>
    <row r="197" spans="7:51">
      <c r="G197" s="12">
        <f t="shared" si="70"/>
        <v>0</v>
      </c>
      <c r="H197" s="12">
        <f t="shared" ref="H197:J210" si="103">IF($E99&gt;H$66,0,IF($E99&lt;H$66-365,$C99,0))</f>
        <v>0</v>
      </c>
      <c r="I197" s="12">
        <f t="shared" si="103"/>
        <v>0</v>
      </c>
      <c r="J197" s="12">
        <f t="shared" si="103"/>
        <v>0</v>
      </c>
      <c r="K197" s="12">
        <f t="shared" si="72"/>
        <v>0</v>
      </c>
      <c r="L197" s="12">
        <f t="shared" ref="L197:N210" si="104">IF($E99&gt;L$66,0,IF($E99&lt;L$66-365,$C99,0))</f>
        <v>0</v>
      </c>
      <c r="M197" s="12">
        <f t="shared" si="104"/>
        <v>0</v>
      </c>
      <c r="N197" s="12">
        <f t="shared" si="104"/>
        <v>0</v>
      </c>
      <c r="O197" s="12">
        <f t="shared" si="74"/>
        <v>0</v>
      </c>
      <c r="P197" s="12">
        <f t="shared" ref="P197:Q210" si="105">IF($E99&gt;P$66,0,IF($E99&lt;P$66-365,$C99,0))</f>
        <v>0</v>
      </c>
      <c r="Q197" s="12">
        <f t="shared" si="105"/>
        <v>0</v>
      </c>
      <c r="T197" s="61"/>
      <c r="U197" s="61"/>
      <c r="V197" s="61"/>
      <c r="W197" s="53">
        <f t="shared" si="77"/>
        <v>0</v>
      </c>
      <c r="X197" s="54" t="e">
        <f t="shared" si="78"/>
        <v>#DIV/0!</v>
      </c>
      <c r="Y197" s="25">
        <f t="shared" si="57"/>
        <v>0</v>
      </c>
      <c r="Z197" s="54">
        <f t="shared" si="79"/>
        <v>0</v>
      </c>
      <c r="AA197" s="54">
        <f t="shared" ref="AA197:AK197" si="106">IF($E98+365&lt;$C$56,0,IF($E98&lt;$C$56,(($E98+365-$C$56)/365)*(($C98/$BN$158)+($D98/$BN$159)),IF($E98&gt;AA$167,0,IF($E98+365&lt;AA$167,($C98/$BN$158)+($D98/$BN$159),((AA$167-$E98)/365)*(($C98/$BN$158)+($D98/$BN$159))))))</f>
        <v>0</v>
      </c>
      <c r="AB197" s="54">
        <f t="shared" si="106"/>
        <v>0</v>
      </c>
      <c r="AC197" s="54">
        <f t="shared" si="106"/>
        <v>0</v>
      </c>
      <c r="AD197" s="54">
        <f t="shared" si="106"/>
        <v>0</v>
      </c>
      <c r="AE197" s="54">
        <f t="shared" si="106"/>
        <v>0</v>
      </c>
      <c r="AF197" s="54">
        <f t="shared" si="106"/>
        <v>0</v>
      </c>
      <c r="AG197" s="54">
        <f t="shared" si="106"/>
        <v>0</v>
      </c>
      <c r="AH197" s="54">
        <f t="shared" si="106"/>
        <v>0</v>
      </c>
      <c r="AI197" s="54">
        <f t="shared" si="106"/>
        <v>0</v>
      </c>
      <c r="AJ197" s="54">
        <f t="shared" si="106"/>
        <v>0</v>
      </c>
      <c r="AK197" s="54">
        <f t="shared" si="106"/>
        <v>0</v>
      </c>
      <c r="AL197" s="24">
        <f t="shared" si="81"/>
        <v>0</v>
      </c>
      <c r="AM197" s="24">
        <f t="shared" si="82"/>
        <v>0</v>
      </c>
      <c r="AN197" s="55">
        <f t="shared" si="83"/>
        <v>0</v>
      </c>
      <c r="AO197" s="55">
        <f t="shared" si="84"/>
        <v>0</v>
      </c>
      <c r="AP197" s="24"/>
      <c r="AQ197" s="24"/>
      <c r="AR197" s="24"/>
      <c r="AS197" s="24"/>
      <c r="AT197" s="24"/>
      <c r="AU197" s="24"/>
      <c r="AV197" s="24"/>
      <c r="AW197" s="24"/>
      <c r="AX197" s="24"/>
      <c r="AY197" s="24"/>
    </row>
    <row r="198" spans="7:51">
      <c r="G198" s="12">
        <f t="shared" si="70"/>
        <v>0</v>
      </c>
      <c r="H198" s="12">
        <f t="shared" si="103"/>
        <v>0</v>
      </c>
      <c r="I198" s="12">
        <f t="shared" si="103"/>
        <v>0</v>
      </c>
      <c r="J198" s="12">
        <f t="shared" si="103"/>
        <v>0</v>
      </c>
      <c r="K198" s="12">
        <f t="shared" si="72"/>
        <v>0</v>
      </c>
      <c r="L198" s="12">
        <f t="shared" si="104"/>
        <v>0</v>
      </c>
      <c r="M198" s="12">
        <f t="shared" si="104"/>
        <v>0</v>
      </c>
      <c r="N198" s="12">
        <f t="shared" si="104"/>
        <v>0</v>
      </c>
      <c r="O198" s="12">
        <f t="shared" si="74"/>
        <v>0</v>
      </c>
      <c r="P198" s="12">
        <f t="shared" si="105"/>
        <v>0</v>
      </c>
      <c r="Q198" s="12">
        <f t="shared" si="105"/>
        <v>0</v>
      </c>
      <c r="T198" s="61"/>
      <c r="U198" s="61"/>
      <c r="V198" s="61"/>
      <c r="W198" s="53">
        <f t="shared" si="77"/>
        <v>0</v>
      </c>
      <c r="X198" s="54" t="e">
        <f t="shared" si="78"/>
        <v>#DIV/0!</v>
      </c>
      <c r="Y198" s="25">
        <f t="shared" si="57"/>
        <v>0</v>
      </c>
      <c r="Z198" s="54">
        <f t="shared" si="79"/>
        <v>0</v>
      </c>
      <c r="AA198" s="54">
        <f t="shared" ref="AA198:AK198" si="107">IF($E99+365&lt;$C$56,0,IF($E99&lt;$C$56,(($E99+365-$C$56)/365)*(($C99/$BN$158)+($D99/$BN$159)),IF($E99&gt;AA$167,0,IF($E99+365&lt;AA$167,($C99/$BN$158)+($D99/$BN$159),((AA$167-$E99)/365)*(($C99/$BN$158)+($D99/$BN$159))))))</f>
        <v>0</v>
      </c>
      <c r="AB198" s="54">
        <f t="shared" si="107"/>
        <v>0</v>
      </c>
      <c r="AC198" s="54">
        <f t="shared" si="107"/>
        <v>0</v>
      </c>
      <c r="AD198" s="54">
        <f t="shared" si="107"/>
        <v>0</v>
      </c>
      <c r="AE198" s="54">
        <f t="shared" si="107"/>
        <v>0</v>
      </c>
      <c r="AF198" s="54">
        <f t="shared" si="107"/>
        <v>0</v>
      </c>
      <c r="AG198" s="54">
        <f t="shared" si="107"/>
        <v>0</v>
      </c>
      <c r="AH198" s="54">
        <f t="shared" si="107"/>
        <v>0</v>
      </c>
      <c r="AI198" s="54">
        <f t="shared" si="107"/>
        <v>0</v>
      </c>
      <c r="AJ198" s="54">
        <f t="shared" si="107"/>
        <v>0</v>
      </c>
      <c r="AK198" s="54">
        <f t="shared" si="107"/>
        <v>0</v>
      </c>
      <c r="AL198" s="24">
        <f t="shared" si="81"/>
        <v>0</v>
      </c>
      <c r="AM198" s="24">
        <f t="shared" si="82"/>
        <v>0</v>
      </c>
      <c r="AN198" s="55">
        <f t="shared" si="83"/>
        <v>0</v>
      </c>
      <c r="AO198" s="55">
        <f t="shared" si="84"/>
        <v>0</v>
      </c>
      <c r="AP198" s="24"/>
      <c r="AQ198" s="24"/>
      <c r="AR198" s="24"/>
      <c r="AS198" s="24"/>
      <c r="AT198" s="24"/>
      <c r="AU198" s="24"/>
      <c r="AV198" s="24"/>
      <c r="AW198" s="24"/>
      <c r="AX198" s="24"/>
      <c r="AY198" s="24"/>
    </row>
    <row r="199" spans="7:51">
      <c r="G199" s="12">
        <f t="shared" si="70"/>
        <v>0</v>
      </c>
      <c r="H199" s="12">
        <f t="shared" si="103"/>
        <v>0</v>
      </c>
      <c r="I199" s="12">
        <f t="shared" si="103"/>
        <v>0</v>
      </c>
      <c r="J199" s="12">
        <f t="shared" si="103"/>
        <v>0</v>
      </c>
      <c r="K199" s="12">
        <f t="shared" si="72"/>
        <v>0</v>
      </c>
      <c r="L199" s="12">
        <f t="shared" si="104"/>
        <v>0</v>
      </c>
      <c r="M199" s="12">
        <f t="shared" si="104"/>
        <v>0</v>
      </c>
      <c r="N199" s="12">
        <f t="shared" si="104"/>
        <v>0</v>
      </c>
      <c r="O199" s="12">
        <f t="shared" si="74"/>
        <v>0</v>
      </c>
      <c r="P199" s="12">
        <f t="shared" si="105"/>
        <v>0</v>
      </c>
      <c r="Q199" s="12">
        <f t="shared" si="105"/>
        <v>0</v>
      </c>
      <c r="T199" s="61"/>
      <c r="U199" s="61"/>
      <c r="V199" s="61"/>
      <c r="W199" s="53">
        <f t="shared" si="77"/>
        <v>0</v>
      </c>
      <c r="X199" s="54" t="e">
        <f t="shared" si="78"/>
        <v>#DIV/0!</v>
      </c>
      <c r="Y199" s="25">
        <f t="shared" si="57"/>
        <v>0</v>
      </c>
      <c r="Z199" s="54">
        <f t="shared" si="79"/>
        <v>0</v>
      </c>
      <c r="AA199" s="54">
        <f t="shared" ref="AA199:AK199" si="108">IF($E100+365&lt;$C$56,0,IF($E100&lt;$C$56,(($E100+365-$C$56)/365)*(($C100/$BN$158)+($D100/$BN$159)),IF($E100&gt;AA$167,0,IF($E100+365&lt;AA$167,($C100/$BN$158)+($D100/$BN$159),((AA$167-$E100)/365)*(($C100/$BN$158)+($D100/$BN$159))))))</f>
        <v>0</v>
      </c>
      <c r="AB199" s="54">
        <f t="shared" si="108"/>
        <v>0</v>
      </c>
      <c r="AC199" s="54">
        <f t="shared" si="108"/>
        <v>0</v>
      </c>
      <c r="AD199" s="54">
        <f t="shared" si="108"/>
        <v>0</v>
      </c>
      <c r="AE199" s="54">
        <f t="shared" si="108"/>
        <v>0</v>
      </c>
      <c r="AF199" s="54">
        <f t="shared" si="108"/>
        <v>0</v>
      </c>
      <c r="AG199" s="54">
        <f t="shared" si="108"/>
        <v>0</v>
      </c>
      <c r="AH199" s="54">
        <f t="shared" si="108"/>
        <v>0</v>
      </c>
      <c r="AI199" s="54">
        <f t="shared" si="108"/>
        <v>0</v>
      </c>
      <c r="AJ199" s="54">
        <f t="shared" si="108"/>
        <v>0</v>
      </c>
      <c r="AK199" s="54">
        <f t="shared" si="108"/>
        <v>0</v>
      </c>
      <c r="AL199" s="24">
        <f t="shared" si="81"/>
        <v>0</v>
      </c>
      <c r="AM199" s="24">
        <f t="shared" si="82"/>
        <v>0</v>
      </c>
      <c r="AN199" s="55">
        <f t="shared" si="83"/>
        <v>0</v>
      </c>
      <c r="AO199" s="55">
        <f t="shared" si="84"/>
        <v>0</v>
      </c>
      <c r="AP199" s="24"/>
      <c r="AQ199" s="24"/>
      <c r="AR199" s="24"/>
      <c r="AS199" s="24"/>
      <c r="AT199" s="24"/>
      <c r="AU199" s="24"/>
      <c r="AV199" s="24"/>
      <c r="AW199" s="24"/>
      <c r="AX199" s="24"/>
      <c r="AY199" s="24"/>
    </row>
    <row r="200" spans="7:51">
      <c r="G200" s="12">
        <f t="shared" si="70"/>
        <v>0</v>
      </c>
      <c r="H200" s="12">
        <f t="shared" si="103"/>
        <v>0</v>
      </c>
      <c r="I200" s="12">
        <f t="shared" si="103"/>
        <v>0</v>
      </c>
      <c r="J200" s="12">
        <f t="shared" si="103"/>
        <v>0</v>
      </c>
      <c r="K200" s="12">
        <f t="shared" si="72"/>
        <v>0</v>
      </c>
      <c r="L200" s="12">
        <f t="shared" si="104"/>
        <v>0</v>
      </c>
      <c r="M200" s="12">
        <f t="shared" si="104"/>
        <v>0</v>
      </c>
      <c r="N200" s="12">
        <f t="shared" si="104"/>
        <v>0</v>
      </c>
      <c r="O200" s="12">
        <f t="shared" si="74"/>
        <v>0</v>
      </c>
      <c r="P200" s="12">
        <f t="shared" si="105"/>
        <v>0</v>
      </c>
      <c r="Q200" s="12">
        <f t="shared" si="105"/>
        <v>0</v>
      </c>
      <c r="T200" s="61"/>
      <c r="U200" s="61"/>
      <c r="V200" s="61"/>
      <c r="W200" s="53">
        <f t="shared" si="77"/>
        <v>0</v>
      </c>
      <c r="X200" s="54" t="e">
        <f t="shared" si="78"/>
        <v>#DIV/0!</v>
      </c>
      <c r="Y200" s="25">
        <f t="shared" si="57"/>
        <v>0</v>
      </c>
      <c r="Z200" s="54">
        <f t="shared" si="79"/>
        <v>0</v>
      </c>
      <c r="AA200" s="54">
        <f t="shared" ref="AA200:AK200" si="109">IF($E101+365&lt;$C$56,0,IF($E101&lt;$C$56,(($E101+365-$C$56)/365)*(($C101/$BN$158)+($D101/$BN$159)),IF($E101&gt;AA$167,0,IF($E101+365&lt;AA$167,($C101/$BN$158)+($D101/$BN$159),((AA$167-$E101)/365)*(($C101/$BN$158)+($D101/$BN$159))))))</f>
        <v>0</v>
      </c>
      <c r="AB200" s="54">
        <f t="shared" si="109"/>
        <v>0</v>
      </c>
      <c r="AC200" s="54">
        <f t="shared" si="109"/>
        <v>0</v>
      </c>
      <c r="AD200" s="54">
        <f t="shared" si="109"/>
        <v>0</v>
      </c>
      <c r="AE200" s="54">
        <f t="shared" si="109"/>
        <v>0</v>
      </c>
      <c r="AF200" s="54">
        <f t="shared" si="109"/>
        <v>0</v>
      </c>
      <c r="AG200" s="54">
        <f t="shared" si="109"/>
        <v>0</v>
      </c>
      <c r="AH200" s="54">
        <f t="shared" si="109"/>
        <v>0</v>
      </c>
      <c r="AI200" s="54">
        <f t="shared" si="109"/>
        <v>0</v>
      </c>
      <c r="AJ200" s="54">
        <f t="shared" si="109"/>
        <v>0</v>
      </c>
      <c r="AK200" s="54">
        <f t="shared" si="109"/>
        <v>0</v>
      </c>
      <c r="AL200" s="24">
        <f t="shared" si="81"/>
        <v>0</v>
      </c>
      <c r="AM200" s="24">
        <f t="shared" si="82"/>
        <v>0</v>
      </c>
      <c r="AN200" s="55">
        <f t="shared" si="83"/>
        <v>0</v>
      </c>
      <c r="AO200" s="55">
        <f t="shared" si="84"/>
        <v>0</v>
      </c>
      <c r="AP200" s="24"/>
      <c r="AQ200" s="24"/>
      <c r="AR200" s="24"/>
      <c r="AS200" s="24"/>
      <c r="AT200" s="24"/>
      <c r="AU200" s="24"/>
      <c r="AV200" s="24"/>
      <c r="AW200" s="24"/>
      <c r="AX200" s="24"/>
      <c r="AY200" s="24"/>
    </row>
    <row r="201" spans="7:51">
      <c r="G201" s="12">
        <f t="shared" si="70"/>
        <v>0</v>
      </c>
      <c r="H201" s="12">
        <f t="shared" si="103"/>
        <v>0</v>
      </c>
      <c r="I201" s="12">
        <f t="shared" si="103"/>
        <v>0</v>
      </c>
      <c r="J201" s="12">
        <f t="shared" si="103"/>
        <v>0</v>
      </c>
      <c r="K201" s="12">
        <f t="shared" si="72"/>
        <v>0</v>
      </c>
      <c r="L201" s="12">
        <f t="shared" si="104"/>
        <v>0</v>
      </c>
      <c r="M201" s="12">
        <f t="shared" si="104"/>
        <v>0</v>
      </c>
      <c r="N201" s="12">
        <f t="shared" si="104"/>
        <v>0</v>
      </c>
      <c r="O201" s="12">
        <f t="shared" si="74"/>
        <v>0</v>
      </c>
      <c r="P201" s="12">
        <f t="shared" si="105"/>
        <v>0</v>
      </c>
      <c r="Q201" s="12">
        <f t="shared" si="105"/>
        <v>0</v>
      </c>
      <c r="T201" s="61"/>
      <c r="U201" s="61"/>
      <c r="V201" s="61"/>
      <c r="W201" s="53">
        <f t="shared" si="77"/>
        <v>0</v>
      </c>
      <c r="X201" s="54" t="e">
        <f t="shared" si="78"/>
        <v>#DIV/0!</v>
      </c>
      <c r="Y201" s="25">
        <f t="shared" si="57"/>
        <v>0</v>
      </c>
      <c r="Z201" s="54">
        <f t="shared" si="79"/>
        <v>0</v>
      </c>
      <c r="AA201" s="54">
        <f t="shared" ref="AA201:AK201" si="110">IF($E102+365&lt;$C$56,0,IF($E102&lt;$C$56,(($E102+365-$C$56)/365)*(($C102/$BN$158)+($D102/$BN$159)),IF($E102&gt;AA$167,0,IF($E102+365&lt;AA$167,($C102/$BN$158)+($D102/$BN$159),((AA$167-$E102)/365)*(($C102/$BN$158)+($D102/$BN$159))))))</f>
        <v>0</v>
      </c>
      <c r="AB201" s="54">
        <f t="shared" si="110"/>
        <v>0</v>
      </c>
      <c r="AC201" s="54">
        <f t="shared" si="110"/>
        <v>0</v>
      </c>
      <c r="AD201" s="54">
        <f t="shared" si="110"/>
        <v>0</v>
      </c>
      <c r="AE201" s="54">
        <f t="shared" si="110"/>
        <v>0</v>
      </c>
      <c r="AF201" s="54">
        <f t="shared" si="110"/>
        <v>0</v>
      </c>
      <c r="AG201" s="54">
        <f t="shared" si="110"/>
        <v>0</v>
      </c>
      <c r="AH201" s="54">
        <f t="shared" si="110"/>
        <v>0</v>
      </c>
      <c r="AI201" s="54">
        <f t="shared" si="110"/>
        <v>0</v>
      </c>
      <c r="AJ201" s="54">
        <f t="shared" si="110"/>
        <v>0</v>
      </c>
      <c r="AK201" s="54">
        <f t="shared" si="110"/>
        <v>0</v>
      </c>
      <c r="AL201" s="24">
        <f t="shared" si="81"/>
        <v>0</v>
      </c>
      <c r="AM201" s="24">
        <f t="shared" si="82"/>
        <v>0</v>
      </c>
      <c r="AN201" s="55">
        <f t="shared" si="83"/>
        <v>0</v>
      </c>
      <c r="AO201" s="55">
        <f t="shared" si="84"/>
        <v>0</v>
      </c>
      <c r="AP201" s="24"/>
      <c r="AQ201" s="24"/>
      <c r="AR201" s="24"/>
      <c r="AS201" s="24"/>
      <c r="AT201" s="24"/>
      <c r="AU201" s="24"/>
      <c r="AV201" s="24"/>
      <c r="AW201" s="24"/>
      <c r="AX201" s="24"/>
      <c r="AY201" s="24"/>
    </row>
    <row r="202" spans="7:51">
      <c r="G202" s="12">
        <f t="shared" si="70"/>
        <v>0</v>
      </c>
      <c r="H202" s="12">
        <f t="shared" si="103"/>
        <v>0</v>
      </c>
      <c r="I202" s="12">
        <f t="shared" si="103"/>
        <v>0</v>
      </c>
      <c r="J202" s="12">
        <f t="shared" si="103"/>
        <v>0</v>
      </c>
      <c r="K202" s="12">
        <f t="shared" si="72"/>
        <v>0</v>
      </c>
      <c r="L202" s="12">
        <f t="shared" si="104"/>
        <v>0</v>
      </c>
      <c r="M202" s="12">
        <f t="shared" si="104"/>
        <v>0</v>
      </c>
      <c r="N202" s="12">
        <f t="shared" si="104"/>
        <v>0</v>
      </c>
      <c r="O202" s="12">
        <f t="shared" si="74"/>
        <v>0</v>
      </c>
      <c r="P202" s="12">
        <f t="shared" si="105"/>
        <v>0</v>
      </c>
      <c r="Q202" s="12">
        <f t="shared" si="105"/>
        <v>0</v>
      </c>
      <c r="T202" s="61"/>
      <c r="U202" s="61"/>
      <c r="V202" s="61"/>
      <c r="W202" s="53">
        <f t="shared" si="77"/>
        <v>0</v>
      </c>
      <c r="X202" s="54" t="e">
        <f t="shared" si="78"/>
        <v>#DIV/0!</v>
      </c>
      <c r="Y202" s="25">
        <f t="shared" si="57"/>
        <v>0</v>
      </c>
      <c r="Z202" s="54">
        <f t="shared" si="79"/>
        <v>0</v>
      </c>
      <c r="AA202" s="54">
        <f t="shared" ref="AA202:AK202" si="111">IF($E103+365&lt;$C$56,0,IF($E103&lt;$C$56,(($E103+365-$C$56)/365)*(($C103/$BN$158)+($D103/$BN$159)),IF($E103&gt;AA$167,0,IF($E103+365&lt;AA$167,($C103/$BN$158)+($D103/$BN$159),((AA$167-$E103)/365)*(($C103/$BN$158)+($D103/$BN$159))))))</f>
        <v>0</v>
      </c>
      <c r="AB202" s="54">
        <f t="shared" si="111"/>
        <v>0</v>
      </c>
      <c r="AC202" s="54">
        <f t="shared" si="111"/>
        <v>0</v>
      </c>
      <c r="AD202" s="54">
        <f t="shared" si="111"/>
        <v>0</v>
      </c>
      <c r="AE202" s="54">
        <f t="shared" si="111"/>
        <v>0</v>
      </c>
      <c r="AF202" s="54">
        <f t="shared" si="111"/>
        <v>0</v>
      </c>
      <c r="AG202" s="54">
        <f t="shared" si="111"/>
        <v>0</v>
      </c>
      <c r="AH202" s="54">
        <f t="shared" si="111"/>
        <v>0</v>
      </c>
      <c r="AI202" s="54">
        <f t="shared" si="111"/>
        <v>0</v>
      </c>
      <c r="AJ202" s="54">
        <f t="shared" si="111"/>
        <v>0</v>
      </c>
      <c r="AK202" s="54">
        <f t="shared" si="111"/>
        <v>0</v>
      </c>
      <c r="AL202" s="24">
        <f t="shared" si="81"/>
        <v>0</v>
      </c>
      <c r="AM202" s="24">
        <f t="shared" si="82"/>
        <v>0</v>
      </c>
      <c r="AN202" s="55">
        <f t="shared" si="83"/>
        <v>0</v>
      </c>
      <c r="AO202" s="55">
        <f t="shared" si="84"/>
        <v>0</v>
      </c>
      <c r="AP202" s="24"/>
      <c r="AQ202" s="24"/>
      <c r="AR202" s="24"/>
      <c r="AS202" s="24"/>
      <c r="AT202" s="24"/>
      <c r="AU202" s="24"/>
      <c r="AV202" s="24"/>
      <c r="AW202" s="24"/>
      <c r="AX202" s="24"/>
      <c r="AY202" s="24"/>
    </row>
    <row r="203" spans="7:51">
      <c r="G203" s="12">
        <f t="shared" si="70"/>
        <v>0</v>
      </c>
      <c r="H203" s="12">
        <f t="shared" si="103"/>
        <v>0</v>
      </c>
      <c r="I203" s="12">
        <f t="shared" si="103"/>
        <v>0</v>
      </c>
      <c r="J203" s="12">
        <f t="shared" si="103"/>
        <v>0</v>
      </c>
      <c r="K203" s="12">
        <f t="shared" si="72"/>
        <v>0</v>
      </c>
      <c r="L203" s="12">
        <f t="shared" si="104"/>
        <v>0</v>
      </c>
      <c r="M203" s="12">
        <f t="shared" si="104"/>
        <v>0</v>
      </c>
      <c r="N203" s="12">
        <f t="shared" si="104"/>
        <v>0</v>
      </c>
      <c r="O203" s="12">
        <f t="shared" si="74"/>
        <v>0</v>
      </c>
      <c r="P203" s="12">
        <f t="shared" si="105"/>
        <v>0</v>
      </c>
      <c r="Q203" s="12">
        <f t="shared" si="105"/>
        <v>0</v>
      </c>
      <c r="T203" s="61"/>
      <c r="U203" s="61"/>
      <c r="V203" s="61"/>
      <c r="W203" s="53">
        <f t="shared" si="77"/>
        <v>0</v>
      </c>
      <c r="X203" s="54" t="e">
        <f t="shared" si="78"/>
        <v>#DIV/0!</v>
      </c>
      <c r="Y203" s="25">
        <f t="shared" si="57"/>
        <v>0</v>
      </c>
      <c r="Z203" s="54">
        <f t="shared" si="79"/>
        <v>0</v>
      </c>
      <c r="AA203" s="54">
        <f t="shared" ref="AA203:AK203" si="112">IF($E104+365&lt;$C$56,0,IF($E104&lt;$C$56,(($E104+365-$C$56)/365)*(($C104/$BN$158)+($D104/$BN$159)),IF($E104&gt;AA$167,0,IF($E104+365&lt;AA$167,($C104/$BN$158)+($D104/$BN$159),((AA$167-$E104)/365)*(($C104/$BN$158)+($D104/$BN$159))))))</f>
        <v>0</v>
      </c>
      <c r="AB203" s="54">
        <f t="shared" si="112"/>
        <v>0</v>
      </c>
      <c r="AC203" s="54">
        <f t="shared" si="112"/>
        <v>0</v>
      </c>
      <c r="AD203" s="54">
        <f t="shared" si="112"/>
        <v>0</v>
      </c>
      <c r="AE203" s="54">
        <f t="shared" si="112"/>
        <v>0</v>
      </c>
      <c r="AF203" s="54">
        <f t="shared" si="112"/>
        <v>0</v>
      </c>
      <c r="AG203" s="54">
        <f t="shared" si="112"/>
        <v>0</v>
      </c>
      <c r="AH203" s="54">
        <f t="shared" si="112"/>
        <v>0</v>
      </c>
      <c r="AI203" s="54">
        <f t="shared" si="112"/>
        <v>0</v>
      </c>
      <c r="AJ203" s="54">
        <f t="shared" si="112"/>
        <v>0</v>
      </c>
      <c r="AK203" s="54">
        <f t="shared" si="112"/>
        <v>0</v>
      </c>
      <c r="AL203" s="24">
        <f t="shared" si="81"/>
        <v>0</v>
      </c>
      <c r="AM203" s="24">
        <f t="shared" si="82"/>
        <v>0</v>
      </c>
      <c r="AN203" s="55">
        <f t="shared" si="83"/>
        <v>0</v>
      </c>
      <c r="AO203" s="55">
        <f t="shared" si="84"/>
        <v>0</v>
      </c>
      <c r="AP203" s="24"/>
      <c r="AQ203" s="24"/>
      <c r="AR203" s="24"/>
      <c r="AS203" s="24"/>
      <c r="AT203" s="24"/>
      <c r="AU203" s="24"/>
      <c r="AV203" s="24"/>
      <c r="AW203" s="24"/>
      <c r="AX203" s="24"/>
      <c r="AY203" s="24"/>
    </row>
    <row r="204" spans="7:51">
      <c r="G204" s="12">
        <f t="shared" si="70"/>
        <v>0</v>
      </c>
      <c r="H204" s="12">
        <f t="shared" si="103"/>
        <v>0</v>
      </c>
      <c r="I204" s="12">
        <f t="shared" si="103"/>
        <v>0</v>
      </c>
      <c r="J204" s="12">
        <f t="shared" si="103"/>
        <v>0</v>
      </c>
      <c r="K204" s="12">
        <f t="shared" si="72"/>
        <v>0</v>
      </c>
      <c r="L204" s="12">
        <f t="shared" si="104"/>
        <v>0</v>
      </c>
      <c r="M204" s="12">
        <f t="shared" si="104"/>
        <v>0</v>
      </c>
      <c r="N204" s="12">
        <f t="shared" si="104"/>
        <v>0</v>
      </c>
      <c r="O204" s="12">
        <f t="shared" si="74"/>
        <v>0</v>
      </c>
      <c r="P204" s="12">
        <f t="shared" si="105"/>
        <v>0</v>
      </c>
      <c r="Q204" s="12">
        <f t="shared" si="105"/>
        <v>0</v>
      </c>
      <c r="T204" s="61"/>
      <c r="U204" s="61"/>
      <c r="V204" s="61"/>
      <c r="W204" s="53">
        <f t="shared" si="77"/>
        <v>0</v>
      </c>
      <c r="X204" s="54" t="e">
        <f t="shared" si="78"/>
        <v>#DIV/0!</v>
      </c>
      <c r="Y204" s="25">
        <f t="shared" si="57"/>
        <v>0</v>
      </c>
      <c r="Z204" s="54">
        <f t="shared" si="79"/>
        <v>0</v>
      </c>
      <c r="AA204" s="54">
        <f t="shared" ref="AA204:AK204" si="113">IF($E105+365&lt;$C$56,0,IF($E105&lt;$C$56,(($E105+365-$C$56)/365)*(($C105/$BN$158)+($D105/$BN$159)),IF($E105&gt;AA$167,0,IF($E105+365&lt;AA$167,($C105/$BN$158)+($D105/$BN$159),((AA$167-$E105)/365)*(($C105/$BN$158)+($D105/$BN$159))))))</f>
        <v>0</v>
      </c>
      <c r="AB204" s="54">
        <f t="shared" si="113"/>
        <v>0</v>
      </c>
      <c r="AC204" s="54">
        <f t="shared" si="113"/>
        <v>0</v>
      </c>
      <c r="AD204" s="54">
        <f t="shared" si="113"/>
        <v>0</v>
      </c>
      <c r="AE204" s="54">
        <f t="shared" si="113"/>
        <v>0</v>
      </c>
      <c r="AF204" s="54">
        <f t="shared" si="113"/>
        <v>0</v>
      </c>
      <c r="AG204" s="54">
        <f t="shared" si="113"/>
        <v>0</v>
      </c>
      <c r="AH204" s="54">
        <f t="shared" si="113"/>
        <v>0</v>
      </c>
      <c r="AI204" s="54">
        <f t="shared" si="113"/>
        <v>0</v>
      </c>
      <c r="AJ204" s="54">
        <f t="shared" si="113"/>
        <v>0</v>
      </c>
      <c r="AK204" s="54">
        <f t="shared" si="113"/>
        <v>0</v>
      </c>
      <c r="AL204" s="24">
        <f t="shared" si="81"/>
        <v>0</v>
      </c>
      <c r="AM204" s="24">
        <f t="shared" si="82"/>
        <v>0</v>
      </c>
      <c r="AN204" s="55">
        <f t="shared" si="83"/>
        <v>0</v>
      </c>
      <c r="AO204" s="55">
        <f t="shared" si="84"/>
        <v>0</v>
      </c>
      <c r="AP204" s="24"/>
      <c r="AQ204" s="24"/>
      <c r="AR204" s="24"/>
      <c r="AS204" s="24"/>
      <c r="AT204" s="24"/>
      <c r="AU204" s="24"/>
      <c r="AV204" s="24"/>
      <c r="AW204" s="24"/>
      <c r="AX204" s="24"/>
      <c r="AY204" s="24"/>
    </row>
    <row r="205" spans="7:51">
      <c r="G205" s="12">
        <f t="shared" si="70"/>
        <v>0</v>
      </c>
      <c r="H205" s="12">
        <f t="shared" si="103"/>
        <v>0</v>
      </c>
      <c r="I205" s="12">
        <f t="shared" si="103"/>
        <v>0</v>
      </c>
      <c r="J205" s="12">
        <f t="shared" si="103"/>
        <v>0</v>
      </c>
      <c r="K205" s="12">
        <f t="shared" si="72"/>
        <v>0</v>
      </c>
      <c r="L205" s="12">
        <f t="shared" si="104"/>
        <v>0</v>
      </c>
      <c r="M205" s="12">
        <f t="shared" si="104"/>
        <v>0</v>
      </c>
      <c r="N205" s="12">
        <f t="shared" si="104"/>
        <v>0</v>
      </c>
      <c r="O205" s="12">
        <f t="shared" si="74"/>
        <v>0</v>
      </c>
      <c r="P205" s="12">
        <f t="shared" si="105"/>
        <v>0</v>
      </c>
      <c r="Q205" s="12">
        <f t="shared" si="105"/>
        <v>0</v>
      </c>
      <c r="T205" s="61"/>
      <c r="U205" s="61"/>
      <c r="V205" s="61"/>
      <c r="W205" s="53">
        <f t="shared" si="77"/>
        <v>0</v>
      </c>
      <c r="X205" s="54" t="e">
        <f t="shared" si="78"/>
        <v>#DIV/0!</v>
      </c>
      <c r="Y205" s="25">
        <f t="shared" si="57"/>
        <v>0</v>
      </c>
      <c r="Z205" s="54">
        <f t="shared" si="79"/>
        <v>0</v>
      </c>
      <c r="AA205" s="54">
        <f t="shared" ref="AA205:AK205" si="114">IF($E106+365&lt;$C$56,0,IF($E106&lt;$C$56,(($E106+365-$C$56)/365)*(($C106/$BN$158)+($D106/$BN$159)),IF($E106&gt;AA$167,0,IF($E106+365&lt;AA$167,($C106/$BN$158)+($D106/$BN$159),((AA$167-$E106)/365)*(($C106/$BN$158)+($D106/$BN$159))))))</f>
        <v>0</v>
      </c>
      <c r="AB205" s="54">
        <f t="shared" si="114"/>
        <v>0</v>
      </c>
      <c r="AC205" s="54">
        <f t="shared" si="114"/>
        <v>0</v>
      </c>
      <c r="AD205" s="54">
        <f t="shared" si="114"/>
        <v>0</v>
      </c>
      <c r="AE205" s="54">
        <f t="shared" si="114"/>
        <v>0</v>
      </c>
      <c r="AF205" s="54">
        <f t="shared" si="114"/>
        <v>0</v>
      </c>
      <c r="AG205" s="54">
        <f t="shared" si="114"/>
        <v>0</v>
      </c>
      <c r="AH205" s="54">
        <f t="shared" si="114"/>
        <v>0</v>
      </c>
      <c r="AI205" s="54">
        <f t="shared" si="114"/>
        <v>0</v>
      </c>
      <c r="AJ205" s="54">
        <f t="shared" si="114"/>
        <v>0</v>
      </c>
      <c r="AK205" s="54">
        <f t="shared" si="114"/>
        <v>0</v>
      </c>
      <c r="AL205" s="24">
        <f t="shared" si="81"/>
        <v>0</v>
      </c>
      <c r="AM205" s="24">
        <f t="shared" si="82"/>
        <v>0</v>
      </c>
      <c r="AN205" s="55">
        <f t="shared" si="83"/>
        <v>0</v>
      </c>
      <c r="AO205" s="55">
        <f t="shared" si="84"/>
        <v>0</v>
      </c>
      <c r="AP205" s="24"/>
      <c r="AQ205" s="24"/>
      <c r="AR205" s="24"/>
      <c r="AS205" s="24"/>
      <c r="AT205" s="24"/>
      <c r="AU205" s="24"/>
      <c r="AV205" s="24"/>
      <c r="AW205" s="24"/>
      <c r="AX205" s="24"/>
      <c r="AY205" s="24"/>
    </row>
    <row r="206" spans="7:51">
      <c r="G206" s="12">
        <f t="shared" si="70"/>
        <v>0</v>
      </c>
      <c r="H206" s="12">
        <f t="shared" si="103"/>
        <v>0</v>
      </c>
      <c r="I206" s="12">
        <f t="shared" si="103"/>
        <v>0</v>
      </c>
      <c r="J206" s="12">
        <f t="shared" si="103"/>
        <v>0</v>
      </c>
      <c r="K206" s="12">
        <f t="shared" si="72"/>
        <v>0</v>
      </c>
      <c r="L206" s="12">
        <f t="shared" si="104"/>
        <v>0</v>
      </c>
      <c r="M206" s="12">
        <f t="shared" si="104"/>
        <v>0</v>
      </c>
      <c r="N206" s="12">
        <f t="shared" si="104"/>
        <v>0</v>
      </c>
      <c r="O206" s="12">
        <f t="shared" si="74"/>
        <v>0</v>
      </c>
      <c r="P206" s="12">
        <f t="shared" si="105"/>
        <v>0</v>
      </c>
      <c r="Q206" s="12">
        <f t="shared" si="105"/>
        <v>0</v>
      </c>
      <c r="T206" s="61"/>
      <c r="U206" s="61"/>
      <c r="V206" s="61"/>
      <c r="W206" s="53">
        <f t="shared" si="77"/>
        <v>0</v>
      </c>
      <c r="X206" s="54" t="e">
        <f t="shared" si="78"/>
        <v>#DIV/0!</v>
      </c>
      <c r="Y206" s="25">
        <f t="shared" si="57"/>
        <v>0</v>
      </c>
      <c r="Z206" s="54">
        <f t="shared" si="79"/>
        <v>0</v>
      </c>
      <c r="AA206" s="54">
        <f t="shared" ref="AA206:AK206" si="115">IF($E107+365&lt;$C$56,0,IF($E107&lt;$C$56,(($E107+365-$C$56)/365)*(($C107/$BN$158)+($D107/$BN$159)),IF($E107&gt;AA$167,0,IF($E107+365&lt;AA$167,($C107/$BN$158)+($D107/$BN$159),((AA$167-$E107)/365)*(($C107/$BN$158)+($D107/$BN$159))))))</f>
        <v>0</v>
      </c>
      <c r="AB206" s="54">
        <f t="shared" si="115"/>
        <v>0</v>
      </c>
      <c r="AC206" s="54">
        <f t="shared" si="115"/>
        <v>0</v>
      </c>
      <c r="AD206" s="54">
        <f t="shared" si="115"/>
        <v>0</v>
      </c>
      <c r="AE206" s="54">
        <f t="shared" si="115"/>
        <v>0</v>
      </c>
      <c r="AF206" s="54">
        <f t="shared" si="115"/>
        <v>0</v>
      </c>
      <c r="AG206" s="54">
        <f t="shared" si="115"/>
        <v>0</v>
      </c>
      <c r="AH206" s="54">
        <f t="shared" si="115"/>
        <v>0</v>
      </c>
      <c r="AI206" s="54">
        <f t="shared" si="115"/>
        <v>0</v>
      </c>
      <c r="AJ206" s="54">
        <f t="shared" si="115"/>
        <v>0</v>
      </c>
      <c r="AK206" s="54">
        <f t="shared" si="115"/>
        <v>0</v>
      </c>
      <c r="AL206" s="24">
        <f t="shared" si="81"/>
        <v>0</v>
      </c>
      <c r="AM206" s="24">
        <f t="shared" si="82"/>
        <v>0</v>
      </c>
      <c r="AN206" s="55">
        <f t="shared" si="83"/>
        <v>0</v>
      </c>
      <c r="AO206" s="55">
        <f t="shared" si="84"/>
        <v>0</v>
      </c>
      <c r="AP206" s="24"/>
      <c r="AQ206" s="24"/>
      <c r="AR206" s="24"/>
      <c r="AS206" s="24"/>
      <c r="AT206" s="24"/>
      <c r="AU206" s="24"/>
      <c r="AV206" s="24"/>
      <c r="AW206" s="24"/>
      <c r="AX206" s="24"/>
      <c r="AY206" s="24"/>
    </row>
    <row r="207" spans="7:51">
      <c r="G207" s="12">
        <f t="shared" si="70"/>
        <v>0</v>
      </c>
      <c r="H207" s="12">
        <f t="shared" si="103"/>
        <v>0</v>
      </c>
      <c r="I207" s="12">
        <f t="shared" si="103"/>
        <v>0</v>
      </c>
      <c r="J207" s="12">
        <f t="shared" si="103"/>
        <v>0</v>
      </c>
      <c r="K207" s="12">
        <f t="shared" si="72"/>
        <v>0</v>
      </c>
      <c r="L207" s="12">
        <f t="shared" si="104"/>
        <v>0</v>
      </c>
      <c r="M207" s="12">
        <f t="shared" si="104"/>
        <v>0</v>
      </c>
      <c r="N207" s="12">
        <f t="shared" si="104"/>
        <v>0</v>
      </c>
      <c r="O207" s="12">
        <f t="shared" si="74"/>
        <v>0</v>
      </c>
      <c r="P207" s="12">
        <f t="shared" si="105"/>
        <v>0</v>
      </c>
      <c r="Q207" s="12">
        <f t="shared" si="105"/>
        <v>0</v>
      </c>
      <c r="T207" s="61"/>
      <c r="U207" s="61"/>
      <c r="V207" s="61"/>
      <c r="W207" s="53">
        <f t="shared" si="77"/>
        <v>0</v>
      </c>
      <c r="X207" s="54" t="e">
        <f t="shared" si="78"/>
        <v>#DIV/0!</v>
      </c>
      <c r="Y207" s="25">
        <f t="shared" si="57"/>
        <v>0</v>
      </c>
      <c r="Z207" s="54">
        <f t="shared" si="79"/>
        <v>0</v>
      </c>
      <c r="AA207" s="54">
        <f t="shared" ref="AA207:AK207" si="116">IF($E108+365&lt;$C$56,0,IF($E108&lt;$C$56,(($E108+365-$C$56)/365)*(($C108/$BN$158)+($D108/$BN$159)),IF($E108&gt;AA$167,0,IF($E108+365&lt;AA$167,($C108/$BN$158)+($D108/$BN$159),((AA$167-$E108)/365)*(($C108/$BN$158)+($D108/$BN$159))))))</f>
        <v>0</v>
      </c>
      <c r="AB207" s="54">
        <f t="shared" si="116"/>
        <v>0</v>
      </c>
      <c r="AC207" s="54">
        <f t="shared" si="116"/>
        <v>0</v>
      </c>
      <c r="AD207" s="54">
        <f t="shared" si="116"/>
        <v>0</v>
      </c>
      <c r="AE207" s="54">
        <f t="shared" si="116"/>
        <v>0</v>
      </c>
      <c r="AF207" s="54">
        <f t="shared" si="116"/>
        <v>0</v>
      </c>
      <c r="AG207" s="54">
        <f t="shared" si="116"/>
        <v>0</v>
      </c>
      <c r="AH207" s="54">
        <f t="shared" si="116"/>
        <v>0</v>
      </c>
      <c r="AI207" s="54">
        <f t="shared" si="116"/>
        <v>0</v>
      </c>
      <c r="AJ207" s="54">
        <f t="shared" si="116"/>
        <v>0</v>
      </c>
      <c r="AK207" s="54">
        <f t="shared" si="116"/>
        <v>0</v>
      </c>
      <c r="AL207" s="24">
        <f t="shared" si="81"/>
        <v>0</v>
      </c>
      <c r="AM207" s="24">
        <f t="shared" si="82"/>
        <v>0</v>
      </c>
      <c r="AN207" s="55">
        <f t="shared" si="83"/>
        <v>0</v>
      </c>
      <c r="AO207" s="55">
        <f t="shared" si="84"/>
        <v>0</v>
      </c>
      <c r="AP207" s="24"/>
      <c r="AQ207" s="24"/>
      <c r="AR207" s="24"/>
      <c r="AS207" s="24"/>
      <c r="AT207" s="24"/>
      <c r="AU207" s="24"/>
      <c r="AV207" s="24"/>
      <c r="AW207" s="24"/>
      <c r="AX207" s="24"/>
      <c r="AY207" s="24"/>
    </row>
    <row r="208" spans="7:51">
      <c r="G208" s="12">
        <f t="shared" si="70"/>
        <v>0</v>
      </c>
      <c r="H208" s="12">
        <f t="shared" si="103"/>
        <v>0</v>
      </c>
      <c r="I208" s="12">
        <f t="shared" si="103"/>
        <v>0</v>
      </c>
      <c r="J208" s="12">
        <f t="shared" si="103"/>
        <v>0</v>
      </c>
      <c r="K208" s="12">
        <f t="shared" si="72"/>
        <v>0</v>
      </c>
      <c r="L208" s="12">
        <f t="shared" si="104"/>
        <v>0</v>
      </c>
      <c r="M208" s="12">
        <f t="shared" si="104"/>
        <v>0</v>
      </c>
      <c r="N208" s="12">
        <f t="shared" si="104"/>
        <v>0</v>
      </c>
      <c r="O208" s="12">
        <f t="shared" si="74"/>
        <v>0</v>
      </c>
      <c r="P208" s="12">
        <f t="shared" si="105"/>
        <v>0</v>
      </c>
      <c r="Q208" s="12">
        <f t="shared" si="105"/>
        <v>0</v>
      </c>
      <c r="T208" s="61"/>
      <c r="U208" s="61"/>
      <c r="V208" s="61"/>
      <c r="W208" s="53">
        <f t="shared" si="77"/>
        <v>0</v>
      </c>
      <c r="X208" s="54" t="e">
        <f t="shared" si="78"/>
        <v>#DIV/0!</v>
      </c>
      <c r="Y208" s="25">
        <f t="shared" si="57"/>
        <v>0</v>
      </c>
      <c r="Z208" s="54">
        <f t="shared" si="79"/>
        <v>0</v>
      </c>
      <c r="AA208" s="54">
        <f t="shared" ref="AA208:AK208" si="117">IF($E109+365&lt;$C$56,0,IF($E109&lt;$C$56,(($E109+365-$C$56)/365)*(($C109/$BN$158)+($D109/$BN$159)),IF($E109&gt;AA$167,0,IF($E109+365&lt;AA$167,($C109/$BN$158)+($D109/$BN$159),((AA$167-$E109)/365)*(($C109/$BN$158)+($D109/$BN$159))))))</f>
        <v>0</v>
      </c>
      <c r="AB208" s="54">
        <f t="shared" si="117"/>
        <v>0</v>
      </c>
      <c r="AC208" s="54">
        <f t="shared" si="117"/>
        <v>0</v>
      </c>
      <c r="AD208" s="54">
        <f t="shared" si="117"/>
        <v>0</v>
      </c>
      <c r="AE208" s="54">
        <f t="shared" si="117"/>
        <v>0</v>
      </c>
      <c r="AF208" s="54">
        <f t="shared" si="117"/>
        <v>0</v>
      </c>
      <c r="AG208" s="54">
        <f t="shared" si="117"/>
        <v>0</v>
      </c>
      <c r="AH208" s="54">
        <f t="shared" si="117"/>
        <v>0</v>
      </c>
      <c r="AI208" s="54">
        <f t="shared" si="117"/>
        <v>0</v>
      </c>
      <c r="AJ208" s="54">
        <f t="shared" si="117"/>
        <v>0</v>
      </c>
      <c r="AK208" s="54">
        <f t="shared" si="117"/>
        <v>0</v>
      </c>
      <c r="AL208" s="24">
        <f t="shared" si="81"/>
        <v>0</v>
      </c>
      <c r="AM208" s="24">
        <f t="shared" si="82"/>
        <v>0</v>
      </c>
      <c r="AN208" s="55">
        <f t="shared" si="83"/>
        <v>0</v>
      </c>
      <c r="AO208" s="55">
        <f t="shared" si="84"/>
        <v>0</v>
      </c>
      <c r="AP208" s="24"/>
      <c r="AQ208" s="24"/>
      <c r="AR208" s="24"/>
      <c r="AS208" s="24"/>
      <c r="AT208" s="24"/>
      <c r="AU208" s="24"/>
      <c r="AV208" s="24"/>
      <c r="AW208" s="24"/>
      <c r="AX208" s="24"/>
      <c r="AY208" s="24"/>
    </row>
    <row r="209" spans="6:51">
      <c r="G209" s="12">
        <f t="shared" si="70"/>
        <v>0</v>
      </c>
      <c r="H209" s="12">
        <f t="shared" si="103"/>
        <v>0</v>
      </c>
      <c r="I209" s="12">
        <f t="shared" si="103"/>
        <v>0</v>
      </c>
      <c r="J209" s="12">
        <f t="shared" si="103"/>
        <v>0</v>
      </c>
      <c r="K209" s="12">
        <f t="shared" si="72"/>
        <v>0</v>
      </c>
      <c r="L209" s="12">
        <f t="shared" si="104"/>
        <v>0</v>
      </c>
      <c r="M209" s="12">
        <f t="shared" si="104"/>
        <v>0</v>
      </c>
      <c r="N209" s="12">
        <f t="shared" si="104"/>
        <v>0</v>
      </c>
      <c r="O209" s="12">
        <f t="shared" si="74"/>
        <v>0</v>
      </c>
      <c r="P209" s="12">
        <f t="shared" si="105"/>
        <v>0</v>
      </c>
      <c r="Q209" s="12">
        <f t="shared" si="105"/>
        <v>0</v>
      </c>
      <c r="T209" s="61"/>
      <c r="U209" s="61"/>
      <c r="V209" s="61"/>
      <c r="W209" s="53">
        <f t="shared" si="77"/>
        <v>0</v>
      </c>
      <c r="X209" s="54" t="e">
        <f t="shared" si="78"/>
        <v>#DIV/0!</v>
      </c>
      <c r="Y209" s="25">
        <f t="shared" si="57"/>
        <v>0</v>
      </c>
      <c r="Z209" s="54">
        <f t="shared" si="79"/>
        <v>0</v>
      </c>
      <c r="AA209" s="54">
        <f t="shared" ref="AA209:AK209" si="118">IF($E110+365&lt;$C$56,0,IF($E110&lt;$C$56,(($E110+365-$C$56)/365)*(($C110/$BN$158)+($D110/$BN$159)),IF($E110&gt;AA$167,0,IF($E110+365&lt;AA$167,($C110/$BN$158)+($D110/$BN$159),((AA$167-$E110)/365)*(($C110/$BN$158)+($D110/$BN$159))))))</f>
        <v>0</v>
      </c>
      <c r="AB209" s="54">
        <f t="shared" si="118"/>
        <v>0</v>
      </c>
      <c r="AC209" s="54">
        <f t="shared" si="118"/>
        <v>0</v>
      </c>
      <c r="AD209" s="54">
        <f t="shared" si="118"/>
        <v>0</v>
      </c>
      <c r="AE209" s="54">
        <f t="shared" si="118"/>
        <v>0</v>
      </c>
      <c r="AF209" s="54">
        <f t="shared" si="118"/>
        <v>0</v>
      </c>
      <c r="AG209" s="54">
        <f t="shared" si="118"/>
        <v>0</v>
      </c>
      <c r="AH209" s="54">
        <f t="shared" si="118"/>
        <v>0</v>
      </c>
      <c r="AI209" s="54">
        <f t="shared" si="118"/>
        <v>0</v>
      </c>
      <c r="AJ209" s="54">
        <f t="shared" si="118"/>
        <v>0</v>
      </c>
      <c r="AK209" s="54">
        <f t="shared" si="118"/>
        <v>0</v>
      </c>
      <c r="AL209" s="24">
        <f t="shared" si="81"/>
        <v>0</v>
      </c>
      <c r="AM209" s="24">
        <f t="shared" si="82"/>
        <v>0</v>
      </c>
      <c r="AN209" s="55">
        <f t="shared" si="83"/>
        <v>0</v>
      </c>
      <c r="AO209" s="55">
        <f t="shared" si="84"/>
        <v>0</v>
      </c>
      <c r="AP209" s="24"/>
      <c r="AQ209" s="24"/>
      <c r="AR209" s="24"/>
      <c r="AS209" s="24"/>
      <c r="AT209" s="24"/>
      <c r="AU209" s="24"/>
      <c r="AV209" s="24"/>
      <c r="AW209" s="24"/>
      <c r="AX209" s="24"/>
      <c r="AY209" s="24"/>
    </row>
    <row r="210" spans="6:51">
      <c r="G210" s="12">
        <f t="shared" si="70"/>
        <v>0</v>
      </c>
      <c r="H210" s="12">
        <f t="shared" si="103"/>
        <v>0</v>
      </c>
      <c r="I210" s="12">
        <f t="shared" si="103"/>
        <v>0</v>
      </c>
      <c r="J210" s="12">
        <f t="shared" si="103"/>
        <v>0</v>
      </c>
      <c r="K210" s="12">
        <f t="shared" si="72"/>
        <v>0</v>
      </c>
      <c r="L210" s="12">
        <f t="shared" si="104"/>
        <v>0</v>
      </c>
      <c r="M210" s="12">
        <f t="shared" si="104"/>
        <v>0</v>
      </c>
      <c r="N210" s="12">
        <f t="shared" si="104"/>
        <v>0</v>
      </c>
      <c r="O210" s="12">
        <f t="shared" si="74"/>
        <v>0</v>
      </c>
      <c r="P210" s="12">
        <f t="shared" si="105"/>
        <v>0</v>
      </c>
      <c r="Q210" s="12">
        <f t="shared" si="105"/>
        <v>0</v>
      </c>
      <c r="T210" s="61"/>
      <c r="U210" s="61"/>
      <c r="V210" s="61"/>
      <c r="W210" s="53">
        <f t="shared" si="77"/>
        <v>0</v>
      </c>
      <c r="X210" s="54" t="e">
        <f t="shared" si="78"/>
        <v>#DIV/0!</v>
      </c>
      <c r="Y210" s="25">
        <f t="shared" si="57"/>
        <v>0</v>
      </c>
      <c r="Z210" s="54">
        <f t="shared" si="79"/>
        <v>0</v>
      </c>
      <c r="AA210" s="54">
        <f t="shared" ref="AA210:AK210" si="119">IF($E111+365&lt;$C$56,0,IF($E111&lt;$C$56,(($E111+365-$C$56)/365)*(($C111/$BN$158)+($D111/$BN$159)),IF($E111&gt;AA$167,0,IF($E111+365&lt;AA$167,($C111/$BN$158)+($D111/$BN$159),((AA$167-$E111)/365)*(($C111/$BN$158)+($D111/$BN$159))))))</f>
        <v>0</v>
      </c>
      <c r="AB210" s="54">
        <f t="shared" si="119"/>
        <v>0</v>
      </c>
      <c r="AC210" s="54">
        <f t="shared" si="119"/>
        <v>0</v>
      </c>
      <c r="AD210" s="54">
        <f t="shared" si="119"/>
        <v>0</v>
      </c>
      <c r="AE210" s="54">
        <f t="shared" si="119"/>
        <v>0</v>
      </c>
      <c r="AF210" s="54">
        <f t="shared" si="119"/>
        <v>0</v>
      </c>
      <c r="AG210" s="54">
        <f t="shared" si="119"/>
        <v>0</v>
      </c>
      <c r="AH210" s="54">
        <f t="shared" si="119"/>
        <v>0</v>
      </c>
      <c r="AI210" s="54">
        <f t="shared" si="119"/>
        <v>0</v>
      </c>
      <c r="AJ210" s="54">
        <f t="shared" si="119"/>
        <v>0</v>
      </c>
      <c r="AK210" s="54">
        <f t="shared" si="119"/>
        <v>0</v>
      </c>
      <c r="AL210" s="24">
        <f t="shared" si="81"/>
        <v>0</v>
      </c>
      <c r="AM210" s="24">
        <f t="shared" si="82"/>
        <v>0</v>
      </c>
      <c r="AN210" s="55">
        <f t="shared" si="83"/>
        <v>0</v>
      </c>
      <c r="AO210" s="55">
        <f t="shared" si="84"/>
        <v>0</v>
      </c>
      <c r="AP210" s="24"/>
      <c r="AQ210" s="24"/>
      <c r="AR210" s="24"/>
      <c r="AS210" s="24"/>
      <c r="AT210" s="24"/>
      <c r="AU210" s="24"/>
      <c r="AV210" s="24"/>
      <c r="AW210" s="24"/>
      <c r="AX210" s="24"/>
      <c r="AY210" s="24"/>
    </row>
    <row r="211" spans="6:51">
      <c r="T211" s="61"/>
      <c r="U211" s="61"/>
      <c r="V211" s="61"/>
      <c r="W211" s="53">
        <f t="shared" si="77"/>
        <v>0</v>
      </c>
      <c r="X211" s="54" t="e">
        <f t="shared" si="78"/>
        <v>#DIV/0!</v>
      </c>
      <c r="Y211" s="25">
        <f t="shared" si="57"/>
        <v>0</v>
      </c>
      <c r="Z211" s="54">
        <f t="shared" si="79"/>
        <v>0</v>
      </c>
      <c r="AA211" s="54">
        <f t="shared" ref="AA211:AK211" si="120">IF($E112+365&lt;$C$56,0,IF($E112&lt;$C$56,(($E112+365-$C$56)/365)*(($C112/$BN$158)+($D112/$BN$159)),IF($E112&gt;AA$167,0,IF($E112+365&lt;AA$167,($C112/$BN$158)+($D112/$BN$159),((AA$167-$E112)/365)*(($C112/$BN$158)+($D112/$BN$159))))))</f>
        <v>0</v>
      </c>
      <c r="AB211" s="54">
        <f t="shared" si="120"/>
        <v>0</v>
      </c>
      <c r="AC211" s="54">
        <f t="shared" si="120"/>
        <v>0</v>
      </c>
      <c r="AD211" s="54">
        <f t="shared" si="120"/>
        <v>0</v>
      </c>
      <c r="AE211" s="54">
        <f t="shared" si="120"/>
        <v>0</v>
      </c>
      <c r="AF211" s="54">
        <f t="shared" si="120"/>
        <v>0</v>
      </c>
      <c r="AG211" s="54">
        <f t="shared" si="120"/>
        <v>0</v>
      </c>
      <c r="AH211" s="54">
        <f t="shared" si="120"/>
        <v>0</v>
      </c>
      <c r="AI211" s="54">
        <f t="shared" si="120"/>
        <v>0</v>
      </c>
      <c r="AJ211" s="54">
        <f t="shared" si="120"/>
        <v>0</v>
      </c>
      <c r="AK211" s="54">
        <f t="shared" si="120"/>
        <v>0</v>
      </c>
      <c r="AL211" s="24">
        <f t="shared" si="81"/>
        <v>0</v>
      </c>
      <c r="AM211" s="24">
        <f t="shared" si="82"/>
        <v>0</v>
      </c>
      <c r="AN211" s="55">
        <f t="shared" si="83"/>
        <v>0</v>
      </c>
      <c r="AO211" s="55">
        <f t="shared" si="84"/>
        <v>0</v>
      </c>
      <c r="AP211" s="24"/>
      <c r="AQ211" s="24"/>
      <c r="AR211" s="24"/>
      <c r="AS211" s="24"/>
      <c r="AT211" s="24"/>
      <c r="AU211" s="24"/>
      <c r="AV211" s="24"/>
      <c r="AW211" s="24"/>
      <c r="AX211" s="24"/>
      <c r="AY211" s="24"/>
    </row>
    <row r="212" spans="6:51">
      <c r="T212" s="61"/>
      <c r="U212" s="61"/>
      <c r="V212" s="61"/>
      <c r="W212" s="53">
        <f t="shared" si="77"/>
        <v>0</v>
      </c>
      <c r="X212" s="54" t="e">
        <f t="shared" si="78"/>
        <v>#DIV/0!</v>
      </c>
      <c r="Y212" s="25">
        <f t="shared" si="57"/>
        <v>0</v>
      </c>
      <c r="Z212" s="54">
        <f t="shared" si="79"/>
        <v>0</v>
      </c>
      <c r="AA212" s="54">
        <f t="shared" ref="AA212:AK212" si="121">IF($E113+365&lt;$C$56,0,IF($E113&lt;$C$56,(($E113+365-$C$56)/365)*(($C113/$BN$158)+($D113/$BN$159)),IF($E113&gt;AA$167,0,IF($E113+365&lt;AA$167,($C113/$BN$158)+($D113/$BN$159),((AA$167-$E113)/365)*(($C113/$BN$158)+($D113/$BN$159))))))</f>
        <v>0</v>
      </c>
      <c r="AB212" s="54">
        <f t="shared" si="121"/>
        <v>0</v>
      </c>
      <c r="AC212" s="54">
        <f t="shared" si="121"/>
        <v>0</v>
      </c>
      <c r="AD212" s="54">
        <f t="shared" si="121"/>
        <v>0</v>
      </c>
      <c r="AE212" s="54">
        <f t="shared" si="121"/>
        <v>0</v>
      </c>
      <c r="AF212" s="54">
        <f t="shared" si="121"/>
        <v>0</v>
      </c>
      <c r="AG212" s="54">
        <f t="shared" si="121"/>
        <v>0</v>
      </c>
      <c r="AH212" s="54">
        <f t="shared" si="121"/>
        <v>0</v>
      </c>
      <c r="AI212" s="54">
        <f t="shared" si="121"/>
        <v>0</v>
      </c>
      <c r="AJ212" s="54">
        <f t="shared" si="121"/>
        <v>0</v>
      </c>
      <c r="AK212" s="54">
        <f t="shared" si="121"/>
        <v>0</v>
      </c>
      <c r="AL212" s="24">
        <f t="shared" si="81"/>
        <v>0</v>
      </c>
      <c r="AM212" s="24">
        <f t="shared" si="82"/>
        <v>0</v>
      </c>
      <c r="AN212" s="55">
        <f t="shared" si="83"/>
        <v>0</v>
      </c>
      <c r="AO212" s="55">
        <f t="shared" si="84"/>
        <v>0</v>
      </c>
      <c r="AP212" s="25"/>
      <c r="AQ212" s="24"/>
      <c r="AR212" s="24"/>
      <c r="AS212" s="24"/>
      <c r="AT212" s="24"/>
      <c r="AU212" s="24"/>
      <c r="AV212" s="24"/>
      <c r="AW212" s="24"/>
      <c r="AX212" s="24"/>
      <c r="AY212" s="24"/>
    </row>
    <row r="213" spans="6:51">
      <c r="T213" s="61"/>
      <c r="U213" s="61"/>
      <c r="V213" s="61"/>
      <c r="W213" s="53"/>
      <c r="X213" s="54"/>
      <c r="Y213" s="25">
        <f t="shared" si="57"/>
        <v>0</v>
      </c>
      <c r="Z213" s="54">
        <f t="shared" si="79"/>
        <v>0</v>
      </c>
      <c r="AA213" s="54">
        <f t="shared" ref="AA213:AK213" si="122">IF($E114+365&lt;$C$56,0,IF($E114&lt;$C$56,(($E114+365-$C$56)/365)*(($C114/$BN$158)+($D114/$BN$159)),IF($E114&gt;AA$167,0,IF($E114+365&lt;AA$167,($C114/$BN$158)+($D114/$BN$159),((AA$167-$E114)/365)*(($C114/$BN$158)+($D114/$BN$159))))))</f>
        <v>0</v>
      </c>
      <c r="AB213" s="54">
        <f t="shared" si="122"/>
        <v>0</v>
      </c>
      <c r="AC213" s="54">
        <f t="shared" si="122"/>
        <v>0</v>
      </c>
      <c r="AD213" s="54">
        <f t="shared" si="122"/>
        <v>0</v>
      </c>
      <c r="AE213" s="54">
        <f t="shared" si="122"/>
        <v>0</v>
      </c>
      <c r="AF213" s="54">
        <f t="shared" si="122"/>
        <v>0</v>
      </c>
      <c r="AG213" s="54">
        <f t="shared" si="122"/>
        <v>0</v>
      </c>
      <c r="AH213" s="54">
        <f t="shared" si="122"/>
        <v>0</v>
      </c>
      <c r="AI213" s="54">
        <f t="shared" si="122"/>
        <v>0</v>
      </c>
      <c r="AJ213" s="54">
        <f t="shared" si="122"/>
        <v>0</v>
      </c>
      <c r="AK213" s="54">
        <f t="shared" si="122"/>
        <v>0</v>
      </c>
      <c r="AL213" s="24">
        <f t="shared" si="81"/>
        <v>0</v>
      </c>
      <c r="AM213" s="24">
        <f t="shared" si="82"/>
        <v>0</v>
      </c>
      <c r="AN213" s="55">
        <f t="shared" si="83"/>
        <v>0</v>
      </c>
      <c r="AO213" s="55">
        <f t="shared" si="84"/>
        <v>0</v>
      </c>
      <c r="AP213" s="24"/>
      <c r="AQ213" s="24"/>
      <c r="AR213" s="24"/>
      <c r="AS213" s="24"/>
      <c r="AT213" s="24"/>
      <c r="AU213" s="24"/>
      <c r="AV213" s="24"/>
      <c r="AW213" s="24"/>
      <c r="AX213" s="24"/>
      <c r="AY213" s="24"/>
    </row>
    <row r="214" spans="6:51">
      <c r="T214" s="61"/>
      <c r="U214" s="61"/>
      <c r="V214" s="61"/>
      <c r="W214" s="53"/>
      <c r="X214" s="54"/>
      <c r="Y214" s="25">
        <f t="shared" si="57"/>
        <v>0</v>
      </c>
      <c r="Z214" s="54">
        <f t="shared" si="79"/>
        <v>0</v>
      </c>
      <c r="AA214" s="54">
        <f t="shared" ref="AA214:AK214" si="123">IF($E115+365&lt;$C$56,0,IF($E115&lt;$C$56,(($E115+365-$C$56)/365)*(($C115/$BN$158)+($D115/$BN$159)),IF($E115&gt;AA$167,0,IF($E115+365&lt;AA$167,($C115/$BN$158)+($D115/$BN$159),((AA$167-$E115)/365)*(($C115/$BN$158)+($D115/$BN$159))))))</f>
        <v>0</v>
      </c>
      <c r="AB214" s="54">
        <f t="shared" si="123"/>
        <v>0</v>
      </c>
      <c r="AC214" s="54">
        <f t="shared" si="123"/>
        <v>0</v>
      </c>
      <c r="AD214" s="54">
        <f t="shared" si="123"/>
        <v>0</v>
      </c>
      <c r="AE214" s="54">
        <f t="shared" si="123"/>
        <v>0</v>
      </c>
      <c r="AF214" s="54">
        <f t="shared" si="123"/>
        <v>0</v>
      </c>
      <c r="AG214" s="54">
        <f t="shared" si="123"/>
        <v>0</v>
      </c>
      <c r="AH214" s="54">
        <f t="shared" si="123"/>
        <v>0</v>
      </c>
      <c r="AI214" s="54">
        <f t="shared" si="123"/>
        <v>0</v>
      </c>
      <c r="AJ214" s="54">
        <f t="shared" si="123"/>
        <v>0</v>
      </c>
      <c r="AK214" s="54">
        <f t="shared" si="123"/>
        <v>0</v>
      </c>
      <c r="AL214" s="24">
        <f t="shared" si="81"/>
        <v>0</v>
      </c>
      <c r="AM214" s="24">
        <f t="shared" si="82"/>
        <v>0</v>
      </c>
      <c r="AN214" s="55">
        <f t="shared" si="83"/>
        <v>0</v>
      </c>
      <c r="AO214" s="55">
        <f t="shared" si="84"/>
        <v>0</v>
      </c>
      <c r="AP214" s="24"/>
      <c r="AQ214" s="24"/>
      <c r="AR214" s="24"/>
      <c r="AS214" s="24"/>
      <c r="AT214" s="24"/>
      <c r="AU214" s="24"/>
      <c r="AV214" s="24"/>
      <c r="AW214" s="24"/>
      <c r="AX214" s="24"/>
      <c r="AY214" s="24"/>
    </row>
    <row r="215" spans="6:51" ht="13">
      <c r="F215" s="187" t="s">
        <v>490</v>
      </c>
      <c r="G215" s="187">
        <f>SUM(G168:G214)</f>
        <v>0</v>
      </c>
      <c r="H215" s="187">
        <f t="shared" ref="H215:Q215" si="124">SUM(H168:H214)</f>
        <v>0</v>
      </c>
      <c r="I215" s="187">
        <f t="shared" si="124"/>
        <v>0</v>
      </c>
      <c r="J215" s="187">
        <f t="shared" si="124"/>
        <v>0</v>
      </c>
      <c r="K215" s="187">
        <f t="shared" si="124"/>
        <v>-230</v>
      </c>
      <c r="L215" s="187">
        <f t="shared" si="124"/>
        <v>-230</v>
      </c>
      <c r="M215" s="187">
        <f t="shared" si="124"/>
        <v>-230</v>
      </c>
      <c r="N215" s="187">
        <f t="shared" si="124"/>
        <v>-210</v>
      </c>
      <c r="O215" s="187">
        <f t="shared" si="124"/>
        <v>-210</v>
      </c>
      <c r="P215" s="187">
        <f t="shared" si="124"/>
        <v>-210</v>
      </c>
      <c r="Q215" s="187">
        <f t="shared" si="124"/>
        <v>-210</v>
      </c>
      <c r="T215" s="14"/>
      <c r="U215" s="14"/>
      <c r="V215" s="14"/>
      <c r="W215" s="24"/>
      <c r="X215" s="62" t="e">
        <f>SUM(X169:X214)</f>
        <v>#DIV/0!</v>
      </c>
      <c r="Y215" s="157" t="s">
        <v>84</v>
      </c>
      <c r="AA215" s="155">
        <f>VLOOKUP($A$2,Assumptions!$B$124:$G$147,6,0)*SUM(AA168:AA214)</f>
        <v>0</v>
      </c>
      <c r="AB215" s="155">
        <f>VLOOKUP($A$2,Assumptions!$B$124:$G$147,6,0)*SUM(AB168:AB214)</f>
        <v>0</v>
      </c>
      <c r="AC215" s="155">
        <f>VLOOKUP($A$2,Assumptions!$B$124:$G$147,6,0)*SUM(AC168:AC214)</f>
        <v>0</v>
      </c>
      <c r="AD215" s="155">
        <f>VLOOKUP($A$2,Assumptions!$B$124:$G$147,6,0)*SUM(AD168:AD214)</f>
        <v>0</v>
      </c>
      <c r="AE215" s="155">
        <f>VLOOKUP($A$2,Assumptions!$B$124:$G$147,6,0)*SUM(AE168:AE214)</f>
        <v>-3.4882204985562852</v>
      </c>
      <c r="AF215" s="155">
        <f>VLOOKUP($A$2,Assumptions!$B$124:$G$147,6,0)*SUM(AF168:AF214)</f>
        <v>-6.5521941297035342</v>
      </c>
      <c r="AG215" s="155">
        <f>VLOOKUP($A$2,Assumptions!$B$124:$G$147,6,0)*SUM(AG168:AG214)</f>
        <v>-6.5521941297035342</v>
      </c>
      <c r="AH215" s="155">
        <f>VLOOKUP($A$2,Assumptions!$B$124:$G$147,6,0)*SUM(AH168:AH214)</f>
        <v>-6.1386144297510841</v>
      </c>
      <c r="AI215" s="155">
        <f>VLOOKUP($A$2,Assumptions!$B$124:$G$147,6,0)*SUM(AI168:AI214)</f>
        <v>-6.1386144297510841</v>
      </c>
      <c r="AJ215" s="155">
        <f>VLOOKUP($A$2,Assumptions!$B$124:$G$147,6,0)*SUM(AJ168:AJ214)</f>
        <v>-6.1386144297510841</v>
      </c>
      <c r="AK215" s="155">
        <f>VLOOKUP($A$2,Assumptions!$B$124:$G$147,6,0)*SUM(AK168:AK214)</f>
        <v>-6.1386144297510841</v>
      </c>
      <c r="AL215" s="155">
        <f>VLOOKUP($A$2,Assumptions!$B$124:$G$147,6,0)*SUM(AL168:AL214)</f>
        <v>-157.5</v>
      </c>
      <c r="AM215" s="155">
        <f>VLOOKUP($A$2,Assumptions!$B$124:$G$147,6,0)*SUM(AM168:AM214)</f>
        <v>-360</v>
      </c>
      <c r="AN215" s="55">
        <f>SUM(AN168:AN214)</f>
        <v>4805659</v>
      </c>
      <c r="AO215" s="55">
        <f>SUM(AO168:AO214)</f>
        <v>0</v>
      </c>
      <c r="AP215" s="24"/>
      <c r="AQ215" s="24"/>
      <c r="AR215" s="24"/>
      <c r="AS215" s="24"/>
      <c r="AT215" s="24"/>
      <c r="AU215" s="24"/>
      <c r="AV215" s="24"/>
      <c r="AW215" s="24"/>
      <c r="AX215" s="24"/>
      <c r="AY215" s="24"/>
    </row>
    <row r="216" spans="6:51">
      <c r="T216" s="24"/>
      <c r="U216" s="24"/>
      <c r="V216" s="24"/>
      <c r="W216" s="24"/>
      <c r="X216" s="24"/>
      <c r="Y216" s="158" t="s">
        <v>491</v>
      </c>
      <c r="Z216" s="351">
        <f>C64</f>
        <v>50.2</v>
      </c>
      <c r="AA216" s="156">
        <f>$C$64+AA215</f>
        <v>50.2</v>
      </c>
      <c r="AB216" s="156">
        <f t="shared" ref="AB216:AE216" si="125">$C$64+AB215</f>
        <v>50.2</v>
      </c>
      <c r="AC216" s="156">
        <f t="shared" si="125"/>
        <v>50.2</v>
      </c>
      <c r="AD216" s="156">
        <f t="shared" si="125"/>
        <v>50.2</v>
      </c>
      <c r="AE216" s="156">
        <f t="shared" si="125"/>
        <v>46.711779501443715</v>
      </c>
      <c r="AF216" s="156">
        <f>$C$64+AF215</f>
        <v>43.647805870296466</v>
      </c>
      <c r="AG216" s="156">
        <f t="shared" ref="AG216:AJ216" si="126">$C$64+AG215</f>
        <v>43.647805870296466</v>
      </c>
      <c r="AH216" s="156">
        <f>$C$64+AH215</f>
        <v>44.061385570248916</v>
      </c>
      <c r="AI216" s="156">
        <f t="shared" si="126"/>
        <v>44.061385570248916</v>
      </c>
      <c r="AJ216" s="156">
        <f t="shared" si="126"/>
        <v>44.061385570248916</v>
      </c>
      <c r="AK216" s="156">
        <f t="shared" ref="AK216" si="127">$C$64+AK215</f>
        <v>44.061385570248916</v>
      </c>
      <c r="AL216" s="24"/>
      <c r="AM216" s="24"/>
      <c r="AN216" s="24"/>
      <c r="AO216" s="24"/>
      <c r="AP216" s="24"/>
      <c r="AQ216" s="24"/>
      <c r="AR216" s="24"/>
      <c r="AS216" s="24"/>
      <c r="AT216" s="24"/>
      <c r="AU216" s="24"/>
      <c r="AV216" s="24"/>
      <c r="AW216" s="24"/>
      <c r="AX216" s="24"/>
      <c r="AY216" s="24"/>
    </row>
    <row r="217" spans="6:51">
      <c r="T217" s="24"/>
      <c r="U217" s="24"/>
      <c r="V217" s="972"/>
      <c r="W217" s="972"/>
      <c r="X217" s="972"/>
      <c r="Y217" s="158" t="s">
        <v>492</v>
      </c>
      <c r="Z217" s="601">
        <f>IF(Z216&lt;$BB$155,(6+(1-Z216/$BB$155)),IF(Z216&lt;$BB$156,5.5+(0.5*(($BB$156-Z216)/($BB$156-$BB$155))),IF(Z216&lt;$BB$157,5-0.5*((Z216)-$BB$157)/($BB$157-$BB$156),IF(Z216&lt;$BB$158,4.5-0.5*((Z216-$BB$158)/($BB$158-$BB$157)),5-0.5*((Z216-$BB$157)/$BH$167)))))</f>
        <v>5.5572639747090102</v>
      </c>
      <c r="AA217" s="601">
        <f t="shared" ref="AA217:AJ217" si="128">IF(AA216&lt;$BB$155,(6+(1-AA216/$BB$155)),IF(AA216&lt;$BB$156,5.5+(0.5*(($BB$156-AA216)/($BB$156-$BB$155))),IF(AA216&lt;$BB$157,5-0.5*((AA216)-$BB$157)/($BB$157-$BB$156),IF(AA216&lt;$BB$158,4.5-0.5*((AA216-$BB$158)/($BB$158-$BB$157)),5-0.5*((AA216-$BB$157)/$BH$167)))))</f>
        <v>5.5572639747090102</v>
      </c>
      <c r="AB217" s="601">
        <f t="shared" si="128"/>
        <v>5.5572639747090102</v>
      </c>
      <c r="AC217" s="601">
        <f t="shared" si="128"/>
        <v>5.5572639747090102</v>
      </c>
      <c r="AD217" s="601">
        <f t="shared" si="128"/>
        <v>5.5572639747090102</v>
      </c>
      <c r="AE217" s="601">
        <f t="shared" si="128"/>
        <v>5.65751459975733</v>
      </c>
      <c r="AF217" s="601">
        <f t="shared" si="128"/>
        <v>5.7455724710361702</v>
      </c>
      <c r="AG217" s="601">
        <f t="shared" si="128"/>
        <v>5.7455724710361702</v>
      </c>
      <c r="AH217" s="601">
        <f t="shared" si="128"/>
        <v>5.7336862891148463</v>
      </c>
      <c r="AI217" s="601">
        <f t="shared" si="128"/>
        <v>5.7336862891148463</v>
      </c>
      <c r="AJ217" s="601">
        <f t="shared" si="128"/>
        <v>5.7336862891148463</v>
      </c>
      <c r="AK217" s="601">
        <f>IF(AK216&lt;$BB$155,(6+(1-AK216/$BB$155)),IF(AK216&lt;$BB$156,5.5+(0.5*(($BB$156-AK216)/($BB$156-$BB$155))),IF(AK216&lt;$BB$157,5-0.5*((AK216)-$BB$157)/($BB$157-$BB$156),IF(AK216&lt;$BB$158,4.5-0.5*((AK216-$BB$158)/($BB$158-$BB$157)),5-0.5*((AK216-$BB$157)/$BH$167)))))</f>
        <v>5.7336862891148463</v>
      </c>
      <c r="AL217" s="24"/>
      <c r="AM217" s="24"/>
      <c r="AN217" s="24"/>
      <c r="AO217" s="24"/>
      <c r="AP217" s="24"/>
      <c r="AQ217" s="24"/>
      <c r="AR217" s="24"/>
      <c r="AS217" s="24"/>
      <c r="AT217" s="24"/>
      <c r="AU217" s="24"/>
      <c r="AV217" s="24"/>
      <c r="AW217" s="24"/>
      <c r="AX217" s="24"/>
      <c r="AY217" s="24"/>
    </row>
    <row r="218" spans="6:51">
      <c r="T218" s="24"/>
      <c r="U218" s="24"/>
      <c r="Y218" s="24"/>
      <c r="Z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T220" s="24"/>
      <c r="U220" s="24"/>
      <c r="V220" s="24"/>
      <c r="W220" s="24"/>
      <c r="X220" s="24"/>
      <c r="Y220" s="24"/>
      <c r="Z220" s="24"/>
      <c r="AA220" s="24"/>
      <c r="AB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ref="G221:G229" si="129">IF($E69&lt;G$66,$D69,0)</f>
        <v>0</v>
      </c>
      <c r="H221" s="12">
        <f t="shared" ref="H221:Q221" si="130">IF($E69&gt;H$66,0,IF($E69&lt;H$66-365,$D69,0))</f>
        <v>0</v>
      </c>
      <c r="I221" s="12">
        <f t="shared" si="130"/>
        <v>0</v>
      </c>
      <c r="J221" s="12">
        <f t="shared" si="130"/>
        <v>0</v>
      </c>
      <c r="K221" s="12">
        <f t="shared" si="130"/>
        <v>0</v>
      </c>
      <c r="L221" s="12">
        <f t="shared" si="130"/>
        <v>0</v>
      </c>
      <c r="M221" s="12">
        <f t="shared" si="130"/>
        <v>0</v>
      </c>
      <c r="N221" s="12">
        <f t="shared" si="130"/>
        <v>0</v>
      </c>
      <c r="O221" s="12">
        <f t="shared" si="130"/>
        <v>0</v>
      </c>
      <c r="P221" s="12">
        <f t="shared" si="130"/>
        <v>0</v>
      </c>
      <c r="Q221" s="12">
        <f t="shared" si="130"/>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9"/>
        <v>0</v>
      </c>
      <c r="H222" s="12">
        <f t="shared" ref="H222:Q222" si="131">IF($E70&gt;H$66,0,IF($E70&lt;H$66-365,$D70,0))</f>
        <v>0</v>
      </c>
      <c r="I222" s="12">
        <f t="shared" si="131"/>
        <v>0</v>
      </c>
      <c r="J222" s="12">
        <f t="shared" si="131"/>
        <v>0</v>
      </c>
      <c r="K222" s="12">
        <f t="shared" si="131"/>
        <v>0</v>
      </c>
      <c r="L222" s="12">
        <f t="shared" si="131"/>
        <v>0</v>
      </c>
      <c r="M222" s="12">
        <f t="shared" si="131"/>
        <v>0</v>
      </c>
      <c r="N222" s="12">
        <f t="shared" si="131"/>
        <v>0</v>
      </c>
      <c r="O222" s="12">
        <f t="shared" si="131"/>
        <v>0</v>
      </c>
      <c r="P222" s="12">
        <f t="shared" si="131"/>
        <v>0</v>
      </c>
      <c r="Q222" s="12">
        <f t="shared" si="131"/>
        <v>0</v>
      </c>
      <c r="T222" s="24"/>
      <c r="U222" s="24"/>
      <c r="V222" s="24"/>
      <c r="W222" s="24"/>
      <c r="X222" s="24"/>
      <c r="Y222" s="24"/>
      <c r="Z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9"/>
        <v>0</v>
      </c>
      <c r="H223" s="12">
        <f t="shared" ref="H223:Q223" si="132">IF($E71&gt;H$66,0,IF($E71&lt;H$66-365,$D71,0))</f>
        <v>0</v>
      </c>
      <c r="I223" s="12">
        <f t="shared" si="132"/>
        <v>0</v>
      </c>
      <c r="J223" s="12">
        <f t="shared" si="132"/>
        <v>0</v>
      </c>
      <c r="K223" s="12">
        <f t="shared" si="132"/>
        <v>-420</v>
      </c>
      <c r="L223" s="12">
        <f t="shared" si="132"/>
        <v>-420</v>
      </c>
      <c r="M223" s="12">
        <f t="shared" si="132"/>
        <v>-420</v>
      </c>
      <c r="N223" s="12">
        <f t="shared" si="132"/>
        <v>-420</v>
      </c>
      <c r="O223" s="12">
        <f t="shared" si="132"/>
        <v>-420</v>
      </c>
      <c r="P223" s="12">
        <f t="shared" si="132"/>
        <v>-420</v>
      </c>
      <c r="Q223" s="12">
        <f t="shared" si="132"/>
        <v>-420</v>
      </c>
      <c r="T223" s="24"/>
      <c r="U223" s="24"/>
      <c r="V223" s="24"/>
      <c r="W223" s="24"/>
      <c r="X223" s="24"/>
      <c r="Y223" s="24"/>
      <c r="Z223" s="24"/>
      <c r="AA223" s="24"/>
      <c r="AB223" s="24"/>
      <c r="AC223" s="24"/>
      <c r="AD223" s="24"/>
      <c r="AE223" s="24"/>
      <c r="AF223" s="24"/>
      <c r="AG223" s="24"/>
      <c r="AH223" s="24"/>
      <c r="AI223" s="24"/>
      <c r="AJ223" s="24"/>
      <c r="AK223" s="24"/>
      <c r="AL223" s="24"/>
      <c r="AM223" s="24"/>
      <c r="AN223" s="24"/>
      <c r="AO223" s="24"/>
      <c r="AP223" s="24"/>
      <c r="AQ223" s="24"/>
      <c r="AR223" s="24"/>
      <c r="AS223" s="24"/>
      <c r="AT223" s="24"/>
      <c r="AU223" s="24"/>
      <c r="AV223" s="24"/>
      <c r="AW223" s="24"/>
      <c r="AX223" s="24"/>
      <c r="AY223" s="24"/>
    </row>
    <row r="224" spans="6:51">
      <c r="G224" s="12">
        <f t="shared" si="129"/>
        <v>0</v>
      </c>
      <c r="H224" s="12">
        <f t="shared" ref="H224:Q224" si="133">IF($E72&gt;H$66,0,IF($E72&lt;H$66-365,$D72,0))</f>
        <v>0</v>
      </c>
      <c r="I224" s="12">
        <f t="shared" si="133"/>
        <v>0</v>
      </c>
      <c r="J224" s="12">
        <f t="shared" si="133"/>
        <v>0</v>
      </c>
      <c r="K224" s="12">
        <f t="shared" si="133"/>
        <v>0</v>
      </c>
      <c r="L224" s="12">
        <f t="shared" si="133"/>
        <v>0</v>
      </c>
      <c r="M224" s="12">
        <f t="shared" si="133"/>
        <v>0</v>
      </c>
      <c r="N224" s="12">
        <f t="shared" si="133"/>
        <v>0</v>
      </c>
      <c r="O224" s="12">
        <f t="shared" si="133"/>
        <v>0</v>
      </c>
      <c r="P224" s="12">
        <f t="shared" si="133"/>
        <v>0</v>
      </c>
      <c r="Q224" s="12">
        <f t="shared" si="133"/>
        <v>0</v>
      </c>
      <c r="T224" s="20"/>
      <c r="U224" s="20"/>
      <c r="V224" s="20"/>
    </row>
    <row r="225" spans="7:28">
      <c r="G225" s="12">
        <f t="shared" si="129"/>
        <v>0</v>
      </c>
      <c r="H225" s="12">
        <f t="shared" ref="H225:Q225" si="134">IF($E73&gt;H$66,0,IF($E73&lt;H$66-365,$D73,0))</f>
        <v>0</v>
      </c>
      <c r="I225" s="12">
        <f t="shared" si="134"/>
        <v>0</v>
      </c>
      <c r="J225" s="12">
        <f t="shared" si="134"/>
        <v>0</v>
      </c>
      <c r="K225" s="12">
        <f t="shared" si="134"/>
        <v>0</v>
      </c>
      <c r="L225" s="12">
        <f t="shared" si="134"/>
        <v>0</v>
      </c>
      <c r="M225" s="12">
        <f t="shared" si="134"/>
        <v>0</v>
      </c>
      <c r="N225" s="12">
        <f t="shared" si="134"/>
        <v>-60</v>
      </c>
      <c r="O225" s="12">
        <f t="shared" si="134"/>
        <v>-60</v>
      </c>
      <c r="P225" s="12">
        <f t="shared" si="134"/>
        <v>-60</v>
      </c>
      <c r="Q225" s="12">
        <f t="shared" si="134"/>
        <v>-60</v>
      </c>
      <c r="T225" s="20"/>
      <c r="U225" s="20"/>
      <c r="V225" s="20"/>
    </row>
    <row r="226" spans="7:28">
      <c r="G226" s="12">
        <f t="shared" si="129"/>
        <v>0</v>
      </c>
      <c r="H226" s="12">
        <f t="shared" ref="H226:Q226" si="135">IF($E74&gt;H$66,0,IF($E74&lt;H$66-365,$D74,0))</f>
        <v>0</v>
      </c>
      <c r="I226" s="12">
        <f t="shared" si="135"/>
        <v>0</v>
      </c>
      <c r="J226" s="12">
        <f t="shared" si="135"/>
        <v>0</v>
      </c>
      <c r="K226" s="12">
        <f t="shared" si="135"/>
        <v>0</v>
      </c>
      <c r="L226" s="12">
        <f t="shared" si="135"/>
        <v>0</v>
      </c>
      <c r="M226" s="12">
        <f t="shared" si="135"/>
        <v>0</v>
      </c>
      <c r="N226" s="12">
        <f t="shared" si="135"/>
        <v>0</v>
      </c>
      <c r="O226" s="12">
        <f t="shared" si="135"/>
        <v>0</v>
      </c>
      <c r="P226" s="12">
        <f t="shared" si="135"/>
        <v>0</v>
      </c>
      <c r="Q226" s="12">
        <f t="shared" si="135"/>
        <v>0</v>
      </c>
      <c r="T226" s="20"/>
      <c r="U226" s="20"/>
      <c r="V226" s="20"/>
      <c r="AA226" s="55">
        <f>SUM(AN168:AN214)</f>
        <v>4805659</v>
      </c>
      <c r="AB226" s="24">
        <f>SUM(AO168:AO214)</f>
        <v>0</v>
      </c>
    </row>
    <row r="227" spans="7:28">
      <c r="G227" s="12">
        <f t="shared" si="129"/>
        <v>0</v>
      </c>
      <c r="H227" s="12">
        <f t="shared" ref="H227:Q227" si="136">IF($E75&gt;H$66,0,IF($E75&lt;H$66-365,$D75,0))</f>
        <v>0</v>
      </c>
      <c r="I227" s="12">
        <f t="shared" si="136"/>
        <v>0</v>
      </c>
      <c r="J227" s="12">
        <f t="shared" si="136"/>
        <v>0</v>
      </c>
      <c r="K227" s="12">
        <f t="shared" si="136"/>
        <v>0</v>
      </c>
      <c r="L227" s="12">
        <f t="shared" si="136"/>
        <v>0</v>
      </c>
      <c r="M227" s="12">
        <f t="shared" si="136"/>
        <v>0</v>
      </c>
      <c r="N227" s="12">
        <f t="shared" si="136"/>
        <v>0</v>
      </c>
      <c r="O227" s="12">
        <f t="shared" si="136"/>
        <v>0</v>
      </c>
      <c r="P227" s="12">
        <f t="shared" si="136"/>
        <v>0</v>
      </c>
      <c r="Q227" s="12">
        <f t="shared" si="136"/>
        <v>0</v>
      </c>
      <c r="T227" s="20"/>
      <c r="U227" s="20"/>
      <c r="V227" s="20"/>
      <c r="AA227" s="24">
        <f>AA226*1.35</f>
        <v>6487639.6500000004</v>
      </c>
      <c r="AB227" s="24">
        <f>AB226*1.35</f>
        <v>0</v>
      </c>
    </row>
    <row r="228" spans="7:28">
      <c r="G228" s="12">
        <f t="shared" si="129"/>
        <v>0</v>
      </c>
      <c r="H228" s="12">
        <f t="shared" ref="H228:Q228" si="137">IF($E76&gt;H$66,0,IF($E76&lt;H$66-365,$D76,0))</f>
        <v>0</v>
      </c>
      <c r="I228" s="12">
        <f t="shared" si="137"/>
        <v>0</v>
      </c>
      <c r="J228" s="12">
        <f t="shared" si="137"/>
        <v>0</v>
      </c>
      <c r="K228" s="12">
        <f t="shared" si="137"/>
        <v>0</v>
      </c>
      <c r="L228" s="12">
        <f t="shared" si="137"/>
        <v>0</v>
      </c>
      <c r="M228" s="12">
        <f t="shared" si="137"/>
        <v>0</v>
      </c>
      <c r="N228" s="12">
        <f t="shared" si="137"/>
        <v>0</v>
      </c>
      <c r="O228" s="12">
        <f t="shared" si="137"/>
        <v>0</v>
      </c>
      <c r="P228" s="12">
        <f t="shared" si="137"/>
        <v>0</v>
      </c>
      <c r="Q228" s="12">
        <f t="shared" si="137"/>
        <v>0</v>
      </c>
    </row>
    <row r="229" spans="7:28">
      <c r="G229" s="12">
        <f t="shared" si="129"/>
        <v>0</v>
      </c>
      <c r="H229" s="12">
        <f t="shared" ref="H229:Q229" si="138">IF($E77&gt;H$66,0,IF($E77&lt;H$66-365,$D77,0))</f>
        <v>0</v>
      </c>
      <c r="I229" s="12">
        <f t="shared" si="138"/>
        <v>0</v>
      </c>
      <c r="J229" s="12">
        <f t="shared" si="138"/>
        <v>0</v>
      </c>
      <c r="K229" s="12">
        <f t="shared" si="138"/>
        <v>0</v>
      </c>
      <c r="L229" s="12">
        <f t="shared" si="138"/>
        <v>0</v>
      </c>
      <c r="M229" s="12">
        <f t="shared" si="138"/>
        <v>0</v>
      </c>
      <c r="N229" s="12">
        <f t="shared" si="138"/>
        <v>0</v>
      </c>
      <c r="O229" s="12">
        <f t="shared" si="138"/>
        <v>0</v>
      </c>
      <c r="P229" s="12">
        <f t="shared" si="138"/>
        <v>0</v>
      </c>
      <c r="Q229" s="12">
        <f t="shared" si="138"/>
        <v>0</v>
      </c>
    </row>
    <row r="230" spans="7:28">
      <c r="G230" s="12">
        <f t="shared" ref="G230:G266" si="139">IF($E79&lt;G$66,$D79,0)</f>
        <v>0</v>
      </c>
      <c r="H230" s="12">
        <f t="shared" ref="H230:Q230" si="140">IF($E79&gt;H$66,0,IF($E79&lt;H$66-365,$D79,0))</f>
        <v>0</v>
      </c>
      <c r="I230" s="12">
        <f t="shared" si="140"/>
        <v>0</v>
      </c>
      <c r="J230" s="12">
        <f t="shared" si="140"/>
        <v>0</v>
      </c>
      <c r="K230" s="12">
        <f t="shared" si="140"/>
        <v>0</v>
      </c>
      <c r="L230" s="12">
        <f t="shared" si="140"/>
        <v>0</v>
      </c>
      <c r="M230" s="12">
        <f t="shared" si="140"/>
        <v>0</v>
      </c>
      <c r="N230" s="12">
        <f t="shared" si="140"/>
        <v>0</v>
      </c>
      <c r="O230" s="12">
        <f t="shared" si="140"/>
        <v>0</v>
      </c>
      <c r="P230" s="12">
        <f t="shared" si="140"/>
        <v>0</v>
      </c>
      <c r="Q230" s="12">
        <f t="shared" si="140"/>
        <v>0</v>
      </c>
    </row>
    <row r="231" spans="7:28">
      <c r="G231" s="12">
        <f t="shared" si="139"/>
        <v>0</v>
      </c>
      <c r="H231" s="12">
        <f t="shared" ref="H231:Q231" si="141">IF($E80&gt;H$66,0,IF($E80&lt;H$66-365,$D80,0))</f>
        <v>0</v>
      </c>
      <c r="I231" s="12">
        <f t="shared" si="141"/>
        <v>0</v>
      </c>
      <c r="J231" s="12">
        <f t="shared" si="141"/>
        <v>0</v>
      </c>
      <c r="K231" s="12">
        <f t="shared" si="141"/>
        <v>0</v>
      </c>
      <c r="L231" s="12">
        <f t="shared" si="141"/>
        <v>0</v>
      </c>
      <c r="M231" s="12">
        <f t="shared" si="141"/>
        <v>0</v>
      </c>
      <c r="N231" s="12">
        <f t="shared" si="141"/>
        <v>0</v>
      </c>
      <c r="O231" s="12">
        <f t="shared" si="141"/>
        <v>0</v>
      </c>
      <c r="P231" s="12">
        <f t="shared" si="141"/>
        <v>0</v>
      </c>
      <c r="Q231" s="12">
        <f t="shared" si="141"/>
        <v>0</v>
      </c>
    </row>
    <row r="232" spans="7:28">
      <c r="G232" s="12">
        <f t="shared" si="139"/>
        <v>0</v>
      </c>
      <c r="H232" s="12">
        <f t="shared" ref="H232:Q232" si="142">IF($E81&gt;H$66,0,IF($E81&lt;H$66-365,$D81,0))</f>
        <v>0</v>
      </c>
      <c r="I232" s="12">
        <f t="shared" si="142"/>
        <v>0</v>
      </c>
      <c r="J232" s="12">
        <f t="shared" si="142"/>
        <v>0</v>
      </c>
      <c r="K232" s="12">
        <f t="shared" si="142"/>
        <v>0</v>
      </c>
      <c r="L232" s="12">
        <f t="shared" si="142"/>
        <v>0</v>
      </c>
      <c r="M232" s="12">
        <f t="shared" si="142"/>
        <v>0</v>
      </c>
      <c r="N232" s="12">
        <f t="shared" si="142"/>
        <v>0</v>
      </c>
      <c r="O232" s="12">
        <f t="shared" si="142"/>
        <v>0</v>
      </c>
      <c r="P232" s="12">
        <f t="shared" si="142"/>
        <v>0</v>
      </c>
      <c r="Q232" s="12">
        <f t="shared" si="142"/>
        <v>0</v>
      </c>
    </row>
    <row r="233" spans="7:28">
      <c r="G233" s="12">
        <f t="shared" si="139"/>
        <v>0</v>
      </c>
      <c r="H233" s="12">
        <f t="shared" ref="H233:Q233" si="143">IF($E82&gt;H$66,0,IF($E82&lt;H$66-365,$D82,0))</f>
        <v>0</v>
      </c>
      <c r="I233" s="12">
        <f t="shared" si="143"/>
        <v>0</v>
      </c>
      <c r="J233" s="12">
        <f t="shared" si="143"/>
        <v>0</v>
      </c>
      <c r="K233" s="12">
        <f t="shared" si="143"/>
        <v>0</v>
      </c>
      <c r="L233" s="12">
        <f t="shared" si="143"/>
        <v>0</v>
      </c>
      <c r="M233" s="12">
        <f t="shared" si="143"/>
        <v>0</v>
      </c>
      <c r="N233" s="12">
        <f t="shared" si="143"/>
        <v>0</v>
      </c>
      <c r="O233" s="12">
        <f t="shared" si="143"/>
        <v>0</v>
      </c>
      <c r="P233" s="12">
        <f t="shared" si="143"/>
        <v>0</v>
      </c>
      <c r="Q233" s="12">
        <f t="shared" si="143"/>
        <v>0</v>
      </c>
    </row>
    <row r="234" spans="7:28">
      <c r="G234" s="12">
        <f t="shared" si="139"/>
        <v>0</v>
      </c>
      <c r="H234" s="12">
        <f t="shared" ref="H234:Q234" si="144">IF($E83&gt;H$66,0,IF($E83&lt;H$66-365,$D83,0))</f>
        <v>0</v>
      </c>
      <c r="I234" s="12">
        <f t="shared" si="144"/>
        <v>0</v>
      </c>
      <c r="J234" s="12">
        <f t="shared" si="144"/>
        <v>0</v>
      </c>
      <c r="K234" s="12">
        <f t="shared" si="144"/>
        <v>0</v>
      </c>
      <c r="L234" s="12">
        <f t="shared" si="144"/>
        <v>0</v>
      </c>
      <c r="M234" s="12">
        <f t="shared" si="144"/>
        <v>0</v>
      </c>
      <c r="N234" s="12">
        <f t="shared" si="144"/>
        <v>0</v>
      </c>
      <c r="O234" s="12">
        <f t="shared" si="144"/>
        <v>0</v>
      </c>
      <c r="P234" s="12">
        <f t="shared" si="144"/>
        <v>0</v>
      </c>
      <c r="Q234" s="12">
        <f t="shared" si="144"/>
        <v>0</v>
      </c>
    </row>
    <row r="235" spans="7:28">
      <c r="G235" s="12">
        <f t="shared" si="139"/>
        <v>0</v>
      </c>
      <c r="H235" s="12">
        <f t="shared" ref="H235:Q235" si="145">IF($E84&gt;H$66,0,IF($E84&lt;H$66-365,$D84,0))</f>
        <v>0</v>
      </c>
      <c r="I235" s="12">
        <f t="shared" si="145"/>
        <v>0</v>
      </c>
      <c r="J235" s="12">
        <f t="shared" si="145"/>
        <v>0</v>
      </c>
      <c r="K235" s="12">
        <f t="shared" si="145"/>
        <v>0</v>
      </c>
      <c r="L235" s="12">
        <f t="shared" si="145"/>
        <v>0</v>
      </c>
      <c r="M235" s="12">
        <f t="shared" si="145"/>
        <v>0</v>
      </c>
      <c r="N235" s="12">
        <f t="shared" si="145"/>
        <v>0</v>
      </c>
      <c r="O235" s="12">
        <f t="shared" si="145"/>
        <v>0</v>
      </c>
      <c r="P235" s="12">
        <f t="shared" si="145"/>
        <v>0</v>
      </c>
      <c r="Q235" s="12">
        <f t="shared" si="145"/>
        <v>0</v>
      </c>
    </row>
    <row r="236" spans="7:28">
      <c r="G236" s="12">
        <f t="shared" si="139"/>
        <v>0</v>
      </c>
      <c r="H236" s="12">
        <f t="shared" ref="H236:Q236" si="146">IF($E85&gt;H$66,0,IF($E85&lt;H$66-365,$D85,0))</f>
        <v>0</v>
      </c>
      <c r="I236" s="12">
        <f t="shared" si="146"/>
        <v>0</v>
      </c>
      <c r="J236" s="12">
        <f t="shared" si="146"/>
        <v>0</v>
      </c>
      <c r="K236" s="12">
        <f t="shared" si="146"/>
        <v>0</v>
      </c>
      <c r="L236" s="12">
        <f t="shared" si="146"/>
        <v>0</v>
      </c>
      <c r="M236" s="12">
        <f t="shared" si="146"/>
        <v>0</v>
      </c>
      <c r="N236" s="12">
        <f t="shared" si="146"/>
        <v>0</v>
      </c>
      <c r="O236" s="12">
        <f t="shared" si="146"/>
        <v>0</v>
      </c>
      <c r="P236" s="12">
        <f t="shared" si="146"/>
        <v>0</v>
      </c>
      <c r="Q236" s="12">
        <f t="shared" si="146"/>
        <v>0</v>
      </c>
    </row>
    <row r="237" spans="7:28">
      <c r="G237" s="12">
        <f t="shared" si="139"/>
        <v>0</v>
      </c>
      <c r="H237" s="12">
        <f t="shared" ref="H237:Q237" si="147">IF($E86&gt;H$66,0,IF($E86&lt;H$66-365,$D86,0))</f>
        <v>0</v>
      </c>
      <c r="I237" s="12">
        <f t="shared" si="147"/>
        <v>0</v>
      </c>
      <c r="J237" s="12">
        <f t="shared" si="147"/>
        <v>0</v>
      </c>
      <c r="K237" s="12">
        <f t="shared" si="147"/>
        <v>0</v>
      </c>
      <c r="L237" s="12">
        <f t="shared" si="147"/>
        <v>0</v>
      </c>
      <c r="M237" s="12">
        <f t="shared" si="147"/>
        <v>0</v>
      </c>
      <c r="N237" s="12">
        <f t="shared" si="147"/>
        <v>0</v>
      </c>
      <c r="O237" s="12">
        <f t="shared" si="147"/>
        <v>0</v>
      </c>
      <c r="P237" s="12">
        <f t="shared" si="147"/>
        <v>0</v>
      </c>
      <c r="Q237" s="12">
        <f t="shared" si="147"/>
        <v>0</v>
      </c>
    </row>
    <row r="238" spans="7:28">
      <c r="G238" s="12">
        <f t="shared" si="139"/>
        <v>0</v>
      </c>
      <c r="H238" s="12">
        <f t="shared" ref="H238:Q238" si="148">IF($E87&gt;H$66,0,IF($E87&lt;H$66-365,$D87,0))</f>
        <v>0</v>
      </c>
      <c r="I238" s="12">
        <f t="shared" si="148"/>
        <v>0</v>
      </c>
      <c r="J238" s="12">
        <f t="shared" si="148"/>
        <v>0</v>
      </c>
      <c r="K238" s="12">
        <f t="shared" si="148"/>
        <v>0</v>
      </c>
      <c r="L238" s="12">
        <f t="shared" si="148"/>
        <v>0</v>
      </c>
      <c r="M238" s="12">
        <f t="shared" si="148"/>
        <v>0</v>
      </c>
      <c r="N238" s="12">
        <f t="shared" si="148"/>
        <v>0</v>
      </c>
      <c r="O238" s="12">
        <f t="shared" si="148"/>
        <v>0</v>
      </c>
      <c r="P238" s="12">
        <f t="shared" si="148"/>
        <v>0</v>
      </c>
      <c r="Q238" s="12">
        <f t="shared" si="148"/>
        <v>0</v>
      </c>
    </row>
    <row r="239" spans="7:28">
      <c r="G239" s="12">
        <f t="shared" si="139"/>
        <v>0</v>
      </c>
      <c r="H239" s="12">
        <f t="shared" ref="H239:Q239" si="149">IF($E88&gt;H$66,0,IF($E88&lt;H$66-365,$D88,0))</f>
        <v>0</v>
      </c>
      <c r="I239" s="12">
        <f t="shared" si="149"/>
        <v>0</v>
      </c>
      <c r="J239" s="12">
        <f t="shared" si="149"/>
        <v>0</v>
      </c>
      <c r="K239" s="12">
        <f t="shared" si="149"/>
        <v>0</v>
      </c>
      <c r="L239" s="12">
        <f t="shared" si="149"/>
        <v>0</v>
      </c>
      <c r="M239" s="12">
        <f t="shared" si="149"/>
        <v>0</v>
      </c>
      <c r="N239" s="12">
        <f t="shared" si="149"/>
        <v>0</v>
      </c>
      <c r="O239" s="12">
        <f t="shared" si="149"/>
        <v>0</v>
      </c>
      <c r="P239" s="12">
        <f t="shared" si="149"/>
        <v>0</v>
      </c>
      <c r="Q239" s="12">
        <f t="shared" si="149"/>
        <v>0</v>
      </c>
    </row>
    <row r="240" spans="7:28">
      <c r="G240" s="12">
        <f t="shared" si="139"/>
        <v>0</v>
      </c>
      <c r="H240" s="12">
        <f t="shared" ref="H240:Q240" si="150">IF($E89&gt;H$66,0,IF($E89&lt;H$66-365,$D89,0))</f>
        <v>0</v>
      </c>
      <c r="I240" s="12">
        <f t="shared" si="150"/>
        <v>0</v>
      </c>
      <c r="J240" s="12">
        <f t="shared" si="150"/>
        <v>0</v>
      </c>
      <c r="K240" s="12">
        <f t="shared" si="150"/>
        <v>0</v>
      </c>
      <c r="L240" s="12">
        <f t="shared" si="150"/>
        <v>0</v>
      </c>
      <c r="M240" s="12">
        <f t="shared" si="150"/>
        <v>0</v>
      </c>
      <c r="N240" s="12">
        <f t="shared" si="150"/>
        <v>0</v>
      </c>
      <c r="O240" s="12">
        <f t="shared" si="150"/>
        <v>0</v>
      </c>
      <c r="P240" s="12">
        <f t="shared" si="150"/>
        <v>0</v>
      </c>
      <c r="Q240" s="12">
        <f t="shared" si="150"/>
        <v>0</v>
      </c>
    </row>
    <row r="241" spans="7:17">
      <c r="G241" s="12">
        <f t="shared" si="139"/>
        <v>0</v>
      </c>
      <c r="H241" s="12">
        <f t="shared" ref="H241:Q241" si="151">IF($E90&gt;H$66,0,IF($E90&lt;H$66-365,$D90,0))</f>
        <v>0</v>
      </c>
      <c r="I241" s="12">
        <f t="shared" si="151"/>
        <v>0</v>
      </c>
      <c r="J241" s="12">
        <f t="shared" si="151"/>
        <v>0</v>
      </c>
      <c r="K241" s="12">
        <f t="shared" si="151"/>
        <v>0</v>
      </c>
      <c r="L241" s="12">
        <f t="shared" si="151"/>
        <v>0</v>
      </c>
      <c r="M241" s="12">
        <f t="shared" si="151"/>
        <v>0</v>
      </c>
      <c r="N241" s="12">
        <f t="shared" si="151"/>
        <v>0</v>
      </c>
      <c r="O241" s="12">
        <f t="shared" si="151"/>
        <v>0</v>
      </c>
      <c r="P241" s="12">
        <f t="shared" si="151"/>
        <v>0</v>
      </c>
      <c r="Q241" s="12">
        <f t="shared" si="151"/>
        <v>0</v>
      </c>
    </row>
    <row r="242" spans="7:17">
      <c r="G242" s="12">
        <f t="shared" si="139"/>
        <v>0</v>
      </c>
      <c r="H242" s="12">
        <f t="shared" ref="H242:Q242" si="152">IF($E91&gt;H$66,0,IF($E91&lt;H$66-365,$D91,0))</f>
        <v>0</v>
      </c>
      <c r="I242" s="12">
        <f t="shared" si="152"/>
        <v>0</v>
      </c>
      <c r="J242" s="12">
        <f t="shared" si="152"/>
        <v>0</v>
      </c>
      <c r="K242" s="12">
        <f t="shared" si="152"/>
        <v>0</v>
      </c>
      <c r="L242" s="12">
        <f t="shared" si="152"/>
        <v>0</v>
      </c>
      <c r="M242" s="12">
        <f t="shared" si="152"/>
        <v>0</v>
      </c>
      <c r="N242" s="12">
        <f t="shared" si="152"/>
        <v>0</v>
      </c>
      <c r="O242" s="12">
        <f t="shared" si="152"/>
        <v>0</v>
      </c>
      <c r="P242" s="12">
        <f t="shared" si="152"/>
        <v>0</v>
      </c>
      <c r="Q242" s="12">
        <f t="shared" si="152"/>
        <v>0</v>
      </c>
    </row>
    <row r="243" spans="7:17">
      <c r="G243" s="12">
        <f t="shared" si="139"/>
        <v>0</v>
      </c>
      <c r="H243" s="12">
        <f t="shared" ref="H243:Q243" si="153">IF($E92&gt;H$66,0,IF($E92&lt;H$66-365,$D92,0))</f>
        <v>0</v>
      </c>
      <c r="I243" s="12">
        <f t="shared" si="153"/>
        <v>0</v>
      </c>
      <c r="J243" s="12">
        <f t="shared" si="153"/>
        <v>0</v>
      </c>
      <c r="K243" s="12">
        <f t="shared" si="153"/>
        <v>0</v>
      </c>
      <c r="L243" s="12">
        <f t="shared" si="153"/>
        <v>0</v>
      </c>
      <c r="M243" s="12">
        <f t="shared" si="153"/>
        <v>0</v>
      </c>
      <c r="N243" s="12">
        <f t="shared" si="153"/>
        <v>0</v>
      </c>
      <c r="O243" s="12">
        <f t="shared" si="153"/>
        <v>0</v>
      </c>
      <c r="P243" s="12">
        <f t="shared" si="153"/>
        <v>0</v>
      </c>
      <c r="Q243" s="12">
        <f t="shared" si="153"/>
        <v>0</v>
      </c>
    </row>
    <row r="244" spans="7:17">
      <c r="G244" s="12">
        <f t="shared" si="139"/>
        <v>0</v>
      </c>
      <c r="H244" s="12">
        <f t="shared" ref="H244:Q244" si="154">IF($E93&gt;H$66,0,IF($E93&lt;H$66-365,$D93,0))</f>
        <v>0</v>
      </c>
      <c r="I244" s="12">
        <f t="shared" si="154"/>
        <v>0</v>
      </c>
      <c r="J244" s="12">
        <f t="shared" si="154"/>
        <v>0</v>
      </c>
      <c r="K244" s="12">
        <f t="shared" si="154"/>
        <v>0</v>
      </c>
      <c r="L244" s="12">
        <f t="shared" si="154"/>
        <v>0</v>
      </c>
      <c r="M244" s="12">
        <f t="shared" si="154"/>
        <v>0</v>
      </c>
      <c r="N244" s="12">
        <f t="shared" si="154"/>
        <v>0</v>
      </c>
      <c r="O244" s="12">
        <f t="shared" si="154"/>
        <v>0</v>
      </c>
      <c r="P244" s="12">
        <f t="shared" si="154"/>
        <v>0</v>
      </c>
      <c r="Q244" s="12">
        <f t="shared" si="154"/>
        <v>0</v>
      </c>
    </row>
    <row r="245" spans="7:17">
      <c r="G245" s="12">
        <f t="shared" si="139"/>
        <v>0</v>
      </c>
      <c r="H245" s="12">
        <f t="shared" ref="H245:Q245" si="155">IF($E94&gt;H$66,0,IF($E94&lt;H$66-365,$D94,0))</f>
        <v>0</v>
      </c>
      <c r="I245" s="12">
        <f t="shared" si="155"/>
        <v>0</v>
      </c>
      <c r="J245" s="12">
        <f t="shared" si="155"/>
        <v>0</v>
      </c>
      <c r="K245" s="12">
        <f t="shared" si="155"/>
        <v>0</v>
      </c>
      <c r="L245" s="12">
        <f t="shared" si="155"/>
        <v>0</v>
      </c>
      <c r="M245" s="12">
        <f t="shared" si="155"/>
        <v>0</v>
      </c>
      <c r="N245" s="12">
        <f t="shared" si="155"/>
        <v>0</v>
      </c>
      <c r="O245" s="12">
        <f t="shared" si="155"/>
        <v>0</v>
      </c>
      <c r="P245" s="12">
        <f t="shared" si="155"/>
        <v>0</v>
      </c>
      <c r="Q245" s="12">
        <f t="shared" si="155"/>
        <v>0</v>
      </c>
    </row>
    <row r="246" spans="7:17">
      <c r="G246" s="12">
        <f t="shared" si="139"/>
        <v>0</v>
      </c>
      <c r="H246" s="12">
        <f t="shared" ref="H246:Q246" si="156">IF($E95&gt;H$66,0,IF($E95&lt;H$66-365,$D95,0))</f>
        <v>0</v>
      </c>
      <c r="I246" s="12">
        <f t="shared" si="156"/>
        <v>0</v>
      </c>
      <c r="J246" s="12">
        <f t="shared" si="156"/>
        <v>0</v>
      </c>
      <c r="K246" s="12">
        <f t="shared" si="156"/>
        <v>0</v>
      </c>
      <c r="L246" s="12">
        <f t="shared" si="156"/>
        <v>0</v>
      </c>
      <c r="M246" s="12">
        <f t="shared" si="156"/>
        <v>0</v>
      </c>
      <c r="N246" s="12">
        <f t="shared" si="156"/>
        <v>0</v>
      </c>
      <c r="O246" s="12">
        <f t="shared" si="156"/>
        <v>0</v>
      </c>
      <c r="P246" s="12">
        <f t="shared" si="156"/>
        <v>0</v>
      </c>
      <c r="Q246" s="12">
        <f t="shared" si="156"/>
        <v>0</v>
      </c>
    </row>
    <row r="247" spans="7:17">
      <c r="G247" s="12">
        <f t="shared" si="139"/>
        <v>0</v>
      </c>
      <c r="H247" s="12">
        <f t="shared" ref="H247:Q247" si="157">IF($E96&gt;H$66,0,IF($E96&lt;H$66-365,$D96,0))</f>
        <v>0</v>
      </c>
      <c r="I247" s="12">
        <f t="shared" si="157"/>
        <v>0</v>
      </c>
      <c r="J247" s="12">
        <f t="shared" si="157"/>
        <v>0</v>
      </c>
      <c r="K247" s="12">
        <f t="shared" si="157"/>
        <v>0</v>
      </c>
      <c r="L247" s="12">
        <f t="shared" si="157"/>
        <v>0</v>
      </c>
      <c r="M247" s="12">
        <f t="shared" si="157"/>
        <v>0</v>
      </c>
      <c r="N247" s="12">
        <f t="shared" si="157"/>
        <v>0</v>
      </c>
      <c r="O247" s="12">
        <f t="shared" si="157"/>
        <v>0</v>
      </c>
      <c r="P247" s="12">
        <f t="shared" si="157"/>
        <v>0</v>
      </c>
      <c r="Q247" s="12">
        <f t="shared" si="157"/>
        <v>0</v>
      </c>
    </row>
    <row r="248" spans="7:17">
      <c r="G248" s="12">
        <f t="shared" si="139"/>
        <v>0</v>
      </c>
      <c r="H248" s="12">
        <f t="shared" ref="H248:Q248" si="158">IF($E97&gt;H$66,0,IF($E97&lt;H$66-365,$D97,0))</f>
        <v>0</v>
      </c>
      <c r="I248" s="12">
        <f t="shared" si="158"/>
        <v>0</v>
      </c>
      <c r="J248" s="12">
        <f t="shared" si="158"/>
        <v>0</v>
      </c>
      <c r="K248" s="12">
        <f t="shared" si="158"/>
        <v>0</v>
      </c>
      <c r="L248" s="12">
        <f t="shared" si="158"/>
        <v>0</v>
      </c>
      <c r="M248" s="12">
        <f t="shared" si="158"/>
        <v>0</v>
      </c>
      <c r="N248" s="12">
        <f t="shared" si="158"/>
        <v>0</v>
      </c>
      <c r="O248" s="12">
        <f t="shared" si="158"/>
        <v>0</v>
      </c>
      <c r="P248" s="12">
        <f t="shared" si="158"/>
        <v>0</v>
      </c>
      <c r="Q248" s="12">
        <f t="shared" si="158"/>
        <v>0</v>
      </c>
    </row>
    <row r="249" spans="7:17">
      <c r="G249" s="12">
        <f t="shared" si="139"/>
        <v>0</v>
      </c>
      <c r="H249" s="12">
        <f t="shared" ref="H249:Q249" si="159">IF($E98&gt;H$66,0,IF($E98&lt;H$66-365,$D98,0))</f>
        <v>0</v>
      </c>
      <c r="I249" s="12">
        <f t="shared" si="159"/>
        <v>0</v>
      </c>
      <c r="J249" s="12">
        <f t="shared" si="159"/>
        <v>0</v>
      </c>
      <c r="K249" s="12">
        <f t="shared" si="159"/>
        <v>0</v>
      </c>
      <c r="L249" s="12">
        <f t="shared" si="159"/>
        <v>0</v>
      </c>
      <c r="M249" s="12">
        <f t="shared" si="159"/>
        <v>0</v>
      </c>
      <c r="N249" s="12">
        <f t="shared" si="159"/>
        <v>0</v>
      </c>
      <c r="O249" s="12">
        <f t="shared" si="159"/>
        <v>0</v>
      </c>
      <c r="P249" s="12">
        <f t="shared" si="159"/>
        <v>0</v>
      </c>
      <c r="Q249" s="12">
        <f t="shared" si="159"/>
        <v>0</v>
      </c>
    </row>
    <row r="250" spans="7:17">
      <c r="G250" s="12">
        <f t="shared" si="139"/>
        <v>0</v>
      </c>
      <c r="H250" s="12">
        <f t="shared" ref="H250:Q250" si="160">IF($E99&gt;H$66,0,IF($E99&lt;H$66-365,$D99,0))</f>
        <v>0</v>
      </c>
      <c r="I250" s="12">
        <f t="shared" si="160"/>
        <v>0</v>
      </c>
      <c r="J250" s="12">
        <f t="shared" si="160"/>
        <v>0</v>
      </c>
      <c r="K250" s="12">
        <f t="shared" si="160"/>
        <v>0</v>
      </c>
      <c r="L250" s="12">
        <f t="shared" si="160"/>
        <v>0</v>
      </c>
      <c r="M250" s="12">
        <f t="shared" si="160"/>
        <v>0</v>
      </c>
      <c r="N250" s="12">
        <f t="shared" si="160"/>
        <v>0</v>
      </c>
      <c r="O250" s="12">
        <f t="shared" si="160"/>
        <v>0</v>
      </c>
      <c r="P250" s="12">
        <f t="shared" si="160"/>
        <v>0</v>
      </c>
      <c r="Q250" s="12">
        <f t="shared" si="160"/>
        <v>0</v>
      </c>
    </row>
    <row r="251" spans="7:17">
      <c r="G251" s="12">
        <f t="shared" si="139"/>
        <v>0</v>
      </c>
      <c r="H251" s="12">
        <f t="shared" ref="H251:Q251" si="161">IF($E100&gt;H$66,0,IF($E100&lt;H$66-365,$D100,0))</f>
        <v>0</v>
      </c>
      <c r="I251" s="12">
        <f t="shared" si="161"/>
        <v>0</v>
      </c>
      <c r="J251" s="12">
        <f t="shared" si="161"/>
        <v>0</v>
      </c>
      <c r="K251" s="12">
        <f t="shared" si="161"/>
        <v>0</v>
      </c>
      <c r="L251" s="12">
        <f t="shared" si="161"/>
        <v>0</v>
      </c>
      <c r="M251" s="12">
        <f t="shared" si="161"/>
        <v>0</v>
      </c>
      <c r="N251" s="12">
        <f t="shared" si="161"/>
        <v>0</v>
      </c>
      <c r="O251" s="12">
        <f t="shared" si="161"/>
        <v>0</v>
      </c>
      <c r="P251" s="12">
        <f t="shared" si="161"/>
        <v>0</v>
      </c>
      <c r="Q251" s="12">
        <f t="shared" si="161"/>
        <v>0</v>
      </c>
    </row>
    <row r="252" spans="7:17">
      <c r="G252" s="12">
        <f t="shared" si="139"/>
        <v>0</v>
      </c>
      <c r="H252" s="12">
        <f t="shared" ref="H252:Q252" si="162">IF($E101&gt;H$66,0,IF($E101&lt;H$66-365,$D101,0))</f>
        <v>0</v>
      </c>
      <c r="I252" s="12">
        <f t="shared" si="162"/>
        <v>0</v>
      </c>
      <c r="J252" s="12">
        <f t="shared" si="162"/>
        <v>0</v>
      </c>
      <c r="K252" s="12">
        <f t="shared" si="162"/>
        <v>0</v>
      </c>
      <c r="L252" s="12">
        <f t="shared" si="162"/>
        <v>0</v>
      </c>
      <c r="M252" s="12">
        <f t="shared" si="162"/>
        <v>0</v>
      </c>
      <c r="N252" s="12">
        <f t="shared" si="162"/>
        <v>0</v>
      </c>
      <c r="O252" s="12">
        <f t="shared" si="162"/>
        <v>0</v>
      </c>
      <c r="P252" s="12">
        <f t="shared" si="162"/>
        <v>0</v>
      </c>
      <c r="Q252" s="12">
        <f t="shared" si="162"/>
        <v>0</v>
      </c>
    </row>
    <row r="253" spans="7:17">
      <c r="G253" s="12">
        <f t="shared" si="139"/>
        <v>0</v>
      </c>
      <c r="H253" s="12">
        <f t="shared" ref="H253:Q253" si="163">IF($E102&gt;H$66,0,IF($E102&lt;H$66-365,$D102,0))</f>
        <v>0</v>
      </c>
      <c r="I253" s="12">
        <f t="shared" si="163"/>
        <v>0</v>
      </c>
      <c r="J253" s="12">
        <f t="shared" si="163"/>
        <v>0</v>
      </c>
      <c r="K253" s="12">
        <f t="shared" si="163"/>
        <v>0</v>
      </c>
      <c r="L253" s="12">
        <f t="shared" si="163"/>
        <v>0</v>
      </c>
      <c r="M253" s="12">
        <f t="shared" si="163"/>
        <v>0</v>
      </c>
      <c r="N253" s="12">
        <f t="shared" si="163"/>
        <v>0</v>
      </c>
      <c r="O253" s="12">
        <f t="shared" si="163"/>
        <v>0</v>
      </c>
      <c r="P253" s="12">
        <f t="shared" si="163"/>
        <v>0</v>
      </c>
      <c r="Q253" s="12">
        <f t="shared" si="163"/>
        <v>0</v>
      </c>
    </row>
    <row r="254" spans="7:17">
      <c r="G254" s="12">
        <f t="shared" si="139"/>
        <v>0</v>
      </c>
      <c r="H254" s="12">
        <f t="shared" ref="H254:Q254" si="164">IF($E103&gt;H$66,0,IF($E103&lt;H$66-365,$D103,0))</f>
        <v>0</v>
      </c>
      <c r="I254" s="12">
        <f t="shared" si="164"/>
        <v>0</v>
      </c>
      <c r="J254" s="12">
        <f t="shared" si="164"/>
        <v>0</v>
      </c>
      <c r="K254" s="12">
        <f t="shared" si="164"/>
        <v>0</v>
      </c>
      <c r="L254" s="12">
        <f t="shared" si="164"/>
        <v>0</v>
      </c>
      <c r="M254" s="12">
        <f t="shared" si="164"/>
        <v>0</v>
      </c>
      <c r="N254" s="12">
        <f t="shared" si="164"/>
        <v>0</v>
      </c>
      <c r="O254" s="12">
        <f t="shared" si="164"/>
        <v>0</v>
      </c>
      <c r="P254" s="12">
        <f t="shared" si="164"/>
        <v>0</v>
      </c>
      <c r="Q254" s="12">
        <f t="shared" si="164"/>
        <v>0</v>
      </c>
    </row>
    <row r="255" spans="7:17">
      <c r="G255" s="12">
        <f t="shared" si="139"/>
        <v>0</v>
      </c>
      <c r="H255" s="12">
        <f t="shared" ref="H255:Q255" si="165">IF($E104&gt;H$66,0,IF($E104&lt;H$66-365,$D104,0))</f>
        <v>0</v>
      </c>
      <c r="I255" s="12">
        <f t="shared" si="165"/>
        <v>0</v>
      </c>
      <c r="J255" s="12">
        <f t="shared" si="165"/>
        <v>0</v>
      </c>
      <c r="K255" s="12">
        <f t="shared" si="165"/>
        <v>0</v>
      </c>
      <c r="L255" s="12">
        <f t="shared" si="165"/>
        <v>0</v>
      </c>
      <c r="M255" s="12">
        <f t="shared" si="165"/>
        <v>0</v>
      </c>
      <c r="N255" s="12">
        <f t="shared" si="165"/>
        <v>0</v>
      </c>
      <c r="O255" s="12">
        <f t="shared" si="165"/>
        <v>0</v>
      </c>
      <c r="P255" s="12">
        <f t="shared" si="165"/>
        <v>0</v>
      </c>
      <c r="Q255" s="12">
        <f t="shared" si="165"/>
        <v>0</v>
      </c>
    </row>
    <row r="256" spans="7:17">
      <c r="G256" s="12">
        <f t="shared" si="139"/>
        <v>0</v>
      </c>
      <c r="H256" s="12">
        <f t="shared" ref="H256:Q256" si="166">IF($E105&gt;H$66,0,IF($E105&lt;H$66-365,$D105,0))</f>
        <v>0</v>
      </c>
      <c r="I256" s="12">
        <f t="shared" si="166"/>
        <v>0</v>
      </c>
      <c r="J256" s="12">
        <f t="shared" si="166"/>
        <v>0</v>
      </c>
      <c r="K256" s="12">
        <f t="shared" si="166"/>
        <v>0</v>
      </c>
      <c r="L256" s="12">
        <f t="shared" si="166"/>
        <v>0</v>
      </c>
      <c r="M256" s="12">
        <f t="shared" si="166"/>
        <v>0</v>
      </c>
      <c r="N256" s="12">
        <f t="shared" si="166"/>
        <v>0</v>
      </c>
      <c r="O256" s="12">
        <f t="shared" si="166"/>
        <v>0</v>
      </c>
      <c r="P256" s="12">
        <f t="shared" si="166"/>
        <v>0</v>
      </c>
      <c r="Q256" s="12">
        <f t="shared" si="166"/>
        <v>0</v>
      </c>
    </row>
    <row r="257" spans="6:18">
      <c r="G257" s="12">
        <f t="shared" si="139"/>
        <v>0</v>
      </c>
      <c r="H257" s="12">
        <f t="shared" ref="H257:Q257" si="167">IF($E106&gt;H$66,0,IF($E106&lt;H$66-365,$D106,0))</f>
        <v>0</v>
      </c>
      <c r="I257" s="12">
        <f t="shared" si="167"/>
        <v>0</v>
      </c>
      <c r="J257" s="12">
        <f t="shared" si="167"/>
        <v>0</v>
      </c>
      <c r="K257" s="12">
        <f t="shared" si="167"/>
        <v>0</v>
      </c>
      <c r="L257" s="12">
        <f t="shared" si="167"/>
        <v>0</v>
      </c>
      <c r="M257" s="12">
        <f t="shared" si="167"/>
        <v>0</v>
      </c>
      <c r="N257" s="12">
        <f t="shared" si="167"/>
        <v>0</v>
      </c>
      <c r="O257" s="12">
        <f t="shared" si="167"/>
        <v>0</v>
      </c>
      <c r="P257" s="12">
        <f t="shared" si="167"/>
        <v>0</v>
      </c>
      <c r="Q257" s="12">
        <f t="shared" si="167"/>
        <v>0</v>
      </c>
    </row>
    <row r="258" spans="6:18">
      <c r="G258" s="12">
        <f t="shared" si="139"/>
        <v>0</v>
      </c>
      <c r="H258" s="12">
        <f t="shared" ref="H258:Q258" si="168">IF($E107&gt;H$66,0,IF($E107&lt;H$66-365,$D107,0))</f>
        <v>0</v>
      </c>
      <c r="I258" s="12">
        <f t="shared" si="168"/>
        <v>0</v>
      </c>
      <c r="J258" s="12">
        <f t="shared" si="168"/>
        <v>0</v>
      </c>
      <c r="K258" s="12">
        <f t="shared" si="168"/>
        <v>0</v>
      </c>
      <c r="L258" s="12">
        <f t="shared" si="168"/>
        <v>0</v>
      </c>
      <c r="M258" s="12">
        <f t="shared" si="168"/>
        <v>0</v>
      </c>
      <c r="N258" s="12">
        <f t="shared" si="168"/>
        <v>0</v>
      </c>
      <c r="O258" s="12">
        <f t="shared" si="168"/>
        <v>0</v>
      </c>
      <c r="P258" s="12">
        <f t="shared" si="168"/>
        <v>0</v>
      </c>
      <c r="Q258" s="12">
        <f t="shared" si="168"/>
        <v>0</v>
      </c>
    </row>
    <row r="259" spans="6:18">
      <c r="G259" s="12">
        <f t="shared" si="139"/>
        <v>0</v>
      </c>
      <c r="H259" s="12">
        <f t="shared" ref="H259:Q259" si="169">IF($E108&gt;H$66,0,IF($E108&lt;H$66-365,$D108,0))</f>
        <v>0</v>
      </c>
      <c r="I259" s="12">
        <f t="shared" si="169"/>
        <v>0</v>
      </c>
      <c r="J259" s="12">
        <f t="shared" si="169"/>
        <v>0</v>
      </c>
      <c r="K259" s="12">
        <f t="shared" si="169"/>
        <v>0</v>
      </c>
      <c r="L259" s="12">
        <f t="shared" si="169"/>
        <v>0</v>
      </c>
      <c r="M259" s="12">
        <f t="shared" si="169"/>
        <v>0</v>
      </c>
      <c r="N259" s="12">
        <f t="shared" si="169"/>
        <v>0</v>
      </c>
      <c r="O259" s="12">
        <f t="shared" si="169"/>
        <v>0</v>
      </c>
      <c r="P259" s="12">
        <f t="shared" si="169"/>
        <v>0</v>
      </c>
      <c r="Q259" s="12">
        <f t="shared" si="169"/>
        <v>0</v>
      </c>
    </row>
    <row r="260" spans="6:18">
      <c r="G260" s="12">
        <f t="shared" si="139"/>
        <v>0</v>
      </c>
      <c r="H260" s="12">
        <f t="shared" ref="H260:Q260" si="170">IF($E109&gt;H$66,0,IF($E109&lt;H$66-365,$D109,0))</f>
        <v>0</v>
      </c>
      <c r="I260" s="12">
        <f t="shared" si="170"/>
        <v>0</v>
      </c>
      <c r="J260" s="12">
        <f t="shared" si="170"/>
        <v>0</v>
      </c>
      <c r="K260" s="12">
        <f t="shared" si="170"/>
        <v>0</v>
      </c>
      <c r="L260" s="12">
        <f t="shared" si="170"/>
        <v>0</v>
      </c>
      <c r="M260" s="12">
        <f t="shared" si="170"/>
        <v>0</v>
      </c>
      <c r="N260" s="12">
        <f t="shared" si="170"/>
        <v>0</v>
      </c>
      <c r="O260" s="12">
        <f t="shared" si="170"/>
        <v>0</v>
      </c>
      <c r="P260" s="12">
        <f t="shared" si="170"/>
        <v>0</v>
      </c>
      <c r="Q260" s="12">
        <f t="shared" si="170"/>
        <v>0</v>
      </c>
    </row>
    <row r="261" spans="6:18">
      <c r="G261" s="12">
        <f t="shared" si="139"/>
        <v>0</v>
      </c>
      <c r="H261" s="12">
        <f t="shared" ref="H261:Q261" si="171">IF($E110&gt;H$66,0,IF($E110&lt;H$66-365,$D110,0))</f>
        <v>0</v>
      </c>
      <c r="I261" s="12">
        <f t="shared" si="171"/>
        <v>0</v>
      </c>
      <c r="J261" s="12">
        <f t="shared" si="171"/>
        <v>0</v>
      </c>
      <c r="K261" s="12">
        <f t="shared" si="171"/>
        <v>0</v>
      </c>
      <c r="L261" s="12">
        <f t="shared" si="171"/>
        <v>0</v>
      </c>
      <c r="M261" s="12">
        <f t="shared" si="171"/>
        <v>0</v>
      </c>
      <c r="N261" s="12">
        <f t="shared" si="171"/>
        <v>0</v>
      </c>
      <c r="O261" s="12">
        <f t="shared" si="171"/>
        <v>0</v>
      </c>
      <c r="P261" s="12">
        <f t="shared" si="171"/>
        <v>0</v>
      </c>
      <c r="Q261" s="12">
        <f t="shared" si="171"/>
        <v>0</v>
      </c>
    </row>
    <row r="262" spans="6:18">
      <c r="G262" s="12">
        <f t="shared" si="139"/>
        <v>0</v>
      </c>
      <c r="H262" s="12">
        <f t="shared" ref="H262:Q262" si="172">IF($E111&gt;H$66,0,IF($E111&lt;H$66-365,$D111,0))</f>
        <v>0</v>
      </c>
      <c r="I262" s="12">
        <f t="shared" si="172"/>
        <v>0</v>
      </c>
      <c r="J262" s="12">
        <f t="shared" si="172"/>
        <v>0</v>
      </c>
      <c r="K262" s="12">
        <f t="shared" si="172"/>
        <v>0</v>
      </c>
      <c r="L262" s="12">
        <f t="shared" si="172"/>
        <v>0</v>
      </c>
      <c r="M262" s="12">
        <f t="shared" si="172"/>
        <v>0</v>
      </c>
      <c r="N262" s="12">
        <f t="shared" si="172"/>
        <v>0</v>
      </c>
      <c r="O262" s="12">
        <f t="shared" si="172"/>
        <v>0</v>
      </c>
      <c r="P262" s="12">
        <f t="shared" si="172"/>
        <v>0</v>
      </c>
      <c r="Q262" s="12">
        <f t="shared" si="172"/>
        <v>0</v>
      </c>
    </row>
    <row r="263" spans="6:18">
      <c r="G263" s="12">
        <f t="shared" si="139"/>
        <v>0</v>
      </c>
      <c r="H263" s="12">
        <f t="shared" ref="H263:Q263" si="173">IF($E112&gt;H$66,0,IF($E112&lt;H$66-365,$D112,0))</f>
        <v>0</v>
      </c>
      <c r="I263" s="12">
        <f t="shared" si="173"/>
        <v>0</v>
      </c>
      <c r="J263" s="12">
        <f t="shared" si="173"/>
        <v>0</v>
      </c>
      <c r="K263" s="12">
        <f t="shared" si="173"/>
        <v>0</v>
      </c>
      <c r="L263" s="12">
        <f t="shared" si="173"/>
        <v>0</v>
      </c>
      <c r="M263" s="12">
        <f t="shared" si="173"/>
        <v>0</v>
      </c>
      <c r="N263" s="12">
        <f t="shared" si="173"/>
        <v>0</v>
      </c>
      <c r="O263" s="12">
        <f t="shared" si="173"/>
        <v>0</v>
      </c>
      <c r="P263" s="12">
        <f t="shared" si="173"/>
        <v>0</v>
      </c>
      <c r="Q263" s="12">
        <f t="shared" si="173"/>
        <v>0</v>
      </c>
    </row>
    <row r="264" spans="6:18">
      <c r="G264" s="12">
        <f t="shared" si="139"/>
        <v>0</v>
      </c>
      <c r="H264" s="12">
        <f t="shared" ref="H264:Q264" si="174">IF($E113&gt;H$66,0,IF($E113&lt;H$66-365,$D113,0))</f>
        <v>0</v>
      </c>
      <c r="I264" s="12">
        <f t="shared" si="174"/>
        <v>0</v>
      </c>
      <c r="J264" s="12">
        <f t="shared" si="174"/>
        <v>0</v>
      </c>
      <c r="K264" s="12">
        <f t="shared" si="174"/>
        <v>0</v>
      </c>
      <c r="L264" s="12">
        <f t="shared" si="174"/>
        <v>0</v>
      </c>
      <c r="M264" s="12">
        <f t="shared" si="174"/>
        <v>0</v>
      </c>
      <c r="N264" s="12">
        <f t="shared" si="174"/>
        <v>0</v>
      </c>
      <c r="O264" s="12">
        <f t="shared" si="174"/>
        <v>0</v>
      </c>
      <c r="P264" s="12">
        <f t="shared" si="174"/>
        <v>0</v>
      </c>
      <c r="Q264" s="12">
        <f t="shared" si="174"/>
        <v>0</v>
      </c>
    </row>
    <row r="265" spans="6:18">
      <c r="G265" s="12">
        <f t="shared" si="139"/>
        <v>0</v>
      </c>
      <c r="H265" s="12">
        <f t="shared" ref="H265:Q265" si="175">IF($E114&gt;H$66,0,IF($E114&lt;H$66-365,$D114,0))</f>
        <v>0</v>
      </c>
      <c r="I265" s="12">
        <f t="shared" si="175"/>
        <v>0</v>
      </c>
      <c r="J265" s="12">
        <f t="shared" si="175"/>
        <v>0</v>
      </c>
      <c r="K265" s="12">
        <f t="shared" si="175"/>
        <v>0</v>
      </c>
      <c r="L265" s="12">
        <f t="shared" si="175"/>
        <v>0</v>
      </c>
      <c r="M265" s="12">
        <f t="shared" si="175"/>
        <v>0</v>
      </c>
      <c r="N265" s="12">
        <f t="shared" si="175"/>
        <v>0</v>
      </c>
      <c r="O265" s="12">
        <f t="shared" si="175"/>
        <v>0</v>
      </c>
      <c r="P265" s="12">
        <f t="shared" si="175"/>
        <v>0</v>
      </c>
      <c r="Q265" s="12">
        <f t="shared" si="175"/>
        <v>0</v>
      </c>
    </row>
    <row r="266" spans="6:18">
      <c r="G266" s="12">
        <f t="shared" si="139"/>
        <v>0</v>
      </c>
      <c r="H266" s="12">
        <f t="shared" ref="H266:Q266" si="176">IF($E115&gt;H$66,0,IF($E115&lt;H$66-365,$D115,0))</f>
        <v>0</v>
      </c>
      <c r="I266" s="12">
        <f t="shared" si="176"/>
        <v>0</v>
      </c>
      <c r="J266" s="12">
        <f t="shared" si="176"/>
        <v>0</v>
      </c>
      <c r="K266" s="12">
        <f t="shared" si="176"/>
        <v>0</v>
      </c>
      <c r="L266" s="12">
        <f t="shared" si="176"/>
        <v>0</v>
      </c>
      <c r="M266" s="12">
        <f t="shared" si="176"/>
        <v>0</v>
      </c>
      <c r="N266" s="12">
        <f t="shared" si="176"/>
        <v>0</v>
      </c>
      <c r="O266" s="12">
        <f t="shared" si="176"/>
        <v>0</v>
      </c>
      <c r="P266" s="12">
        <f t="shared" si="176"/>
        <v>0</v>
      </c>
      <c r="Q266" s="12">
        <f t="shared" si="176"/>
        <v>0</v>
      </c>
    </row>
    <row r="268" spans="6:18">
      <c r="F268" s="187" t="s">
        <v>493</v>
      </c>
      <c r="G268" s="187">
        <f>SUM(G221:G266)</f>
        <v>0</v>
      </c>
      <c r="H268" s="187">
        <f t="shared" ref="H268:Q268" si="177">SUM(H221:H266)</f>
        <v>0</v>
      </c>
      <c r="I268" s="187">
        <f t="shared" si="177"/>
        <v>0</v>
      </c>
      <c r="J268" s="187">
        <f t="shared" si="177"/>
        <v>0</v>
      </c>
      <c r="K268" s="187">
        <f t="shared" si="177"/>
        <v>-420</v>
      </c>
      <c r="L268" s="187">
        <f t="shared" si="177"/>
        <v>-420</v>
      </c>
      <c r="M268" s="187">
        <f t="shared" si="177"/>
        <v>-420</v>
      </c>
      <c r="N268" s="187">
        <f t="shared" si="177"/>
        <v>-480</v>
      </c>
      <c r="O268" s="187">
        <f t="shared" si="177"/>
        <v>-480</v>
      </c>
      <c r="P268" s="187">
        <f t="shared" si="177"/>
        <v>-480</v>
      </c>
      <c r="Q268" s="187">
        <f t="shared" si="177"/>
        <v>-480</v>
      </c>
    </row>
    <row r="271" spans="6:18">
      <c r="G271" s="207">
        <f>G66</f>
        <v>45473</v>
      </c>
      <c r="H271" s="207">
        <f t="shared" ref="H271:Q271" si="178">H66</f>
        <v>45838</v>
      </c>
      <c r="I271" s="207">
        <f t="shared" si="178"/>
        <v>46203</v>
      </c>
      <c r="J271" s="207">
        <f t="shared" si="178"/>
        <v>46568</v>
      </c>
      <c r="K271" s="207">
        <f t="shared" si="178"/>
        <v>46934</v>
      </c>
      <c r="L271" s="207">
        <f t="shared" si="178"/>
        <v>47299</v>
      </c>
      <c r="M271" s="207">
        <f t="shared" si="178"/>
        <v>47664</v>
      </c>
      <c r="N271" s="207">
        <f t="shared" si="178"/>
        <v>48029</v>
      </c>
      <c r="O271" s="207">
        <f t="shared" si="178"/>
        <v>48395</v>
      </c>
      <c r="P271" s="207">
        <f t="shared" si="178"/>
        <v>48760</v>
      </c>
      <c r="Q271" s="207">
        <f t="shared" si="178"/>
        <v>49125</v>
      </c>
    </row>
    <row r="272" spans="6:18">
      <c r="F272" s="207" t="s">
        <v>486</v>
      </c>
      <c r="G272" s="206">
        <f>G66</f>
        <v>45473</v>
      </c>
      <c r="H272" s="206">
        <f>DATE(YEAR(G272)+1,MONTH(G272),DAY(G272))</f>
        <v>45838</v>
      </c>
      <c r="I272" s="206">
        <f t="shared" ref="I272:Q272" si="179">DATE(YEAR(H272)+1,MONTH(H272),DAY(H272))</f>
        <v>46203</v>
      </c>
      <c r="J272" s="206">
        <f t="shared" si="179"/>
        <v>46568</v>
      </c>
      <c r="K272" s="206">
        <f t="shared" si="179"/>
        <v>46934</v>
      </c>
      <c r="L272" s="206">
        <f t="shared" si="179"/>
        <v>47299</v>
      </c>
      <c r="M272" s="206">
        <f t="shared" si="179"/>
        <v>47664</v>
      </c>
      <c r="N272" s="206">
        <f t="shared" si="179"/>
        <v>48029</v>
      </c>
      <c r="O272" s="206">
        <f t="shared" si="179"/>
        <v>48395</v>
      </c>
      <c r="P272" s="206">
        <f t="shared" si="179"/>
        <v>48760</v>
      </c>
      <c r="Q272" s="206">
        <f t="shared" si="179"/>
        <v>49125</v>
      </c>
      <c r="R272" s="206">
        <f t="shared" ref="R272" si="180">Q272+365</f>
        <v>49490</v>
      </c>
    </row>
    <row r="273" spans="5:17">
      <c r="E273" s="12" t="s">
        <v>399</v>
      </c>
      <c r="F273" s="348">
        <f t="shared" ref="F273:P273" si="181">Z217</f>
        <v>5.5572639747090102</v>
      </c>
      <c r="G273" s="348">
        <f t="shared" si="181"/>
        <v>5.5572639747090102</v>
      </c>
      <c r="H273" s="348">
        <f t="shared" si="181"/>
        <v>5.5572639747090102</v>
      </c>
      <c r="I273" s="348">
        <f t="shared" si="181"/>
        <v>5.5572639747090102</v>
      </c>
      <c r="J273" s="348">
        <f t="shared" si="181"/>
        <v>5.5572639747090102</v>
      </c>
      <c r="K273" s="348">
        <f t="shared" si="181"/>
        <v>5.65751459975733</v>
      </c>
      <c r="L273" s="348">
        <f t="shared" si="181"/>
        <v>5.7455724710361702</v>
      </c>
      <c r="M273" s="348">
        <f t="shared" si="181"/>
        <v>5.7455724710361702</v>
      </c>
      <c r="N273" s="348">
        <f t="shared" si="181"/>
        <v>5.7336862891148463</v>
      </c>
      <c r="O273" s="348">
        <f t="shared" si="181"/>
        <v>5.7336862891148463</v>
      </c>
      <c r="P273" s="348">
        <f t="shared" si="181"/>
        <v>5.7336862891148463</v>
      </c>
      <c r="Q273" s="348">
        <f>AK217</f>
        <v>5.7336862891148463</v>
      </c>
    </row>
  </sheetData>
  <sheetProtection formatCells="0" formatColumns="0" formatRows="0" selectLockedCells="1"/>
  <customSheetViews>
    <customSheetView guid="{0FAFE012-8D9E-4ED0-86A4-A997E430971B}" scale="55" showGridLines="0" fitToPage="1" hiddenRows="1">
      <selection activeCell="G66" sqref="G66"/>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7:AS165"/>
    <mergeCell ref="V165:X166"/>
    <mergeCell ref="Z165:AB165"/>
    <mergeCell ref="V217:X217"/>
    <mergeCell ref="Z156:AC158"/>
    <mergeCell ref="AL157:AL165"/>
  </mergeCells>
  <phoneticPr fontId="61" type="noConversion"/>
  <conditionalFormatting sqref="F7:Q7 F9:Q9">
    <cfRule type="cellIs" dxfId="53" priority="1" operator="lessThan">
      <formula>0</formula>
    </cfRule>
  </conditionalFormatting>
  <conditionalFormatting sqref="F46:Q47">
    <cfRule type="cellIs" dxfId="52" priority="3" operator="lessThan">
      <formula>0</formula>
    </cfRule>
  </conditionalFormatting>
  <conditionalFormatting sqref="F50:Q50">
    <cfRule type="cellIs" dxfId="51" priority="2" operator="lessThan">
      <formula>0</formula>
    </cfRule>
  </conditionalFormatting>
  <dataValidations disablePrompts="1" count="3">
    <dataValidation type="list" allowBlank="1" showInputMessage="1" showErrorMessage="1" sqref="F142:G142" xr:uid="{C9A721D1-F273-4EAE-9862-6C2C3A861A73}">
      <formula1>"0.0 Stars,0.5 Stars,1.0 Stars,1.5 Stars,2.0 Stars,2.5 Stars,3.0 Stars,3.5 Stars,4.0 Stars,4.5 Stars,5.0 Stars,5.5 Stars,6.0 Stars,N/A"</formula1>
    </dataValidation>
    <dataValidation type="list" allowBlank="1" showInputMessage="1" showErrorMessage="1" sqref="E115" xr:uid="{AD4B0C5D-5AE7-43B1-8D8A-0DF7973698B8}">
      <formula1>$BQ$156:$BQ$170</formula1>
    </dataValidation>
    <dataValidation type="list" allowBlank="1" showInputMessage="1" showErrorMessage="1" sqref="O115:Q115" xr:uid="{2F1CDA7E-30AC-4128-AD32-E5065D4EF4BA}">
      <formula1>$BS$157:$BS$160</formula1>
    </dataValidation>
  </dataValidations>
  <pageMargins left="0.74803149606299213" right="0.74803149606299213" top="0.51181102362204722" bottom="0.62992125984251968" header="0.51181102362204722" footer="0.51181102362204722"/>
  <pageSetup paperSize="9" scale="22" orientation="landscape" r:id="rId2"/>
  <headerFooter alignWithMargins="0"/>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E1FCA-9EF0-4323-A735-A00627637136}">
  <sheetPr codeName="Sheet24">
    <tabColor theme="5"/>
    <pageSetUpPr fitToPage="1"/>
  </sheetPr>
  <dimension ref="A1:CJ272"/>
  <sheetViews>
    <sheetView showGridLines="0" topLeftCell="K1" zoomScale="70" zoomScaleNormal="70" workbookViewId="0">
      <selection activeCell="X30" sqref="X30"/>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9.5429687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93</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0.22837766246994906</v>
      </c>
      <c r="E6" s="367" t="s">
        <v>311</v>
      </c>
      <c r="F6" s="517">
        <f>VLOOKUP($A$2,'Footprint Summary'!$B$4:$R$26,COLUMNS('Footprint Summary'!$B$4:F$26)+1,0)</f>
        <v>1059.2670000000001</v>
      </c>
      <c r="G6" s="517">
        <f>VLOOKUP($A$2,'Footprint Summary'!$B$4:$R$26,COLUMNS('Footprint Summary'!$B$4:G$26)+1,0)</f>
        <v>1059.2670000000001</v>
      </c>
      <c r="H6" s="517">
        <f>VLOOKUP($A$2,'Footprint Summary'!$B$4:$R$26,COLUMNS('Footprint Summary'!$B$4:H$26)+1,0)</f>
        <v>1059.2670000000001</v>
      </c>
      <c r="I6" s="517">
        <f>VLOOKUP($A$2,'Footprint Summary'!$B$4:$R$26,COLUMNS('Footprint Summary'!$B$4:I$26)+1,0)</f>
        <v>1059.2670000000001</v>
      </c>
      <c r="J6" s="517">
        <f>VLOOKUP($A$2,'Footprint Summary'!$B$4:$R$26,COLUMNS('Footprint Summary'!$B$4:J$26)+1,0)</f>
        <v>1059.2670000000001</v>
      </c>
      <c r="K6" s="517">
        <f>VLOOKUP($A$2,'Footprint Summary'!$B$4:$R$26,COLUMNS('Footprint Summary'!$B$4:K$26)+1,0)</f>
        <v>1059.2670000000001</v>
      </c>
      <c r="L6" s="517">
        <f>VLOOKUP($A$2,'Footprint Summary'!$B$4:$R$26,COLUMNS('Footprint Summary'!$B$4:L$26)+1,0)</f>
        <v>1059.2670000000001</v>
      </c>
      <c r="M6" s="517">
        <f>VLOOKUP($A$2,'Footprint Summary'!$B$4:$R$26,COLUMNS('Footprint Summary'!$B$4:M$26)+1,0)</f>
        <v>1059.2670000000001</v>
      </c>
      <c r="N6" s="517">
        <f>VLOOKUP($A$2,'Footprint Summary'!$B$4:$R$26,COLUMNS('Footprint Summary'!$B$4:N$26)+1,0)</f>
        <v>1059.2670000000001</v>
      </c>
      <c r="O6" s="517">
        <f>VLOOKUP($A$2,'Footprint Summary'!$B$4:$R$26,COLUMNS('Footprint Summary'!$B$4:O$26)+1,0)</f>
        <v>1179.2670000000001</v>
      </c>
      <c r="P6" s="517">
        <f>VLOOKUP($A$2,'Footprint Summary'!$B$4:$R$26,COLUMNS('Footprint Summary'!$B$4:P$26)+1,0)</f>
        <v>1179.2670000000001</v>
      </c>
      <c r="Q6" s="429">
        <f>(P6-F6)/F6</f>
        <v>0.11328588542831977</v>
      </c>
      <c r="R6" s="366"/>
      <c r="S6" s="357"/>
      <c r="T6" s="8"/>
      <c r="U6" s="8"/>
    </row>
    <row r="7" spans="1:21" s="7" customFormat="1" ht="17.25" customHeight="1">
      <c r="A7" s="368" t="str">
        <f>VLOOKUP($A$2,'Asset Attributes'!$B$3:$D$25,2,0)</f>
        <v>NSW2</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120</v>
      </c>
      <c r="P7" s="518">
        <f t="shared" si="1"/>
        <v>120</v>
      </c>
      <c r="Q7" s="490">
        <f>SUM(F7:P7)</f>
        <v>240</v>
      </c>
      <c r="R7" s="366"/>
      <c r="S7" s="357"/>
      <c r="T7" s="8"/>
      <c r="U7" s="8"/>
    </row>
    <row r="8" spans="1:21" s="7" customFormat="1" ht="17.25" customHeight="1">
      <c r="A8" s="419" t="s">
        <v>284</v>
      </c>
      <c r="B8" s="368" t="s">
        <v>313</v>
      </c>
      <c r="C8" s="2"/>
      <c r="D8" s="486">
        <f>(VLOOKUP($A$2,Assumptions!$B$69:$C$91,2,0))</f>
        <v>26.613273555794727</v>
      </c>
      <c r="E8" s="422" t="s">
        <v>314</v>
      </c>
      <c r="F8" s="519">
        <f>VLOOKUP($A$2,'Footprint Summary'!$B$33:$R$55,COLUMNS('Footprint Summary'!$B$33:F$55)+1,0)</f>
        <v>867.11</v>
      </c>
      <c r="G8" s="519">
        <f>VLOOKUP($A$2,'Footprint Summary'!$B$33:$R$55,COLUMNS('Footprint Summary'!$B$33:G$55)+1,0)</f>
        <v>867.11</v>
      </c>
      <c r="H8" s="519">
        <f>VLOOKUP($A$2,'Footprint Summary'!$B$33:$R$55,COLUMNS('Footprint Summary'!$B$33:H$55)+1,0)</f>
        <v>867.11</v>
      </c>
      <c r="I8" s="519">
        <f>VLOOKUP($A$2,'Footprint Summary'!$B$33:$R$55,COLUMNS('Footprint Summary'!$B$33:I$55)+1,0)</f>
        <v>867.11</v>
      </c>
      <c r="J8" s="519">
        <f>VLOOKUP($A$2,'Footprint Summary'!$B$33:$R$55,COLUMNS('Footprint Summary'!$B$33:J$55)+1,0)</f>
        <v>867.11</v>
      </c>
      <c r="K8" s="519">
        <f>VLOOKUP($A$2,'Footprint Summary'!$B$33:$R$55,COLUMNS('Footprint Summary'!$B$33:K$55)+1,0)</f>
        <v>867.11</v>
      </c>
      <c r="L8" s="519">
        <f>VLOOKUP($A$2,'Footprint Summary'!$B$33:$R$55,COLUMNS('Footprint Summary'!$B$33:L$55)+1,0)</f>
        <v>867.11</v>
      </c>
      <c r="M8" s="519">
        <f>VLOOKUP($A$2,'Footprint Summary'!$B$33:$R$55,COLUMNS('Footprint Summary'!$B$33:M$55)+1,0)</f>
        <v>867.11</v>
      </c>
      <c r="N8" s="519">
        <f>VLOOKUP($A$2,'Footprint Summary'!$B$33:$R$55,COLUMNS('Footprint Summary'!$B$33:N$55)+1,0)</f>
        <v>867.11</v>
      </c>
      <c r="O8" s="519">
        <f>VLOOKUP($A$2,'Footprint Summary'!$B$33:$R$55,COLUMNS('Footprint Summary'!$B$33:O$55)+1,0)</f>
        <v>867.11</v>
      </c>
      <c r="P8" s="519">
        <f>VLOOKUP($A$2,'Footprint Summary'!$B$33:$R$55,COLUMNS('Footprint Summary'!$B$33:P$55)+1,0)</f>
        <v>100.11000000000001</v>
      </c>
      <c r="Q8" s="429">
        <f>(P8-F8)/F8</f>
        <v>-0.88454751992250114</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-767</v>
      </c>
      <c r="Q9" s="490">
        <f>SUM(F9:P9)</f>
        <v>-767</v>
      </c>
      <c r="R9" s="366"/>
      <c r="S9" s="357"/>
      <c r="T9" s="8"/>
      <c r="U9" s="8"/>
    </row>
    <row r="10" spans="1:21" s="7" customFormat="1" ht="1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836.82093000000009</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44.682178299999997</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58.131336524848592</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939.63444482484874</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4" s="7" customFormat="1" ht="17.25" customHeight="1" thickTop="1">
      <c r="E17" s="367" t="s">
        <v>322</v>
      </c>
      <c r="F17" s="428">
        <f>1000*F16/(VLOOKUP($A$2,'Asset Attributes'!$B$3:$D$25,3,0))</f>
        <v>46.051482298806548</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row>
    <row r="18" spans="1:24" s="7" customFormat="1" ht="28.5" customHeight="1" thickBot="1">
      <c r="A18" s="9" t="s">
        <v>323</v>
      </c>
      <c r="E18" s="367"/>
      <c r="F18" s="428">
        <f>1000*SUM(F14:F15)/(VLOOKUP($A$2,'Asset Attributes'!$B$3:$D$25,3,0))</f>
        <v>5.0388901600102232</v>
      </c>
      <c r="G18" s="428"/>
      <c r="H18" s="428"/>
      <c r="I18" s="428"/>
      <c r="J18" s="428"/>
      <c r="K18" s="428"/>
      <c r="L18" s="428"/>
      <c r="M18" s="428"/>
      <c r="N18" s="428"/>
      <c r="O18" s="428"/>
      <c r="P18" s="428"/>
      <c r="R18" s="366"/>
      <c r="S18" s="357"/>
      <c r="T18" s="8"/>
      <c r="U18" s="8"/>
      <c r="V18" s="8"/>
      <c r="W18" s="8"/>
      <c r="X18" s="8"/>
    </row>
    <row r="19" spans="1:24"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c r="V19" s="8"/>
      <c r="W19" s="8"/>
      <c r="X19" s="8"/>
    </row>
    <row r="20" spans="1:24"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-34.559999999999995</v>
      </c>
      <c r="P20" s="499">
        <f>-1*(VLOOKUP($A$2,'Footprint Summary'!$B$244:AB$266,COLUMNS('Footprint Summary'!$B$244:P$266)+1,0))</f>
        <v>-31.68</v>
      </c>
      <c r="Q20" s="499">
        <f>SUM(G20:P20)</f>
        <v>-66.239999999999995</v>
      </c>
      <c r="R20" s="366"/>
      <c r="S20" s="357"/>
      <c r="T20" s="8"/>
      <c r="U20" s="8"/>
      <c r="V20" s="8"/>
      <c r="W20" s="8"/>
      <c r="X20" s="8"/>
    </row>
    <row r="21" spans="1:24"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785.97611400000005</v>
      </c>
      <c r="H21" s="499">
        <f>-1*(VLOOKUP($A$2,'Footprint Summary'!$B$302:$R$324,COLUMNS('Footprint Summary'!$B$302:H324)+1,0))</f>
        <v>773.26490999999999</v>
      </c>
      <c r="I21" s="499">
        <f>-1*(VLOOKUP($A$2,'Footprint Summary'!$B$302:$R$324,COLUMNS('Footprint Summary'!$B$302:I324)+1,0))</f>
        <v>701.23475400000007</v>
      </c>
      <c r="J21" s="499">
        <f>-1*(VLOOKUP($A$2,'Footprint Summary'!$B$302:$R$324,COLUMNS('Footprint Summary'!$B$302:J324)+1,0))</f>
        <v>660.98260800000003</v>
      </c>
      <c r="K21" s="499">
        <f>-1*(VLOOKUP($A$2,'Footprint Summary'!$B$302:$R$324,COLUMNS('Footprint Summary'!$B$302:K324)+1,0))</f>
        <v>579.41904900000009</v>
      </c>
      <c r="L21" s="499">
        <f>-1*(VLOOKUP($A$2,'Footprint Summary'!$B$302:$R$324,COLUMNS('Footprint Summary'!$B$302:L324)+1,0))</f>
        <v>487.26282000000003</v>
      </c>
      <c r="M21" s="499">
        <f>-1*(VLOOKUP($A$2,'Footprint Summary'!$B$302:$R$324,COLUMNS('Footprint Summary'!$B$302:M324)+1,0))</f>
        <v>405.69926100000004</v>
      </c>
      <c r="N21" s="499">
        <f>-1*(VLOOKUP($A$2,'Footprint Summary'!$B$302:$R$324,COLUMNS('Footprint Summary'!$B$302:N324)+1,0))</f>
        <v>344.26177500000006</v>
      </c>
      <c r="O21" s="499">
        <f>-1*(VLOOKUP($A$2,'Footprint Summary'!$B$302:$R$324,COLUMNS('Footprint Summary'!$B$302:O324)+1,0))</f>
        <v>339.628896</v>
      </c>
      <c r="P21" s="499">
        <f>-1*(VLOOKUP($A$2,'Footprint Summary'!$B$302:$R$324,COLUMNS('Footprint Summary'!$B$302:P324)+1,0))</f>
        <v>311.32648800000004</v>
      </c>
      <c r="Q21" s="499">
        <f t="shared" ref="Q21:Q27" si="6">SUM(G21:P21)</f>
        <v>5389.0566749999998</v>
      </c>
      <c r="R21" s="366"/>
      <c r="S21" s="357"/>
      <c r="T21" s="8"/>
      <c r="U21" s="8"/>
      <c r="V21" s="8"/>
      <c r="W21" s="8"/>
      <c r="X21" s="8"/>
    </row>
    <row r="22" spans="1:24" s="7" customFormat="1" ht="19.5" customHeight="1">
      <c r="A22" s="368" t="s">
        <v>284</v>
      </c>
      <c r="B22" s="368" t="s">
        <v>327</v>
      </c>
      <c r="E22" s="425" t="s">
        <v>321</v>
      </c>
      <c r="F22" s="499">
        <v>0</v>
      </c>
      <c r="G22" s="499">
        <f>(VLOOKUP($A$2,'Footprint Summary'!$B$33:$R$55,COLUMNS('Footprint Summary'!$B$33:G$55)+1,0)*VLOOKUP($B$14,Assumptions!$B$17:$N$29,COLUMNS(Assumptions!$B$18:C$29)+1,0)/1000)</f>
        <v>44.682178299999997</v>
      </c>
      <c r="H22" s="499">
        <f>(VLOOKUP($A$2,'Footprint Summary'!$B$33:$R$55,COLUMNS('Footprint Summary'!$B$33:H$55)+1,0)*VLOOKUP($B$14,Assumptions!$B$17:$N$29,COLUMNS(Assumptions!$B$18:D$29)+1,0)/1000)</f>
        <v>44.682178299999997</v>
      </c>
      <c r="I22" s="499">
        <f>(VLOOKUP($A$2,'Footprint Summary'!$B$33:$R$55,COLUMNS('Footprint Summary'!$B$33:I$55)+1,0)*VLOOKUP($B$14,Assumptions!$B$17:$N$29,COLUMNS(Assumptions!$B$18:E$29)+1,0)/1000)</f>
        <v>44.682178299999997</v>
      </c>
      <c r="J22" s="499">
        <f>(VLOOKUP($A$2,'Footprint Summary'!$B$33:$R$55,COLUMNS('Footprint Summary'!$B$33:J$55)+1,0)*VLOOKUP($B$14,Assumptions!$B$17:$N$29,COLUMNS(Assumptions!$B$18:F$29)+1,0)/1000)</f>
        <v>44.682178299999997</v>
      </c>
      <c r="K22" s="499">
        <f>(VLOOKUP($A$2,'Footprint Summary'!$B$33:$R$55,COLUMNS('Footprint Summary'!$B$33:K$55)+1,0)*VLOOKUP($B$14,Assumptions!$B$17:$N$29,COLUMNS(Assumptions!$B$18:G$29)+1,0)/1000)</f>
        <v>44.682178299999997</v>
      </c>
      <c r="L22" s="499">
        <f>(VLOOKUP($A$2,'Footprint Summary'!$B$33:$R$55,COLUMNS('Footprint Summary'!$B$33:L$55)+1,0)*VLOOKUP($B$14,Assumptions!$B$17:$N$29,COLUMNS(Assumptions!$B$18:H$29)+1,0)/1000)</f>
        <v>44.682178299999997</v>
      </c>
      <c r="M22" s="499">
        <f>(VLOOKUP($A$2,'Footprint Summary'!$B$33:$R$55,COLUMNS('Footprint Summary'!$B$33:M$55)+1,0)*VLOOKUP($B$14,Assumptions!$B$17:$N$29,COLUMNS(Assumptions!$B$18:I$29)+1,0)/1000)</f>
        <v>44.682178299999997</v>
      </c>
      <c r="N22" s="499">
        <f>(VLOOKUP($A$2,'Footprint Summary'!$B$33:$R$55,COLUMNS('Footprint Summary'!$B$33:N$55)+1,0)*VLOOKUP($B$14,Assumptions!$B$17:$N$29,COLUMNS(Assumptions!$B$18:J$29)+1,0)/1000)</f>
        <v>44.682178299999997</v>
      </c>
      <c r="O22" s="499">
        <f>(VLOOKUP($A$2,'Footprint Summary'!$B$33:$R$55,COLUMNS('Footprint Summary'!$B$33:O$55)+1,0)*VLOOKUP($B$14,Assumptions!$B$17:$N$29,COLUMNS(Assumptions!$B$18:K$29)+1,0)/1000)</f>
        <v>44.682178299999997</v>
      </c>
      <c r="P22" s="499">
        <f>(VLOOKUP($A$2,'Footprint Summary'!$B$33:$R$55,COLUMNS('Footprint Summary'!$B$33:P$55)+1,0)*VLOOKUP($B$14,Assumptions!$B$17:$N$29,COLUMNS(Assumptions!$B$18:L$29)+1,0)/1000)</f>
        <v>5.1586683000000013</v>
      </c>
      <c r="Q22" s="499">
        <f t="shared" si="6"/>
        <v>407.29827299999988</v>
      </c>
      <c r="R22" s="366"/>
      <c r="S22" s="357"/>
      <c r="T22" s="8"/>
      <c r="U22" s="8"/>
      <c r="V22" s="8"/>
      <c r="W22" s="8"/>
      <c r="X22" s="8"/>
    </row>
    <row r="23" spans="1:24"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39.523510000000002</v>
      </c>
      <c r="Q23" s="499">
        <f t="shared" si="6"/>
        <v>39.523510000000002</v>
      </c>
      <c r="R23" s="366"/>
      <c r="S23" s="357"/>
      <c r="T23" s="8"/>
      <c r="U23" s="8"/>
      <c r="V23" s="8"/>
      <c r="W23" s="8"/>
      <c r="X23" s="8"/>
    </row>
    <row r="24" spans="1:24" s="7" customFormat="1" ht="19.5" customHeight="1">
      <c r="A24" s="419" t="s">
        <v>319</v>
      </c>
      <c r="B24" s="419" t="s">
        <v>329</v>
      </c>
      <c r="E24" s="425" t="s">
        <v>321</v>
      </c>
      <c r="F24" s="499">
        <v>0</v>
      </c>
      <c r="G24" s="499">
        <f>VLOOKUP($A$2,'Footprint Summary'!$B$216:$R$238,COLUMNS('Footprint Summary'!$B$216:G238)+1,0)</f>
        <v>54.537590214865418</v>
      </c>
      <c r="H24" s="499">
        <f>VLOOKUP($A$2,'Footprint Summary'!$B$216:$R$238,COLUMNS('Footprint Summary'!$B$216:H238)+1,0)</f>
        <v>50.943843904882236</v>
      </c>
      <c r="I24" s="499">
        <f>VLOOKUP($A$2,'Footprint Summary'!$B$216:$R$238,COLUMNS('Footprint Summary'!$B$216:I238)+1,0)</f>
        <v>47.350097594899054</v>
      </c>
      <c r="J24" s="499">
        <f>VLOOKUP($A$2,'Footprint Summary'!$B$216:$R$238,COLUMNS('Footprint Summary'!$B$216:J238)+1,0)</f>
        <v>43.75635128491588</v>
      </c>
      <c r="K24" s="499">
        <f>VLOOKUP($A$2,'Footprint Summary'!$B$216:$R$238,COLUMNS('Footprint Summary'!$B$216:K238)+1,0)</f>
        <v>40.162604974932705</v>
      </c>
      <c r="L24" s="499">
        <f>VLOOKUP($A$2,'Footprint Summary'!$B$216:$R$238,COLUMNS('Footprint Summary'!$B$216:L238)+1,0)</f>
        <v>36.568858664949524</v>
      </c>
      <c r="M24" s="499">
        <f>VLOOKUP($A$2,'Footprint Summary'!$B$216:$R$238,COLUMNS('Footprint Summary'!$B$216:M238)+1,0)</f>
        <v>32.975112354966342</v>
      </c>
      <c r="N24" s="499">
        <f>VLOOKUP($A$2,'Footprint Summary'!$B$216:$R$238,COLUMNS('Footprint Summary'!$B$216:N238)+1,0)</f>
        <v>29.381366044983167</v>
      </c>
      <c r="O24" s="499">
        <f>VLOOKUP($A$2,'Footprint Summary'!$B$216:$R$238,COLUMNS('Footprint Summary'!$B$216:O238)+1,0)</f>
        <v>25.787619734999989</v>
      </c>
      <c r="P24" s="499">
        <f>VLOOKUP($A$2,'Footprint Summary'!$B$216:$R$238,COLUMNS('Footprint Summary'!$B$216:P238)+1,0)</f>
        <v>25.787619734999993</v>
      </c>
      <c r="Q24" s="499">
        <f t="shared" si="6"/>
        <v>387.25106450939427</v>
      </c>
      <c r="R24" s="366"/>
      <c r="S24" s="357"/>
      <c r="T24" s="8"/>
      <c r="U24" s="8"/>
      <c r="V24" s="8"/>
      <c r="W24" s="8"/>
      <c r="X24" s="8"/>
    </row>
    <row r="25" spans="1:24" s="7" customFormat="1" ht="19.5" customHeight="1">
      <c r="A25" s="419" t="s">
        <v>319</v>
      </c>
      <c r="B25" s="419" t="s">
        <v>319</v>
      </c>
      <c r="E25" s="425" t="s">
        <v>321</v>
      </c>
      <c r="F25" s="499">
        <f>VLOOKUP($A$2,'Footprint Summary'!$B$216:$R$238,COLUMNS('Footprint Summary'!$B$216:F238)+1,0)-F24</f>
        <v>58.131336524848592</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c r="V25" s="8"/>
      <c r="W25" s="8"/>
      <c r="X25" s="8" t="s">
        <v>710</v>
      </c>
    </row>
    <row r="26" spans="1:24" s="7" customFormat="1" ht="19.5" customHeight="1">
      <c r="A26" s="419" t="s">
        <v>284</v>
      </c>
      <c r="B26" s="368" t="s">
        <v>285</v>
      </c>
      <c r="E26" s="425" t="s">
        <v>321</v>
      </c>
      <c r="F26" s="499">
        <f>(VLOOKUP($A$2,'Footprint Summary'!$B$33:$R$55,COLUMNS('Footprint Summary'!$B$33:F$55)+1,0)*VLOOKUP($B$14,Assumptions!$B$17:$N$29,COLUMNS(Assumptions!$B$18:B$29)+1,0)/1000)-F22</f>
        <v>44.682178299999997</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c r="V26" s="8"/>
      <c r="W26" s="8"/>
      <c r="X26" s="638" t="s">
        <v>711</v>
      </c>
    </row>
    <row r="27" spans="1:24" s="7" customFormat="1" ht="19.5" customHeight="1">
      <c r="A27" s="368" t="str">
        <f>VLOOKUP($A$2,'Asset Attributes'!$B$3:$D$25,2,0)</f>
        <v>NSW2</v>
      </c>
      <c r="B27" s="368" t="s">
        <v>330</v>
      </c>
      <c r="E27" s="425" t="s">
        <v>321</v>
      </c>
      <c r="F27" s="367">
        <f>VLOOKUP($A$2,'Footprint Summary'!$B$4:$R$26,COLUMNS('Footprint Summary'!$B$4:F$26)+1,0)*VLOOKUP($A$13,Assumptions!$A$4:$N$14,COLUMNS(Assumptions!$A$4:B$14)+1,0)</f>
        <v>836.82093000000009</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c r="V27" s="8"/>
      <c r="W27" s="8"/>
      <c r="X27" s="638" t="s">
        <v>712</v>
      </c>
    </row>
    <row r="28" spans="1:24" s="7" customFormat="1" ht="19.5" customHeight="1" thickBot="1">
      <c r="E28" s="425" t="s">
        <v>321</v>
      </c>
      <c r="F28" s="434">
        <f>SUM(F20:F23)</f>
        <v>0</v>
      </c>
      <c r="G28" s="434">
        <f t="shared" ref="G28:P28" si="7">SUM(G20:G23)</f>
        <v>830.65829230000008</v>
      </c>
      <c r="H28" s="434">
        <f t="shared" si="7"/>
        <v>817.94708830000002</v>
      </c>
      <c r="I28" s="434">
        <f t="shared" si="7"/>
        <v>745.9169323000001</v>
      </c>
      <c r="J28" s="434">
        <f t="shared" si="7"/>
        <v>705.66478630000006</v>
      </c>
      <c r="K28" s="434">
        <f t="shared" si="7"/>
        <v>624.10122730000012</v>
      </c>
      <c r="L28" s="434">
        <f t="shared" si="7"/>
        <v>531.94499830000007</v>
      </c>
      <c r="M28" s="434">
        <f t="shared" si="7"/>
        <v>450.38143930000001</v>
      </c>
      <c r="N28" s="434">
        <f t="shared" si="7"/>
        <v>388.94395330000003</v>
      </c>
      <c r="O28" s="434">
        <f t="shared" si="7"/>
        <v>349.75107429999997</v>
      </c>
      <c r="P28" s="434">
        <f t="shared" si="7"/>
        <v>324.32866630000001</v>
      </c>
      <c r="Q28" s="434">
        <f t="shared" ref="Q28" si="8">SUM(Q20:Q24)</f>
        <v>6156.8895225093947</v>
      </c>
      <c r="R28" s="366"/>
      <c r="S28" s="357"/>
      <c r="T28" s="8"/>
      <c r="U28" s="8"/>
      <c r="V28" s="8"/>
      <c r="W28" s="8"/>
      <c r="X28" s="8"/>
    </row>
    <row r="29" spans="1:24"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c r="V29" s="8"/>
      <c r="W29" s="8"/>
      <c r="X29" s="8"/>
    </row>
    <row r="30" spans="1:24"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X30" s="8"/>
    </row>
    <row r="31" spans="1:24" s="7" customFormat="1" ht="17.25" customHeight="1" thickTop="1">
      <c r="A31" s="436" t="s">
        <v>332</v>
      </c>
      <c r="B31" s="437"/>
      <c r="C31" s="435"/>
      <c r="S31" s="357"/>
      <c r="T31" s="8"/>
      <c r="U31" s="8"/>
      <c r="V31" s="8"/>
      <c r="W31" s="8"/>
      <c r="X31" s="8"/>
    </row>
    <row r="32" spans="1:24" s="7" customFormat="1" ht="17.25" customHeight="1">
      <c r="A32" s="368" t="s">
        <v>30</v>
      </c>
      <c r="B32" s="368" t="s">
        <v>334</v>
      </c>
      <c r="F32" s="424">
        <f>VLOOKUP($A$2,'Costs Summary'!$B$154:$R$176,COLUMNS('Costs Summary'!$B$154:F$176)+1,0)</f>
        <v>246004.16</v>
      </c>
      <c r="G32" s="424">
        <f>VLOOKUP($A$2,'Costs Summary'!$B$154:$R$176,COLUMNS('Costs Summary'!$B$154:G$176)+1,0)</f>
        <v>314486.79780902219</v>
      </c>
      <c r="H32" s="424">
        <f>VLOOKUP($A$2,'Costs Summary'!$B$154:$R$176,COLUMNS('Costs Summary'!$B$154:H$176)+1,0)</f>
        <v>325493.83573233796</v>
      </c>
      <c r="I32" s="424">
        <f>VLOOKUP($A$2,'Costs Summary'!$B$154:$R$176,COLUMNS('Costs Summary'!$B$154:I$176)+1,0)</f>
        <v>336886.11998296971</v>
      </c>
      <c r="J32" s="424">
        <f>VLOOKUP($A$2,'Costs Summary'!$B$154:$R$176,COLUMNS('Costs Summary'!$B$154:J$176)+1,0)</f>
        <v>348677.13418237364</v>
      </c>
      <c r="K32" s="424">
        <f>VLOOKUP($A$2,'Costs Summary'!$B$154:$R$176,COLUMNS('Costs Summary'!$B$154:K$176)+1,0)</f>
        <v>360880.83387875673</v>
      </c>
      <c r="L32" s="424">
        <f>VLOOKUP($A$2,'Costs Summary'!$B$154:$R$176,COLUMNS('Costs Summary'!$B$154:L$176)+1,0)</f>
        <v>373511.66306451318</v>
      </c>
      <c r="M32" s="424">
        <f>VLOOKUP($A$2,'Costs Summary'!$B$154:$R$176,COLUMNS('Costs Summary'!$B$154:M$176)+1,0)</f>
        <v>386584.5712717711</v>
      </c>
      <c r="N32" s="424">
        <f>VLOOKUP($A$2,'Costs Summary'!$B$154:$R$176,COLUMNS('Costs Summary'!$B$154:N$176)+1,0)</f>
        <v>463901.48552612535</v>
      </c>
      <c r="O32" s="424">
        <f>VLOOKUP($A$2,'Costs Summary'!$B$154:$R$176,COLUMNS('Costs Summary'!$B$154:O$176)+1,0)</f>
        <v>480138.03751953971</v>
      </c>
      <c r="P32" s="424">
        <f>VLOOKUP($A$2,'Costs Summary'!$B$154:$R$176,COLUMNS('Costs Summary'!$B$154:P$176)+1,0)</f>
        <v>496942.86883272353</v>
      </c>
      <c r="Q32" s="433">
        <f>SUM(G32:P32)</f>
        <v>3887503.3478001333</v>
      </c>
      <c r="R32" s="366"/>
      <c r="S32" s="357"/>
      <c r="T32" s="8"/>
      <c r="U32" s="8"/>
      <c r="V32" s="8"/>
      <c r="W32" s="8"/>
      <c r="X32" s="8"/>
    </row>
    <row r="33" spans="1:24" s="7" customFormat="1" ht="17.25" customHeight="1">
      <c r="A33" s="368" t="s">
        <v>284</v>
      </c>
      <c r="B33" s="368" t="s">
        <v>335</v>
      </c>
      <c r="C33" s="423"/>
      <c r="D33" s="423"/>
      <c r="E33" s="423"/>
      <c r="F33" s="424">
        <f>VLOOKUP($A$2,'Costs Summary'!$B$183:$R$205,COLUMNS('Costs Summary'!$B$183:F$205)+1,0)</f>
        <v>18383.104800000001</v>
      </c>
      <c r="G33" s="424">
        <f>VLOOKUP($A$2,'Costs Summary'!$B$183:$R$205,COLUMNS('Costs Summary'!$B$183:G$205)+1,0)</f>
        <v>23768.93470195412</v>
      </c>
      <c r="H33" s="424">
        <f>VLOOKUP($A$2,'Costs Summary'!$B$183:$R$205,COLUMNS('Costs Summary'!$B$183:H$205)+1,0)</f>
        <v>24482.002743012745</v>
      </c>
      <c r="I33" s="424">
        <f>VLOOKUP($A$2,'Costs Summary'!$B$183:$R$205,COLUMNS('Costs Summary'!$B$183:I$205)+1,0)</f>
        <v>25216.46282530313</v>
      </c>
      <c r="J33" s="424">
        <f>VLOOKUP($A$2,'Costs Summary'!$B$183:$R$205,COLUMNS('Costs Summary'!$B$183:J$205)+1,0)</f>
        <v>25972.956710062223</v>
      </c>
      <c r="K33" s="424">
        <f>VLOOKUP($A$2,'Costs Summary'!$B$183:$R$205,COLUMNS('Costs Summary'!$B$183:K$205)+1,0)</f>
        <v>26752.14541136409</v>
      </c>
      <c r="L33" s="424">
        <f>VLOOKUP($A$2,'Costs Summary'!$B$183:$R$205,COLUMNS('Costs Summary'!$B$183:L$205)+1,0)</f>
        <v>27554.709773705014</v>
      </c>
      <c r="M33" s="424">
        <f>VLOOKUP($A$2,'Costs Summary'!$B$183:$R$205,COLUMNS('Costs Summary'!$B$183:M$205)+1,0)</f>
        <v>28381.35106691617</v>
      </c>
      <c r="N33" s="424">
        <f>VLOOKUP($A$2,'Costs Summary'!$B$183:$R$205,COLUMNS('Costs Summary'!$B$183:N$205)+1,0)</f>
        <v>29232.791598923654</v>
      </c>
      <c r="O33" s="424">
        <f>VLOOKUP($A$2,'Costs Summary'!$B$183:$R$205,COLUMNS('Costs Summary'!$B$183:O$205)+1,0)</f>
        <v>30109.775346891365</v>
      </c>
      <c r="P33" s="424">
        <f>VLOOKUP($A$2,'Costs Summary'!$B$183:$R$205,COLUMNS('Costs Summary'!$B$183:P$205)+1,0)</f>
        <v>31013.068607298104</v>
      </c>
      <c r="Q33" s="433">
        <f>SUM(G33:P33)</f>
        <v>272484.19878543064</v>
      </c>
      <c r="R33" s="366"/>
      <c r="S33" s="357"/>
      <c r="T33" s="8"/>
      <c r="U33" s="8"/>
      <c r="V33" s="8"/>
      <c r="W33" s="8"/>
      <c r="X33" s="8"/>
    </row>
    <row r="34" spans="1:24" s="7" customFormat="1" ht="17.25" customHeight="1">
      <c r="A34" s="368" t="s">
        <v>284</v>
      </c>
      <c r="B34" s="368" t="s">
        <v>336</v>
      </c>
      <c r="H34" s="424">
        <f>VLOOKUP($A$2,'Costs Summary'!$B$241:$R$263,COLUMNS('Costs Summary'!$B$241:H263)+1,0)</f>
        <v>2680.9306979999997</v>
      </c>
      <c r="I34" s="424">
        <f>VLOOKUP($A$2,'Costs Summary'!$B$241:$R$263,COLUMNS('Costs Summary'!$B$241:I263)+1,0)</f>
        <v>2680.9306979999997</v>
      </c>
      <c r="J34" s="424">
        <f>VLOOKUP($A$2,'Costs Summary'!$B$241:$R$263,COLUMNS('Costs Summary'!$B$241:J263)+1,0)</f>
        <v>2680.9306979999997</v>
      </c>
      <c r="K34" s="424">
        <f>VLOOKUP($A$2,'Costs Summary'!$B$241:$R$263,COLUMNS('Costs Summary'!$B$241:K263)+1,0)</f>
        <v>2680.9306979999997</v>
      </c>
      <c r="L34" s="424">
        <f>VLOOKUP($A$2,'Costs Summary'!$B$241:$R$263,COLUMNS('Costs Summary'!$B$241:L263)+1,0)</f>
        <v>2680.9306979999997</v>
      </c>
      <c r="M34" s="424">
        <f>VLOOKUP($A$2,'Costs Summary'!$B$241:$R$263,COLUMNS('Costs Summary'!$B$241:M263)+1,0)</f>
        <v>2680.9306979999997</v>
      </c>
      <c r="N34" s="424">
        <f>VLOOKUP($A$2,'Costs Summary'!$B$241:$R$263,COLUMNS('Costs Summary'!$B$241:N263)+1,0)</f>
        <v>2680.9306979999997</v>
      </c>
      <c r="O34" s="424">
        <f>VLOOKUP($A$2,'Costs Summary'!$B$241:$R$263,COLUMNS('Costs Summary'!$B$241:O263)+1,0)</f>
        <v>2680.9306979999997</v>
      </c>
      <c r="P34" s="424">
        <f>VLOOKUP($A$2,'Costs Summary'!$B$241:$R$263,COLUMNS('Costs Summary'!$B$241:P263)+1,0)</f>
        <v>2680.9306979999997</v>
      </c>
      <c r="Q34" s="433">
        <f>SUM(G34:P34)</f>
        <v>24128.376281999997</v>
      </c>
      <c r="R34" s="366"/>
      <c r="S34" s="357"/>
      <c r="T34" s="8"/>
      <c r="U34" s="8"/>
      <c r="V34" s="8"/>
      <c r="W34" s="8"/>
      <c r="X34" s="8"/>
    </row>
    <row r="35" spans="1:24" s="7" customFormat="1" ht="17.25" customHeight="1">
      <c r="A35" s="419" t="s">
        <v>319</v>
      </c>
      <c r="B35" s="419" t="s">
        <v>665</v>
      </c>
      <c r="C35" s="423"/>
      <c r="D35" s="423"/>
      <c r="E35" s="423"/>
      <c r="F35" s="423"/>
      <c r="G35" s="423"/>
      <c r="H35" s="424">
        <f>VLOOKUP($A$2,'Costs Summary'!$B$212:$R$234,COLUMNS('Costs Summary'!$B$212:H$234)+1,0)</f>
        <v>3056.6306342929342</v>
      </c>
      <c r="I35" s="424">
        <f>VLOOKUP($A$2,'Costs Summary'!$B$212:$R$234,COLUMNS('Costs Summary'!$B$212:I$234)+1,0)</f>
        <v>2841.0058556939434</v>
      </c>
      <c r="J35" s="424">
        <f>VLOOKUP($A$2,'Costs Summary'!$B$212:$R$234,COLUMNS('Costs Summary'!$B$212:J$234)+1,0)</f>
        <v>2625.3810770949526</v>
      </c>
      <c r="K35" s="424">
        <f>VLOOKUP($A$2,'Costs Summary'!$B$212:$R$234,COLUMNS('Costs Summary'!$B$212:K$234)+1,0)</f>
        <v>2409.7562984959623</v>
      </c>
      <c r="L35" s="424">
        <f>VLOOKUP($A$2,'Costs Summary'!$B$212:$R$234,COLUMNS('Costs Summary'!$B$212:L$234)+1,0)</f>
        <v>2194.1315198969714</v>
      </c>
      <c r="M35" s="424">
        <f>VLOOKUP($A$2,'Costs Summary'!$B$212:$R$234,COLUMNS('Costs Summary'!$B$212:M$234)+1,0)</f>
        <v>1978.5067412979806</v>
      </c>
      <c r="N35" s="424">
        <f>VLOOKUP($A$2,'Costs Summary'!$B$212:$R$234,COLUMNS('Costs Summary'!$B$212:N$234)+1,0)</f>
        <v>1762.88196269899</v>
      </c>
      <c r="O35" s="424">
        <f>VLOOKUP($A$2,'Costs Summary'!$B$212:$R$234,COLUMNS('Costs Summary'!$B$212:O$234)+1,0)</f>
        <v>1547.2571840999994</v>
      </c>
      <c r="P35" s="424">
        <f>VLOOKUP($A$2,'Costs Summary'!$B$212:$R$234,COLUMNS('Costs Summary'!$B$212:P$234)+1,0)</f>
        <v>1547.2571840999994</v>
      </c>
      <c r="Q35" s="433">
        <f>SUM(G35:P35)</f>
        <v>19962.808457671734</v>
      </c>
      <c r="R35" s="366"/>
      <c r="S35" s="357"/>
      <c r="T35" s="8"/>
      <c r="U35" s="8"/>
      <c r="V35" s="8"/>
      <c r="W35" s="8"/>
      <c r="X35" s="8"/>
    </row>
    <row r="36" spans="1:24" s="7" customFormat="1" ht="17.25" customHeight="1" thickBot="1">
      <c r="A36" s="437" t="s">
        <v>338</v>
      </c>
      <c r="C36" s="423"/>
      <c r="D36" s="423"/>
      <c r="E36" s="368" t="s">
        <v>669</v>
      </c>
      <c r="F36" s="461">
        <f t="shared" ref="F36:P36" si="10">SUM(F32:F35)</f>
        <v>264387.2648</v>
      </c>
      <c r="G36" s="461">
        <f t="shared" si="10"/>
        <v>338255.73251097632</v>
      </c>
      <c r="H36" s="461">
        <f t="shared" si="10"/>
        <v>355713.39980764367</v>
      </c>
      <c r="I36" s="461">
        <f t="shared" si="10"/>
        <v>367624.51936196681</v>
      </c>
      <c r="J36" s="461">
        <f t="shared" si="10"/>
        <v>379956.40266753081</v>
      </c>
      <c r="K36" s="461">
        <f t="shared" si="10"/>
        <v>392723.66628661682</v>
      </c>
      <c r="L36" s="461">
        <f t="shared" si="10"/>
        <v>405941.43505611515</v>
      </c>
      <c r="M36" s="461">
        <f t="shared" si="10"/>
        <v>419625.35977798526</v>
      </c>
      <c r="N36" s="461">
        <f t="shared" si="10"/>
        <v>497578.08978574804</v>
      </c>
      <c r="O36" s="461">
        <f t="shared" si="10"/>
        <v>514476.00074853108</v>
      </c>
      <c r="P36" s="461">
        <f t="shared" si="10"/>
        <v>532184.12532212166</v>
      </c>
      <c r="Q36" s="462">
        <f t="shared" ref="Q36" si="11">SUM(Q32:Q35)</f>
        <v>4204078.7313252361</v>
      </c>
      <c r="R36" s="366"/>
      <c r="S36" s="357"/>
      <c r="T36" s="8"/>
      <c r="U36" s="8"/>
      <c r="V36" s="8"/>
      <c r="W36" s="8"/>
      <c r="X36" s="8"/>
    </row>
    <row r="37" spans="1:24" s="7" customFormat="1" ht="17.25" customHeight="1" thickTop="1" thickBot="1">
      <c r="C37" s="423"/>
      <c r="D37" s="423"/>
      <c r="E37" s="368" t="s">
        <v>340</v>
      </c>
      <c r="F37" s="468">
        <f>F36/(VLOOKUP($A$2,'Asset Attributes'!$B$3:$D$25,3,0))</f>
        <v>12.957619329543228</v>
      </c>
      <c r="G37" s="468">
        <f>G36/(VLOOKUP($A$2,'Asset Attributes'!$B$3:$D$25,3,0))</f>
        <v>16.577912787246436</v>
      </c>
      <c r="H37" s="468">
        <f>H36/(VLOOKUP($A$2,'Asset Attributes'!$B$3:$D$25,3,0))</f>
        <v>17.433513027232095</v>
      </c>
      <c r="I37" s="468">
        <f>I36/(VLOOKUP($A$2,'Asset Attributes'!$B$3:$D$25,3,0))</f>
        <v>18.017276973238914</v>
      </c>
      <c r="J37" s="468">
        <f>J36/(VLOOKUP($A$2,'Asset Attributes'!$B$3:$D$25,3,0))</f>
        <v>18.621662549869182</v>
      </c>
      <c r="K37" s="468">
        <f>K36/(VLOOKUP($A$2,'Asset Attributes'!$B$3:$D$25,3,0))</f>
        <v>19.247386114811647</v>
      </c>
      <c r="L37" s="468">
        <f>L36/(VLOOKUP($A$2,'Asset Attributes'!$B$3:$D$25,3,0))</f>
        <v>19.895188936292644</v>
      </c>
      <c r="M37" s="468">
        <f>M36/(VLOOKUP($A$2,'Asset Attributes'!$B$3:$D$25,3,0))</f>
        <v>20.565838060085536</v>
      </c>
      <c r="N37" s="468">
        <f>N36/(VLOOKUP($A$2,'Asset Attributes'!$B$3:$D$25,3,0))</f>
        <v>24.386301204947465</v>
      </c>
      <c r="O37" s="468">
        <f>O36/(VLOOKUP($A$2,'Asset Attributes'!$B$3:$D$25,3,0))</f>
        <v>25.214467788106795</v>
      </c>
      <c r="P37" s="468">
        <f>P36/(VLOOKUP($A$2,'Asset Attributes'!$B$3:$D$25,3,0))</f>
        <v>26.082342938743466</v>
      </c>
      <c r="Q37" s="460"/>
      <c r="R37" s="366"/>
      <c r="S37" s="357"/>
      <c r="T37" s="8"/>
      <c r="U37" s="8"/>
      <c r="V37" s="8"/>
      <c r="W37" s="8"/>
      <c r="X37" s="8"/>
    </row>
    <row r="38" spans="1:24" s="7" customFormat="1" ht="17.25" customHeight="1" thickTop="1">
      <c r="A38" s="436" t="s">
        <v>341</v>
      </c>
      <c r="R38" s="366"/>
      <c r="S38" s="357"/>
      <c r="T38" s="8"/>
      <c r="U38" s="8"/>
      <c r="V38" s="8"/>
      <c r="W38" s="8"/>
      <c r="X38" s="8"/>
    </row>
    <row r="39" spans="1:24" s="7" customFormat="1" ht="17.25" customHeight="1">
      <c r="A39" s="368" t="str">
        <f>VLOOKUP($A$2,'Asset Attributes'!$B$3:$D$25,2,0)</f>
        <v>NSW2</v>
      </c>
      <c r="B39" s="368" t="s">
        <v>342</v>
      </c>
      <c r="C39" s="423"/>
      <c r="D39" s="423"/>
      <c r="E39" s="367"/>
      <c r="F39" s="424">
        <f>VLOOKUP($A$2,'Costs Summary'!$B$4:$R$26,COLUMNS('Costs Summary'!$B$4:F$26)+1,0)</f>
        <v>246004.16</v>
      </c>
      <c r="G39" s="424">
        <f>VLOOKUP($A$2,'Costs Summary'!$B$4:$R$26,COLUMNS('Costs Summary'!$B$4:G$26)+1,0)</f>
        <v>314486.79780902219</v>
      </c>
      <c r="H39" s="424">
        <f>VLOOKUP($A$2,'Costs Summary'!$B$4:$R$26,COLUMNS('Costs Summary'!$B$4:H$26)+1,0)</f>
        <v>325493.83573233796</v>
      </c>
      <c r="I39" s="424">
        <f>VLOOKUP($A$2,'Costs Summary'!$B$4:$R$26,COLUMNS('Costs Summary'!$B$4:I$26)+1,0)</f>
        <v>336886.11998296971</v>
      </c>
      <c r="J39" s="424">
        <f>VLOOKUP($A$2,'Costs Summary'!$B$4:$R$26,COLUMNS('Costs Summary'!$B$4:J$26)+1,0)</f>
        <v>348677.13418237364</v>
      </c>
      <c r="K39" s="424">
        <f>VLOOKUP($A$2,'Costs Summary'!$B$4:$R$26,COLUMNS('Costs Summary'!$B$4:K$26)+1,0)</f>
        <v>360880.83387875673</v>
      </c>
      <c r="L39" s="424">
        <f>VLOOKUP($A$2,'Costs Summary'!$B$4:$R$26,COLUMNS('Costs Summary'!$B$4:L$26)+1,0)</f>
        <v>373511.66306451318</v>
      </c>
      <c r="M39" s="424">
        <f>VLOOKUP($A$2,'Costs Summary'!$B$4:$R$26,COLUMNS('Costs Summary'!$B$4:M$26)+1,0)</f>
        <v>386584.5712717711</v>
      </c>
      <c r="N39" s="424">
        <f>VLOOKUP($A$2,'Costs Summary'!$B$4:$R$26,COLUMNS('Costs Summary'!$B$4:N$26)+1,0)</f>
        <v>463901.48552612535</v>
      </c>
      <c r="O39" s="424">
        <f>VLOOKUP($A$2,'Costs Summary'!$B$4:$R$26,COLUMNS('Costs Summary'!$B$4:O$26)+1,0)</f>
        <v>534530.90022775659</v>
      </c>
      <c r="P39" s="424">
        <f>VLOOKUP($A$2,'Costs Summary'!$B$4:$R$26,COLUMNS('Costs Summary'!$B$4:P$26)+1,0)</f>
        <v>553239.48173572798</v>
      </c>
      <c r="Q39" s="433">
        <f>SUM(G39:P39)</f>
        <v>3998192.8234113548</v>
      </c>
      <c r="R39" s="366"/>
      <c r="S39" s="357"/>
      <c r="T39" s="8"/>
      <c r="U39" s="8"/>
      <c r="V39" s="8"/>
      <c r="W39" s="8"/>
      <c r="X39" s="8"/>
    </row>
    <row r="40" spans="1:24" s="7" customFormat="1" ht="17.25" customHeight="1">
      <c r="A40" s="368" t="s">
        <v>284</v>
      </c>
      <c r="B40" s="368" t="s">
        <v>343</v>
      </c>
      <c r="C40" s="423"/>
      <c r="D40" s="423"/>
      <c r="E40" s="423"/>
      <c r="F40" s="424">
        <f>VLOOKUP($A$2,'Costs Summary'!$B$33:$R$55,COLUMNS('Costs Summary'!$B$33:F$55)+1,0)</f>
        <v>18383.104800000001</v>
      </c>
      <c r="G40" s="424">
        <f>VLOOKUP($A$2,'Costs Summary'!$B$33:$R$55,COLUMNS('Costs Summary'!$B$33:G$55)+1,0)</f>
        <v>23768.93470195412</v>
      </c>
      <c r="H40" s="424">
        <f>VLOOKUP($A$2,'Costs Summary'!$B$33:$R$55,COLUMNS('Costs Summary'!$B$33:H$55)+1,0)</f>
        <v>24482.002743012745</v>
      </c>
      <c r="I40" s="424">
        <f>VLOOKUP($A$2,'Costs Summary'!$B$33:$R$55,COLUMNS('Costs Summary'!$B$33:I$55)+1,0)</f>
        <v>25216.46282530313</v>
      </c>
      <c r="J40" s="424">
        <f>VLOOKUP($A$2,'Costs Summary'!$B$33:$R$55,COLUMNS('Costs Summary'!$B$33:J$55)+1,0)</f>
        <v>25972.956710062223</v>
      </c>
      <c r="K40" s="424">
        <f>VLOOKUP($A$2,'Costs Summary'!$B$33:$R$55,COLUMNS('Costs Summary'!$B$33:K$55)+1,0)</f>
        <v>26752.14541136409</v>
      </c>
      <c r="L40" s="424">
        <f>VLOOKUP($A$2,'Costs Summary'!$B$33:$R$55,COLUMNS('Costs Summary'!$B$33:L$55)+1,0)</f>
        <v>27554.709773705014</v>
      </c>
      <c r="M40" s="424">
        <f>VLOOKUP($A$2,'Costs Summary'!$B$33:$R$55,COLUMNS('Costs Summary'!$B$33:M$55)+1,0)</f>
        <v>28381.35106691617</v>
      </c>
      <c r="N40" s="424">
        <f>VLOOKUP($A$2,'Costs Summary'!$B$33:$R$55,COLUMNS('Costs Summary'!$B$33:N$55)+1,0)</f>
        <v>29232.791598923654</v>
      </c>
      <c r="O40" s="424">
        <f>VLOOKUP($A$2,'Costs Summary'!$B$33:$R$55,COLUMNS('Costs Summary'!$B$33:O$55)+1,0)</f>
        <v>30109.775346891365</v>
      </c>
      <c r="P40" s="424">
        <f>VLOOKUP($A$2,'Costs Summary'!$B$33:$R$55,COLUMNS('Costs Summary'!$B$33:P$55)+1,0)</f>
        <v>3580.5356855261889</v>
      </c>
      <c r="Q40" s="433">
        <f>SUM(G40:P40)</f>
        <v>245051.66586365868</v>
      </c>
      <c r="R40" s="366"/>
      <c r="S40" s="357"/>
      <c r="T40" s="8"/>
      <c r="U40" s="8"/>
      <c r="V40" s="8"/>
      <c r="W40" s="8"/>
      <c r="X40" s="8"/>
    </row>
    <row r="41" spans="1:24" s="7" customFormat="1" ht="17.25" customHeight="1">
      <c r="A41" s="368" t="s">
        <v>284</v>
      </c>
      <c r="B41" s="368" t="s">
        <v>336</v>
      </c>
      <c r="H41" s="424">
        <f>VLOOKUP($A$2,'Costs Summary'!$B$125:$R$147,COLUMNS('Costs Summary'!$B$125:H$147)+1,0)</f>
        <v>2680.9306979999997</v>
      </c>
      <c r="I41" s="424">
        <f>VLOOKUP($A$2,'Costs Summary'!$B$125:$R$147,COLUMNS('Costs Summary'!$B$125:I$147)+1,0)</f>
        <v>2680.9306979999997</v>
      </c>
      <c r="J41" s="424">
        <f>VLOOKUP($A$2,'Costs Summary'!$B$125:$R$147,COLUMNS('Costs Summary'!$B$125:J$147)+1,0)</f>
        <v>2680.9306979999997</v>
      </c>
      <c r="K41" s="424">
        <f>VLOOKUP($A$2,'Costs Summary'!$B$125:$R$147,COLUMNS('Costs Summary'!$B$125:K$147)+1,0)</f>
        <v>2680.9306979999997</v>
      </c>
      <c r="L41" s="424">
        <f>VLOOKUP($A$2,'Costs Summary'!$B$125:$R$147,COLUMNS('Costs Summary'!$B$125:L$147)+1,0)</f>
        <v>2680.9306979999997</v>
      </c>
      <c r="M41" s="424">
        <f>VLOOKUP($A$2,'Costs Summary'!$B$125:$R$147,COLUMNS('Costs Summary'!$B$125:M$147)+1,0)</f>
        <v>2680.9306979999997</v>
      </c>
      <c r="N41" s="424">
        <f>VLOOKUP($A$2,'Costs Summary'!$B$125:$R$147,COLUMNS('Costs Summary'!$B$125:N$147)+1,0)</f>
        <v>2680.9306979999997</v>
      </c>
      <c r="O41" s="424">
        <f>VLOOKUP($A$2,'Costs Summary'!$B$125:$R$147,COLUMNS('Costs Summary'!$B$125:O$147)+1,0)</f>
        <v>2680.9306979999997</v>
      </c>
      <c r="P41" s="424">
        <f>VLOOKUP($A$2,'Costs Summary'!$B$125:$R$147,COLUMNS('Costs Summary'!$B$125:P$147)+1,0)</f>
        <v>309.52009800000008</v>
      </c>
      <c r="Q41" s="433">
        <f t="shared" ref="Q41:Q42" si="12">SUM(G41:P41)</f>
        <v>21756.965681999998</v>
      </c>
      <c r="R41" s="366"/>
      <c r="S41" s="357"/>
      <c r="T41" s="8"/>
      <c r="U41" s="8"/>
      <c r="V41" s="8"/>
      <c r="W41" s="8"/>
      <c r="X41" s="8"/>
    </row>
    <row r="42" spans="1:24" s="7" customFormat="1" ht="17.25" customHeight="1">
      <c r="A42" s="419" t="s">
        <v>319</v>
      </c>
      <c r="B42" s="419" t="s">
        <v>666</v>
      </c>
      <c r="C42" s="423"/>
      <c r="D42" s="423"/>
      <c r="E42" s="423"/>
      <c r="F42" s="423"/>
      <c r="G42" s="423"/>
      <c r="H42" s="424">
        <f>VLOOKUP($A$2,'Costs Summary'!$B$212:$R$234,COLUMNS('Costs Summary'!$B$212:H$234)+1,0)</f>
        <v>3056.6306342929342</v>
      </c>
      <c r="I42" s="424">
        <f>VLOOKUP($A$2,'Costs Summary'!$B$212:$R$234,COLUMNS('Costs Summary'!$B$212:I$234)+1,0)</f>
        <v>2841.0058556939434</v>
      </c>
      <c r="J42" s="424">
        <f>VLOOKUP($A$2,'Costs Summary'!$B$212:$R$234,COLUMNS('Costs Summary'!$B$212:J$234)+1,0)</f>
        <v>2625.3810770949526</v>
      </c>
      <c r="K42" s="424">
        <f>VLOOKUP($A$2,'Costs Summary'!$B$212:$R$234,COLUMNS('Costs Summary'!$B$212:K$234)+1,0)</f>
        <v>2409.7562984959623</v>
      </c>
      <c r="L42" s="424">
        <f>VLOOKUP($A$2,'Costs Summary'!$B$212:$R$234,COLUMNS('Costs Summary'!$B$212:L$234)+1,0)</f>
        <v>2194.1315198969714</v>
      </c>
      <c r="M42" s="424">
        <f>VLOOKUP($A$2,'Costs Summary'!$B$212:$R$234,COLUMNS('Costs Summary'!$B$212:M$234)+1,0)</f>
        <v>1978.5067412979806</v>
      </c>
      <c r="N42" s="424">
        <f>VLOOKUP($A$2,'Costs Summary'!$B$212:$R$234,COLUMNS('Costs Summary'!$B$212:N$234)+1,0)</f>
        <v>1762.88196269899</v>
      </c>
      <c r="O42" s="424">
        <f>VLOOKUP($A$2,'Costs Summary'!$B$212:$R$234,COLUMNS('Costs Summary'!$B$212:O$234)+1,0)</f>
        <v>1547.2571840999994</v>
      </c>
      <c r="P42" s="424">
        <f>VLOOKUP($A$2,'Costs Summary'!$B$212:$R$234,COLUMNS('Costs Summary'!$B$212:P$234)+1,0)</f>
        <v>1547.2571840999994</v>
      </c>
      <c r="Q42" s="433">
        <f t="shared" si="12"/>
        <v>19962.808457671734</v>
      </c>
      <c r="R42" s="366"/>
      <c r="S42" s="357"/>
      <c r="T42" s="8"/>
      <c r="U42" s="8"/>
      <c r="V42" s="8"/>
      <c r="W42" s="8"/>
      <c r="X42" s="8" t="s">
        <v>713</v>
      </c>
    </row>
    <row r="43" spans="1:24" s="7" customFormat="1" ht="17.25" customHeight="1" thickBot="1">
      <c r="A43" s="437" t="s">
        <v>338</v>
      </c>
      <c r="E43" s="368" t="s">
        <v>669</v>
      </c>
      <c r="F43" s="461">
        <f t="shared" ref="F43:P43" si="13">SUM(F39:F42)</f>
        <v>264387.2648</v>
      </c>
      <c r="G43" s="461">
        <f t="shared" si="13"/>
        <v>338255.73251097632</v>
      </c>
      <c r="H43" s="461">
        <f t="shared" si="13"/>
        <v>355713.39980764367</v>
      </c>
      <c r="I43" s="461">
        <f t="shared" si="13"/>
        <v>367624.51936196681</v>
      </c>
      <c r="J43" s="461">
        <f t="shared" si="13"/>
        <v>379956.40266753081</v>
      </c>
      <c r="K43" s="461">
        <f t="shared" si="13"/>
        <v>392723.66628661682</v>
      </c>
      <c r="L43" s="461">
        <f t="shared" si="13"/>
        <v>405941.43505611515</v>
      </c>
      <c r="M43" s="461">
        <f t="shared" si="13"/>
        <v>419625.35977798526</v>
      </c>
      <c r="N43" s="461">
        <f t="shared" si="13"/>
        <v>497578.08978574804</v>
      </c>
      <c r="O43" s="461">
        <f t="shared" si="13"/>
        <v>568868.86345674796</v>
      </c>
      <c r="P43" s="461">
        <f t="shared" si="13"/>
        <v>558676.79470335413</v>
      </c>
      <c r="Q43" s="462">
        <f t="shared" ref="Q43" si="14">SUM(Q39:Q42)</f>
        <v>4284964.2634146847</v>
      </c>
      <c r="R43" s="366"/>
      <c r="S43" s="357"/>
      <c r="T43" s="8"/>
      <c r="U43" s="8"/>
      <c r="V43" s="8"/>
      <c r="W43" s="8"/>
      <c r="X43" s="7" t="s">
        <v>714</v>
      </c>
    </row>
    <row r="44" spans="1:24" s="7" customFormat="1" ht="17.25" customHeight="1" thickTop="1" thickBot="1">
      <c r="E44" s="368" t="s">
        <v>340</v>
      </c>
      <c r="F44" s="468">
        <f>F43/(VLOOKUP($A$2,'Asset Attributes'!$B$3:$D$25,3,0))</f>
        <v>12.957619329543228</v>
      </c>
      <c r="G44" s="468">
        <f>G43/(VLOOKUP($A$2,'Asset Attributes'!$B$3:$D$25,3,0))</f>
        <v>16.577912787246436</v>
      </c>
      <c r="H44" s="468">
        <f>H43/(VLOOKUP($A$2,'Asset Attributes'!$B$3:$D$25,3,0))</f>
        <v>17.433513027232095</v>
      </c>
      <c r="I44" s="468">
        <f>I43/(VLOOKUP($A$2,'Asset Attributes'!$B$3:$D$25,3,0))</f>
        <v>18.017276973238914</v>
      </c>
      <c r="J44" s="468">
        <f>J43/(VLOOKUP($A$2,'Asset Attributes'!$B$3:$D$25,3,0))</f>
        <v>18.621662549869182</v>
      </c>
      <c r="K44" s="468">
        <f>K43/(VLOOKUP($A$2,'Asset Attributes'!$B$3:$D$25,3,0))</f>
        <v>19.247386114811647</v>
      </c>
      <c r="L44" s="468">
        <f>L43/(VLOOKUP($A$2,'Asset Attributes'!$B$3:$D$25,3,0))</f>
        <v>19.895188936292644</v>
      </c>
      <c r="M44" s="468">
        <f>M43/(VLOOKUP($A$2,'Asset Attributes'!$B$3:$D$25,3,0))</f>
        <v>20.565838060085536</v>
      </c>
      <c r="N44" s="468">
        <f>N43/(VLOOKUP($A$2,'Asset Attributes'!$B$3:$D$25,3,0))</f>
        <v>24.386301204947465</v>
      </c>
      <c r="O44" s="468">
        <f>O43/(VLOOKUP($A$2,'Asset Attributes'!$B$3:$D$25,3,0))</f>
        <v>27.880261882804742</v>
      </c>
      <c r="P44" s="468">
        <f>P43/(VLOOKUP($A$2,'Asset Attributes'!$B$3:$D$25,3,0))</f>
        <v>27.380748613181442</v>
      </c>
      <c r="Q44" s="460">
        <f>Q43/(VLOOKUP($A$2,'Asset Attributes'!$B$3:$D$25,3,0))</f>
        <v>210.0060901497101</v>
      </c>
      <c r="R44" s="366"/>
      <c r="S44" s="357"/>
      <c r="T44" s="8"/>
      <c r="U44" s="8"/>
      <c r="V44" s="8"/>
      <c r="W44" s="8"/>
      <c r="X44" s="8"/>
    </row>
    <row r="45" spans="1:24" s="7" customFormat="1" ht="17.25" customHeight="1" thickTop="1">
      <c r="B45" s="1"/>
      <c r="C45" s="2"/>
      <c r="D45" s="2"/>
      <c r="E45" s="3"/>
      <c r="F45" s="430"/>
      <c r="R45" s="366"/>
      <c r="S45" s="357"/>
      <c r="T45" s="8"/>
      <c r="U45" s="8"/>
      <c r="V45" s="8"/>
      <c r="W45" s="8"/>
      <c r="X45" s="8"/>
    </row>
    <row r="46" spans="1:24"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0</v>
      </c>
      <c r="L46" s="461">
        <f t="shared" si="15"/>
        <v>0</v>
      </c>
      <c r="M46" s="461">
        <f t="shared" si="15"/>
        <v>0</v>
      </c>
      <c r="N46" s="461">
        <f t="shared" si="15"/>
        <v>0</v>
      </c>
      <c r="O46" s="461">
        <f t="shared" si="15"/>
        <v>54392.862708216882</v>
      </c>
      <c r="P46" s="461">
        <f t="shared" si="15"/>
        <v>26492.669381232467</v>
      </c>
      <c r="Q46" s="462">
        <f>SUM(F46:P46)</f>
        <v>80885.532089449349</v>
      </c>
      <c r="R46" s="366"/>
      <c r="S46" s="357"/>
      <c r="T46" s="8"/>
      <c r="U46" s="8"/>
      <c r="V46" s="8"/>
      <c r="W46" s="8"/>
      <c r="X46" s="8"/>
    </row>
    <row r="47" spans="1:24"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0</v>
      </c>
      <c r="M47" s="468">
        <f>M46/(VLOOKUP($A$2,'Asset Attributes'!$B$3:$D$25,3,0))</f>
        <v>0</v>
      </c>
      <c r="N47" s="468">
        <f>N46/(VLOOKUP($A$2,'Asset Attributes'!$B$3:$D$25,3,0))</f>
        <v>0</v>
      </c>
      <c r="O47" s="468">
        <f>O46/(VLOOKUP($A$2,'Asset Attributes'!$B$3:$D$25,3,0))</f>
        <v>2.6657940946979455</v>
      </c>
      <c r="P47" s="468">
        <f>P46/(VLOOKUP($A$2,'Asset Attributes'!$B$3:$D$25,3,0))</f>
        <v>1.2984056744379762</v>
      </c>
      <c r="Q47" s="460">
        <f>Q46/(VLOOKUP($A$2,'Asset Attributes'!$B$3:$D$25,3,0))</f>
        <v>3.9641997691359219</v>
      </c>
      <c r="R47" s="366"/>
      <c r="S47" s="357"/>
      <c r="T47" s="8"/>
      <c r="U47" s="8"/>
      <c r="V47" s="8"/>
      <c r="W47" s="8"/>
      <c r="X47" s="8"/>
    </row>
    <row r="48" spans="1:24"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c r="V48" s="8"/>
      <c r="W48" s="8"/>
      <c r="X48" s="8"/>
    </row>
    <row r="49" spans="1:24" s="7" customFormat="1" ht="17.25" customHeight="1">
      <c r="B49" s="368" t="s">
        <v>346</v>
      </c>
      <c r="C49" s="2"/>
      <c r="D49" s="2"/>
      <c r="E49" s="459" t="s">
        <v>347</v>
      </c>
      <c r="F49" s="463"/>
      <c r="G49" s="464">
        <f t="shared" ref="G49:P49" si="16">G115</f>
        <v>0</v>
      </c>
      <c r="H49" s="464">
        <f t="shared" si="16"/>
        <v>0</v>
      </c>
      <c r="I49" s="464">
        <f t="shared" si="16"/>
        <v>0</v>
      </c>
      <c r="J49" s="464">
        <f t="shared" si="16"/>
        <v>0</v>
      </c>
      <c r="K49" s="464">
        <f t="shared" si="16"/>
        <v>0</v>
      </c>
      <c r="L49" s="464">
        <f t="shared" si="16"/>
        <v>0</v>
      </c>
      <c r="M49" s="464">
        <f t="shared" si="16"/>
        <v>0</v>
      </c>
      <c r="N49" s="464">
        <f t="shared" si="16"/>
        <v>0</v>
      </c>
      <c r="O49" s="464">
        <f t="shared" si="16"/>
        <v>1287500</v>
      </c>
      <c r="P49" s="464">
        <f t="shared" si="16"/>
        <v>0</v>
      </c>
      <c r="Q49" s="465">
        <f>+SUM(F49:P49)</f>
        <v>1287500</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0</v>
      </c>
      <c r="L50" s="466">
        <f t="shared" si="17"/>
        <v>0</v>
      </c>
      <c r="M50" s="466">
        <f t="shared" si="17"/>
        <v>0</v>
      </c>
      <c r="N50" s="466">
        <f t="shared" si="17"/>
        <v>0</v>
      </c>
      <c r="O50" s="466">
        <f t="shared" si="17"/>
        <v>54392.862708216882</v>
      </c>
      <c r="P50" s="466">
        <f t="shared" si="17"/>
        <v>26492.669381232467</v>
      </c>
      <c r="Q50" s="467">
        <f>Q46</f>
        <v>80885.532089449349</v>
      </c>
      <c r="R50" s="366"/>
      <c r="S50" s="357"/>
      <c r="T50" s="8"/>
      <c r="U50" s="8"/>
      <c r="V50" s="8"/>
      <c r="W50" s="8"/>
      <c r="X50" s="8"/>
    </row>
    <row r="51" spans="1:24" s="7" customFormat="1" ht="17.25" customHeight="1">
      <c r="A51" s="9"/>
      <c r="B51" s="368"/>
      <c r="C51" s="2"/>
      <c r="D51" s="2"/>
      <c r="E51" s="540" t="s">
        <v>670</v>
      </c>
      <c r="F51" s="541">
        <f>-1*F50</f>
        <v>0</v>
      </c>
      <c r="G51" s="541">
        <f t="shared" ref="G51:O51" si="18">-1*G50</f>
        <v>0</v>
      </c>
      <c r="H51" s="541">
        <f t="shared" si="18"/>
        <v>0</v>
      </c>
      <c r="I51" s="541">
        <f t="shared" si="18"/>
        <v>0</v>
      </c>
      <c r="J51" s="541">
        <f t="shared" si="18"/>
        <v>0</v>
      </c>
      <c r="K51" s="541">
        <f t="shared" si="18"/>
        <v>0</v>
      </c>
      <c r="L51" s="541">
        <f t="shared" si="18"/>
        <v>0</v>
      </c>
      <c r="M51" s="541">
        <f t="shared" si="18"/>
        <v>0</v>
      </c>
      <c r="N51" s="541">
        <f t="shared" si="18"/>
        <v>0</v>
      </c>
      <c r="O51" s="541">
        <f t="shared" si="18"/>
        <v>-54392.862708216882</v>
      </c>
      <c r="P51" s="541">
        <f>-1*P50</f>
        <v>-26492.669381232467</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c r="W54" s="8"/>
      <c r="X54" s="8"/>
    </row>
    <row r="55" spans="1:24" s="7" customFormat="1" ht="33.75" customHeight="1" thickTop="1" thickBot="1">
      <c r="A55" s="184" t="s">
        <v>671</v>
      </c>
      <c r="B55" s="200"/>
      <c r="C55" s="200" t="s">
        <v>615</v>
      </c>
      <c r="D55" s="10"/>
      <c r="E55" s="441" t="s">
        <v>205</v>
      </c>
      <c r="F55" s="200" t="s">
        <v>188</v>
      </c>
      <c r="G55" s="200" t="str">
        <f>G67</f>
        <v>CURRENT</v>
      </c>
      <c r="H55" s="200" t="str">
        <f t="shared" ref="H55:P55" si="19">H67</f>
        <v>FY25</v>
      </c>
      <c r="I55" s="200" t="str">
        <f t="shared" si="19"/>
        <v>FY26</v>
      </c>
      <c r="J55" s="200" t="str">
        <f t="shared" si="19"/>
        <v>FY27</v>
      </c>
      <c r="K55" s="200" t="str">
        <f t="shared" si="19"/>
        <v>FY28</v>
      </c>
      <c r="L55" s="200" t="str">
        <f t="shared" si="19"/>
        <v>FY29</v>
      </c>
      <c r="M55" s="200" t="str">
        <f t="shared" si="19"/>
        <v>FY30</v>
      </c>
      <c r="N55" s="200" t="str">
        <f t="shared" si="19"/>
        <v>FY31</v>
      </c>
      <c r="O55" s="200" t="str">
        <f t="shared" si="19"/>
        <v>FY32</v>
      </c>
      <c r="P55" s="200" t="str">
        <f t="shared" si="19"/>
        <v>FY33</v>
      </c>
      <c r="Q55" s="200" t="s">
        <v>84</v>
      </c>
      <c r="R55" s="992" t="s">
        <v>354</v>
      </c>
      <c r="S55" s="992"/>
      <c r="T55" s="992" t="s">
        <v>355</v>
      </c>
      <c r="U55" s="992"/>
      <c r="V55" s="992" t="s">
        <v>356</v>
      </c>
      <c r="W55" s="992"/>
      <c r="X55" s="8"/>
    </row>
    <row r="56" spans="1:24" ht="25.5" customHeight="1" thickTop="1">
      <c r="A56" s="438" t="s">
        <v>357</v>
      </c>
      <c r="B56" s="11"/>
      <c r="C56" s="442">
        <v>45016</v>
      </c>
      <c r="D56" s="159"/>
      <c r="E56" s="487" t="str">
        <f>A2</f>
        <v>151 Clarence Street</v>
      </c>
      <c r="F56" s="440">
        <f t="shared" ref="F56:P56" si="20">F272</f>
        <v>5.6779709728409253</v>
      </c>
      <c r="G56" s="440">
        <f t="shared" si="20"/>
        <v>5.6779709728409253</v>
      </c>
      <c r="H56" s="440">
        <f t="shared" si="20"/>
        <v>5.6779709728409253</v>
      </c>
      <c r="I56" s="440">
        <f t="shared" si="20"/>
        <v>5.6779709728409253</v>
      </c>
      <c r="J56" s="440">
        <f t="shared" si="20"/>
        <v>5.6779709728409253</v>
      </c>
      <c r="K56" s="440">
        <f t="shared" si="20"/>
        <v>5.6779709728409253</v>
      </c>
      <c r="L56" s="440">
        <f t="shared" si="20"/>
        <v>5.6779709728409253</v>
      </c>
      <c r="M56" s="440">
        <f t="shared" si="20"/>
        <v>5.6779709728409253</v>
      </c>
      <c r="N56" s="440">
        <f t="shared" si="20"/>
        <v>5.6779709728409253</v>
      </c>
      <c r="O56" s="440">
        <f t="shared" si="20"/>
        <v>5.6779709728409253</v>
      </c>
      <c r="P56" s="440">
        <f t="shared" si="20"/>
        <v>5.6144378534554962</v>
      </c>
      <c r="Q56" s="470">
        <f>IF(E56="",0,P56-F56)</f>
        <v>-6.353311938542916E-2</v>
      </c>
      <c r="R56" s="473" t="s">
        <v>358</v>
      </c>
      <c r="S56" s="478" t="s">
        <v>62</v>
      </c>
      <c r="T56" s="473" t="s">
        <v>358</v>
      </c>
      <c r="U56" s="478" t="s">
        <v>18</v>
      </c>
      <c r="V56" s="473" t="s">
        <v>358</v>
      </c>
      <c r="W56" s="479" t="str">
        <f>IF(W58=1,"Complete",IF(W60&lt;&gt;0,"Complete","Outstanding"))</f>
        <v>Complete</v>
      </c>
      <c r="X56" s="14"/>
    </row>
    <row r="57" spans="1:24" ht="25.5" customHeight="1">
      <c r="A57" s="438" t="s">
        <v>6</v>
      </c>
      <c r="C57" s="275" t="s">
        <v>118</v>
      </c>
      <c r="D57" s="160" t="s">
        <v>676</v>
      </c>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0</v>
      </c>
      <c r="T57" s="473" t="s">
        <v>669</v>
      </c>
      <c r="U57" s="479">
        <f>IF(U56="Underway","",S115)</f>
        <v>1287500</v>
      </c>
      <c r="V57" s="473" t="s">
        <v>361</v>
      </c>
      <c r="W57" s="478" t="s">
        <v>680</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-5244.7040093244996</v>
      </c>
      <c r="T58" s="473" t="s">
        <v>367</v>
      </c>
      <c r="U58" s="478">
        <f>IF(U56="Underway","",-1*S64)</f>
        <v>0.88454751992250114</v>
      </c>
      <c r="V58" s="473" t="s">
        <v>368</v>
      </c>
      <c r="W58" s="478">
        <v>1</v>
      </c>
      <c r="X58" s="14"/>
    </row>
    <row r="59" spans="1:24" ht="25.5" customHeight="1">
      <c r="A59" s="438" t="s">
        <v>369</v>
      </c>
      <c r="B59" s="14"/>
      <c r="C59" s="443">
        <v>2000</v>
      </c>
      <c r="D59" s="161"/>
      <c r="E59" s="488" t="str">
        <f>IF(VLOOKUP($A$2,'Asset Attributes'!B3:G25,5,0)&gt;0.001,"IGO","")</f>
        <v>IGO</v>
      </c>
      <c r="F59" s="439">
        <f>IF($E$59="IGO",SUMPRODUCT('Footprint Summary'!G153:G175,'Footprint Summary'!$C153:$C175,'Footprint Summary'!$E153:$E175)/SUMPRODUCT('Footprint Summary'!$C153:$C175,'Footprint Summary'!$E153:$E175),"")</f>
        <v>5.3773163530915085</v>
      </c>
      <c r="G59" s="439">
        <f>IF($E$59="IGO",SUMPRODUCT('Footprint Summary'!H153:H175,'Footprint Summary'!$C153:$C175,'Footprint Summary'!$E153:$E175)/SUMPRODUCT('Footprint Summary'!$C153:$C175,'Footprint Summary'!$E153:$E175),"")</f>
        <v>5.3897415030978291</v>
      </c>
      <c r="H59" s="439">
        <f>IF($E$59="IGO",SUMPRODUCT('Footprint Summary'!I153:I175,'Footprint Summary'!$C153:$C175,'Footprint Summary'!$E153:$E175)/SUMPRODUCT('Footprint Summary'!$C153:$C175,'Footprint Summary'!$E153:$E175),"")</f>
        <v>5.3989086851726711</v>
      </c>
      <c r="I59" s="439">
        <f>IF($E$59="IGO",SUMPRODUCT('Footprint Summary'!J153:J175,'Footprint Summary'!$C153:$C175,'Footprint Summary'!$E153:$E175)/SUMPRODUCT('Footprint Summary'!$C153:$C175,'Footprint Summary'!$E153:$E175),"")</f>
        <v>5.4212093179158183</v>
      </c>
      <c r="J59" s="439">
        <f>IF($E$59="IGO",SUMPRODUCT('Footprint Summary'!K153:K175,'Footprint Summary'!$C153:$C175,'Footprint Summary'!$E153:$E175)/SUMPRODUCT('Footprint Summary'!$C153:$C175,'Footprint Summary'!$E153:$E175),"")</f>
        <v>5.4717936463248549</v>
      </c>
      <c r="K59" s="439">
        <f>IF($E$59="IGO",SUMPRODUCT('Footprint Summary'!L153:L175,'Footprint Summary'!$C153:$C175,'Footprint Summary'!$E153:$E175)/SUMPRODUCT('Footprint Summary'!$C153:$C175,'Footprint Summary'!$E153:$E175),"")</f>
        <v>5.4936944742974081</v>
      </c>
      <c r="L59" s="439">
        <f>IF($E$59="IGO",SUMPRODUCT('Footprint Summary'!M153:M175,'Footprint Summary'!$C153:$C175,'Footprint Summary'!$E153:$E175)/SUMPRODUCT('Footprint Summary'!$C153:$C175,'Footprint Summary'!$E153:$E175),"")</f>
        <v>5.5096998051417883</v>
      </c>
      <c r="M59" s="439">
        <f>IF($E$59="IGO",SUMPRODUCT('Footprint Summary'!N153:N175,'Footprint Summary'!$C153:$C175,'Footprint Summary'!$E153:$E175)/SUMPRODUCT('Footprint Summary'!$C153:$C175,'Footprint Summary'!$E153:$E175),"")</f>
        <v>5.5139146402024437</v>
      </c>
      <c r="N59" s="439">
        <f>IF($E$59="IGO",SUMPRODUCT('Footprint Summary'!O153:O175,'Footprint Summary'!$C153:$C175,'Footprint Summary'!$E153:$E175)/SUMPRODUCT('Footprint Summary'!$C153:$C175,'Footprint Summary'!$E153:$E175),"")</f>
        <v>5.5351632663682917</v>
      </c>
      <c r="O59" s="439">
        <f>IF($E$59="IGO",SUMPRODUCT('Footprint Summary'!P153:P175,'Footprint Summary'!$C153:$C175,'Footprint Summary'!$E153:$E175)/SUMPRODUCT('Footprint Summary'!$C153:$C175,'Footprint Summary'!$E153:$E175),"")</f>
        <v>5.5351632663682917</v>
      </c>
      <c r="P59" s="439">
        <f>IF($E$59="IGO",SUMPRODUCT('Footprint Summary'!Q153:Q175,'Footprint Summary'!$C153:$C175,'Footprint Summary'!$E153:$E175)/SUMPRODUCT('Footprint Summary'!$C153:$C175,'Footprint Summary'!$E153:$E175),"")</f>
        <v>5.5316015265321372</v>
      </c>
      <c r="Q59" s="470">
        <f>IF(E59="","",P59-G59)</f>
        <v>0.14186002343430815</v>
      </c>
      <c r="R59" s="473" t="s">
        <v>370</v>
      </c>
      <c r="S59" s="480">
        <f>V115</f>
        <v>-5.4314086827955965E-3</v>
      </c>
      <c r="T59" s="473" t="s">
        <v>371</v>
      </c>
      <c r="U59" s="483" t="e">
        <f ca="1">IF(U56="Underway","",_xlfn.MAXIFS(E69:E88,S69:S88,"Yes"))</f>
        <v>#NAME?</v>
      </c>
      <c r="V59" s="482" t="s">
        <v>372</v>
      </c>
      <c r="W59" s="479">
        <f>T115</f>
        <v>0</v>
      </c>
      <c r="X59" s="14"/>
    </row>
    <row r="60" spans="1:24" ht="25.5" customHeight="1">
      <c r="A60" s="438" t="s">
        <v>373</v>
      </c>
      <c r="B60" s="14"/>
      <c r="C60" s="275">
        <v>20094</v>
      </c>
      <c r="D60" s="160"/>
      <c r="Q60" s="10"/>
      <c r="R60" s="473" t="s">
        <v>374</v>
      </c>
      <c r="S60" s="481">
        <f>IF(S56="Underway","",U115)</f>
        <v>6.5095888611585467E-2</v>
      </c>
      <c r="T60" s="10"/>
      <c r="U60" s="10"/>
      <c r="V60" s="473" t="s">
        <v>375</v>
      </c>
      <c r="W60" s="483" t="str">
        <f>IF(IF(W58=1,"Complete",_xlfn.MAXIFS(E69:E114,T69:T114,"Yes"))=0,"",IF(W58=1,"Complete",_xlfn.MAXIFS(E69:E114,T69:T114,"Yes")))</f>
        <v>Complete</v>
      </c>
      <c r="X60" s="14"/>
    </row>
    <row r="61" spans="1:24" ht="25.5" customHeight="1">
      <c r="A61" s="438" t="s">
        <v>376</v>
      </c>
      <c r="B61" s="14"/>
      <c r="C61" s="444">
        <v>52.6</v>
      </c>
      <c r="D61" s="162"/>
      <c r="H61" s="13"/>
      <c r="J61" s="14"/>
      <c r="K61" s="14"/>
      <c r="L61" s="14"/>
      <c r="M61" s="10"/>
      <c r="N61" s="10"/>
      <c r="O61" s="10"/>
      <c r="P61" s="10"/>
      <c r="Q61" s="10"/>
      <c r="R61" s="482" t="s">
        <v>377</v>
      </c>
      <c r="S61" s="481">
        <f>P272</f>
        <v>5.6144378534554962</v>
      </c>
      <c r="T61" s="10"/>
      <c r="U61" s="10"/>
      <c r="V61" s="473" t="s">
        <v>378</v>
      </c>
      <c r="W61" s="478">
        <v>1</v>
      </c>
      <c r="X61" s="14"/>
    </row>
    <row r="62" spans="1:24" ht="25.5" customHeight="1">
      <c r="A62" s="438" t="s">
        <v>379</v>
      </c>
      <c r="B62" s="14"/>
      <c r="C62" s="275">
        <v>1059.2670000000001</v>
      </c>
      <c r="H62" s="13"/>
      <c r="J62" s="14"/>
      <c r="K62" s="14"/>
      <c r="L62" s="347"/>
      <c r="M62" s="10"/>
      <c r="N62" s="10"/>
      <c r="O62" s="10"/>
      <c r="P62" s="10"/>
      <c r="Q62" s="10"/>
      <c r="R62" s="482" t="s">
        <v>380</v>
      </c>
      <c r="S62" s="481">
        <f>Q272</f>
        <v>5.6144378534554962</v>
      </c>
      <c r="T62" s="496" t="s">
        <v>381</v>
      </c>
      <c r="U62" s="10"/>
      <c r="V62" s="10"/>
      <c r="W62" s="14"/>
      <c r="X62" s="14"/>
    </row>
    <row r="63" spans="1:24" ht="25.5" customHeight="1">
      <c r="A63" s="438" t="s">
        <v>382</v>
      </c>
      <c r="B63" s="14"/>
      <c r="C63" s="275">
        <v>867.11</v>
      </c>
      <c r="H63" s="13"/>
      <c r="J63" s="14"/>
      <c r="K63" s="14"/>
      <c r="L63" s="10"/>
      <c r="M63" s="10"/>
      <c r="N63" s="10"/>
      <c r="O63" s="10"/>
      <c r="P63" s="10"/>
      <c r="Q63" s="10"/>
      <c r="R63" s="476" t="s">
        <v>383</v>
      </c>
      <c r="S63" s="478">
        <f>C115/C62</f>
        <v>0.11328588542831977</v>
      </c>
      <c r="T63" s="496" t="s">
        <v>384</v>
      </c>
      <c r="U63" s="10"/>
      <c r="V63" s="10"/>
      <c r="W63" s="14"/>
      <c r="X63" s="14"/>
    </row>
    <row r="64" spans="1:24" ht="25.5" customHeight="1">
      <c r="A64" s="446" t="s">
        <v>385</v>
      </c>
      <c r="B64" s="447"/>
      <c r="C64" s="445">
        <v>46</v>
      </c>
      <c r="D64" s="495">
        <f>(AJ215-C64)/C64</f>
        <v>4.8057280196000599E-2</v>
      </c>
      <c r="H64" s="13"/>
      <c r="J64" s="14"/>
      <c r="K64" s="14"/>
      <c r="L64" s="10"/>
      <c r="M64" s="10"/>
      <c r="N64" s="10"/>
      <c r="O64" s="10"/>
      <c r="P64" s="10"/>
      <c r="Q64" s="10"/>
      <c r="R64" s="476" t="s">
        <v>386</v>
      </c>
      <c r="S64" s="478">
        <f>D115/C63</f>
        <v>-0.88454751992250114</v>
      </c>
      <c r="T64" s="515" t="s">
        <v>715</v>
      </c>
      <c r="U64" s="14"/>
      <c r="V64" s="10"/>
      <c r="W64" s="14"/>
      <c r="X64" s="14"/>
    </row>
    <row r="65" spans="1:24" ht="25.5" customHeight="1">
      <c r="B65" s="487" t="s">
        <v>387</v>
      </c>
      <c r="C65" s="489">
        <f>Z216</f>
        <v>5.6779709728409253</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1">DATE(YEAR(H66)+1,MONTH(H66),DAY(H66))</f>
        <v>46203</v>
      </c>
      <c r="J66" s="416">
        <f t="shared" si="21"/>
        <v>46568</v>
      </c>
      <c r="K66" s="416">
        <f t="shared" si="21"/>
        <v>46934</v>
      </c>
      <c r="L66" s="416">
        <f t="shared" si="21"/>
        <v>47299</v>
      </c>
      <c r="M66" s="416">
        <f t="shared" si="21"/>
        <v>47664</v>
      </c>
      <c r="N66" s="416">
        <f t="shared" si="21"/>
        <v>48029</v>
      </c>
      <c r="O66" s="416">
        <f t="shared" si="21"/>
        <v>48395</v>
      </c>
      <c r="P66" s="416">
        <f t="shared" si="21"/>
        <v>48760</v>
      </c>
      <c r="Q66" s="416">
        <f t="shared" si="21"/>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t="s">
        <v>616</v>
      </c>
      <c r="C69" s="375">
        <v>100</v>
      </c>
      <c r="D69" s="508">
        <v>-699</v>
      </c>
      <c r="E69" s="377">
        <v>48304</v>
      </c>
      <c r="F69" s="378">
        <v>250000</v>
      </c>
      <c r="G69" s="403">
        <f>IF(E69&lt;G66,F69,0)</f>
        <v>0</v>
      </c>
      <c r="H69" s="404">
        <f t="shared" ref="H69:Q77" si="22">IF($E69&gt;H$66,0,IF($E69&gt;H$66-365,$F69,0))</f>
        <v>0</v>
      </c>
      <c r="I69" s="404">
        <f t="shared" si="22"/>
        <v>0</v>
      </c>
      <c r="J69" s="404">
        <f t="shared" si="22"/>
        <v>0</v>
      </c>
      <c r="K69" s="404">
        <f t="shared" si="22"/>
        <v>0</v>
      </c>
      <c r="L69" s="404">
        <f t="shared" si="22"/>
        <v>0</v>
      </c>
      <c r="M69" s="404">
        <f t="shared" si="22"/>
        <v>0</v>
      </c>
      <c r="N69" s="404">
        <f t="shared" si="22"/>
        <v>0</v>
      </c>
      <c r="O69" s="404">
        <f t="shared" si="22"/>
        <v>250000</v>
      </c>
      <c r="P69" s="404">
        <f t="shared" si="22"/>
        <v>0</v>
      </c>
      <c r="Q69" s="448">
        <f t="shared" si="22"/>
        <v>0</v>
      </c>
      <c r="R69" s="379"/>
      <c r="S69" s="379" t="s">
        <v>32</v>
      </c>
      <c r="T69" s="380"/>
      <c r="U69" s="411">
        <f>IF(-0.75*((C69/(VLOOKUP($A$2,Assumptions!$B$124:$G$147,2,0)))+D69/(VLOOKUP($A$2,Assumptions!$B$124:$G$147,5,0)))=0,"",-0.75*((C69/(VLOOKUP($A$2,Assumptions!$B$124:$G$147,2,0)))+D69/(VLOOKUP($A$2,Assumptions!$B$124:$G$147,5,0))))</f>
        <v>6.780397565567671E-2</v>
      </c>
      <c r="V69" s="412">
        <f t="shared" ref="V69:V88" si="23">IF(ISERROR(((-1*C69*1000*$D$6)+(-1*D69*$D$8))/F69),"",((-1*C69*1000*$D$6)+(-1*D69*$D$8))/F69)</f>
        <v>-1.6940352125977574E-2</v>
      </c>
      <c r="W69" s="450"/>
      <c r="X69" s="506" t="s">
        <v>32</v>
      </c>
    </row>
    <row r="70" spans="1:24" ht="15">
      <c r="A70" s="373"/>
      <c r="B70" s="374" t="s">
        <v>617</v>
      </c>
      <c r="C70" s="381">
        <v>0</v>
      </c>
      <c r="D70" s="381">
        <v>0</v>
      </c>
      <c r="E70" s="377">
        <v>48304</v>
      </c>
      <c r="F70" s="378">
        <v>500000</v>
      </c>
      <c r="G70" s="403">
        <f t="shared" ref="G70:G77" si="24">IF($E70&lt;G$66,$F70,0)</f>
        <v>0</v>
      </c>
      <c r="H70" s="404">
        <f t="shared" si="22"/>
        <v>0</v>
      </c>
      <c r="I70" s="404">
        <f t="shared" si="22"/>
        <v>0</v>
      </c>
      <c r="J70" s="405">
        <f t="shared" si="22"/>
        <v>0</v>
      </c>
      <c r="K70" s="405">
        <f t="shared" si="22"/>
        <v>0</v>
      </c>
      <c r="L70" s="405">
        <f t="shared" si="22"/>
        <v>0</v>
      </c>
      <c r="M70" s="405">
        <f t="shared" si="22"/>
        <v>0</v>
      </c>
      <c r="N70" s="405">
        <f t="shared" si="22"/>
        <v>0</v>
      </c>
      <c r="O70" s="405">
        <f t="shared" si="22"/>
        <v>500000</v>
      </c>
      <c r="P70" s="406">
        <f t="shared" si="22"/>
        <v>0</v>
      </c>
      <c r="Q70" s="448">
        <f t="shared" si="22"/>
        <v>0</v>
      </c>
      <c r="R70" s="379"/>
      <c r="S70" s="379" t="s">
        <v>32</v>
      </c>
      <c r="T70" s="382"/>
      <c r="U70" s="413" t="str">
        <f>IF(-0.75*((C70/(VLOOKUP($A$2,Assumptions!$B$124:$G$147,2,0)))+D70/(VLOOKUP($A$2,Assumptions!$B$124:$G$147,5,0)))=0,"",-0.75*((C70/(VLOOKUP($A$2,Assumptions!$B$124:$G$147,2,0)))+D70/(VLOOKUP($A$2,Assumptions!$B$124:$G$147,5,0))))</f>
        <v/>
      </c>
      <c r="V70" s="414">
        <f t="shared" si="23"/>
        <v>0</v>
      </c>
      <c r="W70" s="451"/>
      <c r="X70" s="506" t="s">
        <v>32</v>
      </c>
    </row>
    <row r="71" spans="1:24" ht="30">
      <c r="A71" s="373"/>
      <c r="B71" s="374" t="s">
        <v>618</v>
      </c>
      <c r="C71" s="383">
        <v>0</v>
      </c>
      <c r="D71" s="383">
        <v>0</v>
      </c>
      <c r="E71" s="377">
        <v>48304</v>
      </c>
      <c r="F71" s="384">
        <v>250000</v>
      </c>
      <c r="G71" s="403">
        <f t="shared" si="24"/>
        <v>0</v>
      </c>
      <c r="H71" s="404">
        <f t="shared" si="22"/>
        <v>0</v>
      </c>
      <c r="I71" s="405">
        <f t="shared" si="22"/>
        <v>0</v>
      </c>
      <c r="J71" s="405">
        <f t="shared" si="22"/>
        <v>0</v>
      </c>
      <c r="K71" s="405">
        <f t="shared" si="22"/>
        <v>0</v>
      </c>
      <c r="L71" s="405">
        <f t="shared" si="22"/>
        <v>0</v>
      </c>
      <c r="M71" s="405">
        <f t="shared" si="22"/>
        <v>0</v>
      </c>
      <c r="N71" s="405">
        <f t="shared" si="22"/>
        <v>0</v>
      </c>
      <c r="O71" s="405">
        <f t="shared" si="22"/>
        <v>250000</v>
      </c>
      <c r="P71" s="406">
        <f t="shared" si="22"/>
        <v>0</v>
      </c>
      <c r="Q71" s="448">
        <f t="shared" si="22"/>
        <v>0</v>
      </c>
      <c r="R71" s="379"/>
      <c r="S71" s="379" t="s">
        <v>32</v>
      </c>
      <c r="T71" s="382"/>
      <c r="U71" s="413" t="str">
        <f>IF(-0.75*((C71/(VLOOKUP($A$2,Assumptions!$B$124:$G$147,2,0)))+D71/(VLOOKUP($A$2,Assumptions!$B$124:$G$147,5,0)))=0,"",-0.75*((C71/(VLOOKUP($A$2,Assumptions!$B$124:$G$147,2,0)))+D71/(VLOOKUP($A$2,Assumptions!$B$124:$G$147,5,0))))</f>
        <v/>
      </c>
      <c r="V71" s="414">
        <f t="shared" si="23"/>
        <v>0</v>
      </c>
      <c r="W71" s="451"/>
      <c r="X71" s="506" t="s">
        <v>32</v>
      </c>
    </row>
    <row r="72" spans="1:24" ht="30">
      <c r="A72" s="373"/>
      <c r="B72" s="374" t="s">
        <v>619</v>
      </c>
      <c r="C72" s="375">
        <v>20</v>
      </c>
      <c r="D72" s="375">
        <v>-68</v>
      </c>
      <c r="E72" s="377">
        <v>48304</v>
      </c>
      <c r="F72" s="378">
        <v>287500</v>
      </c>
      <c r="G72" s="403">
        <f t="shared" si="24"/>
        <v>0</v>
      </c>
      <c r="H72" s="404">
        <f t="shared" si="22"/>
        <v>0</v>
      </c>
      <c r="I72" s="405">
        <f t="shared" si="22"/>
        <v>0</v>
      </c>
      <c r="J72" s="405">
        <f t="shared" si="22"/>
        <v>0</v>
      </c>
      <c r="K72" s="405">
        <f t="shared" si="22"/>
        <v>0</v>
      </c>
      <c r="L72" s="405">
        <f t="shared" si="22"/>
        <v>0</v>
      </c>
      <c r="M72" s="405">
        <f t="shared" si="22"/>
        <v>0</v>
      </c>
      <c r="N72" s="405">
        <f t="shared" si="22"/>
        <v>0</v>
      </c>
      <c r="O72" s="405">
        <f t="shared" si="22"/>
        <v>287500</v>
      </c>
      <c r="P72" s="406">
        <f t="shared" si="22"/>
        <v>0</v>
      </c>
      <c r="Q72" s="448">
        <f t="shared" si="22"/>
        <v>0</v>
      </c>
      <c r="R72" s="379"/>
      <c r="S72" s="379" t="s">
        <v>32</v>
      </c>
      <c r="T72" s="382"/>
      <c r="U72" s="413">
        <f>IF(-0.75*((C72/(VLOOKUP($A$2,Assumptions!$B$124:$G$147,2,0)))+D72/(VLOOKUP($A$2,Assumptions!$B$124:$G$147,5,0)))=0,"",-0.75*((C72/(VLOOKUP($A$2,Assumptions!$B$124:$G$147,2,0)))+D72/(VLOOKUP($A$2,Assumptions!$B$124:$G$147,5,0))))</f>
        <v>-2.7080870440912459E-3</v>
      </c>
      <c r="V72" s="414">
        <f t="shared" si="23"/>
        <v>-9.5925239916693546E-3</v>
      </c>
      <c r="W72" s="451"/>
      <c r="X72" s="506" t="s">
        <v>32</v>
      </c>
    </row>
    <row r="73" spans="1:24" ht="15">
      <c r="A73" s="373"/>
      <c r="B73" s="374"/>
      <c r="C73" s="381"/>
      <c r="D73" s="381"/>
      <c r="E73" s="377"/>
      <c r="F73" s="378"/>
      <c r="G73" s="403">
        <f t="shared" si="24"/>
        <v>0</v>
      </c>
      <c r="H73" s="404">
        <f t="shared" si="22"/>
        <v>0</v>
      </c>
      <c r="I73" s="405">
        <f t="shared" si="22"/>
        <v>0</v>
      </c>
      <c r="J73" s="405">
        <f t="shared" si="22"/>
        <v>0</v>
      </c>
      <c r="K73" s="405">
        <f t="shared" si="22"/>
        <v>0</v>
      </c>
      <c r="L73" s="405">
        <f t="shared" si="22"/>
        <v>0</v>
      </c>
      <c r="M73" s="405">
        <f t="shared" si="22"/>
        <v>0</v>
      </c>
      <c r="N73" s="405">
        <f t="shared" si="22"/>
        <v>0</v>
      </c>
      <c r="O73" s="405">
        <f t="shared" si="22"/>
        <v>0</v>
      </c>
      <c r="P73" s="406">
        <f t="shared" si="22"/>
        <v>0</v>
      </c>
      <c r="Q73" s="448">
        <f t="shared" si="22"/>
        <v>0</v>
      </c>
      <c r="R73" s="379"/>
      <c r="S73" s="379"/>
      <c r="T73" s="382"/>
      <c r="U73" s="413" t="str">
        <f>IF(-0.75*((C73/(VLOOKUP($A$2,Assumptions!$B$124:$G$147,2,0)))+D73/(VLOOKUP($A$2,Assumptions!$B$124:$G$147,5,0)))=0,"",-0.75*((C73/(VLOOKUP($A$2,Assumptions!$B$124:$G$147,2,0)))+D73/(VLOOKUP($A$2,Assumptions!$B$124:$G$147,5,0))))</f>
        <v/>
      </c>
      <c r="V73" s="414" t="str">
        <f t="shared" si="23"/>
        <v/>
      </c>
      <c r="W73" s="451"/>
      <c r="X73" s="507"/>
    </row>
    <row r="74" spans="1:24" ht="15">
      <c r="A74" s="373"/>
      <c r="B74" s="374"/>
      <c r="C74" s="375"/>
      <c r="D74" s="375"/>
      <c r="E74" s="377"/>
      <c r="F74" s="378"/>
      <c r="G74" s="403">
        <f t="shared" si="24"/>
        <v>0</v>
      </c>
      <c r="H74" s="404">
        <f t="shared" si="22"/>
        <v>0</v>
      </c>
      <c r="I74" s="405">
        <f t="shared" si="22"/>
        <v>0</v>
      </c>
      <c r="J74" s="405">
        <f t="shared" si="22"/>
        <v>0</v>
      </c>
      <c r="K74" s="405">
        <f t="shared" si="22"/>
        <v>0</v>
      </c>
      <c r="L74" s="405">
        <f t="shared" si="22"/>
        <v>0</v>
      </c>
      <c r="M74" s="405">
        <f t="shared" si="22"/>
        <v>0</v>
      </c>
      <c r="N74" s="405">
        <f t="shared" si="22"/>
        <v>0</v>
      </c>
      <c r="O74" s="405">
        <f t="shared" si="22"/>
        <v>0</v>
      </c>
      <c r="P74" s="406">
        <f t="shared" si="22"/>
        <v>0</v>
      </c>
      <c r="Q74" s="448">
        <f t="shared" si="22"/>
        <v>0</v>
      </c>
      <c r="R74" s="379"/>
      <c r="S74" s="379"/>
      <c r="T74" s="382"/>
      <c r="U74" s="413" t="str">
        <f>IF(-0.75*((C74/(VLOOKUP($A$2,Assumptions!$B$124:$G$147,2,0)))+D74/(VLOOKUP($A$2,Assumptions!$B$124:$G$147,5,0)))=0,"",-0.75*((C74/(VLOOKUP($A$2,Assumptions!$B$124:$G$147,2,0)))+D74/(VLOOKUP($A$2,Assumptions!$B$124:$G$147,5,0))))</f>
        <v/>
      </c>
      <c r="V74" s="414" t="str">
        <f t="shared" si="23"/>
        <v/>
      </c>
      <c r="W74" s="451"/>
      <c r="X74" s="507"/>
    </row>
    <row r="75" spans="1:24" ht="15">
      <c r="A75" s="373"/>
      <c r="B75" s="374"/>
      <c r="C75" s="375"/>
      <c r="D75" s="375"/>
      <c r="E75" s="377"/>
      <c r="F75" s="378"/>
      <c r="G75" s="403">
        <f t="shared" si="24"/>
        <v>0</v>
      </c>
      <c r="H75" s="404">
        <f t="shared" si="22"/>
        <v>0</v>
      </c>
      <c r="I75" s="405">
        <f t="shared" si="22"/>
        <v>0</v>
      </c>
      <c r="J75" s="405">
        <f t="shared" si="22"/>
        <v>0</v>
      </c>
      <c r="K75" s="405">
        <f t="shared" si="22"/>
        <v>0</v>
      </c>
      <c r="L75" s="405">
        <f t="shared" si="22"/>
        <v>0</v>
      </c>
      <c r="M75" s="405">
        <f t="shared" si="22"/>
        <v>0</v>
      </c>
      <c r="N75" s="405">
        <f t="shared" si="22"/>
        <v>0</v>
      </c>
      <c r="O75" s="405">
        <f t="shared" si="22"/>
        <v>0</v>
      </c>
      <c r="P75" s="406">
        <f t="shared" si="22"/>
        <v>0</v>
      </c>
      <c r="Q75" s="448">
        <f t="shared" si="22"/>
        <v>0</v>
      </c>
      <c r="R75" s="379"/>
      <c r="S75" s="379"/>
      <c r="T75" s="382"/>
      <c r="U75" s="413" t="str">
        <f>IF(-0.75*((C75/(VLOOKUP($A$2,Assumptions!$B$124:$G$147,2,0)))+D75/(VLOOKUP($A$2,Assumptions!$B$124:$G$147,5,0)))=0,"",-0.75*((C75/(VLOOKUP($A$2,Assumptions!$B$124:$G$147,2,0)))+D75/(VLOOKUP($A$2,Assumptions!$B$124:$G$147,5,0))))</f>
        <v/>
      </c>
      <c r="V75" s="414" t="str">
        <f t="shared" si="23"/>
        <v/>
      </c>
      <c r="W75" s="451"/>
      <c r="X75" s="507"/>
    </row>
    <row r="76" spans="1:24" ht="15">
      <c r="A76" s="373"/>
      <c r="B76" s="374"/>
      <c r="C76" s="375"/>
      <c r="D76" s="375"/>
      <c r="E76" s="377"/>
      <c r="F76" s="378"/>
      <c r="G76" s="403">
        <f t="shared" si="24"/>
        <v>0</v>
      </c>
      <c r="H76" s="404">
        <f t="shared" si="22"/>
        <v>0</v>
      </c>
      <c r="I76" s="405">
        <f t="shared" si="22"/>
        <v>0</v>
      </c>
      <c r="J76" s="405">
        <f t="shared" si="22"/>
        <v>0</v>
      </c>
      <c r="K76" s="405">
        <f t="shared" si="22"/>
        <v>0</v>
      </c>
      <c r="L76" s="405">
        <f t="shared" si="22"/>
        <v>0</v>
      </c>
      <c r="M76" s="405">
        <f t="shared" si="22"/>
        <v>0</v>
      </c>
      <c r="N76" s="405">
        <f t="shared" si="22"/>
        <v>0</v>
      </c>
      <c r="O76" s="405">
        <f t="shared" si="22"/>
        <v>0</v>
      </c>
      <c r="P76" s="406">
        <f t="shared" si="22"/>
        <v>0</v>
      </c>
      <c r="Q76" s="448">
        <f t="shared" si="22"/>
        <v>0</v>
      </c>
      <c r="R76" s="379"/>
      <c r="S76" s="379"/>
      <c r="T76" s="382"/>
      <c r="U76" s="413" t="str">
        <f>IF(-0.75*((C76/(VLOOKUP($A$2,Assumptions!$B$124:$G$147,2,0)))+D76/(VLOOKUP($A$2,Assumptions!$B$124:$G$147,5,0)))=0,"",-0.75*((C76/(VLOOKUP($A$2,Assumptions!$B$124:$G$147,2,0)))+D76/(VLOOKUP($A$2,Assumptions!$B$124:$G$147,5,0))))</f>
        <v/>
      </c>
      <c r="V76" s="414" t="str">
        <f t="shared" si="23"/>
        <v/>
      </c>
      <c r="W76" s="451"/>
      <c r="X76" s="507"/>
    </row>
    <row r="77" spans="1:24" ht="15">
      <c r="A77" s="373"/>
      <c r="B77" s="374"/>
      <c r="C77" s="375"/>
      <c r="D77" s="375"/>
      <c r="E77" s="377"/>
      <c r="F77" s="378"/>
      <c r="G77" s="403">
        <f t="shared" si="24"/>
        <v>0</v>
      </c>
      <c r="H77" s="404">
        <f t="shared" si="22"/>
        <v>0</v>
      </c>
      <c r="I77" s="405">
        <f t="shared" si="22"/>
        <v>0</v>
      </c>
      <c r="J77" s="405">
        <f t="shared" si="22"/>
        <v>0</v>
      </c>
      <c r="K77" s="405">
        <f t="shared" si="22"/>
        <v>0</v>
      </c>
      <c r="L77" s="405">
        <f t="shared" si="22"/>
        <v>0</v>
      </c>
      <c r="M77" s="405">
        <f t="shared" si="22"/>
        <v>0</v>
      </c>
      <c r="N77" s="405">
        <f t="shared" si="22"/>
        <v>0</v>
      </c>
      <c r="O77" s="405">
        <f t="shared" si="22"/>
        <v>0</v>
      </c>
      <c r="P77" s="406">
        <f t="shared" si="22"/>
        <v>0</v>
      </c>
      <c r="Q77" s="448">
        <f t="shared" si="22"/>
        <v>0</v>
      </c>
      <c r="R77" s="379"/>
      <c r="S77" s="379"/>
      <c r="T77" s="385"/>
      <c r="U77" s="413" t="str">
        <f>IF(-0.75*((C77/(VLOOKUP($A$2,Assumptions!$B$124:$G$147,2,0)))+D77/(VLOOKUP($A$2,Assumptions!$B$124:$G$147,5,0)))=0,"",-0.75*((C77/(VLOOKUP($A$2,Assumptions!$B$124:$G$147,2,0)))+D77/(VLOOKUP($A$2,Assumptions!$B$124:$G$147,5,0))))</f>
        <v/>
      </c>
      <c r="V77" s="414" t="str">
        <f t="shared" si="23"/>
        <v/>
      </c>
      <c r="W77" s="451"/>
      <c r="X77" s="507"/>
    </row>
    <row r="78" spans="1:24" ht="15">
      <c r="A78" s="373"/>
      <c r="B78" s="374"/>
      <c r="C78" s="375"/>
      <c r="D78" s="375"/>
      <c r="E78" s="377"/>
      <c r="F78" s="378"/>
      <c r="G78" s="403"/>
      <c r="H78" s="404"/>
      <c r="I78" s="405"/>
      <c r="J78" s="405"/>
      <c r="K78" s="405"/>
      <c r="L78" s="405"/>
      <c r="M78" s="405"/>
      <c r="N78" s="405"/>
      <c r="O78" s="405"/>
      <c r="P78" s="406"/>
      <c r="Q78" s="448"/>
      <c r="R78" s="379"/>
      <c r="S78" s="386"/>
      <c r="T78" s="387"/>
      <c r="U78" s="413" t="str">
        <f>IF(-0.75*((C78/(VLOOKUP($A$2,Assumptions!$B$124:$G$147,2,0)))+D78/(VLOOKUP($A$2,Assumptions!$B$124:$G$147,5,0)))=0,"",-0.75*((C78/(VLOOKUP($A$2,Assumptions!$B$124:$G$147,2,0)))+D78/(VLOOKUP($A$2,Assumptions!$B$124:$G$147,5,0))))</f>
        <v/>
      </c>
      <c r="V78" s="414" t="str">
        <f t="shared" si="23"/>
        <v/>
      </c>
      <c r="W78" s="451"/>
      <c r="X78" s="507"/>
    </row>
    <row r="79" spans="1:24" ht="15">
      <c r="A79" s="373"/>
      <c r="B79" s="374"/>
      <c r="C79" s="375"/>
      <c r="D79" s="375"/>
      <c r="E79" s="377"/>
      <c r="F79" s="378"/>
      <c r="G79" s="403"/>
      <c r="H79" s="404"/>
      <c r="I79" s="405"/>
      <c r="J79" s="405"/>
      <c r="K79" s="405"/>
      <c r="L79" s="405"/>
      <c r="M79" s="405"/>
      <c r="N79" s="405"/>
      <c r="O79" s="405"/>
      <c r="P79" s="406"/>
      <c r="Q79" s="448"/>
      <c r="R79" s="379"/>
      <c r="S79" s="386"/>
      <c r="T79" s="387"/>
      <c r="U79" s="413" t="str">
        <f>IF(-0.75*((C79/(VLOOKUP($A$2,Assumptions!$B$124:$G$147,2,0)))+D79/(VLOOKUP($A$2,Assumptions!$B$124:$G$147,5,0)))=0,"",-0.75*((C79/(VLOOKUP($A$2,Assumptions!$B$124:$G$147,2,0)))+D79/(VLOOKUP($A$2,Assumptions!$B$124:$G$147,5,0))))</f>
        <v/>
      </c>
      <c r="V79" s="414" t="str">
        <f t="shared" si="23"/>
        <v/>
      </c>
      <c r="W79" s="451"/>
      <c r="X79" s="507"/>
    </row>
    <row r="80" spans="1:24" ht="15">
      <c r="A80" s="373"/>
      <c r="B80" s="374"/>
      <c r="C80" s="375"/>
      <c r="D80" s="375"/>
      <c r="E80" s="377"/>
      <c r="F80" s="378"/>
      <c r="G80" s="403"/>
      <c r="H80" s="404"/>
      <c r="I80" s="405"/>
      <c r="J80" s="405"/>
      <c r="K80" s="405"/>
      <c r="L80" s="405"/>
      <c r="M80" s="405"/>
      <c r="N80" s="405"/>
      <c r="O80" s="405"/>
      <c r="P80" s="406"/>
      <c r="Q80" s="448"/>
      <c r="R80" s="379"/>
      <c r="S80" s="386"/>
      <c r="T80" s="387"/>
      <c r="U80" s="413" t="str">
        <f>IF(-0.75*((C80/(VLOOKUP($A$2,Assumptions!$B$124:$G$147,2,0)))+D80/(VLOOKUP($A$2,Assumptions!$B$124:$G$147,5,0)))=0,"",-0.75*((C80/(VLOOKUP($A$2,Assumptions!$B$124:$G$147,2,0)))+D80/(VLOOKUP($A$2,Assumptions!$B$124:$G$147,5,0))))</f>
        <v/>
      </c>
      <c r="V80" s="414" t="str">
        <f t="shared" si="23"/>
        <v/>
      </c>
      <c r="W80" s="451"/>
      <c r="X80" s="507"/>
    </row>
    <row r="81" spans="1:24" ht="15">
      <c r="A81" s="373"/>
      <c r="B81" s="457"/>
      <c r="C81" s="375"/>
      <c r="D81" s="375"/>
      <c r="E81" s="377"/>
      <c r="F81" s="378"/>
      <c r="G81" s="403"/>
      <c r="H81" s="404"/>
      <c r="I81" s="405"/>
      <c r="J81" s="405"/>
      <c r="K81" s="405"/>
      <c r="L81" s="405"/>
      <c r="M81" s="405"/>
      <c r="N81" s="405"/>
      <c r="O81" s="405"/>
      <c r="P81" s="406"/>
      <c r="Q81" s="448"/>
      <c r="R81" s="379"/>
      <c r="S81" s="386"/>
      <c r="T81" s="387"/>
      <c r="U81" s="413" t="str">
        <f>IF(-0.75*((C81/(VLOOKUP($A$2,Assumptions!$B$124:$G$147,2,0)))+D81/(VLOOKUP($A$2,Assumptions!$B$124:$G$147,5,0)))=0,"",-0.75*((C81/(VLOOKUP($A$2,Assumptions!$B$124:$G$147,2,0)))+D81/(VLOOKUP($A$2,Assumptions!$B$124:$G$147,5,0))))</f>
        <v/>
      </c>
      <c r="V81" s="414" t="str">
        <f t="shared" si="23"/>
        <v/>
      </c>
      <c r="W81" s="451"/>
      <c r="X81" s="507"/>
    </row>
    <row r="82" spans="1:24" ht="15">
      <c r="A82" s="373"/>
      <c r="B82" s="457"/>
      <c r="C82" s="375"/>
      <c r="D82" s="375"/>
      <c r="E82" s="377"/>
      <c r="F82" s="378"/>
      <c r="G82" s="403"/>
      <c r="H82" s="404"/>
      <c r="I82" s="405"/>
      <c r="J82" s="405"/>
      <c r="K82" s="405"/>
      <c r="L82" s="405"/>
      <c r="M82" s="405"/>
      <c r="N82" s="405"/>
      <c r="O82" s="405"/>
      <c r="P82" s="406"/>
      <c r="Q82" s="448"/>
      <c r="R82" s="379"/>
      <c r="S82" s="386"/>
      <c r="T82" s="387"/>
      <c r="U82" s="413" t="str">
        <f>IF(-0.75*((C82/(VLOOKUP($A$2,Assumptions!$B$124:$G$147,2,0)))+D82/(VLOOKUP($A$2,Assumptions!$B$124:$G$147,5,0)))=0,"",-0.75*((C82/(VLOOKUP($A$2,Assumptions!$B$124:$G$147,2,0)))+D82/(VLOOKUP($A$2,Assumptions!$B$124:$G$147,5,0))))</f>
        <v/>
      </c>
      <c r="V82" s="414" t="str">
        <f t="shared" si="23"/>
        <v/>
      </c>
      <c r="W82" s="451"/>
      <c r="X82" s="507"/>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str">
        <f>IF(-0.75*((C83/(VLOOKUP($A$2,Assumptions!$B$124:$G$147,2,0)))+D83/(VLOOKUP($A$2,Assumptions!$B$124:$G$147,5,0)))=0,"",-0.75*((C83/(VLOOKUP($A$2,Assumptions!$B$124:$G$147,2,0)))+D83/(VLOOKUP($A$2,Assumptions!$B$124:$G$147,5,0))))</f>
        <v/>
      </c>
      <c r="V83" s="414" t="str">
        <f t="shared" si="23"/>
        <v/>
      </c>
      <c r="W83" s="451"/>
      <c r="X83" s="507"/>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str">
        <f>IF(-0.75*((C84/(VLOOKUP($A$2,Assumptions!$B$124:$G$147,2,0)))+D84/(VLOOKUP($A$2,Assumptions!$B$124:$G$147,5,0)))=0,"",-0.75*((C84/(VLOOKUP($A$2,Assumptions!$B$124:$G$147,2,0)))+D84/(VLOOKUP($A$2,Assumptions!$B$124:$G$147,5,0))))</f>
        <v/>
      </c>
      <c r="V84" s="414" t="str">
        <f t="shared" si="23"/>
        <v/>
      </c>
      <c r="W84" s="451"/>
      <c r="X84" s="507"/>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str">
        <f>IF(-0.75*((C85/(VLOOKUP($A$2,Assumptions!$B$124:$G$147,2,0)))+D85/(VLOOKUP($A$2,Assumptions!$B$124:$G$147,5,0)))=0,"",-0.75*((C85/(VLOOKUP($A$2,Assumptions!$B$124:$G$147,2,0)))+D85/(VLOOKUP($A$2,Assumptions!$B$124:$G$147,5,0))))</f>
        <v/>
      </c>
      <c r="V85" s="414" t="str">
        <f t="shared" si="23"/>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str">
        <f>IF(-0.75*((C86/(VLOOKUP($A$2,Assumptions!$B$124:$G$147,2,0)))+D86/(VLOOKUP($A$2,Assumptions!$B$124:$G$147,5,0)))=0,"",-0.75*((C86/(VLOOKUP($A$2,Assumptions!$B$124:$G$147,2,0)))+D86/(VLOOKUP($A$2,Assumptions!$B$124:$G$147,5,0))))</f>
        <v/>
      </c>
      <c r="V86" s="414" t="str">
        <f t="shared" si="23"/>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str">
        <f>IF(-0.75*((C87/(VLOOKUP($A$2,Assumptions!$B$124:$G$147,2,0)))+D87/(VLOOKUP($A$2,Assumptions!$B$124:$G$147,5,0)))=0,"",-0.75*((C87/(VLOOKUP($A$2,Assumptions!$B$124:$G$147,2,0)))+D87/(VLOOKUP($A$2,Assumptions!$B$124:$G$147,5,0))))</f>
        <v/>
      </c>
      <c r="V87" s="414" t="str">
        <f t="shared" si="23"/>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str">
        <f>IF(-0.75*((C88/(VLOOKUP($A$2,Assumptions!$B$124:$G$147,2,0)))+D88/(VLOOKUP($A$2,Assumptions!$B$124:$G$147,5,0)))=0,"",-0.75*((C88/(VLOOKUP($A$2,Assumptions!$B$124:$G$147,2,0)))+D88/(VLOOKUP($A$2,Assumptions!$B$124:$G$147,5,0))))</f>
        <v/>
      </c>
      <c r="V88" s="415" t="str">
        <f t="shared" si="23"/>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5">IF(ISERROR(((-C89*1000*$W$162)/F89)),"",((-C89*1000*$W$162)/F89))</f>
        <v/>
      </c>
      <c r="W89" s="304" t="str">
        <f t="shared" si="25"/>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31" ht="15">
      <c r="A115" s="13"/>
      <c r="B115" s="353"/>
      <c r="C115" s="354">
        <f>SUM(C69:C88)</f>
        <v>120</v>
      </c>
      <c r="D115" s="354">
        <f>SUM(D69:D88)</f>
        <v>-767</v>
      </c>
      <c r="E115" s="355"/>
      <c r="F115" s="333">
        <f>SUM(F69:F114)</f>
        <v>1287500</v>
      </c>
      <c r="G115" s="388">
        <f>SUM(G69:G114)</f>
        <v>0</v>
      </c>
      <c r="H115" s="388">
        <f t="shared" ref="H115:N115" si="26">SUM(H69:H114)</f>
        <v>0</v>
      </c>
      <c r="I115" s="388">
        <f t="shared" si="26"/>
        <v>0</v>
      </c>
      <c r="J115" s="388">
        <f t="shared" si="26"/>
        <v>0</v>
      </c>
      <c r="K115" s="388">
        <f t="shared" si="26"/>
        <v>0</v>
      </c>
      <c r="L115" s="388">
        <f t="shared" si="26"/>
        <v>0</v>
      </c>
      <c r="M115" s="388">
        <f t="shared" si="26"/>
        <v>0</v>
      </c>
      <c r="N115" s="388">
        <f t="shared" si="26"/>
        <v>0</v>
      </c>
      <c r="O115" s="388">
        <f>SUM(O69:O114)</f>
        <v>1287500</v>
      </c>
      <c r="P115" s="388">
        <f>SUM(P69:P114)</f>
        <v>0</v>
      </c>
      <c r="Q115" s="388">
        <f>SUM(Q69:Q114)</f>
        <v>0</v>
      </c>
      <c r="R115" s="388">
        <f>SUMIFS(F69:F114,R69:R114,"Yes")-0.5*SUMIFS(F69:F114,R69:R114,"Yes",S69:S114,"Yes")</f>
        <v>0</v>
      </c>
      <c r="S115" s="388">
        <f>SUMIFS(F69:F114,S69:S114,"Yes")-0.5*SUMIFS(F69:F114,S69:S114,"Yes",R69:R114,"Yes")</f>
        <v>1287500</v>
      </c>
      <c r="T115" s="388">
        <f>SUMIFS(F69:F114,T69:T114,"Yes")</f>
        <v>0</v>
      </c>
      <c r="U115" s="389">
        <f>SUM(U69:U114)</f>
        <v>6.5095888611585467E-2</v>
      </c>
      <c r="V115" s="390">
        <f>IF(ISERROR(((-1*C115*1000*$D$6)+(-1*D115*$D$8))/F115),"",((-1*C115*1000*$D$6)+(-1*D115*$D$8))/F115)</f>
        <v>-5.4314086827955965E-3</v>
      </c>
      <c r="W115" s="391">
        <f>SUMIFS(F69:F114,W69:W114,"Yes")</f>
        <v>0</v>
      </c>
      <c r="X115" s="516">
        <f>SUMIFS(F69:F114,X69:X114,"Yes")</f>
        <v>1287500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-90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Z216</f>
        <v>5.6779709728409253</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5.6779709728409253</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5.6779709728409253</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5.6779709728409253</v>
      </c>
      <c r="AA126" s="22">
        <f t="shared" ref="AA126:AC126" si="27">AK216</f>
        <v>5.6144378534554962</v>
      </c>
      <c r="AB126" s="22">
        <f t="shared" si="27"/>
        <v>0</v>
      </c>
      <c r="AC126" s="22">
        <f t="shared" si="27"/>
        <v>0</v>
      </c>
      <c r="AD126" s="22">
        <f t="shared" ref="AD126:AE126" si="28">AI217</f>
        <v>0</v>
      </c>
      <c r="AE126" s="22">
        <f t="shared" si="28"/>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5.6779709728409253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5.6779709728409253</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5.6779709728409253</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5.6779709728409253</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5.6779709728409253</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5.6779709728409253</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5.6144378534554962</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Y154" si="30">AV156*0.5</f>
        <v>69.5</v>
      </c>
      <c r="AW154" s="339">
        <f t="shared" si="30"/>
        <v>59.814999999999998</v>
      </c>
      <c r="AX154" s="339">
        <f t="shared" si="30"/>
        <v>33.69</v>
      </c>
      <c r="AY154" s="339">
        <f t="shared" si="30"/>
        <v>44.87</v>
      </c>
      <c r="AZ154" s="8"/>
      <c r="BA154" s="25">
        <v>6</v>
      </c>
      <c r="BB154" s="24">
        <f t="shared" ref="BB154:BB155" si="31">IF($C$58="Base",BF154,BG154)</f>
        <v>34.795000000000002</v>
      </c>
      <c r="BC154" s="24" t="s">
        <v>436</v>
      </c>
      <c r="BD154" s="8"/>
      <c r="BE154" s="8"/>
      <c r="BF154" s="24">
        <f t="shared" ref="BF154:BF155" si="32">IF($C$59&gt;7000,"error",IF($C$59&gt;5999,AR154,IF($C$59&gt;4999,AQ154,IF($C$59&gt;3999,AP154,IF($C$59&gt;2999,AO154,IF($C$59&gt;1999,AN154,"Error"))))))</f>
        <v>34.795000000000002</v>
      </c>
      <c r="BG154" s="24">
        <f t="shared" ref="BG154:BG164" si="33">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4">AQ156*0.75</f>
        <v>31.372499999999999</v>
      </c>
      <c r="AR155" s="338">
        <f t="shared" si="34"/>
        <v>40.47</v>
      </c>
      <c r="AS155" s="24"/>
      <c r="AT155" s="25">
        <v>5.5</v>
      </c>
      <c r="AU155" s="339">
        <f>AU156*0.75</f>
        <v>97.140000000000015</v>
      </c>
      <c r="AV155" s="339">
        <f t="shared" ref="AV155:AY155" si="35">AV156*0.75</f>
        <v>104.25</v>
      </c>
      <c r="AW155" s="339">
        <f t="shared" si="35"/>
        <v>89.722499999999997</v>
      </c>
      <c r="AX155" s="339">
        <f t="shared" si="35"/>
        <v>50.534999999999997</v>
      </c>
      <c r="AY155" s="339">
        <f t="shared" si="35"/>
        <v>67.304999999999993</v>
      </c>
      <c r="AZ155" s="24"/>
      <c r="BA155" s="25">
        <v>5.5</v>
      </c>
      <c r="BB155" s="24">
        <f t="shared" si="31"/>
        <v>52.192500000000003</v>
      </c>
      <c r="BC155" s="24" t="s">
        <v>436</v>
      </c>
      <c r="BE155" s="24"/>
      <c r="BF155" s="24">
        <f t="shared" si="32"/>
        <v>52.192500000000003</v>
      </c>
      <c r="BG155" s="24">
        <f t="shared" si="33"/>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3"/>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20094</v>
      </c>
      <c r="BW156" s="14" t="s">
        <v>445</v>
      </c>
      <c r="BX156" s="14" t="s">
        <v>13</v>
      </c>
      <c r="BY156" s="14">
        <f>BY157/BV156</f>
        <v>44.914652448492092</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6">IF($C$58="Base",BF157,BG157)</f>
        <v>84.92</v>
      </c>
      <c r="BC157" s="24" t="s">
        <v>436</v>
      </c>
      <c r="BD157" s="24">
        <f>BB157-BB156</f>
        <v>15.329999999999998</v>
      </c>
      <c r="BE157" s="24"/>
      <c r="BF157" s="24">
        <f t="shared" ref="BF157:BF164" si="37">IF($C$59&gt;7000,"error",IF($C$59&gt;5999,AR157,IF($C$59&gt;4999,AQ157,IF($C$59&gt;3999,AP157,IF($C$59&gt;2999,AO157,IF($C$59&gt;1999,AN157,"Error"))))))</f>
        <v>84.92</v>
      </c>
      <c r="BG157" s="24">
        <f t="shared" si="33"/>
        <v>158.69</v>
      </c>
      <c r="BH157" s="24"/>
      <c r="BI157" s="29" t="s">
        <v>118</v>
      </c>
      <c r="BJ157" s="29">
        <v>810</v>
      </c>
      <c r="BK157" s="29">
        <v>51.33</v>
      </c>
      <c r="BL157" s="24">
        <v>2000</v>
      </c>
      <c r="BM157" s="25"/>
      <c r="BN157" s="24">
        <f>BV161/BV158</f>
        <v>24.222088735909825</v>
      </c>
      <c r="BO157" s="32" t="s">
        <v>447</v>
      </c>
      <c r="BP157" s="24">
        <f>$BY$158/SUM($BY$158:$BY$159)*C64</f>
        <v>43.731447421774632</v>
      </c>
      <c r="BQ157" s="29" t="s">
        <v>448</v>
      </c>
      <c r="BR157" s="29" t="s">
        <v>449</v>
      </c>
      <c r="BS157" s="29" t="s">
        <v>450</v>
      </c>
      <c r="BT157" s="14"/>
      <c r="BU157" s="30" t="s">
        <v>451</v>
      </c>
      <c r="BV157" s="33">
        <f xml:space="preserve"> 5 - 0.5*(BV158-BB156)/BH166</f>
        <v>5.843397018206959</v>
      </c>
      <c r="BW157" s="14" t="s">
        <v>452</v>
      </c>
      <c r="BX157" s="14" t="s">
        <v>453</v>
      </c>
      <c r="BY157" s="14">
        <f>SUM(BY158:BY159)</f>
        <v>902515.02630000003</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6"/>
        <v>100.25</v>
      </c>
      <c r="BC158" s="24" t="s">
        <v>436</v>
      </c>
      <c r="BD158" s="24">
        <f t="shared" ref="BD158:BD164" si="38">BB158-BB157</f>
        <v>15.329999999999998</v>
      </c>
      <c r="BE158" s="24"/>
      <c r="BF158" s="24">
        <f t="shared" si="37"/>
        <v>100.25</v>
      </c>
      <c r="BG158" s="24">
        <f t="shared" si="33"/>
        <v>187.86</v>
      </c>
      <c r="BH158" s="24"/>
      <c r="BI158" s="29" t="s">
        <v>150</v>
      </c>
      <c r="BJ158" s="29">
        <v>810</v>
      </c>
      <c r="BK158" s="29">
        <v>51.33</v>
      </c>
      <c r="BL158" s="24">
        <v>3000</v>
      </c>
      <c r="BM158" s="25"/>
      <c r="BN158" s="24">
        <f>BV162/BV163</f>
        <v>382.23050606052914</v>
      </c>
      <c r="BO158" s="24" t="s">
        <v>454</v>
      </c>
      <c r="BP158" s="24">
        <f>$BY$159/SUM($BY$158:$BY$159)*C64</f>
        <v>2.2685525782253668</v>
      </c>
      <c r="BQ158" s="29" t="s">
        <v>455</v>
      </c>
      <c r="BR158" s="29" t="s">
        <v>456</v>
      </c>
      <c r="BS158" s="29" t="s">
        <v>457</v>
      </c>
      <c r="BT158" s="14"/>
      <c r="BU158" s="30" t="s">
        <v>458</v>
      </c>
      <c r="BV158" s="31">
        <f>BP157</f>
        <v>43.731447421774632</v>
      </c>
      <c r="BW158" s="14" t="s">
        <v>436</v>
      </c>
      <c r="BX158" s="14" t="s">
        <v>459</v>
      </c>
      <c r="BY158" s="24">
        <f>INDEX($BJ$156:$BJ$161,MATCH($C$57,$BI$156:$BI$161,0))*$C$62</f>
        <v>858006.27</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6"/>
        <v>115.57</v>
      </c>
      <c r="BC159" s="24" t="s">
        <v>436</v>
      </c>
      <c r="BD159" s="24">
        <f t="shared" si="38"/>
        <v>15.319999999999993</v>
      </c>
      <c r="BE159" s="24"/>
      <c r="BF159" s="24">
        <f t="shared" si="37"/>
        <v>115.57</v>
      </c>
      <c r="BG159" s="24">
        <f t="shared" si="33"/>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24">
        <f>INDEX($BK$156:$BK$161,MATCH($C$57,$BI$156:$BI$161,0))*$C$63</f>
        <v>44508.756300000001</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6"/>
        <v>130.9</v>
      </c>
      <c r="BC160" s="24" t="s">
        <v>436</v>
      </c>
      <c r="BD160" s="24">
        <f t="shared" si="38"/>
        <v>15.330000000000013</v>
      </c>
      <c r="BE160" s="24"/>
      <c r="BF160" s="24">
        <f t="shared" si="37"/>
        <v>130.9</v>
      </c>
      <c r="BG160" s="24">
        <f t="shared" si="33"/>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24">
        <f>((BY158+BY159)/$C$60)*(50/$C$61)</f>
        <v>42.694536547996286</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6"/>
        <v>146.22999999999999</v>
      </c>
      <c r="BC161" s="24" t="s">
        <v>436</v>
      </c>
      <c r="BD161" s="24">
        <f t="shared" si="38"/>
        <v>15.329999999999984</v>
      </c>
      <c r="BE161" s="24"/>
      <c r="BF161" s="24">
        <f t="shared" si="37"/>
        <v>146.22999999999999</v>
      </c>
      <c r="BG161" s="24">
        <f t="shared" si="33"/>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1059.2670000000001</v>
      </c>
      <c r="BW161" s="14" t="s">
        <v>311</v>
      </c>
      <c r="BX161" s="14"/>
      <c r="BY161" s="14"/>
      <c r="BZ161" s="38">
        <f>5-(0.5*(C64-CE177)/(CE176-CE177))</f>
        <v>5.769406392694064</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6"/>
        <v>161.56</v>
      </c>
      <c r="BC162" s="24" t="s">
        <v>436</v>
      </c>
      <c r="BD162" s="24">
        <f t="shared" si="38"/>
        <v>15.330000000000013</v>
      </c>
      <c r="BE162" s="24"/>
      <c r="BF162" s="24">
        <f t="shared" si="37"/>
        <v>161.56</v>
      </c>
      <c r="BG162" s="24">
        <f t="shared" si="33"/>
        <v>304.55</v>
      </c>
      <c r="BH162" s="24"/>
      <c r="BI162" s="24"/>
      <c r="BJ162" s="24"/>
      <c r="BK162" s="24"/>
      <c r="BL162" s="24"/>
      <c r="BM162" s="37"/>
      <c r="BN162" s="37"/>
      <c r="BO162" s="37"/>
      <c r="BP162" s="37"/>
      <c r="BQ162" s="29" t="s">
        <v>473</v>
      </c>
      <c r="BR162" s="24"/>
      <c r="BS162" s="24"/>
      <c r="BT162" s="14"/>
      <c r="BU162" s="14" t="s">
        <v>474</v>
      </c>
      <c r="BV162" s="31">
        <f>C63</f>
        <v>867.11</v>
      </c>
      <c r="BW162" s="14" t="s">
        <v>314</v>
      </c>
      <c r="BX162" s="14"/>
      <c r="BY162" s="14">
        <f>C63*BK156</f>
        <v>44508.756300000001</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6"/>
        <v>176.89</v>
      </c>
      <c r="BC163" s="24" t="s">
        <v>436</v>
      </c>
      <c r="BD163" s="24">
        <f t="shared" si="38"/>
        <v>15.329999999999984</v>
      </c>
      <c r="BE163" s="24"/>
      <c r="BF163" s="24">
        <f t="shared" si="37"/>
        <v>176.89</v>
      </c>
      <c r="BG163" s="24">
        <f t="shared" si="33"/>
        <v>333.72</v>
      </c>
      <c r="BH163" s="24"/>
      <c r="BI163" s="24"/>
      <c r="BJ163" s="24"/>
      <c r="BK163" s="24"/>
      <c r="BL163" s="24"/>
      <c r="BM163" s="37"/>
      <c r="BN163" s="37"/>
      <c r="BO163" s="37"/>
      <c r="BP163" s="37"/>
      <c r="BQ163" s="29" t="s">
        <v>475</v>
      </c>
      <c r="BR163" s="24"/>
      <c r="BS163" s="24"/>
      <c r="BT163" s="14"/>
      <c r="BU163" s="14" t="s">
        <v>476</v>
      </c>
      <c r="BV163" s="14">
        <f>BP158</f>
        <v>2.2685525782253668</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6"/>
        <v>192.21</v>
      </c>
      <c r="BC164" s="24" t="s">
        <v>436</v>
      </c>
      <c r="BD164" s="24">
        <f t="shared" si="38"/>
        <v>15.320000000000022</v>
      </c>
      <c r="BE164" s="24"/>
      <c r="BF164" s="24">
        <f t="shared" si="37"/>
        <v>192.21</v>
      </c>
      <c r="BG164" s="24">
        <f t="shared" si="33"/>
        <v>362.89</v>
      </c>
      <c r="BH164" s="24"/>
      <c r="BI164" s="24"/>
      <c r="BJ164" s="24"/>
      <c r="BK164" s="24"/>
      <c r="BL164" s="24"/>
      <c r="BM164" s="37"/>
      <c r="BN164" s="37"/>
      <c r="BO164" s="37"/>
      <c r="BP164" s="37"/>
      <c r="BQ164" s="29" t="s">
        <v>478</v>
      </c>
      <c r="BR164" s="24"/>
      <c r="BS164" s="24"/>
      <c r="BT164" s="14"/>
      <c r="BU164" s="14"/>
      <c r="BV164" s="14">
        <f>BV163+BV158</f>
        <v>46</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9">H66</f>
        <v>45838</v>
      </c>
      <c r="I166" s="177">
        <f t="shared" si="39"/>
        <v>46203</v>
      </c>
      <c r="J166" s="177">
        <f t="shared" si="39"/>
        <v>46568</v>
      </c>
      <c r="K166" s="177">
        <f t="shared" si="39"/>
        <v>46934</v>
      </c>
      <c r="L166" s="177">
        <f t="shared" si="39"/>
        <v>47299</v>
      </c>
      <c r="M166" s="177">
        <f t="shared" si="39"/>
        <v>47664</v>
      </c>
      <c r="N166" s="177">
        <f t="shared" si="39"/>
        <v>48029</v>
      </c>
      <c r="O166" s="177">
        <f t="shared" si="39"/>
        <v>48395</v>
      </c>
      <c r="P166" s="177">
        <f t="shared" si="39"/>
        <v>48760</v>
      </c>
      <c r="Q166" s="177">
        <f t="shared" si="39"/>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0">DATE(YEAR(AB166)+1,MONTH(AB166),DAY(AB166))</f>
        <v>46112</v>
      </c>
      <c r="AD166" s="46">
        <f t="shared" si="40"/>
        <v>46477</v>
      </c>
      <c r="AE166" s="46">
        <f t="shared" si="40"/>
        <v>46843</v>
      </c>
      <c r="AF166" s="46">
        <f t="shared" si="40"/>
        <v>47208</v>
      </c>
      <c r="AG166" s="46">
        <f t="shared" si="40"/>
        <v>47573</v>
      </c>
      <c r="AH166" s="46">
        <f t="shared" si="40"/>
        <v>47938</v>
      </c>
      <c r="AI166" s="46">
        <f t="shared" si="40"/>
        <v>48304</v>
      </c>
      <c r="AJ166" s="46">
        <f t="shared" si="40"/>
        <v>48669</v>
      </c>
      <c r="AK166" s="46">
        <f t="shared" si="40"/>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1">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2">IF($E69&lt;G$66,$C69,0)</f>
        <v>0</v>
      </c>
      <c r="H167" s="12">
        <f t="shared" ref="H167:J186" si="43">IF($E69&gt;H$66,0,IF($E69&lt;H$66-365,$C69,0))</f>
        <v>0</v>
      </c>
      <c r="I167" s="12">
        <f t="shared" si="43"/>
        <v>0</v>
      </c>
      <c r="J167" s="12">
        <f t="shared" si="43"/>
        <v>0</v>
      </c>
      <c r="K167" s="12">
        <f t="shared" ref="K167:K209" si="44">IF($E69&lt;K$66,$C69,0)</f>
        <v>0</v>
      </c>
      <c r="L167" s="12">
        <f t="shared" ref="L167:N186" si="45">IF($E69&gt;L$66,0,IF($E69&lt;L$66-365,$C69,0))</f>
        <v>0</v>
      </c>
      <c r="M167" s="12">
        <f t="shared" si="45"/>
        <v>0</v>
      </c>
      <c r="N167" s="12">
        <f t="shared" si="45"/>
        <v>0</v>
      </c>
      <c r="O167" s="12">
        <f t="shared" ref="O167:O209" si="46">IF($E69&lt;O$66,$C69,0)</f>
        <v>100</v>
      </c>
      <c r="P167" s="12">
        <f t="shared" ref="P167:Q186" si="47">IF($E69&gt;P$66,0,IF($E69&lt;P$66-365,$C69,0))</f>
        <v>100</v>
      </c>
      <c r="Q167" s="12">
        <f t="shared" si="47"/>
        <v>100</v>
      </c>
      <c r="T167" s="14"/>
      <c r="U167" s="14"/>
      <c r="V167" s="14"/>
      <c r="W167" s="53">
        <f t="shared" ref="W167:W211" si="48">C68*$BN$160*1000</f>
        <v>0</v>
      </c>
      <c r="X167" s="54" t="e">
        <f t="shared" ref="X167:X211" si="49">-1*F68/W167</f>
        <v>#DIV/0!</v>
      </c>
      <c r="Y167" s="25">
        <f>Z167/$BH$166</f>
        <v>0</v>
      </c>
      <c r="Z167" s="54">
        <f>C68/$BN$157</f>
        <v>0</v>
      </c>
      <c r="AA167" s="54">
        <f t="shared" ref="AA167:AJ182" si="50">IF($E68+365&lt;$C$56,0,IF($E68&lt;$C$56,(($E68+365-$C$56)/365)*(($C68/$BN$157)+($D68/$BN$158)),IF($E68&gt;AA$166,0,IF($E68+365&lt;AA$166,($C68/$BN$157)+($D68/$BN$158),((AA$166-$E68)/365)*(($C68/$BN$157)+($D68/$BN$158))))))</f>
        <v>0</v>
      </c>
      <c r="AB167" s="54">
        <f t="shared" si="50"/>
        <v>0</v>
      </c>
      <c r="AC167" s="54">
        <f>IF($E68+365&lt;$C$56,0,IF($E68&lt;$C$56,(($E68+365-$C$56)/365)*(($C68/$BN$157)+($D68/$BN$158)),IF($E68&gt;AC$166,0,IF($E68+365&lt;AC$166,($C68/$BN$157)+($D68/$BN$158),((AC$166-$E68)/365)*(($C68/$BN$157)+($D68/$BN$158))))))</f>
        <v>0</v>
      </c>
      <c r="AD167" s="54">
        <f t="shared" si="50"/>
        <v>0</v>
      </c>
      <c r="AE167" s="54">
        <f t="shared" si="50"/>
        <v>0</v>
      </c>
      <c r="AF167" s="54">
        <f>IF($E68+365&lt;$C$56,0,IF($E68&lt;$C$56,(($E68+365-$C$56)/365)*(($C68/$BN$157)+($D68/$BN$158)),IF($E68&gt;AF$166,0,IF($E68+365&lt;AF$166,($C68/$BN$157)+($D68/$BN$158),((AF$166-$E68)/365)*(($C68/$BN$157)+($D68/$BN$158))))))</f>
        <v>0</v>
      </c>
      <c r="AG167" s="54">
        <f t="shared" si="50"/>
        <v>0</v>
      </c>
      <c r="AH167" s="54">
        <f t="shared" si="50"/>
        <v>0</v>
      </c>
      <c r="AI167" s="54">
        <f t="shared" si="50"/>
        <v>0</v>
      </c>
      <c r="AJ167" s="54">
        <f t="shared" si="50"/>
        <v>0</v>
      </c>
      <c r="AK167" s="54">
        <f t="shared" ref="AK167" si="51">IF($E68+365&lt;$C$56,0,IF($E68&lt;$C$56,(($E68+365-$C$56)/365)*(($C68/$BN$157)+($D68/$BN$158)),IF($E68&gt;AK$166,0,IF($E68+365&lt;AK$166,($C68/$BN$157)+($D68/$BN$158),((AK$166-$E68)/365)*(($C68/$BN$157)+($D68/$BN$158))))))</f>
        <v>0</v>
      </c>
      <c r="AL167" s="24">
        <f t="shared" ref="AL167:AL213" si="52">IF(G68&lt;&gt;"",C68,0)</f>
        <v>0</v>
      </c>
      <c r="AM167" s="24">
        <f t="shared" ref="AM167:AM213" si="53">IF(G68&lt;&gt;"",D68,0)</f>
        <v>0</v>
      </c>
      <c r="AN167" s="55">
        <f t="shared" ref="AN167:AN213" si="54">IF(W68="Yes",0,F68)</f>
        <v>0</v>
      </c>
      <c r="AO167" s="55">
        <f t="shared" ref="AO167:AO213" si="55">IF(W68="Yes",F68,0)</f>
        <v>0</v>
      </c>
      <c r="AP167" s="24"/>
      <c r="AQ167" s="24"/>
      <c r="AR167" s="24"/>
      <c r="AS167" s="24"/>
      <c r="AT167" s="24"/>
      <c r="AU167" s="24"/>
      <c r="AV167" s="24"/>
      <c r="AW167" s="24"/>
      <c r="AX167" s="24"/>
      <c r="AY167" s="24"/>
      <c r="AZ167" s="24"/>
      <c r="BA167" s="24"/>
      <c r="BB167" s="25"/>
      <c r="BC167" s="24"/>
      <c r="BD167" s="24"/>
      <c r="BE167" s="24">
        <f t="shared" si="41"/>
        <v>84.92</v>
      </c>
      <c r="BF167" s="24" t="s">
        <v>486</v>
      </c>
      <c r="BG167" s="56">
        <f>BV158+($C$64-$BV$158)</f>
        <v>46</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2"/>
        <v>0</v>
      </c>
      <c r="H168" s="12">
        <f t="shared" si="43"/>
        <v>0</v>
      </c>
      <c r="I168" s="12">
        <f t="shared" si="43"/>
        <v>0</v>
      </c>
      <c r="J168" s="12">
        <f t="shared" si="43"/>
        <v>0</v>
      </c>
      <c r="K168" s="12">
        <f t="shared" si="44"/>
        <v>0</v>
      </c>
      <c r="L168" s="12">
        <f t="shared" si="45"/>
        <v>0</v>
      </c>
      <c r="M168" s="12">
        <f t="shared" si="45"/>
        <v>0</v>
      </c>
      <c r="N168" s="12">
        <f t="shared" si="45"/>
        <v>0</v>
      </c>
      <c r="O168" s="12">
        <f t="shared" si="46"/>
        <v>0</v>
      </c>
      <c r="P168" s="12">
        <f t="shared" si="47"/>
        <v>0</v>
      </c>
      <c r="Q168" s="12">
        <f t="shared" si="47"/>
        <v>0</v>
      </c>
      <c r="T168" s="57"/>
      <c r="U168" s="57"/>
      <c r="V168" s="57"/>
      <c r="W168" s="53">
        <f t="shared" si="48"/>
        <v>15200</v>
      </c>
      <c r="X168" s="54">
        <f t="shared" si="49"/>
        <v>-16.44736842105263</v>
      </c>
      <c r="Y168" s="54">
        <f t="shared" ref="Y168:Y213" si="56">Z168/$BH$166</f>
        <v>0.15001459117599528</v>
      </c>
      <c r="Z168" s="54">
        <f>($C69/$BN$157)+($D69/$BN$158)</f>
        <v>2.2997236827280072</v>
      </c>
      <c r="AA168" s="54">
        <f t="shared" si="50"/>
        <v>0</v>
      </c>
      <c r="AB168" s="54">
        <f t="shared" si="50"/>
        <v>0</v>
      </c>
      <c r="AC168" s="54">
        <f t="shared" si="50"/>
        <v>0</v>
      </c>
      <c r="AD168" s="54">
        <f>IF($E69+365&lt;$C$56,0,IF($E69&lt;$C$56,(($E69+365-$C$56)/365)*(($C69/$BN$157)+($D69/$BN$158)),IF($E69&gt;AD$166,0,IF($E69+365&lt;AD$166,($C69/$BN$157)+($D69/$BN$158),((AD$166-$E69)/365)*(($C69/$BN$157)+($D69/$BN$158))))))</f>
        <v>0</v>
      </c>
      <c r="AE168" s="54">
        <f t="shared" si="50"/>
        <v>0</v>
      </c>
      <c r="AF168" s="54">
        <f t="shared" si="50"/>
        <v>0</v>
      </c>
      <c r="AG168" s="54">
        <f t="shared" si="50"/>
        <v>0</v>
      </c>
      <c r="AH168" s="54">
        <f t="shared" si="50"/>
        <v>0</v>
      </c>
      <c r="AI168" s="54">
        <f t="shared" si="50"/>
        <v>0</v>
      </c>
      <c r="AJ168" s="54">
        <f t="shared" si="50"/>
        <v>2.2997236827280072</v>
      </c>
      <c r="AK168" s="54">
        <f t="shared" ref="AK168" si="57">IF($E69+365&lt;$C$56,0,IF($E69&lt;$C$56,(($E69+365-$C$56)/365)*(($C69/$BN$157)+($D69/$BN$158)),IF($E69&gt;AK$166,0,IF($E69+365&lt;AK$166,($C69/$BN$157)+($D69/$BN$158),((AK$166-$E69)/365)*(($C69/$BN$157)+($D69/$BN$158))))))</f>
        <v>2.2997236827280072</v>
      </c>
      <c r="AL168" s="24">
        <f t="shared" si="52"/>
        <v>100</v>
      </c>
      <c r="AM168" s="24">
        <f t="shared" si="53"/>
        <v>-699</v>
      </c>
      <c r="AN168" s="55">
        <f t="shared" si="54"/>
        <v>250000</v>
      </c>
      <c r="AO168" s="55">
        <f t="shared" si="55"/>
        <v>0</v>
      </c>
      <c r="AP168" s="24"/>
      <c r="AQ168" s="24"/>
      <c r="AR168" s="24"/>
      <c r="AS168" s="24"/>
      <c r="AT168" s="24"/>
      <c r="AU168" s="24"/>
      <c r="AV168" s="24"/>
      <c r="AW168" s="24"/>
      <c r="AX168" s="24"/>
      <c r="AY168" s="24"/>
      <c r="AZ168" s="24"/>
      <c r="BA168" s="24"/>
      <c r="BB168" s="24"/>
      <c r="BC168" s="24"/>
      <c r="BD168" s="24"/>
      <c r="BE168" s="24">
        <f t="shared" si="41"/>
        <v>84.92</v>
      </c>
      <c r="BF168" s="59">
        <f>AB166</f>
        <v>45747</v>
      </c>
      <c r="BG168" s="36">
        <f>(BV158+AB214)+($C$64-$BV$158)</f>
        <v>46</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2"/>
        <v>0</v>
      </c>
      <c r="H169" s="12">
        <f t="shared" si="43"/>
        <v>0</v>
      </c>
      <c r="I169" s="12">
        <f t="shared" si="43"/>
        <v>0</v>
      </c>
      <c r="J169" s="12">
        <f t="shared" si="43"/>
        <v>0</v>
      </c>
      <c r="K169" s="12">
        <f t="shared" si="44"/>
        <v>0</v>
      </c>
      <c r="L169" s="12">
        <f t="shared" si="45"/>
        <v>0</v>
      </c>
      <c r="M169" s="12">
        <f t="shared" si="45"/>
        <v>0</v>
      </c>
      <c r="N169" s="12">
        <f t="shared" si="45"/>
        <v>0</v>
      </c>
      <c r="O169" s="12">
        <f t="shared" si="46"/>
        <v>0</v>
      </c>
      <c r="P169" s="12">
        <f t="shared" si="47"/>
        <v>0</v>
      </c>
      <c r="Q169" s="12">
        <f t="shared" si="47"/>
        <v>0</v>
      </c>
      <c r="T169" s="61"/>
      <c r="U169" s="61"/>
      <c r="V169" s="61"/>
      <c r="W169" s="53">
        <f t="shared" si="48"/>
        <v>0</v>
      </c>
      <c r="X169" s="54" t="e">
        <f t="shared" si="49"/>
        <v>#DIV/0!</v>
      </c>
      <c r="Y169" s="343">
        <f>Z169/$BH$166</f>
        <v>0</v>
      </c>
      <c r="Z169" s="54">
        <f>($C70/$BN$157)+($D70/$BN$158)</f>
        <v>0</v>
      </c>
      <c r="AA169" s="54">
        <f t="shared" si="50"/>
        <v>0</v>
      </c>
      <c r="AB169" s="54">
        <f t="shared" si="50"/>
        <v>0</v>
      </c>
      <c r="AC169" s="54">
        <f t="shared" si="50"/>
        <v>0</v>
      </c>
      <c r="AD169" s="54">
        <f>IF($E70+365&lt;$C$56,0,IF($E70&lt;$C$56,(($E70+365-$C$56)/365)*(($C70/$BN$157)+($D70/$BN$158)),IF($E70&gt;AD$166,0,IF($E70+365&lt;AD$166,($C70/$BN$157)+($D70/$BN$158),((AD$166-$E70)/365)*(($C70/$BN$157)+($D70/$BN$158))))))</f>
        <v>0</v>
      </c>
      <c r="AE169" s="54">
        <f t="shared" si="50"/>
        <v>0</v>
      </c>
      <c r="AF169" s="54">
        <f t="shared" si="50"/>
        <v>0</v>
      </c>
      <c r="AG169" s="54">
        <f t="shared" si="50"/>
        <v>0</v>
      </c>
      <c r="AH169" s="54">
        <f t="shared" si="50"/>
        <v>0</v>
      </c>
      <c r="AI169" s="54">
        <f t="shared" si="50"/>
        <v>0</v>
      </c>
      <c r="AJ169" s="54">
        <f t="shared" si="50"/>
        <v>0</v>
      </c>
      <c r="AK169" s="54">
        <f t="shared" ref="AK169" si="58">IF($E70+365&lt;$C$56,0,IF($E70&lt;$C$56,(($E70+365-$C$56)/365)*(($C70/$BN$157)+($D70/$BN$158)),IF($E70&gt;AK$166,0,IF($E70+365&lt;AK$166,($C70/$BN$157)+($D70/$BN$158),((AK$166-$E70)/365)*(($C70/$BN$157)+($D70/$BN$158))))))</f>
        <v>0</v>
      </c>
      <c r="AL169" s="24">
        <f t="shared" si="52"/>
        <v>0</v>
      </c>
      <c r="AM169" s="24">
        <f t="shared" si="53"/>
        <v>0</v>
      </c>
      <c r="AN169" s="55">
        <f t="shared" si="54"/>
        <v>500000</v>
      </c>
      <c r="AO169" s="55">
        <f t="shared" si="55"/>
        <v>0</v>
      </c>
      <c r="AP169" s="24"/>
      <c r="AQ169" s="24"/>
      <c r="AR169" s="24"/>
      <c r="AS169" s="24"/>
      <c r="AT169" s="24"/>
      <c r="AU169" s="24"/>
      <c r="AV169" s="24"/>
      <c r="AW169" s="24"/>
      <c r="AX169" s="24"/>
      <c r="AY169" s="24"/>
      <c r="AZ169" s="24"/>
      <c r="BA169" s="24"/>
      <c r="BB169" s="24"/>
      <c r="BC169" s="24"/>
      <c r="BD169" s="24"/>
      <c r="BE169" s="24">
        <f t="shared" si="41"/>
        <v>84.92</v>
      </c>
      <c r="BF169" s="59">
        <f>BF168+365</f>
        <v>46112</v>
      </c>
      <c r="BG169" s="36">
        <f>BV158+AC214+($C$64-$BV$158)</f>
        <v>46</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9">INDEX(AN156:AR156,MATCH($CE$168,$AN$165:$AR$165,0))</f>
        <v>69.59</v>
      </c>
      <c r="CJ169" s="14">
        <f t="shared" ref="CJ169:CJ177" si="60">INDEX(AU156:AY156,MATCH($CE$168,$AN$165:$AR$165,0))</f>
        <v>129.52000000000001</v>
      </c>
    </row>
    <row r="170" spans="7:88">
      <c r="G170" s="12">
        <f t="shared" si="42"/>
        <v>0</v>
      </c>
      <c r="H170" s="12">
        <f t="shared" si="43"/>
        <v>0</v>
      </c>
      <c r="I170" s="12">
        <f t="shared" si="43"/>
        <v>0</v>
      </c>
      <c r="J170" s="12">
        <f t="shared" si="43"/>
        <v>0</v>
      </c>
      <c r="K170" s="12">
        <f t="shared" si="44"/>
        <v>0</v>
      </c>
      <c r="L170" s="12">
        <f t="shared" si="45"/>
        <v>0</v>
      </c>
      <c r="M170" s="12">
        <f t="shared" si="45"/>
        <v>0</v>
      </c>
      <c r="N170" s="12">
        <f t="shared" si="45"/>
        <v>0</v>
      </c>
      <c r="O170" s="12">
        <f t="shared" si="46"/>
        <v>20</v>
      </c>
      <c r="P170" s="12">
        <f t="shared" si="47"/>
        <v>20</v>
      </c>
      <c r="Q170" s="12">
        <f t="shared" si="47"/>
        <v>20</v>
      </c>
      <c r="T170" s="61"/>
      <c r="U170" s="61"/>
      <c r="V170" s="61"/>
      <c r="W170" s="53">
        <f t="shared" si="48"/>
        <v>0</v>
      </c>
      <c r="X170" s="54" t="e">
        <f t="shared" si="49"/>
        <v>#DIV/0!</v>
      </c>
      <c r="Y170" s="25">
        <f t="shared" si="56"/>
        <v>0</v>
      </c>
      <c r="Z170" s="54">
        <f t="shared" ref="Z170:Z213" si="61">($C71/$BN$157)+($D71/$BN$158)</f>
        <v>0</v>
      </c>
      <c r="AA170" s="54">
        <f t="shared" si="50"/>
        <v>0</v>
      </c>
      <c r="AB170" s="54">
        <f t="shared" si="50"/>
        <v>0</v>
      </c>
      <c r="AC170" s="54">
        <f t="shared" si="50"/>
        <v>0</v>
      </c>
      <c r="AD170" s="54">
        <f t="shared" si="50"/>
        <v>0</v>
      </c>
      <c r="AE170" s="54">
        <f t="shared" si="50"/>
        <v>0</v>
      </c>
      <c r="AF170" s="54">
        <f t="shared" si="50"/>
        <v>0</v>
      </c>
      <c r="AG170" s="54">
        <f t="shared" si="50"/>
        <v>0</v>
      </c>
      <c r="AH170" s="54">
        <f t="shared" si="50"/>
        <v>0</v>
      </c>
      <c r="AI170" s="54">
        <f t="shared" si="50"/>
        <v>0</v>
      </c>
      <c r="AJ170" s="54">
        <f t="shared" si="50"/>
        <v>0</v>
      </c>
      <c r="AK170" s="54">
        <f t="shared" ref="AK170" si="62">IF($E71+365&lt;$C$56,0,IF($E71&lt;$C$56,(($E71+365-$C$56)/365)*(($C71/$BN$157)+($D71/$BN$158)),IF($E71&gt;AK$166,0,IF($E71+365&lt;AK$166,($C71/$BN$157)+($D71/$BN$158),((AK$166-$E71)/365)*(($C71/$BN$157)+($D71/$BN$158))))))</f>
        <v>0</v>
      </c>
      <c r="AL170" s="24">
        <f t="shared" si="52"/>
        <v>0</v>
      </c>
      <c r="AM170" s="24">
        <f t="shared" si="53"/>
        <v>0</v>
      </c>
      <c r="AN170" s="55">
        <f t="shared" si="54"/>
        <v>250000</v>
      </c>
      <c r="AO170" s="55">
        <f t="shared" si="55"/>
        <v>0</v>
      </c>
      <c r="AP170" s="24"/>
      <c r="AQ170" s="24"/>
      <c r="AR170" s="24"/>
      <c r="AS170" s="24"/>
      <c r="AT170" s="24"/>
      <c r="AU170" s="24"/>
      <c r="AV170" s="24"/>
      <c r="AW170" s="24"/>
      <c r="AX170" s="24"/>
      <c r="AY170" s="24"/>
      <c r="AZ170" s="24"/>
      <c r="BA170" s="24"/>
      <c r="BB170" s="24"/>
      <c r="BC170" s="24"/>
      <c r="BD170" s="24"/>
      <c r="BE170" s="24">
        <f t="shared" si="41"/>
        <v>84.92</v>
      </c>
      <c r="BF170" s="59">
        <f>BF169+365</f>
        <v>46477</v>
      </c>
      <c r="BG170" s="36">
        <f>$BV$158+AD214+($C$64-$BV$158)</f>
        <v>46</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9"/>
        <v>84.92</v>
      </c>
      <c r="CJ170" s="14">
        <f t="shared" si="60"/>
        <v>158.69</v>
      </c>
    </row>
    <row r="171" spans="7:88">
      <c r="G171" s="12">
        <f t="shared" si="42"/>
        <v>0</v>
      </c>
      <c r="H171" s="12">
        <f t="shared" si="43"/>
        <v>0</v>
      </c>
      <c r="I171" s="12">
        <f t="shared" si="43"/>
        <v>0</v>
      </c>
      <c r="J171" s="12">
        <f t="shared" si="43"/>
        <v>0</v>
      </c>
      <c r="K171" s="12">
        <f t="shared" si="44"/>
        <v>0</v>
      </c>
      <c r="L171" s="12">
        <f t="shared" si="45"/>
        <v>0</v>
      </c>
      <c r="M171" s="12">
        <f t="shared" si="45"/>
        <v>0</v>
      </c>
      <c r="N171" s="12">
        <f t="shared" si="45"/>
        <v>0</v>
      </c>
      <c r="O171" s="12">
        <f t="shared" si="46"/>
        <v>0</v>
      </c>
      <c r="P171" s="12">
        <f t="shared" si="47"/>
        <v>0</v>
      </c>
      <c r="Q171" s="12">
        <f t="shared" si="47"/>
        <v>0</v>
      </c>
      <c r="T171" s="61"/>
      <c r="U171" s="61"/>
      <c r="V171" s="61"/>
      <c r="W171" s="53">
        <f t="shared" si="48"/>
        <v>3040</v>
      </c>
      <c r="X171" s="54">
        <f t="shared" si="49"/>
        <v>-94.57236842105263</v>
      </c>
      <c r="Y171" s="54">
        <f t="shared" si="56"/>
        <v>4.2256327633835619E-2</v>
      </c>
      <c r="Z171" s="54">
        <f>($C72/$BN$157)+($D72/$BN$158)</f>
        <v>0.64778950262669999</v>
      </c>
      <c r="AA171" s="54">
        <f t="shared" si="50"/>
        <v>0</v>
      </c>
      <c r="AB171" s="54">
        <f t="shared" si="50"/>
        <v>0</v>
      </c>
      <c r="AC171" s="54">
        <f t="shared" si="50"/>
        <v>0</v>
      </c>
      <c r="AD171" s="54">
        <f t="shared" si="50"/>
        <v>0</v>
      </c>
      <c r="AE171" s="54">
        <f t="shared" si="50"/>
        <v>0</v>
      </c>
      <c r="AF171" s="54">
        <f>IF($E72+365&lt;$C$56,0,IF($E72&lt;$C$56,(($E72+365-$C$56)/365)*(($C72/$BN$157)+($D72/$BN$158)),IF($E72&gt;AF$166,0,IF($E72+365&lt;AF$166,($C72/$BN$157)+($D72/$BN$158),((AF$166-$E72)/365)*(($C72/$BN$157)+($D72/$BN$158))))))</f>
        <v>0</v>
      </c>
      <c r="AG171" s="54">
        <f t="shared" si="50"/>
        <v>0</v>
      </c>
      <c r="AH171" s="54">
        <f t="shared" si="50"/>
        <v>0</v>
      </c>
      <c r="AI171" s="54">
        <f t="shared" si="50"/>
        <v>0</v>
      </c>
      <c r="AJ171" s="54">
        <f t="shared" si="50"/>
        <v>0.64778950262669999</v>
      </c>
      <c r="AK171" s="54">
        <f t="shared" ref="AK171" si="63">IF($E72+365&lt;$C$56,0,IF($E72&lt;$C$56,(($E72+365-$C$56)/365)*(($C72/$BN$157)+($D72/$BN$158)),IF($E72&gt;AK$166,0,IF($E72+365&lt;AK$166,($C72/$BN$157)+($D72/$BN$158),((AK$166-$E72)/365)*(($C72/$BN$157)+($D72/$BN$158))))))</f>
        <v>0.64778950262669999</v>
      </c>
      <c r="AL171" s="24">
        <f t="shared" si="52"/>
        <v>20</v>
      </c>
      <c r="AM171" s="24">
        <f t="shared" si="53"/>
        <v>-68</v>
      </c>
      <c r="AN171" s="55">
        <f t="shared" si="54"/>
        <v>287500</v>
      </c>
      <c r="AO171" s="55">
        <f t="shared" si="55"/>
        <v>0</v>
      </c>
      <c r="AP171" s="24"/>
      <c r="AQ171" s="24"/>
      <c r="AR171" s="24"/>
      <c r="AS171" s="24"/>
      <c r="AT171" s="24"/>
      <c r="AU171" s="24"/>
      <c r="AV171" s="24"/>
      <c r="AW171" s="24"/>
      <c r="AX171" s="24"/>
      <c r="AY171" s="24"/>
      <c r="AZ171" s="24"/>
      <c r="BA171" s="24"/>
      <c r="BB171" s="24"/>
      <c r="BC171" s="24"/>
      <c r="BD171" s="24"/>
      <c r="BE171" s="24">
        <f t="shared" si="41"/>
        <v>84.92</v>
      </c>
      <c r="BF171" s="59">
        <f t="shared" ref="BF171:BF176" si="64">BF170+365</f>
        <v>46842</v>
      </c>
      <c r="BG171" s="36">
        <f>$BV$158+AE214+($C$64-$BV$158)</f>
        <v>46</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9"/>
        <v>100.25</v>
      </c>
      <c r="CJ171" s="14">
        <f t="shared" si="60"/>
        <v>187.86</v>
      </c>
    </row>
    <row r="172" spans="7:88">
      <c r="G172" s="12">
        <f t="shared" si="42"/>
        <v>0</v>
      </c>
      <c r="H172" s="12">
        <f t="shared" si="43"/>
        <v>0</v>
      </c>
      <c r="I172" s="12">
        <f t="shared" si="43"/>
        <v>0</v>
      </c>
      <c r="J172" s="12">
        <f t="shared" si="43"/>
        <v>0</v>
      </c>
      <c r="K172" s="12">
        <f t="shared" si="44"/>
        <v>0</v>
      </c>
      <c r="L172" s="12">
        <f t="shared" si="45"/>
        <v>0</v>
      </c>
      <c r="M172" s="12">
        <f t="shared" si="45"/>
        <v>0</v>
      </c>
      <c r="N172" s="12">
        <f t="shared" si="45"/>
        <v>0</v>
      </c>
      <c r="O172" s="12">
        <f t="shared" si="46"/>
        <v>0</v>
      </c>
      <c r="P172" s="12">
        <f t="shared" si="47"/>
        <v>0</v>
      </c>
      <c r="Q172" s="12">
        <f t="shared" si="47"/>
        <v>0</v>
      </c>
      <c r="T172" s="61"/>
      <c r="U172" s="61"/>
      <c r="V172" s="61"/>
      <c r="W172" s="53">
        <f t="shared" si="48"/>
        <v>0</v>
      </c>
      <c r="X172" s="54" t="e">
        <f t="shared" si="49"/>
        <v>#DIV/0!</v>
      </c>
      <c r="Y172" s="25">
        <f>Z172/$BH$166</f>
        <v>0</v>
      </c>
      <c r="Z172" s="54">
        <f t="shared" si="61"/>
        <v>0</v>
      </c>
      <c r="AA172" s="54">
        <f t="shared" si="50"/>
        <v>0</v>
      </c>
      <c r="AB172" s="54">
        <f t="shared" si="50"/>
        <v>0</v>
      </c>
      <c r="AC172" s="54">
        <f t="shared" si="50"/>
        <v>0</v>
      </c>
      <c r="AD172" s="54">
        <f t="shared" si="50"/>
        <v>0</v>
      </c>
      <c r="AE172" s="54">
        <f t="shared" si="50"/>
        <v>0</v>
      </c>
      <c r="AF172" s="54">
        <f t="shared" si="50"/>
        <v>0</v>
      </c>
      <c r="AG172" s="54">
        <f t="shared" si="50"/>
        <v>0</v>
      </c>
      <c r="AH172" s="54">
        <f t="shared" si="50"/>
        <v>0</v>
      </c>
      <c r="AI172" s="54">
        <f t="shared" si="50"/>
        <v>0</v>
      </c>
      <c r="AJ172" s="54">
        <f t="shared" si="50"/>
        <v>0</v>
      </c>
      <c r="AK172" s="54">
        <f t="shared" ref="AK172" si="65">IF($E73+365&lt;$C$56,0,IF($E73&lt;$C$56,(($E73+365-$C$56)/365)*(($C73/$BN$157)+($D73/$BN$158)),IF($E73&gt;AK$166,0,IF($E73+365&lt;AK$166,($C73/$BN$157)+($D73/$BN$158),((AK$166-$E73)/365)*(($C73/$BN$157)+($D73/$BN$158))))))</f>
        <v>0</v>
      </c>
      <c r="AL172" s="24">
        <f t="shared" si="52"/>
        <v>0</v>
      </c>
      <c r="AM172" s="24">
        <f t="shared" si="53"/>
        <v>0</v>
      </c>
      <c r="AN172" s="55">
        <f t="shared" si="54"/>
        <v>0</v>
      </c>
      <c r="AO172" s="55">
        <f t="shared" si="55"/>
        <v>0</v>
      </c>
      <c r="AP172" s="24"/>
      <c r="AQ172" s="24"/>
      <c r="AR172" s="24"/>
      <c r="AS172" s="24"/>
      <c r="AT172" s="24"/>
      <c r="AU172" s="24"/>
      <c r="AV172" s="24"/>
      <c r="AW172" s="24"/>
      <c r="AX172" s="24"/>
      <c r="AY172" s="24"/>
      <c r="AZ172" s="24"/>
      <c r="BA172" s="24"/>
      <c r="BB172" s="24"/>
      <c r="BC172" s="24"/>
      <c r="BD172" s="24"/>
      <c r="BE172" s="24">
        <f t="shared" si="41"/>
        <v>84.92</v>
      </c>
      <c r="BF172" s="59">
        <f t="shared" si="64"/>
        <v>47207</v>
      </c>
      <c r="BG172" s="36">
        <f>$BV$158+AF214+($C$64-$BV$158)</f>
        <v>46</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9"/>
        <v>115.57</v>
      </c>
      <c r="CJ172" s="14">
        <f t="shared" si="60"/>
        <v>217.04</v>
      </c>
    </row>
    <row r="173" spans="7:88">
      <c r="G173" s="12">
        <f t="shared" si="42"/>
        <v>0</v>
      </c>
      <c r="H173" s="12">
        <f t="shared" si="43"/>
        <v>0</v>
      </c>
      <c r="I173" s="12">
        <f t="shared" si="43"/>
        <v>0</v>
      </c>
      <c r="J173" s="12">
        <f t="shared" si="43"/>
        <v>0</v>
      </c>
      <c r="K173" s="12">
        <f t="shared" si="44"/>
        <v>0</v>
      </c>
      <c r="L173" s="12">
        <f t="shared" si="45"/>
        <v>0</v>
      </c>
      <c r="M173" s="12">
        <f t="shared" si="45"/>
        <v>0</v>
      </c>
      <c r="N173" s="12">
        <f t="shared" si="45"/>
        <v>0</v>
      </c>
      <c r="O173" s="12">
        <f t="shared" si="46"/>
        <v>0</v>
      </c>
      <c r="P173" s="12">
        <f t="shared" si="47"/>
        <v>0</v>
      </c>
      <c r="Q173" s="12">
        <f t="shared" si="47"/>
        <v>0</v>
      </c>
      <c r="T173" s="61"/>
      <c r="U173" s="61"/>
      <c r="V173" s="61"/>
      <c r="W173" s="53">
        <f t="shared" si="48"/>
        <v>0</v>
      </c>
      <c r="X173" s="54" t="e">
        <f t="shared" si="49"/>
        <v>#DIV/0!</v>
      </c>
      <c r="Y173" s="25">
        <f t="shared" si="56"/>
        <v>0</v>
      </c>
      <c r="Z173" s="54">
        <f t="shared" si="61"/>
        <v>0</v>
      </c>
      <c r="AA173" s="54">
        <f t="shared" si="50"/>
        <v>0</v>
      </c>
      <c r="AB173" s="54">
        <f t="shared" si="50"/>
        <v>0</v>
      </c>
      <c r="AC173" s="54">
        <f t="shared" si="50"/>
        <v>0</v>
      </c>
      <c r="AD173" s="54">
        <f t="shared" si="50"/>
        <v>0</v>
      </c>
      <c r="AE173" s="54">
        <f t="shared" si="50"/>
        <v>0</v>
      </c>
      <c r="AF173" s="54">
        <f t="shared" si="50"/>
        <v>0</v>
      </c>
      <c r="AG173" s="54">
        <f t="shared" si="50"/>
        <v>0</v>
      </c>
      <c r="AH173" s="54">
        <f t="shared" si="50"/>
        <v>0</v>
      </c>
      <c r="AI173" s="54">
        <f t="shared" si="50"/>
        <v>0</v>
      </c>
      <c r="AJ173" s="54">
        <f t="shared" si="50"/>
        <v>0</v>
      </c>
      <c r="AK173" s="54">
        <f t="shared" ref="AK173" si="66">IF($E74+365&lt;$C$56,0,IF($E74&lt;$C$56,(($E74+365-$C$56)/365)*(($C74/$BN$157)+($D74/$BN$158)),IF($E74&gt;AK$166,0,IF($E74+365&lt;AK$166,($C74/$BN$157)+($D74/$BN$158),((AK$166-$E74)/365)*(($C74/$BN$157)+($D74/$BN$158))))))</f>
        <v>0</v>
      </c>
      <c r="AL173" s="24">
        <f t="shared" si="52"/>
        <v>0</v>
      </c>
      <c r="AM173" s="24">
        <f t="shared" si="53"/>
        <v>0</v>
      </c>
      <c r="AN173" s="55">
        <f t="shared" si="54"/>
        <v>0</v>
      </c>
      <c r="AO173" s="55">
        <f t="shared" si="55"/>
        <v>0</v>
      </c>
      <c r="AP173" s="24"/>
      <c r="AQ173" s="24"/>
      <c r="AR173" s="24"/>
      <c r="AS173" s="24"/>
      <c r="AT173" s="24"/>
      <c r="AU173" s="24"/>
      <c r="AV173" s="24"/>
      <c r="AW173" s="24"/>
      <c r="AX173" s="24"/>
      <c r="AY173" s="24"/>
      <c r="AZ173" s="24"/>
      <c r="BA173" s="24"/>
      <c r="BB173" s="24"/>
      <c r="BC173" s="24"/>
      <c r="BD173" s="24"/>
      <c r="BE173" s="24">
        <f t="shared" si="41"/>
        <v>84.92</v>
      </c>
      <c r="BF173" s="59">
        <f t="shared" si="64"/>
        <v>47572</v>
      </c>
      <c r="BG173" s="36">
        <f>$BV$158+AG214+($C$64-$BV$158)</f>
        <v>46</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9"/>
        <v>130.9</v>
      </c>
      <c r="CJ173" s="14">
        <f t="shared" si="60"/>
        <v>246.21</v>
      </c>
    </row>
    <row r="174" spans="7:88">
      <c r="G174" s="12">
        <f t="shared" si="42"/>
        <v>0</v>
      </c>
      <c r="H174" s="12">
        <f t="shared" si="43"/>
        <v>0</v>
      </c>
      <c r="I174" s="12">
        <f t="shared" si="43"/>
        <v>0</v>
      </c>
      <c r="J174" s="12">
        <f t="shared" si="43"/>
        <v>0</v>
      </c>
      <c r="K174" s="12">
        <f t="shared" si="44"/>
        <v>0</v>
      </c>
      <c r="L174" s="12">
        <f t="shared" si="45"/>
        <v>0</v>
      </c>
      <c r="M174" s="12">
        <f t="shared" si="45"/>
        <v>0</v>
      </c>
      <c r="N174" s="12">
        <f t="shared" si="45"/>
        <v>0</v>
      </c>
      <c r="O174" s="12">
        <f t="shared" si="46"/>
        <v>0</v>
      </c>
      <c r="P174" s="12">
        <f t="shared" si="47"/>
        <v>0</v>
      </c>
      <c r="Q174" s="12">
        <f t="shared" si="47"/>
        <v>0</v>
      </c>
      <c r="T174" s="61"/>
      <c r="U174" s="61"/>
      <c r="V174" s="61"/>
      <c r="W174" s="53">
        <f t="shared" si="48"/>
        <v>0</v>
      </c>
      <c r="X174" s="54" t="e">
        <f t="shared" si="49"/>
        <v>#DIV/0!</v>
      </c>
      <c r="Y174" s="25">
        <f t="shared" si="56"/>
        <v>0</v>
      </c>
      <c r="Z174" s="54">
        <f t="shared" si="61"/>
        <v>0</v>
      </c>
      <c r="AA174" s="54">
        <f t="shared" si="50"/>
        <v>0</v>
      </c>
      <c r="AB174" s="54">
        <f t="shared" si="50"/>
        <v>0</v>
      </c>
      <c r="AC174" s="54">
        <f t="shared" si="50"/>
        <v>0</v>
      </c>
      <c r="AD174" s="54">
        <f t="shared" si="50"/>
        <v>0</v>
      </c>
      <c r="AE174" s="54">
        <f t="shared" si="50"/>
        <v>0</v>
      </c>
      <c r="AF174" s="54">
        <f t="shared" si="50"/>
        <v>0</v>
      </c>
      <c r="AG174" s="54">
        <f t="shared" si="50"/>
        <v>0</v>
      </c>
      <c r="AH174" s="54">
        <f t="shared" si="50"/>
        <v>0</v>
      </c>
      <c r="AI174" s="54">
        <f t="shared" si="50"/>
        <v>0</v>
      </c>
      <c r="AJ174" s="54">
        <f t="shared" si="50"/>
        <v>0</v>
      </c>
      <c r="AK174" s="54">
        <f t="shared" ref="AK174" si="67">IF($E75+365&lt;$C$56,0,IF($E75&lt;$C$56,(($E75+365-$C$56)/365)*(($C75/$BN$157)+($D75/$BN$158)),IF($E75&gt;AK$166,0,IF($E75+365&lt;AK$166,($C75/$BN$157)+($D75/$BN$158),((AK$166-$E75)/365)*(($C75/$BN$157)+($D75/$BN$158))))))</f>
        <v>0</v>
      </c>
      <c r="AL174" s="24">
        <f t="shared" si="52"/>
        <v>0</v>
      </c>
      <c r="AM174" s="24">
        <f t="shared" si="53"/>
        <v>0</v>
      </c>
      <c r="AN174" s="55">
        <f t="shared" si="54"/>
        <v>0</v>
      </c>
      <c r="AO174" s="55">
        <f t="shared" si="55"/>
        <v>0</v>
      </c>
      <c r="AP174" s="24"/>
      <c r="AQ174" s="24"/>
      <c r="AR174" s="24"/>
      <c r="AS174" s="24"/>
      <c r="AT174" s="24"/>
      <c r="AU174" s="24"/>
      <c r="AV174" s="24"/>
      <c r="AW174" s="24"/>
      <c r="AX174" s="24"/>
      <c r="AY174" s="24"/>
      <c r="AZ174" s="24"/>
      <c r="BA174" s="24"/>
      <c r="BB174" s="24"/>
      <c r="BC174" s="24"/>
      <c r="BD174" s="24"/>
      <c r="BE174" s="24">
        <f t="shared" si="41"/>
        <v>84.92</v>
      </c>
      <c r="BF174" s="59">
        <f t="shared" si="64"/>
        <v>47937</v>
      </c>
      <c r="BG174" s="36">
        <f>$BV$158+AH214+($C$64-$BV$158)</f>
        <v>46</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9"/>
        <v>146.22999999999999</v>
      </c>
      <c r="CJ174" s="14">
        <f t="shared" si="60"/>
        <v>275.38</v>
      </c>
    </row>
    <row r="175" spans="7:88">
      <c r="G175" s="12">
        <f t="shared" si="42"/>
        <v>0</v>
      </c>
      <c r="H175" s="12">
        <f t="shared" si="43"/>
        <v>0</v>
      </c>
      <c r="I175" s="12">
        <f t="shared" si="43"/>
        <v>0</v>
      </c>
      <c r="J175" s="12">
        <f t="shared" si="43"/>
        <v>0</v>
      </c>
      <c r="K175" s="12">
        <f t="shared" si="44"/>
        <v>0</v>
      </c>
      <c r="L175" s="12">
        <f t="shared" si="45"/>
        <v>0</v>
      </c>
      <c r="M175" s="12">
        <f t="shared" si="45"/>
        <v>0</v>
      </c>
      <c r="N175" s="12">
        <f t="shared" si="45"/>
        <v>0</v>
      </c>
      <c r="O175" s="12">
        <f t="shared" si="46"/>
        <v>0</v>
      </c>
      <c r="P175" s="12">
        <f t="shared" si="47"/>
        <v>0</v>
      </c>
      <c r="Q175" s="12">
        <f t="shared" si="47"/>
        <v>0</v>
      </c>
      <c r="T175" s="61"/>
      <c r="U175" s="61"/>
      <c r="V175" s="61"/>
      <c r="W175" s="53">
        <f t="shared" si="48"/>
        <v>0</v>
      </c>
      <c r="X175" s="54" t="e">
        <f t="shared" si="49"/>
        <v>#DIV/0!</v>
      </c>
      <c r="Y175" s="25">
        <f t="shared" si="56"/>
        <v>0</v>
      </c>
      <c r="Z175" s="54">
        <f t="shared" si="61"/>
        <v>0</v>
      </c>
      <c r="AA175" s="54">
        <f t="shared" si="50"/>
        <v>0</v>
      </c>
      <c r="AB175" s="54">
        <f t="shared" si="50"/>
        <v>0</v>
      </c>
      <c r="AC175" s="54">
        <f t="shared" si="50"/>
        <v>0</v>
      </c>
      <c r="AD175" s="54">
        <f t="shared" si="50"/>
        <v>0</v>
      </c>
      <c r="AE175" s="54">
        <f t="shared" si="50"/>
        <v>0</v>
      </c>
      <c r="AF175" s="54">
        <f t="shared" si="50"/>
        <v>0</v>
      </c>
      <c r="AG175" s="54">
        <f t="shared" si="50"/>
        <v>0</v>
      </c>
      <c r="AH175" s="54">
        <f t="shared" si="50"/>
        <v>0</v>
      </c>
      <c r="AI175" s="54">
        <f t="shared" si="50"/>
        <v>0</v>
      </c>
      <c r="AJ175" s="54">
        <f t="shared" si="50"/>
        <v>0</v>
      </c>
      <c r="AK175" s="54">
        <f t="shared" ref="AK175" si="68">IF($E76+365&lt;$C$56,0,IF($E76&lt;$C$56,(($E76+365-$C$56)/365)*(($C76/$BN$157)+($D76/$BN$158)),IF($E76&gt;AK$166,0,IF($E76+365&lt;AK$166,($C76/$BN$157)+($D76/$BN$158),((AK$166-$E76)/365)*(($C76/$BN$157)+($D76/$BN$158))))))</f>
        <v>0</v>
      </c>
      <c r="AL175" s="24">
        <f t="shared" si="52"/>
        <v>0</v>
      </c>
      <c r="AM175" s="24">
        <f t="shared" si="53"/>
        <v>0</v>
      </c>
      <c r="AN175" s="55">
        <f t="shared" si="54"/>
        <v>0</v>
      </c>
      <c r="AO175" s="55">
        <f t="shared" si="55"/>
        <v>0</v>
      </c>
      <c r="AP175" s="24"/>
      <c r="AQ175" s="24"/>
      <c r="AR175" s="24"/>
      <c r="AS175" s="24"/>
      <c r="AT175" s="24"/>
      <c r="AU175" s="24"/>
      <c r="AV175" s="24"/>
      <c r="AW175" s="24"/>
      <c r="AX175" s="24"/>
      <c r="AY175" s="24"/>
      <c r="AZ175" s="24"/>
      <c r="BA175" s="24"/>
      <c r="BB175" s="24"/>
      <c r="BC175" s="24"/>
      <c r="BD175" s="24"/>
      <c r="BE175" s="24">
        <f t="shared" si="41"/>
        <v>84.92</v>
      </c>
      <c r="BF175" s="59">
        <f t="shared" si="64"/>
        <v>48302</v>
      </c>
      <c r="BG175" s="36">
        <f>$BV$158+AI214+($C$64-$BV$158)</f>
        <v>46</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9"/>
        <v>161.56</v>
      </c>
      <c r="CJ175" s="14">
        <f t="shared" si="60"/>
        <v>304.55</v>
      </c>
    </row>
    <row r="176" spans="7:88">
      <c r="G176" s="12">
        <f t="shared" si="42"/>
        <v>0</v>
      </c>
      <c r="H176" s="12">
        <f t="shared" si="43"/>
        <v>0</v>
      </c>
      <c r="I176" s="12">
        <f t="shared" si="43"/>
        <v>0</v>
      </c>
      <c r="J176" s="12">
        <f t="shared" si="43"/>
        <v>0</v>
      </c>
      <c r="K176" s="12">
        <f t="shared" si="44"/>
        <v>0</v>
      </c>
      <c r="L176" s="12">
        <f t="shared" si="45"/>
        <v>0</v>
      </c>
      <c r="M176" s="12">
        <f t="shared" si="45"/>
        <v>0</v>
      </c>
      <c r="N176" s="12">
        <f t="shared" si="45"/>
        <v>0</v>
      </c>
      <c r="O176" s="12">
        <f t="shared" si="46"/>
        <v>0</v>
      </c>
      <c r="P176" s="12">
        <f t="shared" si="47"/>
        <v>0</v>
      </c>
      <c r="Q176" s="12">
        <f t="shared" si="47"/>
        <v>0</v>
      </c>
      <c r="T176" s="61"/>
      <c r="U176" s="61"/>
      <c r="V176" s="61"/>
      <c r="W176" s="53">
        <f t="shared" si="48"/>
        <v>0</v>
      </c>
      <c r="X176" s="54" t="e">
        <f t="shared" si="49"/>
        <v>#DIV/0!</v>
      </c>
      <c r="Y176" s="25">
        <f t="shared" si="56"/>
        <v>0</v>
      </c>
      <c r="Z176" s="54">
        <f t="shared" si="61"/>
        <v>0</v>
      </c>
      <c r="AA176" s="54">
        <f t="shared" si="50"/>
        <v>0</v>
      </c>
      <c r="AB176" s="54">
        <f t="shared" si="50"/>
        <v>0</v>
      </c>
      <c r="AC176" s="54">
        <f t="shared" si="50"/>
        <v>0</v>
      </c>
      <c r="AD176" s="54">
        <f t="shared" si="50"/>
        <v>0</v>
      </c>
      <c r="AE176" s="54">
        <f t="shared" si="50"/>
        <v>0</v>
      </c>
      <c r="AF176" s="54">
        <f t="shared" si="50"/>
        <v>0</v>
      </c>
      <c r="AG176" s="54">
        <f t="shared" si="50"/>
        <v>0</v>
      </c>
      <c r="AH176" s="54">
        <f t="shared" si="50"/>
        <v>0</v>
      </c>
      <c r="AI176" s="54">
        <f t="shared" si="50"/>
        <v>0</v>
      </c>
      <c r="AJ176" s="54">
        <f t="shared" si="50"/>
        <v>0</v>
      </c>
      <c r="AK176" s="54">
        <f t="shared" ref="AK176" si="69">IF($E77+365&lt;$C$56,0,IF($E77&lt;$C$56,(($E77+365-$C$56)/365)*(($C77/$BN$157)+($D77/$BN$158)),IF($E77&gt;AK$166,0,IF($E77+365&lt;AK$166,($C77/$BN$157)+($D77/$BN$158),((AK$166-$E77)/365)*(($C77/$BN$157)+($D77/$BN$158))))))</f>
        <v>0</v>
      </c>
      <c r="AL176" s="24">
        <f t="shared" si="52"/>
        <v>0</v>
      </c>
      <c r="AM176" s="24">
        <f t="shared" si="53"/>
        <v>0</v>
      </c>
      <c r="AN176" s="55">
        <f t="shared" si="54"/>
        <v>0</v>
      </c>
      <c r="AO176" s="55">
        <f t="shared" si="55"/>
        <v>0</v>
      </c>
      <c r="AP176" s="24"/>
      <c r="AQ176" s="24"/>
      <c r="AR176" s="24"/>
      <c r="AS176" s="24"/>
      <c r="AT176" s="24"/>
      <c r="AU176" s="24"/>
      <c r="AV176" s="24"/>
      <c r="AW176" s="24"/>
      <c r="AX176" s="24"/>
      <c r="AY176" s="24"/>
      <c r="AZ176" s="24"/>
      <c r="BA176" s="24"/>
      <c r="BB176" s="24"/>
      <c r="BC176" s="24"/>
      <c r="BD176" s="24"/>
      <c r="BE176" s="24">
        <f t="shared" si="41"/>
        <v>84.92</v>
      </c>
      <c r="BF176" s="59">
        <f t="shared" si="64"/>
        <v>48667</v>
      </c>
      <c r="BG176" s="36">
        <f>$BV$158+AJ214+($C$64-$BV$158)</f>
        <v>48.210634889016028</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9"/>
        <v>176.89</v>
      </c>
      <c r="CJ176" s="14">
        <f t="shared" si="60"/>
        <v>333.72</v>
      </c>
    </row>
    <row r="177" spans="7:88">
      <c r="G177" s="12">
        <f t="shared" si="42"/>
        <v>0</v>
      </c>
      <c r="H177" s="12">
        <f t="shared" si="43"/>
        <v>0</v>
      </c>
      <c r="I177" s="12">
        <f t="shared" si="43"/>
        <v>0</v>
      </c>
      <c r="J177" s="12">
        <f t="shared" si="43"/>
        <v>0</v>
      </c>
      <c r="K177" s="12">
        <f t="shared" si="44"/>
        <v>0</v>
      </c>
      <c r="L177" s="12">
        <f t="shared" si="45"/>
        <v>0</v>
      </c>
      <c r="M177" s="12">
        <f t="shared" si="45"/>
        <v>0</v>
      </c>
      <c r="N177" s="12">
        <f t="shared" si="45"/>
        <v>0</v>
      </c>
      <c r="O177" s="12">
        <f t="shared" si="46"/>
        <v>0</v>
      </c>
      <c r="P177" s="12">
        <f t="shared" si="47"/>
        <v>0</v>
      </c>
      <c r="Q177" s="12">
        <f t="shared" si="47"/>
        <v>0</v>
      </c>
      <c r="T177" s="61"/>
      <c r="U177" s="61"/>
      <c r="V177" s="61"/>
      <c r="W177" s="53">
        <f t="shared" si="48"/>
        <v>0</v>
      </c>
      <c r="X177" s="54" t="e">
        <f t="shared" si="49"/>
        <v>#DIV/0!</v>
      </c>
      <c r="Y177" s="25">
        <f t="shared" si="56"/>
        <v>0</v>
      </c>
      <c r="Z177" s="54">
        <f t="shared" si="61"/>
        <v>0</v>
      </c>
      <c r="AA177" s="54">
        <f t="shared" si="50"/>
        <v>0</v>
      </c>
      <c r="AB177" s="54">
        <f t="shared" si="50"/>
        <v>0</v>
      </c>
      <c r="AC177" s="54">
        <f t="shared" si="50"/>
        <v>0</v>
      </c>
      <c r="AD177" s="54">
        <f t="shared" si="50"/>
        <v>0</v>
      </c>
      <c r="AE177" s="54">
        <f t="shared" si="50"/>
        <v>0</v>
      </c>
      <c r="AF177" s="54">
        <f t="shared" si="50"/>
        <v>0</v>
      </c>
      <c r="AG177" s="54">
        <f t="shared" si="50"/>
        <v>0</v>
      </c>
      <c r="AH177" s="54">
        <f t="shared" si="50"/>
        <v>0</v>
      </c>
      <c r="AI177" s="54">
        <f t="shared" si="50"/>
        <v>0</v>
      </c>
      <c r="AJ177" s="54">
        <f t="shared" si="50"/>
        <v>0</v>
      </c>
      <c r="AK177" s="54">
        <f t="shared" ref="AK177" si="70">IF($E78+365&lt;$C$56,0,IF($E78&lt;$C$56,(($E78+365-$C$56)/365)*(($C78/$BN$157)+($D78/$BN$158)),IF($E78&gt;AK$166,0,IF($E78+365&lt;AK$166,($C78/$BN$157)+($D78/$BN$158),((AK$166-$E78)/365)*(($C78/$BN$157)+($D78/$BN$158))))))</f>
        <v>0</v>
      </c>
      <c r="AL177" s="24">
        <f t="shared" si="52"/>
        <v>0</v>
      </c>
      <c r="AM177" s="24">
        <f t="shared" si="53"/>
        <v>0</v>
      </c>
      <c r="AN177" s="55">
        <f t="shared" si="54"/>
        <v>0</v>
      </c>
      <c r="AO177" s="55">
        <f t="shared" si="55"/>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9"/>
        <v>192.21</v>
      </c>
      <c r="CJ177" s="14">
        <f t="shared" si="60"/>
        <v>362.89</v>
      </c>
    </row>
    <row r="178" spans="7:88">
      <c r="G178" s="12">
        <f t="shared" si="42"/>
        <v>0</v>
      </c>
      <c r="H178" s="12">
        <f t="shared" si="43"/>
        <v>0</v>
      </c>
      <c r="I178" s="12">
        <f t="shared" si="43"/>
        <v>0</v>
      </c>
      <c r="J178" s="12">
        <f t="shared" si="43"/>
        <v>0</v>
      </c>
      <c r="K178" s="12">
        <f t="shared" si="44"/>
        <v>0</v>
      </c>
      <c r="L178" s="12">
        <f t="shared" si="45"/>
        <v>0</v>
      </c>
      <c r="M178" s="12">
        <f t="shared" si="45"/>
        <v>0</v>
      </c>
      <c r="N178" s="12">
        <f t="shared" si="45"/>
        <v>0</v>
      </c>
      <c r="O178" s="12">
        <f t="shared" si="46"/>
        <v>0</v>
      </c>
      <c r="P178" s="12">
        <f t="shared" si="47"/>
        <v>0</v>
      </c>
      <c r="Q178" s="12">
        <f t="shared" si="47"/>
        <v>0</v>
      </c>
      <c r="T178" s="61"/>
      <c r="U178" s="61"/>
      <c r="V178" s="61"/>
      <c r="W178" s="53">
        <f t="shared" si="48"/>
        <v>0</v>
      </c>
      <c r="X178" s="54" t="e">
        <f t="shared" si="49"/>
        <v>#DIV/0!</v>
      </c>
      <c r="Y178" s="25">
        <f t="shared" si="56"/>
        <v>0</v>
      </c>
      <c r="Z178" s="54">
        <f t="shared" si="61"/>
        <v>0</v>
      </c>
      <c r="AA178" s="54">
        <f t="shared" si="50"/>
        <v>0</v>
      </c>
      <c r="AB178" s="54">
        <f t="shared" si="50"/>
        <v>0</v>
      </c>
      <c r="AC178" s="54">
        <f>IF($E79+365&lt;$C$56,0,IF($E79&lt;$C$56,(($E79+365-$C$56)/365)*(($C79/$BN$157)+($D79/$BN$158)),IF($E79&gt;AC$166,0,IF($E79+365&lt;AC$166,($C79/$BN$157)+($D79/$BN$158),((AC$166-$E79)/365)*(($C79/$BN$157)+($D79/$BN$158))))))</f>
        <v>0</v>
      </c>
      <c r="AD178" s="54">
        <f t="shared" si="50"/>
        <v>0</v>
      </c>
      <c r="AE178" s="54">
        <f t="shared" si="50"/>
        <v>0</v>
      </c>
      <c r="AF178" s="54">
        <f t="shared" si="50"/>
        <v>0</v>
      </c>
      <c r="AG178" s="54">
        <f t="shared" si="50"/>
        <v>0</v>
      </c>
      <c r="AH178" s="54">
        <f t="shared" si="50"/>
        <v>0</v>
      </c>
      <c r="AI178" s="54">
        <f t="shared" si="50"/>
        <v>0</v>
      </c>
      <c r="AJ178" s="54">
        <f t="shared" si="50"/>
        <v>0</v>
      </c>
      <c r="AK178" s="54">
        <f t="shared" ref="AK178" si="71">IF($E79+365&lt;$C$56,0,IF($E79&lt;$C$56,(($E79+365-$C$56)/365)*(($C79/$BN$157)+($D79/$BN$158)),IF($E79&gt;AK$166,0,IF($E79+365&lt;AK$166,($C79/$BN$157)+($D79/$BN$158),((AK$166-$E79)/365)*(($C79/$BN$157)+($D79/$BN$158))))))</f>
        <v>0</v>
      </c>
      <c r="AL178" s="24">
        <f t="shared" si="52"/>
        <v>0</v>
      </c>
      <c r="AM178" s="24">
        <f t="shared" si="53"/>
        <v>0</v>
      </c>
      <c r="AN178" s="55">
        <f t="shared" si="54"/>
        <v>0</v>
      </c>
      <c r="AO178" s="55">
        <f t="shared" si="55"/>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2"/>
        <v>0</v>
      </c>
      <c r="H179" s="12">
        <f t="shared" si="43"/>
        <v>0</v>
      </c>
      <c r="I179" s="12">
        <f t="shared" si="43"/>
        <v>0</v>
      </c>
      <c r="J179" s="12">
        <f t="shared" si="43"/>
        <v>0</v>
      </c>
      <c r="K179" s="12">
        <f t="shared" si="44"/>
        <v>0</v>
      </c>
      <c r="L179" s="12">
        <f t="shared" si="45"/>
        <v>0</v>
      </c>
      <c r="M179" s="12">
        <f t="shared" si="45"/>
        <v>0</v>
      </c>
      <c r="N179" s="12">
        <f t="shared" si="45"/>
        <v>0</v>
      </c>
      <c r="O179" s="12">
        <f t="shared" si="46"/>
        <v>0</v>
      </c>
      <c r="P179" s="12">
        <f t="shared" si="47"/>
        <v>0</v>
      </c>
      <c r="Q179" s="12">
        <f t="shared" si="47"/>
        <v>0</v>
      </c>
      <c r="T179" s="61"/>
      <c r="U179" s="61"/>
      <c r="V179" s="61"/>
      <c r="W179" s="53">
        <f t="shared" si="48"/>
        <v>0</v>
      </c>
      <c r="X179" s="54" t="e">
        <f t="shared" si="49"/>
        <v>#DIV/0!</v>
      </c>
      <c r="Y179" s="25">
        <f t="shared" si="56"/>
        <v>0</v>
      </c>
      <c r="Z179" s="54">
        <f t="shared" si="61"/>
        <v>0</v>
      </c>
      <c r="AA179" s="54">
        <f t="shared" si="50"/>
        <v>0</v>
      </c>
      <c r="AB179" s="54">
        <f t="shared" si="50"/>
        <v>0</v>
      </c>
      <c r="AC179" s="54">
        <f t="shared" si="50"/>
        <v>0</v>
      </c>
      <c r="AD179" s="54">
        <f t="shared" si="50"/>
        <v>0</v>
      </c>
      <c r="AE179" s="54">
        <f t="shared" si="50"/>
        <v>0</v>
      </c>
      <c r="AF179" s="54">
        <f t="shared" si="50"/>
        <v>0</v>
      </c>
      <c r="AG179" s="54">
        <f t="shared" si="50"/>
        <v>0</v>
      </c>
      <c r="AH179" s="54">
        <f t="shared" si="50"/>
        <v>0</v>
      </c>
      <c r="AI179" s="54">
        <f t="shared" si="50"/>
        <v>0</v>
      </c>
      <c r="AJ179" s="54">
        <f t="shared" si="50"/>
        <v>0</v>
      </c>
      <c r="AK179" s="54">
        <f t="shared" ref="AK179" si="72">IF($E80+365&lt;$C$56,0,IF($E80&lt;$C$56,(($E80+365-$C$56)/365)*(($C80/$BN$157)+($D80/$BN$158)),IF($E80&gt;AK$166,0,IF($E80+365&lt;AK$166,($C80/$BN$157)+($D80/$BN$158),((AK$166-$E80)/365)*(($C80/$BN$157)+($D80/$BN$158))))))</f>
        <v>0</v>
      </c>
      <c r="AL179" s="24">
        <f t="shared" si="52"/>
        <v>0</v>
      </c>
      <c r="AM179" s="24">
        <f t="shared" si="53"/>
        <v>0</v>
      </c>
      <c r="AN179" s="55">
        <f t="shared" si="54"/>
        <v>0</v>
      </c>
      <c r="AO179" s="55">
        <f t="shared" si="55"/>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2"/>
        <v>0</v>
      </c>
      <c r="H180" s="12">
        <f t="shared" si="43"/>
        <v>0</v>
      </c>
      <c r="I180" s="12">
        <f t="shared" si="43"/>
        <v>0</v>
      </c>
      <c r="J180" s="12">
        <f t="shared" si="43"/>
        <v>0</v>
      </c>
      <c r="K180" s="12">
        <f t="shared" si="44"/>
        <v>0</v>
      </c>
      <c r="L180" s="12">
        <f t="shared" si="45"/>
        <v>0</v>
      </c>
      <c r="M180" s="12">
        <f t="shared" si="45"/>
        <v>0</v>
      </c>
      <c r="N180" s="12">
        <f t="shared" si="45"/>
        <v>0</v>
      </c>
      <c r="O180" s="12">
        <f t="shared" si="46"/>
        <v>0</v>
      </c>
      <c r="P180" s="12">
        <f t="shared" si="47"/>
        <v>0</v>
      </c>
      <c r="Q180" s="12">
        <f t="shared" si="47"/>
        <v>0</v>
      </c>
      <c r="T180" s="61"/>
      <c r="U180" s="61"/>
      <c r="V180" s="61"/>
      <c r="W180" s="53">
        <f t="shared" si="48"/>
        <v>0</v>
      </c>
      <c r="X180" s="54" t="e">
        <f t="shared" si="49"/>
        <v>#DIV/0!</v>
      </c>
      <c r="Y180" s="25">
        <f t="shared" si="56"/>
        <v>0</v>
      </c>
      <c r="Z180" s="54">
        <f t="shared" si="61"/>
        <v>0</v>
      </c>
      <c r="AA180" s="54">
        <f t="shared" si="50"/>
        <v>0</v>
      </c>
      <c r="AB180" s="54">
        <f t="shared" si="50"/>
        <v>0</v>
      </c>
      <c r="AC180" s="54">
        <f t="shared" si="50"/>
        <v>0</v>
      </c>
      <c r="AD180" s="54">
        <f t="shared" si="50"/>
        <v>0</v>
      </c>
      <c r="AE180" s="54">
        <f t="shared" si="50"/>
        <v>0</v>
      </c>
      <c r="AF180" s="54">
        <f t="shared" si="50"/>
        <v>0</v>
      </c>
      <c r="AG180" s="54">
        <f t="shared" si="50"/>
        <v>0</v>
      </c>
      <c r="AH180" s="54">
        <f t="shared" si="50"/>
        <v>0</v>
      </c>
      <c r="AI180" s="54">
        <f t="shared" si="50"/>
        <v>0</v>
      </c>
      <c r="AJ180" s="54">
        <f t="shared" si="50"/>
        <v>0</v>
      </c>
      <c r="AK180" s="54">
        <f t="shared" ref="AK180" si="73">IF($E81+365&lt;$C$56,0,IF($E81&lt;$C$56,(($E81+365-$C$56)/365)*(($C81/$BN$157)+($D81/$BN$158)),IF($E81&gt;AK$166,0,IF($E81+365&lt;AK$166,($C81/$BN$157)+($D81/$BN$158),((AK$166-$E81)/365)*(($C81/$BN$157)+($D81/$BN$158))))))</f>
        <v>0</v>
      </c>
      <c r="AL180" s="24">
        <f t="shared" si="52"/>
        <v>0</v>
      </c>
      <c r="AM180" s="24">
        <f t="shared" si="53"/>
        <v>0</v>
      </c>
      <c r="AN180" s="55">
        <f t="shared" si="54"/>
        <v>0</v>
      </c>
      <c r="AO180" s="55">
        <f t="shared" si="55"/>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2"/>
        <v>0</v>
      </c>
      <c r="H181" s="12">
        <f t="shared" si="43"/>
        <v>0</v>
      </c>
      <c r="I181" s="12">
        <f t="shared" si="43"/>
        <v>0</v>
      </c>
      <c r="J181" s="12">
        <f t="shared" si="43"/>
        <v>0</v>
      </c>
      <c r="K181" s="12">
        <f t="shared" si="44"/>
        <v>0</v>
      </c>
      <c r="L181" s="12">
        <f t="shared" si="45"/>
        <v>0</v>
      </c>
      <c r="M181" s="12">
        <f t="shared" si="45"/>
        <v>0</v>
      </c>
      <c r="N181" s="12">
        <f t="shared" si="45"/>
        <v>0</v>
      </c>
      <c r="O181" s="12">
        <f t="shared" si="46"/>
        <v>0</v>
      </c>
      <c r="P181" s="12">
        <f t="shared" si="47"/>
        <v>0</v>
      </c>
      <c r="Q181" s="12">
        <f t="shared" si="47"/>
        <v>0</v>
      </c>
      <c r="T181" s="61"/>
      <c r="U181" s="61"/>
      <c r="V181" s="61"/>
      <c r="W181" s="53">
        <f t="shared" si="48"/>
        <v>0</v>
      </c>
      <c r="X181" s="54" t="e">
        <f t="shared" si="49"/>
        <v>#DIV/0!</v>
      </c>
      <c r="Y181" s="25">
        <f t="shared" si="56"/>
        <v>0</v>
      </c>
      <c r="Z181" s="54">
        <f t="shared" si="61"/>
        <v>0</v>
      </c>
      <c r="AA181" s="54">
        <f t="shared" si="50"/>
        <v>0</v>
      </c>
      <c r="AB181" s="54">
        <f t="shared" si="50"/>
        <v>0</v>
      </c>
      <c r="AC181" s="54">
        <f t="shared" si="50"/>
        <v>0</v>
      </c>
      <c r="AD181" s="54">
        <f t="shared" si="50"/>
        <v>0</v>
      </c>
      <c r="AE181" s="54">
        <f t="shared" si="50"/>
        <v>0</v>
      </c>
      <c r="AF181" s="54">
        <f t="shared" si="50"/>
        <v>0</v>
      </c>
      <c r="AG181" s="54">
        <f t="shared" si="50"/>
        <v>0</v>
      </c>
      <c r="AH181" s="54">
        <f t="shared" si="50"/>
        <v>0</v>
      </c>
      <c r="AI181" s="54">
        <f t="shared" si="50"/>
        <v>0</v>
      </c>
      <c r="AJ181" s="54">
        <f t="shared" si="50"/>
        <v>0</v>
      </c>
      <c r="AK181" s="54">
        <f t="shared" ref="AK181" si="74">IF($E82+365&lt;$C$56,0,IF($E82&lt;$C$56,(($E82+365-$C$56)/365)*(($C82/$BN$157)+($D82/$BN$158)),IF($E82&gt;AK$166,0,IF($E82+365&lt;AK$166,($C82/$BN$157)+($D82/$BN$158),((AK$166-$E82)/365)*(($C82/$BN$157)+($D82/$BN$158))))))</f>
        <v>0</v>
      </c>
      <c r="AL181" s="24">
        <f t="shared" si="52"/>
        <v>0</v>
      </c>
      <c r="AM181" s="24">
        <f t="shared" si="53"/>
        <v>0</v>
      </c>
      <c r="AN181" s="55">
        <f t="shared" si="54"/>
        <v>0</v>
      </c>
      <c r="AO181" s="55">
        <f t="shared" si="55"/>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2"/>
        <v>0</v>
      </c>
      <c r="H182" s="12">
        <f t="shared" si="43"/>
        <v>0</v>
      </c>
      <c r="I182" s="12">
        <f t="shared" si="43"/>
        <v>0</v>
      </c>
      <c r="J182" s="12">
        <f t="shared" si="43"/>
        <v>0</v>
      </c>
      <c r="K182" s="12">
        <f t="shared" si="44"/>
        <v>0</v>
      </c>
      <c r="L182" s="12">
        <f t="shared" si="45"/>
        <v>0</v>
      </c>
      <c r="M182" s="12">
        <f t="shared" si="45"/>
        <v>0</v>
      </c>
      <c r="N182" s="12">
        <f t="shared" si="45"/>
        <v>0</v>
      </c>
      <c r="O182" s="12">
        <f t="shared" si="46"/>
        <v>0</v>
      </c>
      <c r="P182" s="12">
        <f t="shared" si="47"/>
        <v>0</v>
      </c>
      <c r="Q182" s="12">
        <f t="shared" si="47"/>
        <v>0</v>
      </c>
      <c r="T182" s="61"/>
      <c r="U182" s="61"/>
      <c r="V182" s="61"/>
      <c r="W182" s="53">
        <f t="shared" si="48"/>
        <v>0</v>
      </c>
      <c r="X182" s="54" t="e">
        <f t="shared" si="49"/>
        <v>#DIV/0!</v>
      </c>
      <c r="Y182" s="25">
        <f t="shared" si="56"/>
        <v>0</v>
      </c>
      <c r="Z182" s="54">
        <f t="shared" si="61"/>
        <v>0</v>
      </c>
      <c r="AA182" s="54">
        <f t="shared" si="50"/>
        <v>0</v>
      </c>
      <c r="AB182" s="54">
        <f t="shared" si="50"/>
        <v>0</v>
      </c>
      <c r="AC182" s="54">
        <f t="shared" si="50"/>
        <v>0</v>
      </c>
      <c r="AD182" s="54">
        <f t="shared" si="50"/>
        <v>0</v>
      </c>
      <c r="AE182" s="54">
        <f t="shared" si="50"/>
        <v>0</v>
      </c>
      <c r="AF182" s="54">
        <f t="shared" si="50"/>
        <v>0</v>
      </c>
      <c r="AG182" s="54">
        <f t="shared" si="50"/>
        <v>0</v>
      </c>
      <c r="AH182" s="54">
        <f t="shared" si="50"/>
        <v>0</v>
      </c>
      <c r="AI182" s="54">
        <f t="shared" si="50"/>
        <v>0</v>
      </c>
      <c r="AJ182" s="54">
        <f t="shared" si="50"/>
        <v>0</v>
      </c>
      <c r="AK182" s="54">
        <f t="shared" ref="AK182" si="75">IF($E83+365&lt;$C$56,0,IF($E83&lt;$C$56,(($E83+365-$C$56)/365)*(($C83/$BN$157)+($D83/$BN$158)),IF($E83&gt;AK$166,0,IF($E83+365&lt;AK$166,($C83/$BN$157)+($D83/$BN$158),((AK$166-$E83)/365)*(($C83/$BN$157)+($D83/$BN$158))))))</f>
        <v>0</v>
      </c>
      <c r="AL182" s="24">
        <f t="shared" si="52"/>
        <v>0</v>
      </c>
      <c r="AM182" s="24">
        <f t="shared" si="53"/>
        <v>0</v>
      </c>
      <c r="AN182" s="55">
        <f t="shared" si="54"/>
        <v>0</v>
      </c>
      <c r="AO182" s="55">
        <f t="shared" si="55"/>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2"/>
        <v>0</v>
      </c>
      <c r="H183" s="12">
        <f t="shared" si="43"/>
        <v>0</v>
      </c>
      <c r="I183" s="12">
        <f t="shared" si="43"/>
        <v>0</v>
      </c>
      <c r="J183" s="12">
        <f t="shared" si="43"/>
        <v>0</v>
      </c>
      <c r="K183" s="12">
        <f t="shared" si="44"/>
        <v>0</v>
      </c>
      <c r="L183" s="12">
        <f t="shared" si="45"/>
        <v>0</v>
      </c>
      <c r="M183" s="12">
        <f t="shared" si="45"/>
        <v>0</v>
      </c>
      <c r="N183" s="12">
        <f t="shared" si="45"/>
        <v>0</v>
      </c>
      <c r="O183" s="12">
        <f t="shared" si="46"/>
        <v>0</v>
      </c>
      <c r="P183" s="12">
        <f t="shared" si="47"/>
        <v>0</v>
      </c>
      <c r="Q183" s="12">
        <f t="shared" si="47"/>
        <v>0</v>
      </c>
      <c r="T183" s="61"/>
      <c r="U183" s="61"/>
      <c r="V183" s="61"/>
      <c r="W183" s="53">
        <f t="shared" si="48"/>
        <v>0</v>
      </c>
      <c r="X183" s="54" t="e">
        <f t="shared" si="49"/>
        <v>#DIV/0!</v>
      </c>
      <c r="Y183" s="25">
        <f t="shared" si="56"/>
        <v>0</v>
      </c>
      <c r="Z183" s="54">
        <f t="shared" si="61"/>
        <v>0</v>
      </c>
      <c r="AA183" s="54">
        <f t="shared" ref="AA183:AJ198" si="76">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ref="AK183" si="77">IF($E84+365&lt;$C$56,0,IF($E84&lt;$C$56,(($E84+365-$C$56)/365)*(($C84/$BN$157)+($D84/$BN$158)),IF($E84&gt;AK$166,0,IF($E84+365&lt;AK$166,($C84/$BN$157)+($D84/$BN$158),((AK$166-$E84)/365)*(($C84/$BN$157)+($D84/$BN$158))))))</f>
        <v>0</v>
      </c>
      <c r="AL183" s="24">
        <f t="shared" si="52"/>
        <v>0</v>
      </c>
      <c r="AM183" s="24">
        <f t="shared" si="53"/>
        <v>0</v>
      </c>
      <c r="AN183" s="55">
        <f t="shared" si="54"/>
        <v>0</v>
      </c>
      <c r="AO183" s="55">
        <f t="shared" si="55"/>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2"/>
        <v>0</v>
      </c>
      <c r="H184" s="12">
        <f t="shared" si="43"/>
        <v>0</v>
      </c>
      <c r="I184" s="12">
        <f t="shared" si="43"/>
        <v>0</v>
      </c>
      <c r="J184" s="12">
        <f t="shared" si="43"/>
        <v>0</v>
      </c>
      <c r="K184" s="12">
        <f t="shared" si="44"/>
        <v>0</v>
      </c>
      <c r="L184" s="12">
        <f t="shared" si="45"/>
        <v>0</v>
      </c>
      <c r="M184" s="12">
        <f t="shared" si="45"/>
        <v>0</v>
      </c>
      <c r="N184" s="12">
        <f t="shared" si="45"/>
        <v>0</v>
      </c>
      <c r="O184" s="12">
        <f t="shared" si="46"/>
        <v>0</v>
      </c>
      <c r="P184" s="12">
        <f t="shared" si="47"/>
        <v>0</v>
      </c>
      <c r="Q184" s="12">
        <f t="shared" si="47"/>
        <v>0</v>
      </c>
      <c r="T184" s="61"/>
      <c r="U184" s="61"/>
      <c r="V184" s="61"/>
      <c r="W184" s="53">
        <f t="shared" si="48"/>
        <v>0</v>
      </c>
      <c r="X184" s="54" t="e">
        <f t="shared" si="49"/>
        <v>#DIV/0!</v>
      </c>
      <c r="Y184" s="25">
        <f t="shared" si="56"/>
        <v>0</v>
      </c>
      <c r="Z184" s="54">
        <f t="shared" si="61"/>
        <v>0</v>
      </c>
      <c r="AA184" s="54">
        <f t="shared" si="76"/>
        <v>0</v>
      </c>
      <c r="AB184" s="54">
        <f t="shared" si="76"/>
        <v>0</v>
      </c>
      <c r="AC184" s="54">
        <f t="shared" si="76"/>
        <v>0</v>
      </c>
      <c r="AD184" s="54">
        <f t="shared" si="76"/>
        <v>0</v>
      </c>
      <c r="AE184" s="54">
        <f t="shared" si="76"/>
        <v>0</v>
      </c>
      <c r="AF184" s="54">
        <f t="shared" si="76"/>
        <v>0</v>
      </c>
      <c r="AG184" s="54">
        <f t="shared" si="76"/>
        <v>0</v>
      </c>
      <c r="AH184" s="54">
        <f t="shared" si="76"/>
        <v>0</v>
      </c>
      <c r="AI184" s="54">
        <f t="shared" si="76"/>
        <v>0</v>
      </c>
      <c r="AJ184" s="54">
        <f t="shared" si="76"/>
        <v>0</v>
      </c>
      <c r="AK184" s="54">
        <f t="shared" ref="AK184" si="78">IF($E85+365&lt;$C$56,0,IF($E85&lt;$C$56,(($E85+365-$C$56)/365)*(($C85/$BN$157)+($D85/$BN$158)),IF($E85&gt;AK$166,0,IF($E85+365&lt;AK$166,($C85/$BN$157)+($D85/$BN$158),((AK$166-$E85)/365)*(($C85/$BN$157)+($D85/$BN$158))))))</f>
        <v>0</v>
      </c>
      <c r="AL184" s="24">
        <f t="shared" si="52"/>
        <v>0</v>
      </c>
      <c r="AM184" s="24">
        <f t="shared" si="53"/>
        <v>0</v>
      </c>
      <c r="AN184" s="55">
        <f t="shared" si="54"/>
        <v>0</v>
      </c>
      <c r="AO184" s="55">
        <f t="shared" si="55"/>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2"/>
        <v>0</v>
      </c>
      <c r="H185" s="12">
        <f t="shared" si="43"/>
        <v>0</v>
      </c>
      <c r="I185" s="12">
        <f t="shared" si="43"/>
        <v>0</v>
      </c>
      <c r="J185" s="12">
        <f t="shared" si="43"/>
        <v>0</v>
      </c>
      <c r="K185" s="12">
        <f t="shared" si="44"/>
        <v>0</v>
      </c>
      <c r="L185" s="12">
        <f t="shared" si="45"/>
        <v>0</v>
      </c>
      <c r="M185" s="12">
        <f t="shared" si="45"/>
        <v>0</v>
      </c>
      <c r="N185" s="12">
        <f t="shared" si="45"/>
        <v>0</v>
      </c>
      <c r="O185" s="12">
        <f t="shared" si="46"/>
        <v>0</v>
      </c>
      <c r="P185" s="12">
        <f t="shared" si="47"/>
        <v>0</v>
      </c>
      <c r="Q185" s="12">
        <f t="shared" si="47"/>
        <v>0</v>
      </c>
      <c r="T185" s="61"/>
      <c r="U185" s="61"/>
      <c r="V185" s="61"/>
      <c r="W185" s="53">
        <f t="shared" si="48"/>
        <v>0</v>
      </c>
      <c r="X185" s="54" t="e">
        <f t="shared" si="49"/>
        <v>#DIV/0!</v>
      </c>
      <c r="Y185" s="25">
        <f t="shared" si="56"/>
        <v>0</v>
      </c>
      <c r="Z185" s="54">
        <f t="shared" si="61"/>
        <v>0</v>
      </c>
      <c r="AA185" s="54">
        <f t="shared" si="76"/>
        <v>0</v>
      </c>
      <c r="AB185" s="54">
        <f t="shared" si="76"/>
        <v>0</v>
      </c>
      <c r="AC185" s="54">
        <f t="shared" si="76"/>
        <v>0</v>
      </c>
      <c r="AD185" s="54">
        <f t="shared" si="76"/>
        <v>0</v>
      </c>
      <c r="AE185" s="54">
        <f t="shared" si="76"/>
        <v>0</v>
      </c>
      <c r="AF185" s="54">
        <f t="shared" si="76"/>
        <v>0</v>
      </c>
      <c r="AG185" s="54">
        <f t="shared" si="76"/>
        <v>0</v>
      </c>
      <c r="AH185" s="54">
        <f t="shared" si="76"/>
        <v>0</v>
      </c>
      <c r="AI185" s="54">
        <f t="shared" si="76"/>
        <v>0</v>
      </c>
      <c r="AJ185" s="54">
        <f t="shared" si="76"/>
        <v>0</v>
      </c>
      <c r="AK185" s="54">
        <f t="shared" ref="AK185" si="79">IF($E86+365&lt;$C$56,0,IF($E86&lt;$C$56,(($E86+365-$C$56)/365)*(($C86/$BN$157)+($D86/$BN$158)),IF($E86&gt;AK$166,0,IF($E86+365&lt;AK$166,($C86/$BN$157)+($D86/$BN$158),((AK$166-$E86)/365)*(($C86/$BN$157)+($D86/$BN$158))))))</f>
        <v>0</v>
      </c>
      <c r="AL185" s="24">
        <f t="shared" si="52"/>
        <v>0</v>
      </c>
      <c r="AM185" s="24">
        <f t="shared" si="53"/>
        <v>0</v>
      </c>
      <c r="AN185" s="55">
        <f t="shared" si="54"/>
        <v>0</v>
      </c>
      <c r="AO185" s="55">
        <f t="shared" si="55"/>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2"/>
        <v>0</v>
      </c>
      <c r="H186" s="12">
        <f t="shared" si="43"/>
        <v>0</v>
      </c>
      <c r="I186" s="12">
        <f t="shared" si="43"/>
        <v>0</v>
      </c>
      <c r="J186" s="12">
        <f t="shared" si="43"/>
        <v>0</v>
      </c>
      <c r="K186" s="12">
        <f t="shared" si="44"/>
        <v>0</v>
      </c>
      <c r="L186" s="12">
        <f t="shared" si="45"/>
        <v>0</v>
      </c>
      <c r="M186" s="12">
        <f t="shared" si="45"/>
        <v>0</v>
      </c>
      <c r="N186" s="12">
        <f t="shared" si="45"/>
        <v>0</v>
      </c>
      <c r="O186" s="12">
        <f t="shared" si="46"/>
        <v>0</v>
      </c>
      <c r="P186" s="12">
        <f t="shared" si="47"/>
        <v>0</v>
      </c>
      <c r="Q186" s="12">
        <f t="shared" si="47"/>
        <v>0</v>
      </c>
      <c r="T186" s="61"/>
      <c r="U186" s="61"/>
      <c r="V186" s="61"/>
      <c r="W186" s="53">
        <f t="shared" si="48"/>
        <v>0</v>
      </c>
      <c r="X186" s="54" t="e">
        <f t="shared" si="49"/>
        <v>#DIV/0!</v>
      </c>
      <c r="Y186" s="25">
        <f t="shared" si="56"/>
        <v>0</v>
      </c>
      <c r="Z186" s="54">
        <f t="shared" si="61"/>
        <v>0</v>
      </c>
      <c r="AA186" s="54">
        <f t="shared" si="76"/>
        <v>0</v>
      </c>
      <c r="AB186" s="54">
        <f t="shared" si="76"/>
        <v>0</v>
      </c>
      <c r="AC186" s="54">
        <f t="shared" si="76"/>
        <v>0</v>
      </c>
      <c r="AD186" s="54">
        <f t="shared" si="76"/>
        <v>0</v>
      </c>
      <c r="AE186" s="54">
        <f t="shared" si="76"/>
        <v>0</v>
      </c>
      <c r="AF186" s="54">
        <f t="shared" si="76"/>
        <v>0</v>
      </c>
      <c r="AG186" s="54">
        <f t="shared" si="76"/>
        <v>0</v>
      </c>
      <c r="AH186" s="54">
        <f t="shared" si="76"/>
        <v>0</v>
      </c>
      <c r="AI186" s="54">
        <f t="shared" si="76"/>
        <v>0</v>
      </c>
      <c r="AJ186" s="54">
        <f t="shared" si="76"/>
        <v>0</v>
      </c>
      <c r="AK186" s="54">
        <f t="shared" ref="AK186" si="80">IF($E87+365&lt;$C$56,0,IF($E87&lt;$C$56,(($E87+365-$C$56)/365)*(($C87/$BN$157)+($D87/$BN$158)),IF($E87&gt;AK$166,0,IF($E87+365&lt;AK$166,($C87/$BN$157)+($D87/$BN$158),((AK$166-$E87)/365)*(($C87/$BN$157)+($D87/$BN$158))))))</f>
        <v>0</v>
      </c>
      <c r="AL186" s="24">
        <f t="shared" si="52"/>
        <v>0</v>
      </c>
      <c r="AM186" s="24">
        <f t="shared" si="53"/>
        <v>0</v>
      </c>
      <c r="AN186" s="55">
        <f t="shared" si="54"/>
        <v>0</v>
      </c>
      <c r="AO186" s="55">
        <f t="shared" si="55"/>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2"/>
        <v>0</v>
      </c>
      <c r="H187" s="12">
        <f t="shared" ref="H187:J206" si="81">IF($E89&gt;H$66,0,IF($E89&lt;H$66-365,$C89,0))</f>
        <v>0</v>
      </c>
      <c r="I187" s="12">
        <f t="shared" si="81"/>
        <v>0</v>
      </c>
      <c r="J187" s="12">
        <f t="shared" si="81"/>
        <v>0</v>
      </c>
      <c r="K187" s="12">
        <f t="shared" si="44"/>
        <v>0</v>
      </c>
      <c r="L187" s="12">
        <f t="shared" ref="L187:N206" si="82">IF($E89&gt;L$66,0,IF($E89&lt;L$66-365,$C89,0))</f>
        <v>0</v>
      </c>
      <c r="M187" s="12">
        <f t="shared" si="82"/>
        <v>0</v>
      </c>
      <c r="N187" s="12">
        <f t="shared" si="82"/>
        <v>0</v>
      </c>
      <c r="O187" s="12">
        <f t="shared" si="46"/>
        <v>0</v>
      </c>
      <c r="P187" s="12">
        <f t="shared" ref="P187:Q206" si="83">IF($E89&gt;P$66,0,IF($E89&lt;P$66-365,$C89,0))</f>
        <v>0</v>
      </c>
      <c r="Q187" s="12">
        <f t="shared" si="83"/>
        <v>0</v>
      </c>
      <c r="T187" s="61"/>
      <c r="U187" s="61"/>
      <c r="V187" s="61"/>
      <c r="W187" s="53">
        <f t="shared" si="48"/>
        <v>0</v>
      </c>
      <c r="X187" s="54" t="e">
        <f t="shared" si="49"/>
        <v>#DIV/0!</v>
      </c>
      <c r="Y187" s="25">
        <f t="shared" si="56"/>
        <v>0</v>
      </c>
      <c r="Z187" s="54">
        <f t="shared" si="61"/>
        <v>0</v>
      </c>
      <c r="AA187" s="54">
        <f t="shared" si="76"/>
        <v>0</v>
      </c>
      <c r="AB187" s="54">
        <f t="shared" si="76"/>
        <v>0</v>
      </c>
      <c r="AC187" s="54">
        <f t="shared" si="76"/>
        <v>0</v>
      </c>
      <c r="AD187" s="54">
        <f t="shared" si="76"/>
        <v>0</v>
      </c>
      <c r="AE187" s="54">
        <f t="shared" si="76"/>
        <v>0</v>
      </c>
      <c r="AF187" s="54">
        <f t="shared" si="76"/>
        <v>0</v>
      </c>
      <c r="AG187" s="54">
        <f t="shared" si="76"/>
        <v>0</v>
      </c>
      <c r="AH187" s="54">
        <f t="shared" si="76"/>
        <v>0</v>
      </c>
      <c r="AI187" s="54">
        <f t="shared" si="76"/>
        <v>0</v>
      </c>
      <c r="AJ187" s="54">
        <f t="shared" si="76"/>
        <v>0</v>
      </c>
      <c r="AK187" s="54">
        <f t="shared" ref="AK187" si="84">IF($E88+365&lt;$C$56,0,IF($E88&lt;$C$56,(($E88+365-$C$56)/365)*(($C88/$BN$157)+($D88/$BN$158)),IF($E88&gt;AK$166,0,IF($E88+365&lt;AK$166,($C88/$BN$157)+($D88/$BN$158),((AK$166-$E88)/365)*(($C88/$BN$157)+($D88/$BN$158))))))</f>
        <v>0</v>
      </c>
      <c r="AL187" s="24">
        <f t="shared" si="52"/>
        <v>0</v>
      </c>
      <c r="AM187" s="24">
        <f t="shared" si="53"/>
        <v>0</v>
      </c>
      <c r="AN187" s="55">
        <f t="shared" si="54"/>
        <v>0</v>
      </c>
      <c r="AO187" s="55">
        <f t="shared" si="55"/>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2"/>
        <v>0</v>
      </c>
      <c r="H188" s="12">
        <f t="shared" si="81"/>
        <v>0</v>
      </c>
      <c r="I188" s="12">
        <f t="shared" si="81"/>
        <v>0</v>
      </c>
      <c r="J188" s="12">
        <f t="shared" si="81"/>
        <v>0</v>
      </c>
      <c r="K188" s="12">
        <f t="shared" si="44"/>
        <v>0</v>
      </c>
      <c r="L188" s="12">
        <f t="shared" si="82"/>
        <v>0</v>
      </c>
      <c r="M188" s="12">
        <f t="shared" si="82"/>
        <v>0</v>
      </c>
      <c r="N188" s="12">
        <f t="shared" si="82"/>
        <v>0</v>
      </c>
      <c r="O188" s="12">
        <f t="shared" si="46"/>
        <v>0</v>
      </c>
      <c r="P188" s="12">
        <f t="shared" si="83"/>
        <v>0</v>
      </c>
      <c r="Q188" s="12">
        <f t="shared" si="83"/>
        <v>0</v>
      </c>
      <c r="T188" s="61"/>
      <c r="U188" s="61"/>
      <c r="V188" s="61"/>
      <c r="W188" s="53">
        <f t="shared" si="48"/>
        <v>0</v>
      </c>
      <c r="X188" s="54" t="e">
        <f t="shared" si="49"/>
        <v>#DIV/0!</v>
      </c>
      <c r="Y188" s="25">
        <f t="shared" si="56"/>
        <v>0</v>
      </c>
      <c r="Z188" s="54">
        <f t="shared" si="61"/>
        <v>0</v>
      </c>
      <c r="AA188" s="54">
        <f t="shared" si="76"/>
        <v>0</v>
      </c>
      <c r="AB188" s="54">
        <f t="shared" si="76"/>
        <v>0</v>
      </c>
      <c r="AC188" s="54">
        <f t="shared" si="76"/>
        <v>0</v>
      </c>
      <c r="AD188" s="54">
        <f t="shared" si="76"/>
        <v>0</v>
      </c>
      <c r="AE188" s="54">
        <f t="shared" si="76"/>
        <v>0</v>
      </c>
      <c r="AF188" s="54">
        <f t="shared" si="76"/>
        <v>0</v>
      </c>
      <c r="AG188" s="54">
        <f t="shared" si="76"/>
        <v>0</v>
      </c>
      <c r="AH188" s="54">
        <f t="shared" si="76"/>
        <v>0</v>
      </c>
      <c r="AI188" s="54">
        <f t="shared" si="76"/>
        <v>0</v>
      </c>
      <c r="AJ188" s="54">
        <f t="shared" si="76"/>
        <v>0</v>
      </c>
      <c r="AK188" s="54">
        <f t="shared" ref="AK188" si="85">IF($E89+365&lt;$C$56,0,IF($E89&lt;$C$56,(($E89+365-$C$56)/365)*(($C89/$BN$157)+($D89/$BN$158)),IF($E89&gt;AK$166,0,IF($E89+365&lt;AK$166,($C89/$BN$157)+($D89/$BN$158),((AK$166-$E89)/365)*(($C89/$BN$157)+($D89/$BN$158))))))</f>
        <v>0</v>
      </c>
      <c r="AL188" s="24">
        <f t="shared" si="52"/>
        <v>0</v>
      </c>
      <c r="AM188" s="24">
        <f t="shared" si="53"/>
        <v>0</v>
      </c>
      <c r="AN188" s="55">
        <f t="shared" si="54"/>
        <v>0</v>
      </c>
      <c r="AO188" s="55">
        <f t="shared" si="55"/>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2"/>
        <v>0</v>
      </c>
      <c r="H189" s="12">
        <f t="shared" si="81"/>
        <v>0</v>
      </c>
      <c r="I189" s="12">
        <f t="shared" si="81"/>
        <v>0</v>
      </c>
      <c r="J189" s="12">
        <f t="shared" si="81"/>
        <v>0</v>
      </c>
      <c r="K189" s="12">
        <f t="shared" si="44"/>
        <v>0</v>
      </c>
      <c r="L189" s="12">
        <f t="shared" si="82"/>
        <v>0</v>
      </c>
      <c r="M189" s="12">
        <f t="shared" si="82"/>
        <v>0</v>
      </c>
      <c r="N189" s="12">
        <f t="shared" si="82"/>
        <v>0</v>
      </c>
      <c r="O189" s="12">
        <f t="shared" si="46"/>
        <v>0</v>
      </c>
      <c r="P189" s="12">
        <f t="shared" si="83"/>
        <v>0</v>
      </c>
      <c r="Q189" s="12">
        <f t="shared" si="83"/>
        <v>0</v>
      </c>
      <c r="T189" s="61"/>
      <c r="U189" s="61"/>
      <c r="V189" s="61"/>
      <c r="W189" s="53">
        <f t="shared" si="48"/>
        <v>0</v>
      </c>
      <c r="X189" s="54" t="e">
        <f t="shared" si="49"/>
        <v>#DIV/0!</v>
      </c>
      <c r="Y189" s="25">
        <f t="shared" si="56"/>
        <v>0</v>
      </c>
      <c r="Z189" s="54">
        <f t="shared" si="61"/>
        <v>0</v>
      </c>
      <c r="AA189" s="54">
        <f t="shared" si="76"/>
        <v>0</v>
      </c>
      <c r="AB189" s="54">
        <f t="shared" si="76"/>
        <v>0</v>
      </c>
      <c r="AC189" s="54">
        <f t="shared" si="76"/>
        <v>0</v>
      </c>
      <c r="AD189" s="54">
        <f t="shared" si="76"/>
        <v>0</v>
      </c>
      <c r="AE189" s="54">
        <f t="shared" si="76"/>
        <v>0</v>
      </c>
      <c r="AF189" s="54">
        <f t="shared" si="76"/>
        <v>0</v>
      </c>
      <c r="AG189" s="54">
        <f t="shared" si="76"/>
        <v>0</v>
      </c>
      <c r="AH189" s="54">
        <f t="shared" si="76"/>
        <v>0</v>
      </c>
      <c r="AI189" s="54">
        <f t="shared" si="76"/>
        <v>0</v>
      </c>
      <c r="AJ189" s="54">
        <f t="shared" si="76"/>
        <v>0</v>
      </c>
      <c r="AK189" s="54">
        <f t="shared" ref="AK189" si="86">IF($E90+365&lt;$C$56,0,IF($E90&lt;$C$56,(($E90+365-$C$56)/365)*(($C90/$BN$157)+($D90/$BN$158)),IF($E90&gt;AK$166,0,IF($E90+365&lt;AK$166,($C90/$BN$157)+($D90/$BN$158),((AK$166-$E90)/365)*(($C90/$BN$157)+($D90/$BN$158))))))</f>
        <v>0</v>
      </c>
      <c r="AL189" s="24">
        <f t="shared" si="52"/>
        <v>0</v>
      </c>
      <c r="AM189" s="24">
        <f t="shared" si="53"/>
        <v>0</v>
      </c>
      <c r="AN189" s="55">
        <f t="shared" si="54"/>
        <v>0</v>
      </c>
      <c r="AO189" s="55">
        <f t="shared" si="55"/>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2"/>
        <v>0</v>
      </c>
      <c r="H190" s="12">
        <f t="shared" si="81"/>
        <v>0</v>
      </c>
      <c r="I190" s="12">
        <f t="shared" si="81"/>
        <v>0</v>
      </c>
      <c r="J190" s="12">
        <f t="shared" si="81"/>
        <v>0</v>
      </c>
      <c r="K190" s="12">
        <f t="shared" si="44"/>
        <v>0</v>
      </c>
      <c r="L190" s="12">
        <f t="shared" si="82"/>
        <v>0</v>
      </c>
      <c r="M190" s="12">
        <f t="shared" si="82"/>
        <v>0</v>
      </c>
      <c r="N190" s="12">
        <f t="shared" si="82"/>
        <v>0</v>
      </c>
      <c r="O190" s="12">
        <f t="shared" si="46"/>
        <v>0</v>
      </c>
      <c r="P190" s="12">
        <f t="shared" si="83"/>
        <v>0</v>
      </c>
      <c r="Q190" s="12">
        <f t="shared" si="83"/>
        <v>0</v>
      </c>
      <c r="T190" s="61"/>
      <c r="U190" s="61"/>
      <c r="V190" s="61"/>
      <c r="W190" s="53">
        <f t="shared" si="48"/>
        <v>0</v>
      </c>
      <c r="X190" s="54" t="e">
        <f t="shared" si="49"/>
        <v>#DIV/0!</v>
      </c>
      <c r="Y190" s="25">
        <f t="shared" si="56"/>
        <v>0</v>
      </c>
      <c r="Z190" s="54">
        <f t="shared" si="61"/>
        <v>0</v>
      </c>
      <c r="AA190" s="54">
        <f t="shared" si="76"/>
        <v>0</v>
      </c>
      <c r="AB190" s="54">
        <f t="shared" si="76"/>
        <v>0</v>
      </c>
      <c r="AC190" s="54">
        <f t="shared" si="76"/>
        <v>0</v>
      </c>
      <c r="AD190" s="54">
        <f t="shared" si="76"/>
        <v>0</v>
      </c>
      <c r="AE190" s="54">
        <f t="shared" si="76"/>
        <v>0</v>
      </c>
      <c r="AF190" s="54">
        <f t="shared" si="76"/>
        <v>0</v>
      </c>
      <c r="AG190" s="54">
        <f t="shared" si="76"/>
        <v>0</v>
      </c>
      <c r="AH190" s="54">
        <f t="shared" si="76"/>
        <v>0</v>
      </c>
      <c r="AI190" s="54">
        <f t="shared" si="76"/>
        <v>0</v>
      </c>
      <c r="AJ190" s="54">
        <f t="shared" si="76"/>
        <v>0</v>
      </c>
      <c r="AK190" s="54">
        <f t="shared" ref="AK190" si="87">IF($E91+365&lt;$C$56,0,IF($E91&lt;$C$56,(($E91+365-$C$56)/365)*(($C91/$BN$157)+($D91/$BN$158)),IF($E91&gt;AK$166,0,IF($E91+365&lt;AK$166,($C91/$BN$157)+($D91/$BN$158),((AK$166-$E91)/365)*(($C91/$BN$157)+($D91/$BN$158))))))</f>
        <v>0</v>
      </c>
      <c r="AL190" s="24">
        <f t="shared" si="52"/>
        <v>0</v>
      </c>
      <c r="AM190" s="24">
        <f t="shared" si="53"/>
        <v>0</v>
      </c>
      <c r="AN190" s="55">
        <f t="shared" si="54"/>
        <v>0</v>
      </c>
      <c r="AO190" s="55">
        <f t="shared" si="55"/>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2"/>
        <v>0</v>
      </c>
      <c r="H191" s="12">
        <f t="shared" si="81"/>
        <v>0</v>
      </c>
      <c r="I191" s="12">
        <f t="shared" si="81"/>
        <v>0</v>
      </c>
      <c r="J191" s="12">
        <f t="shared" si="81"/>
        <v>0</v>
      </c>
      <c r="K191" s="12">
        <f t="shared" si="44"/>
        <v>0</v>
      </c>
      <c r="L191" s="12">
        <f t="shared" si="82"/>
        <v>0</v>
      </c>
      <c r="M191" s="12">
        <f t="shared" si="82"/>
        <v>0</v>
      </c>
      <c r="N191" s="12">
        <f t="shared" si="82"/>
        <v>0</v>
      </c>
      <c r="O191" s="12">
        <f t="shared" si="46"/>
        <v>0</v>
      </c>
      <c r="P191" s="12">
        <f t="shared" si="83"/>
        <v>0</v>
      </c>
      <c r="Q191" s="12">
        <f t="shared" si="83"/>
        <v>0</v>
      </c>
      <c r="T191" s="61"/>
      <c r="U191" s="61"/>
      <c r="V191" s="61"/>
      <c r="W191" s="53">
        <f t="shared" si="48"/>
        <v>0</v>
      </c>
      <c r="X191" s="54" t="e">
        <f t="shared" si="49"/>
        <v>#DIV/0!</v>
      </c>
      <c r="Y191" s="25">
        <f t="shared" si="56"/>
        <v>0</v>
      </c>
      <c r="Z191" s="54">
        <f t="shared" si="61"/>
        <v>0</v>
      </c>
      <c r="AA191" s="54">
        <f t="shared" si="76"/>
        <v>0</v>
      </c>
      <c r="AB191" s="54">
        <f t="shared" si="76"/>
        <v>0</v>
      </c>
      <c r="AC191" s="54">
        <f t="shared" si="76"/>
        <v>0</v>
      </c>
      <c r="AD191" s="54">
        <f t="shared" si="76"/>
        <v>0</v>
      </c>
      <c r="AE191" s="54">
        <f t="shared" si="76"/>
        <v>0</v>
      </c>
      <c r="AF191" s="54">
        <f t="shared" si="76"/>
        <v>0</v>
      </c>
      <c r="AG191" s="54">
        <f t="shared" si="76"/>
        <v>0</v>
      </c>
      <c r="AH191" s="54">
        <f t="shared" si="76"/>
        <v>0</v>
      </c>
      <c r="AI191" s="54">
        <f t="shared" si="76"/>
        <v>0</v>
      </c>
      <c r="AJ191" s="54">
        <f t="shared" si="76"/>
        <v>0</v>
      </c>
      <c r="AK191" s="54">
        <f t="shared" ref="AK191" si="88">IF($E92+365&lt;$C$56,0,IF($E92&lt;$C$56,(($E92+365-$C$56)/365)*(($C92/$BN$157)+($D92/$BN$158)),IF($E92&gt;AK$166,0,IF($E92+365&lt;AK$166,($C92/$BN$157)+($D92/$BN$158),((AK$166-$E92)/365)*(($C92/$BN$157)+($D92/$BN$158))))))</f>
        <v>0</v>
      </c>
      <c r="AL191" s="24">
        <f t="shared" si="52"/>
        <v>0</v>
      </c>
      <c r="AM191" s="24">
        <f t="shared" si="53"/>
        <v>0</v>
      </c>
      <c r="AN191" s="55">
        <f t="shared" si="54"/>
        <v>0</v>
      </c>
      <c r="AO191" s="55">
        <f t="shared" si="55"/>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2"/>
        <v>0</v>
      </c>
      <c r="H192" s="12">
        <f t="shared" si="81"/>
        <v>0</v>
      </c>
      <c r="I192" s="12">
        <f t="shared" si="81"/>
        <v>0</v>
      </c>
      <c r="J192" s="12">
        <f t="shared" si="81"/>
        <v>0</v>
      </c>
      <c r="K192" s="12">
        <f t="shared" si="44"/>
        <v>0</v>
      </c>
      <c r="L192" s="12">
        <f t="shared" si="82"/>
        <v>0</v>
      </c>
      <c r="M192" s="12">
        <f t="shared" si="82"/>
        <v>0</v>
      </c>
      <c r="N192" s="12">
        <f t="shared" si="82"/>
        <v>0</v>
      </c>
      <c r="O192" s="12">
        <f t="shared" si="46"/>
        <v>0</v>
      </c>
      <c r="P192" s="12">
        <f t="shared" si="83"/>
        <v>0</v>
      </c>
      <c r="Q192" s="12">
        <f t="shared" si="83"/>
        <v>0</v>
      </c>
      <c r="T192" s="61"/>
      <c r="U192" s="61"/>
      <c r="V192" s="61"/>
      <c r="W192" s="53">
        <f t="shared" si="48"/>
        <v>0</v>
      </c>
      <c r="X192" s="54" t="e">
        <f t="shared" si="49"/>
        <v>#DIV/0!</v>
      </c>
      <c r="Y192" s="25">
        <f t="shared" si="56"/>
        <v>0</v>
      </c>
      <c r="Z192" s="54">
        <f t="shared" si="61"/>
        <v>0</v>
      </c>
      <c r="AA192" s="54">
        <f t="shared" si="76"/>
        <v>0</v>
      </c>
      <c r="AB192" s="54">
        <f t="shared" si="76"/>
        <v>0</v>
      </c>
      <c r="AC192" s="54">
        <f t="shared" si="76"/>
        <v>0</v>
      </c>
      <c r="AD192" s="54">
        <f t="shared" si="76"/>
        <v>0</v>
      </c>
      <c r="AE192" s="54">
        <f t="shared" si="76"/>
        <v>0</v>
      </c>
      <c r="AF192" s="54">
        <f t="shared" si="76"/>
        <v>0</v>
      </c>
      <c r="AG192" s="54">
        <f t="shared" si="76"/>
        <v>0</v>
      </c>
      <c r="AH192" s="54">
        <f t="shared" si="76"/>
        <v>0</v>
      </c>
      <c r="AI192" s="54">
        <f t="shared" si="76"/>
        <v>0</v>
      </c>
      <c r="AJ192" s="54">
        <f t="shared" si="76"/>
        <v>0</v>
      </c>
      <c r="AK192" s="54">
        <f t="shared" ref="AK192" si="89">IF($E93+365&lt;$C$56,0,IF($E93&lt;$C$56,(($E93+365-$C$56)/365)*(($C93/$BN$157)+($D93/$BN$158)),IF($E93&gt;AK$166,0,IF($E93+365&lt;AK$166,($C93/$BN$157)+($D93/$BN$158),((AK$166-$E93)/365)*(($C93/$BN$157)+($D93/$BN$158))))))</f>
        <v>0</v>
      </c>
      <c r="AL192" s="24">
        <f t="shared" si="52"/>
        <v>0</v>
      </c>
      <c r="AM192" s="24">
        <f t="shared" si="53"/>
        <v>0</v>
      </c>
      <c r="AN192" s="55">
        <f t="shared" si="54"/>
        <v>0</v>
      </c>
      <c r="AO192" s="55">
        <f t="shared" si="55"/>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2"/>
        <v>0</v>
      </c>
      <c r="H193" s="12">
        <f t="shared" si="81"/>
        <v>0</v>
      </c>
      <c r="I193" s="12">
        <f t="shared" si="81"/>
        <v>0</v>
      </c>
      <c r="J193" s="12">
        <f t="shared" si="81"/>
        <v>0</v>
      </c>
      <c r="K193" s="12">
        <f t="shared" si="44"/>
        <v>0</v>
      </c>
      <c r="L193" s="12">
        <f t="shared" si="82"/>
        <v>0</v>
      </c>
      <c r="M193" s="12">
        <f t="shared" si="82"/>
        <v>0</v>
      </c>
      <c r="N193" s="12">
        <f t="shared" si="82"/>
        <v>0</v>
      </c>
      <c r="O193" s="12">
        <f t="shared" si="46"/>
        <v>0</v>
      </c>
      <c r="P193" s="12">
        <f t="shared" si="83"/>
        <v>0</v>
      </c>
      <c r="Q193" s="12">
        <f t="shared" si="83"/>
        <v>0</v>
      </c>
      <c r="T193" s="61"/>
      <c r="U193" s="61"/>
      <c r="V193" s="61"/>
      <c r="W193" s="53">
        <f t="shared" si="48"/>
        <v>0</v>
      </c>
      <c r="X193" s="54" t="e">
        <f t="shared" si="49"/>
        <v>#DIV/0!</v>
      </c>
      <c r="Y193" s="25">
        <f t="shared" si="56"/>
        <v>0</v>
      </c>
      <c r="Z193" s="54">
        <f t="shared" si="61"/>
        <v>0</v>
      </c>
      <c r="AA193" s="54">
        <f t="shared" si="76"/>
        <v>0</v>
      </c>
      <c r="AB193" s="54">
        <f t="shared" si="76"/>
        <v>0</v>
      </c>
      <c r="AC193" s="54">
        <f t="shared" si="76"/>
        <v>0</v>
      </c>
      <c r="AD193" s="54">
        <f t="shared" si="76"/>
        <v>0</v>
      </c>
      <c r="AE193" s="54">
        <f t="shared" si="76"/>
        <v>0</v>
      </c>
      <c r="AF193" s="54">
        <f t="shared" si="76"/>
        <v>0</v>
      </c>
      <c r="AG193" s="54">
        <f t="shared" si="76"/>
        <v>0</v>
      </c>
      <c r="AH193" s="54">
        <f t="shared" si="76"/>
        <v>0</v>
      </c>
      <c r="AI193" s="54">
        <f t="shared" si="76"/>
        <v>0</v>
      </c>
      <c r="AJ193" s="54">
        <f t="shared" si="76"/>
        <v>0</v>
      </c>
      <c r="AK193" s="54">
        <f t="shared" ref="AK193" si="90">IF($E94+365&lt;$C$56,0,IF($E94&lt;$C$56,(($E94+365-$C$56)/365)*(($C94/$BN$157)+($D94/$BN$158)),IF($E94&gt;AK$166,0,IF($E94+365&lt;AK$166,($C94/$BN$157)+($D94/$BN$158),((AK$166-$E94)/365)*(($C94/$BN$157)+($D94/$BN$158))))))</f>
        <v>0</v>
      </c>
      <c r="AL193" s="24">
        <f t="shared" si="52"/>
        <v>0</v>
      </c>
      <c r="AM193" s="24">
        <f t="shared" si="53"/>
        <v>0</v>
      </c>
      <c r="AN193" s="55">
        <f t="shared" si="54"/>
        <v>0</v>
      </c>
      <c r="AO193" s="55">
        <f t="shared" si="55"/>
        <v>0</v>
      </c>
      <c r="AP193" s="24"/>
      <c r="AQ193" s="24"/>
      <c r="AR193" s="24"/>
      <c r="AS193" s="24"/>
      <c r="AT193" s="24"/>
      <c r="AU193" s="24"/>
      <c r="AV193" s="24"/>
      <c r="AW193" s="24"/>
      <c r="AX193" s="24"/>
      <c r="AY193" s="24"/>
    </row>
    <row r="194" spans="7:51">
      <c r="G194" s="12">
        <f t="shared" si="42"/>
        <v>0</v>
      </c>
      <c r="H194" s="12">
        <f t="shared" si="81"/>
        <v>0</v>
      </c>
      <c r="I194" s="12">
        <f t="shared" si="81"/>
        <v>0</v>
      </c>
      <c r="J194" s="12">
        <f t="shared" si="81"/>
        <v>0</v>
      </c>
      <c r="K194" s="12">
        <f t="shared" si="44"/>
        <v>0</v>
      </c>
      <c r="L194" s="12">
        <f t="shared" si="82"/>
        <v>0</v>
      </c>
      <c r="M194" s="12">
        <f t="shared" si="82"/>
        <v>0</v>
      </c>
      <c r="N194" s="12">
        <f t="shared" si="82"/>
        <v>0</v>
      </c>
      <c r="O194" s="12">
        <f t="shared" si="46"/>
        <v>0</v>
      </c>
      <c r="P194" s="12">
        <f t="shared" si="83"/>
        <v>0</v>
      </c>
      <c r="Q194" s="12">
        <f t="shared" si="83"/>
        <v>0</v>
      </c>
      <c r="T194" s="61"/>
      <c r="U194" s="61"/>
      <c r="V194" s="61"/>
      <c r="W194" s="53">
        <f t="shared" si="48"/>
        <v>0</v>
      </c>
      <c r="X194" s="54" t="e">
        <f t="shared" si="49"/>
        <v>#DIV/0!</v>
      </c>
      <c r="Y194" s="25">
        <f t="shared" si="56"/>
        <v>0</v>
      </c>
      <c r="Z194" s="54">
        <f t="shared" si="61"/>
        <v>0</v>
      </c>
      <c r="AA194" s="54">
        <f t="shared" si="76"/>
        <v>0</v>
      </c>
      <c r="AB194" s="54">
        <f t="shared" si="76"/>
        <v>0</v>
      </c>
      <c r="AC194" s="54">
        <f t="shared" si="76"/>
        <v>0</v>
      </c>
      <c r="AD194" s="54">
        <f t="shared" si="76"/>
        <v>0</v>
      </c>
      <c r="AE194" s="54">
        <f t="shared" si="76"/>
        <v>0</v>
      </c>
      <c r="AF194" s="54">
        <f t="shared" si="76"/>
        <v>0</v>
      </c>
      <c r="AG194" s="54">
        <f t="shared" si="76"/>
        <v>0</v>
      </c>
      <c r="AH194" s="54">
        <f t="shared" si="76"/>
        <v>0</v>
      </c>
      <c r="AI194" s="54">
        <f t="shared" si="76"/>
        <v>0</v>
      </c>
      <c r="AJ194" s="54">
        <f t="shared" si="76"/>
        <v>0</v>
      </c>
      <c r="AK194" s="54">
        <f t="shared" ref="AK194" si="91">IF($E95+365&lt;$C$56,0,IF($E95&lt;$C$56,(($E95+365-$C$56)/365)*(($C95/$BN$157)+($D95/$BN$158)),IF($E95&gt;AK$166,0,IF($E95+365&lt;AK$166,($C95/$BN$157)+($D95/$BN$158),((AK$166-$E95)/365)*(($C95/$BN$157)+($D95/$BN$158))))))</f>
        <v>0</v>
      </c>
      <c r="AL194" s="24">
        <f t="shared" si="52"/>
        <v>0</v>
      </c>
      <c r="AM194" s="24">
        <f t="shared" si="53"/>
        <v>0</v>
      </c>
      <c r="AN194" s="55">
        <f t="shared" si="54"/>
        <v>0</v>
      </c>
      <c r="AO194" s="55">
        <f t="shared" si="55"/>
        <v>0</v>
      </c>
      <c r="AP194" s="24"/>
      <c r="AQ194" s="24"/>
      <c r="AR194" s="24"/>
      <c r="AS194" s="24"/>
      <c r="AT194" s="24"/>
      <c r="AU194" s="24"/>
      <c r="AV194" s="24"/>
      <c r="AW194" s="24"/>
      <c r="AX194" s="24"/>
      <c r="AY194" s="24"/>
    </row>
    <row r="195" spans="7:51">
      <c r="G195" s="12">
        <f t="shared" si="42"/>
        <v>0</v>
      </c>
      <c r="H195" s="12">
        <f t="shared" si="81"/>
        <v>0</v>
      </c>
      <c r="I195" s="12">
        <f t="shared" si="81"/>
        <v>0</v>
      </c>
      <c r="J195" s="12">
        <f t="shared" si="81"/>
        <v>0</v>
      </c>
      <c r="K195" s="12">
        <f t="shared" si="44"/>
        <v>0</v>
      </c>
      <c r="L195" s="12">
        <f t="shared" si="82"/>
        <v>0</v>
      </c>
      <c r="M195" s="12">
        <f t="shared" si="82"/>
        <v>0</v>
      </c>
      <c r="N195" s="12">
        <f t="shared" si="82"/>
        <v>0</v>
      </c>
      <c r="O195" s="12">
        <f t="shared" si="46"/>
        <v>0</v>
      </c>
      <c r="P195" s="12">
        <f t="shared" si="83"/>
        <v>0</v>
      </c>
      <c r="Q195" s="12">
        <f t="shared" si="83"/>
        <v>0</v>
      </c>
      <c r="T195" s="61"/>
      <c r="U195" s="61"/>
      <c r="V195" s="61"/>
      <c r="W195" s="53">
        <f t="shared" si="48"/>
        <v>0</v>
      </c>
      <c r="X195" s="54" t="e">
        <f t="shared" si="49"/>
        <v>#DIV/0!</v>
      </c>
      <c r="Y195" s="25">
        <f t="shared" si="56"/>
        <v>0</v>
      </c>
      <c r="Z195" s="54">
        <f t="shared" si="61"/>
        <v>0</v>
      </c>
      <c r="AA195" s="54">
        <f t="shared" si="76"/>
        <v>0</v>
      </c>
      <c r="AB195" s="54">
        <f t="shared" si="76"/>
        <v>0</v>
      </c>
      <c r="AC195" s="54">
        <f t="shared" si="76"/>
        <v>0</v>
      </c>
      <c r="AD195" s="54">
        <f t="shared" si="76"/>
        <v>0</v>
      </c>
      <c r="AE195" s="54">
        <f t="shared" si="76"/>
        <v>0</v>
      </c>
      <c r="AF195" s="54">
        <f t="shared" si="76"/>
        <v>0</v>
      </c>
      <c r="AG195" s="54">
        <f t="shared" si="76"/>
        <v>0</v>
      </c>
      <c r="AH195" s="54">
        <f t="shared" si="76"/>
        <v>0</v>
      </c>
      <c r="AI195" s="54">
        <f t="shared" si="76"/>
        <v>0</v>
      </c>
      <c r="AJ195" s="54">
        <f t="shared" si="76"/>
        <v>0</v>
      </c>
      <c r="AK195" s="54">
        <f t="shared" ref="AK195" si="92">IF($E96+365&lt;$C$56,0,IF($E96&lt;$C$56,(($E96+365-$C$56)/365)*(($C96/$BN$157)+($D96/$BN$158)),IF($E96&gt;AK$166,0,IF($E96+365&lt;AK$166,($C96/$BN$157)+($D96/$BN$158),((AK$166-$E96)/365)*(($C96/$BN$157)+($D96/$BN$158))))))</f>
        <v>0</v>
      </c>
      <c r="AL195" s="24">
        <f t="shared" si="52"/>
        <v>0</v>
      </c>
      <c r="AM195" s="24">
        <f t="shared" si="53"/>
        <v>0</v>
      </c>
      <c r="AN195" s="55">
        <f t="shared" si="54"/>
        <v>0</v>
      </c>
      <c r="AO195" s="55">
        <f t="shared" si="55"/>
        <v>0</v>
      </c>
      <c r="AP195" s="24"/>
      <c r="AQ195" s="24"/>
      <c r="AR195" s="24"/>
      <c r="AS195" s="24"/>
      <c r="AT195" s="24"/>
      <c r="AU195" s="24"/>
      <c r="AV195" s="24"/>
      <c r="AW195" s="24"/>
      <c r="AX195" s="24"/>
      <c r="AY195" s="24"/>
    </row>
    <row r="196" spans="7:51">
      <c r="G196" s="12">
        <f t="shared" si="42"/>
        <v>0</v>
      </c>
      <c r="H196" s="12">
        <f t="shared" si="81"/>
        <v>0</v>
      </c>
      <c r="I196" s="12">
        <f t="shared" si="81"/>
        <v>0</v>
      </c>
      <c r="J196" s="12">
        <f t="shared" si="81"/>
        <v>0</v>
      </c>
      <c r="K196" s="12">
        <f t="shared" si="44"/>
        <v>0</v>
      </c>
      <c r="L196" s="12">
        <f t="shared" si="82"/>
        <v>0</v>
      </c>
      <c r="M196" s="12">
        <f t="shared" si="82"/>
        <v>0</v>
      </c>
      <c r="N196" s="12">
        <f t="shared" si="82"/>
        <v>0</v>
      </c>
      <c r="O196" s="12">
        <f t="shared" si="46"/>
        <v>0</v>
      </c>
      <c r="P196" s="12">
        <f t="shared" si="83"/>
        <v>0</v>
      </c>
      <c r="Q196" s="12">
        <f t="shared" si="83"/>
        <v>0</v>
      </c>
      <c r="T196" s="61"/>
      <c r="U196" s="61"/>
      <c r="V196" s="61"/>
      <c r="W196" s="53">
        <f t="shared" si="48"/>
        <v>0</v>
      </c>
      <c r="X196" s="54" t="e">
        <f t="shared" si="49"/>
        <v>#DIV/0!</v>
      </c>
      <c r="Y196" s="25">
        <f t="shared" si="56"/>
        <v>0</v>
      </c>
      <c r="Z196" s="54">
        <f t="shared" si="61"/>
        <v>0</v>
      </c>
      <c r="AA196" s="54">
        <f t="shared" si="76"/>
        <v>0</v>
      </c>
      <c r="AB196" s="54">
        <f t="shared" si="76"/>
        <v>0</v>
      </c>
      <c r="AC196" s="54">
        <f t="shared" si="76"/>
        <v>0</v>
      </c>
      <c r="AD196" s="54">
        <f t="shared" si="76"/>
        <v>0</v>
      </c>
      <c r="AE196" s="54">
        <f t="shared" si="76"/>
        <v>0</v>
      </c>
      <c r="AF196" s="54">
        <f t="shared" si="76"/>
        <v>0</v>
      </c>
      <c r="AG196" s="54">
        <f t="shared" si="76"/>
        <v>0</v>
      </c>
      <c r="AH196" s="54">
        <f t="shared" si="76"/>
        <v>0</v>
      </c>
      <c r="AI196" s="54">
        <f t="shared" si="76"/>
        <v>0</v>
      </c>
      <c r="AJ196" s="54">
        <f t="shared" si="76"/>
        <v>0</v>
      </c>
      <c r="AK196" s="54">
        <f t="shared" ref="AK196" si="93">IF($E97+365&lt;$C$56,0,IF($E97&lt;$C$56,(($E97+365-$C$56)/365)*(($C97/$BN$157)+($D97/$BN$158)),IF($E97&gt;AK$166,0,IF($E97+365&lt;AK$166,($C97/$BN$157)+($D97/$BN$158),((AK$166-$E97)/365)*(($C97/$BN$157)+($D97/$BN$158))))))</f>
        <v>0</v>
      </c>
      <c r="AL196" s="24">
        <f t="shared" si="52"/>
        <v>0</v>
      </c>
      <c r="AM196" s="24">
        <f t="shared" si="53"/>
        <v>0</v>
      </c>
      <c r="AN196" s="55">
        <f t="shared" si="54"/>
        <v>0</v>
      </c>
      <c r="AO196" s="55">
        <f t="shared" si="55"/>
        <v>0</v>
      </c>
      <c r="AP196" s="24"/>
      <c r="AQ196" s="24"/>
      <c r="AR196" s="24"/>
      <c r="AS196" s="24"/>
      <c r="AT196" s="24"/>
      <c r="AU196" s="24"/>
      <c r="AV196" s="24"/>
      <c r="AW196" s="24"/>
      <c r="AX196" s="24"/>
      <c r="AY196" s="24"/>
    </row>
    <row r="197" spans="7:51">
      <c r="G197" s="12">
        <f t="shared" si="42"/>
        <v>0</v>
      </c>
      <c r="H197" s="12">
        <f t="shared" si="81"/>
        <v>0</v>
      </c>
      <c r="I197" s="12">
        <f t="shared" si="81"/>
        <v>0</v>
      </c>
      <c r="J197" s="12">
        <f t="shared" si="81"/>
        <v>0</v>
      </c>
      <c r="K197" s="12">
        <f t="shared" si="44"/>
        <v>0</v>
      </c>
      <c r="L197" s="12">
        <f t="shared" si="82"/>
        <v>0</v>
      </c>
      <c r="M197" s="12">
        <f t="shared" si="82"/>
        <v>0</v>
      </c>
      <c r="N197" s="12">
        <f t="shared" si="82"/>
        <v>0</v>
      </c>
      <c r="O197" s="12">
        <f t="shared" si="46"/>
        <v>0</v>
      </c>
      <c r="P197" s="12">
        <f t="shared" si="83"/>
        <v>0</v>
      </c>
      <c r="Q197" s="12">
        <f t="shared" si="83"/>
        <v>0</v>
      </c>
      <c r="T197" s="61"/>
      <c r="U197" s="61"/>
      <c r="V197" s="61"/>
      <c r="W197" s="53">
        <f t="shared" si="48"/>
        <v>0</v>
      </c>
      <c r="X197" s="54" t="e">
        <f t="shared" si="49"/>
        <v>#DIV/0!</v>
      </c>
      <c r="Y197" s="25">
        <f t="shared" si="56"/>
        <v>0</v>
      </c>
      <c r="Z197" s="54">
        <f t="shared" si="61"/>
        <v>0</v>
      </c>
      <c r="AA197" s="54">
        <f t="shared" si="76"/>
        <v>0</v>
      </c>
      <c r="AB197" s="54">
        <f t="shared" si="76"/>
        <v>0</v>
      </c>
      <c r="AC197" s="54">
        <f t="shared" si="76"/>
        <v>0</v>
      </c>
      <c r="AD197" s="54">
        <f t="shared" si="76"/>
        <v>0</v>
      </c>
      <c r="AE197" s="54">
        <f t="shared" si="76"/>
        <v>0</v>
      </c>
      <c r="AF197" s="54">
        <f t="shared" si="76"/>
        <v>0</v>
      </c>
      <c r="AG197" s="54">
        <f t="shared" si="76"/>
        <v>0</v>
      </c>
      <c r="AH197" s="54">
        <f t="shared" si="76"/>
        <v>0</v>
      </c>
      <c r="AI197" s="54">
        <f t="shared" si="76"/>
        <v>0</v>
      </c>
      <c r="AJ197" s="54">
        <f t="shared" si="76"/>
        <v>0</v>
      </c>
      <c r="AK197" s="54">
        <f t="shared" ref="AK197" si="94">IF($E98+365&lt;$C$56,0,IF($E98&lt;$C$56,(($E98+365-$C$56)/365)*(($C98/$BN$157)+($D98/$BN$158)),IF($E98&gt;AK$166,0,IF($E98+365&lt;AK$166,($C98/$BN$157)+($D98/$BN$158),((AK$166-$E98)/365)*(($C98/$BN$157)+($D98/$BN$158))))))</f>
        <v>0</v>
      </c>
      <c r="AL197" s="24">
        <f t="shared" si="52"/>
        <v>0</v>
      </c>
      <c r="AM197" s="24">
        <f t="shared" si="53"/>
        <v>0</v>
      </c>
      <c r="AN197" s="55">
        <f t="shared" si="54"/>
        <v>0</v>
      </c>
      <c r="AO197" s="55">
        <f t="shared" si="55"/>
        <v>0</v>
      </c>
      <c r="AP197" s="24"/>
      <c r="AQ197" s="24"/>
      <c r="AR197" s="24"/>
      <c r="AS197" s="24"/>
      <c r="AT197" s="24"/>
      <c r="AU197" s="24"/>
      <c r="AV197" s="24"/>
      <c r="AW197" s="24"/>
      <c r="AX197" s="24"/>
      <c r="AY197" s="24"/>
    </row>
    <row r="198" spans="7:51">
      <c r="G198" s="12">
        <f t="shared" si="42"/>
        <v>0</v>
      </c>
      <c r="H198" s="12">
        <f t="shared" si="81"/>
        <v>0</v>
      </c>
      <c r="I198" s="12">
        <f t="shared" si="81"/>
        <v>0</v>
      </c>
      <c r="J198" s="12">
        <f t="shared" si="81"/>
        <v>0</v>
      </c>
      <c r="K198" s="12">
        <f t="shared" si="44"/>
        <v>0</v>
      </c>
      <c r="L198" s="12">
        <f t="shared" si="82"/>
        <v>0</v>
      </c>
      <c r="M198" s="12">
        <f t="shared" si="82"/>
        <v>0</v>
      </c>
      <c r="N198" s="12">
        <f t="shared" si="82"/>
        <v>0</v>
      </c>
      <c r="O198" s="12">
        <f t="shared" si="46"/>
        <v>0</v>
      </c>
      <c r="P198" s="12">
        <f t="shared" si="83"/>
        <v>0</v>
      </c>
      <c r="Q198" s="12">
        <f t="shared" si="83"/>
        <v>0</v>
      </c>
      <c r="T198" s="61"/>
      <c r="U198" s="61"/>
      <c r="V198" s="61"/>
      <c r="W198" s="53">
        <f t="shared" si="48"/>
        <v>0</v>
      </c>
      <c r="X198" s="54" t="e">
        <f t="shared" si="49"/>
        <v>#DIV/0!</v>
      </c>
      <c r="Y198" s="25">
        <f t="shared" si="56"/>
        <v>0</v>
      </c>
      <c r="Z198" s="54">
        <f t="shared" si="61"/>
        <v>0</v>
      </c>
      <c r="AA198" s="54">
        <f t="shared" si="76"/>
        <v>0</v>
      </c>
      <c r="AB198" s="54">
        <f t="shared" si="76"/>
        <v>0</v>
      </c>
      <c r="AC198" s="54">
        <f t="shared" si="76"/>
        <v>0</v>
      </c>
      <c r="AD198" s="54">
        <f t="shared" si="76"/>
        <v>0</v>
      </c>
      <c r="AE198" s="54">
        <f t="shared" si="76"/>
        <v>0</v>
      </c>
      <c r="AF198" s="54">
        <f t="shared" si="76"/>
        <v>0</v>
      </c>
      <c r="AG198" s="54">
        <f t="shared" si="76"/>
        <v>0</v>
      </c>
      <c r="AH198" s="54">
        <f t="shared" si="76"/>
        <v>0</v>
      </c>
      <c r="AI198" s="54">
        <f t="shared" si="76"/>
        <v>0</v>
      </c>
      <c r="AJ198" s="54">
        <f t="shared" si="76"/>
        <v>0</v>
      </c>
      <c r="AK198" s="54">
        <f t="shared" ref="AK198" si="95">IF($E99+365&lt;$C$56,0,IF($E99&lt;$C$56,(($E99+365-$C$56)/365)*(($C99/$BN$157)+($D99/$BN$158)),IF($E99&gt;AK$166,0,IF($E99+365&lt;AK$166,($C99/$BN$157)+($D99/$BN$158),((AK$166-$E99)/365)*(($C99/$BN$157)+($D99/$BN$158))))))</f>
        <v>0</v>
      </c>
      <c r="AL198" s="24">
        <f t="shared" si="52"/>
        <v>0</v>
      </c>
      <c r="AM198" s="24">
        <f t="shared" si="53"/>
        <v>0</v>
      </c>
      <c r="AN198" s="55">
        <f t="shared" si="54"/>
        <v>0</v>
      </c>
      <c r="AO198" s="55">
        <f t="shared" si="55"/>
        <v>0</v>
      </c>
      <c r="AP198" s="24"/>
      <c r="AQ198" s="24"/>
      <c r="AR198" s="24"/>
      <c r="AS198" s="24"/>
      <c r="AT198" s="24"/>
      <c r="AU198" s="24"/>
      <c r="AV198" s="24"/>
      <c r="AW198" s="24"/>
      <c r="AX198" s="24"/>
      <c r="AY198" s="24"/>
    </row>
    <row r="199" spans="7:51">
      <c r="G199" s="12">
        <f t="shared" si="42"/>
        <v>0</v>
      </c>
      <c r="H199" s="12">
        <f t="shared" si="81"/>
        <v>0</v>
      </c>
      <c r="I199" s="12">
        <f t="shared" si="81"/>
        <v>0</v>
      </c>
      <c r="J199" s="12">
        <f t="shared" si="81"/>
        <v>0</v>
      </c>
      <c r="K199" s="12">
        <f t="shared" si="44"/>
        <v>0</v>
      </c>
      <c r="L199" s="12">
        <f t="shared" si="82"/>
        <v>0</v>
      </c>
      <c r="M199" s="12">
        <f t="shared" si="82"/>
        <v>0</v>
      </c>
      <c r="N199" s="12">
        <f t="shared" si="82"/>
        <v>0</v>
      </c>
      <c r="O199" s="12">
        <f t="shared" si="46"/>
        <v>0</v>
      </c>
      <c r="P199" s="12">
        <f t="shared" si="83"/>
        <v>0</v>
      </c>
      <c r="Q199" s="12">
        <f t="shared" si="83"/>
        <v>0</v>
      </c>
      <c r="T199" s="61"/>
      <c r="U199" s="61"/>
      <c r="V199" s="61"/>
      <c r="W199" s="53">
        <f t="shared" si="48"/>
        <v>0</v>
      </c>
      <c r="X199" s="54" t="e">
        <f t="shared" si="49"/>
        <v>#DIV/0!</v>
      </c>
      <c r="Y199" s="25">
        <f t="shared" si="56"/>
        <v>0</v>
      </c>
      <c r="Z199" s="54">
        <f t="shared" si="61"/>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2"/>
        <v>0</v>
      </c>
      <c r="AM199" s="24">
        <f t="shared" si="53"/>
        <v>0</v>
      </c>
      <c r="AN199" s="55">
        <f t="shared" si="54"/>
        <v>0</v>
      </c>
      <c r="AO199" s="55">
        <f t="shared" si="55"/>
        <v>0</v>
      </c>
      <c r="AP199" s="24"/>
      <c r="AQ199" s="24"/>
      <c r="AR199" s="24"/>
      <c r="AS199" s="24"/>
      <c r="AT199" s="24"/>
      <c r="AU199" s="24"/>
      <c r="AV199" s="24"/>
      <c r="AW199" s="24"/>
      <c r="AX199" s="24"/>
      <c r="AY199" s="24"/>
    </row>
    <row r="200" spans="7:51">
      <c r="G200" s="12">
        <f t="shared" si="42"/>
        <v>0</v>
      </c>
      <c r="H200" s="12">
        <f t="shared" si="81"/>
        <v>0</v>
      </c>
      <c r="I200" s="12">
        <f t="shared" si="81"/>
        <v>0</v>
      </c>
      <c r="J200" s="12">
        <f t="shared" si="81"/>
        <v>0</v>
      </c>
      <c r="K200" s="12">
        <f t="shared" si="44"/>
        <v>0</v>
      </c>
      <c r="L200" s="12">
        <f t="shared" si="82"/>
        <v>0</v>
      </c>
      <c r="M200" s="12">
        <f t="shared" si="82"/>
        <v>0</v>
      </c>
      <c r="N200" s="12">
        <f t="shared" si="82"/>
        <v>0</v>
      </c>
      <c r="O200" s="12">
        <f t="shared" si="46"/>
        <v>0</v>
      </c>
      <c r="P200" s="12">
        <f t="shared" si="83"/>
        <v>0</v>
      </c>
      <c r="Q200" s="12">
        <f t="shared" si="83"/>
        <v>0</v>
      </c>
      <c r="T200" s="61"/>
      <c r="U200" s="61"/>
      <c r="V200" s="61"/>
      <c r="W200" s="53">
        <f t="shared" si="48"/>
        <v>0</v>
      </c>
      <c r="X200" s="54" t="e">
        <f t="shared" si="49"/>
        <v>#DIV/0!</v>
      </c>
      <c r="Y200" s="25">
        <f t="shared" si="56"/>
        <v>0</v>
      </c>
      <c r="Z200" s="54">
        <f t="shared" si="61"/>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2"/>
        <v>0</v>
      </c>
      <c r="AM200" s="24">
        <f t="shared" si="53"/>
        <v>0</v>
      </c>
      <c r="AN200" s="55">
        <f t="shared" si="54"/>
        <v>0</v>
      </c>
      <c r="AO200" s="55">
        <f t="shared" si="55"/>
        <v>0</v>
      </c>
      <c r="AP200" s="24"/>
      <c r="AQ200" s="24"/>
      <c r="AR200" s="24"/>
      <c r="AS200" s="24"/>
      <c r="AT200" s="24"/>
      <c r="AU200" s="24"/>
      <c r="AV200" s="24"/>
      <c r="AW200" s="24"/>
      <c r="AX200" s="24"/>
      <c r="AY200" s="24"/>
    </row>
    <row r="201" spans="7:51">
      <c r="G201" s="12">
        <f t="shared" si="42"/>
        <v>0</v>
      </c>
      <c r="H201" s="12">
        <f t="shared" si="81"/>
        <v>0</v>
      </c>
      <c r="I201" s="12">
        <f t="shared" si="81"/>
        <v>0</v>
      </c>
      <c r="J201" s="12">
        <f t="shared" si="81"/>
        <v>0</v>
      </c>
      <c r="K201" s="12">
        <f t="shared" si="44"/>
        <v>0</v>
      </c>
      <c r="L201" s="12">
        <f t="shared" si="82"/>
        <v>0</v>
      </c>
      <c r="M201" s="12">
        <f t="shared" si="82"/>
        <v>0</v>
      </c>
      <c r="N201" s="12">
        <f t="shared" si="82"/>
        <v>0</v>
      </c>
      <c r="O201" s="12">
        <f t="shared" si="46"/>
        <v>0</v>
      </c>
      <c r="P201" s="12">
        <f t="shared" si="83"/>
        <v>0</v>
      </c>
      <c r="Q201" s="12">
        <f t="shared" si="83"/>
        <v>0</v>
      </c>
      <c r="T201" s="61"/>
      <c r="U201" s="61"/>
      <c r="V201" s="61"/>
      <c r="W201" s="53">
        <f t="shared" si="48"/>
        <v>0</v>
      </c>
      <c r="X201" s="54" t="e">
        <f t="shared" si="49"/>
        <v>#DIV/0!</v>
      </c>
      <c r="Y201" s="25">
        <f t="shared" si="56"/>
        <v>0</v>
      </c>
      <c r="Z201" s="54">
        <f t="shared" si="61"/>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2"/>
        <v>0</v>
      </c>
      <c r="AM201" s="24">
        <f t="shared" si="53"/>
        <v>0</v>
      </c>
      <c r="AN201" s="55">
        <f t="shared" si="54"/>
        <v>0</v>
      </c>
      <c r="AO201" s="55">
        <f t="shared" si="55"/>
        <v>0</v>
      </c>
      <c r="AP201" s="24"/>
      <c r="AQ201" s="24"/>
      <c r="AR201" s="24"/>
      <c r="AS201" s="24"/>
      <c r="AT201" s="24"/>
      <c r="AU201" s="24"/>
      <c r="AV201" s="24"/>
      <c r="AW201" s="24"/>
      <c r="AX201" s="24"/>
      <c r="AY201" s="24"/>
    </row>
    <row r="202" spans="7:51">
      <c r="G202" s="12">
        <f t="shared" si="42"/>
        <v>0</v>
      </c>
      <c r="H202" s="12">
        <f t="shared" si="81"/>
        <v>0</v>
      </c>
      <c r="I202" s="12">
        <f t="shared" si="81"/>
        <v>0</v>
      </c>
      <c r="J202" s="12">
        <f t="shared" si="81"/>
        <v>0</v>
      </c>
      <c r="K202" s="12">
        <f t="shared" si="44"/>
        <v>0</v>
      </c>
      <c r="L202" s="12">
        <f t="shared" si="82"/>
        <v>0</v>
      </c>
      <c r="M202" s="12">
        <f t="shared" si="82"/>
        <v>0</v>
      </c>
      <c r="N202" s="12">
        <f t="shared" si="82"/>
        <v>0</v>
      </c>
      <c r="O202" s="12">
        <f t="shared" si="46"/>
        <v>0</v>
      </c>
      <c r="P202" s="12">
        <f t="shared" si="83"/>
        <v>0</v>
      </c>
      <c r="Q202" s="12">
        <f t="shared" si="83"/>
        <v>0</v>
      </c>
      <c r="T202" s="61"/>
      <c r="U202" s="61"/>
      <c r="V202" s="61"/>
      <c r="W202" s="53">
        <f t="shared" si="48"/>
        <v>0</v>
      </c>
      <c r="X202" s="54" t="e">
        <f t="shared" si="49"/>
        <v>#DIV/0!</v>
      </c>
      <c r="Y202" s="25">
        <f t="shared" si="56"/>
        <v>0</v>
      </c>
      <c r="Z202" s="54">
        <f t="shared" si="61"/>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2"/>
        <v>0</v>
      </c>
      <c r="AM202" s="24">
        <f t="shared" si="53"/>
        <v>0</v>
      </c>
      <c r="AN202" s="55">
        <f t="shared" si="54"/>
        <v>0</v>
      </c>
      <c r="AO202" s="55">
        <f t="shared" si="55"/>
        <v>0</v>
      </c>
      <c r="AP202" s="24"/>
      <c r="AQ202" s="24"/>
      <c r="AR202" s="24"/>
      <c r="AS202" s="24"/>
      <c r="AT202" s="24"/>
      <c r="AU202" s="24"/>
      <c r="AV202" s="24"/>
      <c r="AW202" s="24"/>
      <c r="AX202" s="24"/>
      <c r="AY202" s="24"/>
    </row>
    <row r="203" spans="7:51">
      <c r="G203" s="12">
        <f t="shared" si="42"/>
        <v>0</v>
      </c>
      <c r="H203" s="12">
        <f t="shared" si="81"/>
        <v>0</v>
      </c>
      <c r="I203" s="12">
        <f t="shared" si="81"/>
        <v>0</v>
      </c>
      <c r="J203" s="12">
        <f t="shared" si="81"/>
        <v>0</v>
      </c>
      <c r="K203" s="12">
        <f t="shared" si="44"/>
        <v>0</v>
      </c>
      <c r="L203" s="12">
        <f t="shared" si="82"/>
        <v>0</v>
      </c>
      <c r="M203" s="12">
        <f t="shared" si="82"/>
        <v>0</v>
      </c>
      <c r="N203" s="12">
        <f t="shared" si="82"/>
        <v>0</v>
      </c>
      <c r="O203" s="12">
        <f t="shared" si="46"/>
        <v>0</v>
      </c>
      <c r="P203" s="12">
        <f t="shared" si="83"/>
        <v>0</v>
      </c>
      <c r="Q203" s="12">
        <f t="shared" si="83"/>
        <v>0</v>
      </c>
      <c r="T203" s="61"/>
      <c r="U203" s="61"/>
      <c r="V203" s="61"/>
      <c r="W203" s="53">
        <f t="shared" si="48"/>
        <v>0</v>
      </c>
      <c r="X203" s="54" t="e">
        <f t="shared" si="49"/>
        <v>#DIV/0!</v>
      </c>
      <c r="Y203" s="25">
        <f t="shared" si="56"/>
        <v>0</v>
      </c>
      <c r="Z203" s="54">
        <f t="shared" si="61"/>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2"/>
        <v>0</v>
      </c>
      <c r="AM203" s="24">
        <f t="shared" si="53"/>
        <v>0</v>
      </c>
      <c r="AN203" s="55">
        <f t="shared" si="54"/>
        <v>0</v>
      </c>
      <c r="AO203" s="55">
        <f t="shared" si="55"/>
        <v>0</v>
      </c>
      <c r="AP203" s="24"/>
      <c r="AQ203" s="24"/>
      <c r="AR203" s="24"/>
      <c r="AS203" s="24"/>
      <c r="AT203" s="24"/>
      <c r="AU203" s="24"/>
      <c r="AV203" s="24"/>
      <c r="AW203" s="24"/>
      <c r="AX203" s="24"/>
      <c r="AY203" s="24"/>
    </row>
    <row r="204" spans="7:51">
      <c r="G204" s="12">
        <f t="shared" si="42"/>
        <v>0</v>
      </c>
      <c r="H204" s="12">
        <f t="shared" si="81"/>
        <v>0</v>
      </c>
      <c r="I204" s="12">
        <f t="shared" si="81"/>
        <v>0</v>
      </c>
      <c r="J204" s="12">
        <f t="shared" si="81"/>
        <v>0</v>
      </c>
      <c r="K204" s="12">
        <f t="shared" si="44"/>
        <v>0</v>
      </c>
      <c r="L204" s="12">
        <f t="shared" si="82"/>
        <v>0</v>
      </c>
      <c r="M204" s="12">
        <f t="shared" si="82"/>
        <v>0</v>
      </c>
      <c r="N204" s="12">
        <f t="shared" si="82"/>
        <v>0</v>
      </c>
      <c r="O204" s="12">
        <f t="shared" si="46"/>
        <v>0</v>
      </c>
      <c r="P204" s="12">
        <f t="shared" si="83"/>
        <v>0</v>
      </c>
      <c r="Q204" s="12">
        <f t="shared" si="83"/>
        <v>0</v>
      </c>
      <c r="T204" s="61"/>
      <c r="U204" s="61"/>
      <c r="V204" s="61"/>
      <c r="W204" s="53">
        <f t="shared" si="48"/>
        <v>0</v>
      </c>
      <c r="X204" s="54" t="e">
        <f t="shared" si="49"/>
        <v>#DIV/0!</v>
      </c>
      <c r="Y204" s="25">
        <f t="shared" si="56"/>
        <v>0</v>
      </c>
      <c r="Z204" s="54">
        <f t="shared" si="61"/>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2"/>
        <v>0</v>
      </c>
      <c r="AM204" s="24">
        <f t="shared" si="53"/>
        <v>0</v>
      </c>
      <c r="AN204" s="55">
        <f t="shared" si="54"/>
        <v>0</v>
      </c>
      <c r="AO204" s="55">
        <f t="shared" si="55"/>
        <v>0</v>
      </c>
      <c r="AP204" s="24"/>
      <c r="AQ204" s="24"/>
      <c r="AR204" s="24"/>
      <c r="AS204" s="24"/>
      <c r="AT204" s="24"/>
      <c r="AU204" s="24"/>
      <c r="AV204" s="24"/>
      <c r="AW204" s="24"/>
      <c r="AX204" s="24"/>
      <c r="AY204" s="24"/>
    </row>
    <row r="205" spans="7:51">
      <c r="G205" s="12">
        <f t="shared" si="42"/>
        <v>0</v>
      </c>
      <c r="H205" s="12">
        <f t="shared" si="81"/>
        <v>0</v>
      </c>
      <c r="I205" s="12">
        <f t="shared" si="81"/>
        <v>0</v>
      </c>
      <c r="J205" s="12">
        <f t="shared" si="81"/>
        <v>0</v>
      </c>
      <c r="K205" s="12">
        <f t="shared" si="44"/>
        <v>0</v>
      </c>
      <c r="L205" s="12">
        <f t="shared" si="82"/>
        <v>0</v>
      </c>
      <c r="M205" s="12">
        <f t="shared" si="82"/>
        <v>0</v>
      </c>
      <c r="N205" s="12">
        <f t="shared" si="82"/>
        <v>0</v>
      </c>
      <c r="O205" s="12">
        <f t="shared" si="46"/>
        <v>0</v>
      </c>
      <c r="P205" s="12">
        <f t="shared" si="83"/>
        <v>0</v>
      </c>
      <c r="Q205" s="12">
        <f t="shared" si="83"/>
        <v>0</v>
      </c>
      <c r="T205" s="61"/>
      <c r="U205" s="61"/>
      <c r="V205" s="61"/>
      <c r="W205" s="53">
        <f t="shared" si="48"/>
        <v>0</v>
      </c>
      <c r="X205" s="54" t="e">
        <f t="shared" si="49"/>
        <v>#DIV/0!</v>
      </c>
      <c r="Y205" s="25">
        <f t="shared" si="56"/>
        <v>0</v>
      </c>
      <c r="Z205" s="54">
        <f t="shared" si="61"/>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2"/>
        <v>0</v>
      </c>
      <c r="AM205" s="24">
        <f t="shared" si="53"/>
        <v>0</v>
      </c>
      <c r="AN205" s="55">
        <f t="shared" si="54"/>
        <v>0</v>
      </c>
      <c r="AO205" s="55">
        <f t="shared" si="55"/>
        <v>0</v>
      </c>
      <c r="AP205" s="24"/>
      <c r="AQ205" s="24"/>
      <c r="AR205" s="24"/>
      <c r="AS205" s="24"/>
      <c r="AT205" s="24"/>
      <c r="AU205" s="24"/>
      <c r="AV205" s="24"/>
      <c r="AW205" s="24"/>
      <c r="AX205" s="24"/>
      <c r="AY205" s="24"/>
    </row>
    <row r="206" spans="7:51">
      <c r="G206" s="12">
        <f t="shared" si="42"/>
        <v>0</v>
      </c>
      <c r="H206" s="12">
        <f t="shared" si="81"/>
        <v>0</v>
      </c>
      <c r="I206" s="12">
        <f t="shared" si="81"/>
        <v>0</v>
      </c>
      <c r="J206" s="12">
        <f t="shared" si="81"/>
        <v>0</v>
      </c>
      <c r="K206" s="12">
        <f t="shared" si="44"/>
        <v>0</v>
      </c>
      <c r="L206" s="12">
        <f t="shared" si="82"/>
        <v>0</v>
      </c>
      <c r="M206" s="12">
        <f t="shared" si="82"/>
        <v>0</v>
      </c>
      <c r="N206" s="12">
        <f t="shared" si="82"/>
        <v>0</v>
      </c>
      <c r="O206" s="12">
        <f t="shared" si="46"/>
        <v>0</v>
      </c>
      <c r="P206" s="12">
        <f t="shared" si="83"/>
        <v>0</v>
      </c>
      <c r="Q206" s="12">
        <f t="shared" si="83"/>
        <v>0</v>
      </c>
      <c r="T206" s="61"/>
      <c r="U206" s="61"/>
      <c r="V206" s="61"/>
      <c r="W206" s="53">
        <f t="shared" si="48"/>
        <v>0</v>
      </c>
      <c r="X206" s="54" t="e">
        <f t="shared" si="49"/>
        <v>#DIV/0!</v>
      </c>
      <c r="Y206" s="25">
        <f t="shared" si="56"/>
        <v>0</v>
      </c>
      <c r="Z206" s="54">
        <f t="shared" si="61"/>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2"/>
        <v>0</v>
      </c>
      <c r="AM206" s="24">
        <f t="shared" si="53"/>
        <v>0</v>
      </c>
      <c r="AN206" s="55">
        <f t="shared" si="54"/>
        <v>0</v>
      </c>
      <c r="AO206" s="55">
        <f t="shared" si="55"/>
        <v>0</v>
      </c>
      <c r="AP206" s="24"/>
      <c r="AQ206" s="24"/>
      <c r="AR206" s="24"/>
      <c r="AS206" s="24"/>
      <c r="AT206" s="24"/>
      <c r="AU206" s="24"/>
      <c r="AV206" s="24"/>
      <c r="AW206" s="24"/>
      <c r="AX206" s="24"/>
      <c r="AY206" s="24"/>
    </row>
    <row r="207" spans="7:51">
      <c r="G207" s="12">
        <f t="shared" si="42"/>
        <v>0</v>
      </c>
      <c r="H207" s="12">
        <f t="shared" ref="H207:J209" si="105">IF($E109&gt;H$66,0,IF($E109&lt;H$66-365,$C109,0))</f>
        <v>0</v>
      </c>
      <c r="I207" s="12">
        <f t="shared" si="105"/>
        <v>0</v>
      </c>
      <c r="J207" s="12">
        <f t="shared" si="105"/>
        <v>0</v>
      </c>
      <c r="K207" s="12">
        <f t="shared" si="44"/>
        <v>0</v>
      </c>
      <c r="L207" s="12">
        <f t="shared" ref="L207:N209" si="106">IF($E109&gt;L$66,0,IF($E109&lt;L$66-365,$C109,0))</f>
        <v>0</v>
      </c>
      <c r="M207" s="12">
        <f t="shared" si="106"/>
        <v>0</v>
      </c>
      <c r="N207" s="12">
        <f t="shared" si="106"/>
        <v>0</v>
      </c>
      <c r="O207" s="12">
        <f t="shared" si="46"/>
        <v>0</v>
      </c>
      <c r="P207" s="12">
        <f t="shared" ref="P207:Q209" si="107">IF($E109&gt;P$66,0,IF($E109&lt;P$66-365,$C109,0))</f>
        <v>0</v>
      </c>
      <c r="Q207" s="12">
        <f t="shared" si="107"/>
        <v>0</v>
      </c>
      <c r="T207" s="61"/>
      <c r="U207" s="61"/>
      <c r="V207" s="61"/>
      <c r="W207" s="53">
        <f t="shared" si="48"/>
        <v>0</v>
      </c>
      <c r="X207" s="54" t="e">
        <f t="shared" si="49"/>
        <v>#DIV/0!</v>
      </c>
      <c r="Y207" s="25">
        <f t="shared" si="56"/>
        <v>0</v>
      </c>
      <c r="Z207" s="54">
        <f t="shared" si="61"/>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2"/>
        <v>0</v>
      </c>
      <c r="AM207" s="24">
        <f t="shared" si="53"/>
        <v>0</v>
      </c>
      <c r="AN207" s="55">
        <f t="shared" si="54"/>
        <v>0</v>
      </c>
      <c r="AO207" s="55">
        <f t="shared" si="55"/>
        <v>0</v>
      </c>
      <c r="AP207" s="24"/>
      <c r="AQ207" s="24"/>
      <c r="AR207" s="24"/>
      <c r="AS207" s="24"/>
      <c r="AT207" s="24"/>
      <c r="AU207" s="24"/>
      <c r="AV207" s="24"/>
      <c r="AW207" s="24"/>
      <c r="AX207" s="24"/>
      <c r="AY207" s="24"/>
    </row>
    <row r="208" spans="7:51">
      <c r="G208" s="12">
        <f t="shared" si="42"/>
        <v>0</v>
      </c>
      <c r="H208" s="12">
        <f t="shared" si="105"/>
        <v>0</v>
      </c>
      <c r="I208" s="12">
        <f t="shared" si="105"/>
        <v>0</v>
      </c>
      <c r="J208" s="12">
        <f t="shared" si="105"/>
        <v>0</v>
      </c>
      <c r="K208" s="12">
        <f t="shared" si="44"/>
        <v>0</v>
      </c>
      <c r="L208" s="12">
        <f t="shared" si="106"/>
        <v>0</v>
      </c>
      <c r="M208" s="12">
        <f t="shared" si="106"/>
        <v>0</v>
      </c>
      <c r="N208" s="12">
        <f t="shared" si="106"/>
        <v>0</v>
      </c>
      <c r="O208" s="12">
        <f t="shared" si="46"/>
        <v>0</v>
      </c>
      <c r="P208" s="12">
        <f t="shared" si="107"/>
        <v>0</v>
      </c>
      <c r="Q208" s="12">
        <f t="shared" si="107"/>
        <v>0</v>
      </c>
      <c r="T208" s="61"/>
      <c r="U208" s="61"/>
      <c r="V208" s="61"/>
      <c r="W208" s="53">
        <f t="shared" si="48"/>
        <v>0</v>
      </c>
      <c r="X208" s="54" t="e">
        <f t="shared" si="49"/>
        <v>#DIV/0!</v>
      </c>
      <c r="Y208" s="25">
        <f t="shared" si="56"/>
        <v>0</v>
      </c>
      <c r="Z208" s="54">
        <f t="shared" si="61"/>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2"/>
        <v>0</v>
      </c>
      <c r="AM208" s="24">
        <f t="shared" si="53"/>
        <v>0</v>
      </c>
      <c r="AN208" s="55">
        <f t="shared" si="54"/>
        <v>0</v>
      </c>
      <c r="AO208" s="55">
        <f t="shared" si="55"/>
        <v>0</v>
      </c>
      <c r="AP208" s="24"/>
      <c r="AQ208" s="24"/>
      <c r="AR208" s="24"/>
      <c r="AS208" s="24"/>
      <c r="AT208" s="24"/>
      <c r="AU208" s="24"/>
      <c r="AV208" s="24"/>
      <c r="AW208" s="24"/>
      <c r="AX208" s="24"/>
      <c r="AY208" s="24"/>
    </row>
    <row r="209" spans="6:51">
      <c r="G209" s="12">
        <f t="shared" si="42"/>
        <v>0</v>
      </c>
      <c r="H209" s="12">
        <f t="shared" si="105"/>
        <v>0</v>
      </c>
      <c r="I209" s="12">
        <f t="shared" si="105"/>
        <v>0</v>
      </c>
      <c r="J209" s="12">
        <f t="shared" si="105"/>
        <v>0</v>
      </c>
      <c r="K209" s="12">
        <f t="shared" si="44"/>
        <v>0</v>
      </c>
      <c r="L209" s="12">
        <f t="shared" si="106"/>
        <v>0</v>
      </c>
      <c r="M209" s="12">
        <f t="shared" si="106"/>
        <v>0</v>
      </c>
      <c r="N209" s="12">
        <f t="shared" si="106"/>
        <v>0</v>
      </c>
      <c r="O209" s="12">
        <f t="shared" si="46"/>
        <v>0</v>
      </c>
      <c r="P209" s="12">
        <f t="shared" si="107"/>
        <v>0</v>
      </c>
      <c r="Q209" s="12">
        <f t="shared" si="107"/>
        <v>0</v>
      </c>
      <c r="T209" s="61"/>
      <c r="U209" s="61"/>
      <c r="V209" s="61"/>
      <c r="W209" s="53">
        <f t="shared" si="48"/>
        <v>0</v>
      </c>
      <c r="X209" s="54" t="e">
        <f t="shared" si="49"/>
        <v>#DIV/0!</v>
      </c>
      <c r="Y209" s="25">
        <f t="shared" si="56"/>
        <v>0</v>
      </c>
      <c r="Z209" s="54">
        <f t="shared" si="61"/>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2"/>
        <v>0</v>
      </c>
      <c r="AM209" s="24">
        <f t="shared" si="53"/>
        <v>0</v>
      </c>
      <c r="AN209" s="55">
        <f t="shared" si="54"/>
        <v>0</v>
      </c>
      <c r="AO209" s="55">
        <f t="shared" si="55"/>
        <v>0</v>
      </c>
      <c r="AP209" s="24"/>
      <c r="AQ209" s="24"/>
      <c r="AR209" s="24"/>
      <c r="AS209" s="24"/>
      <c r="AT209" s="24"/>
      <c r="AU209" s="24"/>
      <c r="AV209" s="24"/>
      <c r="AW209" s="24"/>
      <c r="AX209" s="24"/>
      <c r="AY209" s="24"/>
    </row>
    <row r="210" spans="6:51">
      <c r="T210" s="61"/>
      <c r="U210" s="61"/>
      <c r="V210" s="61"/>
      <c r="W210" s="53">
        <f t="shared" si="48"/>
        <v>0</v>
      </c>
      <c r="X210" s="54" t="e">
        <f t="shared" si="49"/>
        <v>#DIV/0!</v>
      </c>
      <c r="Y210" s="25">
        <f t="shared" si="56"/>
        <v>0</v>
      </c>
      <c r="Z210" s="54">
        <f t="shared" si="61"/>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2"/>
        <v>0</v>
      </c>
      <c r="AM210" s="24">
        <f t="shared" si="53"/>
        <v>0</v>
      </c>
      <c r="AN210" s="55">
        <f t="shared" si="54"/>
        <v>0</v>
      </c>
      <c r="AO210" s="55">
        <f t="shared" si="55"/>
        <v>0</v>
      </c>
      <c r="AP210" s="24"/>
      <c r="AQ210" s="24"/>
      <c r="AR210" s="24"/>
      <c r="AS210" s="24"/>
      <c r="AT210" s="24"/>
      <c r="AU210" s="24"/>
      <c r="AV210" s="24"/>
      <c r="AW210" s="24"/>
      <c r="AX210" s="24"/>
      <c r="AY210" s="24"/>
    </row>
    <row r="211" spans="6:51">
      <c r="T211" s="61"/>
      <c r="U211" s="61"/>
      <c r="V211" s="61"/>
      <c r="W211" s="53">
        <f t="shared" si="48"/>
        <v>0</v>
      </c>
      <c r="X211" s="54" t="e">
        <f t="shared" si="49"/>
        <v>#DIV/0!</v>
      </c>
      <c r="Y211" s="25">
        <f t="shared" si="56"/>
        <v>0</v>
      </c>
      <c r="Z211" s="54">
        <f t="shared" si="61"/>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2"/>
        <v>0</v>
      </c>
      <c r="AM211" s="24">
        <f t="shared" si="53"/>
        <v>0</v>
      </c>
      <c r="AN211" s="55">
        <f t="shared" si="54"/>
        <v>0</v>
      </c>
      <c r="AO211" s="55">
        <f t="shared" si="55"/>
        <v>0</v>
      </c>
      <c r="AP211" s="25"/>
      <c r="AQ211" s="24"/>
      <c r="AR211" s="24"/>
      <c r="AS211" s="24"/>
      <c r="AT211" s="24"/>
      <c r="AU211" s="24"/>
      <c r="AV211" s="24"/>
      <c r="AW211" s="24"/>
      <c r="AX211" s="24"/>
      <c r="AY211" s="24"/>
    </row>
    <row r="212" spans="6:51">
      <c r="T212" s="61"/>
      <c r="U212" s="61"/>
      <c r="V212" s="61"/>
      <c r="W212" s="53"/>
      <c r="X212" s="54"/>
      <c r="Y212" s="25">
        <f t="shared" si="56"/>
        <v>0</v>
      </c>
      <c r="Z212" s="54">
        <f t="shared" si="61"/>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2"/>
        <v>0</v>
      </c>
      <c r="AM212" s="24">
        <f t="shared" si="53"/>
        <v>0</v>
      </c>
      <c r="AN212" s="55">
        <f t="shared" si="54"/>
        <v>0</v>
      </c>
      <c r="AO212" s="55">
        <f t="shared" si="55"/>
        <v>0</v>
      </c>
      <c r="AP212" s="24"/>
      <c r="AQ212" s="24"/>
      <c r="AR212" s="24"/>
      <c r="AS212" s="24"/>
      <c r="AT212" s="24"/>
      <c r="AU212" s="24"/>
      <c r="AV212" s="24"/>
      <c r="AW212" s="24"/>
      <c r="AX212" s="24"/>
      <c r="AY212" s="24"/>
    </row>
    <row r="213" spans="6:51">
      <c r="T213" s="61"/>
      <c r="U213" s="61"/>
      <c r="V213" s="61"/>
      <c r="W213" s="53"/>
      <c r="X213" s="54"/>
      <c r="Y213" s="25">
        <f t="shared" si="56"/>
        <v>0</v>
      </c>
      <c r="Z213" s="54">
        <f t="shared" si="61"/>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2"/>
        <v>0</v>
      </c>
      <c r="AM213" s="24">
        <f t="shared" si="53"/>
        <v>0</v>
      </c>
      <c r="AN213" s="55">
        <f t="shared" si="54"/>
        <v>0</v>
      </c>
      <c r="AO213" s="55">
        <f t="shared" si="55"/>
        <v>0</v>
      </c>
      <c r="AP213" s="24"/>
      <c r="AQ213" s="24"/>
      <c r="AR213" s="24"/>
      <c r="AS213" s="24"/>
      <c r="AT213" s="24"/>
      <c r="AU213" s="24"/>
      <c r="AV213" s="24"/>
      <c r="AW213" s="24"/>
      <c r="AX213" s="24"/>
      <c r="AY213" s="24"/>
    </row>
    <row r="214" spans="6:51" ht="13">
      <c r="F214" s="187" t="s">
        <v>490</v>
      </c>
      <c r="G214" s="187">
        <f>SUM(G167:G213)</f>
        <v>0</v>
      </c>
      <c r="H214" s="187">
        <f t="shared" ref="H214:Q214" si="115">SUM(H167:H213)</f>
        <v>0</v>
      </c>
      <c r="I214" s="187">
        <f t="shared" si="115"/>
        <v>0</v>
      </c>
      <c r="J214" s="187">
        <f t="shared" si="115"/>
        <v>0</v>
      </c>
      <c r="K214" s="187">
        <f t="shared" si="115"/>
        <v>0</v>
      </c>
      <c r="L214" s="187">
        <f t="shared" si="115"/>
        <v>0</v>
      </c>
      <c r="M214" s="187">
        <f t="shared" si="115"/>
        <v>0</v>
      </c>
      <c r="N214" s="187">
        <f t="shared" si="115"/>
        <v>0</v>
      </c>
      <c r="O214" s="187">
        <f t="shared" si="115"/>
        <v>120</v>
      </c>
      <c r="P214" s="187">
        <f t="shared" si="115"/>
        <v>120</v>
      </c>
      <c r="Q214" s="187">
        <f t="shared" si="115"/>
        <v>120</v>
      </c>
      <c r="T214" s="14"/>
      <c r="U214" s="14"/>
      <c r="V214" s="14"/>
      <c r="W214" s="24"/>
      <c r="X214" s="62" t="e">
        <f>SUM(X168:X213)</f>
        <v>#DIV/0!</v>
      </c>
      <c r="Y214" s="157" t="s">
        <v>84</v>
      </c>
      <c r="AA214" s="155">
        <f>IF(SUM(AA167:AA213)=0,0,VLOOKUP($A$2,Assumptions!$B$124:$G$147,6,0)*SUM(AA167:AA213))</f>
        <v>0</v>
      </c>
      <c r="AB214" s="155">
        <f>IF(SUM(AB167:AB213)=0,0,VLOOKUP($A$2,Assumptions!$B$124:$G$147,6,0)*SUM(AB167:AB213))</f>
        <v>0</v>
      </c>
      <c r="AC214" s="155">
        <f>IF(SUM(AC167:AC213)=0,0,VLOOKUP($A$2,Assumptions!$B$124:$G$147,6,0)*SUM(AC167:AC213))</f>
        <v>0</v>
      </c>
      <c r="AD214" s="155">
        <f>IF(SUM(AD167:AD213)=0,0,VLOOKUP($A$2,Assumptions!$B$124:$G$147,6,0)*SUM(AD167:AD213))</f>
        <v>0</v>
      </c>
      <c r="AE214" s="155">
        <f>IF(SUM(AE167:AE213)=0,0,VLOOKUP($A$2,Assumptions!$B$124:$G$147,6,0)*SUM(AE167:AE213))</f>
        <v>0</v>
      </c>
      <c r="AF214" s="155">
        <f>IF(SUM(AF167:AF213)=0,0,VLOOKUP($A$2,Assumptions!$B$124:$G$147,6,0)*SUM(AF167:AF213))</f>
        <v>0</v>
      </c>
      <c r="AG214" s="155">
        <f>IF(SUM(AG167:AG213)=0,0,VLOOKUP($A$2,Assumptions!$B$124:$G$147,6,0)*SUM(AG167:AG213))</f>
        <v>0</v>
      </c>
      <c r="AH214" s="155">
        <f>IF(SUM(AH167:AH213)=0,0,VLOOKUP($A$2,Assumptions!$B$124:$G$147,6,0)*SUM(AH167:AH213))</f>
        <v>0</v>
      </c>
      <c r="AI214" s="155">
        <f>IF(SUM(AI167:AI213)=0,0,VLOOKUP($A$2,Assumptions!$B$124:$G$147,6,0)*SUM(AI167:AI213))</f>
        <v>0</v>
      </c>
      <c r="AJ214" s="155">
        <f>IF(SUM(AJ167:AJ213)=0,0,VLOOKUP($A$2,Assumptions!$B$124:$G$147,6,0)*SUM(AJ167:AJ213))</f>
        <v>2.2106348890160303</v>
      </c>
      <c r="AK214" s="155">
        <f>IF(SUM(AK167:AK213)=0,0,VLOOKUP($A$2,Assumptions!$B$124:$G$147,6,0)*SUM(AK167:AK213))</f>
        <v>2.2106348890160303</v>
      </c>
      <c r="AL214" s="155">
        <f>VLOOKUP($A$2,Assumptions!$B$124:$G$147,6,0)*SUM(AL167:AL213)</f>
        <v>90</v>
      </c>
      <c r="AM214" s="155">
        <f>VLOOKUP($A$2,Assumptions!$B$124:$G$147,6,0)*SUM(AM167:AM213)</f>
        <v>-575.25</v>
      </c>
      <c r="AN214" s="55">
        <f>SUM(AN167:AN213)</f>
        <v>1287500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46</v>
      </c>
      <c r="AA215" s="156">
        <f>$C$64+AA214</f>
        <v>46</v>
      </c>
      <c r="AB215" s="156">
        <f t="shared" ref="AB215:AE215" si="116">$C$64+AB214</f>
        <v>46</v>
      </c>
      <c r="AC215" s="156">
        <f t="shared" si="116"/>
        <v>46</v>
      </c>
      <c r="AD215" s="156">
        <f t="shared" si="116"/>
        <v>46</v>
      </c>
      <c r="AE215" s="156">
        <f t="shared" si="116"/>
        <v>46</v>
      </c>
      <c r="AF215" s="156">
        <f>$C$64+AF214</f>
        <v>46</v>
      </c>
      <c r="AG215" s="156">
        <f t="shared" ref="AG215:AJ215" si="117">$C$64+AG214</f>
        <v>46</v>
      </c>
      <c r="AH215" s="156">
        <f>$C$64+AH214</f>
        <v>46</v>
      </c>
      <c r="AI215" s="156">
        <f t="shared" si="117"/>
        <v>46</v>
      </c>
      <c r="AJ215" s="156">
        <f t="shared" si="117"/>
        <v>48.210634889016028</v>
      </c>
      <c r="AK215" s="156">
        <f t="shared" ref="AK215" si="118">$C$64+AK214</f>
        <v>48.210634889016028</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9">IF(Z215&lt;$BB$154,(6+(1-Z215/$BB$154)),IF(Z215&lt;$BB$155,5.5+(0.5*(($BB$155-Z215)/($BB$155-$BB$154))),IF(Z215&lt;$BB$156,5-0.5*((Z215)-$BB$156)/($BB$156-$BB$155),IF(Z215&lt;$BB$157,4.5-0.5*((Z215-$BB$157)/($BB$157-$BB$156)),5-0.5*((Z215-$BB$156)/$BH$166)))))</f>
        <v>5.6779709728409253</v>
      </c>
      <c r="AA216" s="154">
        <f t="shared" si="119"/>
        <v>5.6779709728409253</v>
      </c>
      <c r="AB216" s="154">
        <f t="shared" si="119"/>
        <v>5.6779709728409253</v>
      </c>
      <c r="AC216" s="154">
        <f t="shared" si="119"/>
        <v>5.6779709728409253</v>
      </c>
      <c r="AD216" s="154">
        <f t="shared" si="119"/>
        <v>5.6779709728409253</v>
      </c>
      <c r="AE216" s="154">
        <f t="shared" si="119"/>
        <v>5.6779709728409253</v>
      </c>
      <c r="AF216" s="154">
        <f t="shared" si="119"/>
        <v>5.6779709728409253</v>
      </c>
      <c r="AG216" s="154">
        <f t="shared" si="119"/>
        <v>5.6779709728409253</v>
      </c>
      <c r="AH216" s="154">
        <f t="shared" si="119"/>
        <v>5.6779709728409253</v>
      </c>
      <c r="AI216" s="154">
        <f t="shared" si="119"/>
        <v>5.6779709728409253</v>
      </c>
      <c r="AJ216" s="154">
        <f t="shared" si="119"/>
        <v>5.6144378534554962</v>
      </c>
      <c r="AK216" s="154">
        <f>IF(AK215&lt;$BB$154,(6+(1-AK215/$BB$154)),IF(AK215&lt;$BB$155,5.5+(0.5*(($BB$155-AK215)/($BB$155-$BB$154))),IF(AK215&lt;$BB$156,5-0.5*((AK215)-$BB$156)/($BB$156-$BB$155),IF(AK215&lt;$BB$157,4.5-0.5*((AK215-$BB$157)/($BB$157-$BB$156)),5-0.5*((AK215-$BB$156)/$BH$166)))))</f>
        <v>5.6144378534554962</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0">IF($E69&lt;G$66,$D69,0)</f>
        <v>0</v>
      </c>
      <c r="H220" s="12">
        <f t="shared" ref="H220:Q220" si="121">IF($E69&gt;H$66,0,IF($E69&lt;H$66-365,$D69,0))</f>
        <v>0</v>
      </c>
      <c r="I220" s="12">
        <f t="shared" si="121"/>
        <v>0</v>
      </c>
      <c r="J220" s="12">
        <f t="shared" si="121"/>
        <v>0</v>
      </c>
      <c r="K220" s="12">
        <f t="shared" si="121"/>
        <v>0</v>
      </c>
      <c r="L220" s="12">
        <f t="shared" si="121"/>
        <v>0</v>
      </c>
      <c r="M220" s="12">
        <f t="shared" si="121"/>
        <v>0</v>
      </c>
      <c r="N220" s="12">
        <f t="shared" si="121"/>
        <v>0</v>
      </c>
      <c r="O220" s="12">
        <f t="shared" si="121"/>
        <v>0</v>
      </c>
      <c r="P220" s="12">
        <f t="shared" si="121"/>
        <v>-699</v>
      </c>
      <c r="Q220" s="12">
        <f t="shared" si="121"/>
        <v>-699</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0"/>
        <v>0</v>
      </c>
      <c r="H221" s="12">
        <f t="shared" ref="H221:Q221" si="122">IF($E70&gt;H$66,0,IF($E70&lt;H$66-365,$D70,0))</f>
        <v>0</v>
      </c>
      <c r="I221" s="12">
        <f t="shared" si="122"/>
        <v>0</v>
      </c>
      <c r="J221" s="12">
        <f t="shared" si="122"/>
        <v>0</v>
      </c>
      <c r="K221" s="12">
        <f t="shared" si="122"/>
        <v>0</v>
      </c>
      <c r="L221" s="12">
        <f t="shared" si="122"/>
        <v>0</v>
      </c>
      <c r="M221" s="12">
        <f t="shared" si="122"/>
        <v>0</v>
      </c>
      <c r="N221" s="12">
        <f t="shared" si="122"/>
        <v>0</v>
      </c>
      <c r="O221" s="12">
        <f t="shared" si="122"/>
        <v>0</v>
      </c>
      <c r="P221" s="12">
        <f t="shared" si="122"/>
        <v>0</v>
      </c>
      <c r="Q221" s="12">
        <f t="shared" si="122"/>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0"/>
        <v>0</v>
      </c>
      <c r="H222" s="12">
        <f t="shared" ref="H222:Q222" si="123">IF($E71&gt;H$66,0,IF($E71&lt;H$66-365,$D71,0))</f>
        <v>0</v>
      </c>
      <c r="I222" s="12">
        <f t="shared" si="123"/>
        <v>0</v>
      </c>
      <c r="J222" s="12">
        <f t="shared" si="123"/>
        <v>0</v>
      </c>
      <c r="K222" s="12">
        <f t="shared" si="123"/>
        <v>0</v>
      </c>
      <c r="L222" s="12">
        <f t="shared" si="123"/>
        <v>0</v>
      </c>
      <c r="M222" s="12">
        <f t="shared" si="123"/>
        <v>0</v>
      </c>
      <c r="N222" s="12">
        <f t="shared" si="123"/>
        <v>0</v>
      </c>
      <c r="O222" s="12">
        <f t="shared" si="123"/>
        <v>0</v>
      </c>
      <c r="P222" s="12">
        <f t="shared" si="123"/>
        <v>0</v>
      </c>
      <c r="Q222" s="12">
        <f t="shared" si="123"/>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0"/>
        <v>0</v>
      </c>
      <c r="H223" s="12">
        <f t="shared" ref="H223:Q223" si="124">IF($E72&gt;H$66,0,IF($E72&lt;H$66-365,$D72,0))</f>
        <v>0</v>
      </c>
      <c r="I223" s="12">
        <f t="shared" si="124"/>
        <v>0</v>
      </c>
      <c r="J223" s="12">
        <f t="shared" si="124"/>
        <v>0</v>
      </c>
      <c r="K223" s="12">
        <f t="shared" si="124"/>
        <v>0</v>
      </c>
      <c r="L223" s="12">
        <f t="shared" si="124"/>
        <v>0</v>
      </c>
      <c r="M223" s="12">
        <f t="shared" si="124"/>
        <v>0</v>
      </c>
      <c r="N223" s="12">
        <f t="shared" si="124"/>
        <v>0</v>
      </c>
      <c r="O223" s="12">
        <f t="shared" si="124"/>
        <v>0</v>
      </c>
      <c r="P223" s="12">
        <f t="shared" si="124"/>
        <v>-68</v>
      </c>
      <c r="Q223" s="12">
        <f t="shared" si="124"/>
        <v>-68</v>
      </c>
      <c r="T223" s="20"/>
      <c r="U223" s="20"/>
      <c r="V223" s="20"/>
    </row>
    <row r="224" spans="6:51">
      <c r="G224" s="12">
        <f t="shared" si="120"/>
        <v>0</v>
      </c>
      <c r="H224" s="12">
        <f t="shared" ref="H224:Q224" si="125">IF($E73&gt;H$66,0,IF($E73&lt;H$66-365,$D73,0))</f>
        <v>0</v>
      </c>
      <c r="I224" s="12">
        <f t="shared" si="125"/>
        <v>0</v>
      </c>
      <c r="J224" s="12">
        <f t="shared" si="125"/>
        <v>0</v>
      </c>
      <c r="K224" s="12">
        <f t="shared" si="125"/>
        <v>0</v>
      </c>
      <c r="L224" s="12">
        <f t="shared" si="125"/>
        <v>0</v>
      </c>
      <c r="M224" s="12">
        <f t="shared" si="125"/>
        <v>0</v>
      </c>
      <c r="N224" s="12">
        <f t="shared" si="125"/>
        <v>0</v>
      </c>
      <c r="O224" s="12">
        <f t="shared" si="125"/>
        <v>0</v>
      </c>
      <c r="P224" s="12">
        <f t="shared" si="125"/>
        <v>0</v>
      </c>
      <c r="Q224" s="12">
        <f t="shared" si="125"/>
        <v>0</v>
      </c>
      <c r="T224" s="20"/>
      <c r="U224" s="20"/>
      <c r="V224" s="20"/>
    </row>
    <row r="225" spans="7:28">
      <c r="G225" s="12">
        <f t="shared" si="120"/>
        <v>0</v>
      </c>
      <c r="H225" s="12">
        <f t="shared" ref="H225:Q225" si="126">IF($E74&gt;H$66,0,IF($E74&lt;H$66-365,$D74,0))</f>
        <v>0</v>
      </c>
      <c r="I225" s="12">
        <f t="shared" si="126"/>
        <v>0</v>
      </c>
      <c r="J225" s="12">
        <f t="shared" si="126"/>
        <v>0</v>
      </c>
      <c r="K225" s="12">
        <f t="shared" si="126"/>
        <v>0</v>
      </c>
      <c r="L225" s="12">
        <f t="shared" si="126"/>
        <v>0</v>
      </c>
      <c r="M225" s="12">
        <f t="shared" si="126"/>
        <v>0</v>
      </c>
      <c r="N225" s="12">
        <f t="shared" si="126"/>
        <v>0</v>
      </c>
      <c r="O225" s="12">
        <f t="shared" si="126"/>
        <v>0</v>
      </c>
      <c r="P225" s="12">
        <f t="shared" si="126"/>
        <v>0</v>
      </c>
      <c r="Q225" s="12">
        <f t="shared" si="126"/>
        <v>0</v>
      </c>
      <c r="T225" s="20"/>
      <c r="U225" s="20"/>
      <c r="V225" s="20"/>
      <c r="AA225" s="55">
        <f>SUM(AN167:AN213)</f>
        <v>1287500</v>
      </c>
      <c r="AB225" s="24">
        <f>SUM(AO167:AO213)</f>
        <v>0</v>
      </c>
    </row>
    <row r="226" spans="7:28">
      <c r="G226" s="12">
        <f t="shared" si="120"/>
        <v>0</v>
      </c>
      <c r="H226" s="12">
        <f t="shared" ref="H226:Q226" si="127">IF($E75&gt;H$66,0,IF($E75&lt;H$66-365,$D75,0))</f>
        <v>0</v>
      </c>
      <c r="I226" s="12">
        <f t="shared" si="127"/>
        <v>0</v>
      </c>
      <c r="J226" s="12">
        <f t="shared" si="127"/>
        <v>0</v>
      </c>
      <c r="K226" s="12">
        <f t="shared" si="127"/>
        <v>0</v>
      </c>
      <c r="L226" s="12">
        <f t="shared" si="127"/>
        <v>0</v>
      </c>
      <c r="M226" s="12">
        <f t="shared" si="127"/>
        <v>0</v>
      </c>
      <c r="N226" s="12">
        <f t="shared" si="127"/>
        <v>0</v>
      </c>
      <c r="O226" s="12">
        <f t="shared" si="127"/>
        <v>0</v>
      </c>
      <c r="P226" s="12">
        <f t="shared" si="127"/>
        <v>0</v>
      </c>
      <c r="Q226" s="12">
        <f t="shared" si="127"/>
        <v>0</v>
      </c>
      <c r="T226" s="20"/>
      <c r="U226" s="20"/>
      <c r="V226" s="20"/>
      <c r="AA226" s="24">
        <f>AA225*1.35</f>
        <v>1738125</v>
      </c>
      <c r="AB226" s="24">
        <f>AB225*1.35</f>
        <v>0</v>
      </c>
    </row>
    <row r="227" spans="7:28">
      <c r="G227" s="12">
        <f t="shared" si="120"/>
        <v>0</v>
      </c>
      <c r="H227" s="12">
        <f t="shared" ref="H227:Q227" si="128">IF($E76&gt;H$66,0,IF($E76&lt;H$66-365,$D76,0))</f>
        <v>0</v>
      </c>
      <c r="I227" s="12">
        <f t="shared" si="128"/>
        <v>0</v>
      </c>
      <c r="J227" s="12">
        <f t="shared" si="128"/>
        <v>0</v>
      </c>
      <c r="K227" s="12">
        <f t="shared" si="128"/>
        <v>0</v>
      </c>
      <c r="L227" s="12">
        <f t="shared" si="128"/>
        <v>0</v>
      </c>
      <c r="M227" s="12">
        <f t="shared" si="128"/>
        <v>0</v>
      </c>
      <c r="N227" s="12">
        <f t="shared" si="128"/>
        <v>0</v>
      </c>
      <c r="O227" s="12">
        <f t="shared" si="128"/>
        <v>0</v>
      </c>
      <c r="P227" s="12">
        <f t="shared" si="128"/>
        <v>0</v>
      </c>
      <c r="Q227" s="12">
        <f t="shared" si="128"/>
        <v>0</v>
      </c>
    </row>
    <row r="228" spans="7:28">
      <c r="G228" s="12">
        <f t="shared" si="120"/>
        <v>0</v>
      </c>
      <c r="H228" s="12">
        <f t="shared" ref="H228:Q228" si="129">IF($E77&gt;H$66,0,IF($E77&lt;H$66-365,$D77,0))</f>
        <v>0</v>
      </c>
      <c r="I228" s="12">
        <f t="shared" si="129"/>
        <v>0</v>
      </c>
      <c r="J228" s="12">
        <f t="shared" si="129"/>
        <v>0</v>
      </c>
      <c r="K228" s="12">
        <f t="shared" si="129"/>
        <v>0</v>
      </c>
      <c r="L228" s="12">
        <f t="shared" si="129"/>
        <v>0</v>
      </c>
      <c r="M228" s="12">
        <f t="shared" si="129"/>
        <v>0</v>
      </c>
      <c r="N228" s="12">
        <f t="shared" si="129"/>
        <v>0</v>
      </c>
      <c r="O228" s="12">
        <f t="shared" si="129"/>
        <v>0</v>
      </c>
      <c r="P228" s="12">
        <f t="shared" si="129"/>
        <v>0</v>
      </c>
      <c r="Q228" s="12">
        <f t="shared" si="129"/>
        <v>0</v>
      </c>
    </row>
    <row r="229" spans="7:28">
      <c r="G229" s="12">
        <f t="shared" si="120"/>
        <v>0</v>
      </c>
      <c r="H229" s="12">
        <f t="shared" ref="H229:Q229" si="130">IF($E78&gt;H$66,0,IF($E78&lt;H$66-365,$D78,0))</f>
        <v>0</v>
      </c>
      <c r="I229" s="12">
        <f t="shared" si="130"/>
        <v>0</v>
      </c>
      <c r="J229" s="12">
        <f t="shared" si="130"/>
        <v>0</v>
      </c>
      <c r="K229" s="12">
        <f t="shared" si="130"/>
        <v>0</v>
      </c>
      <c r="L229" s="12">
        <f t="shared" si="130"/>
        <v>0</v>
      </c>
      <c r="M229" s="12">
        <f t="shared" si="130"/>
        <v>0</v>
      </c>
      <c r="N229" s="12">
        <f t="shared" si="130"/>
        <v>0</v>
      </c>
      <c r="O229" s="12">
        <f t="shared" si="130"/>
        <v>0</v>
      </c>
      <c r="P229" s="12">
        <f t="shared" si="130"/>
        <v>0</v>
      </c>
      <c r="Q229" s="12">
        <f t="shared" si="130"/>
        <v>0</v>
      </c>
    </row>
    <row r="230" spans="7:28">
      <c r="G230" s="12">
        <f t="shared" si="120"/>
        <v>0</v>
      </c>
      <c r="H230" s="12">
        <f t="shared" ref="H230:Q230" si="131">IF($E79&gt;H$66,0,IF($E79&lt;H$66-365,$D79,0))</f>
        <v>0</v>
      </c>
      <c r="I230" s="12">
        <f t="shared" si="131"/>
        <v>0</v>
      </c>
      <c r="J230" s="12">
        <f t="shared" si="131"/>
        <v>0</v>
      </c>
      <c r="K230" s="12">
        <f t="shared" si="131"/>
        <v>0</v>
      </c>
      <c r="L230" s="12">
        <f t="shared" si="131"/>
        <v>0</v>
      </c>
      <c r="M230" s="12">
        <f t="shared" si="131"/>
        <v>0</v>
      </c>
      <c r="N230" s="12">
        <f t="shared" si="131"/>
        <v>0</v>
      </c>
      <c r="O230" s="12">
        <f t="shared" si="131"/>
        <v>0</v>
      </c>
      <c r="P230" s="12">
        <f t="shared" si="131"/>
        <v>0</v>
      </c>
      <c r="Q230" s="12">
        <f t="shared" si="131"/>
        <v>0</v>
      </c>
    </row>
    <row r="231" spans="7:28">
      <c r="G231" s="12">
        <f t="shared" si="120"/>
        <v>0</v>
      </c>
      <c r="H231" s="12">
        <f t="shared" ref="H231:Q231" si="132">IF($E80&gt;H$66,0,IF($E80&lt;H$66-365,$D80,0))</f>
        <v>0</v>
      </c>
      <c r="I231" s="12">
        <f t="shared" si="132"/>
        <v>0</v>
      </c>
      <c r="J231" s="12">
        <f t="shared" si="132"/>
        <v>0</v>
      </c>
      <c r="K231" s="12">
        <f t="shared" si="132"/>
        <v>0</v>
      </c>
      <c r="L231" s="12">
        <f t="shared" si="132"/>
        <v>0</v>
      </c>
      <c r="M231" s="12">
        <f t="shared" si="132"/>
        <v>0</v>
      </c>
      <c r="N231" s="12">
        <f t="shared" si="132"/>
        <v>0</v>
      </c>
      <c r="O231" s="12">
        <f t="shared" si="132"/>
        <v>0</v>
      </c>
      <c r="P231" s="12">
        <f t="shared" si="132"/>
        <v>0</v>
      </c>
      <c r="Q231" s="12">
        <f t="shared" si="132"/>
        <v>0</v>
      </c>
    </row>
    <row r="232" spans="7:28">
      <c r="G232" s="12">
        <f t="shared" si="120"/>
        <v>0</v>
      </c>
      <c r="H232" s="12">
        <f t="shared" ref="H232:Q232" si="133">IF($E81&gt;H$66,0,IF($E81&lt;H$66-365,$D81,0))</f>
        <v>0</v>
      </c>
      <c r="I232" s="12">
        <f t="shared" si="133"/>
        <v>0</v>
      </c>
      <c r="J232" s="12">
        <f t="shared" si="133"/>
        <v>0</v>
      </c>
      <c r="K232" s="12">
        <f t="shared" si="133"/>
        <v>0</v>
      </c>
      <c r="L232" s="12">
        <f t="shared" si="133"/>
        <v>0</v>
      </c>
      <c r="M232" s="12">
        <f t="shared" si="133"/>
        <v>0</v>
      </c>
      <c r="N232" s="12">
        <f t="shared" si="133"/>
        <v>0</v>
      </c>
      <c r="O232" s="12">
        <f t="shared" si="133"/>
        <v>0</v>
      </c>
      <c r="P232" s="12">
        <f t="shared" si="133"/>
        <v>0</v>
      </c>
      <c r="Q232" s="12">
        <f t="shared" si="133"/>
        <v>0</v>
      </c>
    </row>
    <row r="233" spans="7:28">
      <c r="G233" s="12">
        <f t="shared" si="120"/>
        <v>0</v>
      </c>
      <c r="H233" s="12">
        <f t="shared" ref="H233:Q233" si="134">IF($E82&gt;H$66,0,IF($E82&lt;H$66-365,$D82,0))</f>
        <v>0</v>
      </c>
      <c r="I233" s="12">
        <f t="shared" si="134"/>
        <v>0</v>
      </c>
      <c r="J233" s="12">
        <f t="shared" si="134"/>
        <v>0</v>
      </c>
      <c r="K233" s="12">
        <f t="shared" si="134"/>
        <v>0</v>
      </c>
      <c r="L233" s="12">
        <f t="shared" si="134"/>
        <v>0</v>
      </c>
      <c r="M233" s="12">
        <f t="shared" si="134"/>
        <v>0</v>
      </c>
      <c r="N233" s="12">
        <f t="shared" si="134"/>
        <v>0</v>
      </c>
      <c r="O233" s="12">
        <f t="shared" si="134"/>
        <v>0</v>
      </c>
      <c r="P233" s="12">
        <f t="shared" si="134"/>
        <v>0</v>
      </c>
      <c r="Q233" s="12">
        <f t="shared" si="134"/>
        <v>0</v>
      </c>
    </row>
    <row r="234" spans="7:28">
      <c r="G234" s="12">
        <f t="shared" si="120"/>
        <v>0</v>
      </c>
      <c r="H234" s="12">
        <f t="shared" ref="H234:Q234" si="135">IF($E83&gt;H$66,0,IF($E83&lt;H$66-365,$D83,0))</f>
        <v>0</v>
      </c>
      <c r="I234" s="12">
        <f t="shared" si="135"/>
        <v>0</v>
      </c>
      <c r="J234" s="12">
        <f t="shared" si="135"/>
        <v>0</v>
      </c>
      <c r="K234" s="12">
        <f t="shared" si="135"/>
        <v>0</v>
      </c>
      <c r="L234" s="12">
        <f t="shared" si="135"/>
        <v>0</v>
      </c>
      <c r="M234" s="12">
        <f t="shared" si="135"/>
        <v>0</v>
      </c>
      <c r="N234" s="12">
        <f t="shared" si="135"/>
        <v>0</v>
      </c>
      <c r="O234" s="12">
        <f t="shared" si="135"/>
        <v>0</v>
      </c>
      <c r="P234" s="12">
        <f t="shared" si="135"/>
        <v>0</v>
      </c>
      <c r="Q234" s="12">
        <f t="shared" si="135"/>
        <v>0</v>
      </c>
    </row>
    <row r="235" spans="7:28">
      <c r="G235" s="12">
        <f t="shared" si="120"/>
        <v>0</v>
      </c>
      <c r="H235" s="12">
        <f t="shared" ref="H235:Q235" si="136">IF($E84&gt;H$66,0,IF($E84&lt;H$66-365,$D84,0))</f>
        <v>0</v>
      </c>
      <c r="I235" s="12">
        <f t="shared" si="136"/>
        <v>0</v>
      </c>
      <c r="J235" s="12">
        <f t="shared" si="136"/>
        <v>0</v>
      </c>
      <c r="K235" s="12">
        <f t="shared" si="136"/>
        <v>0</v>
      </c>
      <c r="L235" s="12">
        <f t="shared" si="136"/>
        <v>0</v>
      </c>
      <c r="M235" s="12">
        <f t="shared" si="136"/>
        <v>0</v>
      </c>
      <c r="N235" s="12">
        <f t="shared" si="136"/>
        <v>0</v>
      </c>
      <c r="O235" s="12">
        <f t="shared" si="136"/>
        <v>0</v>
      </c>
      <c r="P235" s="12">
        <f t="shared" si="136"/>
        <v>0</v>
      </c>
      <c r="Q235" s="12">
        <f t="shared" si="136"/>
        <v>0</v>
      </c>
    </row>
    <row r="236" spans="7:28">
      <c r="G236" s="12">
        <f t="shared" si="120"/>
        <v>0</v>
      </c>
      <c r="H236" s="12">
        <f t="shared" ref="H236:Q236" si="137">IF($E85&gt;H$66,0,IF($E85&lt;H$66-365,$D85,0))</f>
        <v>0</v>
      </c>
      <c r="I236" s="12">
        <f t="shared" si="137"/>
        <v>0</v>
      </c>
      <c r="J236" s="12">
        <f t="shared" si="137"/>
        <v>0</v>
      </c>
      <c r="K236" s="12">
        <f t="shared" si="137"/>
        <v>0</v>
      </c>
      <c r="L236" s="12">
        <f t="shared" si="137"/>
        <v>0</v>
      </c>
      <c r="M236" s="12">
        <f t="shared" si="137"/>
        <v>0</v>
      </c>
      <c r="N236" s="12">
        <f t="shared" si="137"/>
        <v>0</v>
      </c>
      <c r="O236" s="12">
        <f t="shared" si="137"/>
        <v>0</v>
      </c>
      <c r="P236" s="12">
        <f t="shared" si="137"/>
        <v>0</v>
      </c>
      <c r="Q236" s="12">
        <f t="shared" si="137"/>
        <v>0</v>
      </c>
    </row>
    <row r="237" spans="7:28">
      <c r="G237" s="12">
        <f t="shared" si="120"/>
        <v>0</v>
      </c>
      <c r="H237" s="12">
        <f t="shared" ref="H237:Q237" si="138">IF($E86&gt;H$66,0,IF($E86&lt;H$66-365,$D86,0))</f>
        <v>0</v>
      </c>
      <c r="I237" s="12">
        <f t="shared" si="138"/>
        <v>0</v>
      </c>
      <c r="J237" s="12">
        <f t="shared" si="138"/>
        <v>0</v>
      </c>
      <c r="K237" s="12">
        <f t="shared" si="138"/>
        <v>0</v>
      </c>
      <c r="L237" s="12">
        <f t="shared" si="138"/>
        <v>0</v>
      </c>
      <c r="M237" s="12">
        <f t="shared" si="138"/>
        <v>0</v>
      </c>
      <c r="N237" s="12">
        <f t="shared" si="138"/>
        <v>0</v>
      </c>
      <c r="O237" s="12">
        <f t="shared" si="138"/>
        <v>0</v>
      </c>
      <c r="P237" s="12">
        <f t="shared" si="138"/>
        <v>0</v>
      </c>
      <c r="Q237" s="12">
        <f t="shared" si="138"/>
        <v>0</v>
      </c>
    </row>
    <row r="238" spans="7:28">
      <c r="G238" s="12">
        <f t="shared" si="120"/>
        <v>0</v>
      </c>
      <c r="H238" s="12">
        <f t="shared" ref="H238:Q238" si="139">IF($E87&gt;H$66,0,IF($E87&lt;H$66-365,$D87,0))</f>
        <v>0</v>
      </c>
      <c r="I238" s="12">
        <f t="shared" si="139"/>
        <v>0</v>
      </c>
      <c r="J238" s="12">
        <f t="shared" si="139"/>
        <v>0</v>
      </c>
      <c r="K238" s="12">
        <f t="shared" si="139"/>
        <v>0</v>
      </c>
      <c r="L238" s="12">
        <f t="shared" si="139"/>
        <v>0</v>
      </c>
      <c r="M238" s="12">
        <f t="shared" si="139"/>
        <v>0</v>
      </c>
      <c r="N238" s="12">
        <f t="shared" si="139"/>
        <v>0</v>
      </c>
      <c r="O238" s="12">
        <f t="shared" si="139"/>
        <v>0</v>
      </c>
      <c r="P238" s="12">
        <f t="shared" si="139"/>
        <v>0</v>
      </c>
      <c r="Q238" s="12">
        <f t="shared" si="139"/>
        <v>0</v>
      </c>
    </row>
    <row r="239" spans="7:28">
      <c r="G239" s="12">
        <f t="shared" si="120"/>
        <v>0</v>
      </c>
      <c r="H239" s="12">
        <f t="shared" ref="H239:Q239" si="140">IF($E88&gt;H$66,0,IF($E88&lt;H$66-365,$D88,0))</f>
        <v>0</v>
      </c>
      <c r="I239" s="12">
        <f t="shared" si="140"/>
        <v>0</v>
      </c>
      <c r="J239" s="12">
        <f t="shared" si="140"/>
        <v>0</v>
      </c>
      <c r="K239" s="12">
        <f t="shared" si="140"/>
        <v>0</v>
      </c>
      <c r="L239" s="12">
        <f t="shared" si="140"/>
        <v>0</v>
      </c>
      <c r="M239" s="12">
        <f t="shared" si="140"/>
        <v>0</v>
      </c>
      <c r="N239" s="12">
        <f t="shared" si="140"/>
        <v>0</v>
      </c>
      <c r="O239" s="12">
        <f t="shared" si="140"/>
        <v>0</v>
      </c>
      <c r="P239" s="12">
        <f t="shared" si="140"/>
        <v>0</v>
      </c>
      <c r="Q239" s="12">
        <f t="shared" si="140"/>
        <v>0</v>
      </c>
    </row>
    <row r="240" spans="7:28">
      <c r="G240" s="12">
        <f t="shared" si="120"/>
        <v>0</v>
      </c>
      <c r="H240" s="12">
        <f t="shared" ref="H240:Q240" si="141">IF($E89&gt;H$66,0,IF($E89&lt;H$66-365,$D89,0))</f>
        <v>0</v>
      </c>
      <c r="I240" s="12">
        <f t="shared" si="141"/>
        <v>0</v>
      </c>
      <c r="J240" s="12">
        <f t="shared" si="141"/>
        <v>0</v>
      </c>
      <c r="K240" s="12">
        <f t="shared" si="141"/>
        <v>0</v>
      </c>
      <c r="L240" s="12">
        <f t="shared" si="141"/>
        <v>0</v>
      </c>
      <c r="M240" s="12">
        <f t="shared" si="141"/>
        <v>0</v>
      </c>
      <c r="N240" s="12">
        <f t="shared" si="141"/>
        <v>0</v>
      </c>
      <c r="O240" s="12">
        <f t="shared" si="141"/>
        <v>0</v>
      </c>
      <c r="P240" s="12">
        <f t="shared" si="141"/>
        <v>0</v>
      </c>
      <c r="Q240" s="12">
        <f t="shared" si="141"/>
        <v>0</v>
      </c>
    </row>
    <row r="241" spans="7:17">
      <c r="G241" s="12">
        <f t="shared" si="120"/>
        <v>0</v>
      </c>
      <c r="H241" s="12">
        <f t="shared" ref="H241:Q241" si="142">IF($E90&gt;H$66,0,IF($E90&lt;H$66-365,$D90,0))</f>
        <v>0</v>
      </c>
      <c r="I241" s="12">
        <f t="shared" si="142"/>
        <v>0</v>
      </c>
      <c r="J241" s="12">
        <f t="shared" si="142"/>
        <v>0</v>
      </c>
      <c r="K241" s="12">
        <f t="shared" si="142"/>
        <v>0</v>
      </c>
      <c r="L241" s="12">
        <f t="shared" si="142"/>
        <v>0</v>
      </c>
      <c r="M241" s="12">
        <f t="shared" si="142"/>
        <v>0</v>
      </c>
      <c r="N241" s="12">
        <f t="shared" si="142"/>
        <v>0</v>
      </c>
      <c r="O241" s="12">
        <f t="shared" si="142"/>
        <v>0</v>
      </c>
      <c r="P241" s="12">
        <f t="shared" si="142"/>
        <v>0</v>
      </c>
      <c r="Q241" s="12">
        <f t="shared" si="142"/>
        <v>0</v>
      </c>
    </row>
    <row r="242" spans="7:17">
      <c r="G242" s="12">
        <f t="shared" si="120"/>
        <v>0</v>
      </c>
      <c r="H242" s="12">
        <f t="shared" ref="H242:Q242" si="143">IF($E91&gt;H$66,0,IF($E91&lt;H$66-365,$D91,0))</f>
        <v>0</v>
      </c>
      <c r="I242" s="12">
        <f t="shared" si="143"/>
        <v>0</v>
      </c>
      <c r="J242" s="12">
        <f t="shared" si="143"/>
        <v>0</v>
      </c>
      <c r="K242" s="12">
        <f t="shared" si="143"/>
        <v>0</v>
      </c>
      <c r="L242" s="12">
        <f t="shared" si="143"/>
        <v>0</v>
      </c>
      <c r="M242" s="12">
        <f t="shared" si="143"/>
        <v>0</v>
      </c>
      <c r="N242" s="12">
        <f t="shared" si="143"/>
        <v>0</v>
      </c>
      <c r="O242" s="12">
        <f t="shared" si="143"/>
        <v>0</v>
      </c>
      <c r="P242" s="12">
        <f t="shared" si="143"/>
        <v>0</v>
      </c>
      <c r="Q242" s="12">
        <f t="shared" si="143"/>
        <v>0</v>
      </c>
    </row>
    <row r="243" spans="7:17">
      <c r="G243" s="12">
        <f t="shared" si="120"/>
        <v>0</v>
      </c>
      <c r="H243" s="12">
        <f t="shared" ref="H243:Q243" si="144">IF($E92&gt;H$66,0,IF($E92&lt;H$66-365,$D92,0))</f>
        <v>0</v>
      </c>
      <c r="I243" s="12">
        <f t="shared" si="144"/>
        <v>0</v>
      </c>
      <c r="J243" s="12">
        <f t="shared" si="144"/>
        <v>0</v>
      </c>
      <c r="K243" s="12">
        <f t="shared" si="144"/>
        <v>0</v>
      </c>
      <c r="L243" s="12">
        <f t="shared" si="144"/>
        <v>0</v>
      </c>
      <c r="M243" s="12">
        <f t="shared" si="144"/>
        <v>0</v>
      </c>
      <c r="N243" s="12">
        <f t="shared" si="144"/>
        <v>0</v>
      </c>
      <c r="O243" s="12">
        <f t="shared" si="144"/>
        <v>0</v>
      </c>
      <c r="P243" s="12">
        <f t="shared" si="144"/>
        <v>0</v>
      </c>
      <c r="Q243" s="12">
        <f t="shared" si="144"/>
        <v>0</v>
      </c>
    </row>
    <row r="244" spans="7:17">
      <c r="G244" s="12">
        <f t="shared" si="120"/>
        <v>0</v>
      </c>
      <c r="H244" s="12">
        <f t="shared" ref="H244:Q244" si="145">IF($E93&gt;H$66,0,IF($E93&lt;H$66-365,$D93,0))</f>
        <v>0</v>
      </c>
      <c r="I244" s="12">
        <f t="shared" si="145"/>
        <v>0</v>
      </c>
      <c r="J244" s="12">
        <f t="shared" si="145"/>
        <v>0</v>
      </c>
      <c r="K244" s="12">
        <f t="shared" si="145"/>
        <v>0</v>
      </c>
      <c r="L244" s="12">
        <f t="shared" si="145"/>
        <v>0</v>
      </c>
      <c r="M244" s="12">
        <f t="shared" si="145"/>
        <v>0</v>
      </c>
      <c r="N244" s="12">
        <f t="shared" si="145"/>
        <v>0</v>
      </c>
      <c r="O244" s="12">
        <f t="shared" si="145"/>
        <v>0</v>
      </c>
      <c r="P244" s="12">
        <f t="shared" si="145"/>
        <v>0</v>
      </c>
      <c r="Q244" s="12">
        <f t="shared" si="145"/>
        <v>0</v>
      </c>
    </row>
    <row r="245" spans="7:17">
      <c r="G245" s="12">
        <f t="shared" si="120"/>
        <v>0</v>
      </c>
      <c r="H245" s="12">
        <f t="shared" ref="H245:Q245" si="146">IF($E94&gt;H$66,0,IF($E94&lt;H$66-365,$D94,0))</f>
        <v>0</v>
      </c>
      <c r="I245" s="12">
        <f t="shared" si="146"/>
        <v>0</v>
      </c>
      <c r="J245" s="12">
        <f t="shared" si="146"/>
        <v>0</v>
      </c>
      <c r="K245" s="12">
        <f t="shared" si="146"/>
        <v>0</v>
      </c>
      <c r="L245" s="12">
        <f t="shared" si="146"/>
        <v>0</v>
      </c>
      <c r="M245" s="12">
        <f t="shared" si="146"/>
        <v>0</v>
      </c>
      <c r="N245" s="12">
        <f t="shared" si="146"/>
        <v>0</v>
      </c>
      <c r="O245" s="12">
        <f t="shared" si="146"/>
        <v>0</v>
      </c>
      <c r="P245" s="12">
        <f t="shared" si="146"/>
        <v>0</v>
      </c>
      <c r="Q245" s="12">
        <f t="shared" si="146"/>
        <v>0</v>
      </c>
    </row>
    <row r="246" spans="7:17">
      <c r="G246" s="12">
        <f t="shared" si="120"/>
        <v>0</v>
      </c>
      <c r="H246" s="12">
        <f t="shared" ref="H246:Q246" si="147">IF($E95&gt;H$66,0,IF($E95&lt;H$66-365,$D95,0))</f>
        <v>0</v>
      </c>
      <c r="I246" s="12">
        <f t="shared" si="147"/>
        <v>0</v>
      </c>
      <c r="J246" s="12">
        <f t="shared" si="147"/>
        <v>0</v>
      </c>
      <c r="K246" s="12">
        <f t="shared" si="147"/>
        <v>0</v>
      </c>
      <c r="L246" s="12">
        <f t="shared" si="147"/>
        <v>0</v>
      </c>
      <c r="M246" s="12">
        <f t="shared" si="147"/>
        <v>0</v>
      </c>
      <c r="N246" s="12">
        <f t="shared" si="147"/>
        <v>0</v>
      </c>
      <c r="O246" s="12">
        <f t="shared" si="147"/>
        <v>0</v>
      </c>
      <c r="P246" s="12">
        <f t="shared" si="147"/>
        <v>0</v>
      </c>
      <c r="Q246" s="12">
        <f t="shared" si="147"/>
        <v>0</v>
      </c>
    </row>
    <row r="247" spans="7:17">
      <c r="G247" s="12">
        <f t="shared" si="120"/>
        <v>0</v>
      </c>
      <c r="H247" s="12">
        <f t="shared" ref="H247:Q247" si="148">IF($E96&gt;H$66,0,IF($E96&lt;H$66-365,$D96,0))</f>
        <v>0</v>
      </c>
      <c r="I247" s="12">
        <f t="shared" si="148"/>
        <v>0</v>
      </c>
      <c r="J247" s="12">
        <f t="shared" si="148"/>
        <v>0</v>
      </c>
      <c r="K247" s="12">
        <f t="shared" si="148"/>
        <v>0</v>
      </c>
      <c r="L247" s="12">
        <f t="shared" si="148"/>
        <v>0</v>
      </c>
      <c r="M247" s="12">
        <f t="shared" si="148"/>
        <v>0</v>
      </c>
      <c r="N247" s="12">
        <f t="shared" si="148"/>
        <v>0</v>
      </c>
      <c r="O247" s="12">
        <f t="shared" si="148"/>
        <v>0</v>
      </c>
      <c r="P247" s="12">
        <f t="shared" si="148"/>
        <v>0</v>
      </c>
      <c r="Q247" s="12">
        <f t="shared" si="148"/>
        <v>0</v>
      </c>
    </row>
    <row r="248" spans="7:17">
      <c r="G248" s="12">
        <f t="shared" si="120"/>
        <v>0</v>
      </c>
      <c r="H248" s="12">
        <f t="shared" ref="H248:Q248" si="149">IF($E97&gt;H$66,0,IF($E97&lt;H$66-365,$D97,0))</f>
        <v>0</v>
      </c>
      <c r="I248" s="12">
        <f t="shared" si="149"/>
        <v>0</v>
      </c>
      <c r="J248" s="12">
        <f t="shared" si="149"/>
        <v>0</v>
      </c>
      <c r="K248" s="12">
        <f t="shared" si="149"/>
        <v>0</v>
      </c>
      <c r="L248" s="12">
        <f t="shared" si="149"/>
        <v>0</v>
      </c>
      <c r="M248" s="12">
        <f t="shared" si="149"/>
        <v>0</v>
      </c>
      <c r="N248" s="12">
        <f t="shared" si="149"/>
        <v>0</v>
      </c>
      <c r="O248" s="12">
        <f t="shared" si="149"/>
        <v>0</v>
      </c>
      <c r="P248" s="12">
        <f t="shared" si="149"/>
        <v>0</v>
      </c>
      <c r="Q248" s="12">
        <f t="shared" si="149"/>
        <v>0</v>
      </c>
    </row>
    <row r="249" spans="7:17">
      <c r="G249" s="12">
        <f t="shared" si="120"/>
        <v>0</v>
      </c>
      <c r="H249" s="12">
        <f t="shared" ref="H249:Q249" si="150">IF($E98&gt;H$66,0,IF($E98&lt;H$66-365,$D98,0))</f>
        <v>0</v>
      </c>
      <c r="I249" s="12">
        <f t="shared" si="150"/>
        <v>0</v>
      </c>
      <c r="J249" s="12">
        <f t="shared" si="150"/>
        <v>0</v>
      </c>
      <c r="K249" s="12">
        <f t="shared" si="150"/>
        <v>0</v>
      </c>
      <c r="L249" s="12">
        <f t="shared" si="150"/>
        <v>0</v>
      </c>
      <c r="M249" s="12">
        <f t="shared" si="150"/>
        <v>0</v>
      </c>
      <c r="N249" s="12">
        <f t="shared" si="150"/>
        <v>0</v>
      </c>
      <c r="O249" s="12">
        <f t="shared" si="150"/>
        <v>0</v>
      </c>
      <c r="P249" s="12">
        <f t="shared" si="150"/>
        <v>0</v>
      </c>
      <c r="Q249" s="12">
        <f t="shared" si="150"/>
        <v>0</v>
      </c>
    </row>
    <row r="250" spans="7:17">
      <c r="G250" s="12">
        <f t="shared" si="120"/>
        <v>0</v>
      </c>
      <c r="H250" s="12">
        <f t="shared" ref="H250:Q250" si="151">IF($E99&gt;H$66,0,IF($E99&lt;H$66-365,$D99,0))</f>
        <v>0</v>
      </c>
      <c r="I250" s="12">
        <f t="shared" si="151"/>
        <v>0</v>
      </c>
      <c r="J250" s="12">
        <f t="shared" si="151"/>
        <v>0</v>
      </c>
      <c r="K250" s="12">
        <f t="shared" si="151"/>
        <v>0</v>
      </c>
      <c r="L250" s="12">
        <f t="shared" si="151"/>
        <v>0</v>
      </c>
      <c r="M250" s="12">
        <f t="shared" si="151"/>
        <v>0</v>
      </c>
      <c r="N250" s="12">
        <f t="shared" si="151"/>
        <v>0</v>
      </c>
      <c r="O250" s="12">
        <f t="shared" si="151"/>
        <v>0</v>
      </c>
      <c r="P250" s="12">
        <f t="shared" si="151"/>
        <v>0</v>
      </c>
      <c r="Q250" s="12">
        <f t="shared" si="151"/>
        <v>0</v>
      </c>
    </row>
    <row r="251" spans="7:17">
      <c r="G251" s="12">
        <f t="shared" si="120"/>
        <v>0</v>
      </c>
      <c r="H251" s="12">
        <f t="shared" ref="H251:Q251" si="152">IF($E100&gt;H$66,0,IF($E100&lt;H$66-365,$D100,0))</f>
        <v>0</v>
      </c>
      <c r="I251" s="12">
        <f t="shared" si="152"/>
        <v>0</v>
      </c>
      <c r="J251" s="12">
        <f t="shared" si="152"/>
        <v>0</v>
      </c>
      <c r="K251" s="12">
        <f t="shared" si="152"/>
        <v>0</v>
      </c>
      <c r="L251" s="12">
        <f t="shared" si="152"/>
        <v>0</v>
      </c>
      <c r="M251" s="12">
        <f t="shared" si="152"/>
        <v>0</v>
      </c>
      <c r="N251" s="12">
        <f t="shared" si="152"/>
        <v>0</v>
      </c>
      <c r="O251" s="12">
        <f t="shared" si="152"/>
        <v>0</v>
      </c>
      <c r="P251" s="12">
        <f t="shared" si="152"/>
        <v>0</v>
      </c>
      <c r="Q251" s="12">
        <f t="shared" si="152"/>
        <v>0</v>
      </c>
    </row>
    <row r="252" spans="7:17">
      <c r="G252" s="12">
        <f t="shared" si="120"/>
        <v>0</v>
      </c>
      <c r="H252" s="12">
        <f t="shared" ref="H252:Q252" si="153">IF($E101&gt;H$66,0,IF($E101&lt;H$66-365,$D101,0))</f>
        <v>0</v>
      </c>
      <c r="I252" s="12">
        <f t="shared" si="153"/>
        <v>0</v>
      </c>
      <c r="J252" s="12">
        <f t="shared" si="153"/>
        <v>0</v>
      </c>
      <c r="K252" s="12">
        <f t="shared" si="153"/>
        <v>0</v>
      </c>
      <c r="L252" s="12">
        <f t="shared" si="153"/>
        <v>0</v>
      </c>
      <c r="M252" s="12">
        <f t="shared" si="153"/>
        <v>0</v>
      </c>
      <c r="N252" s="12">
        <f t="shared" si="153"/>
        <v>0</v>
      </c>
      <c r="O252" s="12">
        <f t="shared" si="153"/>
        <v>0</v>
      </c>
      <c r="P252" s="12">
        <f t="shared" si="153"/>
        <v>0</v>
      </c>
      <c r="Q252" s="12">
        <f t="shared" si="153"/>
        <v>0</v>
      </c>
    </row>
    <row r="253" spans="7:17">
      <c r="G253" s="12">
        <f t="shared" si="120"/>
        <v>0</v>
      </c>
      <c r="H253" s="12">
        <f t="shared" ref="H253:Q253" si="154">IF($E102&gt;H$66,0,IF($E102&lt;H$66-365,$D102,0))</f>
        <v>0</v>
      </c>
      <c r="I253" s="12">
        <f t="shared" si="154"/>
        <v>0</v>
      </c>
      <c r="J253" s="12">
        <f t="shared" si="154"/>
        <v>0</v>
      </c>
      <c r="K253" s="12">
        <f t="shared" si="154"/>
        <v>0</v>
      </c>
      <c r="L253" s="12">
        <f t="shared" si="154"/>
        <v>0</v>
      </c>
      <c r="M253" s="12">
        <f t="shared" si="154"/>
        <v>0</v>
      </c>
      <c r="N253" s="12">
        <f t="shared" si="154"/>
        <v>0</v>
      </c>
      <c r="O253" s="12">
        <f t="shared" si="154"/>
        <v>0</v>
      </c>
      <c r="P253" s="12">
        <f t="shared" si="154"/>
        <v>0</v>
      </c>
      <c r="Q253" s="12">
        <f t="shared" si="154"/>
        <v>0</v>
      </c>
    </row>
    <row r="254" spans="7:17">
      <c r="G254" s="12">
        <f t="shared" si="120"/>
        <v>0</v>
      </c>
      <c r="H254" s="12">
        <f t="shared" ref="H254:Q254" si="155">IF($E103&gt;H$66,0,IF($E103&lt;H$66-365,$D103,0))</f>
        <v>0</v>
      </c>
      <c r="I254" s="12">
        <f t="shared" si="155"/>
        <v>0</v>
      </c>
      <c r="J254" s="12">
        <f t="shared" si="155"/>
        <v>0</v>
      </c>
      <c r="K254" s="12">
        <f t="shared" si="155"/>
        <v>0</v>
      </c>
      <c r="L254" s="12">
        <f t="shared" si="155"/>
        <v>0</v>
      </c>
      <c r="M254" s="12">
        <f t="shared" si="155"/>
        <v>0</v>
      </c>
      <c r="N254" s="12">
        <f t="shared" si="155"/>
        <v>0</v>
      </c>
      <c r="O254" s="12">
        <f t="shared" si="155"/>
        <v>0</v>
      </c>
      <c r="P254" s="12">
        <f t="shared" si="155"/>
        <v>0</v>
      </c>
      <c r="Q254" s="12">
        <f t="shared" si="155"/>
        <v>0</v>
      </c>
    </row>
    <row r="255" spans="7:17">
      <c r="G255" s="12">
        <f t="shared" si="120"/>
        <v>0</v>
      </c>
      <c r="H255" s="12">
        <f t="shared" ref="H255:Q255" si="156">IF($E104&gt;H$66,0,IF($E104&lt;H$66-365,$D104,0))</f>
        <v>0</v>
      </c>
      <c r="I255" s="12">
        <f t="shared" si="156"/>
        <v>0</v>
      </c>
      <c r="J255" s="12">
        <f t="shared" si="156"/>
        <v>0</v>
      </c>
      <c r="K255" s="12">
        <f t="shared" si="156"/>
        <v>0</v>
      </c>
      <c r="L255" s="12">
        <f t="shared" si="156"/>
        <v>0</v>
      </c>
      <c r="M255" s="12">
        <f t="shared" si="156"/>
        <v>0</v>
      </c>
      <c r="N255" s="12">
        <f t="shared" si="156"/>
        <v>0</v>
      </c>
      <c r="O255" s="12">
        <f t="shared" si="156"/>
        <v>0</v>
      </c>
      <c r="P255" s="12">
        <f t="shared" si="156"/>
        <v>0</v>
      </c>
      <c r="Q255" s="12">
        <f t="shared" si="156"/>
        <v>0</v>
      </c>
    </row>
    <row r="256" spans="7:17">
      <c r="G256" s="12">
        <f t="shared" si="120"/>
        <v>0</v>
      </c>
      <c r="H256" s="12">
        <f t="shared" ref="H256:Q256" si="157">IF($E105&gt;H$66,0,IF($E105&lt;H$66-365,$D105,0))</f>
        <v>0</v>
      </c>
      <c r="I256" s="12">
        <f t="shared" si="157"/>
        <v>0</v>
      </c>
      <c r="J256" s="12">
        <f t="shared" si="157"/>
        <v>0</v>
      </c>
      <c r="K256" s="12">
        <f t="shared" si="157"/>
        <v>0</v>
      </c>
      <c r="L256" s="12">
        <f t="shared" si="157"/>
        <v>0</v>
      </c>
      <c r="M256" s="12">
        <f t="shared" si="157"/>
        <v>0</v>
      </c>
      <c r="N256" s="12">
        <f t="shared" si="157"/>
        <v>0</v>
      </c>
      <c r="O256" s="12">
        <f t="shared" si="157"/>
        <v>0</v>
      </c>
      <c r="P256" s="12">
        <f t="shared" si="157"/>
        <v>0</v>
      </c>
      <c r="Q256" s="12">
        <f t="shared" si="157"/>
        <v>0</v>
      </c>
    </row>
    <row r="257" spans="5:18">
      <c r="G257" s="12">
        <f t="shared" si="120"/>
        <v>0</v>
      </c>
      <c r="H257" s="12">
        <f t="shared" ref="H257:Q257" si="158">IF($E106&gt;H$66,0,IF($E106&lt;H$66-365,$D106,0))</f>
        <v>0</v>
      </c>
      <c r="I257" s="12">
        <f t="shared" si="158"/>
        <v>0</v>
      </c>
      <c r="J257" s="12">
        <f t="shared" si="158"/>
        <v>0</v>
      </c>
      <c r="K257" s="12">
        <f t="shared" si="158"/>
        <v>0</v>
      </c>
      <c r="L257" s="12">
        <f t="shared" si="158"/>
        <v>0</v>
      </c>
      <c r="M257" s="12">
        <f t="shared" si="158"/>
        <v>0</v>
      </c>
      <c r="N257" s="12">
        <f t="shared" si="158"/>
        <v>0</v>
      </c>
      <c r="O257" s="12">
        <f t="shared" si="158"/>
        <v>0</v>
      </c>
      <c r="P257" s="12">
        <f t="shared" si="158"/>
        <v>0</v>
      </c>
      <c r="Q257" s="12">
        <f t="shared" si="158"/>
        <v>0</v>
      </c>
    </row>
    <row r="258" spans="5:18">
      <c r="G258" s="12">
        <f t="shared" si="120"/>
        <v>0</v>
      </c>
      <c r="H258" s="12">
        <f t="shared" ref="H258:Q258" si="159">IF($E107&gt;H$66,0,IF($E107&lt;H$66-365,$D107,0))</f>
        <v>0</v>
      </c>
      <c r="I258" s="12">
        <f t="shared" si="159"/>
        <v>0</v>
      </c>
      <c r="J258" s="12">
        <f t="shared" si="159"/>
        <v>0</v>
      </c>
      <c r="K258" s="12">
        <f t="shared" si="159"/>
        <v>0</v>
      </c>
      <c r="L258" s="12">
        <f t="shared" si="159"/>
        <v>0</v>
      </c>
      <c r="M258" s="12">
        <f t="shared" si="159"/>
        <v>0</v>
      </c>
      <c r="N258" s="12">
        <f t="shared" si="159"/>
        <v>0</v>
      </c>
      <c r="O258" s="12">
        <f t="shared" si="159"/>
        <v>0</v>
      </c>
      <c r="P258" s="12">
        <f t="shared" si="159"/>
        <v>0</v>
      </c>
      <c r="Q258" s="12">
        <f t="shared" si="159"/>
        <v>0</v>
      </c>
    </row>
    <row r="259" spans="5:18">
      <c r="G259" s="12">
        <f t="shared" si="120"/>
        <v>0</v>
      </c>
      <c r="H259" s="12">
        <f t="shared" ref="H259:Q259" si="160">IF($E108&gt;H$66,0,IF($E108&lt;H$66-365,$D108,0))</f>
        <v>0</v>
      </c>
      <c r="I259" s="12">
        <f t="shared" si="160"/>
        <v>0</v>
      </c>
      <c r="J259" s="12">
        <f t="shared" si="160"/>
        <v>0</v>
      </c>
      <c r="K259" s="12">
        <f t="shared" si="160"/>
        <v>0</v>
      </c>
      <c r="L259" s="12">
        <f t="shared" si="160"/>
        <v>0</v>
      </c>
      <c r="M259" s="12">
        <f t="shared" si="160"/>
        <v>0</v>
      </c>
      <c r="N259" s="12">
        <f t="shared" si="160"/>
        <v>0</v>
      </c>
      <c r="O259" s="12">
        <f t="shared" si="160"/>
        <v>0</v>
      </c>
      <c r="P259" s="12">
        <f t="shared" si="160"/>
        <v>0</v>
      </c>
      <c r="Q259" s="12">
        <f t="shared" si="160"/>
        <v>0</v>
      </c>
    </row>
    <row r="260" spans="5:18">
      <c r="G260" s="12">
        <f t="shared" si="120"/>
        <v>0</v>
      </c>
      <c r="H260" s="12">
        <f t="shared" ref="H260:Q260" si="161">IF($E109&gt;H$66,0,IF($E109&lt;H$66-365,$D109,0))</f>
        <v>0</v>
      </c>
      <c r="I260" s="12">
        <f t="shared" si="161"/>
        <v>0</v>
      </c>
      <c r="J260" s="12">
        <f t="shared" si="161"/>
        <v>0</v>
      </c>
      <c r="K260" s="12">
        <f t="shared" si="161"/>
        <v>0</v>
      </c>
      <c r="L260" s="12">
        <f t="shared" si="161"/>
        <v>0</v>
      </c>
      <c r="M260" s="12">
        <f t="shared" si="161"/>
        <v>0</v>
      </c>
      <c r="N260" s="12">
        <f t="shared" si="161"/>
        <v>0</v>
      </c>
      <c r="O260" s="12">
        <f t="shared" si="161"/>
        <v>0</v>
      </c>
      <c r="P260" s="12">
        <f t="shared" si="161"/>
        <v>0</v>
      </c>
      <c r="Q260" s="12">
        <f t="shared" si="161"/>
        <v>0</v>
      </c>
    </row>
    <row r="261" spans="5:18">
      <c r="G261" s="12">
        <f t="shared" si="120"/>
        <v>0</v>
      </c>
      <c r="H261" s="12">
        <f t="shared" ref="H261:Q261" si="162">IF($E110&gt;H$66,0,IF($E110&lt;H$66-365,$D110,0))</f>
        <v>0</v>
      </c>
      <c r="I261" s="12">
        <f t="shared" si="162"/>
        <v>0</v>
      </c>
      <c r="J261" s="12">
        <f t="shared" si="162"/>
        <v>0</v>
      </c>
      <c r="K261" s="12">
        <f t="shared" si="162"/>
        <v>0</v>
      </c>
      <c r="L261" s="12">
        <f t="shared" si="162"/>
        <v>0</v>
      </c>
      <c r="M261" s="12">
        <f t="shared" si="162"/>
        <v>0</v>
      </c>
      <c r="N261" s="12">
        <f t="shared" si="162"/>
        <v>0</v>
      </c>
      <c r="O261" s="12">
        <f t="shared" si="162"/>
        <v>0</v>
      </c>
      <c r="P261" s="12">
        <f t="shared" si="162"/>
        <v>0</v>
      </c>
      <c r="Q261" s="12">
        <f t="shared" si="162"/>
        <v>0</v>
      </c>
    </row>
    <row r="262" spans="5:18">
      <c r="G262" s="12">
        <f t="shared" si="120"/>
        <v>0</v>
      </c>
      <c r="H262" s="12">
        <f t="shared" ref="H262:Q262" si="163">IF($E111&gt;H$66,0,IF($E111&lt;H$66-365,$D111,0))</f>
        <v>0</v>
      </c>
      <c r="I262" s="12">
        <f t="shared" si="163"/>
        <v>0</v>
      </c>
      <c r="J262" s="12">
        <f t="shared" si="163"/>
        <v>0</v>
      </c>
      <c r="K262" s="12">
        <f t="shared" si="163"/>
        <v>0</v>
      </c>
      <c r="L262" s="12">
        <f t="shared" si="163"/>
        <v>0</v>
      </c>
      <c r="M262" s="12">
        <f t="shared" si="163"/>
        <v>0</v>
      </c>
      <c r="N262" s="12">
        <f t="shared" si="163"/>
        <v>0</v>
      </c>
      <c r="O262" s="12">
        <f t="shared" si="163"/>
        <v>0</v>
      </c>
      <c r="P262" s="12">
        <f t="shared" si="163"/>
        <v>0</v>
      </c>
      <c r="Q262" s="12">
        <f t="shared" si="163"/>
        <v>0</v>
      </c>
    </row>
    <row r="263" spans="5:18">
      <c r="G263" s="12">
        <f t="shared" si="120"/>
        <v>0</v>
      </c>
      <c r="H263" s="12">
        <f t="shared" ref="H263:Q263" si="164">IF($E112&gt;H$66,0,IF($E112&lt;H$66-365,$D112,0))</f>
        <v>0</v>
      </c>
      <c r="I263" s="12">
        <f t="shared" si="164"/>
        <v>0</v>
      </c>
      <c r="J263" s="12">
        <f t="shared" si="164"/>
        <v>0</v>
      </c>
      <c r="K263" s="12">
        <f t="shared" si="164"/>
        <v>0</v>
      </c>
      <c r="L263" s="12">
        <f t="shared" si="164"/>
        <v>0</v>
      </c>
      <c r="M263" s="12">
        <f t="shared" si="164"/>
        <v>0</v>
      </c>
      <c r="N263" s="12">
        <f t="shared" si="164"/>
        <v>0</v>
      </c>
      <c r="O263" s="12">
        <f t="shared" si="164"/>
        <v>0</v>
      </c>
      <c r="P263" s="12">
        <f t="shared" si="164"/>
        <v>0</v>
      </c>
      <c r="Q263" s="12">
        <f t="shared" si="164"/>
        <v>0</v>
      </c>
    </row>
    <row r="264" spans="5:18">
      <c r="G264" s="12">
        <f t="shared" si="120"/>
        <v>0</v>
      </c>
      <c r="H264" s="12">
        <f t="shared" ref="H264:Q264" si="165">IF($E113&gt;H$66,0,IF($E113&lt;H$66-365,$D113,0))</f>
        <v>0</v>
      </c>
      <c r="I264" s="12">
        <f t="shared" si="165"/>
        <v>0</v>
      </c>
      <c r="J264" s="12">
        <f t="shared" si="165"/>
        <v>0</v>
      </c>
      <c r="K264" s="12">
        <f t="shared" si="165"/>
        <v>0</v>
      </c>
      <c r="L264" s="12">
        <f t="shared" si="165"/>
        <v>0</v>
      </c>
      <c r="M264" s="12">
        <f t="shared" si="165"/>
        <v>0</v>
      </c>
      <c r="N264" s="12">
        <f t="shared" si="165"/>
        <v>0</v>
      </c>
      <c r="O264" s="12">
        <f t="shared" si="165"/>
        <v>0</v>
      </c>
      <c r="P264" s="12">
        <f t="shared" si="165"/>
        <v>0</v>
      </c>
      <c r="Q264" s="12">
        <f t="shared" si="165"/>
        <v>0</v>
      </c>
    </row>
    <row r="265" spans="5:18">
      <c r="G265" s="12">
        <f t="shared" si="120"/>
        <v>0</v>
      </c>
      <c r="H265" s="12">
        <f t="shared" ref="H265:Q265" si="166">IF($E114&gt;H$66,0,IF($E114&lt;H$66-365,$D114,0))</f>
        <v>0</v>
      </c>
      <c r="I265" s="12">
        <f t="shared" si="166"/>
        <v>0</v>
      </c>
      <c r="J265" s="12">
        <f t="shared" si="166"/>
        <v>0</v>
      </c>
      <c r="K265" s="12">
        <f t="shared" si="166"/>
        <v>0</v>
      </c>
      <c r="L265" s="12">
        <f t="shared" si="166"/>
        <v>0</v>
      </c>
      <c r="M265" s="12">
        <f t="shared" si="166"/>
        <v>0</v>
      </c>
      <c r="N265" s="12">
        <f t="shared" si="166"/>
        <v>0</v>
      </c>
      <c r="O265" s="12">
        <f t="shared" si="166"/>
        <v>0</v>
      </c>
      <c r="P265" s="12">
        <f t="shared" si="166"/>
        <v>0</v>
      </c>
      <c r="Q265" s="12">
        <f t="shared" si="166"/>
        <v>0</v>
      </c>
    </row>
    <row r="267" spans="5:18">
      <c r="F267" s="187" t="s">
        <v>493</v>
      </c>
      <c r="G267" s="187">
        <f>SUM(G220:G265)</f>
        <v>0</v>
      </c>
      <c r="H267" s="187">
        <f t="shared" ref="H267:Q267" si="167">SUM(H220:H265)</f>
        <v>0</v>
      </c>
      <c r="I267" s="187">
        <f t="shared" si="167"/>
        <v>0</v>
      </c>
      <c r="J267" s="187">
        <f t="shared" si="167"/>
        <v>0</v>
      </c>
      <c r="K267" s="187">
        <f t="shared" si="167"/>
        <v>0</v>
      </c>
      <c r="L267" s="187">
        <f t="shared" si="167"/>
        <v>0</v>
      </c>
      <c r="M267" s="187">
        <f t="shared" si="167"/>
        <v>0</v>
      </c>
      <c r="N267" s="187">
        <f t="shared" si="167"/>
        <v>0</v>
      </c>
      <c r="O267" s="187">
        <f t="shared" si="167"/>
        <v>0</v>
      </c>
      <c r="P267" s="187">
        <f t="shared" si="167"/>
        <v>-767</v>
      </c>
      <c r="Q267" s="187">
        <f t="shared" si="167"/>
        <v>-767</v>
      </c>
    </row>
    <row r="271" spans="5:18">
      <c r="F271" s="207" t="s">
        <v>486</v>
      </c>
      <c r="G271" s="206">
        <f>G66</f>
        <v>45473</v>
      </c>
      <c r="H271" s="206">
        <f t="shared" ref="H271:Q271" si="168">H66</f>
        <v>45838</v>
      </c>
      <c r="I271" s="206">
        <f t="shared" si="168"/>
        <v>46203</v>
      </c>
      <c r="J271" s="206">
        <f t="shared" si="168"/>
        <v>46568</v>
      </c>
      <c r="K271" s="206">
        <f t="shared" si="168"/>
        <v>46934</v>
      </c>
      <c r="L271" s="206">
        <f t="shared" si="168"/>
        <v>47299</v>
      </c>
      <c r="M271" s="206">
        <f t="shared" si="168"/>
        <v>47664</v>
      </c>
      <c r="N271" s="206">
        <f t="shared" si="168"/>
        <v>48029</v>
      </c>
      <c r="O271" s="206">
        <f t="shared" si="168"/>
        <v>48395</v>
      </c>
      <c r="P271" s="206">
        <f t="shared" si="168"/>
        <v>48760</v>
      </c>
      <c r="Q271" s="206">
        <f t="shared" si="168"/>
        <v>49125</v>
      </c>
      <c r="R271" s="206">
        <f t="shared" ref="R271" si="169">Q271+365</f>
        <v>49490</v>
      </c>
    </row>
    <row r="272" spans="5:18">
      <c r="E272" s="12" t="s">
        <v>399</v>
      </c>
      <c r="F272" s="348">
        <f t="shared" ref="F272:P272" si="170">Z216</f>
        <v>5.6779709728409253</v>
      </c>
      <c r="G272" s="348">
        <f t="shared" si="170"/>
        <v>5.6779709728409253</v>
      </c>
      <c r="H272" s="348">
        <f t="shared" si="170"/>
        <v>5.6779709728409253</v>
      </c>
      <c r="I272" s="348">
        <f t="shared" si="170"/>
        <v>5.6779709728409253</v>
      </c>
      <c r="J272" s="348">
        <f t="shared" si="170"/>
        <v>5.6779709728409253</v>
      </c>
      <c r="K272" s="348">
        <f t="shared" si="170"/>
        <v>5.6779709728409253</v>
      </c>
      <c r="L272" s="348">
        <f t="shared" si="170"/>
        <v>5.6779709728409253</v>
      </c>
      <c r="M272" s="348">
        <f t="shared" si="170"/>
        <v>5.6779709728409253</v>
      </c>
      <c r="N272" s="348">
        <f t="shared" si="170"/>
        <v>5.6779709728409253</v>
      </c>
      <c r="O272" s="348">
        <f t="shared" si="170"/>
        <v>5.6779709728409253</v>
      </c>
      <c r="P272" s="348">
        <f t="shared" si="170"/>
        <v>5.6144378534554962</v>
      </c>
      <c r="Q272" s="348">
        <f>AK216</f>
        <v>5.6144378534554962</v>
      </c>
    </row>
  </sheetData>
  <sheetProtection formatCells="0" formatColumns="0" formatRows="0" selectLockedCells="1"/>
  <customSheetViews>
    <customSheetView guid="{0FAFE012-8D9E-4ED0-86A4-A997E430971B}" scale="70" showGridLines="0" fitToPage="1" hiddenRows="1" topLeftCell="K1">
      <selection activeCell="X30" sqref="X30"/>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50" priority="1" operator="lessThan">
      <formula>0</formula>
    </cfRule>
  </conditionalFormatting>
  <conditionalFormatting sqref="F46:Q47">
    <cfRule type="cellIs" dxfId="49" priority="3" operator="lessThan">
      <formula>0</formula>
    </cfRule>
  </conditionalFormatting>
  <conditionalFormatting sqref="F50:Q50">
    <cfRule type="cellIs" dxfId="48" priority="2" operator="lessThan">
      <formula>0</formula>
    </cfRule>
  </conditionalFormatting>
  <dataValidations count="3">
    <dataValidation type="list" allowBlank="1" showInputMessage="1" showErrorMessage="1" sqref="F141:G141" xr:uid="{1ADC0A3B-E8D7-4331-8539-75249486982A}">
      <formula1>"0.0 Stars,0.5 Stars,1.0 Stars,1.5 Stars,2.0 Stars,2.5 Stars,3.0 Stars,3.5 Stars,4.0 Stars,4.5 Stars,5.0 Stars,5.5 Stars,6.0 Stars,N/A"</formula1>
    </dataValidation>
    <dataValidation type="list" allowBlank="1" showInputMessage="1" showErrorMessage="1" sqref="E114" xr:uid="{FED4D710-7B32-43C1-9E00-0BE162E5C5C4}">
      <formula1>$BQ$155:$BQ$169</formula1>
    </dataValidation>
    <dataValidation type="list" allowBlank="1" showInputMessage="1" showErrorMessage="1" sqref="O114:Q114" xr:uid="{31E505AB-5DB8-4537-8DD0-805474805213}">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legacy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6640F-1CF6-4458-9332-B5385579F04E}">
  <sheetPr codeName="Sheet42">
    <tabColor theme="5"/>
    <pageSetUpPr fitToPage="1"/>
  </sheetPr>
  <dimension ref="A1:CJ272"/>
  <sheetViews>
    <sheetView showGridLines="0" topLeftCell="A11" zoomScaleNormal="100" workbookViewId="0">
      <selection activeCell="A20" sqref="A20:Q27"/>
    </sheetView>
  </sheetViews>
  <sheetFormatPr defaultColWidth="9.1796875" defaultRowHeight="12.5"/>
  <cols>
    <col min="1" max="1" width="14.81640625" style="12" customWidth="1"/>
    <col min="2" max="2" width="57.1796875"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4.5429687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168</v>
      </c>
      <c r="B2" s="1"/>
      <c r="C2" s="2"/>
      <c r="D2" s="2"/>
      <c r="E2" s="3"/>
      <c r="F2" s="2"/>
      <c r="G2" s="4"/>
      <c r="H2" s="4"/>
      <c r="J2" s="8"/>
      <c r="K2" s="8"/>
      <c r="L2" s="8"/>
      <c r="M2" s="8"/>
      <c r="N2" s="8"/>
      <c r="O2" s="8"/>
      <c r="P2" s="8"/>
      <c r="Q2" s="357"/>
      <c r="R2" s="366"/>
      <c r="S2" s="357"/>
      <c r="T2" s="8"/>
      <c r="U2" s="8"/>
    </row>
    <row r="3" spans="1:21" s="7" customFormat="1" ht="11.2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QLD2</v>
      </c>
      <c r="B6" s="368" t="s">
        <v>309</v>
      </c>
      <c r="C6" s="484" t="s">
        <v>41</v>
      </c>
      <c r="D6" s="485">
        <f>(VLOOKUP($A$2,Assumptions!$B$41:$C$63,2,0))/1000</f>
        <v>0.1443137680040685</v>
      </c>
      <c r="E6" s="367" t="s">
        <v>311</v>
      </c>
      <c r="F6" s="517">
        <f>VLOOKUP($A$2,'Footprint Summary'!$B$4:$R$26,COLUMNS('Footprint Summary'!$B$4:F$26)+1,0)</f>
        <v>894.80700000000002</v>
      </c>
      <c r="G6" s="517">
        <f>VLOOKUP($A$2,'Footprint Summary'!$B$4:$R$26,COLUMNS('Footprint Summary'!$B$4:G$26)+1,0)</f>
        <v>894.80700000000002</v>
      </c>
      <c r="H6" s="517">
        <f>VLOOKUP($A$2,'Footprint Summary'!$B$4:$R$26,COLUMNS('Footprint Summary'!$B$4:H$26)+1,0)</f>
        <v>894.80700000000002</v>
      </c>
      <c r="I6" s="517">
        <f>VLOOKUP($A$2,'Footprint Summary'!$B$4:$R$26,COLUMNS('Footprint Summary'!$B$4:I$26)+1,0)</f>
        <v>894.80700000000002</v>
      </c>
      <c r="J6" s="517">
        <f>VLOOKUP($A$2,'Footprint Summary'!$B$4:$R$26,COLUMNS('Footprint Summary'!$B$4:J$26)+1,0)</f>
        <v>894.80700000000002</v>
      </c>
      <c r="K6" s="517">
        <f>VLOOKUP($A$2,'Footprint Summary'!$B$4:$R$26,COLUMNS('Footprint Summary'!$B$4:K$26)+1,0)</f>
        <v>853.80700000000002</v>
      </c>
      <c r="L6" s="517">
        <f>VLOOKUP($A$2,'Footprint Summary'!$B$4:$R$26,COLUMNS('Footprint Summary'!$B$4:L$26)+1,0)</f>
        <v>853.80700000000002</v>
      </c>
      <c r="M6" s="517">
        <f>VLOOKUP($A$2,'Footprint Summary'!$B$4:$R$26,COLUMNS('Footprint Summary'!$B$4:M$26)+1,0)</f>
        <v>853.80700000000002</v>
      </c>
      <c r="N6" s="517">
        <f>VLOOKUP($A$2,'Footprint Summary'!$B$4:$R$26,COLUMNS('Footprint Summary'!$B$4:N$26)+1,0)</f>
        <v>853.80700000000002</v>
      </c>
      <c r="O6" s="517">
        <f>VLOOKUP($A$2,'Footprint Summary'!$B$4:$R$26,COLUMNS('Footprint Summary'!$B$4:O$26)+1,0)</f>
        <v>853.80700000000002</v>
      </c>
      <c r="P6" s="517">
        <f>VLOOKUP($A$2,'Footprint Summary'!$B$4:$R$26,COLUMNS('Footprint Summary'!$B$4:P$26)+1,0)</f>
        <v>853.80700000000002</v>
      </c>
      <c r="Q6" s="429">
        <f>(P6-F6)/F6</f>
        <v>-4.5819936589677999E-2</v>
      </c>
      <c r="R6" s="366"/>
      <c r="S6" s="357"/>
      <c r="T6" s="8"/>
      <c r="U6" s="8"/>
    </row>
    <row r="7" spans="1:21" s="7" customFormat="1" ht="17.25" customHeight="1">
      <c r="A7" s="368" t="str">
        <f>VLOOKUP($A$2,'Asset Attributes'!$B$3:$D$25,2,0)</f>
        <v>QLD2</v>
      </c>
      <c r="B7" s="368" t="s">
        <v>312</v>
      </c>
      <c r="E7" s="367" t="s">
        <v>311</v>
      </c>
      <c r="F7" s="518">
        <f>F6-$F$6</f>
        <v>0</v>
      </c>
      <c r="G7" s="518">
        <f t="shared" ref="G7:P7" si="1">G6-$F$6</f>
        <v>0</v>
      </c>
      <c r="H7" s="518">
        <f t="shared" si="1"/>
        <v>0</v>
      </c>
      <c r="I7" s="518">
        <f t="shared" si="1"/>
        <v>0</v>
      </c>
      <c r="J7" s="518">
        <f t="shared" si="1"/>
        <v>0</v>
      </c>
      <c r="K7" s="518">
        <f t="shared" si="1"/>
        <v>-41</v>
      </c>
      <c r="L7" s="518">
        <f t="shared" si="1"/>
        <v>-41</v>
      </c>
      <c r="M7" s="518">
        <f t="shared" si="1"/>
        <v>-41</v>
      </c>
      <c r="N7" s="518">
        <f t="shared" si="1"/>
        <v>-41</v>
      </c>
      <c r="O7" s="518">
        <f t="shared" si="1"/>
        <v>-41</v>
      </c>
      <c r="P7" s="518">
        <f t="shared" si="1"/>
        <v>-41</v>
      </c>
      <c r="Q7" s="490">
        <f>SUM(F7:P7)</f>
        <v>-246</v>
      </c>
      <c r="R7" s="366"/>
      <c r="S7" s="357"/>
      <c r="T7" s="8"/>
      <c r="U7" s="8"/>
    </row>
    <row r="8" spans="1:21" s="7" customFormat="1" ht="17.25" customHeight="1">
      <c r="A8" s="419" t="s">
        <v>284</v>
      </c>
      <c r="B8" s="368" t="s">
        <v>313</v>
      </c>
      <c r="C8" s="2"/>
      <c r="D8" s="486">
        <f>(VLOOKUP($A$2,Assumptions!$B$69:$C$91,2,0))</f>
        <v>0</v>
      </c>
      <c r="E8" s="422" t="s">
        <v>314</v>
      </c>
      <c r="F8" s="519">
        <f>VLOOKUP($A$2,'Footprint Summary'!$B$33:$R$55,COLUMNS('Footprint Summary'!$B$33:F$55)+1,0)</f>
        <v>0</v>
      </c>
      <c r="G8" s="519">
        <f>VLOOKUP($A$2,'Footprint Summary'!$B$33:$R$55,COLUMNS('Footprint Summary'!$B$33:G$55)+1,0)</f>
        <v>0</v>
      </c>
      <c r="H8" s="519">
        <f>VLOOKUP($A$2,'Footprint Summary'!$B$33:$R$55,COLUMNS('Footprint Summary'!$B$33:H$55)+1,0)</f>
        <v>0</v>
      </c>
      <c r="I8" s="519">
        <f>VLOOKUP($A$2,'Footprint Summary'!$B$33:$R$55,COLUMNS('Footprint Summary'!$B$33:I$55)+1,0)</f>
        <v>0</v>
      </c>
      <c r="J8" s="519">
        <f>VLOOKUP($A$2,'Footprint Summary'!$B$33:$R$55,COLUMNS('Footprint Summary'!$B$33:J$55)+1,0)</f>
        <v>0</v>
      </c>
      <c r="K8" s="519">
        <f>VLOOKUP($A$2,'Footprint Summary'!$B$33:$R$55,COLUMNS('Footprint Summary'!$B$33:K$55)+1,0)</f>
        <v>0</v>
      </c>
      <c r="L8" s="519">
        <f>VLOOKUP($A$2,'Footprint Summary'!$B$33:$R$55,COLUMNS('Footprint Summary'!$B$33:L$55)+1,0)</f>
        <v>0</v>
      </c>
      <c r="M8" s="519">
        <f>VLOOKUP($A$2,'Footprint Summary'!$B$33:$R$55,COLUMNS('Footprint Summary'!$B$33:M$55)+1,0)</f>
        <v>0</v>
      </c>
      <c r="N8" s="519">
        <f>VLOOKUP($A$2,'Footprint Summary'!$B$33:$R$55,COLUMNS('Footprint Summary'!$B$33:N$55)+1,0)</f>
        <v>0</v>
      </c>
      <c r="O8" s="519">
        <f>VLOOKUP($A$2,'Footprint Summary'!$B$33:$R$55,COLUMNS('Footprint Summary'!$B$33:O$55)+1,0)</f>
        <v>0</v>
      </c>
      <c r="P8" s="519">
        <f>VLOOKUP($A$2,'Footprint Summary'!$B$33:$R$55,COLUMNS('Footprint Summary'!$B$33:P$55)+1,0)</f>
        <v>0</v>
      </c>
      <c r="Q8" s="429" t="e">
        <f>(P8-F8)/F8</f>
        <v>#DIV/0!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1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QLD2</v>
      </c>
      <c r="B13" s="368" t="s">
        <v>317</v>
      </c>
      <c r="C13" s="367"/>
      <c r="D13" s="2"/>
      <c r="E13" s="367" t="s">
        <v>321</v>
      </c>
      <c r="F13" s="367">
        <f>VLOOKUP($A$2,'Footprint Summary'!$B$4:$R$26,COLUMNS('Footprint Summary'!$B$4:F$26)+1,0)*VLOOKUP($A$13,Assumptions!$A$4:$N$14,COLUMNS(Assumptions!$A$4:B$14)+1,0)</f>
        <v>787.43016</v>
      </c>
      <c r="G13" s="367">
        <f>VLOOKUP($A$2,'Footprint Summary'!$B$4:$R$26,COLUMNS('Footprint Summary'!$B$4:G$26)+1,0)*VLOOKUP($A$13,Assumptions!$A$4:$N$14,COLUMNS(Assumptions!$A$4:C$14)+1,0)</f>
        <v>393.71508</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0</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t="e">
        <f>(F14-P14)/F14</f>
        <v>#DIV/0!</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97.845387975000008</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885.27554797499999</v>
      </c>
      <c r="G16" s="434">
        <f t="shared" ref="G16:P16" si="4">SUM(G13:G15)</f>
        <v>393.71508</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D17" s="668" t="s">
        <v>716</v>
      </c>
      <c r="E17" s="367" t="s">
        <v>322</v>
      </c>
      <c r="F17" s="428">
        <f>1000*F16/(VLOOKUP($A$2,'Asset Attributes'!$B$3:$D$25,3,0))</f>
        <v>35.719639605188831</v>
      </c>
      <c r="G17" s="428">
        <f>1000*G16/(VLOOKUP($A$2,'Asset Attributes'!$B$3:$D$25,3,0))</f>
        <v>15.885857004519044</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Summary'!$B$244:$R$266,COLUMNS('Footprint Summary'!$B$244:G$266)+1,0))</f>
        <v>0</v>
      </c>
      <c r="H20" s="499">
        <f>-1*(VLOOKUP($A$2,'Footprint Summary'!$B$244:$R$266,COLUMNS('Footprint Summary'!$B$244:H$266)+1,0))</f>
        <v>0</v>
      </c>
      <c r="I20" s="499">
        <f>-1*(VLOOKUP($A$2,'Footprint Summary'!$B$244:$R$266,COLUMNS('Footprint Summary'!$B$244:I$266)+1,0))</f>
        <v>0</v>
      </c>
      <c r="J20" s="499">
        <f>-1*(VLOOKUP($A$2,'Footprint Summary'!$B$244:$R$266,COLUMNS('Footprint Summary'!$B$244:J$266)+1,0))</f>
        <v>0</v>
      </c>
      <c r="K20" s="499">
        <f>-1*(VLOOKUP($A$2,'Footprint Summary'!$B$244:$R$266,COLUMNS('Footprint Summary'!$B$244:K$266)+1,0))</f>
        <v>19.762</v>
      </c>
      <c r="L20" s="499">
        <f>-1*(VLOOKUP($A$2,'Footprint Summary'!$B$244:$R$266,COLUMNS('Footprint Summary'!$B$244:L$266)+1,0))</f>
        <v>18.655000000000001</v>
      </c>
      <c r="M20" s="499">
        <f>-1*(VLOOKUP($A$2,'Footprint Summary'!$B$244:$R$266,COLUMNS('Footprint Summary'!$B$244:M$266)+1,0))</f>
        <v>17.588999999999999</v>
      </c>
      <c r="N20" s="499">
        <f>-1*(VLOOKUP($A$2,'Footprint Summary'!$B$244:$R$266,COLUMNS('Footprint Summary'!$B$244:N$266)+1,0))</f>
        <v>16.564</v>
      </c>
      <c r="O20" s="499">
        <f>-1*(VLOOKUP($A$2,'Footprint Summary'!$B$244:$R$266,COLUMNS('Footprint Summary'!$B$244:O$266)+1,0))</f>
        <v>15.662000000000001</v>
      </c>
      <c r="P20" s="499">
        <f>-1*(VLOOKUP($A$2,'Footprint Summary'!$B$244:$R$266,COLUMNS('Footprint Summary'!$B$244:P$266)+1,0))</f>
        <v>15.087999999999999</v>
      </c>
      <c r="Q20" s="499">
        <f>SUM(G20:P20)</f>
        <v>103.32</v>
      </c>
      <c r="R20" s="366"/>
      <c r="S20" s="357"/>
      <c r="T20" s="8"/>
      <c r="U20" s="8"/>
    </row>
    <row r="21" spans="1:21" s="7" customFormat="1" ht="19.5" customHeight="1">
      <c r="A21" s="368" t="str">
        <f>VLOOKUP($A$2,'Asset Attributes'!$B$3:$D$25,2,0)</f>
        <v>QLD2</v>
      </c>
      <c r="B21" s="368" t="s">
        <v>326</v>
      </c>
      <c r="E21" s="367" t="s">
        <v>321</v>
      </c>
      <c r="F21" s="499">
        <f>-1*(VLOOKUP($A$2,'Footprint Summary'!$B$302:$R$324,COLUMNS('Footprint Summary'!$B$302:F324)+1,0))</f>
        <v>0</v>
      </c>
      <c r="G21" s="499">
        <f>-1*(VLOOKUP($A$2,'Footprint Summary'!$B$302:$R$324,COLUMNS('Footprint Summary'!$B$302:G324)+1,0))</f>
        <v>393.71508</v>
      </c>
      <c r="H21" s="499">
        <f>-1*(VLOOKUP($A$2,'Footprint Summary'!$B$302:$R$324,COLUMNS('Footprint Summary'!$B$302:H324)+1,0))</f>
        <v>550.30630499999995</v>
      </c>
      <c r="I21" s="499">
        <f>-1*(VLOOKUP($A$2,'Footprint Summary'!$B$302:$R$324,COLUMNS('Footprint Summary'!$B$302:I324)+1,0))</f>
        <v>486.77500800000007</v>
      </c>
      <c r="J21" s="499">
        <f>-1*(VLOOKUP($A$2,'Footprint Summary'!$B$302:$R$324,COLUMNS('Footprint Summary'!$B$302:J324)+1,0))</f>
        <v>457.246377</v>
      </c>
      <c r="K21" s="499">
        <f>-1*(VLOOKUP($A$2,'Footprint Summary'!$B$302:$R$324,COLUMNS('Footprint Summary'!$B$302:K324)+1,0))</f>
        <v>411.53497399999998</v>
      </c>
      <c r="L21" s="499">
        <f>-1*(VLOOKUP($A$2,'Footprint Summary'!$B$302:$R$324,COLUMNS('Footprint Summary'!$B$302:L324)+1,0))</f>
        <v>388.48218500000002</v>
      </c>
      <c r="M21" s="499">
        <f>-1*(VLOOKUP($A$2,'Footprint Summary'!$B$302:$R$324,COLUMNS('Footprint Summary'!$B$302:M324)+1,0))</f>
        <v>366.28320300000001</v>
      </c>
      <c r="N21" s="499">
        <f>-1*(VLOOKUP($A$2,'Footprint Summary'!$B$302:$R$324,COLUMNS('Footprint Summary'!$B$302:N324)+1,0))</f>
        <v>344.93802800000003</v>
      </c>
      <c r="O21" s="499">
        <f>-1*(VLOOKUP($A$2,'Footprint Summary'!$B$302:$R$324,COLUMNS('Footprint Summary'!$B$302:O324)+1,0))</f>
        <v>326.15427399999999</v>
      </c>
      <c r="P21" s="499">
        <f>-1*(VLOOKUP($A$2,'Footprint Summary'!$B$302:$R$324,COLUMNS('Footprint Summary'!$B$302:P324)+1,0))</f>
        <v>314.20097600000003</v>
      </c>
      <c r="Q21" s="499">
        <f t="shared" ref="Q21:Q27" si="6">SUM(G21:P21)</f>
        <v>4039.6364100000001</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0</v>
      </c>
      <c r="H22" s="499">
        <f>(VLOOKUP($A$2,'Footprint Summary'!$B$33:$R$55,COLUMNS('Footprint Summary'!$B$33:H$55)+1,0)*VLOOKUP($B$14,Assumptions!$B$17:$N$29,COLUMNS(Assumptions!$B$18:D$29)+1,0)/1000)</f>
        <v>0</v>
      </c>
      <c r="I22" s="499">
        <f>(VLOOKUP($A$2,'Footprint Summary'!$B$33:$R$55,COLUMNS('Footprint Summary'!$B$33:I$55)+1,0)*VLOOKUP($B$14,Assumptions!$B$17:$N$29,COLUMNS(Assumptions!$B$18:E$29)+1,0)/1000)</f>
        <v>0</v>
      </c>
      <c r="J22" s="499">
        <f>(VLOOKUP($A$2,'Footprint Summary'!$B$33:$R$55,COLUMNS('Footprint Summary'!$B$33:J$55)+1,0)*VLOOKUP($B$14,Assumptions!$B$17:$N$29,COLUMNS(Assumptions!$B$18:F$29)+1,0)/1000)</f>
        <v>0</v>
      </c>
      <c r="K22" s="499">
        <f>(VLOOKUP($A$2,'Footprint Summary'!$B$33:$R$55,COLUMNS('Footprint Summary'!$B$33:K$55)+1,0)*VLOOKUP($B$14,Assumptions!$B$17:$N$29,COLUMNS(Assumptions!$B$18:G$29)+1,0)/1000)</f>
        <v>0</v>
      </c>
      <c r="L22" s="499">
        <f>(VLOOKUP($A$2,'Footprint Summary'!$B$33:$R$55,COLUMNS('Footprint Summary'!$B$33:L$55)+1,0)*VLOOKUP($B$14,Assumptions!$B$17:$N$29,COLUMNS(Assumptions!$B$18:H$29)+1,0)/1000)</f>
        <v>0</v>
      </c>
      <c r="M22" s="499">
        <f>(VLOOKUP($A$2,'Footprint Summary'!$B$33:$R$55,COLUMNS('Footprint Summary'!$B$33:M$55)+1,0)*VLOOKUP($B$14,Assumptions!$B$17:$N$29,COLUMNS(Assumptions!$B$18:I$29)+1,0)/1000)</f>
        <v>0</v>
      </c>
      <c r="N22" s="499">
        <f>(VLOOKUP($A$2,'Footprint Summary'!$B$33:$R$55,COLUMNS('Footprint Summary'!$B$33:N$55)+1,0)*VLOOKUP($B$14,Assumptions!$B$17:$N$29,COLUMNS(Assumptions!$B$18:J$29)+1,0)/1000)</f>
        <v>0</v>
      </c>
      <c r="O22" s="499">
        <f>(VLOOKUP($A$2,'Footprint Summary'!$B$33:$R$55,COLUMNS('Footprint Summary'!$B$33:O$55)+1,0)*VLOOKUP($B$14,Assumptions!$B$17:$N$29,COLUMNS(Assumptions!$B$18:K$29)+1,0)/1000)</f>
        <v>0</v>
      </c>
      <c r="P22" s="499">
        <f>(VLOOKUP($A$2,'Footprint Summary'!$B$33:$R$55,COLUMNS('Footprint Summary'!$B$33:P$55)+1,0)*VLOOKUP($B$14,Assumptions!$B$17:$N$29,COLUMNS(Assumptions!$B$18:L$29)+1,0)/1000)</f>
        <v>0</v>
      </c>
      <c r="Q22" s="499">
        <f t="shared" si="6"/>
        <v>0</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89.570962375000008</v>
      </c>
      <c r="H24" s="499">
        <f>VLOOKUP($A$2,'Footprint Summary'!$B$216:$R$238,COLUMNS('Footprint Summary'!$B$216:H238)+1,0)</f>
        <v>81.296536775000007</v>
      </c>
      <c r="I24" s="499">
        <f>VLOOKUP($A$2,'Footprint Summary'!$B$216:$R$238,COLUMNS('Footprint Summary'!$B$216:I238)+1,0)</f>
        <v>73.022111175000006</v>
      </c>
      <c r="J24" s="499">
        <f>VLOOKUP($A$2,'Footprint Summary'!$B$216:$R$238,COLUMNS('Footprint Summary'!$B$216:J238)+1,0)</f>
        <v>64.747685575000006</v>
      </c>
      <c r="K24" s="499">
        <f>VLOOKUP($A$2,'Footprint Summary'!$B$216:$R$238,COLUMNS('Footprint Summary'!$B$216:K238)+1,0)</f>
        <v>56.473259975000005</v>
      </c>
      <c r="L24" s="499">
        <f>VLOOKUP($A$2,'Footprint Summary'!$B$216:$R$238,COLUMNS('Footprint Summary'!$B$216:L238)+1,0)</f>
        <v>48.198834375000004</v>
      </c>
      <c r="M24" s="499">
        <f>VLOOKUP($A$2,'Footprint Summary'!$B$216:$R$238,COLUMNS('Footprint Summary'!$B$216:M238)+1,0)</f>
        <v>39.924408775000003</v>
      </c>
      <c r="N24" s="499">
        <f>VLOOKUP($A$2,'Footprint Summary'!$B$216:$R$238,COLUMNS('Footprint Summary'!$B$216:N238)+1,0)</f>
        <v>31.649983174999999</v>
      </c>
      <c r="O24" s="499">
        <f>VLOOKUP($A$2,'Footprint Summary'!$B$216:$R$238,COLUMNS('Footprint Summary'!$B$216:O238)+1,0)</f>
        <v>23.375557574999998</v>
      </c>
      <c r="P24" s="499">
        <f>VLOOKUP($A$2,'Footprint Summary'!$B$216:$R$238,COLUMNS('Footprint Summary'!$B$216:P238)+1,0)</f>
        <v>23.375557574999998</v>
      </c>
      <c r="Q24" s="499">
        <f t="shared" si="6"/>
        <v>531.63489735000007</v>
      </c>
      <c r="R24" s="366"/>
      <c r="S24" s="357"/>
      <c r="T24" s="8"/>
      <c r="U24" s="8"/>
    </row>
    <row r="25" spans="1:21" s="7" customFormat="1" ht="19.5" customHeight="1">
      <c r="A25" s="658" t="s">
        <v>319</v>
      </c>
      <c r="B25" s="658" t="s">
        <v>319</v>
      </c>
      <c r="C25" s="659"/>
      <c r="D25" s="659"/>
      <c r="E25" s="660" t="s">
        <v>321</v>
      </c>
      <c r="F25" s="656">
        <f>VLOOKUP($A$2,'Footprint Summary'!$B$216:$R$238,COLUMNS('Footprint Summary'!$B$216:F238)+1,0)-F24</f>
        <v>97.845387975000008</v>
      </c>
      <c r="G25" s="656">
        <f>VLOOKUP($A$2,'Footprint Summary'!$B$216:$R$238,COLUMNS('Footprint Summary'!$B$216:G238)+1,0)-G24</f>
        <v>0</v>
      </c>
      <c r="H25" s="656">
        <f>VLOOKUP($A$2,'Footprint Summary'!$B$216:$R$238,COLUMNS('Footprint Summary'!$B$216:H238)+1,0)-H24</f>
        <v>0</v>
      </c>
      <c r="I25" s="656">
        <f>VLOOKUP($A$2,'Footprint Summary'!$B$216:$R$238,COLUMNS('Footprint Summary'!$B$216:I238)+1,0)-I24</f>
        <v>0</v>
      </c>
      <c r="J25" s="656">
        <f>VLOOKUP($A$2,'Footprint Summary'!$B$216:$R$238,COLUMNS('Footprint Summary'!$B$216:J238)+1,0)-J24</f>
        <v>0</v>
      </c>
      <c r="K25" s="656">
        <f>VLOOKUP($A$2,'Footprint Summary'!$B$216:$R$238,COLUMNS('Footprint Summary'!$B$216:K238)+1,0)-K24</f>
        <v>0</v>
      </c>
      <c r="L25" s="656">
        <f>VLOOKUP($A$2,'Footprint Summary'!$B$216:$R$238,COLUMNS('Footprint Summary'!$B$216:L238)+1,0)-L24</f>
        <v>0</v>
      </c>
      <c r="M25" s="656">
        <f>VLOOKUP($A$2,'Footprint Summary'!$B$216:$R$238,COLUMNS('Footprint Summary'!$B$216:M238)+1,0)-M24</f>
        <v>0</v>
      </c>
      <c r="N25" s="656">
        <f>VLOOKUP($A$2,'Footprint Summary'!$B$216:$R$238,COLUMNS('Footprint Summary'!$B$216:N238)+1,0)-N24</f>
        <v>0</v>
      </c>
      <c r="O25" s="656">
        <f>VLOOKUP($A$2,'Footprint Summary'!$B$216:$R$238,COLUMNS('Footprint Summary'!$B$216:O238)+1,0)-O24</f>
        <v>0</v>
      </c>
      <c r="P25" s="656">
        <f>VLOOKUP($A$2,'Footprint Summary'!$B$216:$R$238,COLUMNS('Footprint Summary'!$B$216:P238)+1,0)-P24</f>
        <v>0</v>
      </c>
      <c r="Q25" s="656">
        <f t="shared" si="6"/>
        <v>0</v>
      </c>
      <c r="R25" s="366"/>
      <c r="S25" s="357"/>
      <c r="T25" s="8"/>
      <c r="U25" s="8"/>
    </row>
    <row r="26" spans="1:21" s="7" customFormat="1" ht="19.5" customHeight="1">
      <c r="A26" s="658" t="s">
        <v>284</v>
      </c>
      <c r="B26" s="661" t="s">
        <v>285</v>
      </c>
      <c r="C26" s="659"/>
      <c r="D26" s="659"/>
      <c r="E26" s="660" t="s">
        <v>321</v>
      </c>
      <c r="F26" s="656">
        <f>(VLOOKUP($A$2,'Footprint Summary'!$B$33:$R$55,COLUMNS('Footprint Summary'!$B$33:F$55)+1,0)*VLOOKUP($B$14,Assumptions!$B$17:$N$29,COLUMNS(Assumptions!$B$18:B$29)+1,0)/1000)-F22</f>
        <v>0</v>
      </c>
      <c r="G26" s="656">
        <f>(VLOOKUP($A$2,'Footprint Summary'!$B$33:$R$55,COLUMNS('Footprint Summary'!$B$33:G$55)+1,0)*VLOOKUP($B$14,Assumptions!$B$17:$N$29,COLUMNS(Assumptions!$B$18:C$29)+1,0)/1000)-G22</f>
        <v>0</v>
      </c>
      <c r="H26" s="656">
        <f>(VLOOKUP($A$2,'Footprint Summary'!$B$33:$R$55,COLUMNS('Footprint Summary'!$B$33:H$55)+1,0)*VLOOKUP($B$14,Assumptions!$B$17:$N$29,COLUMNS(Assumptions!$B$18:D$29)+1,0)/1000)-H22</f>
        <v>0</v>
      </c>
      <c r="I26" s="656">
        <f>(VLOOKUP($A$2,'Footprint Summary'!$B$33:$R$55,COLUMNS('Footprint Summary'!$B$33:I$55)+1,0)*VLOOKUP($B$14,Assumptions!$B$17:$N$29,COLUMNS(Assumptions!$B$18:E$29)+1,0)/1000)-I22</f>
        <v>0</v>
      </c>
      <c r="J26" s="656">
        <f>(VLOOKUP($A$2,'Footprint Summary'!$B$33:$R$55,COLUMNS('Footprint Summary'!$B$33:J$55)+1,0)*VLOOKUP($B$14,Assumptions!$B$17:$N$29,COLUMNS(Assumptions!$B$18:F$29)+1,0)/1000)-J22</f>
        <v>0</v>
      </c>
      <c r="K26" s="656">
        <f>(VLOOKUP($A$2,'Footprint Summary'!$B$33:$R$55,COLUMNS('Footprint Summary'!$B$33:K$55)+1,0)*VLOOKUP($B$14,Assumptions!$B$17:$N$29,COLUMNS(Assumptions!$B$18:G$29)+1,0)/1000)-K22</f>
        <v>0</v>
      </c>
      <c r="L26" s="656">
        <f>(VLOOKUP($A$2,'Footprint Summary'!$B$33:$R$55,COLUMNS('Footprint Summary'!$B$33:L$55)+1,0)*VLOOKUP($B$14,Assumptions!$B$17:$N$29,COLUMNS(Assumptions!$B$18:H$29)+1,0)/1000)-L22</f>
        <v>0</v>
      </c>
      <c r="M26" s="656">
        <f>(VLOOKUP($A$2,'Footprint Summary'!$B$33:$R$55,COLUMNS('Footprint Summary'!$B$33:M$55)+1,0)*VLOOKUP($B$14,Assumptions!$B$17:$N$29,COLUMNS(Assumptions!$B$18:I$29)+1,0)/1000)-M22</f>
        <v>0</v>
      </c>
      <c r="N26" s="656">
        <f>(VLOOKUP($A$2,'Footprint Summary'!$B$33:$R$55,COLUMNS('Footprint Summary'!$B$33:N$55)+1,0)*VLOOKUP($B$14,Assumptions!$B$17:$N$29,COLUMNS(Assumptions!$B$18:J$29)+1,0)/1000)-N22</f>
        <v>0</v>
      </c>
      <c r="O26" s="656">
        <f>(VLOOKUP($A$2,'Footprint Summary'!$B$33:$R$55,COLUMNS('Footprint Summary'!$B$33:O$55)+1,0)*VLOOKUP($B$14,Assumptions!$B$17:$N$29,COLUMNS(Assumptions!$B$18:K$29)+1,0)/1000)-O22</f>
        <v>0</v>
      </c>
      <c r="P26" s="656">
        <f>(VLOOKUP($A$2,'Footprint Summary'!$B$33:$R$55,COLUMNS('Footprint Summary'!$B$33:P$55)+1,0)*VLOOKUP($B$14,Assumptions!$B$17:$N$29,COLUMNS(Assumptions!$B$18:L$29)+1,0)/1000)-P22</f>
        <v>0</v>
      </c>
      <c r="Q26" s="656">
        <f t="shared" si="6"/>
        <v>0</v>
      </c>
      <c r="R26" s="366"/>
      <c r="S26" s="357"/>
      <c r="T26" s="8"/>
      <c r="U26" s="8"/>
    </row>
    <row r="27" spans="1:21" s="7" customFormat="1" ht="19.5" customHeight="1">
      <c r="A27" s="661" t="str">
        <f>VLOOKUP($A$2,'Asset Attributes'!$B$3:$D$25,2,0)</f>
        <v>QLD2</v>
      </c>
      <c r="B27" s="661" t="s">
        <v>330</v>
      </c>
      <c r="C27" s="659"/>
      <c r="D27" s="659"/>
      <c r="E27" s="660" t="s">
        <v>321</v>
      </c>
      <c r="F27" s="657">
        <f>VLOOKUP($A$2,'Footprint Summary'!$B$4:$R$26,COLUMNS('Footprint Summary'!$B$4:F$26)+1,0)*VLOOKUP($A$13,Assumptions!$A$4:$N$14,COLUMNS(Assumptions!$A$4:B$14)+1,0)</f>
        <v>787.43016</v>
      </c>
      <c r="G27" s="656">
        <f>VLOOKUP($A$2,'Footprint Summary'!$B$4:$R$26,COLUMNS('Footprint Summary'!$B$4:G$26)+1,0)*VLOOKUP($A$13,Assumptions!$A$4:$N$14,COLUMNS(Assumptions!$A$4:C$14)+1,0)</f>
        <v>393.71508</v>
      </c>
      <c r="H27" s="656">
        <f>VLOOKUP($A$2,'Footprint Summary'!$B$4:$R$26,COLUMNS('Footprint Summary'!$B$4:H$26)+1,0)*VLOOKUP($A$13,Assumptions!$A$4:$N$14,COLUMNS(Assumptions!$A$4:D$14)+1,0)</f>
        <v>0</v>
      </c>
      <c r="I27" s="656">
        <f>VLOOKUP($A$2,'Footprint Summary'!$B$4:$R$26,COLUMNS('Footprint Summary'!$B$4:I$26)+1,0)*VLOOKUP($A$13,Assumptions!$A$4:$N$14,COLUMNS(Assumptions!$A$4:E$14)+1,0)</f>
        <v>0</v>
      </c>
      <c r="J27" s="656">
        <f>VLOOKUP($A$2,'Footprint Summary'!$B$4:$R$26,COLUMNS('Footprint Summary'!$B$4:J$26)+1,0)*VLOOKUP($A$13,Assumptions!$A$4:$N$14,COLUMNS(Assumptions!$A$4:F$14)+1,0)</f>
        <v>0</v>
      </c>
      <c r="K27" s="656">
        <f>VLOOKUP($A$2,'Footprint Summary'!$B$4:$R$26,COLUMNS('Footprint Summary'!$B$4:K$26)+1,0)*VLOOKUP($A$13,Assumptions!$A$4:$N$14,COLUMNS(Assumptions!$A$4:G$14)+1,0)</f>
        <v>0</v>
      </c>
      <c r="L27" s="656">
        <f>VLOOKUP($A$2,'Footprint Summary'!$B$4:$R$26,COLUMNS('Footprint Summary'!$B$4:L$26)+1,0)*VLOOKUP($A$13,Assumptions!$A$4:$N$14,COLUMNS(Assumptions!$A$4:H$14)+1,0)</f>
        <v>0</v>
      </c>
      <c r="M27" s="656">
        <f>VLOOKUP($A$2,'Footprint Summary'!$B$4:$R$26,COLUMNS('Footprint Summary'!$B$4:M$26)+1,0)*VLOOKUP($A$13,Assumptions!$A$4:$N$14,COLUMNS(Assumptions!$A$4:I$14)+1,0)</f>
        <v>0</v>
      </c>
      <c r="N27" s="656">
        <f>VLOOKUP($A$2,'Footprint Summary'!$B$4:$R$26,COLUMNS('Footprint Summary'!$B$4:N$26)+1,0)*VLOOKUP($A$13,Assumptions!$A$4:$N$14,COLUMNS(Assumptions!$A$4:J$14)+1,0)</f>
        <v>0</v>
      </c>
      <c r="O27" s="656">
        <f>VLOOKUP($A$2,'Footprint Summary'!$B$4:$R$26,COLUMNS('Footprint Summary'!$B$4:O$26)+1,0)*VLOOKUP($A$13,Assumptions!$A$4:$N$14,COLUMNS(Assumptions!$A$4:K$14)+1,0)</f>
        <v>0</v>
      </c>
      <c r="P27" s="656">
        <f>VLOOKUP($A$2,'Footprint Summary'!$B$4:$R$26,COLUMNS('Footprint Summary'!$B$4:P$26)+1,0)*VLOOKUP($A$13,Assumptions!$A$4:$N$14,COLUMNS(Assumptions!$A$4:L$14)+1,0)</f>
        <v>0</v>
      </c>
      <c r="Q27" s="656">
        <f t="shared" si="6"/>
        <v>393.71508</v>
      </c>
      <c r="R27" s="366"/>
      <c r="S27" s="357"/>
      <c r="T27" s="8"/>
      <c r="U27" s="8"/>
    </row>
    <row r="28" spans="1:21" s="7" customFormat="1" ht="19.5" customHeight="1" thickBot="1">
      <c r="E28" s="425" t="s">
        <v>321</v>
      </c>
      <c r="F28" s="434">
        <f>SUM(F20:F24)</f>
        <v>0</v>
      </c>
      <c r="G28" s="434">
        <f>SUM(G20:G24)</f>
        <v>483.28604237500002</v>
      </c>
      <c r="H28" s="434">
        <f>SUM(H20:H24)</f>
        <v>631.602841775</v>
      </c>
      <c r="I28" s="434">
        <f t="shared" ref="I28:Q28" si="7">SUM(I20:I24)</f>
        <v>559.79711917500003</v>
      </c>
      <c r="J28" s="434">
        <f t="shared" si="7"/>
        <v>521.99406257500004</v>
      </c>
      <c r="K28" s="434">
        <f t="shared" si="7"/>
        <v>487.770233975</v>
      </c>
      <c r="L28" s="434">
        <f t="shared" si="7"/>
        <v>455.33601937500003</v>
      </c>
      <c r="M28" s="434">
        <f t="shared" si="7"/>
        <v>423.79661177500003</v>
      </c>
      <c r="N28" s="434">
        <f t="shared" si="7"/>
        <v>393.15201117500004</v>
      </c>
      <c r="O28" s="434">
        <f t="shared" si="7"/>
        <v>365.19183157499998</v>
      </c>
      <c r="P28" s="434">
        <f t="shared" si="7"/>
        <v>352.66453357500006</v>
      </c>
      <c r="Q28" s="434">
        <f t="shared" si="7"/>
        <v>4674.5913073499996</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8">G55</f>
        <v>CURRENT</v>
      </c>
      <c r="H30" s="200" t="str">
        <f t="shared" si="8"/>
        <v>FY25</v>
      </c>
      <c r="I30" s="200" t="str">
        <f t="shared" si="8"/>
        <v>FY26</v>
      </c>
      <c r="J30" s="200" t="str">
        <f t="shared" si="8"/>
        <v>FY27</v>
      </c>
      <c r="K30" s="200" t="str">
        <f t="shared" si="8"/>
        <v>FY28</v>
      </c>
      <c r="L30" s="200" t="str">
        <f t="shared" si="8"/>
        <v>FY29</v>
      </c>
      <c r="M30" s="200" t="str">
        <f t="shared" si="8"/>
        <v>FY30</v>
      </c>
      <c r="N30" s="200" t="str">
        <f t="shared" si="8"/>
        <v>FY31</v>
      </c>
      <c r="O30" s="200" t="str">
        <f t="shared" si="8"/>
        <v>FY32</v>
      </c>
      <c r="P30" s="200" t="str">
        <f t="shared" si="8"/>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141048.53000000003</v>
      </c>
      <c r="G32" s="424">
        <f>VLOOKUP($A$2,'Costs Summary'!$B$154:$R$176,COLUMNS('Costs Summary'!$B$154:G$176)+1,0)</f>
        <v>167872.86074834148</v>
      </c>
      <c r="H32" s="424">
        <f>VLOOKUP($A$2,'Costs Summary'!$B$154:$R$176,COLUMNS('Costs Summary'!$B$154:H$176)+1,0)</f>
        <v>173748.41087453341</v>
      </c>
      <c r="I32" s="424">
        <f>VLOOKUP($A$2,'Costs Summary'!$B$154:$R$176,COLUMNS('Costs Summary'!$B$154:I$176)+1,0)</f>
        <v>179829.60525514206</v>
      </c>
      <c r="J32" s="424">
        <f>VLOOKUP($A$2,'Costs Summary'!$B$154:$R$176,COLUMNS('Costs Summary'!$B$154:J$176)+1,0)</f>
        <v>186123.641439072</v>
      </c>
      <c r="K32" s="424">
        <f>VLOOKUP($A$2,'Costs Summary'!$B$154:$R$176,COLUMNS('Costs Summary'!$B$154:K$176)+1,0)</f>
        <v>192637.96888943951</v>
      </c>
      <c r="L32" s="424">
        <f>VLOOKUP($A$2,'Costs Summary'!$B$154:$R$176,COLUMNS('Costs Summary'!$B$154:L$176)+1,0)</f>
        <v>199380.29780056988</v>
      </c>
      <c r="M32" s="424">
        <f>VLOOKUP($A$2,'Costs Summary'!$B$154:$R$176,COLUMNS('Costs Summary'!$B$154:M$176)+1,0)</f>
        <v>206358.60822358981</v>
      </c>
      <c r="N32" s="424">
        <f>VLOOKUP($A$2,'Costs Summary'!$B$154:$R$176,COLUMNS('Costs Summary'!$B$154:N$176)+1,0)</f>
        <v>247630.32986830777</v>
      </c>
      <c r="O32" s="424">
        <f>VLOOKUP($A$2,'Costs Summary'!$B$154:$R$176,COLUMNS('Costs Summary'!$B$154:O$176)+1,0)</f>
        <v>256297.39141369853</v>
      </c>
      <c r="P32" s="424">
        <f>VLOOKUP($A$2,'Costs Summary'!$B$154:$R$176,COLUMNS('Costs Summary'!$B$154:P$176)+1,0)</f>
        <v>265267.80011317797</v>
      </c>
      <c r="Q32" s="433">
        <f>SUM(G32:P32)</f>
        <v>2075146.9146258724</v>
      </c>
      <c r="R32" s="366"/>
      <c r="S32" s="357"/>
      <c r="T32" s="8"/>
      <c r="U32" s="8"/>
    </row>
    <row r="33" spans="1:21" s="7" customFormat="1" ht="17.25" customHeight="1">
      <c r="A33" s="368" t="s">
        <v>284</v>
      </c>
      <c r="B33" s="368" t="s">
        <v>335</v>
      </c>
      <c r="C33" s="423"/>
      <c r="D33" s="423"/>
      <c r="E33" s="423"/>
      <c r="F33" s="424">
        <f>VLOOKUP($A$2,'Costs Summary'!$B$183:$R$205,COLUMNS('Costs Summary'!$B$183:F$205)+1,0)</f>
        <v>0</v>
      </c>
      <c r="G33" s="424">
        <f>VLOOKUP($A$2,'Costs Summary'!$B$183:$R$205,COLUMNS('Costs Summary'!$B$183:G$205)+1,0)</f>
        <v>0</v>
      </c>
      <c r="H33" s="424">
        <f>VLOOKUP($A$2,'Costs Summary'!$B$183:$R$205,COLUMNS('Costs Summary'!$B$183:H$205)+1,0)</f>
        <v>0</v>
      </c>
      <c r="I33" s="424">
        <f>VLOOKUP($A$2,'Costs Summary'!$B$183:$R$205,COLUMNS('Costs Summary'!$B$183:I$205)+1,0)</f>
        <v>0</v>
      </c>
      <c r="J33" s="424">
        <f>VLOOKUP($A$2,'Costs Summary'!$B$183:$R$205,COLUMNS('Costs Summary'!$B$183:J$205)+1,0)</f>
        <v>0</v>
      </c>
      <c r="K33" s="424">
        <f>VLOOKUP($A$2,'Costs Summary'!$B$183:$R$205,COLUMNS('Costs Summary'!$B$183:K$205)+1,0)</f>
        <v>0</v>
      </c>
      <c r="L33" s="424">
        <f>VLOOKUP($A$2,'Costs Summary'!$B$183:$R$205,COLUMNS('Costs Summary'!$B$183:L$205)+1,0)</f>
        <v>0</v>
      </c>
      <c r="M33" s="424">
        <f>VLOOKUP($A$2,'Costs Summary'!$B$183:$R$205,COLUMNS('Costs Summary'!$B$183:M$205)+1,0)</f>
        <v>0</v>
      </c>
      <c r="N33" s="424">
        <f>VLOOKUP($A$2,'Costs Summary'!$B$183:$R$205,COLUMNS('Costs Summary'!$B$183:N$205)+1,0)</f>
        <v>0</v>
      </c>
      <c r="O33" s="424">
        <f>VLOOKUP($A$2,'Costs Summary'!$B$183:$R$205,COLUMNS('Costs Summary'!$B$183:O$205)+1,0)</f>
        <v>0</v>
      </c>
      <c r="P33" s="424">
        <f>VLOOKUP($A$2,'Costs Summary'!$B$183:$R$205,COLUMNS('Costs Summary'!$B$183:P$205)+1,0)</f>
        <v>0</v>
      </c>
      <c r="Q33" s="433">
        <f>SUM(G33:P33)</f>
        <v>0</v>
      </c>
      <c r="R33" s="366"/>
      <c r="S33" s="357"/>
      <c r="T33" s="8"/>
      <c r="U33" s="8"/>
    </row>
    <row r="34" spans="1:21" s="7" customFormat="1" ht="17.25" customHeight="1">
      <c r="A34" s="368" t="s">
        <v>284</v>
      </c>
      <c r="B34" s="368" t="s">
        <v>336</v>
      </c>
      <c r="H34" s="424">
        <f>VLOOKUP($A$2,'Costs Summary'!$B$241:$R$263,COLUMNS('Costs Summary'!$B$241:H263),0)</f>
        <v>0</v>
      </c>
      <c r="I34" s="424">
        <f>VLOOKUP($A$2,'Costs Summary'!$B$241:$R$263,COLUMNS('Costs Summary'!$B$241:I263),0)</f>
        <v>0</v>
      </c>
      <c r="J34" s="424">
        <f>VLOOKUP($A$2,'Costs Summary'!$B$241:$R$263,COLUMNS('Costs Summary'!$B$241:J263),0)</f>
        <v>0</v>
      </c>
      <c r="K34" s="424">
        <f>VLOOKUP($A$2,'Costs Summary'!$B$241:$R$263,COLUMNS('Costs Summary'!$B$241:K263),0)</f>
        <v>0</v>
      </c>
      <c r="L34" s="424">
        <f>VLOOKUP($A$2,'Costs Summary'!$B$241:$R$263,COLUMNS('Costs Summary'!$B$241:L263),0)</f>
        <v>0</v>
      </c>
      <c r="M34" s="424">
        <f>VLOOKUP($A$2,'Costs Summary'!$B$241:$R$263,COLUMNS('Costs Summary'!$B$241:M263),0)</f>
        <v>0</v>
      </c>
      <c r="N34" s="424">
        <f>VLOOKUP($A$2,'Costs Summary'!$B$241:$R$263,COLUMNS('Costs Summary'!$B$241:N263),0)</f>
        <v>0</v>
      </c>
      <c r="O34" s="424">
        <f>VLOOKUP($A$2,'Costs Summary'!$B$241:$R$263,COLUMNS('Costs Summary'!$B$241:O263),0)</f>
        <v>0</v>
      </c>
      <c r="P34" s="424">
        <f>VLOOKUP($A$2,'Costs Summary'!$B$241:$R$263,COLUMNS('Costs Summary'!$B$241:P263),0)</f>
        <v>0</v>
      </c>
      <c r="Q34" s="433">
        <f>SUM(G34:P34)</f>
        <v>0</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4877.7922065000002</v>
      </c>
      <c r="I35" s="424">
        <f>VLOOKUP($A$2,'Costs Summary'!$B$212:$R$234,COLUMNS('Costs Summary'!$B$212:I$234)+1,0)</f>
        <v>4381.3266705000005</v>
      </c>
      <c r="J35" s="424">
        <f>VLOOKUP($A$2,'Costs Summary'!$B$212:$R$234,COLUMNS('Costs Summary'!$B$212:J$234)+1,0)</f>
        <v>3884.8611345000004</v>
      </c>
      <c r="K35" s="424">
        <f>VLOOKUP($A$2,'Costs Summary'!$B$212:$R$234,COLUMNS('Costs Summary'!$B$212:K$234)+1,0)</f>
        <v>3388.3955985000002</v>
      </c>
      <c r="L35" s="424">
        <f>VLOOKUP($A$2,'Costs Summary'!$B$212:$R$234,COLUMNS('Costs Summary'!$B$212:L$234)+1,0)</f>
        <v>2891.9300625000001</v>
      </c>
      <c r="M35" s="424">
        <f>VLOOKUP($A$2,'Costs Summary'!$B$212:$R$234,COLUMNS('Costs Summary'!$B$212:M$234)+1,0)</f>
        <v>2395.4645265000004</v>
      </c>
      <c r="N35" s="424">
        <f>VLOOKUP($A$2,'Costs Summary'!$B$212:$R$234,COLUMNS('Costs Summary'!$B$212:N$234)+1,0)</f>
        <v>1898.9989905</v>
      </c>
      <c r="O35" s="424">
        <f>VLOOKUP($A$2,'Costs Summary'!$B$212:$R$234,COLUMNS('Costs Summary'!$B$212:O$234)+1,0)</f>
        <v>1402.5334544999998</v>
      </c>
      <c r="P35" s="424">
        <f>VLOOKUP($A$2,'Costs Summary'!$B$212:$R$234,COLUMNS('Costs Summary'!$B$212:P$234)+1,0)</f>
        <v>1402.5334544999998</v>
      </c>
      <c r="Q35" s="433">
        <f>SUM(G35:P35)</f>
        <v>26523.836098500004</v>
      </c>
      <c r="R35" s="366"/>
      <c r="S35" s="357"/>
      <c r="T35" s="8"/>
      <c r="U35" s="8"/>
    </row>
    <row r="36" spans="1:21" s="7" customFormat="1" ht="17.25" customHeight="1" thickBot="1">
      <c r="A36" s="437" t="s">
        <v>338</v>
      </c>
      <c r="C36" s="423"/>
      <c r="D36" s="423"/>
      <c r="E36" s="368" t="s">
        <v>669</v>
      </c>
      <c r="F36" s="461">
        <f t="shared" ref="F36:P36" si="9">SUM(F32:F35)</f>
        <v>141048.53000000003</v>
      </c>
      <c r="G36" s="461">
        <f t="shared" si="9"/>
        <v>167872.86074834148</v>
      </c>
      <c r="H36" s="461">
        <f t="shared" si="9"/>
        <v>178626.2030810334</v>
      </c>
      <c r="I36" s="461">
        <f t="shared" si="9"/>
        <v>184210.93192564207</v>
      </c>
      <c r="J36" s="461">
        <f t="shared" si="9"/>
        <v>190008.50257357201</v>
      </c>
      <c r="K36" s="461">
        <f t="shared" si="9"/>
        <v>196026.36448793951</v>
      </c>
      <c r="L36" s="461">
        <f t="shared" si="9"/>
        <v>202272.22786306989</v>
      </c>
      <c r="M36" s="461">
        <f t="shared" si="9"/>
        <v>208754.07275008981</v>
      </c>
      <c r="N36" s="461">
        <f t="shared" si="9"/>
        <v>249529.32885880777</v>
      </c>
      <c r="O36" s="461">
        <f t="shared" si="9"/>
        <v>257699.92486819852</v>
      </c>
      <c r="P36" s="461">
        <f t="shared" si="9"/>
        <v>266670.333567678</v>
      </c>
      <c r="Q36" s="462">
        <f t="shared" ref="Q36" si="10">SUM(Q32:Q35)</f>
        <v>2101670.7507243725</v>
      </c>
      <c r="R36" s="366"/>
      <c r="S36" s="357"/>
      <c r="T36" s="8"/>
      <c r="U36" s="8"/>
    </row>
    <row r="37" spans="1:21" s="7" customFormat="1" ht="17.25" customHeight="1" thickTop="1" thickBot="1">
      <c r="C37" s="423"/>
      <c r="D37" s="423"/>
      <c r="E37" s="368" t="s">
        <v>340</v>
      </c>
      <c r="F37" s="468">
        <f>F36/(VLOOKUP($A$2,'Asset Attributes'!$B$3:$D$25,3,0))</f>
        <v>5.6911124112330551</v>
      </c>
      <c r="G37" s="468">
        <f>G36/(VLOOKUP($A$2,'Asset Attributes'!$B$3:$D$25,3,0))</f>
        <v>6.7734369249653597</v>
      </c>
      <c r="H37" s="468">
        <f>H36/(VLOOKUP($A$2,'Asset Attributes'!$B$3:$D$25,3,0))</f>
        <v>7.2073193625336263</v>
      </c>
      <c r="I37" s="468">
        <f>I36/(VLOOKUP($A$2,'Asset Attributes'!$B$3:$D$25,3,0))</f>
        <v>7.4326554198532149</v>
      </c>
      <c r="J37" s="468">
        <f>J36/(VLOOKUP($A$2,'Asset Attributes'!$B$3:$D$25,3,0))</f>
        <v>7.6665793485140421</v>
      </c>
      <c r="K37" s="468">
        <f>K36/(VLOOKUP($A$2,'Asset Attributes'!$B$3:$D$25,3,0))</f>
        <v>7.9093917240130533</v>
      </c>
      <c r="L37" s="468">
        <f>L36/(VLOOKUP($A$2,'Asset Attributes'!$B$3:$D$25,3,0))</f>
        <v>8.161403641989585</v>
      </c>
      <c r="M37" s="468">
        <f>M36/(VLOOKUP($A$2,'Asset Attributes'!$B$3:$D$25,3,0))</f>
        <v>8.4229370864303501</v>
      </c>
      <c r="N37" s="468">
        <f>N36/(VLOOKUP($A$2,'Asset Attributes'!$B$3:$D$25,3,0))</f>
        <v>10.068162074677524</v>
      </c>
      <c r="O37" s="468">
        <f>O36/(VLOOKUP($A$2,'Asset Attributes'!$B$3:$D$25,3,0))</f>
        <v>10.397834282932477</v>
      </c>
      <c r="P37" s="468">
        <f>P36/(VLOOKUP($A$2,'Asset Attributes'!$B$3:$D$25,3,0))</f>
        <v>10.759777823098693</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QLD2</v>
      </c>
      <c r="B39" s="368" t="s">
        <v>342</v>
      </c>
      <c r="C39" s="423"/>
      <c r="D39" s="423"/>
      <c r="E39" s="367"/>
      <c r="F39" s="424">
        <f>VLOOKUP($A$2,'Costs Summary'!$B$4:$R$26,COLUMNS('Costs Summary'!$B$4:F$26)+1,0)</f>
        <v>141048.53000000003</v>
      </c>
      <c r="G39" s="424">
        <f>VLOOKUP($A$2,'Costs Summary'!$B$4:$R$26,COLUMNS('Costs Summary'!$B$4:G$26)+1,0)</f>
        <v>167872.86074834148</v>
      </c>
      <c r="H39" s="424">
        <f>VLOOKUP($A$2,'Costs Summary'!$B$4:$R$26,COLUMNS('Costs Summary'!$B$4:H$26)+1,0)</f>
        <v>173748.41087453341</v>
      </c>
      <c r="I39" s="424">
        <f>VLOOKUP($A$2,'Costs Summary'!$B$4:$R$26,COLUMNS('Costs Summary'!$B$4:I$26)+1,0)</f>
        <v>179829.60525514206</v>
      </c>
      <c r="J39" s="424">
        <f>VLOOKUP($A$2,'Costs Summary'!$B$4:$R$26,COLUMNS('Costs Summary'!$B$4:J$26)+1,0)</f>
        <v>186123.641439072</v>
      </c>
      <c r="K39" s="424">
        <f>VLOOKUP($A$2,'Costs Summary'!$B$4:$R$26,COLUMNS('Costs Summary'!$B$4:K$26)+1,0)</f>
        <v>183811.30937016103</v>
      </c>
      <c r="L39" s="424">
        <f>VLOOKUP($A$2,'Costs Summary'!$B$4:$R$26,COLUMNS('Costs Summary'!$B$4:L$26)+1,0)</f>
        <v>190244.70519811666</v>
      </c>
      <c r="M39" s="424">
        <f>VLOOKUP($A$2,'Costs Summary'!$B$4:$R$26,COLUMNS('Costs Summary'!$B$4:M$26)+1,0)</f>
        <v>196903.26988005074</v>
      </c>
      <c r="N39" s="424">
        <f>VLOOKUP($A$2,'Costs Summary'!$B$4:$R$26,COLUMNS('Costs Summary'!$B$4:N$26)+1,0)</f>
        <v>236283.92385606086</v>
      </c>
      <c r="O39" s="424">
        <f>VLOOKUP($A$2,'Costs Summary'!$B$4:$R$26,COLUMNS('Costs Summary'!$B$4:O$26)+1,0)</f>
        <v>244553.861191023</v>
      </c>
      <c r="P39" s="424">
        <f>VLOOKUP($A$2,'Costs Summary'!$B$4:$R$26,COLUMNS('Costs Summary'!$B$4:P$26)+1,0)</f>
        <v>253113.24633270878</v>
      </c>
      <c r="Q39" s="433">
        <f>SUM(G39:P39)</f>
        <v>2012484.83414521</v>
      </c>
      <c r="R39" s="366"/>
      <c r="S39" s="357"/>
      <c r="T39" s="8"/>
      <c r="U39" s="8"/>
    </row>
    <row r="40" spans="1:21" s="7" customFormat="1" ht="17.25" customHeight="1">
      <c r="A40" s="368" t="s">
        <v>284</v>
      </c>
      <c r="B40" s="368" t="s">
        <v>343</v>
      </c>
      <c r="C40" s="423"/>
      <c r="D40" s="423"/>
      <c r="E40" s="423"/>
      <c r="F40" s="424">
        <f>VLOOKUP($A$2,'Costs Summary'!$B$33:$R$55,COLUMNS('Costs Summary'!$B$33:F$55)+1,0)</f>
        <v>0</v>
      </c>
      <c r="G40" s="424">
        <f>VLOOKUP($A$2,'Costs Summary'!$B$33:$R$55,COLUMNS('Costs Summary'!$B$33:G$55)+1,0)</f>
        <v>0</v>
      </c>
      <c r="H40" s="424">
        <f>VLOOKUP($A$2,'Costs Summary'!$B$33:$R$55,COLUMNS('Costs Summary'!$B$33:H$55)+1,0)</f>
        <v>0</v>
      </c>
      <c r="I40" s="424">
        <f>VLOOKUP($A$2,'Costs Summary'!$B$33:$R$55,COLUMNS('Costs Summary'!$B$33:I$55)+1,0)</f>
        <v>0</v>
      </c>
      <c r="J40" s="424">
        <f>VLOOKUP($A$2,'Costs Summary'!$B$33:$R$55,COLUMNS('Costs Summary'!$B$33:J$55)+1,0)</f>
        <v>0</v>
      </c>
      <c r="K40" s="424">
        <f>VLOOKUP($A$2,'Costs Summary'!$B$33:$R$55,COLUMNS('Costs Summary'!$B$33:K$55)+1,0)</f>
        <v>0</v>
      </c>
      <c r="L40" s="424">
        <f>VLOOKUP($A$2,'Costs Summary'!$B$33:$R$55,COLUMNS('Costs Summary'!$B$33:L$55)+1,0)</f>
        <v>0</v>
      </c>
      <c r="M40" s="424">
        <f>VLOOKUP($A$2,'Costs Summary'!$B$33:$R$55,COLUMNS('Costs Summary'!$B$33:M$55)+1,0)</f>
        <v>0</v>
      </c>
      <c r="N40" s="424">
        <f>VLOOKUP($A$2,'Costs Summary'!$B$33:$R$55,COLUMNS('Costs Summary'!$B$33:N$55)+1,0)</f>
        <v>0</v>
      </c>
      <c r="O40" s="424">
        <f>VLOOKUP($A$2,'Costs Summary'!$B$33:$R$55,COLUMNS('Costs Summary'!$B$33:O$55)+1,0)</f>
        <v>0</v>
      </c>
      <c r="P40" s="424">
        <f>VLOOKUP($A$2,'Costs Summary'!$B$33:$R$55,COLUMNS('Costs Summary'!$B$33:P$55)+1,0)</f>
        <v>0</v>
      </c>
      <c r="Q40" s="433">
        <f>SUM(G40:P40)</f>
        <v>0</v>
      </c>
      <c r="R40" s="366"/>
      <c r="S40" s="357"/>
      <c r="T40" s="8"/>
      <c r="U40" s="8"/>
    </row>
    <row r="41" spans="1:21" s="7" customFormat="1" ht="17.25" customHeight="1">
      <c r="A41" s="368" t="s">
        <v>284</v>
      </c>
      <c r="B41" s="368" t="s">
        <v>336</v>
      </c>
      <c r="H41" s="424">
        <f>VLOOKUP($A$2,'Costs Summary'!$B$125:$R$147,COLUMNS('Costs Summary'!$B$125:H$147),0)</f>
        <v>0</v>
      </c>
      <c r="I41" s="424">
        <f>VLOOKUP($A$2,'Costs Summary'!$B$125:$R$147,COLUMNS('Costs Summary'!$B$125:I$147)+1,0)</f>
        <v>0</v>
      </c>
      <c r="J41" s="424">
        <f>VLOOKUP($A$2,'Costs Summary'!$B$125:$R$147,COLUMNS('Costs Summary'!$B$125:J$147)+1,0)</f>
        <v>0</v>
      </c>
      <c r="K41" s="424">
        <f>VLOOKUP($A$2,'Costs Summary'!$B$125:$R$147,COLUMNS('Costs Summary'!$B$125:K$147)+1,0)</f>
        <v>0</v>
      </c>
      <c r="L41" s="424">
        <f>VLOOKUP($A$2,'Costs Summary'!$B$125:$R$147,COLUMNS('Costs Summary'!$B$125:L$147)+1,0)</f>
        <v>0</v>
      </c>
      <c r="M41" s="424">
        <f>VLOOKUP($A$2,'Costs Summary'!$B$125:$R$147,COLUMNS('Costs Summary'!$B$125:M$147)+1,0)</f>
        <v>0</v>
      </c>
      <c r="N41" s="424">
        <f>VLOOKUP($A$2,'Costs Summary'!$B$125:$R$147,COLUMNS('Costs Summary'!$B$125:N$147)+1,0)</f>
        <v>0</v>
      </c>
      <c r="O41" s="424">
        <f>VLOOKUP($A$2,'Costs Summary'!$B$125:$R$147,COLUMNS('Costs Summary'!$B$125:O$147)+1,0)</f>
        <v>0</v>
      </c>
      <c r="P41" s="424">
        <f>VLOOKUP($A$2,'Costs Summary'!$B$125:$R$147,COLUMNS('Costs Summary'!$B$125:P$147)+1,0)</f>
        <v>0</v>
      </c>
      <c r="Q41" s="433">
        <f t="shared" ref="Q41:Q42" si="11">SUM(G41:P41)</f>
        <v>0</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4877.7922065000002</v>
      </c>
      <c r="I42" s="424">
        <f>VLOOKUP($A$2,'Costs Summary'!$B$212:$R$234,COLUMNS('Costs Summary'!$B$212:I$234)+1,0)</f>
        <v>4381.3266705000005</v>
      </c>
      <c r="J42" s="424">
        <f>VLOOKUP($A$2,'Costs Summary'!$B$212:$R$234,COLUMNS('Costs Summary'!$B$212:J$234)+1,0)</f>
        <v>3884.8611345000004</v>
      </c>
      <c r="K42" s="424">
        <f>VLOOKUP($A$2,'Costs Summary'!$B$212:$R$234,COLUMNS('Costs Summary'!$B$212:K$234)+1,0)</f>
        <v>3388.3955985000002</v>
      </c>
      <c r="L42" s="424">
        <f>VLOOKUP($A$2,'Costs Summary'!$B$212:$R$234,COLUMNS('Costs Summary'!$B$212:L$234)+1,0)</f>
        <v>2891.9300625000001</v>
      </c>
      <c r="M42" s="424">
        <f>VLOOKUP($A$2,'Costs Summary'!$B$212:$R$234,COLUMNS('Costs Summary'!$B$212:M$234)+1,0)</f>
        <v>2395.4645265000004</v>
      </c>
      <c r="N42" s="424">
        <f>VLOOKUP($A$2,'Costs Summary'!$B$212:$R$234,COLUMNS('Costs Summary'!$B$212:N$234)+1,0)</f>
        <v>1898.9989905</v>
      </c>
      <c r="O42" s="424">
        <f>VLOOKUP($A$2,'Costs Summary'!$B$212:$R$234,COLUMNS('Costs Summary'!$B$212:O$234)+1,0)</f>
        <v>1402.5334544999998</v>
      </c>
      <c r="P42" s="424">
        <f>VLOOKUP($A$2,'Costs Summary'!$B$212:$R$234,COLUMNS('Costs Summary'!$B$212:P$234)+1,0)</f>
        <v>1402.5334544999998</v>
      </c>
      <c r="Q42" s="433">
        <f t="shared" si="11"/>
        <v>26523.836098500004</v>
      </c>
      <c r="R42" s="366"/>
      <c r="S42" s="357"/>
      <c r="T42" s="8"/>
      <c r="U42" s="8"/>
    </row>
    <row r="43" spans="1:21" s="7" customFormat="1" ht="17.25" customHeight="1" thickBot="1">
      <c r="A43" s="437" t="s">
        <v>338</v>
      </c>
      <c r="E43" s="368" t="s">
        <v>669</v>
      </c>
      <c r="F43" s="461">
        <f t="shared" ref="F43:P43" si="12">SUM(F39:F42)</f>
        <v>141048.53000000003</v>
      </c>
      <c r="G43" s="461">
        <f t="shared" si="12"/>
        <v>167872.86074834148</v>
      </c>
      <c r="H43" s="461">
        <f t="shared" si="12"/>
        <v>178626.2030810334</v>
      </c>
      <c r="I43" s="461">
        <f t="shared" si="12"/>
        <v>184210.93192564207</v>
      </c>
      <c r="J43" s="461">
        <f t="shared" si="12"/>
        <v>190008.50257357201</v>
      </c>
      <c r="K43" s="461">
        <f t="shared" si="12"/>
        <v>187199.70496866104</v>
      </c>
      <c r="L43" s="461">
        <f t="shared" si="12"/>
        <v>193136.63526061666</v>
      </c>
      <c r="M43" s="461">
        <f t="shared" si="12"/>
        <v>199298.73440655074</v>
      </c>
      <c r="N43" s="461">
        <f t="shared" si="12"/>
        <v>238182.92284656086</v>
      </c>
      <c r="O43" s="461">
        <f t="shared" si="12"/>
        <v>245956.39464552299</v>
      </c>
      <c r="P43" s="461">
        <f t="shared" si="12"/>
        <v>254515.77978720877</v>
      </c>
      <c r="Q43" s="462">
        <f t="shared" ref="Q43" si="13">SUM(Q39:Q42)</f>
        <v>2039008.67024371</v>
      </c>
      <c r="R43" s="366"/>
      <c r="S43" s="357"/>
      <c r="T43" s="8"/>
      <c r="U43" s="8"/>
    </row>
    <row r="44" spans="1:21" s="7" customFormat="1" ht="17.25" customHeight="1" thickTop="1" thickBot="1">
      <c r="E44" s="368" t="s">
        <v>340</v>
      </c>
      <c r="F44" s="468">
        <f>F43/(VLOOKUP($A$2,'Asset Attributes'!$B$3:$D$25,3,0))</f>
        <v>5.6911124112330551</v>
      </c>
      <c r="G44" s="468">
        <f>G43/(VLOOKUP($A$2,'Asset Attributes'!$B$3:$D$25,3,0))</f>
        <v>6.7734369249653597</v>
      </c>
      <c r="H44" s="468">
        <f>H43/(VLOOKUP($A$2,'Asset Attributes'!$B$3:$D$25,3,0))</f>
        <v>7.2073193625336263</v>
      </c>
      <c r="I44" s="468">
        <f>I43/(VLOOKUP($A$2,'Asset Attributes'!$B$3:$D$25,3,0))</f>
        <v>7.4326554198532149</v>
      </c>
      <c r="J44" s="468">
        <f>J43/(VLOOKUP($A$2,'Asset Attributes'!$B$3:$D$25,3,0))</f>
        <v>7.6665793485140421</v>
      </c>
      <c r="K44" s="468">
        <f>K43/(VLOOKUP($A$2,'Asset Attributes'!$B$3:$D$25,3,0))</f>
        <v>7.5532482637451999</v>
      </c>
      <c r="L44" s="468">
        <f>L43/(VLOOKUP($A$2,'Asset Attributes'!$B$3:$D$25,3,0))</f>
        <v>7.7927951606123571</v>
      </c>
      <c r="M44" s="468">
        <f>M43/(VLOOKUP($A$2,'Asset Attributes'!$B$3:$D$25,3,0))</f>
        <v>8.0414273082049199</v>
      </c>
      <c r="N44" s="468">
        <f>N43/(VLOOKUP($A$2,'Asset Attributes'!$B$3:$D$25,3,0))</f>
        <v>9.6103503408070061</v>
      </c>
      <c r="O44" s="468">
        <f>O43/(VLOOKUP($A$2,'Asset Attributes'!$B$3:$D$25,3,0))</f>
        <v>9.9239991383764927</v>
      </c>
      <c r="P44" s="468">
        <f>P43/(VLOOKUP($A$2,'Asset Attributes'!$B$3:$D$25,3,0))</f>
        <v>10.269358448483246</v>
      </c>
      <c r="Q44" s="460">
        <f>Q43/(VLOOKUP($A$2,'Asset Attributes'!$B$3:$D$25,3,0))</f>
        <v>82.271169716095471</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4">G43-G36</f>
        <v>0</v>
      </c>
      <c r="H46" s="461">
        <f t="shared" si="14"/>
        <v>0</v>
      </c>
      <c r="I46" s="461">
        <f t="shared" si="14"/>
        <v>0</v>
      </c>
      <c r="J46" s="461">
        <f t="shared" si="14"/>
        <v>0</v>
      </c>
      <c r="K46" s="461">
        <f t="shared" si="14"/>
        <v>-8826.6595192784735</v>
      </c>
      <c r="L46" s="461">
        <f t="shared" si="14"/>
        <v>-9135.5926024532237</v>
      </c>
      <c r="M46" s="461">
        <f t="shared" si="14"/>
        <v>-9455.3383435390715</v>
      </c>
      <c r="N46" s="461">
        <f t="shared" si="14"/>
        <v>-11346.406012246909</v>
      </c>
      <c r="O46" s="461">
        <f t="shared" si="14"/>
        <v>-11743.53022267553</v>
      </c>
      <c r="P46" s="461">
        <f t="shared" si="14"/>
        <v>-12154.553780469229</v>
      </c>
      <c r="Q46" s="462">
        <f>SUM(F46:P46)</f>
        <v>-62662.080480662436</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-0.35614346026785321</v>
      </c>
      <c r="L47" s="468">
        <f>L46/(VLOOKUP($A$2,'Asset Attributes'!$B$3:$D$25,3,0))</f>
        <v>-0.36860848137722818</v>
      </c>
      <c r="M47" s="468">
        <f>M46/(VLOOKUP($A$2,'Asset Attributes'!$B$3:$D$25,3,0))</f>
        <v>-0.38150977822543058</v>
      </c>
      <c r="N47" s="468">
        <f>N46/(VLOOKUP($A$2,'Asset Attributes'!$B$3:$D$25,3,0))</f>
        <v>-0.45781173387051766</v>
      </c>
      <c r="O47" s="468">
        <f>O46/(VLOOKUP($A$2,'Asset Attributes'!$B$3:$D$25,3,0))</f>
        <v>-0.47383514455598491</v>
      </c>
      <c r="P47" s="468">
        <f>P46/(VLOOKUP($A$2,'Asset Attributes'!$B$3:$D$25,3,0))</f>
        <v>-0.4904193746154466</v>
      </c>
      <c r="Q47" s="460">
        <f>Q46/(VLOOKUP($A$2,'Asset Attributes'!$B$3:$D$25,3,0))</f>
        <v>-2.5283279729124613</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5">G115</f>
        <v>25000</v>
      </c>
      <c r="H49" s="464">
        <f t="shared" si="15"/>
        <v>0</v>
      </c>
      <c r="I49" s="464">
        <f t="shared" si="15"/>
        <v>0</v>
      </c>
      <c r="J49" s="464">
        <f t="shared" si="15"/>
        <v>111550</v>
      </c>
      <c r="K49" s="464">
        <f t="shared" si="15"/>
        <v>0</v>
      </c>
      <c r="L49" s="464">
        <f t="shared" si="15"/>
        <v>0</v>
      </c>
      <c r="M49" s="464">
        <f t="shared" si="15"/>
        <v>0</v>
      </c>
      <c r="N49" s="464">
        <f t="shared" si="15"/>
        <v>0</v>
      </c>
      <c r="O49" s="464">
        <f t="shared" si="15"/>
        <v>0</v>
      </c>
      <c r="P49" s="464">
        <f t="shared" si="15"/>
        <v>0</v>
      </c>
      <c r="Q49" s="465">
        <f>+SUM(F49:P49)</f>
        <v>136550</v>
      </c>
      <c r="R49" s="366"/>
      <c r="S49" s="357"/>
      <c r="T49" s="8"/>
      <c r="U49" s="8"/>
      <c r="V49" s="8"/>
      <c r="W49" s="8"/>
      <c r="X49" s="8"/>
    </row>
    <row r="50" spans="1:24" s="7" customFormat="1" ht="17.25" customHeight="1">
      <c r="A50" s="9"/>
      <c r="B50" s="368"/>
      <c r="C50" s="2"/>
      <c r="D50" s="2"/>
      <c r="E50" s="459" t="s">
        <v>348</v>
      </c>
      <c r="F50" s="466">
        <f>F46</f>
        <v>0</v>
      </c>
      <c r="G50" s="466">
        <f t="shared" ref="G50:P50" si="16">G46</f>
        <v>0</v>
      </c>
      <c r="H50" s="466">
        <f t="shared" si="16"/>
        <v>0</v>
      </c>
      <c r="I50" s="466">
        <f t="shared" si="16"/>
        <v>0</v>
      </c>
      <c r="J50" s="466">
        <f t="shared" si="16"/>
        <v>0</v>
      </c>
      <c r="K50" s="466">
        <f t="shared" si="16"/>
        <v>-8826.6595192784735</v>
      </c>
      <c r="L50" s="466">
        <f t="shared" si="16"/>
        <v>-9135.5926024532237</v>
      </c>
      <c r="M50" s="466">
        <f t="shared" si="16"/>
        <v>-9455.3383435390715</v>
      </c>
      <c r="N50" s="466">
        <f t="shared" si="16"/>
        <v>-11346.406012246909</v>
      </c>
      <c r="O50" s="466">
        <f t="shared" si="16"/>
        <v>-11743.53022267553</v>
      </c>
      <c r="P50" s="466">
        <f t="shared" si="16"/>
        <v>-12154.553780469229</v>
      </c>
      <c r="Q50" s="467">
        <f>Q46</f>
        <v>-62662.080480662436</v>
      </c>
      <c r="R50" s="366"/>
      <c r="S50" s="357"/>
      <c r="T50" s="8"/>
      <c r="U50" s="8"/>
      <c r="V50" s="8"/>
      <c r="W50" s="8"/>
      <c r="X50" s="8"/>
    </row>
    <row r="51" spans="1:24" s="7" customFormat="1" ht="17.25" customHeight="1">
      <c r="A51" s="9"/>
      <c r="B51" s="368"/>
      <c r="C51" s="2"/>
      <c r="D51" s="2"/>
      <c r="E51" s="540" t="s">
        <v>717</v>
      </c>
      <c r="F51" s="653">
        <f>-1*F50</f>
        <v>0</v>
      </c>
      <c r="G51" s="653">
        <f>-1*G50/(VLOOKUP($A$2,'Asset Attributes'!$B$3:$D$25,3,0))</f>
        <v>0</v>
      </c>
      <c r="H51" s="653">
        <f>-1*H50/(VLOOKUP($A$2,'Asset Attributes'!$B$3:$D$25,3,0))</f>
        <v>0</v>
      </c>
      <c r="I51" s="653">
        <f>-1*I50/(VLOOKUP($A$2,'Asset Attributes'!$B$3:$D$25,3,0))</f>
        <v>0</v>
      </c>
      <c r="J51" s="653">
        <f>-1*J50/(VLOOKUP($A$2,'Asset Attributes'!$B$3:$D$25,3,0))</f>
        <v>0</v>
      </c>
      <c r="K51" s="653">
        <f>-1*K50/(VLOOKUP($A$2,'Asset Attributes'!$B$3:$D$25,3,0))</f>
        <v>0.35614346026785321</v>
      </c>
      <c r="L51" s="653">
        <f>-1*L50/(VLOOKUP($A$2,'Asset Attributes'!$B$3:$D$25,3,0))</f>
        <v>0.36860848137722818</v>
      </c>
      <c r="M51" s="653">
        <f>-1*M50/(VLOOKUP($A$2,'Asset Attributes'!$B$3:$D$25,3,0))</f>
        <v>0.38150977822543058</v>
      </c>
      <c r="N51" s="653">
        <f>-1*N50/(VLOOKUP($A$2,'Asset Attributes'!$B$3:$D$25,3,0))</f>
        <v>0.45781173387051766</v>
      </c>
      <c r="O51" s="653">
        <f>-1*O50/(VLOOKUP($A$2,'Asset Attributes'!$B$3:$D$25,3,0))</f>
        <v>0.47383514455598491</v>
      </c>
      <c r="P51" s="653">
        <f>-1*P50/(VLOOKUP($A$2,'Asset Attributes'!$B$3:$D$25,3,0))</f>
        <v>0.4904193746154466</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718</v>
      </c>
      <c r="D55" s="10"/>
      <c r="E55" s="441" t="s">
        <v>205</v>
      </c>
      <c r="F55" s="200" t="s">
        <v>188</v>
      </c>
      <c r="G55" s="200" t="str">
        <f>G67</f>
        <v>CURRENT</v>
      </c>
      <c r="H55" s="200" t="str">
        <f t="shared" ref="H55:P55" si="17">H67</f>
        <v>FY25</v>
      </c>
      <c r="I55" s="200" t="str">
        <f t="shared" si="17"/>
        <v>FY26</v>
      </c>
      <c r="J55" s="200" t="str">
        <f t="shared" si="17"/>
        <v>FY27</v>
      </c>
      <c r="K55" s="200" t="str">
        <f t="shared" si="17"/>
        <v>FY28</v>
      </c>
      <c r="L55" s="200" t="str">
        <f t="shared" si="17"/>
        <v>FY29</v>
      </c>
      <c r="M55" s="200" t="str">
        <f t="shared" si="17"/>
        <v>FY30</v>
      </c>
      <c r="N55" s="200" t="str">
        <f t="shared" si="17"/>
        <v>FY31</v>
      </c>
      <c r="O55" s="200" t="str">
        <f t="shared" si="17"/>
        <v>FY32</v>
      </c>
      <c r="P55" s="200" t="str">
        <f t="shared" si="17"/>
        <v>FY33</v>
      </c>
      <c r="Q55" s="200" t="s">
        <v>84</v>
      </c>
      <c r="R55" s="993" t="s">
        <v>673</v>
      </c>
      <c r="S55" s="993"/>
      <c r="T55" s="993" t="s">
        <v>355</v>
      </c>
      <c r="U55" s="993"/>
      <c r="V55" s="993" t="s">
        <v>356</v>
      </c>
      <c r="W55" s="993"/>
      <c r="X55" s="8"/>
    </row>
    <row r="56" spans="1:24" ht="25.5" customHeight="1" thickTop="1">
      <c r="A56" s="438" t="s">
        <v>357</v>
      </c>
      <c r="B56" s="11"/>
      <c r="C56" s="442">
        <v>45016</v>
      </c>
      <c r="D56" s="159"/>
      <c r="E56" s="487" t="str">
        <f>A2</f>
        <v>179 Turbot Street</v>
      </c>
      <c r="F56" s="440">
        <f t="shared" ref="F56:P56" si="18">F272</f>
        <v>5.1171842068287203</v>
      </c>
      <c r="G56" s="440">
        <f t="shared" si="18"/>
        <v>5.1171842068287203</v>
      </c>
      <c r="H56" s="440">
        <f t="shared" si="18"/>
        <v>5.1171842068287203</v>
      </c>
      <c r="I56" s="440">
        <f t="shared" si="18"/>
        <v>5.1171842068287203</v>
      </c>
      <c r="J56" s="440">
        <f t="shared" si="18"/>
        <v>5.1171842068287203</v>
      </c>
      <c r="K56" s="440">
        <f t="shared" si="18"/>
        <v>5.1818870820185845</v>
      </c>
      <c r="L56" s="440">
        <f t="shared" si="18"/>
        <v>5.1818870820185845</v>
      </c>
      <c r="M56" s="440">
        <f t="shared" si="18"/>
        <v>5.1818870820185845</v>
      </c>
      <c r="N56" s="440">
        <f t="shared" si="18"/>
        <v>5.1818870820185845</v>
      </c>
      <c r="O56" s="440">
        <f t="shared" si="18"/>
        <v>5.1818870820185845</v>
      </c>
      <c r="P56" s="440">
        <f t="shared" si="18"/>
        <v>5.1818870820185845</v>
      </c>
      <c r="Q56" s="470">
        <f>IF(E56="",0,P56-F56)</f>
        <v>6.4702875189864173E-2</v>
      </c>
      <c r="R56" s="473" t="s">
        <v>358</v>
      </c>
      <c r="S56" s="478" t="s">
        <v>18</v>
      </c>
      <c r="T56" s="473" t="s">
        <v>358</v>
      </c>
      <c r="U56" s="478" t="s">
        <v>674</v>
      </c>
      <c r="V56" s="473" t="s">
        <v>358</v>
      </c>
      <c r="W56" s="479" t="str">
        <f>IF(W58=1,"Complete",IF(W60&lt;&gt;0,"Complete","Outstanding"))</f>
        <v>Complete</v>
      </c>
      <c r="X56" s="14"/>
    </row>
    <row r="57" spans="1:24" ht="25.5" customHeight="1">
      <c r="A57" s="438" t="s">
        <v>6</v>
      </c>
      <c r="C57" s="275" t="s">
        <v>150</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711550</v>
      </c>
      <c r="T57" s="473" t="s">
        <v>669</v>
      </c>
      <c r="U57" s="479">
        <f>IF(U56="Underway","",S115)</f>
        <v>0</v>
      </c>
      <c r="V57" s="473" t="s">
        <v>361</v>
      </c>
      <c r="W57" s="478" t="s">
        <v>719</v>
      </c>
      <c r="X57" s="14"/>
    </row>
    <row r="58" spans="1:24" ht="25.5" customHeight="1">
      <c r="A58" s="438" t="s">
        <v>363</v>
      </c>
      <c r="B58" s="14"/>
      <c r="C58" s="275" t="s">
        <v>364</v>
      </c>
      <c r="D58" s="160" t="s">
        <v>365</v>
      </c>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12014.121186338703</v>
      </c>
      <c r="T58" s="473" t="s">
        <v>367</v>
      </c>
      <c r="U58" s="478">
        <v>1</v>
      </c>
      <c r="V58" s="473" t="s">
        <v>368</v>
      </c>
      <c r="W58" s="478">
        <v>1</v>
      </c>
      <c r="X58" s="14"/>
    </row>
    <row r="59" spans="1:24" ht="25.5" customHeight="1">
      <c r="A59" s="438" t="s">
        <v>369</v>
      </c>
      <c r="B59" s="14"/>
      <c r="C59" s="443">
        <v>4000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2.2512582739725395E-2</v>
      </c>
      <c r="T59" s="473" t="s">
        <v>371</v>
      </c>
      <c r="U59" s="483" t="s">
        <v>720</v>
      </c>
      <c r="V59" s="482" t="s">
        <v>372</v>
      </c>
      <c r="W59" s="479">
        <f>T115</f>
        <v>0</v>
      </c>
      <c r="X59" s="14"/>
    </row>
    <row r="60" spans="1:24" ht="25.5" customHeight="1">
      <c r="A60" s="438" t="s">
        <v>373</v>
      </c>
      <c r="B60" s="14"/>
      <c r="C60" s="275">
        <v>9828</v>
      </c>
      <c r="D60" s="160"/>
      <c r="Q60" s="10"/>
      <c r="R60" s="473" t="s">
        <v>374</v>
      </c>
      <c r="S60" s="481">
        <f>IF(S56="Underway","",P56-F56)</f>
        <v>6.4702875189864173E-2</v>
      </c>
      <c r="T60" s="10"/>
      <c r="U60" s="10"/>
      <c r="V60" s="473" t="s">
        <v>375</v>
      </c>
      <c r="W60" s="483" t="str">
        <f>IF(IF(W58=1,"Complete",_xlfn.MAXIFS(E69:E114,T69:T114,"Yes"))=0,"",IF(W58=1,"Complete",_xlfn.MAXIFS(E69:E114,T69:T114,"Yes")))</f>
        <v>Complete</v>
      </c>
      <c r="X60" s="14"/>
    </row>
    <row r="61" spans="1:24" ht="25.5" customHeight="1">
      <c r="A61" s="438" t="s">
        <v>376</v>
      </c>
      <c r="B61" s="14"/>
      <c r="C61" s="444">
        <v>51</v>
      </c>
      <c r="D61" s="162"/>
      <c r="H61" s="13"/>
      <c r="J61" s="14"/>
      <c r="K61" s="14"/>
      <c r="L61" s="14"/>
      <c r="M61" s="10"/>
      <c r="N61" s="10"/>
      <c r="O61" s="10"/>
      <c r="P61" s="10"/>
      <c r="Q61" s="10"/>
      <c r="R61" s="482" t="s">
        <v>377</v>
      </c>
      <c r="S61" s="481">
        <f>P272</f>
        <v>5.1818870820185845</v>
      </c>
      <c r="T61" s="10"/>
      <c r="U61" s="10"/>
      <c r="V61" s="473" t="s">
        <v>378</v>
      </c>
      <c r="W61" s="478">
        <v>1</v>
      </c>
      <c r="X61" s="14"/>
    </row>
    <row r="62" spans="1:24" ht="25.5" customHeight="1">
      <c r="A62" s="438" t="s">
        <v>379</v>
      </c>
      <c r="B62" s="14"/>
      <c r="C62" s="275">
        <v>894.80700000000002</v>
      </c>
      <c r="D62" s="597">
        <f>C115/C62</f>
        <v>-0.12404909662083555</v>
      </c>
      <c r="H62" s="13"/>
      <c r="J62" s="14"/>
      <c r="K62" s="14"/>
      <c r="L62" s="347"/>
      <c r="M62" s="10"/>
      <c r="N62" s="10"/>
      <c r="O62" s="10"/>
      <c r="P62" s="10"/>
      <c r="Q62" s="10"/>
      <c r="R62" s="482" t="s">
        <v>380</v>
      </c>
      <c r="S62" s="481">
        <f>Q272</f>
        <v>5.1818870820185845</v>
      </c>
      <c r="T62" s="10"/>
      <c r="U62" s="10"/>
      <c r="V62" s="10"/>
      <c r="W62" s="14"/>
      <c r="X62" s="14"/>
    </row>
    <row r="63" spans="1:24" ht="25.5" customHeight="1">
      <c r="A63" s="438" t="s">
        <v>382</v>
      </c>
      <c r="B63" s="14"/>
      <c r="C63" s="275">
        <v>0</v>
      </c>
      <c r="H63" s="13"/>
      <c r="J63" s="14"/>
      <c r="K63" s="14"/>
      <c r="L63" s="10"/>
      <c r="M63" s="10"/>
      <c r="N63" s="10"/>
      <c r="O63" s="10"/>
      <c r="P63" s="10"/>
      <c r="Q63" s="10"/>
      <c r="R63" s="476" t="s">
        <v>383</v>
      </c>
      <c r="S63" s="478">
        <f>C115/C62</f>
        <v>-0.12404909662083555</v>
      </c>
      <c r="T63" s="10"/>
      <c r="U63" s="10"/>
      <c r="V63" s="10"/>
      <c r="W63" s="14"/>
      <c r="X63" s="14"/>
    </row>
    <row r="64" spans="1:24" ht="25.5" customHeight="1">
      <c r="A64" s="446" t="s">
        <v>385</v>
      </c>
      <c r="B64" s="447"/>
      <c r="C64" s="445">
        <v>67</v>
      </c>
      <c r="D64" s="495">
        <f>(AJ215-C64)/C64</f>
        <v>-3.4364952442258533E-2</v>
      </c>
      <c r="H64" s="13"/>
      <c r="J64" s="14"/>
      <c r="K64" s="14"/>
      <c r="L64" s="10"/>
      <c r="M64" s="10"/>
      <c r="N64" s="10"/>
      <c r="O64" s="10"/>
      <c r="P64" s="10"/>
      <c r="Q64" s="10"/>
      <c r="R64" s="476" t="s">
        <v>386</v>
      </c>
      <c r="S64" s="478" t="s">
        <v>79</v>
      </c>
      <c r="T64" s="10"/>
      <c r="U64" s="14"/>
      <c r="V64" s="10"/>
      <c r="W64" s="14"/>
      <c r="X64" s="14"/>
    </row>
    <row r="65" spans="1:24" ht="25.5" customHeight="1">
      <c r="B65" s="487" t="s">
        <v>387</v>
      </c>
      <c r="C65" s="489">
        <f>Z216</f>
        <v>5.1171842068287203</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19">DATE(YEAR(H66)+1,MONTH(H66),DAY(H66))</f>
        <v>46203</v>
      </c>
      <c r="J66" s="416">
        <f t="shared" si="19"/>
        <v>46568</v>
      </c>
      <c r="K66" s="416">
        <f t="shared" si="19"/>
        <v>46934</v>
      </c>
      <c r="L66" s="416">
        <f t="shared" si="19"/>
        <v>47299</v>
      </c>
      <c r="M66" s="416">
        <f t="shared" si="19"/>
        <v>47664</v>
      </c>
      <c r="N66" s="416">
        <f t="shared" si="19"/>
        <v>48029</v>
      </c>
      <c r="O66" s="416">
        <f t="shared" si="19"/>
        <v>48395</v>
      </c>
      <c r="P66" s="416">
        <f t="shared" si="19"/>
        <v>48760</v>
      </c>
      <c r="Q66" s="416">
        <f t="shared" si="19"/>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667</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9.5" customHeight="1" thickTop="1">
      <c r="A69" s="373"/>
      <c r="B69" s="374" t="s">
        <v>721</v>
      </c>
      <c r="C69" s="375">
        <v>-28</v>
      </c>
      <c r="D69" s="376"/>
      <c r="E69" s="654">
        <v>46477</v>
      </c>
      <c r="F69" s="378">
        <v>6250</v>
      </c>
      <c r="G69" s="403">
        <f>IF(E69&lt;G66,F69,0)</f>
        <v>0</v>
      </c>
      <c r="H69" s="404">
        <f t="shared" ref="H69:Q77" si="20">IF($E69&gt;H$66,0,IF($E69&gt;H$66-365,$F69,0))</f>
        <v>0</v>
      </c>
      <c r="I69" s="404">
        <f t="shared" si="20"/>
        <v>0</v>
      </c>
      <c r="J69" s="404">
        <f t="shared" si="20"/>
        <v>6250</v>
      </c>
      <c r="K69" s="404">
        <f t="shared" si="20"/>
        <v>0</v>
      </c>
      <c r="L69" s="404">
        <f t="shared" si="20"/>
        <v>0</v>
      </c>
      <c r="M69" s="404">
        <f t="shared" si="20"/>
        <v>0</v>
      </c>
      <c r="N69" s="404">
        <f t="shared" si="20"/>
        <v>0</v>
      </c>
      <c r="O69" s="404">
        <f t="shared" si="20"/>
        <v>0</v>
      </c>
      <c r="P69" s="404">
        <f t="shared" si="20"/>
        <v>0</v>
      </c>
      <c r="Q69" s="635">
        <f t="shared" si="20"/>
        <v>0</v>
      </c>
      <c r="R69" s="379" t="s">
        <v>32</v>
      </c>
      <c r="S69" s="379"/>
      <c r="T69" s="380"/>
      <c r="U69" s="411">
        <f>-0.75*Y168</f>
        <v>8.6206475692229501E-2</v>
      </c>
      <c r="V69" s="412">
        <f t="shared" ref="V69:V88" si="21">IF(ISERROR(((-1*C69*1000*$D$6)+(-1*D69*$D$8))/F69),"",((-1*C69*1000*$D$6)+(-1*D69*$D$8))/F69)</f>
        <v>0.64652568065822691</v>
      </c>
      <c r="W69" s="450"/>
      <c r="X69" s="506"/>
    </row>
    <row r="70" spans="1:24" ht="15">
      <c r="A70" s="373"/>
      <c r="B70" s="374" t="s">
        <v>722</v>
      </c>
      <c r="C70" s="381">
        <v>0</v>
      </c>
      <c r="D70" s="376"/>
      <c r="E70" s="654">
        <v>46477</v>
      </c>
      <c r="F70" s="378">
        <v>12500</v>
      </c>
      <c r="G70" s="403">
        <f t="shared" ref="G70:G77" si="22">IF($E70&lt;G$66,$F70,0)</f>
        <v>0</v>
      </c>
      <c r="H70" s="404">
        <f t="shared" si="20"/>
        <v>0</v>
      </c>
      <c r="I70" s="404">
        <f t="shared" si="20"/>
        <v>0</v>
      </c>
      <c r="J70" s="405">
        <f t="shared" si="20"/>
        <v>12500</v>
      </c>
      <c r="K70" s="405">
        <f t="shared" si="20"/>
        <v>0</v>
      </c>
      <c r="L70" s="405">
        <f t="shared" si="20"/>
        <v>0</v>
      </c>
      <c r="M70" s="405">
        <f t="shared" si="20"/>
        <v>0</v>
      </c>
      <c r="N70" s="405">
        <f t="shared" si="20"/>
        <v>0</v>
      </c>
      <c r="O70" s="405">
        <f t="shared" si="20"/>
        <v>0</v>
      </c>
      <c r="P70" s="406">
        <f t="shared" si="20"/>
        <v>0</v>
      </c>
      <c r="Q70" s="635">
        <f t="shared" si="20"/>
        <v>0</v>
      </c>
      <c r="R70" s="379" t="s">
        <v>32</v>
      </c>
      <c r="S70" s="379"/>
      <c r="T70" s="382"/>
      <c r="U70" s="411">
        <f t="shared" ref="U70:U77" si="23">-0.75*Y169</f>
        <v>0</v>
      </c>
      <c r="V70" s="414">
        <f t="shared" si="21"/>
        <v>0</v>
      </c>
      <c r="W70" s="451"/>
      <c r="X70" s="506"/>
    </row>
    <row r="71" spans="1:24" ht="15">
      <c r="A71" s="373"/>
      <c r="B71" s="374" t="s">
        <v>723</v>
      </c>
      <c r="C71" s="383">
        <v>-10</v>
      </c>
      <c r="D71" s="376"/>
      <c r="E71" s="654">
        <v>46477</v>
      </c>
      <c r="F71" s="384">
        <v>42800</v>
      </c>
      <c r="G71" s="403">
        <f t="shared" si="22"/>
        <v>0</v>
      </c>
      <c r="H71" s="404">
        <f t="shared" si="20"/>
        <v>0</v>
      </c>
      <c r="I71" s="405">
        <f t="shared" si="20"/>
        <v>0</v>
      </c>
      <c r="J71" s="405">
        <f t="shared" si="20"/>
        <v>42800</v>
      </c>
      <c r="K71" s="405">
        <f t="shared" si="20"/>
        <v>0</v>
      </c>
      <c r="L71" s="405">
        <f t="shared" si="20"/>
        <v>0</v>
      </c>
      <c r="M71" s="405">
        <f t="shared" si="20"/>
        <v>0</v>
      </c>
      <c r="N71" s="405">
        <f t="shared" si="20"/>
        <v>0</v>
      </c>
      <c r="O71" s="405">
        <f t="shared" si="20"/>
        <v>0</v>
      </c>
      <c r="P71" s="406">
        <f t="shared" si="20"/>
        <v>0</v>
      </c>
      <c r="Q71" s="635">
        <f t="shared" si="20"/>
        <v>0</v>
      </c>
      <c r="R71" s="379" t="s">
        <v>32</v>
      </c>
      <c r="S71" s="379"/>
      <c r="T71" s="382"/>
      <c r="U71" s="411">
        <f t="shared" si="23"/>
        <v>3.0788027032939105E-2</v>
      </c>
      <c r="V71" s="414">
        <f t="shared" si="21"/>
        <v>3.3718170094408528E-2</v>
      </c>
      <c r="W71" s="451"/>
      <c r="X71" s="506"/>
    </row>
    <row r="72" spans="1:24" ht="15">
      <c r="A72" s="373"/>
      <c r="B72" s="374" t="s">
        <v>639</v>
      </c>
      <c r="C72" s="375">
        <v>0</v>
      </c>
      <c r="D72" s="376"/>
      <c r="E72" s="654">
        <v>46477</v>
      </c>
      <c r="F72" s="378">
        <v>12500</v>
      </c>
      <c r="G72" s="403">
        <f t="shared" si="22"/>
        <v>0</v>
      </c>
      <c r="H72" s="404">
        <f t="shared" si="20"/>
        <v>0</v>
      </c>
      <c r="I72" s="405">
        <f t="shared" si="20"/>
        <v>0</v>
      </c>
      <c r="J72" s="405">
        <f t="shared" si="20"/>
        <v>12500</v>
      </c>
      <c r="K72" s="405">
        <f t="shared" si="20"/>
        <v>0</v>
      </c>
      <c r="L72" s="405">
        <f t="shared" si="20"/>
        <v>0</v>
      </c>
      <c r="M72" s="405">
        <f t="shared" si="20"/>
        <v>0</v>
      </c>
      <c r="N72" s="405">
        <f t="shared" si="20"/>
        <v>0</v>
      </c>
      <c r="O72" s="405">
        <f t="shared" si="20"/>
        <v>0</v>
      </c>
      <c r="P72" s="406">
        <f t="shared" si="20"/>
        <v>0</v>
      </c>
      <c r="Q72" s="635">
        <f t="shared" si="20"/>
        <v>0</v>
      </c>
      <c r="R72" s="379" t="s">
        <v>32</v>
      </c>
      <c r="S72" s="379"/>
      <c r="T72" s="382"/>
      <c r="U72" s="411">
        <f t="shared" si="23"/>
        <v>0</v>
      </c>
      <c r="V72" s="414">
        <f t="shared" si="21"/>
        <v>0</v>
      </c>
      <c r="W72" s="451"/>
      <c r="X72" s="506"/>
    </row>
    <row r="73" spans="1:24" ht="15">
      <c r="A73" s="373"/>
      <c r="B73" s="374" t="s">
        <v>724</v>
      </c>
      <c r="C73" s="381">
        <v>-3</v>
      </c>
      <c r="D73" s="376"/>
      <c r="E73" s="654">
        <v>46477</v>
      </c>
      <c r="F73" s="378">
        <v>37500</v>
      </c>
      <c r="G73" s="403">
        <f t="shared" si="22"/>
        <v>0</v>
      </c>
      <c r="H73" s="404">
        <f t="shared" si="20"/>
        <v>0</v>
      </c>
      <c r="I73" s="405">
        <f t="shared" si="20"/>
        <v>0</v>
      </c>
      <c r="J73" s="405">
        <f t="shared" si="20"/>
        <v>37500</v>
      </c>
      <c r="K73" s="405">
        <f t="shared" si="20"/>
        <v>0</v>
      </c>
      <c r="L73" s="405">
        <f t="shared" si="20"/>
        <v>0</v>
      </c>
      <c r="M73" s="405">
        <f t="shared" si="20"/>
        <v>0</v>
      </c>
      <c r="N73" s="405">
        <f t="shared" si="20"/>
        <v>0</v>
      </c>
      <c r="O73" s="405">
        <f t="shared" si="20"/>
        <v>0</v>
      </c>
      <c r="P73" s="406">
        <f t="shared" si="20"/>
        <v>0</v>
      </c>
      <c r="Q73" s="635">
        <f t="shared" si="20"/>
        <v>0</v>
      </c>
      <c r="R73" s="379" t="s">
        <v>32</v>
      </c>
      <c r="S73" s="379"/>
      <c r="T73" s="382"/>
      <c r="U73" s="411">
        <f t="shared" si="23"/>
        <v>9.236408109881732E-3</v>
      </c>
      <c r="V73" s="414">
        <f t="shared" si="21"/>
        <v>1.1545101440325481E-2</v>
      </c>
      <c r="W73" s="451"/>
      <c r="X73" s="506"/>
    </row>
    <row r="74" spans="1:24" ht="15">
      <c r="A74" s="373"/>
      <c r="B74" s="374" t="s">
        <v>725</v>
      </c>
      <c r="C74" s="375">
        <v>-70</v>
      </c>
      <c r="D74" s="376"/>
      <c r="E74" s="654">
        <v>49399</v>
      </c>
      <c r="F74" s="378">
        <v>575000</v>
      </c>
      <c r="G74" s="403">
        <f t="shared" si="22"/>
        <v>0</v>
      </c>
      <c r="H74" s="404">
        <f t="shared" si="20"/>
        <v>0</v>
      </c>
      <c r="I74" s="405">
        <f t="shared" si="20"/>
        <v>0</v>
      </c>
      <c r="J74" s="405">
        <f t="shared" si="20"/>
        <v>0</v>
      </c>
      <c r="K74" s="405">
        <f t="shared" si="20"/>
        <v>0</v>
      </c>
      <c r="L74" s="405">
        <f t="shared" si="20"/>
        <v>0</v>
      </c>
      <c r="M74" s="405">
        <f t="shared" si="20"/>
        <v>0</v>
      </c>
      <c r="N74" s="405">
        <f t="shared" si="20"/>
        <v>0</v>
      </c>
      <c r="O74" s="405">
        <f t="shared" si="20"/>
        <v>0</v>
      </c>
      <c r="P74" s="406">
        <f t="shared" si="20"/>
        <v>0</v>
      </c>
      <c r="Q74" s="635">
        <f t="shared" si="20"/>
        <v>0</v>
      </c>
      <c r="R74" s="379" t="s">
        <v>32</v>
      </c>
      <c r="S74" s="379"/>
      <c r="T74" s="382"/>
      <c r="U74" s="411">
        <f t="shared" si="23"/>
        <v>0.21551618923057375</v>
      </c>
      <c r="V74" s="414">
        <f t="shared" si="21"/>
        <v>1.7568632626582256E-2</v>
      </c>
      <c r="W74" s="451"/>
      <c r="X74" s="506"/>
    </row>
    <row r="75" spans="1:24" ht="15">
      <c r="A75" s="373"/>
      <c r="B75" s="374" t="s">
        <v>726</v>
      </c>
      <c r="C75" s="375"/>
      <c r="D75" s="376"/>
      <c r="E75" s="377"/>
      <c r="F75" s="378">
        <v>12500</v>
      </c>
      <c r="G75" s="403">
        <f t="shared" si="22"/>
        <v>12500</v>
      </c>
      <c r="H75" s="404">
        <f t="shared" si="20"/>
        <v>0</v>
      </c>
      <c r="I75" s="405">
        <f t="shared" si="20"/>
        <v>0</v>
      </c>
      <c r="J75" s="405">
        <f t="shared" si="20"/>
        <v>0</v>
      </c>
      <c r="K75" s="405">
        <f t="shared" si="20"/>
        <v>0</v>
      </c>
      <c r="L75" s="405">
        <f t="shared" si="20"/>
        <v>0</v>
      </c>
      <c r="M75" s="405">
        <f t="shared" si="20"/>
        <v>0</v>
      </c>
      <c r="N75" s="405">
        <f t="shared" si="20"/>
        <v>0</v>
      </c>
      <c r="O75" s="405">
        <f t="shared" si="20"/>
        <v>0</v>
      </c>
      <c r="P75" s="406">
        <f t="shared" si="20"/>
        <v>0</v>
      </c>
      <c r="Q75" s="635">
        <f t="shared" si="20"/>
        <v>0</v>
      </c>
      <c r="R75" s="379" t="s">
        <v>32</v>
      </c>
      <c r="S75" s="379"/>
      <c r="T75" s="382"/>
      <c r="U75" s="411">
        <f t="shared" si="23"/>
        <v>0</v>
      </c>
      <c r="V75" s="414">
        <f t="shared" si="21"/>
        <v>0</v>
      </c>
      <c r="W75" s="451"/>
      <c r="X75" s="506"/>
    </row>
    <row r="76" spans="1:24" ht="15">
      <c r="A76" s="373"/>
      <c r="B76" s="374" t="s">
        <v>727</v>
      </c>
      <c r="C76" s="375"/>
      <c r="D76" s="376"/>
      <c r="E76" s="377"/>
      <c r="F76" s="378">
        <v>0</v>
      </c>
      <c r="G76" s="403">
        <f t="shared" si="22"/>
        <v>0</v>
      </c>
      <c r="H76" s="404">
        <f t="shared" si="20"/>
        <v>0</v>
      </c>
      <c r="I76" s="405">
        <f t="shared" si="20"/>
        <v>0</v>
      </c>
      <c r="J76" s="405">
        <f t="shared" si="20"/>
        <v>0</v>
      </c>
      <c r="K76" s="405">
        <f t="shared" si="20"/>
        <v>0</v>
      </c>
      <c r="L76" s="405">
        <f t="shared" si="20"/>
        <v>0</v>
      </c>
      <c r="M76" s="405">
        <f t="shared" si="20"/>
        <v>0</v>
      </c>
      <c r="N76" s="405">
        <f t="shared" si="20"/>
        <v>0</v>
      </c>
      <c r="O76" s="405">
        <f t="shared" si="20"/>
        <v>0</v>
      </c>
      <c r="P76" s="406">
        <f t="shared" si="20"/>
        <v>0</v>
      </c>
      <c r="Q76" s="635">
        <f t="shared" si="20"/>
        <v>0</v>
      </c>
      <c r="R76" s="379" t="s">
        <v>32</v>
      </c>
      <c r="S76" s="379"/>
      <c r="T76" s="382"/>
      <c r="U76" s="411">
        <f t="shared" si="23"/>
        <v>0</v>
      </c>
      <c r="V76" s="414" t="str">
        <f t="shared" si="21"/>
        <v/>
      </c>
      <c r="W76" s="451"/>
      <c r="X76" s="506"/>
    </row>
    <row r="77" spans="1:24" ht="15">
      <c r="A77" s="373"/>
      <c r="B77" s="374" t="s">
        <v>728</v>
      </c>
      <c r="C77" s="375"/>
      <c r="D77" s="376"/>
      <c r="E77" s="377"/>
      <c r="F77" s="378">
        <v>12500</v>
      </c>
      <c r="G77" s="403">
        <f t="shared" si="22"/>
        <v>12500</v>
      </c>
      <c r="H77" s="404">
        <f t="shared" si="20"/>
        <v>0</v>
      </c>
      <c r="I77" s="405">
        <f t="shared" si="20"/>
        <v>0</v>
      </c>
      <c r="J77" s="405">
        <f t="shared" si="20"/>
        <v>0</v>
      </c>
      <c r="K77" s="405">
        <f t="shared" si="20"/>
        <v>0</v>
      </c>
      <c r="L77" s="405">
        <f t="shared" si="20"/>
        <v>0</v>
      </c>
      <c r="M77" s="405">
        <f t="shared" si="20"/>
        <v>0</v>
      </c>
      <c r="N77" s="405">
        <f t="shared" si="20"/>
        <v>0</v>
      </c>
      <c r="O77" s="405">
        <f t="shared" si="20"/>
        <v>0</v>
      </c>
      <c r="P77" s="406">
        <f t="shared" si="20"/>
        <v>0</v>
      </c>
      <c r="Q77" s="635">
        <f t="shared" si="20"/>
        <v>0</v>
      </c>
      <c r="R77" s="379" t="s">
        <v>32</v>
      </c>
      <c r="S77" s="379"/>
      <c r="T77" s="385"/>
      <c r="U77" s="411">
        <f t="shared" si="23"/>
        <v>0</v>
      </c>
      <c r="V77" s="414">
        <f t="shared" si="21"/>
        <v>0</v>
      </c>
      <c r="W77" s="451"/>
      <c r="X77" s="506"/>
    </row>
    <row r="78" spans="1:24" ht="15">
      <c r="A78" s="373"/>
      <c r="B78" s="374" t="s">
        <v>729</v>
      </c>
      <c r="C78" s="375"/>
      <c r="D78" s="375"/>
      <c r="E78" s="377"/>
      <c r="F78" s="378"/>
      <c r="G78" s="403"/>
      <c r="H78" s="404"/>
      <c r="I78" s="405"/>
      <c r="J78" s="405"/>
      <c r="K78" s="405"/>
      <c r="L78" s="405"/>
      <c r="M78" s="405"/>
      <c r="N78" s="405"/>
      <c r="O78" s="405"/>
      <c r="P78" s="406"/>
      <c r="Q78" s="635"/>
      <c r="R78" s="379"/>
      <c r="S78" s="386"/>
      <c r="T78" s="387"/>
      <c r="U78" s="413" t="e">
        <f>IF(-0.75*((C78/(VLOOKUP($A$2,Assumptions!$B$124:$G$147,2,0)))+D78/(VLOOKUP($A$2,Assumptions!$B$124:$G$147,5,0)))=0,"",-0.75*((C78/(VLOOKUP($A$2,Assumptions!$B$124:$G$147,2,0)))+D78/(VLOOKUP($A$2,Assumptions!$B$124:$G$147,5,0))))</f>
        <v>#DIV/0!</v>
      </c>
      <c r="V78" s="414" t="str">
        <f t="shared" si="21"/>
        <v/>
      </c>
      <c r="W78" s="451"/>
      <c r="X78" s="506"/>
    </row>
    <row r="79" spans="1:24" ht="15">
      <c r="A79" s="373"/>
      <c r="B79" s="374"/>
      <c r="C79" s="375"/>
      <c r="D79" s="375"/>
      <c r="E79" s="377"/>
      <c r="F79" s="378"/>
      <c r="G79" s="403"/>
      <c r="H79" s="404"/>
      <c r="I79" s="405"/>
      <c r="J79" s="405"/>
      <c r="K79" s="405"/>
      <c r="L79" s="405"/>
      <c r="M79" s="405"/>
      <c r="N79" s="405"/>
      <c r="O79" s="405"/>
      <c r="P79" s="406"/>
      <c r="Q79" s="635"/>
      <c r="R79" s="379"/>
      <c r="S79" s="386"/>
      <c r="T79" s="387"/>
      <c r="U79" s="413" t="e">
        <f>IF(-0.75*((C79/(VLOOKUP($A$2,Assumptions!$B$124:$G$147,2,0)))+D79/(VLOOKUP($A$2,Assumptions!$B$124:$G$147,5,0)))=0,"",-0.75*((C79/(VLOOKUP($A$2,Assumptions!$B$124:$G$147,2,0)))+D79/(VLOOKUP($A$2,Assumptions!$B$124:$G$147,5,0))))</f>
        <v>#DIV/0!</v>
      </c>
      <c r="V79" s="414" t="str">
        <f t="shared" si="21"/>
        <v/>
      </c>
      <c r="W79" s="451"/>
      <c r="X79" s="506"/>
    </row>
    <row r="80" spans="1:24" ht="15">
      <c r="A80" s="373"/>
      <c r="B80" s="374"/>
      <c r="C80" s="375"/>
      <c r="D80" s="375"/>
      <c r="E80" s="377"/>
      <c r="F80" s="378"/>
      <c r="G80" s="403"/>
      <c r="H80" s="404"/>
      <c r="I80" s="405"/>
      <c r="J80" s="405"/>
      <c r="K80" s="405"/>
      <c r="L80" s="405"/>
      <c r="M80" s="405"/>
      <c r="N80" s="405"/>
      <c r="O80" s="405"/>
      <c r="P80" s="406"/>
      <c r="Q80" s="635"/>
      <c r="R80" s="379"/>
      <c r="S80" s="386"/>
      <c r="T80" s="387"/>
      <c r="U80" s="413" t="e">
        <f>IF(-0.75*((C80/(VLOOKUP($A$2,Assumptions!$B$124:$G$147,2,0)))+D80/(VLOOKUP($A$2,Assumptions!$B$124:$G$147,5,0)))=0,"",-0.75*((C80/(VLOOKUP($A$2,Assumptions!$B$124:$G$147,2,0)))+D80/(VLOOKUP($A$2,Assumptions!$B$124:$G$147,5,0))))</f>
        <v>#DIV/0!</v>
      </c>
      <c r="V80" s="414" t="str">
        <f t="shared" si="21"/>
        <v/>
      </c>
      <c r="W80" s="451"/>
      <c r="X80" s="506"/>
    </row>
    <row r="81" spans="1:24" ht="15">
      <c r="A81" s="373"/>
      <c r="B81" s="457"/>
      <c r="C81" s="375"/>
      <c r="D81" s="375"/>
      <c r="E81" s="377"/>
      <c r="F81" s="378"/>
      <c r="G81" s="403"/>
      <c r="H81" s="404"/>
      <c r="I81" s="405"/>
      <c r="J81" s="405"/>
      <c r="K81" s="405"/>
      <c r="L81" s="405"/>
      <c r="M81" s="405"/>
      <c r="N81" s="405"/>
      <c r="O81" s="405"/>
      <c r="P81" s="406"/>
      <c r="Q81" s="635"/>
      <c r="R81" s="379"/>
      <c r="S81" s="386"/>
      <c r="T81" s="387"/>
      <c r="U81" s="413" t="e">
        <f>IF(-0.75*((C81/(VLOOKUP($A$2,Assumptions!$B$124:$G$147,2,0)))+D81/(VLOOKUP($A$2,Assumptions!$B$124:$G$147,5,0)))=0,"",-0.75*((C81/(VLOOKUP($A$2,Assumptions!$B$124:$G$147,2,0)))+D81/(VLOOKUP($A$2,Assumptions!$B$124:$G$147,5,0))))</f>
        <v>#DIV/0!</v>
      </c>
      <c r="V81" s="414" t="str">
        <f t="shared" si="21"/>
        <v/>
      </c>
      <c r="W81" s="451"/>
      <c r="X81" s="506"/>
    </row>
    <row r="82" spans="1:24" ht="15">
      <c r="A82" s="373"/>
      <c r="B82" s="457"/>
      <c r="C82" s="375"/>
      <c r="D82" s="375"/>
      <c r="E82" s="377"/>
      <c r="F82" s="378"/>
      <c r="G82" s="403"/>
      <c r="H82" s="404"/>
      <c r="I82" s="405"/>
      <c r="J82" s="405"/>
      <c r="K82" s="405"/>
      <c r="L82" s="405"/>
      <c r="M82" s="405"/>
      <c r="N82" s="405"/>
      <c r="O82" s="405"/>
      <c r="P82" s="406"/>
      <c r="Q82" s="635"/>
      <c r="R82" s="379"/>
      <c r="S82" s="386"/>
      <c r="T82" s="387"/>
      <c r="U82" s="413" t="e">
        <f>IF(-0.75*((C82/(VLOOKUP($A$2,Assumptions!$B$124:$G$147,2,0)))+D82/(VLOOKUP($A$2,Assumptions!$B$124:$G$147,5,0)))=0,"",-0.75*((C82/(VLOOKUP($A$2,Assumptions!$B$124:$G$147,2,0)))+D82/(VLOOKUP($A$2,Assumptions!$B$124:$G$147,5,0))))</f>
        <v>#DIV/0!</v>
      </c>
      <c r="V82" s="414" t="str">
        <f t="shared" si="21"/>
        <v/>
      </c>
      <c r="W82" s="451"/>
      <c r="X82" s="506"/>
    </row>
    <row r="83" spans="1:24" ht="15">
      <c r="A83" s="373"/>
      <c r="B83" s="457"/>
      <c r="C83" s="375"/>
      <c r="D83" s="375"/>
      <c r="E83" s="377"/>
      <c r="F83" s="378"/>
      <c r="G83" s="403"/>
      <c r="H83" s="404"/>
      <c r="I83" s="405"/>
      <c r="J83" s="405"/>
      <c r="K83" s="405"/>
      <c r="L83" s="405"/>
      <c r="M83" s="405"/>
      <c r="N83" s="405"/>
      <c r="O83" s="405"/>
      <c r="P83" s="406"/>
      <c r="Q83" s="635"/>
      <c r="R83" s="379"/>
      <c r="S83" s="386"/>
      <c r="T83" s="387"/>
      <c r="U83" s="413" t="e">
        <f>IF(-0.75*((C83/(VLOOKUP($A$2,Assumptions!$B$124:$G$147,2,0)))+D83/(VLOOKUP($A$2,Assumptions!$B$124:$G$147,5,0)))=0,"",-0.75*((C83/(VLOOKUP($A$2,Assumptions!$B$124:$G$147,2,0)))+D83/(VLOOKUP($A$2,Assumptions!$B$124:$G$147,5,0))))</f>
        <v>#DIV/0!</v>
      </c>
      <c r="V83" s="414" t="str">
        <f t="shared" si="21"/>
        <v/>
      </c>
      <c r="W83" s="451"/>
      <c r="X83" s="506"/>
    </row>
    <row r="84" spans="1:24" ht="15">
      <c r="A84" s="373"/>
      <c r="B84" s="457"/>
      <c r="C84" s="375"/>
      <c r="D84" s="375"/>
      <c r="E84" s="377"/>
      <c r="F84" s="378"/>
      <c r="G84" s="403"/>
      <c r="H84" s="404"/>
      <c r="I84" s="405"/>
      <c r="J84" s="405"/>
      <c r="K84" s="405"/>
      <c r="L84" s="405"/>
      <c r="M84" s="405"/>
      <c r="N84" s="405"/>
      <c r="O84" s="405"/>
      <c r="P84" s="406"/>
      <c r="Q84" s="635"/>
      <c r="R84" s="379"/>
      <c r="S84" s="386"/>
      <c r="T84" s="387"/>
      <c r="U84" s="413" t="e">
        <f>IF(-0.75*((C84/(VLOOKUP($A$2,Assumptions!$B$124:$G$147,2,0)))+D84/(VLOOKUP($A$2,Assumptions!$B$124:$G$147,5,0)))=0,"",-0.75*((C84/(VLOOKUP($A$2,Assumptions!$B$124:$G$147,2,0)))+D84/(VLOOKUP($A$2,Assumptions!$B$124:$G$147,5,0))))</f>
        <v>#DIV/0!</v>
      </c>
      <c r="V84" s="414" t="str">
        <f t="shared" si="21"/>
        <v/>
      </c>
      <c r="W84" s="451"/>
      <c r="X84" s="506"/>
    </row>
    <row r="85" spans="1:24" ht="15">
      <c r="A85" s="373"/>
      <c r="B85" s="457"/>
      <c r="C85" s="375"/>
      <c r="D85" s="375"/>
      <c r="E85" s="377"/>
      <c r="F85" s="378"/>
      <c r="G85" s="403"/>
      <c r="H85" s="404"/>
      <c r="I85" s="405"/>
      <c r="J85" s="405"/>
      <c r="K85" s="405"/>
      <c r="L85" s="405"/>
      <c r="M85" s="405"/>
      <c r="N85" s="405"/>
      <c r="O85" s="405"/>
      <c r="P85" s="406"/>
      <c r="Q85" s="635"/>
      <c r="R85" s="379"/>
      <c r="S85" s="386"/>
      <c r="T85" s="387"/>
      <c r="U85" s="413" t="e">
        <f>IF(-0.75*((C85/(VLOOKUP($A$2,Assumptions!$B$124:$G$147,2,0)))+D85/(VLOOKUP($A$2,Assumptions!$B$124:$G$147,5,0)))=0,"",-0.75*((C85/(VLOOKUP($A$2,Assumptions!$B$124:$G$147,2,0)))+D85/(VLOOKUP($A$2,Assumptions!$B$124:$G$147,5,0))))</f>
        <v>#DIV/0!</v>
      </c>
      <c r="V85" s="414" t="str">
        <f t="shared" si="21"/>
        <v/>
      </c>
      <c r="W85" s="451"/>
      <c r="X85" s="507"/>
    </row>
    <row r="86" spans="1:24" ht="15">
      <c r="A86" s="373"/>
      <c r="B86" s="457"/>
      <c r="C86" s="375"/>
      <c r="D86" s="375"/>
      <c r="E86" s="377"/>
      <c r="F86" s="378"/>
      <c r="G86" s="403"/>
      <c r="H86" s="404"/>
      <c r="I86" s="405"/>
      <c r="J86" s="405"/>
      <c r="K86" s="405"/>
      <c r="L86" s="405"/>
      <c r="M86" s="405"/>
      <c r="N86" s="405"/>
      <c r="O86" s="405"/>
      <c r="P86" s="406"/>
      <c r="Q86" s="635"/>
      <c r="R86" s="379"/>
      <c r="S86" s="386"/>
      <c r="T86" s="387"/>
      <c r="U86" s="413" t="e">
        <f>IF(-0.75*((C86/(VLOOKUP($A$2,Assumptions!$B$124:$G$147,2,0)))+D86/(VLOOKUP($A$2,Assumptions!$B$124:$G$147,5,0)))=0,"",-0.75*((C86/(VLOOKUP($A$2,Assumptions!$B$124:$G$147,2,0)))+D86/(VLOOKUP($A$2,Assumptions!$B$124:$G$147,5,0))))</f>
        <v>#DIV/0!</v>
      </c>
      <c r="V86" s="414" t="str">
        <f t="shared" si="21"/>
        <v/>
      </c>
      <c r="W86" s="451"/>
      <c r="X86" s="507"/>
    </row>
    <row r="87" spans="1:24" ht="15">
      <c r="A87" s="373"/>
      <c r="B87" s="374"/>
      <c r="C87" s="375"/>
      <c r="D87" s="375"/>
      <c r="E87" s="377"/>
      <c r="F87" s="378"/>
      <c r="G87" s="403"/>
      <c r="H87" s="404"/>
      <c r="I87" s="405"/>
      <c r="J87" s="405"/>
      <c r="K87" s="405"/>
      <c r="L87" s="405"/>
      <c r="M87" s="405"/>
      <c r="N87" s="405"/>
      <c r="O87" s="405"/>
      <c r="P87" s="406"/>
      <c r="Q87" s="635"/>
      <c r="R87" s="379"/>
      <c r="S87" s="379"/>
      <c r="T87" s="387"/>
      <c r="U87" s="413" t="e">
        <f>IF(-0.75*((C87/(VLOOKUP($A$2,Assumptions!$B$124:$G$147,2,0)))+D87/(VLOOKUP($A$2,Assumptions!$B$124:$G$147,5,0)))=0,"",-0.75*((C87/(VLOOKUP($A$2,Assumptions!$B$124:$G$147,2,0)))+D87/(VLOOKUP($A$2,Assumptions!$B$124:$G$147,5,0))))</f>
        <v>#DIV/0!</v>
      </c>
      <c r="V87" s="414" t="str">
        <f t="shared" si="21"/>
        <v/>
      </c>
      <c r="W87" s="451"/>
      <c r="X87" s="507"/>
    </row>
    <row r="88" spans="1:24" ht="15">
      <c r="A88" s="456"/>
      <c r="B88" s="397"/>
      <c r="C88" s="398"/>
      <c r="D88" s="398"/>
      <c r="E88" s="399"/>
      <c r="F88" s="400"/>
      <c r="G88" s="407"/>
      <c r="H88" s="408"/>
      <c r="I88" s="409"/>
      <c r="J88" s="409"/>
      <c r="K88" s="409"/>
      <c r="L88" s="409"/>
      <c r="M88" s="409"/>
      <c r="N88" s="409"/>
      <c r="O88" s="409"/>
      <c r="P88" s="410"/>
      <c r="Q88" s="636"/>
      <c r="R88" s="401"/>
      <c r="S88" s="401"/>
      <c r="T88" s="402"/>
      <c r="U88" s="413" t="e">
        <f>IF(-0.75*((C88/(VLOOKUP($A$2,Assumptions!$B$124:$G$147,2,0)))+D88/(VLOOKUP($A$2,Assumptions!$B$124:$G$147,5,0)))=0,"",-0.75*((C88/(VLOOKUP($A$2,Assumptions!$B$124:$G$147,2,0)))+D88/(VLOOKUP($A$2,Assumptions!$B$124:$G$147,5,0))))</f>
        <v>#DIV/0!</v>
      </c>
      <c r="V88" s="415" t="str">
        <f t="shared" si="21"/>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-111</v>
      </c>
      <c r="D115" s="354">
        <f>SUM(D69:D88)</f>
        <v>0</v>
      </c>
      <c r="E115" s="355"/>
      <c r="F115" s="333">
        <f>SUM(F69:F114)</f>
        <v>711550</v>
      </c>
      <c r="G115" s="388">
        <f>SUM(G69:G114)</f>
        <v>25000</v>
      </c>
      <c r="H115" s="388">
        <f t="shared" ref="H115:N115" si="25">SUM(H69:H114)</f>
        <v>0</v>
      </c>
      <c r="I115" s="388">
        <f t="shared" si="25"/>
        <v>0</v>
      </c>
      <c r="J115" s="388">
        <f t="shared" si="25"/>
        <v>111550</v>
      </c>
      <c r="K115" s="388">
        <f t="shared" si="25"/>
        <v>0</v>
      </c>
      <c r="L115" s="388">
        <f t="shared" si="25"/>
        <v>0</v>
      </c>
      <c r="M115" s="388">
        <f t="shared" si="25"/>
        <v>0</v>
      </c>
      <c r="N115" s="388">
        <f t="shared" si="25"/>
        <v>0</v>
      </c>
      <c r="O115" s="388">
        <f>SUM(O69:O114)</f>
        <v>0</v>
      </c>
      <c r="P115" s="388">
        <f>SUM(P69:P114)</f>
        <v>0</v>
      </c>
      <c r="Q115" s="388">
        <f>SUM(Q69:Q114)</f>
        <v>0</v>
      </c>
      <c r="R115" s="388">
        <f>SUMIFS(F69:F114,R69:R114,"Yes")-0.5*SUMIFS(F69:F114,R69:R114,"Yes",S69:S114,"Yes")</f>
        <v>711550</v>
      </c>
      <c r="S115" s="388">
        <f>SUMIFS(F69:F114,S69:S114,"Yes")-0.5*SUMIFS(F69:F114,S69:S114,"Yes",R69:R114,"Yes")</f>
        <v>0</v>
      </c>
      <c r="T115" s="388">
        <f>SUMIFS(F69:F114,T69:T114,"Yes")</f>
        <v>0</v>
      </c>
      <c r="U115" s="389" t="e">
        <f>SUM(U69:U114)</f>
        <v>#DIV/0!</v>
      </c>
      <c r="V115" s="390">
        <f>IF(ISERROR(((-1*C115*1000*$D$6)+(-1*D115*$D$8))/F115),"",((-1*C115*1000*$D$6)+(-1*D115*$D$8))/F115)</f>
        <v>2.2512582739725395E-2</v>
      </c>
      <c r="W115" s="391">
        <f>SUMIFS(F69:F114,W69:W114,"Yes")</f>
        <v>0</v>
      </c>
      <c r="X115" s="516">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83.25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5.2286184210526319</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5.1171842068287203</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5.1171842068287203</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5.1171842068287203</v>
      </c>
      <c r="AA126" s="22">
        <f t="shared" ref="AA126:AC126" si="26">AK216</f>
        <v>5.1818870820185845</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5.1171842068287203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5.1818870820185845</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5.1818870820185845</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5.1818870820185845</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5.1818870820185845</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5.1818870820185845</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5.1818870820185845</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35.585000000000001</v>
      </c>
      <c r="BC154" s="24" t="s">
        <v>436</v>
      </c>
      <c r="BD154" s="8"/>
      <c r="BE154" s="8"/>
      <c r="BF154" s="24">
        <f t="shared" ref="BF154:BF155" si="31">IF($C$59&gt;7000,"error",IF($C$59&gt;5999,AR154,IF($C$59&gt;4999,AQ154,IF($C$59&gt;3999,AP154,IF($C$59&gt;2999,AO154,IF($C$59&gt;1999,AN154,"Error"))))))</f>
        <v>35.585000000000001</v>
      </c>
      <c r="BG154" s="24">
        <f t="shared" ref="BG154:BG164" si="32">IF($C$59&gt;7000,"error",IF($C$59&gt;5999,AY154,IF($C$59&gt;4999,AX154,IF($C$59&gt;3999,AW154,IF($C$59&gt;2999,AV154,IF($C$59&gt;1999,AU154,"Error"))))))</f>
        <v>59.814999999999998</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53.377499999999998</v>
      </c>
      <c r="BC155" s="24" t="s">
        <v>436</v>
      </c>
      <c r="BE155" s="24"/>
      <c r="BF155" s="24">
        <f t="shared" si="31"/>
        <v>53.377499999999998</v>
      </c>
      <c r="BG155" s="24">
        <f t="shared" si="32"/>
        <v>89.722499999999997</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71.17</v>
      </c>
      <c r="BC156" s="24" t="s">
        <v>436</v>
      </c>
      <c r="BD156" s="24">
        <f>IF(C58="base",BF156,BG156)</f>
        <v>71.17</v>
      </c>
      <c r="BE156" s="24"/>
      <c r="BF156" s="24">
        <f>IF($C$59&gt;7000,"error",IF($C$59&gt;5999,AR156,IF($C$59&gt;4999,AQ156,IF($C$59&gt;3999,AP156,IF($C$59&gt;2999,AO156,IF($C$59&gt;1999,AN156,"Error"))))))</f>
        <v>71.17</v>
      </c>
      <c r="BG156" s="24">
        <f t="shared" si="32"/>
        <v>119.63</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9828</v>
      </c>
      <c r="BW156" s="14" t="s">
        <v>445</v>
      </c>
      <c r="BX156" s="181" t="s">
        <v>13</v>
      </c>
      <c r="BY156" s="38">
        <f>BY157/BV156</f>
        <v>73.747829670329679</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80.290000000000006</v>
      </c>
      <c r="BC157" s="24" t="s">
        <v>436</v>
      </c>
      <c r="BD157" s="24">
        <f>BB157-BB156</f>
        <v>9.1200000000000045</v>
      </c>
      <c r="BE157" s="24"/>
      <c r="BF157" s="24">
        <f t="shared" ref="BF157:BF164" si="36">IF($C$59&gt;7000,"error",IF($C$59&gt;5999,AR157,IF($C$59&gt;4999,AQ157,IF($C$59&gt;3999,AP157,IF($C$59&gt;2999,AO157,IF($C$59&gt;1999,AN157,"Error"))))))</f>
        <v>80.290000000000006</v>
      </c>
      <c r="BG157" s="24">
        <f t="shared" si="32"/>
        <v>142.47</v>
      </c>
      <c r="BH157" s="24"/>
      <c r="BI157" s="29" t="s">
        <v>118</v>
      </c>
      <c r="BJ157" s="29">
        <v>810</v>
      </c>
      <c r="BK157" s="29">
        <v>51.33</v>
      </c>
      <c r="BL157" s="24">
        <v>2000</v>
      </c>
      <c r="BM157" s="25"/>
      <c r="BN157" s="24">
        <f>BV161/BV158</f>
        <v>13.355328358208956</v>
      </c>
      <c r="BO157" s="32" t="s">
        <v>447</v>
      </c>
      <c r="BP157" s="179">
        <f>$BY$158/SUM($BY$158:$BY$159)*C64</f>
        <v>67</v>
      </c>
      <c r="BQ157" s="29" t="s">
        <v>448</v>
      </c>
      <c r="BR157" s="29" t="s">
        <v>449</v>
      </c>
      <c r="BS157" s="29" t="s">
        <v>450</v>
      </c>
      <c r="BT157" s="14"/>
      <c r="BU157" s="30" t="s">
        <v>451</v>
      </c>
      <c r="BV157" s="33">
        <f xml:space="preserve"> 5 - 0.5*(BV158-BB156)/BH166</f>
        <v>5.2286184210526319</v>
      </c>
      <c r="BW157" s="14" t="s">
        <v>452</v>
      </c>
      <c r="BX157" s="181" t="s">
        <v>453</v>
      </c>
      <c r="BY157" s="180">
        <f>SUM(BY158:BY159)</f>
        <v>724793.67</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89.42</v>
      </c>
      <c r="BC158" s="24" t="s">
        <v>436</v>
      </c>
      <c r="BD158" s="24">
        <f t="shared" ref="BD158:BD164" si="37">BB158-BB157</f>
        <v>9.1299999999999955</v>
      </c>
      <c r="BE158" s="24"/>
      <c r="BF158" s="24">
        <f t="shared" si="36"/>
        <v>89.42</v>
      </c>
      <c r="BG158" s="24">
        <f t="shared" si="32"/>
        <v>165.3</v>
      </c>
      <c r="BH158" s="24"/>
      <c r="BI158" s="29" t="s">
        <v>150</v>
      </c>
      <c r="BJ158" s="29">
        <v>810</v>
      </c>
      <c r="BK158" s="29">
        <v>51.33</v>
      </c>
      <c r="BL158" s="24">
        <v>3000</v>
      </c>
      <c r="BM158" s="25"/>
      <c r="BN158" s="179" t="e">
        <f>BV162/BV163</f>
        <v>#DIV/0!</v>
      </c>
      <c r="BO158" s="24" t="s">
        <v>454</v>
      </c>
      <c r="BP158" s="179">
        <f>$BY$159/SUM($BY$158:$BY$159)*C64</f>
        <v>0</v>
      </c>
      <c r="BQ158" s="29" t="s">
        <v>455</v>
      </c>
      <c r="BR158" s="29" t="s">
        <v>456</v>
      </c>
      <c r="BS158" s="29" t="s">
        <v>457</v>
      </c>
      <c r="BT158" s="14"/>
      <c r="BU158" s="30" t="s">
        <v>458</v>
      </c>
      <c r="BV158" s="31">
        <f>BP157</f>
        <v>67</v>
      </c>
      <c r="BW158" s="14" t="s">
        <v>436</v>
      </c>
      <c r="BX158" s="181" t="s">
        <v>459</v>
      </c>
      <c r="BY158" s="178">
        <f>INDEX($BJ$156:$BJ$161,MATCH($C$57,$BI$156:$BI$161,0))*$C$62</f>
        <v>724793.67</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98.54</v>
      </c>
      <c r="BC159" s="24" t="s">
        <v>436</v>
      </c>
      <c r="BD159" s="24">
        <f t="shared" si="37"/>
        <v>9.1200000000000045</v>
      </c>
      <c r="BE159" s="24"/>
      <c r="BF159" s="24">
        <f t="shared" si="36"/>
        <v>98.54</v>
      </c>
      <c r="BG159" s="24">
        <f t="shared" si="32"/>
        <v>188.13</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0</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107.66</v>
      </c>
      <c r="BC160" s="24" t="s">
        <v>436</v>
      </c>
      <c r="BD160" s="24">
        <f t="shared" si="37"/>
        <v>9.1199999999999903</v>
      </c>
      <c r="BE160" s="24"/>
      <c r="BF160" s="24">
        <f t="shared" si="36"/>
        <v>107.66</v>
      </c>
      <c r="BG160" s="24">
        <f t="shared" si="32"/>
        <v>210.96</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72.301793794440854</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116.79</v>
      </c>
      <c r="BC161" s="24" t="s">
        <v>436</v>
      </c>
      <c r="BD161" s="24">
        <f t="shared" si="37"/>
        <v>9.1300000000000097</v>
      </c>
      <c r="BE161" s="24"/>
      <c r="BF161" s="24">
        <f t="shared" si="36"/>
        <v>116.79</v>
      </c>
      <c r="BG161" s="24">
        <f t="shared" si="32"/>
        <v>233.79</v>
      </c>
      <c r="BH161" s="24"/>
      <c r="BI161" s="29" t="s">
        <v>147</v>
      </c>
      <c r="BJ161" s="29">
        <v>680</v>
      </c>
      <c r="BK161" s="29">
        <v>51.33</v>
      </c>
      <c r="BL161" s="24">
        <v>6000</v>
      </c>
      <c r="BM161" s="37"/>
      <c r="BN161" s="37"/>
      <c r="BO161" s="37"/>
      <c r="BP161" s="37"/>
      <c r="BQ161" s="29" t="s">
        <v>470</v>
      </c>
      <c r="BR161" s="29" t="s">
        <v>18</v>
      </c>
      <c r="BS161" s="29"/>
      <c r="BT161" s="14"/>
      <c r="BU161" s="14" t="s">
        <v>471</v>
      </c>
      <c r="BV161" s="31">
        <f>C62</f>
        <v>894.80700000000002</v>
      </c>
      <c r="BW161" s="14" t="s">
        <v>311</v>
      </c>
      <c r="BX161" s="14"/>
      <c r="BY161" s="14"/>
      <c r="BZ161" s="38">
        <f>5-(0.5*(C64-CE177)/(CE176-CE177))</f>
        <v>5.2286184210526319</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125.91</v>
      </c>
      <c r="BC162" s="24" t="s">
        <v>436</v>
      </c>
      <c r="BD162" s="24">
        <f t="shared" si="37"/>
        <v>9.1199999999999903</v>
      </c>
      <c r="BE162" s="24"/>
      <c r="BF162" s="24">
        <f t="shared" si="36"/>
        <v>125.91</v>
      </c>
      <c r="BG162" s="24">
        <f t="shared" si="32"/>
        <v>256.62</v>
      </c>
      <c r="BH162" s="24"/>
      <c r="BI162" s="24"/>
      <c r="BJ162" s="24"/>
      <c r="BK162" s="24"/>
      <c r="BL162" s="24"/>
      <c r="BM162" s="37"/>
      <c r="BN162" s="37"/>
      <c r="BO162" s="37"/>
      <c r="BP162" s="37"/>
      <c r="BQ162" s="29" t="s">
        <v>473</v>
      </c>
      <c r="BR162" s="24"/>
      <c r="BS162" s="24"/>
      <c r="BT162" s="14"/>
      <c r="BU162" s="14" t="s">
        <v>474</v>
      </c>
      <c r="BV162" s="31">
        <f>C63</f>
        <v>0</v>
      </c>
      <c r="BW162" s="14" t="s">
        <v>314</v>
      </c>
      <c r="BX162" s="14"/>
      <c r="BY162" s="38">
        <f>C63*BK156</f>
        <v>0</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135.04</v>
      </c>
      <c r="BC163" s="24" t="s">
        <v>436</v>
      </c>
      <c r="BD163" s="24">
        <f t="shared" si="37"/>
        <v>9.1299999999999955</v>
      </c>
      <c r="BE163" s="24"/>
      <c r="BF163" s="24">
        <f t="shared" si="36"/>
        <v>135.04</v>
      </c>
      <c r="BG163" s="24">
        <f t="shared" si="32"/>
        <v>279.45</v>
      </c>
      <c r="BH163" s="24"/>
      <c r="BI163" s="24"/>
      <c r="BJ163" s="24"/>
      <c r="BK163" s="24"/>
      <c r="BL163" s="24"/>
      <c r="BM163" s="37"/>
      <c r="BN163" s="37"/>
      <c r="BO163" s="37"/>
      <c r="BP163" s="37"/>
      <c r="BQ163" s="29" t="s">
        <v>475</v>
      </c>
      <c r="BR163" s="24"/>
      <c r="BS163" s="24"/>
      <c r="BT163" s="14"/>
      <c r="BU163" s="14" t="s">
        <v>476</v>
      </c>
      <c r="BV163" s="38">
        <f>BP158</f>
        <v>0</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144.16</v>
      </c>
      <c r="BC164" s="24" t="s">
        <v>436</v>
      </c>
      <c r="BD164" s="24">
        <f t="shared" si="37"/>
        <v>9.1200000000000045</v>
      </c>
      <c r="BE164" s="24"/>
      <c r="BF164" s="24">
        <f t="shared" si="36"/>
        <v>144.16</v>
      </c>
      <c r="BG164" s="24">
        <f t="shared" si="32"/>
        <v>302.27999999999997</v>
      </c>
      <c r="BH164" s="24"/>
      <c r="BI164" s="24"/>
      <c r="BJ164" s="24"/>
      <c r="BK164" s="24"/>
      <c r="BL164" s="24"/>
      <c r="BM164" s="37"/>
      <c r="BN164" s="37"/>
      <c r="BO164" s="37"/>
      <c r="BP164" s="37"/>
      <c r="BQ164" s="29" t="s">
        <v>478</v>
      </c>
      <c r="BR164" s="24"/>
      <c r="BS164" s="24"/>
      <c r="BT164" s="14"/>
      <c r="BU164" s="14"/>
      <c r="BV164" s="38">
        <f>BV163+BV158</f>
        <v>67</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8">H66</f>
        <v>45838</v>
      </c>
      <c r="I166" s="177">
        <f t="shared" si="38"/>
        <v>46203</v>
      </c>
      <c r="J166" s="177">
        <f t="shared" si="38"/>
        <v>46568</v>
      </c>
      <c r="K166" s="177">
        <f t="shared" si="38"/>
        <v>46934</v>
      </c>
      <c r="L166" s="177">
        <f t="shared" si="38"/>
        <v>47299</v>
      </c>
      <c r="M166" s="177">
        <f t="shared" si="38"/>
        <v>47664</v>
      </c>
      <c r="N166" s="177">
        <f t="shared" si="38"/>
        <v>48029</v>
      </c>
      <c r="O166" s="177">
        <f t="shared" si="38"/>
        <v>48395</v>
      </c>
      <c r="P166" s="177">
        <f t="shared" si="38"/>
        <v>48760</v>
      </c>
      <c r="Q166" s="177">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0">IF($C$58="base",INDEX($AN$157:$AR$157,MATCH($C$57,$AN$165:$AR$165,0)),INDEX($AU$157:$AY$157,MATCH($C$57,$AU$165:$AY$165,0)))</f>
        <v>80.290000000000006</v>
      </c>
      <c r="BF166" s="47" t="s">
        <v>388</v>
      </c>
      <c r="BG166" s="47">
        <f>BD156</f>
        <v>71.17</v>
      </c>
      <c r="BH166" s="47">
        <f>BD157</f>
        <v>9.1200000000000045</v>
      </c>
      <c r="BI166" s="47">
        <f>BD158</f>
        <v>9.1299999999999955</v>
      </c>
      <c r="BJ166" s="47">
        <f>BD159</f>
        <v>9.1200000000000045</v>
      </c>
      <c r="BK166" s="47">
        <f>BD160</f>
        <v>9.1199999999999903</v>
      </c>
      <c r="BL166" s="47">
        <f>BD161</f>
        <v>9.1300000000000097</v>
      </c>
      <c r="BM166" s="47">
        <f>BD162</f>
        <v>9.1199999999999903</v>
      </c>
      <c r="BN166" s="47">
        <f>BD163</f>
        <v>9.1299999999999955</v>
      </c>
      <c r="BO166" s="47">
        <f>BD164</f>
        <v>9.1200000000000045</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0</v>
      </c>
      <c r="K167" s="12">
        <f t="shared" ref="K167:K209" si="43">IF($E69&lt;K$66,$C69,0)</f>
        <v>-28</v>
      </c>
      <c r="L167" s="12">
        <f t="shared" ref="L167:N186" si="44">IF($E69&gt;L$66,0,IF($E69&lt;L$66-365,$C69,0))</f>
        <v>-28</v>
      </c>
      <c r="M167" s="12">
        <f t="shared" si="44"/>
        <v>-28</v>
      </c>
      <c r="N167" s="12">
        <f t="shared" si="44"/>
        <v>-28</v>
      </c>
      <c r="O167" s="12">
        <f t="shared" ref="O167:O209" si="45">IF($E69&lt;O$66,$C69,0)</f>
        <v>-28</v>
      </c>
      <c r="P167" s="12">
        <f t="shared" ref="P167:Q186" si="46">IF($E69&gt;P$66,0,IF($E69&lt;P$66-365,$C69,0))</f>
        <v>-28</v>
      </c>
      <c r="Q167" s="12">
        <f t="shared" si="46"/>
        <v>-28</v>
      </c>
      <c r="T167" s="14"/>
      <c r="U167" s="14"/>
      <c r="V167" s="14"/>
      <c r="W167" s="53">
        <f t="shared" ref="W167:W211" si="47">C68*$BN$160*1000</f>
        <v>0</v>
      </c>
      <c r="X167" s="54" t="e">
        <f t="shared" ref="X167:X168" si="48">-1*F68/W167</f>
        <v>#DIV/0!</v>
      </c>
      <c r="Y167" s="25">
        <f>Z167/$BH$166</f>
        <v>0</v>
      </c>
      <c r="Z167" s="54">
        <f>C68/$BN$157</f>
        <v>0</v>
      </c>
      <c r="AA167" s="54">
        <f t="shared" ref="AA167:AJ167"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si="40"/>
        <v>80.290000000000006</v>
      </c>
      <c r="BF167" s="24" t="s">
        <v>486</v>
      </c>
      <c r="BG167" s="56">
        <f>BV158+($C$64-$BV$158)</f>
        <v>67</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0</v>
      </c>
      <c r="K168" s="12">
        <f t="shared" si="43"/>
        <v>0</v>
      </c>
      <c r="L168" s="12">
        <f t="shared" si="44"/>
        <v>0</v>
      </c>
      <c r="M168" s="12">
        <f t="shared" si="44"/>
        <v>0</v>
      </c>
      <c r="N168" s="12">
        <f t="shared" si="44"/>
        <v>0</v>
      </c>
      <c r="O168" s="12">
        <f t="shared" si="45"/>
        <v>0</v>
      </c>
      <c r="P168" s="12">
        <f t="shared" si="46"/>
        <v>0</v>
      </c>
      <c r="Q168" s="12">
        <f t="shared" si="46"/>
        <v>0</v>
      </c>
      <c r="T168" s="57"/>
      <c r="U168" s="57"/>
      <c r="V168" s="57"/>
      <c r="W168" s="53">
        <f t="shared" si="47"/>
        <v>-4256</v>
      </c>
      <c r="X168" s="54">
        <f t="shared" si="48"/>
        <v>1.4685150375939851</v>
      </c>
      <c r="Y168" s="54">
        <f>Z168/(2*$BH$166)</f>
        <v>-0.11494196758963933</v>
      </c>
      <c r="Z168" s="54">
        <f>IF($C$63=0,($C69/$BN$157),($C69/$BN$157)+($D69/$BN$158))</f>
        <v>-2.0965414888350224</v>
      </c>
      <c r="AA168" s="54">
        <f t="shared" ref="AA168:AK168" si="55">IF($C$63=0,IF($E69+365&lt;$C$56,0,IF($E69&lt;$C$56,(($E69+365-$C$56)/365)*(($C69/$BN$157)),IF($E69&gt;AA$166,0,IF($E69+365&lt;AA$166,($C69/$BN$157),((AA$166-$E69)/365)*(($C69/$BN$157)))))),IF($E69+365&lt;$C$56,0,IF($E69&lt;$C$56,(($E69+365-$C$56)/365)*(($C69/$BN$157)+($D69/$BN$158)),IF($E69&gt;AA$166,0,IF($E69+365&lt;AA$166,($C69/$BN$157)+($D69/$BN$158),((AA$166-$E69)/365)*(($C69/$BN$157)+($D69/$BN$158)))))))</f>
        <v>0</v>
      </c>
      <c r="AB168" s="54">
        <f t="shared" si="55"/>
        <v>0</v>
      </c>
      <c r="AC168" s="54">
        <f t="shared" si="55"/>
        <v>0</v>
      </c>
      <c r="AD168" s="54">
        <f t="shared" si="55"/>
        <v>0</v>
      </c>
      <c r="AE168" s="54">
        <f t="shared" si="55"/>
        <v>-2.0965414888350224</v>
      </c>
      <c r="AF168" s="54">
        <f t="shared" si="55"/>
        <v>-2.0965414888350224</v>
      </c>
      <c r="AG168" s="54">
        <f t="shared" si="55"/>
        <v>-2.0965414888350224</v>
      </c>
      <c r="AH168" s="54">
        <f t="shared" si="55"/>
        <v>-2.0965414888350224</v>
      </c>
      <c r="AI168" s="54">
        <f t="shared" si="55"/>
        <v>-2.0965414888350224</v>
      </c>
      <c r="AJ168" s="54">
        <f t="shared" si="55"/>
        <v>-2.0965414888350224</v>
      </c>
      <c r="AK168" s="54">
        <f t="shared" si="55"/>
        <v>-2.0965414888350224</v>
      </c>
      <c r="AL168" s="24">
        <f t="shared" si="51"/>
        <v>-28</v>
      </c>
      <c r="AM168" s="24">
        <f t="shared" si="52"/>
        <v>0</v>
      </c>
      <c r="AN168" s="55">
        <f t="shared" si="53"/>
        <v>6250</v>
      </c>
      <c r="AO168" s="55">
        <f t="shared" si="54"/>
        <v>0</v>
      </c>
      <c r="AP168" s="24"/>
      <c r="AQ168" s="24"/>
      <c r="AR168" s="24"/>
      <c r="AS168" s="24"/>
      <c r="AT168" s="24"/>
      <c r="AU168" s="24"/>
      <c r="AV168" s="24"/>
      <c r="AW168" s="24"/>
      <c r="AX168" s="24"/>
      <c r="AY168" s="24"/>
      <c r="AZ168" s="24"/>
      <c r="BA168" s="24"/>
      <c r="BB168" s="24"/>
      <c r="BC168" s="24"/>
      <c r="BD168" s="24"/>
      <c r="BE168" s="24">
        <f t="shared" si="40"/>
        <v>80.290000000000006</v>
      </c>
      <c r="BF168" s="59">
        <f>AB166</f>
        <v>45747</v>
      </c>
      <c r="BG168" s="36">
        <f>(BV158+AB214)+($C$64-$BV$158)</f>
        <v>67</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QLD</v>
      </c>
      <c r="CF168" s="14" t="str">
        <f>C57</f>
        <v>QLD</v>
      </c>
      <c r="CG168" s="14"/>
      <c r="CH168" s="25" t="s">
        <v>388</v>
      </c>
      <c r="CI168" s="14" t="s">
        <v>488</v>
      </c>
      <c r="CJ168" s="14"/>
    </row>
    <row r="169" spans="7:88">
      <c r="G169" s="12">
        <f t="shared" si="41"/>
        <v>0</v>
      </c>
      <c r="H169" s="12">
        <f t="shared" si="42"/>
        <v>0</v>
      </c>
      <c r="I169" s="12">
        <f t="shared" si="42"/>
        <v>0</v>
      </c>
      <c r="J169" s="12">
        <f t="shared" si="42"/>
        <v>0</v>
      </c>
      <c r="K169" s="12">
        <f t="shared" si="43"/>
        <v>-10</v>
      </c>
      <c r="L169" s="12">
        <f t="shared" si="44"/>
        <v>-10</v>
      </c>
      <c r="M169" s="12">
        <f t="shared" si="44"/>
        <v>-10</v>
      </c>
      <c r="N169" s="12">
        <f t="shared" si="44"/>
        <v>-10</v>
      </c>
      <c r="O169" s="12">
        <f t="shared" si="45"/>
        <v>-10</v>
      </c>
      <c r="P169" s="12">
        <f t="shared" si="46"/>
        <v>-10</v>
      </c>
      <c r="Q169" s="12">
        <f t="shared" si="46"/>
        <v>-10</v>
      </c>
      <c r="T169" s="61"/>
      <c r="U169" s="61"/>
      <c r="V169" s="61"/>
      <c r="W169" s="53">
        <f t="shared" si="47"/>
        <v>0</v>
      </c>
      <c r="X169" s="54" t="e">
        <f t="shared" ref="X169:X211" si="56">-1*F70/W169</f>
        <v>#DIV/0!</v>
      </c>
      <c r="Y169" s="54">
        <f t="shared" ref="Y169:Y213" si="57">Z169/(2*$BH$166)</f>
        <v>0</v>
      </c>
      <c r="Z169" s="54">
        <f t="shared" ref="Z169:Z213" si="58">IF($C$63=0,($C70/$BN$157),($C70/$BN$157)+($D70/$BN$158))</f>
        <v>0</v>
      </c>
      <c r="AA169" s="54">
        <f t="shared" ref="AA169:AK169" si="59">IF($C$63=0,IF($E70+365&lt;$C$56,0,IF($E70&lt;$C$56,(($E70+365-$C$56)/365)*(($C70/$BN$157)),IF($E70&gt;AA$166,0,IF($E70+365&lt;AA$166,($C70/$BN$157),((AA$166-$E70)/365)*(($C70/$BN$157)))))),IF($E70+365&lt;$C$56,0,IF($E70&lt;$C$56,(($E70+365-$C$56)/365)*(($C70/$BN$157)+($D70/$BN$158)),IF($E70&gt;AA$166,0,IF($E70+365&lt;AA$166,($C70/$BN$157)+($D70/$BN$158),((AA$166-$E70)/365)*(($C70/$BN$157)+($D70/$BN$158)))))))</f>
        <v>0</v>
      </c>
      <c r="AB169" s="54">
        <f t="shared" si="59"/>
        <v>0</v>
      </c>
      <c r="AC169" s="54">
        <f t="shared" si="59"/>
        <v>0</v>
      </c>
      <c r="AD169" s="54">
        <f t="shared" si="59"/>
        <v>0</v>
      </c>
      <c r="AE169" s="54">
        <f t="shared" si="59"/>
        <v>0</v>
      </c>
      <c r="AF169" s="54">
        <f t="shared" si="59"/>
        <v>0</v>
      </c>
      <c r="AG169" s="54">
        <f t="shared" si="59"/>
        <v>0</v>
      </c>
      <c r="AH169" s="54">
        <f t="shared" si="59"/>
        <v>0</v>
      </c>
      <c r="AI169" s="54">
        <f t="shared" si="59"/>
        <v>0</v>
      </c>
      <c r="AJ169" s="54">
        <f t="shared" si="59"/>
        <v>0</v>
      </c>
      <c r="AK169" s="54">
        <f t="shared" si="59"/>
        <v>0</v>
      </c>
      <c r="AL169" s="24">
        <f t="shared" si="51"/>
        <v>0</v>
      </c>
      <c r="AM169" s="24">
        <f t="shared" si="52"/>
        <v>0</v>
      </c>
      <c r="AN169" s="55">
        <f t="shared" si="53"/>
        <v>12500</v>
      </c>
      <c r="AO169" s="55">
        <f t="shared" si="54"/>
        <v>0</v>
      </c>
      <c r="AP169" s="24"/>
      <c r="AQ169" s="24"/>
      <c r="AR169" s="24"/>
      <c r="AS169" s="24"/>
      <c r="AT169" s="24"/>
      <c r="AU169" s="24"/>
      <c r="AV169" s="24"/>
      <c r="AW169" s="24"/>
      <c r="AX169" s="24"/>
      <c r="AY169" s="24"/>
      <c r="AZ169" s="24"/>
      <c r="BA169" s="24"/>
      <c r="BB169" s="24"/>
      <c r="BC169" s="24"/>
      <c r="BD169" s="24"/>
      <c r="BE169" s="24">
        <f t="shared" si="40"/>
        <v>80.290000000000006</v>
      </c>
      <c r="BF169" s="59">
        <f>BF168+365</f>
        <v>46112</v>
      </c>
      <c r="BG169" s="36">
        <f>BV158+AC214+($C$64-$BV$158)</f>
        <v>67</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144.16</v>
      </c>
      <c r="CF169" s="14">
        <f>CJ177</f>
        <v>302.27999999999997</v>
      </c>
      <c r="CG169" s="14"/>
      <c r="CH169" s="25">
        <v>5</v>
      </c>
      <c r="CI169" s="14">
        <f t="shared" ref="CI169:CI177" si="60">INDEX(AN156:AR156,MATCH($CE$168,$AN$165:$AR$165,0))</f>
        <v>71.17</v>
      </c>
      <c r="CJ169" s="14">
        <f t="shared" ref="CJ169:CJ177" si="61">INDEX(AU156:AY156,MATCH($CE$168,$AN$165:$AR$165,0))</f>
        <v>119.63</v>
      </c>
    </row>
    <row r="170" spans="7:88">
      <c r="G170" s="12">
        <f t="shared" si="41"/>
        <v>0</v>
      </c>
      <c r="H170" s="12">
        <f t="shared" si="42"/>
        <v>0</v>
      </c>
      <c r="I170" s="12">
        <f t="shared" si="42"/>
        <v>0</v>
      </c>
      <c r="J170" s="12">
        <f t="shared" si="42"/>
        <v>0</v>
      </c>
      <c r="K170" s="12">
        <f t="shared" si="43"/>
        <v>0</v>
      </c>
      <c r="L170" s="12">
        <f t="shared" si="44"/>
        <v>0</v>
      </c>
      <c r="M170" s="12">
        <f t="shared" si="44"/>
        <v>0</v>
      </c>
      <c r="N170" s="12">
        <f t="shared" si="44"/>
        <v>0</v>
      </c>
      <c r="O170" s="12">
        <f t="shared" si="45"/>
        <v>0</v>
      </c>
      <c r="P170" s="12">
        <f t="shared" si="46"/>
        <v>0</v>
      </c>
      <c r="Q170" s="12">
        <f t="shared" si="46"/>
        <v>0</v>
      </c>
      <c r="T170" s="61"/>
      <c r="U170" s="61"/>
      <c r="V170" s="61"/>
      <c r="W170" s="53">
        <f t="shared" si="47"/>
        <v>-1520</v>
      </c>
      <c r="X170" s="54">
        <f t="shared" si="56"/>
        <v>28.157894736842106</v>
      </c>
      <c r="Y170" s="54">
        <f t="shared" si="57"/>
        <v>-4.1050702710585474E-2</v>
      </c>
      <c r="Z170" s="54">
        <f t="shared" si="58"/>
        <v>-0.74876481744107948</v>
      </c>
      <c r="AA170" s="54">
        <f t="shared" ref="AA170:AK170" si="62">IF($C$63=0,IF($E71+365&lt;$C$56,0,IF($E71&lt;$C$56,(($E71+365-$C$56)/365)*(($C71/$BN$157)),IF($E71&gt;AA$166,0,IF($E71+365&lt;AA$166,($C71/$BN$157),((AA$166-$E71)/365)*(($C71/$BN$157)))))),IF($E71+365&lt;$C$56,0,IF($E71&lt;$C$56,(($E71+365-$C$56)/365)*(($C71/$BN$157)+($D71/$BN$158)),IF($E71&gt;AA$166,0,IF($E71+365&lt;AA$166,($C71/$BN$157)+($D71/$BN$158),((AA$166-$E71)/365)*(($C71/$BN$157)+($D71/$BN$158)))))))</f>
        <v>0</v>
      </c>
      <c r="AB170" s="54">
        <f t="shared" si="62"/>
        <v>0</v>
      </c>
      <c r="AC170" s="54">
        <f t="shared" si="62"/>
        <v>0</v>
      </c>
      <c r="AD170" s="54">
        <f t="shared" si="62"/>
        <v>0</v>
      </c>
      <c r="AE170" s="54">
        <f t="shared" si="62"/>
        <v>-0.74876481744107948</v>
      </c>
      <c r="AF170" s="54">
        <f t="shared" si="62"/>
        <v>-0.74876481744107948</v>
      </c>
      <c r="AG170" s="54">
        <f t="shared" si="62"/>
        <v>-0.74876481744107948</v>
      </c>
      <c r="AH170" s="54">
        <f t="shared" si="62"/>
        <v>-0.74876481744107948</v>
      </c>
      <c r="AI170" s="54">
        <f t="shared" si="62"/>
        <v>-0.74876481744107948</v>
      </c>
      <c r="AJ170" s="54">
        <f t="shared" si="62"/>
        <v>-0.74876481744107948</v>
      </c>
      <c r="AK170" s="54">
        <f t="shared" si="62"/>
        <v>-0.74876481744107948</v>
      </c>
      <c r="AL170" s="24">
        <f t="shared" si="51"/>
        <v>-10</v>
      </c>
      <c r="AM170" s="24">
        <f t="shared" si="52"/>
        <v>0</v>
      </c>
      <c r="AN170" s="55">
        <f t="shared" si="53"/>
        <v>42800</v>
      </c>
      <c r="AO170" s="55">
        <f t="shared" si="54"/>
        <v>0</v>
      </c>
      <c r="AP170" s="24"/>
      <c r="AQ170" s="24"/>
      <c r="AR170" s="24"/>
      <c r="AS170" s="24"/>
      <c r="AT170" s="24"/>
      <c r="AU170" s="24"/>
      <c r="AV170" s="24"/>
      <c r="AW170" s="24"/>
      <c r="AX170" s="24"/>
      <c r="AY170" s="24"/>
      <c r="AZ170" s="24"/>
      <c r="BA170" s="24"/>
      <c r="BB170" s="24"/>
      <c r="BC170" s="24"/>
      <c r="BD170" s="24"/>
      <c r="BE170" s="24">
        <f t="shared" si="40"/>
        <v>80.290000000000006</v>
      </c>
      <c r="BF170" s="59">
        <f>BF169+365</f>
        <v>46477</v>
      </c>
      <c r="BG170" s="36">
        <f>$BV$158+AD214+($C$64-$BV$158)</f>
        <v>67</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135.04</v>
      </c>
      <c r="CF170" s="14">
        <f>CJ176</f>
        <v>279.45</v>
      </c>
      <c r="CG170" s="14"/>
      <c r="CH170" s="25">
        <v>4.5</v>
      </c>
      <c r="CI170" s="14">
        <f t="shared" si="60"/>
        <v>80.290000000000006</v>
      </c>
      <c r="CJ170" s="14">
        <f t="shared" si="61"/>
        <v>142.47</v>
      </c>
    </row>
    <row r="171" spans="7:88">
      <c r="G171" s="12">
        <f t="shared" si="41"/>
        <v>0</v>
      </c>
      <c r="H171" s="12">
        <f t="shared" si="42"/>
        <v>0</v>
      </c>
      <c r="I171" s="12">
        <f t="shared" si="42"/>
        <v>0</v>
      </c>
      <c r="J171" s="12">
        <f t="shared" si="42"/>
        <v>0</v>
      </c>
      <c r="K171" s="12">
        <f t="shared" si="43"/>
        <v>-3</v>
      </c>
      <c r="L171" s="12">
        <f t="shared" si="44"/>
        <v>-3</v>
      </c>
      <c r="M171" s="12">
        <f t="shared" si="44"/>
        <v>-3</v>
      </c>
      <c r="N171" s="12">
        <f t="shared" si="44"/>
        <v>-3</v>
      </c>
      <c r="O171" s="12">
        <f t="shared" si="45"/>
        <v>-3</v>
      </c>
      <c r="P171" s="12">
        <f t="shared" si="46"/>
        <v>-3</v>
      </c>
      <c r="Q171" s="12">
        <f t="shared" si="46"/>
        <v>-3</v>
      </c>
      <c r="T171" s="61"/>
      <c r="U171" s="61"/>
      <c r="V171" s="61"/>
      <c r="W171" s="53">
        <f t="shared" si="47"/>
        <v>0</v>
      </c>
      <c r="X171" s="54" t="e">
        <f t="shared" si="56"/>
        <v>#DIV/0!</v>
      </c>
      <c r="Y171" s="54">
        <f t="shared" si="57"/>
        <v>0</v>
      </c>
      <c r="Z171" s="54">
        <f t="shared" si="58"/>
        <v>0</v>
      </c>
      <c r="AA171" s="54">
        <f t="shared" ref="AA171:AK171" si="63">IF($C$63=0,IF($E72+365&lt;$C$56,0,IF($E72&lt;$C$56,(($E72+365-$C$56)/365)*(($C72/$BN$157)),IF($E72&gt;AA$166,0,IF($E72+365&lt;AA$166,($C72/$BN$157),((AA$166-$E72)/365)*(($C72/$BN$157)))))),IF($E72+365&lt;$C$56,0,IF($E72&lt;$C$56,(($E72+365-$C$56)/365)*(($C72/$BN$157)+($D72/$BN$158)),IF($E72&gt;AA$166,0,IF($E72+365&lt;AA$166,($C72/$BN$157)+($D72/$BN$158),((AA$166-$E72)/365)*(($C72/$BN$157)+($D72/$BN$158)))))))</f>
        <v>0</v>
      </c>
      <c r="AB171" s="54">
        <f t="shared" si="63"/>
        <v>0</v>
      </c>
      <c r="AC171" s="54">
        <f t="shared" si="63"/>
        <v>0</v>
      </c>
      <c r="AD171" s="54">
        <f t="shared" si="63"/>
        <v>0</v>
      </c>
      <c r="AE171" s="54">
        <f t="shared" si="63"/>
        <v>0</v>
      </c>
      <c r="AF171" s="54">
        <f t="shared" si="63"/>
        <v>0</v>
      </c>
      <c r="AG171" s="54">
        <f t="shared" si="63"/>
        <v>0</v>
      </c>
      <c r="AH171" s="54">
        <f t="shared" si="63"/>
        <v>0</v>
      </c>
      <c r="AI171" s="54">
        <f t="shared" si="63"/>
        <v>0</v>
      </c>
      <c r="AJ171" s="54">
        <f t="shared" si="63"/>
        <v>0</v>
      </c>
      <c r="AK171" s="54">
        <f t="shared" si="63"/>
        <v>0</v>
      </c>
      <c r="AL171" s="24">
        <f t="shared" si="51"/>
        <v>0</v>
      </c>
      <c r="AM171" s="24">
        <f t="shared" si="52"/>
        <v>0</v>
      </c>
      <c r="AN171" s="55">
        <f t="shared" si="53"/>
        <v>12500</v>
      </c>
      <c r="AO171" s="55">
        <f t="shared" si="54"/>
        <v>0</v>
      </c>
      <c r="AP171" s="24"/>
      <c r="AQ171" s="24"/>
      <c r="AR171" s="24"/>
      <c r="AS171" s="24"/>
      <c r="AT171" s="24"/>
      <c r="AU171" s="24"/>
      <c r="AV171" s="24"/>
      <c r="AW171" s="24"/>
      <c r="AX171" s="24"/>
      <c r="AY171" s="24"/>
      <c r="AZ171" s="24"/>
      <c r="BA171" s="24"/>
      <c r="BB171" s="24"/>
      <c r="BC171" s="24"/>
      <c r="BD171" s="24"/>
      <c r="BE171" s="24">
        <f t="shared" si="40"/>
        <v>80.290000000000006</v>
      </c>
      <c r="BF171" s="59">
        <f t="shared" ref="BF171:BF176" si="64">BF170+365</f>
        <v>46842</v>
      </c>
      <c r="BG171" s="36">
        <f>$BV$158+AE214+($C$64-$BV$158)</f>
        <v>64.697548186368678</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125.91</v>
      </c>
      <c r="CF171" s="14">
        <f>CJ175</f>
        <v>256.62</v>
      </c>
      <c r="CG171" s="14"/>
      <c r="CH171" s="25">
        <v>4</v>
      </c>
      <c r="CI171" s="14">
        <f t="shared" si="60"/>
        <v>89.42</v>
      </c>
      <c r="CJ171" s="14">
        <f t="shared" si="61"/>
        <v>165.3</v>
      </c>
    </row>
    <row r="172" spans="7:88">
      <c r="G172" s="12">
        <f t="shared" si="41"/>
        <v>0</v>
      </c>
      <c r="H172" s="12">
        <f t="shared" si="42"/>
        <v>0</v>
      </c>
      <c r="I172" s="12">
        <f t="shared" si="42"/>
        <v>0</v>
      </c>
      <c r="J172" s="12">
        <f t="shared" si="42"/>
        <v>0</v>
      </c>
      <c r="K172" s="12">
        <f t="shared" si="43"/>
        <v>0</v>
      </c>
      <c r="L172" s="12">
        <f t="shared" si="44"/>
        <v>0</v>
      </c>
      <c r="M172" s="12">
        <f t="shared" si="44"/>
        <v>0</v>
      </c>
      <c r="N172" s="12">
        <f t="shared" si="44"/>
        <v>0</v>
      </c>
      <c r="O172" s="12">
        <f t="shared" si="45"/>
        <v>0</v>
      </c>
      <c r="P172" s="12">
        <f t="shared" si="46"/>
        <v>0</v>
      </c>
      <c r="Q172" s="12">
        <f t="shared" si="46"/>
        <v>0</v>
      </c>
      <c r="T172" s="61"/>
      <c r="U172" s="61"/>
      <c r="V172" s="61"/>
      <c r="W172" s="53">
        <f t="shared" si="47"/>
        <v>-455.99999999999994</v>
      </c>
      <c r="X172" s="54">
        <f t="shared" si="56"/>
        <v>82.236842105263165</v>
      </c>
      <c r="Y172" s="54">
        <f t="shared" si="57"/>
        <v>-1.2315210813175643E-2</v>
      </c>
      <c r="Z172" s="54">
        <f t="shared" si="58"/>
        <v>-0.22462944523232384</v>
      </c>
      <c r="AA172" s="54">
        <f t="shared" ref="AA172:AK172" si="65">IF($C$63=0,IF($E73+365&lt;$C$56,0,IF($E73&lt;$C$56,(($E73+365-$C$56)/365)*(($C73/$BN$157)),IF($E73&gt;AA$166,0,IF($E73+365&lt;AA$166,($C73/$BN$157),((AA$166-$E73)/365)*(($C73/$BN$157)))))),IF($E73+365&lt;$C$56,0,IF($E73&lt;$C$56,(($E73+365-$C$56)/365)*(($C73/$BN$157)+($D73/$BN$158)),IF($E73&gt;AA$166,0,IF($E73+365&lt;AA$166,($C73/$BN$157)+($D73/$BN$158),((AA$166-$E73)/365)*(($C73/$BN$157)+($D73/$BN$158)))))))</f>
        <v>0</v>
      </c>
      <c r="AB172" s="54">
        <f t="shared" si="65"/>
        <v>0</v>
      </c>
      <c r="AC172" s="54">
        <f t="shared" si="65"/>
        <v>0</v>
      </c>
      <c r="AD172" s="54">
        <f t="shared" si="65"/>
        <v>0</v>
      </c>
      <c r="AE172" s="54">
        <f t="shared" si="65"/>
        <v>-0.22462944523232384</v>
      </c>
      <c r="AF172" s="54">
        <f t="shared" si="65"/>
        <v>-0.22462944523232384</v>
      </c>
      <c r="AG172" s="54">
        <f t="shared" si="65"/>
        <v>-0.22462944523232384</v>
      </c>
      <c r="AH172" s="54">
        <f t="shared" si="65"/>
        <v>-0.22462944523232384</v>
      </c>
      <c r="AI172" s="54">
        <f t="shared" si="65"/>
        <v>-0.22462944523232384</v>
      </c>
      <c r="AJ172" s="54">
        <f t="shared" si="65"/>
        <v>-0.22462944523232384</v>
      </c>
      <c r="AK172" s="54">
        <f t="shared" si="65"/>
        <v>-0.22462944523232384</v>
      </c>
      <c r="AL172" s="24">
        <f t="shared" si="51"/>
        <v>-3</v>
      </c>
      <c r="AM172" s="24">
        <f t="shared" si="52"/>
        <v>0</v>
      </c>
      <c r="AN172" s="55">
        <f t="shared" si="53"/>
        <v>37500</v>
      </c>
      <c r="AO172" s="55">
        <f t="shared" si="54"/>
        <v>0</v>
      </c>
      <c r="AP172" s="24"/>
      <c r="AQ172" s="24"/>
      <c r="AR172" s="24"/>
      <c r="AS172" s="24"/>
      <c r="AT172" s="24"/>
      <c r="AU172" s="24"/>
      <c r="AV172" s="24"/>
      <c r="AW172" s="24"/>
      <c r="AX172" s="24"/>
      <c r="AY172" s="24"/>
      <c r="AZ172" s="24"/>
      <c r="BA172" s="24"/>
      <c r="BB172" s="24"/>
      <c r="BC172" s="24"/>
      <c r="BD172" s="24"/>
      <c r="BE172" s="24">
        <f t="shared" si="40"/>
        <v>80.290000000000006</v>
      </c>
      <c r="BF172" s="59">
        <f t="shared" si="64"/>
        <v>47207</v>
      </c>
      <c r="BG172" s="36">
        <f>$BV$158+AF214+($C$64-$BV$158)</f>
        <v>64.697548186368678</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116.79</v>
      </c>
      <c r="CF172" s="14">
        <f>CJ174</f>
        <v>233.79</v>
      </c>
      <c r="CG172" s="14"/>
      <c r="CH172" s="25">
        <v>3.5</v>
      </c>
      <c r="CI172" s="14">
        <f t="shared" si="60"/>
        <v>98.54</v>
      </c>
      <c r="CJ172" s="14">
        <f t="shared" si="61"/>
        <v>188.13</v>
      </c>
    </row>
    <row r="173" spans="7:88">
      <c r="G173" s="12">
        <f t="shared" si="41"/>
        <v>0</v>
      </c>
      <c r="H173" s="12">
        <f t="shared" si="42"/>
        <v>0</v>
      </c>
      <c r="I173" s="12">
        <f t="shared" si="42"/>
        <v>0</v>
      </c>
      <c r="J173" s="12">
        <f t="shared" si="42"/>
        <v>0</v>
      </c>
      <c r="K173" s="12">
        <f t="shared" si="43"/>
        <v>0</v>
      </c>
      <c r="L173" s="12">
        <f t="shared" si="44"/>
        <v>0</v>
      </c>
      <c r="M173" s="12">
        <f t="shared" si="44"/>
        <v>0</v>
      </c>
      <c r="N173" s="12">
        <f t="shared" si="44"/>
        <v>0</v>
      </c>
      <c r="O173" s="12">
        <f t="shared" si="45"/>
        <v>0</v>
      </c>
      <c r="P173" s="12">
        <f t="shared" si="46"/>
        <v>0</v>
      </c>
      <c r="Q173" s="12">
        <f t="shared" si="46"/>
        <v>0</v>
      </c>
      <c r="T173" s="61"/>
      <c r="U173" s="61"/>
      <c r="V173" s="61"/>
      <c r="W173" s="53">
        <f t="shared" si="47"/>
        <v>-10640</v>
      </c>
      <c r="X173" s="54">
        <f t="shared" si="56"/>
        <v>54.041353383458649</v>
      </c>
      <c r="Y173" s="54">
        <f t="shared" si="57"/>
        <v>-0.28735491897409832</v>
      </c>
      <c r="Z173" s="54">
        <f t="shared" si="58"/>
        <v>-5.2413537220875561</v>
      </c>
      <c r="AA173" s="54">
        <f t="shared" ref="AA173:AK173" si="66">IF($C$63=0,IF($E74+365&lt;$C$56,0,IF($E74&lt;$C$56,(($E74+365-$C$56)/365)*(($C74/$BN$157)),IF($E74&gt;AA$166,0,IF($E74+365&lt;AA$166,($C74/$BN$157),((AA$166-$E74)/365)*(($C74/$BN$157)))))),IF($E74+365&lt;$C$56,0,IF($E74&lt;$C$56,(($E74+365-$C$56)/365)*(($C74/$BN$157)+($D74/$BN$158)),IF($E74&gt;AA$166,0,IF($E74+365&lt;AA$166,($C74/$BN$157)+($D74/$BN$158),((AA$166-$E74)/365)*(($C74/$BN$157)+($D74/$BN$158)))))))</f>
        <v>0</v>
      </c>
      <c r="AB173" s="54">
        <f t="shared" si="66"/>
        <v>0</v>
      </c>
      <c r="AC173" s="54">
        <f t="shared" si="66"/>
        <v>0</v>
      </c>
      <c r="AD173" s="54">
        <f t="shared" si="66"/>
        <v>0</v>
      </c>
      <c r="AE173" s="54">
        <f t="shared" si="66"/>
        <v>0</v>
      </c>
      <c r="AF173" s="54">
        <f t="shared" si="66"/>
        <v>0</v>
      </c>
      <c r="AG173" s="54">
        <f t="shared" si="66"/>
        <v>0</v>
      </c>
      <c r="AH173" s="54">
        <f t="shared" si="66"/>
        <v>0</v>
      </c>
      <c r="AI173" s="54">
        <f t="shared" si="66"/>
        <v>0</v>
      </c>
      <c r="AJ173" s="54">
        <f t="shared" si="66"/>
        <v>0</v>
      </c>
      <c r="AK173" s="54">
        <f t="shared" si="66"/>
        <v>0</v>
      </c>
      <c r="AL173" s="24">
        <f t="shared" si="51"/>
        <v>-70</v>
      </c>
      <c r="AM173" s="24">
        <f t="shared" si="52"/>
        <v>0</v>
      </c>
      <c r="AN173" s="55">
        <f t="shared" si="53"/>
        <v>575000</v>
      </c>
      <c r="AO173" s="55">
        <f t="shared" si="54"/>
        <v>0</v>
      </c>
      <c r="AP173" s="24"/>
      <c r="AQ173" s="24"/>
      <c r="AR173" s="24"/>
      <c r="AS173" s="24"/>
      <c r="AT173" s="24"/>
      <c r="AU173" s="24"/>
      <c r="AV173" s="24"/>
      <c r="AW173" s="24"/>
      <c r="AX173" s="24"/>
      <c r="AY173" s="24"/>
      <c r="AZ173" s="24"/>
      <c r="BA173" s="24"/>
      <c r="BB173" s="24"/>
      <c r="BC173" s="24"/>
      <c r="BD173" s="24"/>
      <c r="BE173" s="24">
        <f t="shared" si="40"/>
        <v>80.290000000000006</v>
      </c>
      <c r="BF173" s="59">
        <f t="shared" si="64"/>
        <v>47572</v>
      </c>
      <c r="BG173" s="36">
        <f>$BV$158+AG214+($C$64-$BV$158)</f>
        <v>64.697548186368678</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107.66</v>
      </c>
      <c r="CF173" s="14">
        <f>CJ173</f>
        <v>210.96</v>
      </c>
      <c r="CG173" s="14"/>
      <c r="CH173" s="25">
        <v>3</v>
      </c>
      <c r="CI173" s="14">
        <f t="shared" si="60"/>
        <v>107.66</v>
      </c>
      <c r="CJ173" s="14">
        <f t="shared" si="61"/>
        <v>210.96</v>
      </c>
    </row>
    <row r="174" spans="7:88">
      <c r="G174" s="12">
        <f t="shared" si="41"/>
        <v>0</v>
      </c>
      <c r="H174" s="12">
        <f t="shared" si="42"/>
        <v>0</v>
      </c>
      <c r="I174" s="12">
        <f t="shared" si="42"/>
        <v>0</v>
      </c>
      <c r="J174" s="12">
        <f t="shared" si="42"/>
        <v>0</v>
      </c>
      <c r="K174" s="12">
        <f t="shared" si="43"/>
        <v>0</v>
      </c>
      <c r="L174" s="12">
        <f t="shared" si="44"/>
        <v>0</v>
      </c>
      <c r="M174" s="12">
        <f t="shared" si="44"/>
        <v>0</v>
      </c>
      <c r="N174" s="12">
        <f t="shared" si="44"/>
        <v>0</v>
      </c>
      <c r="O174" s="12">
        <f t="shared" si="45"/>
        <v>0</v>
      </c>
      <c r="P174" s="12">
        <f t="shared" si="46"/>
        <v>0</v>
      </c>
      <c r="Q174" s="12">
        <f t="shared" si="46"/>
        <v>0</v>
      </c>
      <c r="T174" s="61"/>
      <c r="U174" s="61"/>
      <c r="V174" s="61"/>
      <c r="W174" s="53">
        <f t="shared" si="47"/>
        <v>0</v>
      </c>
      <c r="X174" s="54" t="e">
        <f t="shared" si="56"/>
        <v>#DIV/0!</v>
      </c>
      <c r="Y174" s="54">
        <f t="shared" si="57"/>
        <v>0</v>
      </c>
      <c r="Z174" s="54">
        <f t="shared" si="58"/>
        <v>0</v>
      </c>
      <c r="AA174" s="54">
        <f t="shared" ref="AA174:AK174" si="67">IF($C$63=0,IF($E75+365&lt;$C$56,0,IF($E75&lt;$C$56,(($E75+365-$C$56)/365)*(($C75/$BN$157)),IF($E75&gt;AA$166,0,IF($E75+365&lt;AA$166,($C75/$BN$157),((AA$166-$E75)/365)*(($C75/$BN$157)))))),IF($E75+365&lt;$C$56,0,IF($E75&lt;$C$56,(($E75+365-$C$56)/365)*(($C75/$BN$157)+($D75/$BN$158)),IF($E75&gt;AA$166,0,IF($E75+365&lt;AA$166,($C75/$BN$157)+($D75/$BN$158),((AA$166-$E75)/365)*(($C75/$BN$157)+($D75/$BN$158)))))))</f>
        <v>0</v>
      </c>
      <c r="AB174" s="54">
        <f t="shared" si="67"/>
        <v>0</v>
      </c>
      <c r="AC174" s="54">
        <f t="shared" si="67"/>
        <v>0</v>
      </c>
      <c r="AD174" s="54">
        <f t="shared" si="67"/>
        <v>0</v>
      </c>
      <c r="AE174" s="54">
        <f t="shared" si="67"/>
        <v>0</v>
      </c>
      <c r="AF174" s="54">
        <f t="shared" si="67"/>
        <v>0</v>
      </c>
      <c r="AG174" s="54">
        <f t="shared" si="67"/>
        <v>0</v>
      </c>
      <c r="AH174" s="54">
        <f t="shared" si="67"/>
        <v>0</v>
      </c>
      <c r="AI174" s="54">
        <f t="shared" si="67"/>
        <v>0</v>
      </c>
      <c r="AJ174" s="54">
        <f t="shared" si="67"/>
        <v>0</v>
      </c>
      <c r="AK174" s="54">
        <f t="shared" si="67"/>
        <v>0</v>
      </c>
      <c r="AL174" s="24">
        <f t="shared" si="51"/>
        <v>0</v>
      </c>
      <c r="AM174" s="24">
        <f t="shared" si="52"/>
        <v>0</v>
      </c>
      <c r="AN174" s="55">
        <f t="shared" si="53"/>
        <v>12500</v>
      </c>
      <c r="AO174" s="55">
        <f t="shared" si="54"/>
        <v>0</v>
      </c>
      <c r="AP174" s="24"/>
      <c r="AQ174" s="24"/>
      <c r="AR174" s="24"/>
      <c r="AS174" s="24"/>
      <c r="AT174" s="24"/>
      <c r="AU174" s="24"/>
      <c r="AV174" s="24"/>
      <c r="AW174" s="24"/>
      <c r="AX174" s="24"/>
      <c r="AY174" s="24"/>
      <c r="AZ174" s="24"/>
      <c r="BA174" s="24"/>
      <c r="BB174" s="24"/>
      <c r="BC174" s="24"/>
      <c r="BD174" s="24"/>
      <c r="BE174" s="24">
        <f t="shared" si="40"/>
        <v>80.290000000000006</v>
      </c>
      <c r="BF174" s="59">
        <f t="shared" si="64"/>
        <v>47937</v>
      </c>
      <c r="BG174" s="36">
        <f>$BV$158+AH214+($C$64-$BV$158)</f>
        <v>64.697548186368678</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98.54</v>
      </c>
      <c r="CF174" s="14">
        <f>CJ172</f>
        <v>188.13</v>
      </c>
      <c r="CG174" s="14"/>
      <c r="CH174" s="25">
        <v>2.5</v>
      </c>
      <c r="CI174" s="14">
        <f t="shared" si="60"/>
        <v>116.79</v>
      </c>
      <c r="CJ174" s="14">
        <f t="shared" si="61"/>
        <v>233.79</v>
      </c>
    </row>
    <row r="175" spans="7:88">
      <c r="G175" s="12">
        <f t="shared" si="41"/>
        <v>0</v>
      </c>
      <c r="H175" s="12">
        <f t="shared" si="42"/>
        <v>0</v>
      </c>
      <c r="I175" s="12">
        <f t="shared" si="42"/>
        <v>0</v>
      </c>
      <c r="J175" s="12">
        <f t="shared" si="42"/>
        <v>0</v>
      </c>
      <c r="K175" s="12">
        <f t="shared" si="43"/>
        <v>0</v>
      </c>
      <c r="L175" s="12">
        <f t="shared" si="44"/>
        <v>0</v>
      </c>
      <c r="M175" s="12">
        <f t="shared" si="44"/>
        <v>0</v>
      </c>
      <c r="N175" s="12">
        <f t="shared" si="44"/>
        <v>0</v>
      </c>
      <c r="O175" s="12">
        <f t="shared" si="45"/>
        <v>0</v>
      </c>
      <c r="P175" s="12">
        <f t="shared" si="46"/>
        <v>0</v>
      </c>
      <c r="Q175" s="12">
        <f t="shared" si="46"/>
        <v>0</v>
      </c>
      <c r="T175" s="61"/>
      <c r="U175" s="61"/>
      <c r="V175" s="61"/>
      <c r="W175" s="53">
        <f t="shared" si="47"/>
        <v>0</v>
      </c>
      <c r="X175" s="54" t="e">
        <f t="shared" si="56"/>
        <v>#DIV/0!</v>
      </c>
      <c r="Y175" s="54">
        <f t="shared" si="57"/>
        <v>0</v>
      </c>
      <c r="Z175" s="54">
        <f t="shared" si="58"/>
        <v>0</v>
      </c>
      <c r="AA175" s="54">
        <f t="shared" ref="AA175:AK175" si="68">IF($C$63=0,IF($E76+365&lt;$C$56,0,IF($E76&lt;$C$56,(($E76+365-$C$56)/365)*(($C76/$BN$157)),IF($E76&gt;AA$166,0,IF($E76+365&lt;AA$166,($C76/$BN$157),((AA$166-$E76)/365)*(($C76/$BN$157)))))),IF($E76+365&lt;$C$56,0,IF($E76&lt;$C$56,(($E76+365-$C$56)/365)*(($C76/$BN$157)+($D76/$BN$158)),IF($E76&gt;AA$166,0,IF($E76+365&lt;AA$166,($C76/$BN$157)+($D76/$BN$158),((AA$166-$E76)/365)*(($C76/$BN$157)+($D76/$BN$158)))))))</f>
        <v>0</v>
      </c>
      <c r="AB175" s="54">
        <f t="shared" si="68"/>
        <v>0</v>
      </c>
      <c r="AC175" s="54">
        <f t="shared" si="68"/>
        <v>0</v>
      </c>
      <c r="AD175" s="54">
        <f t="shared" si="68"/>
        <v>0</v>
      </c>
      <c r="AE175" s="54">
        <f t="shared" si="68"/>
        <v>0</v>
      </c>
      <c r="AF175" s="54">
        <f t="shared" si="68"/>
        <v>0</v>
      </c>
      <c r="AG175" s="54">
        <f t="shared" si="68"/>
        <v>0</v>
      </c>
      <c r="AH175" s="54">
        <f t="shared" si="68"/>
        <v>0</v>
      </c>
      <c r="AI175" s="54">
        <f t="shared" si="68"/>
        <v>0</v>
      </c>
      <c r="AJ175" s="54">
        <f t="shared" si="68"/>
        <v>0</v>
      </c>
      <c r="AK175" s="54">
        <f t="shared" si="68"/>
        <v>0</v>
      </c>
      <c r="AL175" s="24">
        <f t="shared" si="51"/>
        <v>0</v>
      </c>
      <c r="AM175" s="24">
        <f t="shared" si="52"/>
        <v>0</v>
      </c>
      <c r="AN175" s="55">
        <f t="shared" si="53"/>
        <v>0</v>
      </c>
      <c r="AO175" s="55">
        <f t="shared" si="54"/>
        <v>0</v>
      </c>
      <c r="AP175" s="24"/>
      <c r="AQ175" s="24"/>
      <c r="AR175" s="24"/>
      <c r="AS175" s="24"/>
      <c r="AT175" s="24"/>
      <c r="AU175" s="24"/>
      <c r="AV175" s="24"/>
      <c r="AW175" s="24"/>
      <c r="AX175" s="24"/>
      <c r="AY175" s="24"/>
      <c r="AZ175" s="24"/>
      <c r="BA175" s="24"/>
      <c r="BB175" s="24"/>
      <c r="BC175" s="24"/>
      <c r="BD175" s="24"/>
      <c r="BE175" s="24">
        <f t="shared" si="40"/>
        <v>80.290000000000006</v>
      </c>
      <c r="BF175" s="59">
        <f t="shared" si="64"/>
        <v>48302</v>
      </c>
      <c r="BG175" s="36">
        <f>$BV$158+AI214+($C$64-$BV$158)</f>
        <v>64.697548186368678</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89.42</v>
      </c>
      <c r="CF175" s="14">
        <f>CJ171</f>
        <v>165.3</v>
      </c>
      <c r="CG175" s="14"/>
      <c r="CH175" s="25">
        <v>2</v>
      </c>
      <c r="CI175" s="14">
        <f t="shared" si="60"/>
        <v>125.91</v>
      </c>
      <c r="CJ175" s="14">
        <f t="shared" si="61"/>
        <v>256.62</v>
      </c>
    </row>
    <row r="176" spans="7:88">
      <c r="G176" s="12">
        <f t="shared" si="41"/>
        <v>0</v>
      </c>
      <c r="H176" s="12">
        <f t="shared" si="42"/>
        <v>0</v>
      </c>
      <c r="I176" s="12">
        <f t="shared" si="42"/>
        <v>0</v>
      </c>
      <c r="J176" s="12">
        <f t="shared" si="42"/>
        <v>0</v>
      </c>
      <c r="K176" s="12">
        <f t="shared" si="43"/>
        <v>0</v>
      </c>
      <c r="L176" s="12">
        <f t="shared" si="44"/>
        <v>0</v>
      </c>
      <c r="M176" s="12">
        <f t="shared" si="44"/>
        <v>0</v>
      </c>
      <c r="N176" s="12">
        <f t="shared" si="44"/>
        <v>0</v>
      </c>
      <c r="O176" s="12">
        <f t="shared" si="45"/>
        <v>0</v>
      </c>
      <c r="P176" s="12">
        <f t="shared" si="46"/>
        <v>0</v>
      </c>
      <c r="Q176" s="12">
        <f t="shared" si="46"/>
        <v>0</v>
      </c>
      <c r="T176" s="61"/>
      <c r="U176" s="61"/>
      <c r="V176" s="61"/>
      <c r="W176" s="53">
        <f t="shared" si="47"/>
        <v>0</v>
      </c>
      <c r="X176" s="54" t="e">
        <f t="shared" si="56"/>
        <v>#DIV/0!</v>
      </c>
      <c r="Y176" s="54">
        <f t="shared" si="57"/>
        <v>0</v>
      </c>
      <c r="Z176" s="54">
        <f t="shared" si="58"/>
        <v>0</v>
      </c>
      <c r="AA176" s="54">
        <f t="shared" ref="AA176:AK176" si="69">IF($C$63=0,IF($E77+365&lt;$C$56,0,IF($E77&lt;$C$56,(($E77+365-$C$56)/365)*(($C77/$BN$157)),IF($E77&gt;AA$166,0,IF($E77+365&lt;AA$166,($C77/$BN$157),((AA$166-$E77)/365)*(($C77/$BN$157)))))),IF($E77+365&lt;$C$56,0,IF($E77&lt;$C$56,(($E77+365-$C$56)/365)*(($C77/$BN$157)+($D77/$BN$158)),IF($E77&gt;AA$166,0,IF($E77+365&lt;AA$166,($C77/$BN$157)+($D77/$BN$158),((AA$166-$E77)/365)*(($C77/$BN$157)+($D77/$BN$158)))))))</f>
        <v>0</v>
      </c>
      <c r="AB176" s="54">
        <f t="shared" si="69"/>
        <v>0</v>
      </c>
      <c r="AC176" s="54">
        <f t="shared" si="69"/>
        <v>0</v>
      </c>
      <c r="AD176" s="54">
        <f t="shared" si="69"/>
        <v>0</v>
      </c>
      <c r="AE176" s="54">
        <f t="shared" si="69"/>
        <v>0</v>
      </c>
      <c r="AF176" s="54">
        <f t="shared" si="69"/>
        <v>0</v>
      </c>
      <c r="AG176" s="54">
        <f t="shared" si="69"/>
        <v>0</v>
      </c>
      <c r="AH176" s="54">
        <f t="shared" si="69"/>
        <v>0</v>
      </c>
      <c r="AI176" s="54">
        <f t="shared" si="69"/>
        <v>0</v>
      </c>
      <c r="AJ176" s="54">
        <f t="shared" si="69"/>
        <v>0</v>
      </c>
      <c r="AK176" s="54">
        <f t="shared" si="69"/>
        <v>0</v>
      </c>
      <c r="AL176" s="24">
        <f t="shared" si="51"/>
        <v>0</v>
      </c>
      <c r="AM176" s="24">
        <f t="shared" si="52"/>
        <v>0</v>
      </c>
      <c r="AN176" s="55">
        <f t="shared" si="53"/>
        <v>12500</v>
      </c>
      <c r="AO176" s="55">
        <f t="shared" si="54"/>
        <v>0</v>
      </c>
      <c r="AP176" s="24"/>
      <c r="AQ176" s="24"/>
      <c r="AR176" s="24"/>
      <c r="AS176" s="24"/>
      <c r="AT176" s="24"/>
      <c r="AU176" s="24"/>
      <c r="AV176" s="24"/>
      <c r="AW176" s="24"/>
      <c r="AX176" s="24"/>
      <c r="AY176" s="24"/>
      <c r="AZ176" s="24"/>
      <c r="BA176" s="24"/>
      <c r="BB176" s="24"/>
      <c r="BC176" s="24"/>
      <c r="BD176" s="24"/>
      <c r="BE176" s="24">
        <f t="shared" si="40"/>
        <v>80.290000000000006</v>
      </c>
      <c r="BF176" s="59">
        <f t="shared" si="64"/>
        <v>48667</v>
      </c>
      <c r="BG176" s="36">
        <f>$BV$158+AJ214+($C$64-$BV$158)</f>
        <v>64.697548186368678</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80.290000000000006</v>
      </c>
      <c r="CF176" s="14">
        <f>CJ170</f>
        <v>142.47</v>
      </c>
      <c r="CG176" s="14"/>
      <c r="CH176" s="25">
        <v>1.5</v>
      </c>
      <c r="CI176" s="14">
        <f t="shared" si="60"/>
        <v>135.04</v>
      </c>
      <c r="CJ176" s="14">
        <f t="shared" si="61"/>
        <v>279.45</v>
      </c>
    </row>
    <row r="177" spans="7:88">
      <c r="G177" s="12">
        <f t="shared" si="41"/>
        <v>0</v>
      </c>
      <c r="H177" s="12">
        <f t="shared" si="42"/>
        <v>0</v>
      </c>
      <c r="I177" s="12">
        <f t="shared" si="42"/>
        <v>0</v>
      </c>
      <c r="J177" s="12">
        <f t="shared" si="42"/>
        <v>0</v>
      </c>
      <c r="K177" s="12">
        <f t="shared" si="43"/>
        <v>0</v>
      </c>
      <c r="L177" s="12">
        <f t="shared" si="44"/>
        <v>0</v>
      </c>
      <c r="M177" s="12">
        <f t="shared" si="44"/>
        <v>0</v>
      </c>
      <c r="N177" s="12">
        <f t="shared" si="44"/>
        <v>0</v>
      </c>
      <c r="O177" s="12">
        <f t="shared" si="45"/>
        <v>0</v>
      </c>
      <c r="P177" s="12">
        <f t="shared" si="46"/>
        <v>0</v>
      </c>
      <c r="Q177" s="12">
        <f t="shared" si="46"/>
        <v>0</v>
      </c>
      <c r="T177" s="61"/>
      <c r="U177" s="61"/>
      <c r="V177" s="61"/>
      <c r="W177" s="53">
        <f t="shared" si="47"/>
        <v>0</v>
      </c>
      <c r="X177" s="54" t="e">
        <f t="shared" si="56"/>
        <v>#DIV/0!</v>
      </c>
      <c r="Y177" s="54">
        <f t="shared" si="57"/>
        <v>0</v>
      </c>
      <c r="Z177" s="54">
        <f t="shared" si="58"/>
        <v>0</v>
      </c>
      <c r="AA177" s="54">
        <f t="shared" ref="AA177:AK177" si="70">IF($C$63=0,IF($E78+365&lt;$C$56,0,IF($E78&lt;$C$56,(($E78+365-$C$56)/365)*(($C78/$BN$157)),IF($E78&gt;AA$166,0,IF($E78+365&lt;AA$166,($C78/$BN$157),((AA$166-$E78)/365)*(($C78/$BN$157)))))),IF($E78+365&lt;$C$56,0,IF($E78&lt;$C$56,(($E78+365-$C$56)/365)*(($C78/$BN$157)+($D78/$BN$158)),IF($E78&gt;AA$166,0,IF($E78+365&lt;AA$166,($C78/$BN$157)+($D78/$BN$158),((AA$166-$E78)/365)*(($C78/$BN$157)+($D78/$BN$158)))))))</f>
        <v>0</v>
      </c>
      <c r="AB177" s="54">
        <f t="shared" si="70"/>
        <v>0</v>
      </c>
      <c r="AC177" s="54">
        <f t="shared" si="70"/>
        <v>0</v>
      </c>
      <c r="AD177" s="54">
        <f t="shared" si="70"/>
        <v>0</v>
      </c>
      <c r="AE177" s="54">
        <f t="shared" si="70"/>
        <v>0</v>
      </c>
      <c r="AF177" s="54">
        <f t="shared" si="70"/>
        <v>0</v>
      </c>
      <c r="AG177" s="54">
        <f t="shared" si="70"/>
        <v>0</v>
      </c>
      <c r="AH177" s="54">
        <f t="shared" si="70"/>
        <v>0</v>
      </c>
      <c r="AI177" s="54">
        <f t="shared" si="70"/>
        <v>0</v>
      </c>
      <c r="AJ177" s="54">
        <f t="shared" si="70"/>
        <v>0</v>
      </c>
      <c r="AK177" s="54">
        <f t="shared" si="70"/>
        <v>0</v>
      </c>
      <c r="AL177" s="24">
        <f t="shared" si="51"/>
        <v>0</v>
      </c>
      <c r="AM177" s="24">
        <f t="shared" si="52"/>
        <v>0</v>
      </c>
      <c r="AN177" s="55">
        <f t="shared" si="53"/>
        <v>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71.17</v>
      </c>
      <c r="CF177" s="14">
        <f>CJ169</f>
        <v>119.63</v>
      </c>
      <c r="CG177" s="14"/>
      <c r="CH177" s="25">
        <v>1</v>
      </c>
      <c r="CI177" s="14">
        <f t="shared" si="60"/>
        <v>144.16</v>
      </c>
      <c r="CJ177" s="14">
        <f t="shared" si="61"/>
        <v>302.27999999999997</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0</v>
      </c>
      <c r="X178" s="54" t="e">
        <f t="shared" si="56"/>
        <v>#DIV/0!</v>
      </c>
      <c r="Y178" s="54">
        <f t="shared" si="57"/>
        <v>0</v>
      </c>
      <c r="Z178" s="54">
        <f t="shared" si="58"/>
        <v>0</v>
      </c>
      <c r="AA178" s="54">
        <f t="shared" ref="AA178:AK178" si="71">IF($C$63=0,IF($E79+365&lt;$C$56,0,IF($E79&lt;$C$56,(($E79+365-$C$56)/365)*(($C79/$BN$157)),IF($E79&gt;AA$166,0,IF($E79+365&lt;AA$166,($C79/$BN$157),((AA$166-$E79)/365)*(($C79/$BN$157)))))),IF($E79+365&lt;$C$56,0,IF($E79&lt;$C$56,(($E79+365-$C$56)/365)*(($C79/$BN$157)+($D79/$BN$158)),IF($E79&gt;AA$166,0,IF($E79+365&lt;AA$166,($C79/$BN$157)+($D79/$BN$158),((AA$166-$E79)/365)*(($C79/$BN$157)+($D79/$BN$158)))))))</f>
        <v>0</v>
      </c>
      <c r="AB178" s="54">
        <f t="shared" si="71"/>
        <v>0</v>
      </c>
      <c r="AC178" s="54">
        <f t="shared" si="71"/>
        <v>0</v>
      </c>
      <c r="AD178" s="54">
        <f t="shared" si="71"/>
        <v>0</v>
      </c>
      <c r="AE178" s="54">
        <f t="shared" si="71"/>
        <v>0</v>
      </c>
      <c r="AF178" s="54">
        <f t="shared" si="71"/>
        <v>0</v>
      </c>
      <c r="AG178" s="54">
        <f t="shared" si="71"/>
        <v>0</v>
      </c>
      <c r="AH178" s="54">
        <f t="shared" si="71"/>
        <v>0</v>
      </c>
      <c r="AI178" s="54">
        <f t="shared" si="71"/>
        <v>0</v>
      </c>
      <c r="AJ178" s="54">
        <f t="shared" si="71"/>
        <v>0</v>
      </c>
      <c r="AK178" s="54">
        <f t="shared" si="71"/>
        <v>0</v>
      </c>
      <c r="AL178" s="24">
        <f t="shared" si="51"/>
        <v>0</v>
      </c>
      <c r="AM178" s="24">
        <f t="shared" si="52"/>
        <v>0</v>
      </c>
      <c r="AN178" s="55">
        <f t="shared" si="53"/>
        <v>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0</v>
      </c>
      <c r="X179" s="54" t="e">
        <f t="shared" si="56"/>
        <v>#DIV/0!</v>
      </c>
      <c r="Y179" s="54">
        <f t="shared" si="57"/>
        <v>0</v>
      </c>
      <c r="Z179" s="54">
        <f t="shared" si="58"/>
        <v>0</v>
      </c>
      <c r="AA179" s="54">
        <f t="shared" ref="AA179:AK179" si="72">IF($C$63=0,IF($E80+365&lt;$C$56,0,IF($E80&lt;$C$56,(($E80+365-$C$56)/365)*(($C80/$BN$157)),IF($E80&gt;AA$166,0,IF($E80+365&lt;AA$166,($C80/$BN$157),((AA$166-$E80)/365)*(($C80/$BN$157)))))),IF($E80+365&lt;$C$56,0,IF($E80&lt;$C$56,(($E80+365-$C$56)/365)*(($C80/$BN$157)+($D80/$BN$158)),IF($E80&gt;AA$166,0,IF($E80+365&lt;AA$166,($C80/$BN$157)+($D80/$BN$158),((AA$166-$E80)/365)*(($C80/$BN$157)+($D80/$BN$158)))))))</f>
        <v>0</v>
      </c>
      <c r="AB179" s="54">
        <f t="shared" si="72"/>
        <v>0</v>
      </c>
      <c r="AC179" s="54">
        <f t="shared" si="72"/>
        <v>0</v>
      </c>
      <c r="AD179" s="54">
        <f t="shared" si="72"/>
        <v>0</v>
      </c>
      <c r="AE179" s="54">
        <f t="shared" si="72"/>
        <v>0</v>
      </c>
      <c r="AF179" s="54">
        <f t="shared" si="72"/>
        <v>0</v>
      </c>
      <c r="AG179" s="54">
        <f t="shared" si="72"/>
        <v>0</v>
      </c>
      <c r="AH179" s="54">
        <f t="shared" si="72"/>
        <v>0</v>
      </c>
      <c r="AI179" s="54">
        <f t="shared" si="72"/>
        <v>0</v>
      </c>
      <c r="AJ179" s="54">
        <f t="shared" si="72"/>
        <v>0</v>
      </c>
      <c r="AK179" s="54">
        <f t="shared" si="72"/>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56"/>
        <v>#DIV/0!</v>
      </c>
      <c r="Y180" s="54">
        <f t="shared" si="57"/>
        <v>0</v>
      </c>
      <c r="Z180" s="54">
        <f t="shared" si="58"/>
        <v>0</v>
      </c>
      <c r="AA180" s="54">
        <f t="shared" ref="AA180:AK180" si="73">IF($C$63=0,IF($E81+365&lt;$C$56,0,IF($E81&lt;$C$56,(($E81+365-$C$56)/365)*(($C81/$BN$157)),IF($E81&gt;AA$166,0,IF($E81+365&lt;AA$166,($C81/$BN$157),((AA$166-$E81)/365)*(($C81/$BN$157)))))),IF($E81+365&lt;$C$56,0,IF($E81&lt;$C$56,(($E81+365-$C$56)/365)*(($C81/$BN$157)+($D81/$BN$158)),IF($E81&gt;AA$166,0,IF($E81+365&lt;AA$166,($C81/$BN$157)+($D81/$BN$158),((AA$166-$E81)/365)*(($C81/$BN$157)+($D81/$BN$158)))))))</f>
        <v>0</v>
      </c>
      <c r="AB180" s="54">
        <f t="shared" si="73"/>
        <v>0</v>
      </c>
      <c r="AC180" s="54">
        <f t="shared" si="73"/>
        <v>0</v>
      </c>
      <c r="AD180" s="54">
        <f t="shared" si="73"/>
        <v>0</v>
      </c>
      <c r="AE180" s="54">
        <f t="shared" si="73"/>
        <v>0</v>
      </c>
      <c r="AF180" s="54">
        <f t="shared" si="73"/>
        <v>0</v>
      </c>
      <c r="AG180" s="54">
        <f t="shared" si="73"/>
        <v>0</v>
      </c>
      <c r="AH180" s="54">
        <f t="shared" si="73"/>
        <v>0</v>
      </c>
      <c r="AI180" s="54">
        <f t="shared" si="73"/>
        <v>0</v>
      </c>
      <c r="AJ180" s="54">
        <f t="shared" si="73"/>
        <v>0</v>
      </c>
      <c r="AK180" s="54">
        <f t="shared" si="73"/>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56"/>
        <v>#DIV/0!</v>
      </c>
      <c r="Y181" s="54">
        <f t="shared" si="57"/>
        <v>0</v>
      </c>
      <c r="Z181" s="54">
        <f t="shared" si="58"/>
        <v>0</v>
      </c>
      <c r="AA181" s="54">
        <f t="shared" ref="AA181:AK181" si="74">IF($C$63=0,IF($E82+365&lt;$C$56,0,IF($E82&lt;$C$56,(($E82+365-$C$56)/365)*(($C82/$BN$157)),IF($E82&gt;AA$166,0,IF($E82+365&lt;AA$166,($C82/$BN$157),((AA$166-$E82)/365)*(($C82/$BN$157)))))),IF($E82+365&lt;$C$56,0,IF($E82&lt;$C$56,(($E82+365-$C$56)/365)*(($C82/$BN$157)+($D82/$BN$158)),IF($E82&gt;AA$166,0,IF($E82+365&lt;AA$166,($C82/$BN$157)+($D82/$BN$158),((AA$166-$E82)/365)*(($C82/$BN$157)+($D82/$BN$158)))))))</f>
        <v>0</v>
      </c>
      <c r="AB181" s="54">
        <f t="shared" si="74"/>
        <v>0</v>
      </c>
      <c r="AC181" s="54">
        <f t="shared" si="74"/>
        <v>0</v>
      </c>
      <c r="AD181" s="54">
        <f t="shared" si="74"/>
        <v>0</v>
      </c>
      <c r="AE181" s="54">
        <f t="shared" si="74"/>
        <v>0</v>
      </c>
      <c r="AF181" s="54">
        <f t="shared" si="74"/>
        <v>0</v>
      </c>
      <c r="AG181" s="54">
        <f t="shared" si="74"/>
        <v>0</v>
      </c>
      <c r="AH181" s="54">
        <f t="shared" si="74"/>
        <v>0</v>
      </c>
      <c r="AI181" s="54">
        <f t="shared" si="74"/>
        <v>0</v>
      </c>
      <c r="AJ181" s="54">
        <f t="shared" si="74"/>
        <v>0</v>
      </c>
      <c r="AK181" s="54">
        <f t="shared" si="74"/>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56"/>
        <v>#DIV/0!</v>
      </c>
      <c r="Y182" s="54">
        <f t="shared" si="57"/>
        <v>0</v>
      </c>
      <c r="Z182" s="54">
        <f t="shared" si="58"/>
        <v>0</v>
      </c>
      <c r="AA182" s="54">
        <f t="shared" ref="AA182:AK182" si="75">IF($C$63=0,IF($E83+365&lt;$C$56,0,IF($E83&lt;$C$56,(($E83+365-$C$56)/365)*(($C83/$BN$157)),IF($E83&gt;AA$166,0,IF($E83+365&lt;AA$166,($C83/$BN$157),((AA$166-$E83)/365)*(($C83/$BN$157)))))),IF($E83+365&lt;$C$56,0,IF($E83&lt;$C$56,(($E83+365-$C$56)/365)*(($C83/$BN$157)+($D83/$BN$158)),IF($E83&gt;AA$166,0,IF($E83+365&lt;AA$166,($C83/$BN$157)+($D83/$BN$158),((AA$166-$E83)/365)*(($C83/$BN$157)+($D83/$BN$158)))))))</f>
        <v>0</v>
      </c>
      <c r="AB182" s="54">
        <f t="shared" si="75"/>
        <v>0</v>
      </c>
      <c r="AC182" s="54">
        <f t="shared" si="75"/>
        <v>0</v>
      </c>
      <c r="AD182" s="54">
        <f t="shared" si="75"/>
        <v>0</v>
      </c>
      <c r="AE182" s="54">
        <f t="shared" si="75"/>
        <v>0</v>
      </c>
      <c r="AF182" s="54">
        <f t="shared" si="75"/>
        <v>0</v>
      </c>
      <c r="AG182" s="54">
        <f t="shared" si="75"/>
        <v>0</v>
      </c>
      <c r="AH182" s="54">
        <f t="shared" si="75"/>
        <v>0</v>
      </c>
      <c r="AI182" s="54">
        <f t="shared" si="75"/>
        <v>0</v>
      </c>
      <c r="AJ182" s="54">
        <f t="shared" si="75"/>
        <v>0</v>
      </c>
      <c r="AK182" s="54">
        <f t="shared" si="75"/>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56"/>
        <v>#DIV/0!</v>
      </c>
      <c r="Y183" s="54">
        <f t="shared" si="57"/>
        <v>0</v>
      </c>
      <c r="Z183" s="54">
        <f t="shared" si="58"/>
        <v>0</v>
      </c>
      <c r="AA183" s="54">
        <f t="shared" ref="AA183:AK183" si="76">IF($C$63=0,IF($E84+365&lt;$C$56,0,IF($E84&lt;$C$56,(($E84+365-$C$56)/365)*(($C84/$BN$157)),IF($E84&gt;AA$166,0,IF($E84+365&lt;AA$166,($C84/$BN$157),((AA$166-$E84)/365)*(($C84/$BN$157)))))),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si="76"/>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56"/>
        <v>#DIV/0!</v>
      </c>
      <c r="Y184" s="54">
        <f t="shared" si="57"/>
        <v>0</v>
      </c>
      <c r="Z184" s="54">
        <f t="shared" si="58"/>
        <v>0</v>
      </c>
      <c r="AA184" s="54">
        <f t="shared" ref="AA184:AK184" si="77">IF($C$63=0,IF($E85+365&lt;$C$56,0,IF($E85&lt;$C$56,(($E85+365-$C$56)/365)*(($C85/$BN$157)),IF($E85&gt;AA$166,0,IF($E85+365&lt;AA$166,($C85/$BN$157),((AA$166-$E85)/365)*(($C85/$BN$157)))))),IF($E85+365&lt;$C$56,0,IF($E85&lt;$C$56,(($E85+365-$C$56)/365)*(($C85/$BN$157)+($D85/$BN$158)),IF($E85&gt;AA$166,0,IF($E85+365&lt;AA$166,($C85/$BN$157)+($D85/$BN$158),((AA$166-$E85)/365)*(($C85/$BN$157)+($D85/$BN$158)))))))</f>
        <v>0</v>
      </c>
      <c r="AB184" s="54">
        <f t="shared" si="77"/>
        <v>0</v>
      </c>
      <c r="AC184" s="54">
        <f t="shared" si="77"/>
        <v>0</v>
      </c>
      <c r="AD184" s="54">
        <f t="shared" si="77"/>
        <v>0</v>
      </c>
      <c r="AE184" s="54">
        <f t="shared" si="77"/>
        <v>0</v>
      </c>
      <c r="AF184" s="54">
        <f t="shared" si="77"/>
        <v>0</v>
      </c>
      <c r="AG184" s="54">
        <f t="shared" si="77"/>
        <v>0</v>
      </c>
      <c r="AH184" s="54">
        <f t="shared" si="77"/>
        <v>0</v>
      </c>
      <c r="AI184" s="54">
        <f t="shared" si="77"/>
        <v>0</v>
      </c>
      <c r="AJ184" s="54">
        <f t="shared" si="77"/>
        <v>0</v>
      </c>
      <c r="AK184" s="54">
        <f t="shared" si="77"/>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56"/>
        <v>#DIV/0!</v>
      </c>
      <c r="Y185" s="54">
        <f t="shared" si="57"/>
        <v>0</v>
      </c>
      <c r="Z185" s="54">
        <f t="shared" si="58"/>
        <v>0</v>
      </c>
      <c r="AA185" s="54">
        <f t="shared" ref="AA185:AK185" si="78">IF($C$63=0,IF($E86+365&lt;$C$56,0,IF($E86&lt;$C$56,(($E86+365-$C$56)/365)*(($C86/$BN$157)),IF($E86&gt;AA$166,0,IF($E86+365&lt;AA$166,($C86/$BN$157),((AA$166-$E86)/365)*(($C86/$BN$157)))))),IF($E86+365&lt;$C$56,0,IF($E86&lt;$C$56,(($E86+365-$C$56)/365)*(($C86/$BN$157)+($D86/$BN$158)),IF($E86&gt;AA$166,0,IF($E86+365&lt;AA$166,($C86/$BN$157)+($D86/$BN$158),((AA$166-$E86)/365)*(($C86/$BN$157)+($D86/$BN$158)))))))</f>
        <v>0</v>
      </c>
      <c r="AB185" s="54">
        <f t="shared" si="78"/>
        <v>0</v>
      </c>
      <c r="AC185" s="54">
        <f t="shared" si="78"/>
        <v>0</v>
      </c>
      <c r="AD185" s="54">
        <f t="shared" si="78"/>
        <v>0</v>
      </c>
      <c r="AE185" s="54">
        <f t="shared" si="78"/>
        <v>0</v>
      </c>
      <c r="AF185" s="54">
        <f t="shared" si="78"/>
        <v>0</v>
      </c>
      <c r="AG185" s="54">
        <f t="shared" si="78"/>
        <v>0</v>
      </c>
      <c r="AH185" s="54">
        <f t="shared" si="78"/>
        <v>0</v>
      </c>
      <c r="AI185" s="54">
        <f t="shared" si="78"/>
        <v>0</v>
      </c>
      <c r="AJ185" s="54">
        <f t="shared" si="78"/>
        <v>0</v>
      </c>
      <c r="AK185" s="54">
        <f t="shared" si="78"/>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56"/>
        <v>#DIV/0!</v>
      </c>
      <c r="Y186" s="54">
        <f t="shared" si="57"/>
        <v>0</v>
      </c>
      <c r="Z186" s="54">
        <f t="shared" si="58"/>
        <v>0</v>
      </c>
      <c r="AA186" s="54">
        <f t="shared" ref="AA186:AK186" si="79">IF($C$63=0,IF($E87+365&lt;$C$56,0,IF($E87&lt;$C$56,(($E87+365-$C$56)/365)*(($C87/$BN$157)),IF($E87&gt;AA$166,0,IF($E87+365&lt;AA$166,($C87/$BN$157),((AA$166-$E87)/365)*(($C87/$BN$157)))))),IF($E87+365&lt;$C$56,0,IF($E87&lt;$C$56,(($E87+365-$C$56)/365)*(($C87/$BN$157)+($D87/$BN$158)),IF($E87&gt;AA$166,0,IF($E87+365&lt;AA$166,($C87/$BN$157)+($D87/$BN$158),((AA$166-$E87)/365)*(($C87/$BN$157)+($D87/$BN$158)))))))</f>
        <v>0</v>
      </c>
      <c r="AB186" s="54">
        <f t="shared" si="79"/>
        <v>0</v>
      </c>
      <c r="AC186" s="54">
        <f t="shared" si="79"/>
        <v>0</v>
      </c>
      <c r="AD186" s="54">
        <f t="shared" si="79"/>
        <v>0</v>
      </c>
      <c r="AE186" s="54">
        <f t="shared" si="79"/>
        <v>0</v>
      </c>
      <c r="AF186" s="54">
        <f t="shared" si="79"/>
        <v>0</v>
      </c>
      <c r="AG186" s="54">
        <f t="shared" si="79"/>
        <v>0</v>
      </c>
      <c r="AH186" s="54">
        <f t="shared" si="79"/>
        <v>0</v>
      </c>
      <c r="AI186" s="54">
        <f t="shared" si="79"/>
        <v>0</v>
      </c>
      <c r="AJ186" s="54">
        <f t="shared" si="79"/>
        <v>0</v>
      </c>
      <c r="AK186" s="54">
        <f t="shared" si="79"/>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56"/>
        <v>#DIV/0!</v>
      </c>
      <c r="Y187" s="54">
        <f t="shared" si="57"/>
        <v>0</v>
      </c>
      <c r="Z187" s="54">
        <f t="shared" si="58"/>
        <v>0</v>
      </c>
      <c r="AA187" s="54">
        <f t="shared" ref="AA187:AK187" si="83">IF($C$63=0,IF($E88+365&lt;$C$56,0,IF($E88&lt;$C$56,(($E88+365-$C$56)/365)*(($C88/$BN$157)),IF($E88&gt;AA$166,0,IF($E88+365&lt;AA$166,($C88/$BN$157),((AA$166-$E88)/365)*(($C88/$BN$157)))))),IF($E88+365&lt;$C$56,0,IF($E88&lt;$C$56,(($E88+365-$C$56)/365)*(($C88/$BN$157)+($D88/$BN$158)),IF($E88&gt;AA$166,0,IF($E88+365&lt;AA$166,($C88/$BN$157)+($D88/$BN$158),((AA$166-$E88)/365)*(($C88/$BN$157)+($D88/$BN$158)))))))</f>
        <v>0</v>
      </c>
      <c r="AB187" s="54">
        <f t="shared" si="83"/>
        <v>0</v>
      </c>
      <c r="AC187" s="54">
        <f t="shared" si="83"/>
        <v>0</v>
      </c>
      <c r="AD187" s="54">
        <f t="shared" si="83"/>
        <v>0</v>
      </c>
      <c r="AE187" s="54">
        <f t="shared" si="83"/>
        <v>0</v>
      </c>
      <c r="AF187" s="54">
        <f t="shared" si="83"/>
        <v>0</v>
      </c>
      <c r="AG187" s="54">
        <f t="shared" si="83"/>
        <v>0</v>
      </c>
      <c r="AH187" s="54">
        <f t="shared" si="83"/>
        <v>0</v>
      </c>
      <c r="AI187" s="54">
        <f t="shared" si="83"/>
        <v>0</v>
      </c>
      <c r="AJ187" s="54">
        <f t="shared" si="83"/>
        <v>0</v>
      </c>
      <c r="AK187" s="54">
        <f t="shared" si="83"/>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56"/>
        <v>#DIV/0!</v>
      </c>
      <c r="Y188" s="54">
        <f t="shared" si="57"/>
        <v>0</v>
      </c>
      <c r="Z188" s="54">
        <f t="shared" si="58"/>
        <v>0</v>
      </c>
      <c r="AA188" s="54">
        <f t="shared" ref="AA188:AK188" si="84">IF($C$63=0,IF($E89+365&lt;$C$56,0,IF($E89&lt;$C$56,(($E89+365-$C$56)/365)*(($C89/$BN$157)),IF($E89&gt;AA$166,0,IF($E89+365&lt;AA$166,($C89/$BN$157),((AA$166-$E89)/365)*(($C89/$BN$157)))))),IF($E89+365&lt;$C$56,0,IF($E89&lt;$C$56,(($E89+365-$C$56)/365)*(($C89/$BN$157)+($D89/$BN$158)),IF($E89&gt;AA$166,0,IF($E89+365&lt;AA$166,($C89/$BN$157)+($D89/$BN$158),((AA$166-$E89)/365)*(($C89/$BN$157)+($D89/$BN$158)))))))</f>
        <v>0</v>
      </c>
      <c r="AB188" s="54">
        <f t="shared" si="84"/>
        <v>0</v>
      </c>
      <c r="AC188" s="54">
        <f t="shared" si="84"/>
        <v>0</v>
      </c>
      <c r="AD188" s="54">
        <f t="shared" si="84"/>
        <v>0</v>
      </c>
      <c r="AE188" s="54">
        <f t="shared" si="84"/>
        <v>0</v>
      </c>
      <c r="AF188" s="54">
        <f t="shared" si="84"/>
        <v>0</v>
      </c>
      <c r="AG188" s="54">
        <f t="shared" si="84"/>
        <v>0</v>
      </c>
      <c r="AH188" s="54">
        <f t="shared" si="84"/>
        <v>0</v>
      </c>
      <c r="AI188" s="54">
        <f t="shared" si="84"/>
        <v>0</v>
      </c>
      <c r="AJ188" s="54">
        <f t="shared" si="84"/>
        <v>0</v>
      </c>
      <c r="AK188" s="54">
        <f t="shared" si="84"/>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56"/>
        <v>#DIV/0!</v>
      </c>
      <c r="Y189" s="54">
        <f t="shared" si="57"/>
        <v>0</v>
      </c>
      <c r="Z189" s="54">
        <f t="shared" si="58"/>
        <v>0</v>
      </c>
      <c r="AA189" s="54">
        <f t="shared" ref="AA189:AK189" si="85">IF($C$63=0,IF($E90+365&lt;$C$56,0,IF($E90&lt;$C$56,(($E90+365-$C$56)/365)*(($C90/$BN$157)),IF($E90&gt;AA$166,0,IF($E90+365&lt;AA$166,($C90/$BN$157),((AA$166-$E90)/365)*(($C90/$BN$157)))))),IF($E90+365&lt;$C$56,0,IF($E90&lt;$C$56,(($E90+365-$C$56)/365)*(($C90/$BN$157)+($D90/$BN$158)),IF($E90&gt;AA$166,0,IF($E90+365&lt;AA$166,($C90/$BN$157)+($D90/$BN$158),((AA$166-$E90)/365)*(($C90/$BN$157)+($D90/$BN$158)))))))</f>
        <v>0</v>
      </c>
      <c r="AB189" s="54">
        <f t="shared" si="85"/>
        <v>0</v>
      </c>
      <c r="AC189" s="54">
        <f t="shared" si="85"/>
        <v>0</v>
      </c>
      <c r="AD189" s="54">
        <f t="shared" si="85"/>
        <v>0</v>
      </c>
      <c r="AE189" s="54">
        <f t="shared" si="85"/>
        <v>0</v>
      </c>
      <c r="AF189" s="54">
        <f t="shared" si="85"/>
        <v>0</v>
      </c>
      <c r="AG189" s="54">
        <f t="shared" si="85"/>
        <v>0</v>
      </c>
      <c r="AH189" s="54">
        <f t="shared" si="85"/>
        <v>0</v>
      </c>
      <c r="AI189" s="54">
        <f t="shared" si="85"/>
        <v>0</v>
      </c>
      <c r="AJ189" s="54">
        <f t="shared" si="85"/>
        <v>0</v>
      </c>
      <c r="AK189" s="54">
        <f t="shared" si="85"/>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56"/>
        <v>#DIV/0!</v>
      </c>
      <c r="Y190" s="54">
        <f t="shared" si="57"/>
        <v>0</v>
      </c>
      <c r="Z190" s="54">
        <f t="shared" si="58"/>
        <v>0</v>
      </c>
      <c r="AA190" s="54">
        <f t="shared" ref="AA190:AK190" si="86">IF($C$63=0,IF($E91+365&lt;$C$56,0,IF($E91&lt;$C$56,(($E91+365-$C$56)/365)*(($C91/$BN$157)),IF($E91&gt;AA$166,0,IF($E91+365&lt;AA$166,($C91/$BN$157),((AA$166-$E91)/365)*(($C91/$BN$157)))))),IF($E91+365&lt;$C$56,0,IF($E91&lt;$C$56,(($E91+365-$C$56)/365)*(($C91/$BN$157)+($D91/$BN$158)),IF($E91&gt;AA$166,0,IF($E91+365&lt;AA$166,($C91/$BN$157)+($D91/$BN$158),((AA$166-$E91)/365)*(($C91/$BN$157)+($D91/$BN$158)))))))</f>
        <v>0</v>
      </c>
      <c r="AB190" s="54">
        <f t="shared" si="86"/>
        <v>0</v>
      </c>
      <c r="AC190" s="54">
        <f t="shared" si="86"/>
        <v>0</v>
      </c>
      <c r="AD190" s="54">
        <f t="shared" si="86"/>
        <v>0</v>
      </c>
      <c r="AE190" s="54">
        <f t="shared" si="86"/>
        <v>0</v>
      </c>
      <c r="AF190" s="54">
        <f t="shared" si="86"/>
        <v>0</v>
      </c>
      <c r="AG190" s="54">
        <f t="shared" si="86"/>
        <v>0</v>
      </c>
      <c r="AH190" s="54">
        <f t="shared" si="86"/>
        <v>0</v>
      </c>
      <c r="AI190" s="54">
        <f t="shared" si="86"/>
        <v>0</v>
      </c>
      <c r="AJ190" s="54">
        <f t="shared" si="86"/>
        <v>0</v>
      </c>
      <c r="AK190" s="54">
        <f t="shared" si="86"/>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56"/>
        <v>#DIV/0!</v>
      </c>
      <c r="Y191" s="54">
        <f t="shared" si="57"/>
        <v>0</v>
      </c>
      <c r="Z191" s="54">
        <f t="shared" si="58"/>
        <v>0</v>
      </c>
      <c r="AA191" s="54">
        <f t="shared" ref="AA191:AK191" si="87">IF($C$63=0,IF($E92+365&lt;$C$56,0,IF($E92&lt;$C$56,(($E92+365-$C$56)/365)*(($C92/$BN$157)),IF($E92&gt;AA$166,0,IF($E92+365&lt;AA$166,($C92/$BN$157),((AA$166-$E92)/365)*(($C92/$BN$157)))))),IF($E92+365&lt;$C$56,0,IF($E92&lt;$C$56,(($E92+365-$C$56)/365)*(($C92/$BN$157)+($D92/$BN$158)),IF($E92&gt;AA$166,0,IF($E92+365&lt;AA$166,($C92/$BN$157)+($D92/$BN$158),((AA$166-$E92)/365)*(($C92/$BN$157)+($D92/$BN$158)))))))</f>
        <v>0</v>
      </c>
      <c r="AB191" s="54">
        <f t="shared" si="87"/>
        <v>0</v>
      </c>
      <c r="AC191" s="54">
        <f t="shared" si="87"/>
        <v>0</v>
      </c>
      <c r="AD191" s="54">
        <f t="shared" si="87"/>
        <v>0</v>
      </c>
      <c r="AE191" s="54">
        <f t="shared" si="87"/>
        <v>0</v>
      </c>
      <c r="AF191" s="54">
        <f t="shared" si="87"/>
        <v>0</v>
      </c>
      <c r="AG191" s="54">
        <f t="shared" si="87"/>
        <v>0</v>
      </c>
      <c r="AH191" s="54">
        <f t="shared" si="87"/>
        <v>0</v>
      </c>
      <c r="AI191" s="54">
        <f t="shared" si="87"/>
        <v>0</v>
      </c>
      <c r="AJ191" s="54">
        <f t="shared" si="87"/>
        <v>0</v>
      </c>
      <c r="AK191" s="54">
        <f t="shared" si="87"/>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56"/>
        <v>#DIV/0!</v>
      </c>
      <c r="Y192" s="54">
        <f t="shared" si="57"/>
        <v>0</v>
      </c>
      <c r="Z192" s="54">
        <f t="shared" si="58"/>
        <v>0</v>
      </c>
      <c r="AA192" s="54">
        <f t="shared" ref="AA192:AK192" si="88">IF($C$63=0,IF($E93+365&lt;$C$56,0,IF($E93&lt;$C$56,(($E93+365-$C$56)/365)*(($C93/$BN$157)),IF($E93&gt;AA$166,0,IF($E93+365&lt;AA$166,($C93/$BN$157),((AA$166-$E93)/365)*(($C93/$BN$157)))))),IF($E93+365&lt;$C$56,0,IF($E93&lt;$C$56,(($E93+365-$C$56)/365)*(($C93/$BN$157)+($D93/$BN$158)),IF($E93&gt;AA$166,0,IF($E93+365&lt;AA$166,($C93/$BN$157)+($D93/$BN$158),((AA$166-$E93)/365)*(($C93/$BN$157)+($D93/$BN$158)))))))</f>
        <v>0</v>
      </c>
      <c r="AB192" s="54">
        <f t="shared" si="88"/>
        <v>0</v>
      </c>
      <c r="AC192" s="54">
        <f t="shared" si="88"/>
        <v>0</v>
      </c>
      <c r="AD192" s="54">
        <f t="shared" si="88"/>
        <v>0</v>
      </c>
      <c r="AE192" s="54">
        <f t="shared" si="88"/>
        <v>0</v>
      </c>
      <c r="AF192" s="54">
        <f t="shared" si="88"/>
        <v>0</v>
      </c>
      <c r="AG192" s="54">
        <f t="shared" si="88"/>
        <v>0</v>
      </c>
      <c r="AH192" s="54">
        <f t="shared" si="88"/>
        <v>0</v>
      </c>
      <c r="AI192" s="54">
        <f t="shared" si="88"/>
        <v>0</v>
      </c>
      <c r="AJ192" s="54">
        <f t="shared" si="88"/>
        <v>0</v>
      </c>
      <c r="AK192" s="54">
        <f t="shared" si="88"/>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56"/>
        <v>#DIV/0!</v>
      </c>
      <c r="Y193" s="54">
        <f t="shared" si="57"/>
        <v>0</v>
      </c>
      <c r="Z193" s="54">
        <f t="shared" si="58"/>
        <v>0</v>
      </c>
      <c r="AA193" s="54">
        <f t="shared" ref="AA193:AK193" si="89">IF($C$63=0,IF($E94+365&lt;$C$56,0,IF($E94&lt;$C$56,(($E94+365-$C$56)/365)*(($C94/$BN$157)),IF($E94&gt;AA$166,0,IF($E94+365&lt;AA$166,($C94/$BN$157),((AA$166-$E94)/365)*(($C94/$BN$157)))))),IF($E94+365&lt;$C$56,0,IF($E94&lt;$C$56,(($E94+365-$C$56)/365)*(($C94/$BN$157)+($D94/$BN$158)),IF($E94&gt;AA$166,0,IF($E94+365&lt;AA$166,($C94/$BN$157)+($D94/$BN$158),((AA$166-$E94)/365)*(($C94/$BN$157)+($D94/$BN$158)))))))</f>
        <v>0</v>
      </c>
      <c r="AB193" s="54">
        <f t="shared" si="89"/>
        <v>0</v>
      </c>
      <c r="AC193" s="54">
        <f t="shared" si="89"/>
        <v>0</v>
      </c>
      <c r="AD193" s="54">
        <f t="shared" si="89"/>
        <v>0</v>
      </c>
      <c r="AE193" s="54">
        <f t="shared" si="89"/>
        <v>0</v>
      </c>
      <c r="AF193" s="54">
        <f t="shared" si="89"/>
        <v>0</v>
      </c>
      <c r="AG193" s="54">
        <f t="shared" si="89"/>
        <v>0</v>
      </c>
      <c r="AH193" s="54">
        <f t="shared" si="89"/>
        <v>0</v>
      </c>
      <c r="AI193" s="54">
        <f t="shared" si="89"/>
        <v>0</v>
      </c>
      <c r="AJ193" s="54">
        <f t="shared" si="89"/>
        <v>0</v>
      </c>
      <c r="AK193" s="54">
        <f t="shared" si="89"/>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56"/>
        <v>#DIV/0!</v>
      </c>
      <c r="Y194" s="54">
        <f t="shared" si="57"/>
        <v>0</v>
      </c>
      <c r="Z194" s="54">
        <f t="shared" si="58"/>
        <v>0</v>
      </c>
      <c r="AA194" s="54">
        <f t="shared" ref="AA194:AK194" si="90">IF($C$63=0,IF($E95+365&lt;$C$56,0,IF($E95&lt;$C$56,(($E95+365-$C$56)/365)*(($C95/$BN$157)),IF($E95&gt;AA$166,0,IF($E95+365&lt;AA$166,($C95/$BN$157),((AA$166-$E95)/365)*(($C95/$BN$157)))))),IF($E95+365&lt;$C$56,0,IF($E95&lt;$C$56,(($E95+365-$C$56)/365)*(($C95/$BN$157)+($D95/$BN$158)),IF($E95&gt;AA$166,0,IF($E95+365&lt;AA$166,($C95/$BN$157)+($D95/$BN$158),((AA$166-$E95)/365)*(($C95/$BN$157)+($D95/$BN$158)))))))</f>
        <v>0</v>
      </c>
      <c r="AB194" s="54">
        <f t="shared" si="90"/>
        <v>0</v>
      </c>
      <c r="AC194" s="54">
        <f t="shared" si="90"/>
        <v>0</v>
      </c>
      <c r="AD194" s="54">
        <f t="shared" si="90"/>
        <v>0</v>
      </c>
      <c r="AE194" s="54">
        <f t="shared" si="90"/>
        <v>0</v>
      </c>
      <c r="AF194" s="54">
        <f t="shared" si="90"/>
        <v>0</v>
      </c>
      <c r="AG194" s="54">
        <f t="shared" si="90"/>
        <v>0</v>
      </c>
      <c r="AH194" s="54">
        <f t="shared" si="90"/>
        <v>0</v>
      </c>
      <c r="AI194" s="54">
        <f t="shared" si="90"/>
        <v>0</v>
      </c>
      <c r="AJ194" s="54">
        <f t="shared" si="90"/>
        <v>0</v>
      </c>
      <c r="AK194" s="54">
        <f t="shared" si="90"/>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56"/>
        <v>#DIV/0!</v>
      </c>
      <c r="Y195" s="54">
        <f t="shared" si="57"/>
        <v>0</v>
      </c>
      <c r="Z195" s="54">
        <f t="shared" si="58"/>
        <v>0</v>
      </c>
      <c r="AA195" s="54">
        <f t="shared" ref="AA195:AK195" si="91">IF($C$63=0,IF($E96+365&lt;$C$56,0,IF($E96&lt;$C$56,(($E96+365-$C$56)/365)*(($C96/$BN$157)),IF($E96&gt;AA$166,0,IF($E96+365&lt;AA$166,($C96/$BN$157),((AA$166-$E96)/365)*(($C96/$BN$157)))))),IF($E96+365&lt;$C$56,0,IF($E96&lt;$C$56,(($E96+365-$C$56)/365)*(($C96/$BN$157)+($D96/$BN$158)),IF($E96&gt;AA$166,0,IF($E96+365&lt;AA$166,($C96/$BN$157)+($D96/$BN$158),((AA$166-$E96)/365)*(($C96/$BN$157)+($D96/$BN$158)))))))</f>
        <v>0</v>
      </c>
      <c r="AB195" s="54">
        <f t="shared" si="91"/>
        <v>0</v>
      </c>
      <c r="AC195" s="54">
        <f t="shared" si="91"/>
        <v>0</v>
      </c>
      <c r="AD195" s="54">
        <f t="shared" si="91"/>
        <v>0</v>
      </c>
      <c r="AE195" s="54">
        <f t="shared" si="91"/>
        <v>0</v>
      </c>
      <c r="AF195" s="54">
        <f t="shared" si="91"/>
        <v>0</v>
      </c>
      <c r="AG195" s="54">
        <f t="shared" si="91"/>
        <v>0</v>
      </c>
      <c r="AH195" s="54">
        <f t="shared" si="91"/>
        <v>0</v>
      </c>
      <c r="AI195" s="54">
        <f t="shared" si="91"/>
        <v>0</v>
      </c>
      <c r="AJ195" s="54">
        <f t="shared" si="91"/>
        <v>0</v>
      </c>
      <c r="AK195" s="54">
        <f t="shared" si="91"/>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56"/>
        <v>#DIV/0!</v>
      </c>
      <c r="Y196" s="54">
        <f t="shared" si="57"/>
        <v>0</v>
      </c>
      <c r="Z196" s="54">
        <f t="shared" si="58"/>
        <v>0</v>
      </c>
      <c r="AA196" s="54">
        <f t="shared" ref="AA196:AK196" si="92">IF($C$63=0,IF($E97+365&lt;$C$56,0,IF($E97&lt;$C$56,(($E97+365-$C$56)/365)*(($C97/$BN$157)),IF($E97&gt;AA$166,0,IF($E97+365&lt;AA$166,($C97/$BN$157),((AA$166-$E97)/365)*(($C97/$BN$157)))))),IF($E97+365&lt;$C$56,0,IF($E97&lt;$C$56,(($E97+365-$C$56)/365)*(($C97/$BN$157)+($D97/$BN$158)),IF($E97&gt;AA$166,0,IF($E97+365&lt;AA$166,($C97/$BN$157)+($D97/$BN$158),((AA$166-$E97)/365)*(($C97/$BN$157)+($D97/$BN$158)))))))</f>
        <v>0</v>
      </c>
      <c r="AB196" s="54">
        <f t="shared" si="92"/>
        <v>0</v>
      </c>
      <c r="AC196" s="54">
        <f t="shared" si="92"/>
        <v>0</v>
      </c>
      <c r="AD196" s="54">
        <f t="shared" si="92"/>
        <v>0</v>
      </c>
      <c r="AE196" s="54">
        <f t="shared" si="92"/>
        <v>0</v>
      </c>
      <c r="AF196" s="54">
        <f t="shared" si="92"/>
        <v>0</v>
      </c>
      <c r="AG196" s="54">
        <f t="shared" si="92"/>
        <v>0</v>
      </c>
      <c r="AH196" s="54">
        <f t="shared" si="92"/>
        <v>0</v>
      </c>
      <c r="AI196" s="54">
        <f t="shared" si="92"/>
        <v>0</v>
      </c>
      <c r="AJ196" s="54">
        <f t="shared" si="92"/>
        <v>0</v>
      </c>
      <c r="AK196" s="54">
        <f t="shared" si="92"/>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56"/>
        <v>#DIV/0!</v>
      </c>
      <c r="Y197" s="54">
        <f t="shared" si="57"/>
        <v>0</v>
      </c>
      <c r="Z197" s="54">
        <f t="shared" si="58"/>
        <v>0</v>
      </c>
      <c r="AA197" s="54">
        <f t="shared" ref="AA197:AK197" si="93">IF($C$63=0,IF($E98+365&lt;$C$56,0,IF($E98&lt;$C$56,(($E98+365-$C$56)/365)*(($C98/$BN$157)),IF($E98&gt;AA$166,0,IF($E98+365&lt;AA$166,($C98/$BN$157),((AA$166-$E98)/365)*(($C98/$BN$157)))))),IF($E98+365&lt;$C$56,0,IF($E98&lt;$C$56,(($E98+365-$C$56)/365)*(($C98/$BN$157)+($D98/$BN$158)),IF($E98&gt;AA$166,0,IF($E98+365&lt;AA$166,($C98/$BN$157)+($D98/$BN$158),((AA$166-$E98)/365)*(($C98/$BN$157)+($D98/$BN$158)))))))</f>
        <v>0</v>
      </c>
      <c r="AB197" s="54">
        <f t="shared" si="93"/>
        <v>0</v>
      </c>
      <c r="AC197" s="54">
        <f t="shared" si="93"/>
        <v>0</v>
      </c>
      <c r="AD197" s="54">
        <f t="shared" si="93"/>
        <v>0</v>
      </c>
      <c r="AE197" s="54">
        <f t="shared" si="93"/>
        <v>0</v>
      </c>
      <c r="AF197" s="54">
        <f t="shared" si="93"/>
        <v>0</v>
      </c>
      <c r="AG197" s="54">
        <f t="shared" si="93"/>
        <v>0</v>
      </c>
      <c r="AH197" s="54">
        <f t="shared" si="93"/>
        <v>0</v>
      </c>
      <c r="AI197" s="54">
        <f t="shared" si="93"/>
        <v>0</v>
      </c>
      <c r="AJ197" s="54">
        <f t="shared" si="93"/>
        <v>0</v>
      </c>
      <c r="AK197" s="54">
        <f t="shared" si="93"/>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56"/>
        <v>#DIV/0!</v>
      </c>
      <c r="Y198" s="54">
        <f t="shared" si="57"/>
        <v>0</v>
      </c>
      <c r="Z198" s="54">
        <f t="shared" si="58"/>
        <v>0</v>
      </c>
      <c r="AA198" s="54">
        <f t="shared" ref="AA198:AK198" si="94">IF($C$63=0,IF($E99+365&lt;$C$56,0,IF($E99&lt;$C$56,(($E99+365-$C$56)/365)*(($C99/$BN$157)),IF($E99&gt;AA$166,0,IF($E99+365&lt;AA$166,($C99/$BN$157),((AA$166-$E99)/365)*(($C99/$BN$157)))))),IF($E99+365&lt;$C$56,0,IF($E99&lt;$C$56,(($E99+365-$C$56)/365)*(($C99/$BN$157)+($D99/$BN$158)),IF($E99&gt;AA$166,0,IF($E99+365&lt;AA$166,($C99/$BN$157)+($D99/$BN$158),((AA$166-$E99)/365)*(($C99/$BN$157)+($D99/$BN$158)))))))</f>
        <v>0</v>
      </c>
      <c r="AB198" s="54">
        <f t="shared" si="94"/>
        <v>0</v>
      </c>
      <c r="AC198" s="54">
        <f t="shared" si="94"/>
        <v>0</v>
      </c>
      <c r="AD198" s="54">
        <f t="shared" si="94"/>
        <v>0</v>
      </c>
      <c r="AE198" s="54">
        <f t="shared" si="94"/>
        <v>0</v>
      </c>
      <c r="AF198" s="54">
        <f t="shared" si="94"/>
        <v>0</v>
      </c>
      <c r="AG198" s="54">
        <f t="shared" si="94"/>
        <v>0</v>
      </c>
      <c r="AH198" s="54">
        <f t="shared" si="94"/>
        <v>0</v>
      </c>
      <c r="AI198" s="54">
        <f t="shared" si="94"/>
        <v>0</v>
      </c>
      <c r="AJ198" s="54">
        <f t="shared" si="94"/>
        <v>0</v>
      </c>
      <c r="AK198" s="54">
        <f t="shared" si="94"/>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56"/>
        <v>#DIV/0!</v>
      </c>
      <c r="Y199" s="54">
        <f t="shared" si="57"/>
        <v>0</v>
      </c>
      <c r="Z199" s="54">
        <f t="shared" si="58"/>
        <v>0</v>
      </c>
      <c r="AA199" s="54">
        <f t="shared" ref="AA199:AK199" si="95">IF($C$63=0,IF($E100+365&lt;$C$56,0,IF($E100&lt;$C$56,(($E100+365-$C$56)/365)*(($C100/$BN$157)),IF($E100&gt;AA$166,0,IF($E100+365&lt;AA$166,($C100/$BN$157),((AA$166-$E100)/365)*(($C100/$BN$157)))))),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si="95"/>
        <v>0</v>
      </c>
      <c r="AL199" s="24">
        <f t="shared" si="51"/>
        <v>0</v>
      </c>
      <c r="AM199" s="24">
        <f t="shared" si="52"/>
        <v>0</v>
      </c>
      <c r="AN199" s="55">
        <f t="shared" si="53"/>
        <v>0</v>
      </c>
      <c r="AO199" s="55">
        <f t="shared" si="54"/>
        <v>0</v>
      </c>
      <c r="AP199" s="24"/>
      <c r="AQ199" s="24"/>
      <c r="AR199" s="24"/>
      <c r="AS199" s="24"/>
      <c r="AT199" s="24"/>
      <c r="AU199" s="24"/>
      <c r="AV199" s="24"/>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56"/>
        <v>#DIV/0!</v>
      </c>
      <c r="Y200" s="54">
        <f t="shared" si="57"/>
        <v>0</v>
      </c>
      <c r="Z200" s="54">
        <f t="shared" si="58"/>
        <v>0</v>
      </c>
      <c r="AA200" s="54">
        <f t="shared" ref="AA200:AK200" si="96">IF($C$63=0,IF($E101+365&lt;$C$56,0,IF($E101&lt;$C$56,(($E101+365-$C$56)/365)*(($C101/$BN$157)),IF($E101&gt;AA$166,0,IF($E101+365&lt;AA$166,($C101/$BN$157),((AA$166-$E101)/365)*(($C101/$BN$157)))))),IF($E101+365&lt;$C$56,0,IF($E101&lt;$C$56,(($E101+365-$C$56)/365)*(($C101/$BN$157)+($D101/$BN$158)),IF($E101&gt;AA$166,0,IF($E101+365&lt;AA$166,($C101/$BN$157)+($D101/$BN$158),((AA$166-$E101)/365)*(($C101/$BN$157)+($D101/$BN$158)))))))</f>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si="96"/>
        <v>0</v>
      </c>
      <c r="AL200" s="24">
        <f t="shared" si="51"/>
        <v>0</v>
      </c>
      <c r="AM200" s="24">
        <f t="shared" si="52"/>
        <v>0</v>
      </c>
      <c r="AN200" s="55">
        <f t="shared" si="53"/>
        <v>0</v>
      </c>
      <c r="AO200" s="55">
        <f t="shared" si="54"/>
        <v>0</v>
      </c>
      <c r="AP200" s="24"/>
      <c r="AQ200" s="24"/>
      <c r="AR200" s="24"/>
      <c r="AS200" s="24"/>
      <c r="AT200" s="24"/>
      <c r="AU200" s="24"/>
      <c r="AV200" s="24"/>
      <c r="AW200" s="24"/>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56"/>
        <v>#DIV/0!</v>
      </c>
      <c r="Y201" s="54">
        <f t="shared" si="57"/>
        <v>0</v>
      </c>
      <c r="Z201" s="54">
        <f t="shared" si="58"/>
        <v>0</v>
      </c>
      <c r="AA201" s="54">
        <f t="shared" ref="AA201:AK201" si="97">IF($C$63=0,IF($E102+365&lt;$C$56,0,IF($E102&lt;$C$56,(($E102+365-$C$56)/365)*(($C102/$BN$157)),IF($E102&gt;AA$166,0,IF($E102+365&lt;AA$166,($C102/$BN$157),((AA$166-$E102)/365)*(($C102/$BN$157)))))),IF($E102+365&lt;$C$56,0,IF($E102&lt;$C$56,(($E102+365-$C$56)/365)*(($C102/$BN$157)+($D102/$BN$158)),IF($E102&gt;AA$166,0,IF($E102+365&lt;AA$166,($C102/$BN$157)+($D102/$BN$158),((AA$166-$E102)/365)*(($C102/$BN$157)+($D102/$BN$158)))))))</f>
        <v>0</v>
      </c>
      <c r="AB201" s="54">
        <f t="shared" si="97"/>
        <v>0</v>
      </c>
      <c r="AC201" s="54">
        <f t="shared" si="97"/>
        <v>0</v>
      </c>
      <c r="AD201" s="54">
        <f t="shared" si="97"/>
        <v>0</v>
      </c>
      <c r="AE201" s="54">
        <f t="shared" si="97"/>
        <v>0</v>
      </c>
      <c r="AF201" s="54">
        <f t="shared" si="97"/>
        <v>0</v>
      </c>
      <c r="AG201" s="54">
        <f t="shared" si="97"/>
        <v>0</v>
      </c>
      <c r="AH201" s="54">
        <f t="shared" si="97"/>
        <v>0</v>
      </c>
      <c r="AI201" s="54">
        <f t="shared" si="97"/>
        <v>0</v>
      </c>
      <c r="AJ201" s="54">
        <f t="shared" si="97"/>
        <v>0</v>
      </c>
      <c r="AK201" s="54">
        <f t="shared" si="97"/>
        <v>0</v>
      </c>
      <c r="AL201" s="24">
        <f t="shared" si="51"/>
        <v>0</v>
      </c>
      <c r="AM201" s="24">
        <f t="shared" si="52"/>
        <v>0</v>
      </c>
      <c r="AN201" s="55">
        <f t="shared" si="53"/>
        <v>0</v>
      </c>
      <c r="AO201" s="55">
        <f t="shared" si="54"/>
        <v>0</v>
      </c>
      <c r="AP201" s="24"/>
      <c r="AQ201" s="24"/>
      <c r="AR201" s="24"/>
      <c r="AS201" s="24"/>
      <c r="AT201" s="24"/>
      <c r="AU201" s="24"/>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56"/>
        <v>#DIV/0!</v>
      </c>
      <c r="Y202" s="54">
        <f t="shared" si="57"/>
        <v>0</v>
      </c>
      <c r="Z202" s="54">
        <f t="shared" si="58"/>
        <v>0</v>
      </c>
      <c r="AA202" s="54">
        <f t="shared" ref="AA202:AK202" si="98">IF($C$63=0,IF($E103+365&lt;$C$56,0,IF($E103&lt;$C$56,(($E103+365-$C$56)/365)*(($C103/$BN$157)),IF($E103&gt;AA$166,0,IF($E103+365&lt;AA$166,($C103/$BN$157),((AA$166-$E103)/365)*(($C103/$BN$157)))))),IF($E103+365&lt;$C$56,0,IF($E103&lt;$C$56,(($E103+365-$C$56)/365)*(($C103/$BN$157)+($D103/$BN$158)),IF($E103&gt;AA$166,0,IF($E103+365&lt;AA$166,($C103/$BN$157)+($D103/$BN$158),((AA$166-$E103)/365)*(($C103/$BN$157)+($D103/$BN$158)))))))</f>
        <v>0</v>
      </c>
      <c r="AB202" s="54">
        <f t="shared" si="98"/>
        <v>0</v>
      </c>
      <c r="AC202" s="54">
        <f t="shared" si="98"/>
        <v>0</v>
      </c>
      <c r="AD202" s="54">
        <f t="shared" si="98"/>
        <v>0</v>
      </c>
      <c r="AE202" s="54">
        <f t="shared" si="98"/>
        <v>0</v>
      </c>
      <c r="AF202" s="54">
        <f t="shared" si="98"/>
        <v>0</v>
      </c>
      <c r="AG202" s="54">
        <f t="shared" si="98"/>
        <v>0</v>
      </c>
      <c r="AH202" s="54">
        <f t="shared" si="98"/>
        <v>0</v>
      </c>
      <c r="AI202" s="54">
        <f t="shared" si="98"/>
        <v>0</v>
      </c>
      <c r="AJ202" s="54">
        <f t="shared" si="98"/>
        <v>0</v>
      </c>
      <c r="AK202" s="54">
        <f t="shared" si="98"/>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56"/>
        <v>#DIV/0!</v>
      </c>
      <c r="Y203" s="54">
        <f t="shared" si="57"/>
        <v>0</v>
      </c>
      <c r="Z203" s="54">
        <f t="shared" si="58"/>
        <v>0</v>
      </c>
      <c r="AA203" s="54">
        <f t="shared" ref="AA203:AK203" si="99">IF($C$63=0,IF($E104+365&lt;$C$56,0,IF($E104&lt;$C$56,(($E104+365-$C$56)/365)*(($C104/$BN$157)),IF($E104&gt;AA$166,0,IF($E104+365&lt;AA$166,($C104/$BN$157),((AA$166-$E104)/365)*(($C104/$BN$157)))))),IF($E104+365&lt;$C$56,0,IF($E104&lt;$C$56,(($E104+365-$C$56)/365)*(($C104/$BN$157)+($D104/$BN$158)),IF($E104&gt;AA$166,0,IF($E104+365&lt;AA$166,($C104/$BN$157)+($D104/$BN$158),((AA$166-$E104)/365)*(($C104/$BN$157)+($D104/$BN$158)))))))</f>
        <v>0</v>
      </c>
      <c r="AB203" s="54">
        <f t="shared" si="99"/>
        <v>0</v>
      </c>
      <c r="AC203" s="54">
        <f t="shared" si="99"/>
        <v>0</v>
      </c>
      <c r="AD203" s="54">
        <f t="shared" si="99"/>
        <v>0</v>
      </c>
      <c r="AE203" s="54">
        <f t="shared" si="99"/>
        <v>0</v>
      </c>
      <c r="AF203" s="54">
        <f t="shared" si="99"/>
        <v>0</v>
      </c>
      <c r="AG203" s="54">
        <f t="shared" si="99"/>
        <v>0</v>
      </c>
      <c r="AH203" s="54">
        <f t="shared" si="99"/>
        <v>0</v>
      </c>
      <c r="AI203" s="54">
        <f t="shared" si="99"/>
        <v>0</v>
      </c>
      <c r="AJ203" s="54">
        <f t="shared" si="99"/>
        <v>0</v>
      </c>
      <c r="AK203" s="54">
        <f t="shared" si="99"/>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56"/>
        <v>#DIV/0!</v>
      </c>
      <c r="Y204" s="54">
        <f t="shared" si="57"/>
        <v>0</v>
      </c>
      <c r="Z204" s="54">
        <f t="shared" si="58"/>
        <v>0</v>
      </c>
      <c r="AA204" s="54">
        <f t="shared" ref="AA204:AK204" si="100">IF($C$63=0,IF($E105+365&lt;$C$56,0,IF($E105&lt;$C$56,(($E105+365-$C$56)/365)*(($C105/$BN$157)),IF($E105&gt;AA$166,0,IF($E105+365&lt;AA$166,($C105/$BN$157),((AA$166-$E105)/365)*(($C105/$BN$157)))))),IF($E105+365&lt;$C$56,0,IF($E105&lt;$C$56,(($E105+365-$C$56)/365)*(($C105/$BN$157)+($D105/$BN$158)),IF($E105&gt;AA$166,0,IF($E105+365&lt;AA$166,($C105/$BN$157)+($D105/$BN$158),((AA$166-$E105)/365)*(($C105/$BN$157)+($D105/$BN$158)))))))</f>
        <v>0</v>
      </c>
      <c r="AB204" s="54">
        <f t="shared" si="100"/>
        <v>0</v>
      </c>
      <c r="AC204" s="54">
        <f t="shared" si="100"/>
        <v>0</v>
      </c>
      <c r="AD204" s="54">
        <f t="shared" si="100"/>
        <v>0</v>
      </c>
      <c r="AE204" s="54">
        <f t="shared" si="100"/>
        <v>0</v>
      </c>
      <c r="AF204" s="54">
        <f t="shared" si="100"/>
        <v>0</v>
      </c>
      <c r="AG204" s="54">
        <f t="shared" si="100"/>
        <v>0</v>
      </c>
      <c r="AH204" s="54">
        <f t="shared" si="100"/>
        <v>0</v>
      </c>
      <c r="AI204" s="54">
        <f t="shared" si="100"/>
        <v>0</v>
      </c>
      <c r="AJ204" s="54">
        <f t="shared" si="100"/>
        <v>0</v>
      </c>
      <c r="AK204" s="54">
        <f t="shared" si="100"/>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56"/>
        <v>#DIV/0!</v>
      </c>
      <c r="Y205" s="54">
        <f t="shared" si="57"/>
        <v>0</v>
      </c>
      <c r="Z205" s="54">
        <f t="shared" si="58"/>
        <v>0</v>
      </c>
      <c r="AA205" s="54">
        <f t="shared" ref="AA205:AK205" si="101">IF($C$63=0,IF($E106+365&lt;$C$56,0,IF($E106&lt;$C$56,(($E106+365-$C$56)/365)*(($C106/$BN$157)),IF($E106&gt;AA$166,0,IF($E106+365&lt;AA$166,($C106/$BN$157),((AA$166-$E106)/365)*(($C106/$BN$157)))))),IF($E106+365&lt;$C$56,0,IF($E106&lt;$C$56,(($E106+365-$C$56)/365)*(($C106/$BN$157)+($D106/$BN$158)),IF($E106&gt;AA$166,0,IF($E106+365&lt;AA$166,($C106/$BN$157)+($D106/$BN$158),((AA$166-$E106)/365)*(($C106/$BN$157)+($D106/$BN$158)))))))</f>
        <v>0</v>
      </c>
      <c r="AB205" s="54">
        <f t="shared" si="101"/>
        <v>0</v>
      </c>
      <c r="AC205" s="54">
        <f t="shared" si="101"/>
        <v>0</v>
      </c>
      <c r="AD205" s="54">
        <f t="shared" si="101"/>
        <v>0</v>
      </c>
      <c r="AE205" s="54">
        <f t="shared" si="101"/>
        <v>0</v>
      </c>
      <c r="AF205" s="54">
        <f t="shared" si="101"/>
        <v>0</v>
      </c>
      <c r="AG205" s="54">
        <f t="shared" si="101"/>
        <v>0</v>
      </c>
      <c r="AH205" s="54">
        <f t="shared" si="101"/>
        <v>0</v>
      </c>
      <c r="AI205" s="54">
        <f t="shared" si="101"/>
        <v>0</v>
      </c>
      <c r="AJ205" s="54">
        <f t="shared" si="101"/>
        <v>0</v>
      </c>
      <c r="AK205" s="54">
        <f t="shared" si="101"/>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56"/>
        <v>#DIV/0!</v>
      </c>
      <c r="Y206" s="54">
        <f t="shared" si="57"/>
        <v>0</v>
      </c>
      <c r="Z206" s="54">
        <f t="shared" si="58"/>
        <v>0</v>
      </c>
      <c r="AA206" s="54">
        <f t="shared" ref="AA206:AK206" si="102">IF($C$63=0,IF($E107+365&lt;$C$56,0,IF($E107&lt;$C$56,(($E107+365-$C$56)/365)*(($C107/$BN$157)),IF($E107&gt;AA$166,0,IF($E107+365&lt;AA$166,($C107/$BN$157),((AA$166-$E107)/365)*(($C107/$BN$157)))))),IF($E107+365&lt;$C$56,0,IF($E107&lt;$C$56,(($E107+365-$C$56)/365)*(($C107/$BN$157)+($D107/$BN$158)),IF($E107&gt;AA$166,0,IF($E107+365&lt;AA$166,($C107/$BN$157)+($D107/$BN$158),((AA$166-$E107)/365)*(($C107/$BN$157)+($D107/$BN$158)))))))</f>
        <v>0</v>
      </c>
      <c r="AB206" s="54">
        <f t="shared" si="102"/>
        <v>0</v>
      </c>
      <c r="AC206" s="54">
        <f t="shared" si="102"/>
        <v>0</v>
      </c>
      <c r="AD206" s="54">
        <f t="shared" si="102"/>
        <v>0</v>
      </c>
      <c r="AE206" s="54">
        <f t="shared" si="102"/>
        <v>0</v>
      </c>
      <c r="AF206" s="54">
        <f t="shared" si="102"/>
        <v>0</v>
      </c>
      <c r="AG206" s="54">
        <f t="shared" si="102"/>
        <v>0</v>
      </c>
      <c r="AH206" s="54">
        <f t="shared" si="102"/>
        <v>0</v>
      </c>
      <c r="AI206" s="54">
        <f t="shared" si="102"/>
        <v>0</v>
      </c>
      <c r="AJ206" s="54">
        <f t="shared" si="102"/>
        <v>0</v>
      </c>
      <c r="AK206" s="54">
        <f t="shared" si="102"/>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3">IF($E109&gt;H$66,0,IF($E109&lt;H$66-365,$C109,0))</f>
        <v>0</v>
      </c>
      <c r="I207" s="12">
        <f t="shared" si="103"/>
        <v>0</v>
      </c>
      <c r="J207" s="12">
        <f t="shared" si="103"/>
        <v>0</v>
      </c>
      <c r="K207" s="12">
        <f t="shared" si="43"/>
        <v>0</v>
      </c>
      <c r="L207" s="12">
        <f t="shared" ref="L207:N209" si="104">IF($E109&gt;L$66,0,IF($E109&lt;L$66-365,$C109,0))</f>
        <v>0</v>
      </c>
      <c r="M207" s="12">
        <f t="shared" si="104"/>
        <v>0</v>
      </c>
      <c r="N207" s="12">
        <f t="shared" si="104"/>
        <v>0</v>
      </c>
      <c r="O207" s="12">
        <f t="shared" si="45"/>
        <v>0</v>
      </c>
      <c r="P207" s="12">
        <f t="shared" ref="P207:Q209" si="105">IF($E109&gt;P$66,0,IF($E109&lt;P$66-365,$C109,0))</f>
        <v>0</v>
      </c>
      <c r="Q207" s="12">
        <f t="shared" si="105"/>
        <v>0</v>
      </c>
      <c r="T207" s="61"/>
      <c r="U207" s="61"/>
      <c r="V207" s="61"/>
      <c r="W207" s="53">
        <f t="shared" si="47"/>
        <v>0</v>
      </c>
      <c r="X207" s="54" t="e">
        <f t="shared" si="56"/>
        <v>#DIV/0!</v>
      </c>
      <c r="Y207" s="54">
        <f t="shared" si="57"/>
        <v>0</v>
      </c>
      <c r="Z207" s="54">
        <f t="shared" si="58"/>
        <v>0</v>
      </c>
      <c r="AA207" s="54">
        <f t="shared" ref="AA207:AK207" si="106">IF($C$63=0,IF($E108+365&lt;$C$56,0,IF($E108&lt;$C$56,(($E108+365-$C$56)/365)*(($C108/$BN$157)),IF($E108&gt;AA$166,0,IF($E108+365&lt;AA$166,($C108/$BN$157),((AA$166-$E108)/365)*(($C108/$BN$157)))))),IF($E108+365&lt;$C$56,0,IF($E108&lt;$C$56,(($E108+365-$C$56)/365)*(($C108/$BN$157)+($D108/$BN$158)),IF($E108&gt;AA$166,0,IF($E108+365&lt;AA$166,($C108/$BN$157)+($D108/$BN$158),((AA$166-$E108)/365)*(($C108/$BN$157)+($D108/$BN$158)))))))</f>
        <v>0</v>
      </c>
      <c r="AB207" s="54">
        <f t="shared" si="106"/>
        <v>0</v>
      </c>
      <c r="AC207" s="54">
        <f t="shared" si="106"/>
        <v>0</v>
      </c>
      <c r="AD207" s="54">
        <f t="shared" si="106"/>
        <v>0</v>
      </c>
      <c r="AE207" s="54">
        <f t="shared" si="106"/>
        <v>0</v>
      </c>
      <c r="AF207" s="54">
        <f t="shared" si="106"/>
        <v>0</v>
      </c>
      <c r="AG207" s="54">
        <f t="shared" si="106"/>
        <v>0</v>
      </c>
      <c r="AH207" s="54">
        <f t="shared" si="106"/>
        <v>0</v>
      </c>
      <c r="AI207" s="54">
        <f t="shared" si="106"/>
        <v>0</v>
      </c>
      <c r="AJ207" s="54">
        <f t="shared" si="106"/>
        <v>0</v>
      </c>
      <c r="AK207" s="54">
        <f t="shared" si="106"/>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3"/>
        <v>0</v>
      </c>
      <c r="I208" s="12">
        <f t="shared" si="103"/>
        <v>0</v>
      </c>
      <c r="J208" s="12">
        <f t="shared" si="103"/>
        <v>0</v>
      </c>
      <c r="K208" s="12">
        <f t="shared" si="43"/>
        <v>0</v>
      </c>
      <c r="L208" s="12">
        <f t="shared" si="104"/>
        <v>0</v>
      </c>
      <c r="M208" s="12">
        <f t="shared" si="104"/>
        <v>0</v>
      </c>
      <c r="N208" s="12">
        <f t="shared" si="104"/>
        <v>0</v>
      </c>
      <c r="O208" s="12">
        <f t="shared" si="45"/>
        <v>0</v>
      </c>
      <c r="P208" s="12">
        <f t="shared" si="105"/>
        <v>0</v>
      </c>
      <c r="Q208" s="12">
        <f t="shared" si="105"/>
        <v>0</v>
      </c>
      <c r="T208" s="61"/>
      <c r="U208" s="61"/>
      <c r="V208" s="61"/>
      <c r="W208" s="53">
        <f t="shared" si="47"/>
        <v>0</v>
      </c>
      <c r="X208" s="54" t="e">
        <f t="shared" si="56"/>
        <v>#DIV/0!</v>
      </c>
      <c r="Y208" s="54">
        <f t="shared" si="57"/>
        <v>0</v>
      </c>
      <c r="Z208" s="54">
        <f t="shared" si="58"/>
        <v>0</v>
      </c>
      <c r="AA208" s="54">
        <f t="shared" ref="AA208:AK208" si="107">IF($C$63=0,IF($E109+365&lt;$C$56,0,IF($E109&lt;$C$56,(($E109+365-$C$56)/365)*(($C109/$BN$157)),IF($E109&gt;AA$166,0,IF($E109+365&lt;AA$166,($C109/$BN$157),((AA$166-$E109)/365)*(($C109/$BN$157)))))),IF($E109+365&lt;$C$56,0,IF($E109&lt;$C$56,(($E109+365-$C$56)/365)*(($C109/$BN$157)+($D109/$BN$158)),IF($E109&gt;AA$166,0,IF($E109+365&lt;AA$166,($C109/$BN$157)+($D109/$BN$158),((AA$166-$E109)/365)*(($C109/$BN$157)+($D109/$BN$158)))))))</f>
        <v>0</v>
      </c>
      <c r="AB208" s="54">
        <f t="shared" si="107"/>
        <v>0</v>
      </c>
      <c r="AC208" s="54">
        <f t="shared" si="107"/>
        <v>0</v>
      </c>
      <c r="AD208" s="54">
        <f t="shared" si="107"/>
        <v>0</v>
      </c>
      <c r="AE208" s="54">
        <f t="shared" si="107"/>
        <v>0</v>
      </c>
      <c r="AF208" s="54">
        <f t="shared" si="107"/>
        <v>0</v>
      </c>
      <c r="AG208" s="54">
        <f t="shared" si="107"/>
        <v>0</v>
      </c>
      <c r="AH208" s="54">
        <f t="shared" si="107"/>
        <v>0</v>
      </c>
      <c r="AI208" s="54">
        <f t="shared" si="107"/>
        <v>0</v>
      </c>
      <c r="AJ208" s="54">
        <f t="shared" si="107"/>
        <v>0</v>
      </c>
      <c r="AK208" s="54">
        <f t="shared" si="107"/>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3"/>
        <v>0</v>
      </c>
      <c r="I209" s="12">
        <f t="shared" si="103"/>
        <v>0</v>
      </c>
      <c r="J209" s="12">
        <f t="shared" si="103"/>
        <v>0</v>
      </c>
      <c r="K209" s="12">
        <f t="shared" si="43"/>
        <v>0</v>
      </c>
      <c r="L209" s="12">
        <f t="shared" si="104"/>
        <v>0</v>
      </c>
      <c r="M209" s="12">
        <f t="shared" si="104"/>
        <v>0</v>
      </c>
      <c r="N209" s="12">
        <f t="shared" si="104"/>
        <v>0</v>
      </c>
      <c r="O209" s="12">
        <f t="shared" si="45"/>
        <v>0</v>
      </c>
      <c r="P209" s="12">
        <f t="shared" si="105"/>
        <v>0</v>
      </c>
      <c r="Q209" s="12">
        <f t="shared" si="105"/>
        <v>0</v>
      </c>
      <c r="T209" s="61"/>
      <c r="U209" s="61"/>
      <c r="V209" s="61"/>
      <c r="W209" s="53">
        <f t="shared" si="47"/>
        <v>0</v>
      </c>
      <c r="X209" s="54" t="e">
        <f t="shared" si="56"/>
        <v>#DIV/0!</v>
      </c>
      <c r="Y209" s="54">
        <f t="shared" si="57"/>
        <v>0</v>
      </c>
      <c r="Z209" s="54">
        <f t="shared" si="58"/>
        <v>0</v>
      </c>
      <c r="AA209" s="54">
        <f t="shared" ref="AA209:AK209" si="108">IF($C$63=0,IF($E110+365&lt;$C$56,0,IF($E110&lt;$C$56,(($E110+365-$C$56)/365)*(($C110/$BN$157)),IF($E110&gt;AA$166,0,IF($E110+365&lt;AA$166,($C110/$BN$157),((AA$166-$E110)/365)*(($C110/$BN$157)))))),IF($E110+365&lt;$C$56,0,IF($E110&lt;$C$56,(($E110+365-$C$56)/365)*(($C110/$BN$157)+($D110/$BN$158)),IF($E110&gt;AA$166,0,IF($E110+365&lt;AA$166,($C110/$BN$157)+($D110/$BN$158),((AA$166-$E110)/365)*(($C110/$BN$157)+($D110/$BN$158)))))))</f>
        <v>0</v>
      </c>
      <c r="AB209" s="54">
        <f t="shared" si="108"/>
        <v>0</v>
      </c>
      <c r="AC209" s="54">
        <f t="shared" si="108"/>
        <v>0</v>
      </c>
      <c r="AD209" s="54">
        <f t="shared" si="108"/>
        <v>0</v>
      </c>
      <c r="AE209" s="54">
        <f t="shared" si="108"/>
        <v>0</v>
      </c>
      <c r="AF209" s="54">
        <f t="shared" si="108"/>
        <v>0</v>
      </c>
      <c r="AG209" s="54">
        <f t="shared" si="108"/>
        <v>0</v>
      </c>
      <c r="AH209" s="54">
        <f t="shared" si="108"/>
        <v>0</v>
      </c>
      <c r="AI209" s="54">
        <f t="shared" si="108"/>
        <v>0</v>
      </c>
      <c r="AJ209" s="54">
        <f t="shared" si="108"/>
        <v>0</v>
      </c>
      <c r="AK209" s="54">
        <f t="shared" si="108"/>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56"/>
        <v>#DIV/0!</v>
      </c>
      <c r="Y210" s="54">
        <f t="shared" si="57"/>
        <v>0</v>
      </c>
      <c r="Z210" s="54">
        <f t="shared" si="58"/>
        <v>0</v>
      </c>
      <c r="AA210" s="54">
        <f t="shared" ref="AA210:AK210" si="109">IF($C$63=0,IF($E111+365&lt;$C$56,0,IF($E111&lt;$C$56,(($E111+365-$C$56)/365)*(($C111/$BN$157)),IF($E111&gt;AA$166,0,IF($E111+365&lt;AA$166,($C111/$BN$157),((AA$166-$E111)/365)*(($C111/$BN$157)))))),IF($E111+365&lt;$C$56,0,IF($E111&lt;$C$56,(($E111+365-$C$56)/365)*(($C111/$BN$157)+($D111/$BN$158)),IF($E111&gt;AA$166,0,IF($E111+365&lt;AA$166,($C111/$BN$157)+($D111/$BN$158),((AA$166-$E111)/365)*(($C111/$BN$157)+($D111/$BN$158)))))))</f>
        <v>0</v>
      </c>
      <c r="AB210" s="54">
        <f t="shared" si="109"/>
        <v>0</v>
      </c>
      <c r="AC210" s="54">
        <f t="shared" si="109"/>
        <v>0</v>
      </c>
      <c r="AD210" s="54">
        <f t="shared" si="109"/>
        <v>0</v>
      </c>
      <c r="AE210" s="54">
        <f t="shared" si="109"/>
        <v>0</v>
      </c>
      <c r="AF210" s="54">
        <f t="shared" si="109"/>
        <v>0</v>
      </c>
      <c r="AG210" s="54">
        <f t="shared" si="109"/>
        <v>0</v>
      </c>
      <c r="AH210" s="54">
        <f t="shared" si="109"/>
        <v>0</v>
      </c>
      <c r="AI210" s="54">
        <f t="shared" si="109"/>
        <v>0</v>
      </c>
      <c r="AJ210" s="54">
        <f t="shared" si="109"/>
        <v>0</v>
      </c>
      <c r="AK210" s="54">
        <f t="shared" si="109"/>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56"/>
        <v>#DIV/0!</v>
      </c>
      <c r="Y211" s="54">
        <f t="shared" si="57"/>
        <v>0</v>
      </c>
      <c r="Z211" s="54">
        <f t="shared" si="58"/>
        <v>0</v>
      </c>
      <c r="AA211" s="54">
        <f t="shared" ref="AA211:AK211" si="110">IF($C$63=0,IF($E112+365&lt;$C$56,0,IF($E112&lt;$C$56,(($E112+365-$C$56)/365)*(($C112/$BN$157)),IF($E112&gt;AA$166,0,IF($E112+365&lt;AA$166,($C112/$BN$157),((AA$166-$E112)/365)*(($C112/$BN$157)))))),IF($E112+365&lt;$C$56,0,IF($E112&lt;$C$56,(($E112+365-$C$56)/365)*(($C112/$BN$157)+($D112/$BN$158)),IF($E112&gt;AA$166,0,IF($E112+365&lt;AA$166,($C112/$BN$157)+($D112/$BN$158),((AA$166-$E112)/365)*(($C112/$BN$157)+($D112/$BN$158)))))))</f>
        <v>0</v>
      </c>
      <c r="AB211" s="54">
        <f t="shared" si="110"/>
        <v>0</v>
      </c>
      <c r="AC211" s="54">
        <f t="shared" si="110"/>
        <v>0</v>
      </c>
      <c r="AD211" s="54">
        <f t="shared" si="110"/>
        <v>0</v>
      </c>
      <c r="AE211" s="54">
        <f t="shared" si="110"/>
        <v>0</v>
      </c>
      <c r="AF211" s="54">
        <f t="shared" si="110"/>
        <v>0</v>
      </c>
      <c r="AG211" s="54">
        <f t="shared" si="110"/>
        <v>0</v>
      </c>
      <c r="AH211" s="54">
        <f t="shared" si="110"/>
        <v>0</v>
      </c>
      <c r="AI211" s="54">
        <f t="shared" si="110"/>
        <v>0</v>
      </c>
      <c r="AJ211" s="54">
        <f t="shared" si="110"/>
        <v>0</v>
      </c>
      <c r="AK211" s="54">
        <f t="shared" si="110"/>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t="e">
        <f t="shared" ref="X212:X213" si="111">-1*F113/W212</f>
        <v>#DIV/0!</v>
      </c>
      <c r="Y212" s="54">
        <f t="shared" si="57"/>
        <v>0</v>
      </c>
      <c r="Z212" s="54">
        <f t="shared" si="58"/>
        <v>0</v>
      </c>
      <c r="AA212" s="54">
        <f t="shared" ref="AA212:AK212" si="112">IF($C$63=0,IF($E113+365&lt;$C$56,0,IF($E113&lt;$C$56,(($E113+365-$C$56)/365)*(($C113/$BN$157)),IF($E113&gt;AA$166,0,IF($E113+365&lt;AA$166,($C113/$BN$157),((AA$166-$E113)/365)*(($C113/$BN$157)))))),IF($E113+365&lt;$C$56,0,IF($E113&lt;$C$56,(($E113+365-$C$56)/365)*(($C113/$BN$157)+($D113/$BN$158)),IF($E113&gt;AA$166,0,IF($E113+365&lt;AA$166,($C113/$BN$157)+($D113/$BN$158),((AA$166-$E113)/365)*(($C113/$BN$157)+($D113/$BN$158)))))))</f>
        <v>0</v>
      </c>
      <c r="AB212" s="54">
        <f t="shared" si="112"/>
        <v>0</v>
      </c>
      <c r="AC212" s="54">
        <f t="shared" si="112"/>
        <v>0</v>
      </c>
      <c r="AD212" s="54">
        <f t="shared" si="112"/>
        <v>0</v>
      </c>
      <c r="AE212" s="54">
        <f t="shared" si="112"/>
        <v>0</v>
      </c>
      <c r="AF212" s="54">
        <f t="shared" si="112"/>
        <v>0</v>
      </c>
      <c r="AG212" s="54">
        <f t="shared" si="112"/>
        <v>0</v>
      </c>
      <c r="AH212" s="54">
        <f t="shared" si="112"/>
        <v>0</v>
      </c>
      <c r="AI212" s="54">
        <f t="shared" si="112"/>
        <v>0</v>
      </c>
      <c r="AJ212" s="54">
        <f t="shared" si="112"/>
        <v>0</v>
      </c>
      <c r="AK212" s="54">
        <f t="shared" si="112"/>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t="e">
        <f t="shared" si="111"/>
        <v>#DIV/0!</v>
      </c>
      <c r="Y213" s="54">
        <f t="shared" si="57"/>
        <v>0</v>
      </c>
      <c r="Z213" s="54">
        <f t="shared" si="58"/>
        <v>0</v>
      </c>
      <c r="AA213" s="54">
        <f t="shared" ref="AA213:AK213" si="113">IF($C$63=0,IF($E114+365&lt;$C$56,0,IF($E114&lt;$C$56,(($E114+365-$C$56)/365)*(($C114/$BN$157)),IF($E114&gt;AA$166,0,IF($E114+365&lt;AA$166,($C114/$BN$157),((AA$166-$E114)/365)*(($C114/$BN$157)))))),IF($E114+365&lt;$C$56,0,IF($E114&lt;$C$56,(($E114+365-$C$56)/365)*(($C114/$BN$157)+($D114/$BN$158)),IF($E114&gt;AA$166,0,IF($E114+365&lt;AA$166,($C114/$BN$157)+($D114/$BN$158),((AA$166-$E114)/365)*(($C114/$BN$157)+($D114/$BN$158)))))))</f>
        <v>0</v>
      </c>
      <c r="AB213" s="54">
        <f t="shared" si="113"/>
        <v>0</v>
      </c>
      <c r="AC213" s="54">
        <f t="shared" si="113"/>
        <v>0</v>
      </c>
      <c r="AD213" s="54">
        <f t="shared" si="113"/>
        <v>0</v>
      </c>
      <c r="AE213" s="54">
        <f t="shared" si="113"/>
        <v>0</v>
      </c>
      <c r="AF213" s="54">
        <f t="shared" si="113"/>
        <v>0</v>
      </c>
      <c r="AG213" s="54">
        <f t="shared" si="113"/>
        <v>0</v>
      </c>
      <c r="AH213" s="54">
        <f t="shared" si="113"/>
        <v>0</v>
      </c>
      <c r="AI213" s="54">
        <f t="shared" si="113"/>
        <v>0</v>
      </c>
      <c r="AJ213" s="54">
        <f t="shared" si="113"/>
        <v>0</v>
      </c>
      <c r="AK213" s="54">
        <f t="shared" si="113"/>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0</v>
      </c>
      <c r="H214" s="187">
        <f t="shared" ref="H214:Q214" si="114">SUM(H167:H213)</f>
        <v>0</v>
      </c>
      <c r="I214" s="187">
        <f t="shared" si="114"/>
        <v>0</v>
      </c>
      <c r="J214" s="187">
        <f t="shared" si="114"/>
        <v>0</v>
      </c>
      <c r="K214" s="187">
        <f t="shared" si="114"/>
        <v>-41</v>
      </c>
      <c r="L214" s="187">
        <f t="shared" si="114"/>
        <v>-41</v>
      </c>
      <c r="M214" s="187">
        <f t="shared" si="114"/>
        <v>-41</v>
      </c>
      <c r="N214" s="187">
        <f t="shared" si="114"/>
        <v>-41</v>
      </c>
      <c r="O214" s="187">
        <f t="shared" si="114"/>
        <v>-41</v>
      </c>
      <c r="P214" s="187">
        <f t="shared" si="114"/>
        <v>-41</v>
      </c>
      <c r="Q214" s="187">
        <f t="shared" si="114"/>
        <v>-41</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-2.3024518136313192</v>
      </c>
      <c r="AF214" s="155">
        <f>VLOOKUP($A$2,Assumptions!$B$124:$G$147,6,0)*SUM(AF167:AF213)</f>
        <v>-2.3024518136313192</v>
      </c>
      <c r="AG214" s="155">
        <f>VLOOKUP($A$2,Assumptions!$B$124:$G$147,6,0)*SUM(AG167:AG213)</f>
        <v>-2.3024518136313192</v>
      </c>
      <c r="AH214" s="155">
        <f>VLOOKUP($A$2,Assumptions!$B$124:$G$147,6,0)*SUM(AH167:AH213)</f>
        <v>-2.3024518136313192</v>
      </c>
      <c r="AI214" s="155">
        <f>VLOOKUP($A$2,Assumptions!$B$124:$G$147,6,0)*SUM(AI167:AI213)</f>
        <v>-2.3024518136313192</v>
      </c>
      <c r="AJ214" s="155">
        <f>VLOOKUP($A$2,Assumptions!$B$124:$G$147,6,0)*SUM(AJ167:AJ213)</f>
        <v>-2.3024518136313192</v>
      </c>
      <c r="AK214" s="155">
        <f>VLOOKUP($A$2,Assumptions!$B$124:$G$147,6,0)*SUM(AK167:AK213)</f>
        <v>-2.3024518136313192</v>
      </c>
      <c r="AL214" s="155">
        <f>VLOOKUP($A$2,Assumptions!$B$124:$G$147,6,0)*SUM(AL167:AL213)</f>
        <v>-83.25</v>
      </c>
      <c r="AM214" s="155">
        <f>VLOOKUP($A$2,Assumptions!$B$124:$G$147,6,0)*SUM(AM167:AM213)</f>
        <v>0</v>
      </c>
      <c r="AN214" s="55">
        <f>SUM(AN167:AN213)</f>
        <v>711550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67</v>
      </c>
      <c r="AA215" s="156">
        <f>$C$64+AA214</f>
        <v>67</v>
      </c>
      <c r="AB215" s="156">
        <f t="shared" ref="AB215:AE215" si="115">$C$64+AB214</f>
        <v>67</v>
      </c>
      <c r="AC215" s="156">
        <f t="shared" si="115"/>
        <v>67</v>
      </c>
      <c r="AD215" s="156">
        <f t="shared" si="115"/>
        <v>67</v>
      </c>
      <c r="AE215" s="156">
        <f t="shared" si="115"/>
        <v>64.697548186368678</v>
      </c>
      <c r="AF215" s="156">
        <f>$C$64+AF214</f>
        <v>64.697548186368678</v>
      </c>
      <c r="AG215" s="156">
        <f t="shared" ref="AG215:AJ215" si="116">$C$64+AG214</f>
        <v>64.697548186368678</v>
      </c>
      <c r="AH215" s="156">
        <f>$C$64+AH214</f>
        <v>64.697548186368678</v>
      </c>
      <c r="AI215" s="156">
        <f t="shared" si="116"/>
        <v>64.697548186368678</v>
      </c>
      <c r="AJ215" s="156">
        <f t="shared" si="116"/>
        <v>64.697548186368678</v>
      </c>
      <c r="AK215" s="156">
        <f t="shared" ref="AK215" si="117">$C$64+AK214</f>
        <v>64.697548186368678</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8">IF(Z215&lt;$BB$154,(6+(1-Z215/$BB$154)),IF(Z215&lt;$BB$155,5.5+(0.5*(($BB$155-Z215)/($BB$155-$BB$154))),(5-0.5*((Z215)-$BB$156)/($BB$156-$BB$155))))</f>
        <v>5.1171842068287203</v>
      </c>
      <c r="AA216" s="154">
        <f t="shared" si="118"/>
        <v>5.1171842068287203</v>
      </c>
      <c r="AB216" s="154">
        <f t="shared" si="118"/>
        <v>5.1171842068287203</v>
      </c>
      <c r="AC216" s="154">
        <f t="shared" si="118"/>
        <v>5.1171842068287203</v>
      </c>
      <c r="AD216" s="154">
        <f t="shared" si="118"/>
        <v>5.1171842068287203</v>
      </c>
      <c r="AE216" s="154">
        <f t="shared" si="118"/>
        <v>5.1818870820185845</v>
      </c>
      <c r="AF216" s="154">
        <f t="shared" si="118"/>
        <v>5.1818870820185845</v>
      </c>
      <c r="AG216" s="154">
        <f>IF(AG215&lt;$BB$154,(6+(1-AG215/$BB$154)),IF(AG215&lt;$BB$155,5.5+(0.5*(($BB$155-AG215)/($BB$155-$BB$154))),(5-0.5*((AG215)-$BB$156)/($BB$156-$BB$155))))</f>
        <v>5.1818870820185845</v>
      </c>
      <c r="AH216" s="154">
        <f t="shared" si="118"/>
        <v>5.1818870820185845</v>
      </c>
      <c r="AI216" s="154">
        <f t="shared" si="118"/>
        <v>5.1818870820185845</v>
      </c>
      <c r="AJ216" s="154">
        <f t="shared" si="118"/>
        <v>5.1818870820185845</v>
      </c>
      <c r="AK216" s="154">
        <f>IF(AK215&lt;$BB$154,(6+(1-AK215/$BB$154)),IF(AK215&lt;$BB$155,5.5+(0.5*(($BB$155-AK215)/($BB$155-$BB$154))),(5-0.5*((AK215)-$BB$156)/($BB$156-$BB$155))))</f>
        <v>5.1818870820185845</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9">IF($E69&lt;G$66,$D69,0)</f>
        <v>0</v>
      </c>
      <c r="H220" s="12">
        <f t="shared" ref="H220:Q220" si="120">IF($E69&gt;H$66,0,IF($E69&lt;H$66-365,$D69,0))</f>
        <v>0</v>
      </c>
      <c r="I220" s="12">
        <f t="shared" si="120"/>
        <v>0</v>
      </c>
      <c r="J220" s="12">
        <f t="shared" si="120"/>
        <v>0</v>
      </c>
      <c r="K220" s="12">
        <f t="shared" si="120"/>
        <v>0</v>
      </c>
      <c r="L220" s="12">
        <f t="shared" si="120"/>
        <v>0</v>
      </c>
      <c r="M220" s="12">
        <f t="shared" si="120"/>
        <v>0</v>
      </c>
      <c r="N220" s="12">
        <f t="shared" si="120"/>
        <v>0</v>
      </c>
      <c r="O220" s="12">
        <f t="shared" si="120"/>
        <v>0</v>
      </c>
      <c r="P220" s="12">
        <f t="shared" si="120"/>
        <v>0</v>
      </c>
      <c r="Q220" s="12">
        <f t="shared" si="120"/>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9"/>
        <v>0</v>
      </c>
      <c r="H221" s="12">
        <f t="shared" ref="H221:Q221" si="121">IF($E70&gt;H$66,0,IF($E70&lt;H$66-365,$D70,0))</f>
        <v>0</v>
      </c>
      <c r="I221" s="12">
        <f t="shared" si="121"/>
        <v>0</v>
      </c>
      <c r="J221" s="12">
        <f t="shared" si="121"/>
        <v>0</v>
      </c>
      <c r="K221" s="12">
        <f t="shared" si="121"/>
        <v>0</v>
      </c>
      <c r="L221" s="12">
        <f t="shared" si="121"/>
        <v>0</v>
      </c>
      <c r="M221" s="12">
        <f t="shared" si="121"/>
        <v>0</v>
      </c>
      <c r="N221" s="12">
        <f t="shared" si="121"/>
        <v>0</v>
      </c>
      <c r="O221" s="12">
        <f t="shared" si="121"/>
        <v>0</v>
      </c>
      <c r="P221" s="12">
        <f t="shared" si="121"/>
        <v>0</v>
      </c>
      <c r="Q221" s="12">
        <f t="shared" si="12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9"/>
        <v>0</v>
      </c>
      <c r="H222" s="12">
        <f t="shared" ref="H222:Q222" si="122">IF($E71&gt;H$66,0,IF($E71&lt;H$66-365,$D71,0))</f>
        <v>0</v>
      </c>
      <c r="I222" s="12">
        <f t="shared" si="122"/>
        <v>0</v>
      </c>
      <c r="J222" s="12">
        <f t="shared" si="122"/>
        <v>0</v>
      </c>
      <c r="K222" s="12">
        <f t="shared" si="122"/>
        <v>0</v>
      </c>
      <c r="L222" s="12">
        <f t="shared" si="122"/>
        <v>0</v>
      </c>
      <c r="M222" s="12">
        <f t="shared" si="122"/>
        <v>0</v>
      </c>
      <c r="N222" s="12">
        <f t="shared" si="122"/>
        <v>0</v>
      </c>
      <c r="O222" s="12">
        <f t="shared" si="122"/>
        <v>0</v>
      </c>
      <c r="P222" s="12">
        <f t="shared" si="122"/>
        <v>0</v>
      </c>
      <c r="Q222" s="12">
        <f t="shared" si="122"/>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9"/>
        <v>0</v>
      </c>
      <c r="H223" s="12">
        <f t="shared" ref="H223:Q223" si="123">IF($E72&gt;H$66,0,IF($E72&lt;H$66-365,$D72,0))</f>
        <v>0</v>
      </c>
      <c r="I223" s="12">
        <f t="shared" si="123"/>
        <v>0</v>
      </c>
      <c r="J223" s="12">
        <f t="shared" si="123"/>
        <v>0</v>
      </c>
      <c r="K223" s="12">
        <f t="shared" si="123"/>
        <v>0</v>
      </c>
      <c r="L223" s="12">
        <f t="shared" si="123"/>
        <v>0</v>
      </c>
      <c r="M223" s="12">
        <f t="shared" si="123"/>
        <v>0</v>
      </c>
      <c r="N223" s="12">
        <f t="shared" si="123"/>
        <v>0</v>
      </c>
      <c r="O223" s="12">
        <f t="shared" si="123"/>
        <v>0</v>
      </c>
      <c r="P223" s="12">
        <f t="shared" si="123"/>
        <v>0</v>
      </c>
      <c r="Q223" s="12">
        <f t="shared" si="123"/>
        <v>0</v>
      </c>
      <c r="T223" s="20"/>
      <c r="U223" s="20"/>
      <c r="V223" s="20"/>
    </row>
    <row r="224" spans="6:51">
      <c r="G224" s="12">
        <f t="shared" si="119"/>
        <v>0</v>
      </c>
      <c r="H224" s="12">
        <f t="shared" ref="H224:Q224" si="124">IF($E73&gt;H$66,0,IF($E73&lt;H$66-365,$D73,0))</f>
        <v>0</v>
      </c>
      <c r="I224" s="12">
        <f t="shared" si="124"/>
        <v>0</v>
      </c>
      <c r="J224" s="12">
        <f t="shared" si="124"/>
        <v>0</v>
      </c>
      <c r="K224" s="12">
        <f t="shared" si="124"/>
        <v>0</v>
      </c>
      <c r="L224" s="12">
        <f t="shared" si="124"/>
        <v>0</v>
      </c>
      <c r="M224" s="12">
        <f t="shared" si="124"/>
        <v>0</v>
      </c>
      <c r="N224" s="12">
        <f t="shared" si="124"/>
        <v>0</v>
      </c>
      <c r="O224" s="12">
        <f t="shared" si="124"/>
        <v>0</v>
      </c>
      <c r="P224" s="12">
        <f t="shared" si="124"/>
        <v>0</v>
      </c>
      <c r="Q224" s="12">
        <f t="shared" si="124"/>
        <v>0</v>
      </c>
      <c r="T224" s="20"/>
      <c r="U224" s="20"/>
      <c r="V224" s="20"/>
    </row>
    <row r="225" spans="7:28">
      <c r="G225" s="12">
        <f t="shared" si="119"/>
        <v>0</v>
      </c>
      <c r="H225" s="12">
        <f t="shared" ref="H225:Q225" si="125">IF($E74&gt;H$66,0,IF($E74&lt;H$66-365,$D74,0))</f>
        <v>0</v>
      </c>
      <c r="I225" s="12">
        <f t="shared" si="125"/>
        <v>0</v>
      </c>
      <c r="J225" s="12">
        <f t="shared" si="125"/>
        <v>0</v>
      </c>
      <c r="K225" s="12">
        <f t="shared" si="125"/>
        <v>0</v>
      </c>
      <c r="L225" s="12">
        <f t="shared" si="125"/>
        <v>0</v>
      </c>
      <c r="M225" s="12">
        <f t="shared" si="125"/>
        <v>0</v>
      </c>
      <c r="N225" s="12">
        <f t="shared" si="125"/>
        <v>0</v>
      </c>
      <c r="O225" s="12">
        <f t="shared" si="125"/>
        <v>0</v>
      </c>
      <c r="P225" s="12">
        <f t="shared" si="125"/>
        <v>0</v>
      </c>
      <c r="Q225" s="12">
        <f t="shared" si="125"/>
        <v>0</v>
      </c>
      <c r="T225" s="20"/>
      <c r="U225" s="20"/>
      <c r="V225" s="20"/>
      <c r="AA225" s="55">
        <f>SUM(AN167:AN213)</f>
        <v>711550</v>
      </c>
      <c r="AB225" s="24">
        <f>SUM(AO167:AO213)</f>
        <v>0</v>
      </c>
    </row>
    <row r="226" spans="7:28">
      <c r="G226" s="12">
        <f t="shared" si="119"/>
        <v>0</v>
      </c>
      <c r="H226" s="12">
        <f t="shared" ref="H226:Q226" si="126">IF($E75&gt;H$66,0,IF($E75&lt;H$66-365,$D75,0))</f>
        <v>0</v>
      </c>
      <c r="I226" s="12">
        <f t="shared" si="126"/>
        <v>0</v>
      </c>
      <c r="J226" s="12">
        <f t="shared" si="126"/>
        <v>0</v>
      </c>
      <c r="K226" s="12">
        <f t="shared" si="126"/>
        <v>0</v>
      </c>
      <c r="L226" s="12">
        <f t="shared" si="126"/>
        <v>0</v>
      </c>
      <c r="M226" s="12">
        <f t="shared" si="126"/>
        <v>0</v>
      </c>
      <c r="N226" s="12">
        <f t="shared" si="126"/>
        <v>0</v>
      </c>
      <c r="O226" s="12">
        <f t="shared" si="126"/>
        <v>0</v>
      </c>
      <c r="P226" s="12">
        <f t="shared" si="126"/>
        <v>0</v>
      </c>
      <c r="Q226" s="12">
        <f t="shared" si="126"/>
        <v>0</v>
      </c>
      <c r="T226" s="20"/>
      <c r="U226" s="20"/>
      <c r="V226" s="20"/>
      <c r="AA226" s="24">
        <f>AA225*1.35</f>
        <v>960592.50000000012</v>
      </c>
      <c r="AB226" s="24">
        <f>AB225*1.35</f>
        <v>0</v>
      </c>
    </row>
    <row r="227" spans="7:28">
      <c r="G227" s="12">
        <f t="shared" si="119"/>
        <v>0</v>
      </c>
      <c r="H227" s="12">
        <f t="shared" ref="H227:Q227" si="127">IF($E76&gt;H$66,0,IF($E76&lt;H$66-365,$D76,0))</f>
        <v>0</v>
      </c>
      <c r="I227" s="12">
        <f t="shared" si="127"/>
        <v>0</v>
      </c>
      <c r="J227" s="12">
        <f t="shared" si="127"/>
        <v>0</v>
      </c>
      <c r="K227" s="12">
        <f t="shared" si="127"/>
        <v>0</v>
      </c>
      <c r="L227" s="12">
        <f t="shared" si="127"/>
        <v>0</v>
      </c>
      <c r="M227" s="12">
        <f t="shared" si="127"/>
        <v>0</v>
      </c>
      <c r="N227" s="12">
        <f t="shared" si="127"/>
        <v>0</v>
      </c>
      <c r="O227" s="12">
        <f t="shared" si="127"/>
        <v>0</v>
      </c>
      <c r="P227" s="12">
        <f t="shared" si="127"/>
        <v>0</v>
      </c>
      <c r="Q227" s="12">
        <f t="shared" si="127"/>
        <v>0</v>
      </c>
    </row>
    <row r="228" spans="7:28">
      <c r="G228" s="12">
        <f t="shared" si="119"/>
        <v>0</v>
      </c>
      <c r="H228" s="12">
        <f t="shared" ref="H228:Q228" si="128">IF($E77&gt;H$66,0,IF($E77&lt;H$66-365,$D77,0))</f>
        <v>0</v>
      </c>
      <c r="I228" s="12">
        <f t="shared" si="128"/>
        <v>0</v>
      </c>
      <c r="J228" s="12">
        <f t="shared" si="128"/>
        <v>0</v>
      </c>
      <c r="K228" s="12">
        <f t="shared" si="128"/>
        <v>0</v>
      </c>
      <c r="L228" s="12">
        <f t="shared" si="128"/>
        <v>0</v>
      </c>
      <c r="M228" s="12">
        <f t="shared" si="128"/>
        <v>0</v>
      </c>
      <c r="N228" s="12">
        <f t="shared" si="128"/>
        <v>0</v>
      </c>
      <c r="O228" s="12">
        <f t="shared" si="128"/>
        <v>0</v>
      </c>
      <c r="P228" s="12">
        <f t="shared" si="128"/>
        <v>0</v>
      </c>
      <c r="Q228" s="12">
        <f t="shared" si="128"/>
        <v>0</v>
      </c>
    </row>
    <row r="229" spans="7:28">
      <c r="G229" s="12">
        <f t="shared" si="119"/>
        <v>0</v>
      </c>
      <c r="H229" s="12">
        <f t="shared" ref="H229:Q229" si="129">IF($E78&gt;H$66,0,IF($E78&lt;H$66-365,$D78,0))</f>
        <v>0</v>
      </c>
      <c r="I229" s="12">
        <f t="shared" si="129"/>
        <v>0</v>
      </c>
      <c r="J229" s="12">
        <f t="shared" si="129"/>
        <v>0</v>
      </c>
      <c r="K229" s="12">
        <f t="shared" si="129"/>
        <v>0</v>
      </c>
      <c r="L229" s="12">
        <f t="shared" si="129"/>
        <v>0</v>
      </c>
      <c r="M229" s="12">
        <f t="shared" si="129"/>
        <v>0</v>
      </c>
      <c r="N229" s="12">
        <f t="shared" si="129"/>
        <v>0</v>
      </c>
      <c r="O229" s="12">
        <f t="shared" si="129"/>
        <v>0</v>
      </c>
      <c r="P229" s="12">
        <f t="shared" si="129"/>
        <v>0</v>
      </c>
      <c r="Q229" s="12">
        <f t="shared" si="129"/>
        <v>0</v>
      </c>
    </row>
    <row r="230" spans="7:28">
      <c r="G230" s="12">
        <f t="shared" si="119"/>
        <v>0</v>
      </c>
      <c r="H230" s="12">
        <f t="shared" ref="H230:Q230" si="130">IF($E79&gt;H$66,0,IF($E79&lt;H$66-365,$D79,0))</f>
        <v>0</v>
      </c>
      <c r="I230" s="12">
        <f t="shared" si="130"/>
        <v>0</v>
      </c>
      <c r="J230" s="12">
        <f t="shared" si="130"/>
        <v>0</v>
      </c>
      <c r="K230" s="12">
        <f t="shared" si="130"/>
        <v>0</v>
      </c>
      <c r="L230" s="12">
        <f t="shared" si="130"/>
        <v>0</v>
      </c>
      <c r="M230" s="12">
        <f t="shared" si="130"/>
        <v>0</v>
      </c>
      <c r="N230" s="12">
        <f t="shared" si="130"/>
        <v>0</v>
      </c>
      <c r="O230" s="12">
        <f t="shared" si="130"/>
        <v>0</v>
      </c>
      <c r="P230" s="12">
        <f t="shared" si="130"/>
        <v>0</v>
      </c>
      <c r="Q230" s="12">
        <f t="shared" si="130"/>
        <v>0</v>
      </c>
    </row>
    <row r="231" spans="7:28">
      <c r="G231" s="12">
        <f t="shared" si="119"/>
        <v>0</v>
      </c>
      <c r="H231" s="12">
        <f t="shared" ref="H231:Q231" si="131">IF($E80&gt;H$66,0,IF($E80&lt;H$66-365,$D80,0))</f>
        <v>0</v>
      </c>
      <c r="I231" s="12">
        <f t="shared" si="131"/>
        <v>0</v>
      </c>
      <c r="J231" s="12">
        <f t="shared" si="131"/>
        <v>0</v>
      </c>
      <c r="K231" s="12">
        <f t="shared" si="131"/>
        <v>0</v>
      </c>
      <c r="L231" s="12">
        <f t="shared" si="131"/>
        <v>0</v>
      </c>
      <c r="M231" s="12">
        <f t="shared" si="131"/>
        <v>0</v>
      </c>
      <c r="N231" s="12">
        <f t="shared" si="131"/>
        <v>0</v>
      </c>
      <c r="O231" s="12">
        <f t="shared" si="131"/>
        <v>0</v>
      </c>
      <c r="P231" s="12">
        <f t="shared" si="131"/>
        <v>0</v>
      </c>
      <c r="Q231" s="12">
        <f t="shared" si="131"/>
        <v>0</v>
      </c>
    </row>
    <row r="232" spans="7:28">
      <c r="G232" s="12">
        <f t="shared" si="119"/>
        <v>0</v>
      </c>
      <c r="H232" s="12">
        <f t="shared" ref="H232:Q232" si="132">IF($E81&gt;H$66,0,IF($E81&lt;H$66-365,$D81,0))</f>
        <v>0</v>
      </c>
      <c r="I232" s="12">
        <f t="shared" si="132"/>
        <v>0</v>
      </c>
      <c r="J232" s="12">
        <f t="shared" si="132"/>
        <v>0</v>
      </c>
      <c r="K232" s="12">
        <f t="shared" si="132"/>
        <v>0</v>
      </c>
      <c r="L232" s="12">
        <f t="shared" si="132"/>
        <v>0</v>
      </c>
      <c r="M232" s="12">
        <f t="shared" si="132"/>
        <v>0</v>
      </c>
      <c r="N232" s="12">
        <f t="shared" si="132"/>
        <v>0</v>
      </c>
      <c r="O232" s="12">
        <f t="shared" si="132"/>
        <v>0</v>
      </c>
      <c r="P232" s="12">
        <f t="shared" si="132"/>
        <v>0</v>
      </c>
      <c r="Q232" s="12">
        <f t="shared" si="132"/>
        <v>0</v>
      </c>
    </row>
    <row r="233" spans="7:28">
      <c r="G233" s="12">
        <f t="shared" si="119"/>
        <v>0</v>
      </c>
      <c r="H233" s="12">
        <f t="shared" ref="H233:Q233" si="133">IF($E82&gt;H$66,0,IF($E82&lt;H$66-365,$D82,0))</f>
        <v>0</v>
      </c>
      <c r="I233" s="12">
        <f t="shared" si="133"/>
        <v>0</v>
      </c>
      <c r="J233" s="12">
        <f t="shared" si="133"/>
        <v>0</v>
      </c>
      <c r="K233" s="12">
        <f t="shared" si="133"/>
        <v>0</v>
      </c>
      <c r="L233" s="12">
        <f t="shared" si="133"/>
        <v>0</v>
      </c>
      <c r="M233" s="12">
        <f t="shared" si="133"/>
        <v>0</v>
      </c>
      <c r="N233" s="12">
        <f t="shared" si="133"/>
        <v>0</v>
      </c>
      <c r="O233" s="12">
        <f t="shared" si="133"/>
        <v>0</v>
      </c>
      <c r="P233" s="12">
        <f t="shared" si="133"/>
        <v>0</v>
      </c>
      <c r="Q233" s="12">
        <f t="shared" si="133"/>
        <v>0</v>
      </c>
    </row>
    <row r="234" spans="7:28">
      <c r="G234" s="12">
        <f t="shared" si="119"/>
        <v>0</v>
      </c>
      <c r="H234" s="12">
        <f t="shared" ref="H234:Q234" si="134">IF($E83&gt;H$66,0,IF($E83&lt;H$66-365,$D83,0))</f>
        <v>0</v>
      </c>
      <c r="I234" s="12">
        <f t="shared" si="134"/>
        <v>0</v>
      </c>
      <c r="J234" s="12">
        <f t="shared" si="134"/>
        <v>0</v>
      </c>
      <c r="K234" s="12">
        <f t="shared" si="134"/>
        <v>0</v>
      </c>
      <c r="L234" s="12">
        <f t="shared" si="134"/>
        <v>0</v>
      </c>
      <c r="M234" s="12">
        <f t="shared" si="134"/>
        <v>0</v>
      </c>
      <c r="N234" s="12">
        <f t="shared" si="134"/>
        <v>0</v>
      </c>
      <c r="O234" s="12">
        <f t="shared" si="134"/>
        <v>0</v>
      </c>
      <c r="P234" s="12">
        <f t="shared" si="134"/>
        <v>0</v>
      </c>
      <c r="Q234" s="12">
        <f t="shared" si="134"/>
        <v>0</v>
      </c>
    </row>
    <row r="235" spans="7:28">
      <c r="G235" s="12">
        <f t="shared" si="119"/>
        <v>0</v>
      </c>
      <c r="H235" s="12">
        <f t="shared" ref="H235:Q235" si="135">IF($E84&gt;H$66,0,IF($E84&lt;H$66-365,$D84,0))</f>
        <v>0</v>
      </c>
      <c r="I235" s="12">
        <f t="shared" si="135"/>
        <v>0</v>
      </c>
      <c r="J235" s="12">
        <f t="shared" si="135"/>
        <v>0</v>
      </c>
      <c r="K235" s="12">
        <f t="shared" si="135"/>
        <v>0</v>
      </c>
      <c r="L235" s="12">
        <f t="shared" si="135"/>
        <v>0</v>
      </c>
      <c r="M235" s="12">
        <f t="shared" si="135"/>
        <v>0</v>
      </c>
      <c r="N235" s="12">
        <f t="shared" si="135"/>
        <v>0</v>
      </c>
      <c r="O235" s="12">
        <f t="shared" si="135"/>
        <v>0</v>
      </c>
      <c r="P235" s="12">
        <f t="shared" si="135"/>
        <v>0</v>
      </c>
      <c r="Q235" s="12">
        <f t="shared" si="135"/>
        <v>0</v>
      </c>
    </row>
    <row r="236" spans="7:28">
      <c r="G236" s="12">
        <f t="shared" si="119"/>
        <v>0</v>
      </c>
      <c r="H236" s="12">
        <f t="shared" ref="H236:Q236" si="136">IF($E85&gt;H$66,0,IF($E85&lt;H$66-365,$D85,0))</f>
        <v>0</v>
      </c>
      <c r="I236" s="12">
        <f t="shared" si="136"/>
        <v>0</v>
      </c>
      <c r="J236" s="12">
        <f t="shared" si="136"/>
        <v>0</v>
      </c>
      <c r="K236" s="12">
        <f t="shared" si="136"/>
        <v>0</v>
      </c>
      <c r="L236" s="12">
        <f t="shared" si="136"/>
        <v>0</v>
      </c>
      <c r="M236" s="12">
        <f t="shared" si="136"/>
        <v>0</v>
      </c>
      <c r="N236" s="12">
        <f t="shared" si="136"/>
        <v>0</v>
      </c>
      <c r="O236" s="12">
        <f t="shared" si="136"/>
        <v>0</v>
      </c>
      <c r="P236" s="12">
        <f t="shared" si="136"/>
        <v>0</v>
      </c>
      <c r="Q236" s="12">
        <f t="shared" si="136"/>
        <v>0</v>
      </c>
    </row>
    <row r="237" spans="7:28">
      <c r="G237" s="12">
        <f t="shared" si="119"/>
        <v>0</v>
      </c>
      <c r="H237" s="12">
        <f t="shared" ref="H237:Q237" si="137">IF($E86&gt;H$66,0,IF($E86&lt;H$66-365,$D86,0))</f>
        <v>0</v>
      </c>
      <c r="I237" s="12">
        <f t="shared" si="137"/>
        <v>0</v>
      </c>
      <c r="J237" s="12">
        <f t="shared" si="137"/>
        <v>0</v>
      </c>
      <c r="K237" s="12">
        <f t="shared" si="137"/>
        <v>0</v>
      </c>
      <c r="L237" s="12">
        <f t="shared" si="137"/>
        <v>0</v>
      </c>
      <c r="M237" s="12">
        <f t="shared" si="137"/>
        <v>0</v>
      </c>
      <c r="N237" s="12">
        <f t="shared" si="137"/>
        <v>0</v>
      </c>
      <c r="O237" s="12">
        <f t="shared" si="137"/>
        <v>0</v>
      </c>
      <c r="P237" s="12">
        <f t="shared" si="137"/>
        <v>0</v>
      </c>
      <c r="Q237" s="12">
        <f t="shared" si="137"/>
        <v>0</v>
      </c>
    </row>
    <row r="238" spans="7:28">
      <c r="G238" s="12">
        <f t="shared" si="119"/>
        <v>0</v>
      </c>
      <c r="H238" s="12">
        <f t="shared" ref="H238:Q238" si="138">IF($E87&gt;H$66,0,IF($E87&lt;H$66-365,$D87,0))</f>
        <v>0</v>
      </c>
      <c r="I238" s="12">
        <f t="shared" si="138"/>
        <v>0</v>
      </c>
      <c r="J238" s="12">
        <f t="shared" si="138"/>
        <v>0</v>
      </c>
      <c r="K238" s="12">
        <f t="shared" si="138"/>
        <v>0</v>
      </c>
      <c r="L238" s="12">
        <f t="shared" si="138"/>
        <v>0</v>
      </c>
      <c r="M238" s="12">
        <f t="shared" si="138"/>
        <v>0</v>
      </c>
      <c r="N238" s="12">
        <f t="shared" si="138"/>
        <v>0</v>
      </c>
      <c r="O238" s="12">
        <f t="shared" si="138"/>
        <v>0</v>
      </c>
      <c r="P238" s="12">
        <f t="shared" si="138"/>
        <v>0</v>
      </c>
      <c r="Q238" s="12">
        <f t="shared" si="138"/>
        <v>0</v>
      </c>
    </row>
    <row r="239" spans="7:28">
      <c r="G239" s="12">
        <f t="shared" si="119"/>
        <v>0</v>
      </c>
      <c r="H239" s="12">
        <f t="shared" ref="H239:Q239" si="139">IF($E88&gt;H$66,0,IF($E88&lt;H$66-365,$D88,0))</f>
        <v>0</v>
      </c>
      <c r="I239" s="12">
        <f t="shared" si="139"/>
        <v>0</v>
      </c>
      <c r="J239" s="12">
        <f t="shared" si="139"/>
        <v>0</v>
      </c>
      <c r="K239" s="12">
        <f t="shared" si="139"/>
        <v>0</v>
      </c>
      <c r="L239" s="12">
        <f t="shared" si="139"/>
        <v>0</v>
      </c>
      <c r="M239" s="12">
        <f t="shared" si="139"/>
        <v>0</v>
      </c>
      <c r="N239" s="12">
        <f t="shared" si="139"/>
        <v>0</v>
      </c>
      <c r="O239" s="12">
        <f t="shared" si="139"/>
        <v>0</v>
      </c>
      <c r="P239" s="12">
        <f t="shared" si="139"/>
        <v>0</v>
      </c>
      <c r="Q239" s="12">
        <f t="shared" si="139"/>
        <v>0</v>
      </c>
    </row>
    <row r="240" spans="7:28">
      <c r="G240" s="12">
        <f t="shared" si="119"/>
        <v>0</v>
      </c>
      <c r="H240" s="12">
        <f t="shared" ref="H240:Q240" si="140">IF($E89&gt;H$66,0,IF($E89&lt;H$66-365,$D89,0))</f>
        <v>0</v>
      </c>
      <c r="I240" s="12">
        <f t="shared" si="140"/>
        <v>0</v>
      </c>
      <c r="J240" s="12">
        <f t="shared" si="140"/>
        <v>0</v>
      </c>
      <c r="K240" s="12">
        <f t="shared" si="140"/>
        <v>0</v>
      </c>
      <c r="L240" s="12">
        <f t="shared" si="140"/>
        <v>0</v>
      </c>
      <c r="M240" s="12">
        <f t="shared" si="140"/>
        <v>0</v>
      </c>
      <c r="N240" s="12">
        <f t="shared" si="140"/>
        <v>0</v>
      </c>
      <c r="O240" s="12">
        <f t="shared" si="140"/>
        <v>0</v>
      </c>
      <c r="P240" s="12">
        <f t="shared" si="140"/>
        <v>0</v>
      </c>
      <c r="Q240" s="12">
        <f t="shared" si="140"/>
        <v>0</v>
      </c>
    </row>
    <row r="241" spans="7:17">
      <c r="G241" s="12">
        <f t="shared" si="119"/>
        <v>0</v>
      </c>
      <c r="H241" s="12">
        <f t="shared" ref="H241:Q241" si="141">IF($E90&gt;H$66,0,IF($E90&lt;H$66-365,$D90,0))</f>
        <v>0</v>
      </c>
      <c r="I241" s="12">
        <f t="shared" si="141"/>
        <v>0</v>
      </c>
      <c r="J241" s="12">
        <f t="shared" si="141"/>
        <v>0</v>
      </c>
      <c r="K241" s="12">
        <f t="shared" si="141"/>
        <v>0</v>
      </c>
      <c r="L241" s="12">
        <f t="shared" si="141"/>
        <v>0</v>
      </c>
      <c r="M241" s="12">
        <f t="shared" si="141"/>
        <v>0</v>
      </c>
      <c r="N241" s="12">
        <f t="shared" si="141"/>
        <v>0</v>
      </c>
      <c r="O241" s="12">
        <f t="shared" si="141"/>
        <v>0</v>
      </c>
      <c r="P241" s="12">
        <f t="shared" si="141"/>
        <v>0</v>
      </c>
      <c r="Q241" s="12">
        <f t="shared" si="141"/>
        <v>0</v>
      </c>
    </row>
    <row r="242" spans="7:17">
      <c r="G242" s="12">
        <f t="shared" si="119"/>
        <v>0</v>
      </c>
      <c r="H242" s="12">
        <f t="shared" ref="H242:Q242" si="142">IF($E91&gt;H$66,0,IF($E91&lt;H$66-365,$D91,0))</f>
        <v>0</v>
      </c>
      <c r="I242" s="12">
        <f t="shared" si="142"/>
        <v>0</v>
      </c>
      <c r="J242" s="12">
        <f t="shared" si="142"/>
        <v>0</v>
      </c>
      <c r="K242" s="12">
        <f t="shared" si="142"/>
        <v>0</v>
      </c>
      <c r="L242" s="12">
        <f t="shared" si="142"/>
        <v>0</v>
      </c>
      <c r="M242" s="12">
        <f t="shared" si="142"/>
        <v>0</v>
      </c>
      <c r="N242" s="12">
        <f t="shared" si="142"/>
        <v>0</v>
      </c>
      <c r="O242" s="12">
        <f t="shared" si="142"/>
        <v>0</v>
      </c>
      <c r="P242" s="12">
        <f t="shared" si="142"/>
        <v>0</v>
      </c>
      <c r="Q242" s="12">
        <f t="shared" si="142"/>
        <v>0</v>
      </c>
    </row>
    <row r="243" spans="7:17">
      <c r="G243" s="12">
        <f t="shared" si="119"/>
        <v>0</v>
      </c>
      <c r="H243" s="12">
        <f t="shared" ref="H243:Q243" si="143">IF($E92&gt;H$66,0,IF($E92&lt;H$66-365,$D92,0))</f>
        <v>0</v>
      </c>
      <c r="I243" s="12">
        <f t="shared" si="143"/>
        <v>0</v>
      </c>
      <c r="J243" s="12">
        <f t="shared" si="143"/>
        <v>0</v>
      </c>
      <c r="K243" s="12">
        <f t="shared" si="143"/>
        <v>0</v>
      </c>
      <c r="L243" s="12">
        <f t="shared" si="143"/>
        <v>0</v>
      </c>
      <c r="M243" s="12">
        <f t="shared" si="143"/>
        <v>0</v>
      </c>
      <c r="N243" s="12">
        <f t="shared" si="143"/>
        <v>0</v>
      </c>
      <c r="O243" s="12">
        <f t="shared" si="143"/>
        <v>0</v>
      </c>
      <c r="P243" s="12">
        <f t="shared" si="143"/>
        <v>0</v>
      </c>
      <c r="Q243" s="12">
        <f t="shared" si="143"/>
        <v>0</v>
      </c>
    </row>
    <row r="244" spans="7:17">
      <c r="G244" s="12">
        <f t="shared" si="119"/>
        <v>0</v>
      </c>
      <c r="H244" s="12">
        <f t="shared" ref="H244:Q244" si="144">IF($E93&gt;H$66,0,IF($E93&lt;H$66-365,$D93,0))</f>
        <v>0</v>
      </c>
      <c r="I244" s="12">
        <f t="shared" si="144"/>
        <v>0</v>
      </c>
      <c r="J244" s="12">
        <f t="shared" si="144"/>
        <v>0</v>
      </c>
      <c r="K244" s="12">
        <f t="shared" si="144"/>
        <v>0</v>
      </c>
      <c r="L244" s="12">
        <f t="shared" si="144"/>
        <v>0</v>
      </c>
      <c r="M244" s="12">
        <f t="shared" si="144"/>
        <v>0</v>
      </c>
      <c r="N244" s="12">
        <f t="shared" si="144"/>
        <v>0</v>
      </c>
      <c r="O244" s="12">
        <f t="shared" si="144"/>
        <v>0</v>
      </c>
      <c r="P244" s="12">
        <f t="shared" si="144"/>
        <v>0</v>
      </c>
      <c r="Q244" s="12">
        <f t="shared" si="144"/>
        <v>0</v>
      </c>
    </row>
    <row r="245" spans="7:17">
      <c r="G245" s="12">
        <f t="shared" si="119"/>
        <v>0</v>
      </c>
      <c r="H245" s="12">
        <f t="shared" ref="H245:Q245" si="145">IF($E94&gt;H$66,0,IF($E94&lt;H$66-365,$D94,0))</f>
        <v>0</v>
      </c>
      <c r="I245" s="12">
        <f t="shared" si="145"/>
        <v>0</v>
      </c>
      <c r="J245" s="12">
        <f t="shared" si="145"/>
        <v>0</v>
      </c>
      <c r="K245" s="12">
        <f t="shared" si="145"/>
        <v>0</v>
      </c>
      <c r="L245" s="12">
        <f t="shared" si="145"/>
        <v>0</v>
      </c>
      <c r="M245" s="12">
        <f t="shared" si="145"/>
        <v>0</v>
      </c>
      <c r="N245" s="12">
        <f t="shared" si="145"/>
        <v>0</v>
      </c>
      <c r="O245" s="12">
        <f t="shared" si="145"/>
        <v>0</v>
      </c>
      <c r="P245" s="12">
        <f t="shared" si="145"/>
        <v>0</v>
      </c>
      <c r="Q245" s="12">
        <f t="shared" si="145"/>
        <v>0</v>
      </c>
    </row>
    <row r="246" spans="7:17">
      <c r="G246" s="12">
        <f t="shared" si="119"/>
        <v>0</v>
      </c>
      <c r="H246" s="12">
        <f t="shared" ref="H246:Q246" si="146">IF($E95&gt;H$66,0,IF($E95&lt;H$66-365,$D95,0))</f>
        <v>0</v>
      </c>
      <c r="I246" s="12">
        <f t="shared" si="146"/>
        <v>0</v>
      </c>
      <c r="J246" s="12">
        <f t="shared" si="146"/>
        <v>0</v>
      </c>
      <c r="K246" s="12">
        <f t="shared" si="146"/>
        <v>0</v>
      </c>
      <c r="L246" s="12">
        <f t="shared" si="146"/>
        <v>0</v>
      </c>
      <c r="M246" s="12">
        <f t="shared" si="146"/>
        <v>0</v>
      </c>
      <c r="N246" s="12">
        <f t="shared" si="146"/>
        <v>0</v>
      </c>
      <c r="O246" s="12">
        <f t="shared" si="146"/>
        <v>0</v>
      </c>
      <c r="P246" s="12">
        <f t="shared" si="146"/>
        <v>0</v>
      </c>
      <c r="Q246" s="12">
        <f t="shared" si="146"/>
        <v>0</v>
      </c>
    </row>
    <row r="247" spans="7:17">
      <c r="G247" s="12">
        <f t="shared" si="119"/>
        <v>0</v>
      </c>
      <c r="H247" s="12">
        <f t="shared" ref="H247:Q247" si="147">IF($E96&gt;H$66,0,IF($E96&lt;H$66-365,$D96,0))</f>
        <v>0</v>
      </c>
      <c r="I247" s="12">
        <f t="shared" si="147"/>
        <v>0</v>
      </c>
      <c r="J247" s="12">
        <f t="shared" si="147"/>
        <v>0</v>
      </c>
      <c r="K247" s="12">
        <f t="shared" si="147"/>
        <v>0</v>
      </c>
      <c r="L247" s="12">
        <f t="shared" si="147"/>
        <v>0</v>
      </c>
      <c r="M247" s="12">
        <f t="shared" si="147"/>
        <v>0</v>
      </c>
      <c r="N247" s="12">
        <f t="shared" si="147"/>
        <v>0</v>
      </c>
      <c r="O247" s="12">
        <f t="shared" si="147"/>
        <v>0</v>
      </c>
      <c r="P247" s="12">
        <f t="shared" si="147"/>
        <v>0</v>
      </c>
      <c r="Q247" s="12">
        <f t="shared" si="147"/>
        <v>0</v>
      </c>
    </row>
    <row r="248" spans="7:17">
      <c r="G248" s="12">
        <f t="shared" si="119"/>
        <v>0</v>
      </c>
      <c r="H248" s="12">
        <f t="shared" ref="H248:Q248" si="148">IF($E97&gt;H$66,0,IF($E97&lt;H$66-365,$D97,0))</f>
        <v>0</v>
      </c>
      <c r="I248" s="12">
        <f t="shared" si="148"/>
        <v>0</v>
      </c>
      <c r="J248" s="12">
        <f t="shared" si="148"/>
        <v>0</v>
      </c>
      <c r="K248" s="12">
        <f t="shared" si="148"/>
        <v>0</v>
      </c>
      <c r="L248" s="12">
        <f t="shared" si="148"/>
        <v>0</v>
      </c>
      <c r="M248" s="12">
        <f t="shared" si="148"/>
        <v>0</v>
      </c>
      <c r="N248" s="12">
        <f t="shared" si="148"/>
        <v>0</v>
      </c>
      <c r="O248" s="12">
        <f t="shared" si="148"/>
        <v>0</v>
      </c>
      <c r="P248" s="12">
        <f t="shared" si="148"/>
        <v>0</v>
      </c>
      <c r="Q248" s="12">
        <f t="shared" si="148"/>
        <v>0</v>
      </c>
    </row>
    <row r="249" spans="7:17">
      <c r="G249" s="12">
        <f t="shared" si="119"/>
        <v>0</v>
      </c>
      <c r="H249" s="12">
        <f t="shared" ref="H249:Q249" si="149">IF($E98&gt;H$66,0,IF($E98&lt;H$66-365,$D98,0))</f>
        <v>0</v>
      </c>
      <c r="I249" s="12">
        <f t="shared" si="149"/>
        <v>0</v>
      </c>
      <c r="J249" s="12">
        <f t="shared" si="149"/>
        <v>0</v>
      </c>
      <c r="K249" s="12">
        <f t="shared" si="149"/>
        <v>0</v>
      </c>
      <c r="L249" s="12">
        <f t="shared" si="149"/>
        <v>0</v>
      </c>
      <c r="M249" s="12">
        <f t="shared" si="149"/>
        <v>0</v>
      </c>
      <c r="N249" s="12">
        <f t="shared" si="149"/>
        <v>0</v>
      </c>
      <c r="O249" s="12">
        <f t="shared" si="149"/>
        <v>0</v>
      </c>
      <c r="P249" s="12">
        <f t="shared" si="149"/>
        <v>0</v>
      </c>
      <c r="Q249" s="12">
        <f t="shared" si="149"/>
        <v>0</v>
      </c>
    </row>
    <row r="250" spans="7:17">
      <c r="G250" s="12">
        <f t="shared" si="119"/>
        <v>0</v>
      </c>
      <c r="H250" s="12">
        <f t="shared" ref="H250:Q250" si="150">IF($E99&gt;H$66,0,IF($E99&lt;H$66-365,$D99,0))</f>
        <v>0</v>
      </c>
      <c r="I250" s="12">
        <f t="shared" si="150"/>
        <v>0</v>
      </c>
      <c r="J250" s="12">
        <f t="shared" si="150"/>
        <v>0</v>
      </c>
      <c r="K250" s="12">
        <f t="shared" si="150"/>
        <v>0</v>
      </c>
      <c r="L250" s="12">
        <f t="shared" si="150"/>
        <v>0</v>
      </c>
      <c r="M250" s="12">
        <f t="shared" si="150"/>
        <v>0</v>
      </c>
      <c r="N250" s="12">
        <f t="shared" si="150"/>
        <v>0</v>
      </c>
      <c r="O250" s="12">
        <f t="shared" si="150"/>
        <v>0</v>
      </c>
      <c r="P250" s="12">
        <f t="shared" si="150"/>
        <v>0</v>
      </c>
      <c r="Q250" s="12">
        <f t="shared" si="150"/>
        <v>0</v>
      </c>
    </row>
    <row r="251" spans="7:17">
      <c r="G251" s="12">
        <f t="shared" si="119"/>
        <v>0</v>
      </c>
      <c r="H251" s="12">
        <f t="shared" ref="H251:Q251" si="151">IF($E100&gt;H$66,0,IF($E100&lt;H$66-365,$D100,0))</f>
        <v>0</v>
      </c>
      <c r="I251" s="12">
        <f t="shared" si="151"/>
        <v>0</v>
      </c>
      <c r="J251" s="12">
        <f t="shared" si="151"/>
        <v>0</v>
      </c>
      <c r="K251" s="12">
        <f t="shared" si="151"/>
        <v>0</v>
      </c>
      <c r="L251" s="12">
        <f t="shared" si="151"/>
        <v>0</v>
      </c>
      <c r="M251" s="12">
        <f t="shared" si="151"/>
        <v>0</v>
      </c>
      <c r="N251" s="12">
        <f t="shared" si="151"/>
        <v>0</v>
      </c>
      <c r="O251" s="12">
        <f t="shared" si="151"/>
        <v>0</v>
      </c>
      <c r="P251" s="12">
        <f t="shared" si="151"/>
        <v>0</v>
      </c>
      <c r="Q251" s="12">
        <f t="shared" si="151"/>
        <v>0</v>
      </c>
    </row>
    <row r="252" spans="7:17">
      <c r="G252" s="12">
        <f t="shared" si="119"/>
        <v>0</v>
      </c>
      <c r="H252" s="12">
        <f t="shared" ref="H252:Q252" si="152">IF($E101&gt;H$66,0,IF($E101&lt;H$66-365,$D101,0))</f>
        <v>0</v>
      </c>
      <c r="I252" s="12">
        <f t="shared" si="152"/>
        <v>0</v>
      </c>
      <c r="J252" s="12">
        <f t="shared" si="152"/>
        <v>0</v>
      </c>
      <c r="K252" s="12">
        <f t="shared" si="152"/>
        <v>0</v>
      </c>
      <c r="L252" s="12">
        <f t="shared" si="152"/>
        <v>0</v>
      </c>
      <c r="M252" s="12">
        <f t="shared" si="152"/>
        <v>0</v>
      </c>
      <c r="N252" s="12">
        <f t="shared" si="152"/>
        <v>0</v>
      </c>
      <c r="O252" s="12">
        <f t="shared" si="152"/>
        <v>0</v>
      </c>
      <c r="P252" s="12">
        <f t="shared" si="152"/>
        <v>0</v>
      </c>
      <c r="Q252" s="12">
        <f t="shared" si="152"/>
        <v>0</v>
      </c>
    </row>
    <row r="253" spans="7:17">
      <c r="G253" s="12">
        <f t="shared" si="119"/>
        <v>0</v>
      </c>
      <c r="H253" s="12">
        <f t="shared" ref="H253:Q253" si="153">IF($E102&gt;H$66,0,IF($E102&lt;H$66-365,$D102,0))</f>
        <v>0</v>
      </c>
      <c r="I253" s="12">
        <f t="shared" si="153"/>
        <v>0</v>
      </c>
      <c r="J253" s="12">
        <f t="shared" si="153"/>
        <v>0</v>
      </c>
      <c r="K253" s="12">
        <f t="shared" si="153"/>
        <v>0</v>
      </c>
      <c r="L253" s="12">
        <f t="shared" si="153"/>
        <v>0</v>
      </c>
      <c r="M253" s="12">
        <f t="shared" si="153"/>
        <v>0</v>
      </c>
      <c r="N253" s="12">
        <f t="shared" si="153"/>
        <v>0</v>
      </c>
      <c r="O253" s="12">
        <f t="shared" si="153"/>
        <v>0</v>
      </c>
      <c r="P253" s="12">
        <f t="shared" si="153"/>
        <v>0</v>
      </c>
      <c r="Q253" s="12">
        <f t="shared" si="153"/>
        <v>0</v>
      </c>
    </row>
    <row r="254" spans="7:17">
      <c r="G254" s="12">
        <f t="shared" si="119"/>
        <v>0</v>
      </c>
      <c r="H254" s="12">
        <f t="shared" ref="H254:Q254" si="154">IF($E103&gt;H$66,0,IF($E103&lt;H$66-365,$D103,0))</f>
        <v>0</v>
      </c>
      <c r="I254" s="12">
        <f t="shared" si="154"/>
        <v>0</v>
      </c>
      <c r="J254" s="12">
        <f t="shared" si="154"/>
        <v>0</v>
      </c>
      <c r="K254" s="12">
        <f t="shared" si="154"/>
        <v>0</v>
      </c>
      <c r="L254" s="12">
        <f t="shared" si="154"/>
        <v>0</v>
      </c>
      <c r="M254" s="12">
        <f t="shared" si="154"/>
        <v>0</v>
      </c>
      <c r="N254" s="12">
        <f t="shared" si="154"/>
        <v>0</v>
      </c>
      <c r="O254" s="12">
        <f t="shared" si="154"/>
        <v>0</v>
      </c>
      <c r="P254" s="12">
        <f t="shared" si="154"/>
        <v>0</v>
      </c>
      <c r="Q254" s="12">
        <f t="shared" si="154"/>
        <v>0</v>
      </c>
    </row>
    <row r="255" spans="7:17">
      <c r="G255" s="12">
        <f t="shared" si="119"/>
        <v>0</v>
      </c>
      <c r="H255" s="12">
        <f t="shared" ref="H255:Q255" si="155">IF($E104&gt;H$66,0,IF($E104&lt;H$66-365,$D104,0))</f>
        <v>0</v>
      </c>
      <c r="I255" s="12">
        <f t="shared" si="155"/>
        <v>0</v>
      </c>
      <c r="J255" s="12">
        <f t="shared" si="155"/>
        <v>0</v>
      </c>
      <c r="K255" s="12">
        <f t="shared" si="155"/>
        <v>0</v>
      </c>
      <c r="L255" s="12">
        <f t="shared" si="155"/>
        <v>0</v>
      </c>
      <c r="M255" s="12">
        <f t="shared" si="155"/>
        <v>0</v>
      </c>
      <c r="N255" s="12">
        <f t="shared" si="155"/>
        <v>0</v>
      </c>
      <c r="O255" s="12">
        <f t="shared" si="155"/>
        <v>0</v>
      </c>
      <c r="P255" s="12">
        <f t="shared" si="155"/>
        <v>0</v>
      </c>
      <c r="Q255" s="12">
        <f t="shared" si="155"/>
        <v>0</v>
      </c>
    </row>
    <row r="256" spans="7:17">
      <c r="G256" s="12">
        <f t="shared" si="119"/>
        <v>0</v>
      </c>
      <c r="H256" s="12">
        <f t="shared" ref="H256:Q256" si="156">IF($E105&gt;H$66,0,IF($E105&lt;H$66-365,$D105,0))</f>
        <v>0</v>
      </c>
      <c r="I256" s="12">
        <f t="shared" si="156"/>
        <v>0</v>
      </c>
      <c r="J256" s="12">
        <f t="shared" si="156"/>
        <v>0</v>
      </c>
      <c r="K256" s="12">
        <f t="shared" si="156"/>
        <v>0</v>
      </c>
      <c r="L256" s="12">
        <f t="shared" si="156"/>
        <v>0</v>
      </c>
      <c r="M256" s="12">
        <f t="shared" si="156"/>
        <v>0</v>
      </c>
      <c r="N256" s="12">
        <f t="shared" si="156"/>
        <v>0</v>
      </c>
      <c r="O256" s="12">
        <f t="shared" si="156"/>
        <v>0</v>
      </c>
      <c r="P256" s="12">
        <f t="shared" si="156"/>
        <v>0</v>
      </c>
      <c r="Q256" s="12">
        <f t="shared" si="156"/>
        <v>0</v>
      </c>
    </row>
    <row r="257" spans="5:18">
      <c r="G257" s="12">
        <f t="shared" si="119"/>
        <v>0</v>
      </c>
      <c r="H257" s="12">
        <f t="shared" ref="H257:Q257" si="157">IF($E106&gt;H$66,0,IF($E106&lt;H$66-365,$D106,0))</f>
        <v>0</v>
      </c>
      <c r="I257" s="12">
        <f t="shared" si="157"/>
        <v>0</v>
      </c>
      <c r="J257" s="12">
        <f t="shared" si="157"/>
        <v>0</v>
      </c>
      <c r="K257" s="12">
        <f t="shared" si="157"/>
        <v>0</v>
      </c>
      <c r="L257" s="12">
        <f t="shared" si="157"/>
        <v>0</v>
      </c>
      <c r="M257" s="12">
        <f t="shared" si="157"/>
        <v>0</v>
      </c>
      <c r="N257" s="12">
        <f t="shared" si="157"/>
        <v>0</v>
      </c>
      <c r="O257" s="12">
        <f t="shared" si="157"/>
        <v>0</v>
      </c>
      <c r="P257" s="12">
        <f t="shared" si="157"/>
        <v>0</v>
      </c>
      <c r="Q257" s="12">
        <f t="shared" si="157"/>
        <v>0</v>
      </c>
    </row>
    <row r="258" spans="5:18">
      <c r="G258" s="12">
        <f t="shared" si="119"/>
        <v>0</v>
      </c>
      <c r="H258" s="12">
        <f t="shared" ref="H258:Q258" si="158">IF($E107&gt;H$66,0,IF($E107&lt;H$66-365,$D107,0))</f>
        <v>0</v>
      </c>
      <c r="I258" s="12">
        <f t="shared" si="158"/>
        <v>0</v>
      </c>
      <c r="J258" s="12">
        <f t="shared" si="158"/>
        <v>0</v>
      </c>
      <c r="K258" s="12">
        <f t="shared" si="158"/>
        <v>0</v>
      </c>
      <c r="L258" s="12">
        <f t="shared" si="158"/>
        <v>0</v>
      </c>
      <c r="M258" s="12">
        <f t="shared" si="158"/>
        <v>0</v>
      </c>
      <c r="N258" s="12">
        <f t="shared" si="158"/>
        <v>0</v>
      </c>
      <c r="O258" s="12">
        <f t="shared" si="158"/>
        <v>0</v>
      </c>
      <c r="P258" s="12">
        <f t="shared" si="158"/>
        <v>0</v>
      </c>
      <c r="Q258" s="12">
        <f t="shared" si="158"/>
        <v>0</v>
      </c>
    </row>
    <row r="259" spans="5:18">
      <c r="G259" s="12">
        <f t="shared" si="119"/>
        <v>0</v>
      </c>
      <c r="H259" s="12">
        <f t="shared" ref="H259:Q259" si="159">IF($E108&gt;H$66,0,IF($E108&lt;H$66-365,$D108,0))</f>
        <v>0</v>
      </c>
      <c r="I259" s="12">
        <f t="shared" si="159"/>
        <v>0</v>
      </c>
      <c r="J259" s="12">
        <f t="shared" si="159"/>
        <v>0</v>
      </c>
      <c r="K259" s="12">
        <f t="shared" si="159"/>
        <v>0</v>
      </c>
      <c r="L259" s="12">
        <f t="shared" si="159"/>
        <v>0</v>
      </c>
      <c r="M259" s="12">
        <f t="shared" si="159"/>
        <v>0</v>
      </c>
      <c r="N259" s="12">
        <f t="shared" si="159"/>
        <v>0</v>
      </c>
      <c r="O259" s="12">
        <f t="shared" si="159"/>
        <v>0</v>
      </c>
      <c r="P259" s="12">
        <f t="shared" si="159"/>
        <v>0</v>
      </c>
      <c r="Q259" s="12">
        <f t="shared" si="159"/>
        <v>0</v>
      </c>
    </row>
    <row r="260" spans="5:18">
      <c r="G260" s="12">
        <f t="shared" si="119"/>
        <v>0</v>
      </c>
      <c r="H260" s="12">
        <f t="shared" ref="H260:Q260" si="160">IF($E109&gt;H$66,0,IF($E109&lt;H$66-365,$D109,0))</f>
        <v>0</v>
      </c>
      <c r="I260" s="12">
        <f t="shared" si="160"/>
        <v>0</v>
      </c>
      <c r="J260" s="12">
        <f t="shared" si="160"/>
        <v>0</v>
      </c>
      <c r="K260" s="12">
        <f t="shared" si="160"/>
        <v>0</v>
      </c>
      <c r="L260" s="12">
        <f t="shared" si="160"/>
        <v>0</v>
      </c>
      <c r="M260" s="12">
        <f t="shared" si="160"/>
        <v>0</v>
      </c>
      <c r="N260" s="12">
        <f t="shared" si="160"/>
        <v>0</v>
      </c>
      <c r="O260" s="12">
        <f t="shared" si="160"/>
        <v>0</v>
      </c>
      <c r="P260" s="12">
        <f t="shared" si="160"/>
        <v>0</v>
      </c>
      <c r="Q260" s="12">
        <f t="shared" si="160"/>
        <v>0</v>
      </c>
    </row>
    <row r="261" spans="5:18">
      <c r="G261" s="12">
        <f t="shared" si="119"/>
        <v>0</v>
      </c>
      <c r="H261" s="12">
        <f t="shared" ref="H261:Q261" si="161">IF($E110&gt;H$66,0,IF($E110&lt;H$66-365,$D110,0))</f>
        <v>0</v>
      </c>
      <c r="I261" s="12">
        <f t="shared" si="161"/>
        <v>0</v>
      </c>
      <c r="J261" s="12">
        <f t="shared" si="161"/>
        <v>0</v>
      </c>
      <c r="K261" s="12">
        <f t="shared" si="161"/>
        <v>0</v>
      </c>
      <c r="L261" s="12">
        <f t="shared" si="161"/>
        <v>0</v>
      </c>
      <c r="M261" s="12">
        <f t="shared" si="161"/>
        <v>0</v>
      </c>
      <c r="N261" s="12">
        <f t="shared" si="161"/>
        <v>0</v>
      </c>
      <c r="O261" s="12">
        <f t="shared" si="161"/>
        <v>0</v>
      </c>
      <c r="P261" s="12">
        <f t="shared" si="161"/>
        <v>0</v>
      </c>
      <c r="Q261" s="12">
        <f t="shared" si="161"/>
        <v>0</v>
      </c>
    </row>
    <row r="262" spans="5:18">
      <c r="G262" s="12">
        <f t="shared" si="119"/>
        <v>0</v>
      </c>
      <c r="H262" s="12">
        <f t="shared" ref="H262:Q262" si="162">IF($E111&gt;H$66,0,IF($E111&lt;H$66-365,$D111,0))</f>
        <v>0</v>
      </c>
      <c r="I262" s="12">
        <f t="shared" si="162"/>
        <v>0</v>
      </c>
      <c r="J262" s="12">
        <f t="shared" si="162"/>
        <v>0</v>
      </c>
      <c r="K262" s="12">
        <f t="shared" si="162"/>
        <v>0</v>
      </c>
      <c r="L262" s="12">
        <f t="shared" si="162"/>
        <v>0</v>
      </c>
      <c r="M262" s="12">
        <f t="shared" si="162"/>
        <v>0</v>
      </c>
      <c r="N262" s="12">
        <f t="shared" si="162"/>
        <v>0</v>
      </c>
      <c r="O262" s="12">
        <f t="shared" si="162"/>
        <v>0</v>
      </c>
      <c r="P262" s="12">
        <f t="shared" si="162"/>
        <v>0</v>
      </c>
      <c r="Q262" s="12">
        <f t="shared" si="162"/>
        <v>0</v>
      </c>
    </row>
    <row r="263" spans="5:18">
      <c r="G263" s="12">
        <f t="shared" si="119"/>
        <v>0</v>
      </c>
      <c r="H263" s="12">
        <f t="shared" ref="H263:Q263" si="163">IF($E112&gt;H$66,0,IF($E112&lt;H$66-365,$D112,0))</f>
        <v>0</v>
      </c>
      <c r="I263" s="12">
        <f t="shared" si="163"/>
        <v>0</v>
      </c>
      <c r="J263" s="12">
        <f t="shared" si="163"/>
        <v>0</v>
      </c>
      <c r="K263" s="12">
        <f t="shared" si="163"/>
        <v>0</v>
      </c>
      <c r="L263" s="12">
        <f t="shared" si="163"/>
        <v>0</v>
      </c>
      <c r="M263" s="12">
        <f t="shared" si="163"/>
        <v>0</v>
      </c>
      <c r="N263" s="12">
        <f t="shared" si="163"/>
        <v>0</v>
      </c>
      <c r="O263" s="12">
        <f t="shared" si="163"/>
        <v>0</v>
      </c>
      <c r="P263" s="12">
        <f t="shared" si="163"/>
        <v>0</v>
      </c>
      <c r="Q263" s="12">
        <f t="shared" si="163"/>
        <v>0</v>
      </c>
    </row>
    <row r="264" spans="5:18">
      <c r="G264" s="12">
        <f t="shared" si="119"/>
        <v>0</v>
      </c>
      <c r="H264" s="12">
        <f t="shared" ref="H264:Q264" si="164">IF($E113&gt;H$66,0,IF($E113&lt;H$66-365,$D113,0))</f>
        <v>0</v>
      </c>
      <c r="I264" s="12">
        <f t="shared" si="164"/>
        <v>0</v>
      </c>
      <c r="J264" s="12">
        <f t="shared" si="164"/>
        <v>0</v>
      </c>
      <c r="K264" s="12">
        <f t="shared" si="164"/>
        <v>0</v>
      </c>
      <c r="L264" s="12">
        <f t="shared" si="164"/>
        <v>0</v>
      </c>
      <c r="M264" s="12">
        <f t="shared" si="164"/>
        <v>0</v>
      </c>
      <c r="N264" s="12">
        <f t="shared" si="164"/>
        <v>0</v>
      </c>
      <c r="O264" s="12">
        <f t="shared" si="164"/>
        <v>0</v>
      </c>
      <c r="P264" s="12">
        <f t="shared" si="164"/>
        <v>0</v>
      </c>
      <c r="Q264" s="12">
        <f t="shared" si="164"/>
        <v>0</v>
      </c>
    </row>
    <row r="265" spans="5:18">
      <c r="G265" s="12">
        <f t="shared" si="119"/>
        <v>0</v>
      </c>
      <c r="H265" s="12">
        <f t="shared" ref="H265:Q265" si="165">IF($E114&gt;H$66,0,IF($E114&lt;H$66-365,$D114,0))</f>
        <v>0</v>
      </c>
      <c r="I265" s="12">
        <f t="shared" si="165"/>
        <v>0</v>
      </c>
      <c r="J265" s="12">
        <f t="shared" si="165"/>
        <v>0</v>
      </c>
      <c r="K265" s="12">
        <f t="shared" si="165"/>
        <v>0</v>
      </c>
      <c r="L265" s="12">
        <f t="shared" si="165"/>
        <v>0</v>
      </c>
      <c r="M265" s="12">
        <f t="shared" si="165"/>
        <v>0</v>
      </c>
      <c r="N265" s="12">
        <f t="shared" si="165"/>
        <v>0</v>
      </c>
      <c r="O265" s="12">
        <f t="shared" si="165"/>
        <v>0</v>
      </c>
      <c r="P265" s="12">
        <f t="shared" si="165"/>
        <v>0</v>
      </c>
      <c r="Q265" s="12">
        <f t="shared" si="165"/>
        <v>0</v>
      </c>
    </row>
    <row r="267" spans="5:18">
      <c r="F267" s="187" t="s">
        <v>493</v>
      </c>
      <c r="G267" s="187">
        <f>SUM(G220:G265)</f>
        <v>0</v>
      </c>
      <c r="H267" s="187">
        <f t="shared" ref="H267:Q267" si="166">SUM(H220:H265)</f>
        <v>0</v>
      </c>
      <c r="I267" s="187">
        <f t="shared" si="166"/>
        <v>0</v>
      </c>
      <c r="J267" s="187">
        <f t="shared" si="166"/>
        <v>0</v>
      </c>
      <c r="K267" s="187">
        <f t="shared" si="166"/>
        <v>0</v>
      </c>
      <c r="L267" s="187">
        <f t="shared" si="166"/>
        <v>0</v>
      </c>
      <c r="M267" s="187">
        <f t="shared" si="166"/>
        <v>0</v>
      </c>
      <c r="N267" s="187">
        <f t="shared" si="166"/>
        <v>0</v>
      </c>
      <c r="O267" s="187">
        <f t="shared" si="166"/>
        <v>0</v>
      </c>
      <c r="P267" s="187">
        <f t="shared" si="166"/>
        <v>0</v>
      </c>
      <c r="Q267" s="187">
        <f t="shared" si="166"/>
        <v>0</v>
      </c>
    </row>
    <row r="271" spans="5:18">
      <c r="F271" s="207" t="s">
        <v>486</v>
      </c>
      <c r="G271" s="206">
        <f>G66</f>
        <v>45473</v>
      </c>
      <c r="H271" s="206">
        <f t="shared" ref="H271:Q271" si="167">H66</f>
        <v>45838</v>
      </c>
      <c r="I271" s="206">
        <f t="shared" si="167"/>
        <v>46203</v>
      </c>
      <c r="J271" s="206">
        <f t="shared" si="167"/>
        <v>46568</v>
      </c>
      <c r="K271" s="206">
        <f t="shared" si="167"/>
        <v>46934</v>
      </c>
      <c r="L271" s="206">
        <f t="shared" si="167"/>
        <v>47299</v>
      </c>
      <c r="M271" s="206">
        <f t="shared" si="167"/>
        <v>47664</v>
      </c>
      <c r="N271" s="206">
        <f t="shared" si="167"/>
        <v>48029</v>
      </c>
      <c r="O271" s="206">
        <f t="shared" si="167"/>
        <v>48395</v>
      </c>
      <c r="P271" s="206">
        <f t="shared" si="167"/>
        <v>48760</v>
      </c>
      <c r="Q271" s="206">
        <f t="shared" si="167"/>
        <v>49125</v>
      </c>
      <c r="R271" s="206">
        <f t="shared" ref="R271" si="168">Q271+365</f>
        <v>49490</v>
      </c>
    </row>
    <row r="272" spans="5:18">
      <c r="E272" s="12" t="s">
        <v>399</v>
      </c>
      <c r="F272" s="348">
        <f t="shared" ref="F272:P272" si="169">Z216</f>
        <v>5.1171842068287203</v>
      </c>
      <c r="G272" s="348">
        <f t="shared" si="169"/>
        <v>5.1171842068287203</v>
      </c>
      <c r="H272" s="348">
        <f t="shared" si="169"/>
        <v>5.1171842068287203</v>
      </c>
      <c r="I272" s="348">
        <f t="shared" si="169"/>
        <v>5.1171842068287203</v>
      </c>
      <c r="J272" s="348">
        <f t="shared" si="169"/>
        <v>5.1171842068287203</v>
      </c>
      <c r="K272" s="348">
        <f t="shared" si="169"/>
        <v>5.1818870820185845</v>
      </c>
      <c r="L272" s="348">
        <f t="shared" si="169"/>
        <v>5.1818870820185845</v>
      </c>
      <c r="M272" s="348">
        <f t="shared" si="169"/>
        <v>5.1818870820185845</v>
      </c>
      <c r="N272" s="348">
        <f t="shared" si="169"/>
        <v>5.1818870820185845</v>
      </c>
      <c r="O272" s="348">
        <f t="shared" si="169"/>
        <v>5.1818870820185845</v>
      </c>
      <c r="P272" s="348">
        <f t="shared" si="169"/>
        <v>5.1818870820185845</v>
      </c>
      <c r="Q272" s="348">
        <f>AK216</f>
        <v>5.1818870820185845</v>
      </c>
    </row>
  </sheetData>
  <sheetProtection formatCells="0" formatColumns="0" formatRows="0" selectLockedCells="1"/>
  <customSheetViews>
    <customSheetView guid="{0FAFE012-8D9E-4ED0-86A4-A997E430971B}" showGridLines="0" fitToPage="1" hiddenRows="1" topLeftCell="J11">
      <selection activeCell="A20" sqref="A20:Q27"/>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47" priority="1" operator="lessThan">
      <formula>0</formula>
    </cfRule>
  </conditionalFormatting>
  <conditionalFormatting sqref="F46:Q47">
    <cfRule type="cellIs" dxfId="46" priority="3" operator="lessThan">
      <formula>0</formula>
    </cfRule>
  </conditionalFormatting>
  <conditionalFormatting sqref="F50:Q50">
    <cfRule type="cellIs" dxfId="45" priority="2" operator="lessThan">
      <formula>0</formula>
    </cfRule>
  </conditionalFormatting>
  <dataValidations disablePrompts="1" count="3">
    <dataValidation type="list" allowBlank="1" showInputMessage="1" showErrorMessage="1" sqref="F141:G141" xr:uid="{36071EF9-9583-4069-AF41-0923CB5C2739}">
      <formula1>"0.0 Stars,0.5 Stars,1.0 Stars,1.5 Stars,2.0 Stars,2.5 Stars,3.0 Stars,3.5 Stars,4.0 Stars,4.5 Stars,5.0 Stars,5.5 Stars,6.0 Stars,N/A"</formula1>
    </dataValidation>
    <dataValidation type="list" allowBlank="1" showInputMessage="1" showErrorMessage="1" sqref="E114" xr:uid="{35F40EDD-98A7-4904-8CE9-2E9ECE0E606E}">
      <formula1>$BQ$155:$BQ$169</formula1>
    </dataValidation>
    <dataValidation type="list" allowBlank="1" showInputMessage="1" showErrorMessage="1" sqref="O114:Q114" xr:uid="{5726051F-9B34-4706-A4DB-E46B045450CC}">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41FAC-58BA-496F-961E-FC1418915E4E}">
  <sheetPr codeName="Sheet18">
    <tabColor rgb="FF7030A0"/>
    <pageSetUpPr fitToPage="1"/>
  </sheetPr>
  <dimension ref="A1:CJ272"/>
  <sheetViews>
    <sheetView showGridLines="0" topLeftCell="K15" zoomScale="85" zoomScaleNormal="85" workbookViewId="0">
      <selection activeCell="U72" sqref="U72:U78"/>
    </sheetView>
  </sheetViews>
  <sheetFormatPr defaultColWidth="9.1796875" defaultRowHeight="12.5"/>
  <cols>
    <col min="1" max="1" width="19.179687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1.816406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47</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0.25417540237856895</v>
      </c>
      <c r="E6" s="367" t="s">
        <v>311</v>
      </c>
      <c r="F6" s="517">
        <f>VLOOKUP($A$2,'Footprint Summary'!$B$4:$R$26,COLUMNS('Footprint Summary'!$B$4:F$26)+1,0)</f>
        <v>1521.712</v>
      </c>
      <c r="G6" s="517">
        <f>VLOOKUP($A$2,'Footprint Summary'!$B$4:$R$26,COLUMNS('Footprint Summary'!$B$4:G$26)+1,0)</f>
        <v>1491.712</v>
      </c>
      <c r="H6" s="517">
        <f>VLOOKUP($A$2,'Footprint Summary'!$B$4:$R$26,COLUMNS('Footprint Summary'!$B$4:H$26)+1,0)</f>
        <v>1491.712</v>
      </c>
      <c r="I6" s="517">
        <f>VLOOKUP($A$2,'Footprint Summary'!$B$4:$R$26,COLUMNS('Footprint Summary'!$B$4:I$26)+1,0)</f>
        <v>1016.712</v>
      </c>
      <c r="J6" s="517">
        <f>VLOOKUP($A$2,'Footprint Summary'!$B$4:$R$26,COLUMNS('Footprint Summary'!$B$4:J$26)+1,0)</f>
        <v>1016.712</v>
      </c>
      <c r="K6" s="517">
        <f>VLOOKUP($A$2,'Footprint Summary'!$B$4:$R$26,COLUMNS('Footprint Summary'!$B$4:K$26)+1,0)</f>
        <v>991.71199999999999</v>
      </c>
      <c r="L6" s="517">
        <f>VLOOKUP($A$2,'Footprint Summary'!$B$4:$R$26,COLUMNS('Footprint Summary'!$B$4:L$26)+1,0)</f>
        <v>991.71199999999999</v>
      </c>
      <c r="M6" s="517">
        <f>VLOOKUP($A$2,'Footprint Summary'!$B$4:$R$26,COLUMNS('Footprint Summary'!$B$4:M$26)+1,0)</f>
        <v>991.71199999999999</v>
      </c>
      <c r="N6" s="517">
        <f>VLOOKUP($A$2,'Footprint Summary'!$B$4:$R$26,COLUMNS('Footprint Summary'!$B$4:N$26)+1,0)</f>
        <v>961.71199999999999</v>
      </c>
      <c r="O6" s="517">
        <f>VLOOKUP($A$2,'Footprint Summary'!$B$4:$R$26,COLUMNS('Footprint Summary'!$B$4:O$26)+1,0)</f>
        <v>201.71199999999999</v>
      </c>
      <c r="P6" s="517">
        <f>VLOOKUP($A$2,'Footprint Summary'!$B$4:$R$26,COLUMNS('Footprint Summary'!$B$4:P$26)+1,0)</f>
        <v>201.71199999999999</v>
      </c>
      <c r="Q6" s="429">
        <f>(P6-F6)/F6</f>
        <v>-0.86744403671654036</v>
      </c>
      <c r="R6" s="366"/>
      <c r="S6" s="357"/>
      <c r="T6" s="8"/>
      <c r="U6" s="8"/>
    </row>
    <row r="7" spans="1:21" s="7" customFormat="1" ht="17.25" customHeight="1">
      <c r="A7" s="368" t="str">
        <f>VLOOKUP($A$2,'Asset Attributes'!$B$3:$D$25,2,0)</f>
        <v>NSW2</v>
      </c>
      <c r="B7" s="368" t="s">
        <v>312</v>
      </c>
      <c r="E7" s="367" t="s">
        <v>311</v>
      </c>
      <c r="F7" s="518">
        <f>F6-$F$6</f>
        <v>0</v>
      </c>
      <c r="G7" s="518">
        <f t="shared" ref="G7:P7" si="1">G6-$F$6</f>
        <v>-30</v>
      </c>
      <c r="H7" s="518">
        <f t="shared" si="1"/>
        <v>-30</v>
      </c>
      <c r="I7" s="518">
        <f t="shared" si="1"/>
        <v>-505</v>
      </c>
      <c r="J7" s="518">
        <f t="shared" si="1"/>
        <v>-505</v>
      </c>
      <c r="K7" s="518">
        <f t="shared" si="1"/>
        <v>-530</v>
      </c>
      <c r="L7" s="518">
        <f t="shared" si="1"/>
        <v>-530</v>
      </c>
      <c r="M7" s="518">
        <f t="shared" si="1"/>
        <v>-530</v>
      </c>
      <c r="N7" s="518">
        <f t="shared" si="1"/>
        <v>-560</v>
      </c>
      <c r="O7" s="518">
        <f t="shared" si="1"/>
        <v>-1320</v>
      </c>
      <c r="P7" s="518">
        <f t="shared" si="1"/>
        <v>-1320</v>
      </c>
      <c r="Q7" s="490">
        <f>SUM(F7:P7)</f>
        <v>-5860</v>
      </c>
      <c r="R7" s="366"/>
      <c r="S7" s="357"/>
      <c r="T7" s="8"/>
      <c r="U7" s="8"/>
    </row>
    <row r="8" spans="1:21" s="7" customFormat="1" ht="17.25" customHeight="1">
      <c r="A8" s="419" t="s">
        <v>284</v>
      </c>
      <c r="B8" s="368" t="s">
        <v>313</v>
      </c>
      <c r="C8" s="2"/>
      <c r="D8" s="486">
        <f>(VLOOKUP($A$2,Assumptions!$B$69:$C$91,2,0))</f>
        <v>24.310889361443525</v>
      </c>
      <c r="E8" s="422" t="s">
        <v>314</v>
      </c>
      <c r="F8" s="519">
        <f>VLOOKUP($A$2,'Footprint Summary'!$B$33:$R$55,COLUMNS('Footprint Summary'!$B$33:F$55)+1,0)</f>
        <v>1498.5630000000001</v>
      </c>
      <c r="G8" s="519">
        <f>VLOOKUP($A$2,'Footprint Summary'!$B$33:$R$55,COLUMNS('Footprint Summary'!$B$33:G$55)+1,0)</f>
        <v>1498.5630000000001</v>
      </c>
      <c r="H8" s="519">
        <f>VLOOKUP($A$2,'Footprint Summary'!$B$33:$R$55,COLUMNS('Footprint Summary'!$B$33:H$55)+1,0)</f>
        <v>1498.5630000000001</v>
      </c>
      <c r="I8" s="519">
        <f>VLOOKUP($A$2,'Footprint Summary'!$B$33:$R$55,COLUMNS('Footprint Summary'!$B$33:I$55)+1,0)</f>
        <v>1138.5630000000001</v>
      </c>
      <c r="J8" s="519">
        <f>VLOOKUP($A$2,'Footprint Summary'!$B$33:$R$55,COLUMNS('Footprint Summary'!$B$33:J$55)+1,0)</f>
        <v>1138.5630000000001</v>
      </c>
      <c r="K8" s="519">
        <f>VLOOKUP($A$2,'Footprint Summary'!$B$33:$R$55,COLUMNS('Footprint Summary'!$B$33:K$55)+1,0)</f>
        <v>1138.5630000000001</v>
      </c>
      <c r="L8" s="519">
        <f>VLOOKUP($A$2,'Footprint Summary'!$B$33:$R$55,COLUMNS('Footprint Summary'!$B$33:L$55)+1,0)</f>
        <v>1138.5630000000001</v>
      </c>
      <c r="M8" s="519">
        <f>VLOOKUP($A$2,'Footprint Summary'!$B$33:$R$55,COLUMNS('Footprint Summary'!$B$33:M$55)+1,0)</f>
        <v>1138.5630000000001</v>
      </c>
      <c r="N8" s="519">
        <f>VLOOKUP($A$2,'Footprint Summary'!$B$33:$R$55,COLUMNS('Footprint Summary'!$B$33:N$55)+1,0)</f>
        <v>738.5630000000001</v>
      </c>
      <c r="O8" s="519">
        <f>VLOOKUP($A$2,'Footprint Summary'!$B$33:$R$55,COLUMNS('Footprint Summary'!$B$33:O$55)+1,0)</f>
        <v>738.5630000000001</v>
      </c>
      <c r="P8" s="519">
        <f>VLOOKUP($A$2,'Footprint Summary'!$B$33:$R$55,COLUMNS('Footprint Summary'!$B$33:P$55)+1,0)</f>
        <v>378.5630000000001</v>
      </c>
      <c r="Q8" s="429">
        <f>(P8-F8)/F8</f>
        <v>-0.7473826592542322</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-360</v>
      </c>
      <c r="J9" s="518">
        <f t="shared" si="2"/>
        <v>-360</v>
      </c>
      <c r="K9" s="518">
        <f t="shared" si="2"/>
        <v>-360</v>
      </c>
      <c r="L9" s="518">
        <f t="shared" si="2"/>
        <v>-360</v>
      </c>
      <c r="M9" s="518">
        <f t="shared" si="2"/>
        <v>-360</v>
      </c>
      <c r="N9" s="518">
        <f t="shared" si="2"/>
        <v>-760</v>
      </c>
      <c r="O9" s="518">
        <f t="shared" si="2"/>
        <v>-760</v>
      </c>
      <c r="P9" s="518">
        <f t="shared" si="2"/>
        <v>-1120</v>
      </c>
      <c r="Q9" s="490">
        <f>SUM(F9:P9)</f>
        <v>-4440</v>
      </c>
      <c r="R9" s="366"/>
      <c r="S9" s="357"/>
      <c r="T9" s="8"/>
      <c r="U9" s="8"/>
    </row>
    <row r="10" spans="1:21" s="7" customFormat="1" ht="36.75" customHeight="1">
      <c r="F10" s="7">
        <v>0.74199999999999999</v>
      </c>
      <c r="G10" s="7">
        <v>0.73</v>
      </c>
      <c r="H10" s="7">
        <v>0.66200000000000003</v>
      </c>
      <c r="I10" s="7">
        <v>0.624</v>
      </c>
      <c r="J10" s="7">
        <v>0.54700000000000004</v>
      </c>
      <c r="K10" s="7">
        <v>0.46</v>
      </c>
      <c r="L10" s="7">
        <v>0.38300000000000001</v>
      </c>
      <c r="M10" s="7">
        <v>0.32500000000000001</v>
      </c>
      <c r="N10" s="7">
        <v>0.28799999999999998</v>
      </c>
      <c r="O10" s="7">
        <v>0.26400000000000001</v>
      </c>
      <c r="P10" s="7">
        <v>0.248</v>
      </c>
      <c r="R10" s="366"/>
      <c r="S10" s="357"/>
      <c r="T10" s="8"/>
      <c r="U10" s="8"/>
    </row>
    <row r="11" spans="1:21" s="7" customFormat="1" ht="36.75" customHeight="1" thickBot="1">
      <c r="A11" s="9" t="s">
        <v>316</v>
      </c>
      <c r="G11" s="7">
        <f>G10*G7</f>
        <v>-21.9</v>
      </c>
      <c r="H11" s="7">
        <f t="shared" ref="H11:P11" si="3">H10*H7</f>
        <v>-19.86</v>
      </c>
      <c r="I11" s="7">
        <f t="shared" si="3"/>
        <v>-315.12</v>
      </c>
      <c r="J11" s="7">
        <f t="shared" si="3"/>
        <v>-276.23500000000001</v>
      </c>
      <c r="K11" s="7">
        <f t="shared" si="3"/>
        <v>-243.8</v>
      </c>
      <c r="L11" s="7">
        <f t="shared" si="3"/>
        <v>-202.99</v>
      </c>
      <c r="M11" s="7">
        <f t="shared" si="3"/>
        <v>-172.25</v>
      </c>
      <c r="N11" s="7">
        <f t="shared" si="3"/>
        <v>-161.28</v>
      </c>
      <c r="O11" s="7">
        <f t="shared" si="3"/>
        <v>-348.48</v>
      </c>
      <c r="P11" s="7">
        <f t="shared" si="3"/>
        <v>-327.36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4">G55</f>
        <v>CURRENT</v>
      </c>
      <c r="H12" s="200" t="str">
        <f t="shared" si="4"/>
        <v>FY25</v>
      </c>
      <c r="I12" s="200" t="str">
        <f t="shared" si="4"/>
        <v>FY26</v>
      </c>
      <c r="J12" s="200" t="str">
        <f t="shared" si="4"/>
        <v>FY27</v>
      </c>
      <c r="K12" s="200" t="str">
        <f t="shared" si="4"/>
        <v>FY28</v>
      </c>
      <c r="L12" s="200" t="str">
        <f t="shared" si="4"/>
        <v>FY29</v>
      </c>
      <c r="M12" s="200" t="str">
        <f t="shared" si="4"/>
        <v>FY30</v>
      </c>
      <c r="N12" s="200" t="str">
        <f t="shared" si="4"/>
        <v>FY31</v>
      </c>
      <c r="O12" s="200" t="str">
        <f t="shared" si="4"/>
        <v>FY32</v>
      </c>
      <c r="P12" s="200" t="str">
        <f t="shared" si="4"/>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1202.15248</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77.220951389999996</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95.801844534882051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1375.175275924882</v>
      </c>
      <c r="G16" s="434">
        <f t="shared" ref="G16:P16" si="5">SUM(G13:G15)</f>
        <v>0</v>
      </c>
      <c r="H16" s="434">
        <f t="shared" si="5"/>
        <v>0</v>
      </c>
      <c r="I16" s="434">
        <f t="shared" si="5"/>
        <v>0</v>
      </c>
      <c r="J16" s="434">
        <f t="shared" si="5"/>
        <v>0</v>
      </c>
      <c r="K16" s="434">
        <f t="shared" si="5"/>
        <v>0</v>
      </c>
      <c r="L16" s="434">
        <f t="shared" si="5"/>
        <v>0</v>
      </c>
      <c r="M16" s="434">
        <f t="shared" si="5"/>
        <v>0</v>
      </c>
      <c r="N16" s="434">
        <f t="shared" si="5"/>
        <v>0</v>
      </c>
      <c r="O16" s="434">
        <f t="shared" si="5"/>
        <v>0</v>
      </c>
      <c r="P16" s="434">
        <f t="shared" si="5"/>
        <v>0</v>
      </c>
      <c r="Q16" s="432">
        <f>(F16-P16)/F16</f>
        <v>1</v>
      </c>
      <c r="R16" s="366"/>
      <c r="S16" s="357"/>
      <c r="T16" s="8"/>
      <c r="U16" s="8"/>
    </row>
    <row r="17" spans="1:21" s="7" customFormat="1" ht="17.25" customHeight="1" thickTop="1">
      <c r="E17" s="367" t="s">
        <v>322</v>
      </c>
      <c r="F17" s="428">
        <f>1000*F16/(VLOOKUP($A$2,'Asset Attributes'!$B$3:$D$25,3,0))</f>
        <v>35.209444553470114</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557">
        <f>1000*F14/(VLOOKUP($A$2,'Asset Attributes'!$B$3:$D$25,3,0))</f>
        <v>1.9771347361548506</v>
      </c>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6">G55</f>
        <v>CURRENT</v>
      </c>
      <c r="H19" s="200" t="str">
        <f t="shared" si="6"/>
        <v>FY25</v>
      </c>
      <c r="I19" s="200" t="str">
        <f t="shared" si="6"/>
        <v>FY26</v>
      </c>
      <c r="J19" s="200" t="str">
        <f t="shared" si="6"/>
        <v>FY27</v>
      </c>
      <c r="K19" s="200" t="str">
        <f t="shared" si="6"/>
        <v>FY28</v>
      </c>
      <c r="L19" s="200" t="str">
        <f t="shared" si="6"/>
        <v>FY29</v>
      </c>
      <c r="M19" s="200" t="str">
        <f t="shared" si="6"/>
        <v>FY30</v>
      </c>
      <c r="N19" s="200" t="str">
        <f t="shared" si="6"/>
        <v>FY31</v>
      </c>
      <c r="O19" s="200" t="str">
        <f t="shared" si="6"/>
        <v>FY32</v>
      </c>
      <c r="P19" s="200" t="str">
        <f t="shared" si="6"/>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22.259999999999998</v>
      </c>
      <c r="H20" s="499">
        <f>-1*(VLOOKUP($A$2,'Footprint Summary'!$B$244:T$266,COLUMNS('Footprint Summary'!$B$244:H$266)+1,0))</f>
        <v>21.9</v>
      </c>
      <c r="I20" s="499">
        <f>-1*(VLOOKUP($A$2,'Footprint Summary'!$B$244:U$266,COLUMNS('Footprint Summary'!$B$244:I$266)+1,0))</f>
        <v>334.31</v>
      </c>
      <c r="J20" s="499">
        <f>-1*(VLOOKUP($A$2,'Footprint Summary'!$B$244:V$266,COLUMNS('Footprint Summary'!$B$244:J$266)+1,0))</f>
        <v>315.12</v>
      </c>
      <c r="K20" s="499">
        <f>-1*(VLOOKUP($A$2,'Footprint Summary'!$B$244:W$266,COLUMNS('Footprint Summary'!$B$244:K$266)+1,0))</f>
        <v>289.91000000000003</v>
      </c>
      <c r="L20" s="499">
        <f>-1*(VLOOKUP($A$2,'Footprint Summary'!$B$244:X$266,COLUMNS('Footprint Summary'!$B$244:L$266)+1,0))</f>
        <v>243.8</v>
      </c>
      <c r="M20" s="499">
        <f>-1*(VLOOKUP($A$2,'Footprint Summary'!$B$244:Y$266,COLUMNS('Footprint Summary'!$B$244:M$266)+1,0))</f>
        <v>202.99</v>
      </c>
      <c r="N20" s="499">
        <f>-1*(VLOOKUP($A$2,'Footprint Summary'!$B$244:Z$266,COLUMNS('Footprint Summary'!$B$244:N$266)+1,0))</f>
        <v>182</v>
      </c>
      <c r="O20" s="499">
        <f>-1*(VLOOKUP($A$2,'Footprint Summary'!$B$244:AA$266,COLUMNS('Footprint Summary'!$B$244:O$266)+1,0))</f>
        <v>380.15999999999997</v>
      </c>
      <c r="P20" s="499">
        <f>-1*(VLOOKUP($A$2,'Footprint Summary'!$B$244:AB$266,COLUMNS('Footprint Summary'!$B$244:P$266)+1,0))</f>
        <v>348.48</v>
      </c>
      <c r="Q20" s="499">
        <f>SUM(G20:P20)</f>
        <v>2340.9299999999998</v>
      </c>
      <c r="R20" s="366"/>
      <c r="S20" s="357"/>
      <c r="T20" s="8"/>
      <c r="U20" s="8"/>
    </row>
    <row r="21" spans="1:21"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1106.8503040000001</v>
      </c>
      <c r="H21" s="499">
        <f>-1*(VLOOKUP($A$2,'Footprint Summary'!$B$302:$R$324,COLUMNS('Footprint Summary'!$B$302:H324)+1,0))</f>
        <v>1088.94976</v>
      </c>
      <c r="I21" s="499">
        <f>-1*(VLOOKUP($A$2,'Footprint Summary'!$B$302:$R$324,COLUMNS('Footprint Summary'!$B$302:I324)+1,0))</f>
        <v>673.06334400000003</v>
      </c>
      <c r="J21" s="499">
        <f>-1*(VLOOKUP($A$2,'Footprint Summary'!$B$302:$R$324,COLUMNS('Footprint Summary'!$B$302:J324)+1,0))</f>
        <v>634.42828799999995</v>
      </c>
      <c r="K21" s="499">
        <f>-1*(VLOOKUP($A$2,'Footprint Summary'!$B$302:$R$324,COLUMNS('Footprint Summary'!$B$302:K324)+1,0))</f>
        <v>542.46646400000009</v>
      </c>
      <c r="L21" s="499">
        <f>-1*(VLOOKUP($A$2,'Footprint Summary'!$B$302:$R$324,COLUMNS('Footprint Summary'!$B$302:L324)+1,0))</f>
        <v>456.18752000000001</v>
      </c>
      <c r="M21" s="499">
        <f>-1*(VLOOKUP($A$2,'Footprint Summary'!$B$302:$R$324,COLUMNS('Footprint Summary'!$B$302:M324)+1,0))</f>
        <v>379.82569599999999</v>
      </c>
      <c r="N21" s="499">
        <f>-1*(VLOOKUP($A$2,'Footprint Summary'!$B$302:$R$324,COLUMNS('Footprint Summary'!$B$302:N324)+1,0))</f>
        <v>312.5564</v>
      </c>
      <c r="O21" s="499">
        <f>-1*(VLOOKUP($A$2,'Footprint Summary'!$B$302:$R$324,COLUMNS('Footprint Summary'!$B$302:O324)+1,0))</f>
        <v>58.09305599999999</v>
      </c>
      <c r="P21" s="499">
        <f>-1*(VLOOKUP($A$2,'Footprint Summary'!$B$302:$R$324,COLUMNS('Footprint Summary'!$B$302:P324)+1,0))</f>
        <v>53.251967999999998</v>
      </c>
      <c r="Q21" s="499">
        <f t="shared" ref="Q21:Q27" si="7">SUM(G21:P21)</f>
        <v>5305.6728000000003</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77.220951389999996</v>
      </c>
      <c r="H22" s="499">
        <f>(VLOOKUP($A$2,'Footprint Summary'!$B$33:$R$55,COLUMNS('Footprint Summary'!$B$33:H$55)+1,0)*VLOOKUP($B$14,Assumptions!$B$17:$N$29,COLUMNS(Assumptions!$B$18:D$29)+1,0)/1000)</f>
        <v>77.220951389999996</v>
      </c>
      <c r="I22" s="499">
        <f>(VLOOKUP($A$2,'Footprint Summary'!$B$33:$R$55,COLUMNS('Footprint Summary'!$B$33:I$55)+1,0)*VLOOKUP($B$14,Assumptions!$B$17:$N$29,COLUMNS(Assumptions!$B$18:E$29)+1,0)/1000)</f>
        <v>58.670151390000008</v>
      </c>
      <c r="J22" s="499">
        <f>(VLOOKUP($A$2,'Footprint Summary'!$B$33:$R$55,COLUMNS('Footprint Summary'!$B$33:J$55)+1,0)*VLOOKUP($B$14,Assumptions!$B$17:$N$29,COLUMNS(Assumptions!$B$18:F$29)+1,0)/1000)</f>
        <v>58.670151390000008</v>
      </c>
      <c r="K22" s="499">
        <f>(VLOOKUP($A$2,'Footprint Summary'!$B$33:$R$55,COLUMNS('Footprint Summary'!$B$33:K$55)+1,0)*VLOOKUP($B$14,Assumptions!$B$17:$N$29,COLUMNS(Assumptions!$B$18:G$29)+1,0)/1000)</f>
        <v>58.670151390000008</v>
      </c>
      <c r="L22" s="499">
        <f>(VLOOKUP($A$2,'Footprint Summary'!$B$33:$R$55,COLUMNS('Footprint Summary'!$B$33:L$55)+1,0)*VLOOKUP($B$14,Assumptions!$B$17:$N$29,COLUMNS(Assumptions!$B$18:H$29)+1,0)/1000)</f>
        <v>58.670151390000008</v>
      </c>
      <c r="M22" s="499">
        <f>(VLOOKUP($A$2,'Footprint Summary'!$B$33:$R$55,COLUMNS('Footprint Summary'!$B$33:M$55)+1,0)*VLOOKUP($B$14,Assumptions!$B$17:$N$29,COLUMNS(Assumptions!$B$18:I$29)+1,0)/1000)</f>
        <v>58.670151390000008</v>
      </c>
      <c r="N22" s="499">
        <f>(VLOOKUP($A$2,'Footprint Summary'!$B$33:$R$55,COLUMNS('Footprint Summary'!$B$33:N$55)+1,0)*VLOOKUP($B$14,Assumptions!$B$17:$N$29,COLUMNS(Assumptions!$B$18:J$29)+1,0)/1000)</f>
        <v>38.058151390000006</v>
      </c>
      <c r="O22" s="499">
        <f>(VLOOKUP($A$2,'Footprint Summary'!$B$33:$R$55,COLUMNS('Footprint Summary'!$B$33:O$55)+1,0)*VLOOKUP($B$14,Assumptions!$B$17:$N$29,COLUMNS(Assumptions!$B$18:K$29)+1,0)/1000)</f>
        <v>38.058151390000006</v>
      </c>
      <c r="P22" s="499">
        <f>(VLOOKUP($A$2,'Footprint Summary'!$B$33:$R$55,COLUMNS('Footprint Summary'!$B$33:P$55)+1,0)*VLOOKUP($B$14,Assumptions!$B$17:$N$29,COLUMNS(Assumptions!$B$18:L$29)+1,0)/1000)</f>
        <v>19.507351390000007</v>
      </c>
      <c r="Q22" s="499">
        <f t="shared" si="7"/>
        <v>543.41631390000009</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18.550799999999999</v>
      </c>
      <c r="J23" s="499">
        <f>-1*(VLOOKUP($A$2,'Footprint Summary'!$B$273:V$295,COLUMNS('Footprint Summary'!$B$273:J$295)+1,0))</f>
        <v>18.550799999999999</v>
      </c>
      <c r="K23" s="499">
        <f>-1*(VLOOKUP($A$2,'Footprint Summary'!$B$273:W$295,COLUMNS('Footprint Summary'!$B$273:K$295)+1,0))</f>
        <v>18.550799999999999</v>
      </c>
      <c r="L23" s="499">
        <f>-1*(VLOOKUP($A$2,'Footprint Summary'!$B$273:X$295,COLUMNS('Footprint Summary'!$B$273:L$295)+1,0))</f>
        <v>18.550799999999999</v>
      </c>
      <c r="M23" s="499">
        <f>-1*(VLOOKUP($A$2,'Footprint Summary'!$B$273:Y$295,COLUMNS('Footprint Summary'!$B$273:M$295)+1,0))</f>
        <v>18.550799999999999</v>
      </c>
      <c r="N23" s="499">
        <f>-1*(VLOOKUP($A$2,'Footprint Summary'!$B$273:Z$295,COLUMNS('Footprint Summary'!$B$273:N$295)+1,0))</f>
        <v>39.162800000000004</v>
      </c>
      <c r="O23" s="499">
        <f>-1*(VLOOKUP($A$2,'Footprint Summary'!$B$273:AA$295,COLUMNS('Footprint Summary'!$B$273:O$295)+1,0))</f>
        <v>39.162800000000004</v>
      </c>
      <c r="P23" s="499">
        <f>-1*(VLOOKUP($A$2,'Footprint Summary'!$B$273:AB$295,COLUMNS('Footprint Summary'!$B$273:P$295)+1,0))</f>
        <v>57.7136</v>
      </c>
      <c r="Q23" s="499">
        <f t="shared" si="7"/>
        <v>228.79320000000001</v>
      </c>
      <c r="R23" s="366"/>
      <c r="S23" s="357"/>
      <c r="T23" s="8"/>
      <c r="U23" s="8"/>
    </row>
    <row r="24" spans="1:21" s="7" customFormat="1" ht="19.5" customHeight="1">
      <c r="A24" s="419" t="s">
        <v>319</v>
      </c>
      <c r="B24" s="419" t="s">
        <v>329</v>
      </c>
      <c r="E24" s="425" t="s">
        <v>321</v>
      </c>
      <c r="F24" s="499">
        <v>0</v>
      </c>
      <c r="G24" s="499">
        <f>VLOOKUP($A$2,'Footprint Summary'!$B$216:$R$238,COLUMNS('Footprint Summary'!$B$216:G238)+1,0)</f>
        <v>88.900793189339595</v>
      </c>
      <c r="H24" s="499">
        <f>VLOOKUP($A$2,'Footprint Summary'!$B$216:$R$238,COLUMNS('Footprint Summary'!$B$216:H238)+1,0)</f>
        <v>81.999741843797153</v>
      </c>
      <c r="I24" s="499">
        <f>VLOOKUP($A$2,'Footprint Summary'!$B$216:$R$238,COLUMNS('Footprint Summary'!$B$216:I238)+1,0)</f>
        <v>75.098690498254712</v>
      </c>
      <c r="J24" s="499">
        <f>VLOOKUP($A$2,'Footprint Summary'!$B$216:$R$238,COLUMNS('Footprint Summary'!$B$216:J238)+1,0)</f>
        <v>68.197639152712256</v>
      </c>
      <c r="K24" s="499">
        <f>VLOOKUP($A$2,'Footprint Summary'!$B$216:$R$238,COLUMNS('Footprint Summary'!$B$216:K238)+1,0)</f>
        <v>61.296587807169807</v>
      </c>
      <c r="L24" s="499">
        <f>VLOOKUP($A$2,'Footprint Summary'!$B$216:$R$238,COLUMNS('Footprint Summary'!$B$216:L238)+1,0)</f>
        <v>54.395536461627358</v>
      </c>
      <c r="M24" s="499">
        <f>VLOOKUP($A$2,'Footprint Summary'!$B$216:$R$238,COLUMNS('Footprint Summary'!$B$216:M238)+1,0)</f>
        <v>47.49448511608491</v>
      </c>
      <c r="N24" s="499">
        <f>VLOOKUP($A$2,'Footprint Summary'!$B$216:$R$238,COLUMNS('Footprint Summary'!$B$216:N238)+1,0)</f>
        <v>40.593433770542461</v>
      </c>
      <c r="O24" s="499">
        <f>VLOOKUP($A$2,'Footprint Summary'!$B$216:$R$238,COLUMNS('Footprint Summary'!$B$216:O238)+1,0)</f>
        <v>33.692382425000005</v>
      </c>
      <c r="P24" s="499">
        <f>VLOOKUP($A$2,'Footprint Summary'!$B$216:$R$238,COLUMNS('Footprint Summary'!$B$216:P238)+1,0)</f>
        <v>33.692382424999998</v>
      </c>
      <c r="Q24" s="499">
        <f t="shared" si="7"/>
        <v>585.36167268952829</v>
      </c>
      <c r="R24" s="366"/>
      <c r="S24" s="357"/>
      <c r="T24" s="8"/>
      <c r="U24" s="8"/>
    </row>
    <row r="25" spans="1:21" s="7" customFormat="1" ht="19.5" customHeight="1">
      <c r="A25" s="419" t="s">
        <v>319</v>
      </c>
      <c r="B25" s="419" t="s">
        <v>319</v>
      </c>
      <c r="E25" s="425" t="s">
        <v>321</v>
      </c>
      <c r="F25" s="499">
        <f>VLOOKUP($A$2,'Footprint Summary'!$B$216:$R$238,COLUMNS('Footprint Summary'!$B$216:F238)+1,0)-F24</f>
        <v>95.801844534882051</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7"/>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77.220951389999996</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7"/>
        <v>0</v>
      </c>
      <c r="R26" s="366"/>
      <c r="S26" s="357"/>
      <c r="T26" s="8"/>
      <c r="U26" s="8"/>
    </row>
    <row r="27" spans="1:21" s="7" customFormat="1" ht="19.5" customHeight="1">
      <c r="A27" s="368" t="str">
        <f>VLOOKUP($A$2,'Asset Attributes'!$B$3:$D$25,2,0)</f>
        <v>NSW2</v>
      </c>
      <c r="B27" s="368" t="s">
        <v>330</v>
      </c>
      <c r="E27" s="425" t="s">
        <v>321</v>
      </c>
      <c r="F27" s="367">
        <f>VLOOKUP($A$2,'Footprint Summary'!$B$4:$R$26,COLUMNS('Footprint Summary'!$B$4:F$26)+1,0)*VLOOKUP($A$13,Assumptions!$A$4:$N$14,COLUMNS(Assumptions!$A$4:B$14)+1,0)</f>
        <v>1202.15248</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7"/>
        <v>0</v>
      </c>
      <c r="R27" s="366"/>
      <c r="S27" s="357"/>
      <c r="T27" s="8"/>
      <c r="U27" s="8"/>
    </row>
    <row r="28" spans="1:21" s="7" customFormat="1" ht="19.5" customHeight="1" thickBot="1">
      <c r="E28" s="425" t="s">
        <v>321</v>
      </c>
      <c r="F28" s="434">
        <f>SUM(F20:F23)</f>
        <v>0</v>
      </c>
      <c r="G28" s="434">
        <f t="shared" ref="G28:P28" si="8">SUM(G20:G23)</f>
        <v>1206.33125539</v>
      </c>
      <c r="H28" s="434">
        <f t="shared" si="8"/>
        <v>1188.07071139</v>
      </c>
      <c r="I28" s="434">
        <f t="shared" si="8"/>
        <v>1084.5942953900001</v>
      </c>
      <c r="J28" s="434">
        <f t="shared" si="8"/>
        <v>1026.7692393899999</v>
      </c>
      <c r="K28" s="434">
        <f t="shared" si="8"/>
        <v>909.59741539000015</v>
      </c>
      <c r="L28" s="434">
        <f t="shared" si="8"/>
        <v>777.20847139</v>
      </c>
      <c r="M28" s="434">
        <f t="shared" si="8"/>
        <v>660.03664738999998</v>
      </c>
      <c r="N28" s="434">
        <f t="shared" si="8"/>
        <v>571.77735138999992</v>
      </c>
      <c r="O28" s="434">
        <f t="shared" si="8"/>
        <v>515.47400739</v>
      </c>
      <c r="P28" s="434">
        <f t="shared" si="8"/>
        <v>478.95291938999998</v>
      </c>
      <c r="Q28" s="434">
        <f t="shared" ref="Q28" si="9">SUM(Q20:Q24)</f>
        <v>9004.1739865895288</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10">G55</f>
        <v>CURRENT</v>
      </c>
      <c r="H30" s="200" t="str">
        <f t="shared" si="10"/>
        <v>FY25</v>
      </c>
      <c r="I30" s="200" t="str">
        <f t="shared" si="10"/>
        <v>FY26</v>
      </c>
      <c r="J30" s="200" t="str">
        <f t="shared" si="10"/>
        <v>FY27</v>
      </c>
      <c r="K30" s="200" t="str">
        <f t="shared" si="10"/>
        <v>FY28</v>
      </c>
      <c r="L30" s="200" t="str">
        <f t="shared" si="10"/>
        <v>FY29</v>
      </c>
      <c r="M30" s="200" t="str">
        <f t="shared" si="10"/>
        <v>FY30</v>
      </c>
      <c r="N30" s="200" t="str">
        <f t="shared" si="10"/>
        <v>FY31</v>
      </c>
      <c r="O30" s="200" t="str">
        <f t="shared" si="10"/>
        <v>FY32</v>
      </c>
      <c r="P30" s="200" t="str">
        <f t="shared" si="10"/>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494912.41000000003</v>
      </c>
      <c r="G32" s="424">
        <f>VLOOKUP($A$2,'Costs Summary'!$B$154:$R$176,COLUMNS('Costs Summary'!$B$154:G$176)+1,0)</f>
        <v>502816.28787558601</v>
      </c>
      <c r="H32" s="424">
        <f>VLOOKUP($A$2,'Costs Summary'!$B$154:$R$176,COLUMNS('Costs Summary'!$B$154:H$176)+1,0)</f>
        <v>520414.85795123148</v>
      </c>
      <c r="I32" s="424">
        <f>VLOOKUP($A$2,'Costs Summary'!$B$154:$R$176,COLUMNS('Costs Summary'!$B$154:I$176)+1,0)</f>
        <v>538629.37797952455</v>
      </c>
      <c r="J32" s="424">
        <f>VLOOKUP($A$2,'Costs Summary'!$B$154:$R$176,COLUMNS('Costs Summary'!$B$154:J$176)+1,0)</f>
        <v>557481.40620880784</v>
      </c>
      <c r="K32" s="424">
        <f>VLOOKUP($A$2,'Costs Summary'!$B$154:$R$176,COLUMNS('Costs Summary'!$B$154:K$176)+1,0)</f>
        <v>576993.25542611605</v>
      </c>
      <c r="L32" s="424">
        <f>VLOOKUP($A$2,'Costs Summary'!$B$154:$R$176,COLUMNS('Costs Summary'!$B$154:L$176)+1,0)</f>
        <v>597188.01936603</v>
      </c>
      <c r="M32" s="424">
        <f>VLOOKUP($A$2,'Costs Summary'!$B$154:$R$176,COLUMNS('Costs Summary'!$B$154:M$176)+1,0)</f>
        <v>618089.60004384106</v>
      </c>
      <c r="N32" s="424">
        <f>VLOOKUP($A$2,'Costs Summary'!$B$154:$R$176,COLUMNS('Costs Summary'!$B$154:N$176)+1,0)</f>
        <v>741707.52005260927</v>
      </c>
      <c r="O32" s="424">
        <f>VLOOKUP($A$2,'Costs Summary'!$B$154:$R$176,COLUMNS('Costs Summary'!$B$154:O$176)+1,0)</f>
        <v>767667.28325445054</v>
      </c>
      <c r="P32" s="424">
        <f>VLOOKUP($A$2,'Costs Summary'!$B$154:$R$176,COLUMNS('Costs Summary'!$B$154:P$176)+1,0)</f>
        <v>794535.63816835626</v>
      </c>
      <c r="Q32" s="433">
        <f>SUM(G32:P32)</f>
        <v>6215523.2463265527</v>
      </c>
      <c r="R32" s="366"/>
      <c r="S32" s="357"/>
      <c r="T32" s="8"/>
      <c r="U32" s="8"/>
    </row>
    <row r="33" spans="1:21" s="7" customFormat="1" ht="17.25" customHeight="1">
      <c r="A33" s="368" t="s">
        <v>284</v>
      </c>
      <c r="B33" s="368" t="s">
        <v>335</v>
      </c>
      <c r="C33" s="423"/>
      <c r="D33" s="423"/>
      <c r="E33" s="423"/>
      <c r="F33" s="424">
        <f>VLOOKUP($A$2,'Costs Summary'!$B$183:$R$205,COLUMNS('Costs Summary'!$B$183:F$205)+1,0)</f>
        <v>33772.9948</v>
      </c>
      <c r="G33" s="424">
        <f>VLOOKUP($A$2,'Costs Summary'!$B$183:$R$205,COLUMNS('Costs Summary'!$B$183:G$205)+1,0)</f>
        <v>37524.341272977486</v>
      </c>
      <c r="H33" s="424">
        <f>VLOOKUP($A$2,'Costs Summary'!$B$183:$R$205,COLUMNS('Costs Summary'!$B$183:H$205)+1,0)</f>
        <v>38650.071511166811</v>
      </c>
      <c r="I33" s="424">
        <f>VLOOKUP($A$2,'Costs Summary'!$B$183:$R$205,COLUMNS('Costs Summary'!$B$183:I$205)+1,0)</f>
        <v>39809.573656501816</v>
      </c>
      <c r="J33" s="424">
        <f>VLOOKUP($A$2,'Costs Summary'!$B$183:$R$205,COLUMNS('Costs Summary'!$B$183:J$205)+1,0)</f>
        <v>41003.860866196876</v>
      </c>
      <c r="K33" s="424">
        <f>VLOOKUP($A$2,'Costs Summary'!$B$183:$R$205,COLUMNS('Costs Summary'!$B$183:K$205)+1,0)</f>
        <v>42233.976692182776</v>
      </c>
      <c r="L33" s="424">
        <f>VLOOKUP($A$2,'Costs Summary'!$B$183:$R$205,COLUMNS('Costs Summary'!$B$183:L$205)+1,0)</f>
        <v>43500.995992948265</v>
      </c>
      <c r="M33" s="424">
        <f>VLOOKUP($A$2,'Costs Summary'!$B$183:$R$205,COLUMNS('Costs Summary'!$B$183:M$205)+1,0)</f>
        <v>44806.025872736711</v>
      </c>
      <c r="N33" s="424">
        <f>VLOOKUP($A$2,'Costs Summary'!$B$183:$R$205,COLUMNS('Costs Summary'!$B$183:N$205)+1,0)</f>
        <v>46150.206648918815</v>
      </c>
      <c r="O33" s="424">
        <f>VLOOKUP($A$2,'Costs Summary'!$B$183:$R$205,COLUMNS('Costs Summary'!$B$183:O$205)+1,0)</f>
        <v>47534.712848386385</v>
      </c>
      <c r="P33" s="424">
        <f>VLOOKUP($A$2,'Costs Summary'!$B$183:$R$205,COLUMNS('Costs Summary'!$B$183:P$205)+1,0)</f>
        <v>48960.754233837972</v>
      </c>
      <c r="Q33" s="433">
        <f>SUM(G33:P33)</f>
        <v>430174.51959585387</v>
      </c>
      <c r="R33" s="366"/>
      <c r="S33" s="357"/>
      <c r="T33" s="8"/>
      <c r="U33" s="8"/>
    </row>
    <row r="34" spans="1:21" s="7" customFormat="1" ht="17.25" customHeight="1">
      <c r="A34" s="368" t="s">
        <v>284</v>
      </c>
      <c r="B34" s="368" t="s">
        <v>336</v>
      </c>
      <c r="H34" s="424">
        <f>VLOOKUP($A$2,'Costs Summary'!$B$241:$R$263,COLUMNS('Costs Summary'!$B$241:H263)+1,0)</f>
        <v>4633.2570833999998</v>
      </c>
      <c r="I34" s="424">
        <f>VLOOKUP($A$2,'Costs Summary'!$B$241:$R$263,COLUMNS('Costs Summary'!$B$241:I263)+1,0)</f>
        <v>4633.2570833999998</v>
      </c>
      <c r="J34" s="424">
        <f>VLOOKUP($A$2,'Costs Summary'!$B$241:$R$263,COLUMNS('Costs Summary'!$B$241:J263)+1,0)</f>
        <v>4633.2570833999998</v>
      </c>
      <c r="K34" s="424">
        <f>VLOOKUP($A$2,'Costs Summary'!$B$241:$R$263,COLUMNS('Costs Summary'!$B$241:K263)+1,0)</f>
        <v>4633.2570833999998</v>
      </c>
      <c r="L34" s="424">
        <f>VLOOKUP($A$2,'Costs Summary'!$B$241:$R$263,COLUMNS('Costs Summary'!$B$241:L263)+1,0)</f>
        <v>4633.2570833999998</v>
      </c>
      <c r="M34" s="424">
        <f>VLOOKUP($A$2,'Costs Summary'!$B$241:$R$263,COLUMNS('Costs Summary'!$B$241:M263)+1,0)</f>
        <v>4633.2570833999998</v>
      </c>
      <c r="N34" s="424">
        <f>VLOOKUP($A$2,'Costs Summary'!$B$241:$R$263,COLUMNS('Costs Summary'!$B$241:N263)+1,0)</f>
        <v>4633.2570833999998</v>
      </c>
      <c r="O34" s="424">
        <f>VLOOKUP($A$2,'Costs Summary'!$B$241:$R$263,COLUMNS('Costs Summary'!$B$241:O263)+1,0)</f>
        <v>4633.2570833999998</v>
      </c>
      <c r="P34" s="424">
        <f>VLOOKUP($A$2,'Costs Summary'!$B$241:$R$263,COLUMNS('Costs Summary'!$B$241:P263)+1,0)</f>
        <v>4633.2570833999998</v>
      </c>
      <c r="Q34" s="433">
        <f>SUM(G34:P34)</f>
        <v>41699.313750599998</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4919.984510627829</v>
      </c>
      <c r="I35" s="424">
        <f>VLOOKUP($A$2,'Costs Summary'!$B$212:$R$234,COLUMNS('Costs Summary'!$B$212:I$234)+1,0)</f>
        <v>4505.9214298952829</v>
      </c>
      <c r="J35" s="424">
        <f>VLOOKUP($A$2,'Costs Summary'!$B$212:$R$234,COLUMNS('Costs Summary'!$B$212:J$234)+1,0)</f>
        <v>4091.8583491627355</v>
      </c>
      <c r="K35" s="424">
        <f>VLOOKUP($A$2,'Costs Summary'!$B$212:$R$234,COLUMNS('Costs Summary'!$B$212:K$234)+1,0)</f>
        <v>3677.7952684301886</v>
      </c>
      <c r="L35" s="424">
        <f>VLOOKUP($A$2,'Costs Summary'!$B$212:$R$234,COLUMNS('Costs Summary'!$B$212:L$234)+1,0)</f>
        <v>3263.7321876976416</v>
      </c>
      <c r="M35" s="424">
        <f>VLOOKUP($A$2,'Costs Summary'!$B$212:$R$234,COLUMNS('Costs Summary'!$B$212:M$234)+1,0)</f>
        <v>2849.6691069650947</v>
      </c>
      <c r="N35" s="424">
        <f>VLOOKUP($A$2,'Costs Summary'!$B$212:$R$234,COLUMNS('Costs Summary'!$B$212:N$234)+1,0)</f>
        <v>2435.6060262325477</v>
      </c>
      <c r="O35" s="424">
        <f>VLOOKUP($A$2,'Costs Summary'!$B$212:$R$234,COLUMNS('Costs Summary'!$B$212:O$234)+1,0)</f>
        <v>2021.5429455000003</v>
      </c>
      <c r="P35" s="424">
        <f>VLOOKUP($A$2,'Costs Summary'!$B$212:$R$234,COLUMNS('Costs Summary'!$B$212:P$234)+1,0)</f>
        <v>2021.5429454999999</v>
      </c>
      <c r="Q35" s="433">
        <f>SUM(G35:P35)</f>
        <v>29787.652770011326</v>
      </c>
      <c r="R35" s="366"/>
      <c r="S35" s="357"/>
      <c r="T35" s="8"/>
      <c r="U35" s="8"/>
    </row>
    <row r="36" spans="1:21" s="7" customFormat="1" ht="17.25" customHeight="1" thickBot="1">
      <c r="A36" s="437" t="s">
        <v>338</v>
      </c>
      <c r="C36" s="423"/>
      <c r="D36" s="423"/>
      <c r="E36" s="368" t="s">
        <v>669</v>
      </c>
      <c r="F36" s="461">
        <f t="shared" ref="F36:P36" si="11">SUM(F32:F35)</f>
        <v>528685.40480000002</v>
      </c>
      <c r="G36" s="461">
        <f t="shared" si="11"/>
        <v>540340.62914856349</v>
      </c>
      <c r="H36" s="461">
        <f t="shared" si="11"/>
        <v>568618.17105642613</v>
      </c>
      <c r="I36" s="461">
        <f t="shared" si="11"/>
        <v>587578.13014932175</v>
      </c>
      <c r="J36" s="461">
        <f t="shared" si="11"/>
        <v>607210.38250756753</v>
      </c>
      <c r="K36" s="461">
        <f t="shared" si="11"/>
        <v>627538.28447012906</v>
      </c>
      <c r="L36" s="461">
        <f t="shared" si="11"/>
        <v>648586.004630076</v>
      </c>
      <c r="M36" s="461">
        <f t="shared" si="11"/>
        <v>670378.55210694287</v>
      </c>
      <c r="N36" s="461">
        <f t="shared" si="11"/>
        <v>794926.58981116069</v>
      </c>
      <c r="O36" s="461">
        <f t="shared" si="11"/>
        <v>821856.79613173695</v>
      </c>
      <c r="P36" s="461">
        <f t="shared" si="11"/>
        <v>850151.19243109424</v>
      </c>
      <c r="Q36" s="462">
        <f t="shared" ref="Q36" si="12">SUM(Q32:Q35)</f>
        <v>6717184.7324430188</v>
      </c>
      <c r="R36" s="366"/>
      <c r="S36" s="357"/>
      <c r="T36" s="8"/>
      <c r="U36" s="8"/>
    </row>
    <row r="37" spans="1:21" s="7" customFormat="1" ht="17.25" customHeight="1" thickTop="1" thickBot="1">
      <c r="C37" s="423"/>
      <c r="D37" s="423"/>
      <c r="E37" s="368" t="s">
        <v>340</v>
      </c>
      <c r="F37" s="468">
        <f>F36/(VLOOKUP($A$2,'Asset Attributes'!$B$3:$D$25,3,0))</f>
        <v>13.536252267199222</v>
      </c>
      <c r="G37" s="468">
        <f>G36/(VLOOKUP($A$2,'Asset Attributes'!$B$3:$D$25,3,0))</f>
        <v>13.834668027461491</v>
      </c>
      <c r="H37" s="468">
        <f>H36/(VLOOKUP($A$2,'Asset Attributes'!$B$3:$D$25,3,0))</f>
        <v>14.558675040490209</v>
      </c>
      <c r="I37" s="468">
        <f>I36/(VLOOKUP($A$2,'Asset Attributes'!$B$3:$D$25,3,0))</f>
        <v>15.044118343685428</v>
      </c>
      <c r="J37" s="468">
        <f>J36/(VLOOKUP($A$2,'Asset Attributes'!$B$3:$D$25,3,0))</f>
        <v>15.546774778082483</v>
      </c>
      <c r="K37" s="468">
        <f>K36/(VLOOKUP($A$2,'Asset Attributes'!$B$3:$D$25,3,0))</f>
        <v>16.067242350158207</v>
      </c>
      <c r="L37" s="468">
        <f>L36/(VLOOKUP($A$2,'Asset Attributes'!$B$3:$D$25,3,0))</f>
        <v>16.606139863022658</v>
      </c>
      <c r="M37" s="468">
        <f>M36/(VLOOKUP($A$2,'Asset Attributes'!$B$3:$D$25,3,0))</f>
        <v>17.164107640293491</v>
      </c>
      <c r="N37" s="468">
        <f>N36/(VLOOKUP($A$2,'Asset Attributes'!$B$3:$D$25,3,0))</f>
        <v>20.352986399650785</v>
      </c>
      <c r="O37" s="468">
        <f>O36/(VLOOKUP($A$2,'Asset Attributes'!$B$3:$D$25,3,0))</f>
        <v>21.042496764516908</v>
      </c>
      <c r="P37" s="468">
        <f>P36/(VLOOKUP($A$2,'Asset Attributes'!$B$3:$D$25,3,0))</f>
        <v>21.766935310727764</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494912.41000000003</v>
      </c>
      <c r="G39" s="424">
        <f>VLOOKUP($A$2,'Costs Summary'!$B$4:$R$26,COLUMNS('Costs Summary'!$B$4:G$26)+1,0)</f>
        <v>492903.44718282181</v>
      </c>
      <c r="H39" s="424">
        <f>VLOOKUP($A$2,'Costs Summary'!$B$4:$R$26,COLUMNS('Costs Summary'!$B$4:H$26)+1,0)</f>
        <v>510155.06783422054</v>
      </c>
      <c r="I39" s="424">
        <f>VLOOKUP($A$2,'Costs Summary'!$B$4:$R$26,COLUMNS('Costs Summary'!$B$4:I$26)+1,0)</f>
        <v>359878.18466590153</v>
      </c>
      <c r="J39" s="424">
        <f>VLOOKUP($A$2,'Costs Summary'!$B$4:$R$26,COLUMNS('Costs Summary'!$B$4:J$26)+1,0)</f>
        <v>372473.92112920806</v>
      </c>
      <c r="K39" s="424">
        <f>VLOOKUP($A$2,'Costs Summary'!$B$4:$R$26,COLUMNS('Costs Summary'!$B$4:K$26)+1,0)</f>
        <v>376031.16445499827</v>
      </c>
      <c r="L39" s="424">
        <f>VLOOKUP($A$2,'Costs Summary'!$B$4:$R$26,COLUMNS('Costs Summary'!$B$4:L$26)+1,0)</f>
        <v>389192.25521092321</v>
      </c>
      <c r="M39" s="424">
        <f>VLOOKUP($A$2,'Costs Summary'!$B$4:$R$26,COLUMNS('Costs Summary'!$B$4:M$26)+1,0)</f>
        <v>402813.98414330551</v>
      </c>
      <c r="N39" s="424">
        <f>VLOOKUP($A$2,'Costs Summary'!$B$4:$R$26,COLUMNS('Costs Summary'!$B$4:N$26)+1,0)</f>
        <v>468754.28630702454</v>
      </c>
      <c r="O39" s="424">
        <f>VLOOKUP($A$2,'Costs Summary'!$B$4:$R$26,COLUMNS('Costs Summary'!$B$4:O$26)+1,0)</f>
        <v>101758.87621299017</v>
      </c>
      <c r="P39" s="424">
        <f>VLOOKUP($A$2,'Costs Summary'!$B$4:$R$26,COLUMNS('Costs Summary'!$B$4:P$26)+1,0)</f>
        <v>105320.43688044483</v>
      </c>
      <c r="Q39" s="433">
        <f>SUM(G39:P39)</f>
        <v>3579281.6240218384</v>
      </c>
      <c r="R39" s="366"/>
      <c r="S39" s="357"/>
      <c r="T39" s="8"/>
      <c r="U39" s="8"/>
    </row>
    <row r="40" spans="1:21" s="7" customFormat="1" ht="17.25" customHeight="1">
      <c r="A40" s="368" t="s">
        <v>284</v>
      </c>
      <c r="B40" s="368" t="s">
        <v>343</v>
      </c>
      <c r="C40" s="423"/>
      <c r="D40" s="423"/>
      <c r="E40" s="423"/>
      <c r="F40" s="424">
        <f>VLOOKUP($A$2,'Costs Summary'!$B$33:$R$55,COLUMNS('Costs Summary'!$B$33:F$55)+1,0)</f>
        <v>33772.9948</v>
      </c>
      <c r="G40" s="424">
        <f>VLOOKUP($A$2,'Costs Summary'!$B$33:$R$55,COLUMNS('Costs Summary'!$B$33:G$55)+1,0)</f>
        <v>37524.341272977486</v>
      </c>
      <c r="H40" s="424">
        <f>VLOOKUP($A$2,'Costs Summary'!$B$33:$R$55,COLUMNS('Costs Summary'!$B$33:H$55)+1,0)</f>
        <v>38650.071511166811</v>
      </c>
      <c r="I40" s="424">
        <f>VLOOKUP($A$2,'Costs Summary'!$B$33:$R$55,COLUMNS('Costs Summary'!$B$33:I$55)+1,0)</f>
        <v>30246.114184767463</v>
      </c>
      <c r="J40" s="424">
        <f>VLOOKUP($A$2,'Costs Summary'!$B$33:$R$55,COLUMNS('Costs Summary'!$B$33:J$55)+1,0)</f>
        <v>31153.497610310485</v>
      </c>
      <c r="K40" s="424">
        <f>VLOOKUP($A$2,'Costs Summary'!$B$33:$R$55,COLUMNS('Costs Summary'!$B$33:K$55)+1,0)</f>
        <v>32088.102538619798</v>
      </c>
      <c r="L40" s="424">
        <f>VLOOKUP($A$2,'Costs Summary'!$B$33:$R$55,COLUMNS('Costs Summary'!$B$33:L$55)+1,0)</f>
        <v>33050.745614778396</v>
      </c>
      <c r="M40" s="424">
        <f>VLOOKUP($A$2,'Costs Summary'!$B$33:$R$55,COLUMNS('Costs Summary'!$B$33:M$55)+1,0)</f>
        <v>34042.267983221747</v>
      </c>
      <c r="N40" s="424">
        <f>VLOOKUP($A$2,'Costs Summary'!$B$33:$R$55,COLUMNS('Costs Summary'!$B$33:N$55)+1,0)</f>
        <v>22745.013104717938</v>
      </c>
      <c r="O40" s="424">
        <f>VLOOKUP($A$2,'Costs Summary'!$B$33:$R$55,COLUMNS('Costs Summary'!$B$33:O$55)+1,0)</f>
        <v>23427.363497859478</v>
      </c>
      <c r="P40" s="424">
        <f>VLOOKUP($A$2,'Costs Summary'!$B$33:$R$55,COLUMNS('Costs Summary'!$B$33:P$55)+1,0)</f>
        <v>12368.335535459242</v>
      </c>
      <c r="Q40" s="433">
        <f>SUM(G40:P40)</f>
        <v>295295.85285387887</v>
      </c>
      <c r="R40" s="366"/>
      <c r="S40" s="357"/>
      <c r="T40" s="8"/>
      <c r="U40" s="8"/>
    </row>
    <row r="41" spans="1:21" s="7" customFormat="1" ht="17.25" customHeight="1">
      <c r="A41" s="368" t="s">
        <v>284</v>
      </c>
      <c r="B41" s="368" t="s">
        <v>336</v>
      </c>
      <c r="H41" s="424">
        <f>VLOOKUP($A$2,'Costs Summary'!$B$125:$R$147,COLUMNS('Costs Summary'!$B$125:H$147)+1,0)</f>
        <v>4633.2570833999998</v>
      </c>
      <c r="I41" s="424">
        <f>VLOOKUP($A$2,'Costs Summary'!$B$125:$R$147,COLUMNS('Costs Summary'!$B$125:I$147)+1,0)</f>
        <v>3520.2090834000005</v>
      </c>
      <c r="J41" s="424">
        <f>VLOOKUP($A$2,'Costs Summary'!$B$125:$R$147,COLUMNS('Costs Summary'!$B$125:J$147)+1,0)</f>
        <v>3520.2090834000005</v>
      </c>
      <c r="K41" s="424">
        <f>VLOOKUP($A$2,'Costs Summary'!$B$125:$R$147,COLUMNS('Costs Summary'!$B$125:K$147)+1,0)</f>
        <v>3520.2090834000005</v>
      </c>
      <c r="L41" s="424">
        <f>VLOOKUP($A$2,'Costs Summary'!$B$125:$R$147,COLUMNS('Costs Summary'!$B$125:L$147)+1,0)</f>
        <v>3520.2090834000005</v>
      </c>
      <c r="M41" s="424">
        <f>VLOOKUP($A$2,'Costs Summary'!$B$125:$R$147,COLUMNS('Costs Summary'!$B$125:M$147)+1,0)</f>
        <v>3520.2090834000005</v>
      </c>
      <c r="N41" s="424">
        <f>VLOOKUP($A$2,'Costs Summary'!$B$125:$R$147,COLUMNS('Costs Summary'!$B$125:N$147)+1,0)</f>
        <v>2283.4890834000003</v>
      </c>
      <c r="O41" s="424">
        <f>VLOOKUP($A$2,'Costs Summary'!$B$125:$R$147,COLUMNS('Costs Summary'!$B$125:O$147)+1,0)</f>
        <v>2283.4890834000003</v>
      </c>
      <c r="P41" s="424">
        <f>VLOOKUP($A$2,'Costs Summary'!$B$125:$R$147,COLUMNS('Costs Summary'!$B$125:P$147)+1,0)</f>
        <v>1170.4410834000005</v>
      </c>
      <c r="Q41" s="433">
        <f t="shared" ref="Q41:Q42" si="13">SUM(G41:P41)</f>
        <v>27971.721750600005</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4919.984510627829</v>
      </c>
      <c r="I42" s="424">
        <f>VLOOKUP($A$2,'Costs Summary'!$B$212:$R$234,COLUMNS('Costs Summary'!$B$212:I$234)+1,0)</f>
        <v>4505.9214298952829</v>
      </c>
      <c r="J42" s="424">
        <f>VLOOKUP($A$2,'Costs Summary'!$B$212:$R$234,COLUMNS('Costs Summary'!$B$212:J$234)+1,0)</f>
        <v>4091.8583491627355</v>
      </c>
      <c r="K42" s="424">
        <f>VLOOKUP($A$2,'Costs Summary'!$B$212:$R$234,COLUMNS('Costs Summary'!$B$212:K$234)+1,0)</f>
        <v>3677.7952684301886</v>
      </c>
      <c r="L42" s="424">
        <f>VLOOKUP($A$2,'Costs Summary'!$B$212:$R$234,COLUMNS('Costs Summary'!$B$212:L$234)+1,0)</f>
        <v>3263.7321876976416</v>
      </c>
      <c r="M42" s="424">
        <f>VLOOKUP($A$2,'Costs Summary'!$B$212:$R$234,COLUMNS('Costs Summary'!$B$212:M$234)+1,0)</f>
        <v>2849.6691069650947</v>
      </c>
      <c r="N42" s="424">
        <f>VLOOKUP($A$2,'Costs Summary'!$B$212:$R$234,COLUMNS('Costs Summary'!$B$212:N$234)+1,0)</f>
        <v>2435.6060262325477</v>
      </c>
      <c r="O42" s="424">
        <f>VLOOKUP($A$2,'Costs Summary'!$B$212:$R$234,COLUMNS('Costs Summary'!$B$212:O$234)+1,0)</f>
        <v>2021.5429455000003</v>
      </c>
      <c r="P42" s="424">
        <f>VLOOKUP($A$2,'Costs Summary'!$B$212:$R$234,COLUMNS('Costs Summary'!$B$212:P$234)+1,0)</f>
        <v>2021.5429454999999</v>
      </c>
      <c r="Q42" s="433">
        <f t="shared" si="13"/>
        <v>29787.652770011326</v>
      </c>
      <c r="R42" s="366"/>
      <c r="S42" s="357"/>
      <c r="T42" s="8"/>
      <c r="U42" s="8"/>
    </row>
    <row r="43" spans="1:21" s="7" customFormat="1" ht="17.25" customHeight="1" thickBot="1">
      <c r="A43" s="437" t="s">
        <v>338</v>
      </c>
      <c r="E43" s="368" t="s">
        <v>669</v>
      </c>
      <c r="F43" s="461">
        <f t="shared" ref="F43:P43" si="14">SUM(F39:F42)</f>
        <v>528685.40480000002</v>
      </c>
      <c r="G43" s="461">
        <f t="shared" si="14"/>
        <v>530427.78845579934</v>
      </c>
      <c r="H43" s="461">
        <f t="shared" si="14"/>
        <v>558358.38093941519</v>
      </c>
      <c r="I43" s="461">
        <f t="shared" si="14"/>
        <v>398150.4293639643</v>
      </c>
      <c r="J43" s="461">
        <f t="shared" si="14"/>
        <v>411239.48617208132</v>
      </c>
      <c r="K43" s="461">
        <f t="shared" si="14"/>
        <v>415317.27134544827</v>
      </c>
      <c r="L43" s="461">
        <f t="shared" si="14"/>
        <v>429026.94209679932</v>
      </c>
      <c r="M43" s="461">
        <f t="shared" si="14"/>
        <v>443226.13031689235</v>
      </c>
      <c r="N43" s="461">
        <f t="shared" si="14"/>
        <v>496218.39452137501</v>
      </c>
      <c r="O43" s="461">
        <f t="shared" si="14"/>
        <v>129491.27173974965</v>
      </c>
      <c r="P43" s="461">
        <f t="shared" si="14"/>
        <v>120880.75644480406</v>
      </c>
      <c r="Q43" s="462">
        <f t="shared" ref="Q43" si="15">SUM(Q39:Q42)</f>
        <v>3932336.8513963283</v>
      </c>
      <c r="R43" s="366"/>
      <c r="S43" s="357"/>
      <c r="T43" s="8"/>
      <c r="U43" s="8"/>
    </row>
    <row r="44" spans="1:21" s="7" customFormat="1" ht="17.25" customHeight="1" thickTop="1" thickBot="1">
      <c r="E44" s="368" t="s">
        <v>340</v>
      </c>
      <c r="F44" s="468">
        <f>F43/(VLOOKUP($A$2,'Asset Attributes'!$B$3:$D$25,3,0))</f>
        <v>13.536252267199222</v>
      </c>
      <c r="G44" s="468">
        <f>G43/(VLOOKUP($A$2,'Asset Attributes'!$B$3:$D$25,3,0))</f>
        <v>13.580863570059128</v>
      </c>
      <c r="H44" s="468">
        <f>H43/(VLOOKUP($A$2,'Asset Attributes'!$B$3:$D$25,3,0))</f>
        <v>14.295987427078762</v>
      </c>
      <c r="I44" s="468">
        <f>I43/(VLOOKUP($A$2,'Asset Attributes'!$B$3:$D$25,3,0))</f>
        <v>10.194086319071211</v>
      </c>
      <c r="J44" s="468">
        <f>J43/(VLOOKUP($A$2,'Asset Attributes'!$B$3:$D$25,3,0))</f>
        <v>10.529213359246263</v>
      </c>
      <c r="K44" s="468">
        <f>K43/(VLOOKUP($A$2,'Asset Attributes'!$B$3:$D$25,3,0))</f>
        <v>10.633619360049371</v>
      </c>
      <c r="L44" s="468">
        <f>L43/(VLOOKUP($A$2,'Asset Attributes'!$B$3:$D$25,3,0))</f>
        <v>10.984636354476773</v>
      </c>
      <c r="M44" s="468">
        <f>M43/(VLOOKUP($A$2,'Asset Attributes'!$B$3:$D$25,3,0))</f>
        <v>11.348186760808366</v>
      </c>
      <c r="N44" s="468">
        <f>N43/(VLOOKUP($A$2,'Asset Attributes'!$B$3:$D$25,3,0))</f>
        <v>12.704979760897535</v>
      </c>
      <c r="O44" s="468">
        <f>O43/(VLOOKUP($A$2,'Asset Attributes'!$B$3:$D$25,3,0))</f>
        <v>3.3154433709642226</v>
      </c>
      <c r="P44" s="468">
        <f>P43/(VLOOKUP($A$2,'Asset Attributes'!$B$3:$D$25,3,0))</f>
        <v>3.0949831386129008</v>
      </c>
      <c r="Q44" s="460">
        <f>Q43/(VLOOKUP($A$2,'Asset Attributes'!$B$3:$D$25,3,0))</f>
        <v>100.68199942126452</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6">G43-G36</f>
        <v>-9912.8406927641481</v>
      </c>
      <c r="H46" s="461">
        <f t="shared" si="16"/>
        <v>-10259.79011701094</v>
      </c>
      <c r="I46" s="461">
        <f t="shared" si="16"/>
        <v>-189427.70078535745</v>
      </c>
      <c r="J46" s="461">
        <f t="shared" si="16"/>
        <v>-195970.89633548621</v>
      </c>
      <c r="K46" s="461">
        <f t="shared" si="16"/>
        <v>-212221.01312468079</v>
      </c>
      <c r="L46" s="461">
        <f t="shared" si="16"/>
        <v>-219559.06253327668</v>
      </c>
      <c r="M46" s="461">
        <f t="shared" si="16"/>
        <v>-227152.42179005052</v>
      </c>
      <c r="N46" s="461">
        <f t="shared" si="16"/>
        <v>-298708.19528978568</v>
      </c>
      <c r="O46" s="461">
        <f t="shared" si="16"/>
        <v>-692365.52439198736</v>
      </c>
      <c r="P46" s="461">
        <f t="shared" si="16"/>
        <v>-729270.43598629022</v>
      </c>
      <c r="Q46" s="462">
        <f>SUM(F46:P46)</f>
        <v>-2784847.88104669</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-0.25380445740236446</v>
      </c>
      <c r="H47" s="468">
        <f>H46/(VLOOKUP($A$2,'Asset Attributes'!$B$3:$D$25,3,0))</f>
        <v>-0.26268761341144842</v>
      </c>
      <c r="I47" s="468">
        <f>I46/(VLOOKUP($A$2,'Asset Attributes'!$B$3:$D$25,3,0))</f>
        <v>-4.8500320246142161</v>
      </c>
      <c r="J47" s="468">
        <f>J46/(VLOOKUP($A$2,'Asset Attributes'!$B$3:$D$25,3,0))</f>
        <v>-5.0175614188362188</v>
      </c>
      <c r="K47" s="468">
        <f>K46/(VLOOKUP($A$2,'Asset Attributes'!$B$3:$D$25,3,0))</f>
        <v>-5.4336229901088355</v>
      </c>
      <c r="L47" s="468">
        <f>L46/(VLOOKUP($A$2,'Asset Attributes'!$B$3:$D$25,3,0))</f>
        <v>-5.621503508545886</v>
      </c>
      <c r="M47" s="468">
        <f>M46/(VLOOKUP($A$2,'Asset Attributes'!$B$3:$D$25,3,0))</f>
        <v>-5.8159208794851249</v>
      </c>
      <c r="N47" s="468">
        <f>N46/(VLOOKUP($A$2,'Asset Attributes'!$B$3:$D$25,3,0))</f>
        <v>-7.6480066387532499</v>
      </c>
      <c r="O47" s="468">
        <f>O46/(VLOOKUP($A$2,'Asset Attributes'!$B$3:$D$25,3,0))</f>
        <v>-17.727053393552687</v>
      </c>
      <c r="P47" s="468">
        <f>P46/(VLOOKUP($A$2,'Asset Attributes'!$B$3:$D$25,3,0))</f>
        <v>-18.671952172114864</v>
      </c>
      <c r="Q47" s="460">
        <f>Q46/(VLOOKUP($A$2,'Asset Attributes'!$B$3:$D$25,3,0))</f>
        <v>-71.302145096824901</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7">G115</f>
        <v>256340</v>
      </c>
      <c r="H49" s="464">
        <f t="shared" si="17"/>
        <v>5211700</v>
      </c>
      <c r="I49" s="464">
        <f t="shared" si="17"/>
        <v>0</v>
      </c>
      <c r="J49" s="464">
        <f t="shared" si="17"/>
        <v>819000</v>
      </c>
      <c r="K49" s="464">
        <f t="shared" si="17"/>
        <v>0</v>
      </c>
      <c r="L49" s="464">
        <f t="shared" si="17"/>
        <v>0</v>
      </c>
      <c r="M49" s="464">
        <f t="shared" si="17"/>
        <v>624000</v>
      </c>
      <c r="N49" s="464">
        <f t="shared" si="17"/>
        <v>2645000</v>
      </c>
      <c r="O49" s="464">
        <f t="shared" si="17"/>
        <v>3162000</v>
      </c>
      <c r="P49" s="464">
        <f t="shared" si="17"/>
        <v>0</v>
      </c>
      <c r="Q49" s="465">
        <f>+SUM(F49:P49)</f>
        <v>12718040</v>
      </c>
      <c r="R49" s="366"/>
      <c r="S49" s="357"/>
      <c r="T49" s="8"/>
      <c r="U49" s="8"/>
      <c r="V49" s="8"/>
      <c r="W49" s="8"/>
      <c r="X49" s="8"/>
    </row>
    <row r="50" spans="1:24" s="7" customFormat="1" ht="17.25" customHeight="1">
      <c r="A50" s="9"/>
      <c r="B50" s="368"/>
      <c r="C50" s="2"/>
      <c r="D50" s="2"/>
      <c r="E50" s="459" t="s">
        <v>348</v>
      </c>
      <c r="F50" s="466">
        <f>F46</f>
        <v>0</v>
      </c>
      <c r="G50" s="466">
        <f t="shared" ref="G50:P50" si="18">G46</f>
        <v>-9912.8406927641481</v>
      </c>
      <c r="H50" s="466">
        <f t="shared" si="18"/>
        <v>-10259.79011701094</v>
      </c>
      <c r="I50" s="466">
        <f t="shared" si="18"/>
        <v>-189427.70078535745</v>
      </c>
      <c r="J50" s="466">
        <f t="shared" si="18"/>
        <v>-195970.89633548621</v>
      </c>
      <c r="K50" s="466">
        <f t="shared" si="18"/>
        <v>-212221.01312468079</v>
      </c>
      <c r="L50" s="466">
        <f t="shared" si="18"/>
        <v>-219559.06253327668</v>
      </c>
      <c r="M50" s="466">
        <f t="shared" si="18"/>
        <v>-227152.42179005052</v>
      </c>
      <c r="N50" s="466">
        <f t="shared" si="18"/>
        <v>-298708.19528978568</v>
      </c>
      <c r="O50" s="466">
        <f t="shared" si="18"/>
        <v>-692365.52439198736</v>
      </c>
      <c r="P50" s="466">
        <f t="shared" si="18"/>
        <v>-729270.43598629022</v>
      </c>
      <c r="Q50" s="467">
        <f>Q46</f>
        <v>-2784847.88104669</v>
      </c>
      <c r="R50" s="366"/>
      <c r="S50" s="357"/>
      <c r="T50" s="8"/>
      <c r="U50" s="8"/>
      <c r="V50" s="8"/>
      <c r="W50" s="8"/>
      <c r="X50" s="8"/>
    </row>
    <row r="51" spans="1:24" s="7" customFormat="1" ht="17.25" customHeight="1">
      <c r="A51" s="9"/>
      <c r="B51" s="368"/>
      <c r="C51" s="2"/>
      <c r="D51" s="2"/>
      <c r="E51" s="3"/>
      <c r="F51" s="541">
        <f>-1*F50</f>
        <v>0</v>
      </c>
      <c r="G51" s="541">
        <f t="shared" ref="G51:P51" si="19">-1*G50</f>
        <v>9912.8406927641481</v>
      </c>
      <c r="H51" s="541">
        <f t="shared" si="19"/>
        <v>10259.79011701094</v>
      </c>
      <c r="I51" s="541">
        <f t="shared" si="19"/>
        <v>189427.70078535745</v>
      </c>
      <c r="J51" s="541">
        <f t="shared" si="19"/>
        <v>195970.89633548621</v>
      </c>
      <c r="K51" s="541">
        <f t="shared" si="19"/>
        <v>212221.01312468079</v>
      </c>
      <c r="L51" s="541">
        <f t="shared" si="19"/>
        <v>219559.06253327668</v>
      </c>
      <c r="M51" s="541">
        <f t="shared" si="19"/>
        <v>227152.42179005052</v>
      </c>
      <c r="N51" s="541">
        <f t="shared" si="19"/>
        <v>298708.19528978568</v>
      </c>
      <c r="O51" s="541">
        <f t="shared" si="19"/>
        <v>692365.52439198736</v>
      </c>
      <c r="P51" s="541">
        <f t="shared" si="19"/>
        <v>729270.43598629022</v>
      </c>
      <c r="Q51" s="537">
        <f>Q46/(10*((VLOOKUP($A$2,'Asset Attributes'!$B$3:$D$25,3,0))))</f>
        <v>-7.1302145096824896</v>
      </c>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572</v>
      </c>
      <c r="D55" s="10"/>
      <c r="E55" s="441" t="s">
        <v>205</v>
      </c>
      <c r="F55" s="200" t="s">
        <v>188</v>
      </c>
      <c r="G55" s="200" t="str">
        <f>G67</f>
        <v>CURRENT</v>
      </c>
      <c r="H55" s="200" t="str">
        <f t="shared" ref="H55:P55" si="20">H67</f>
        <v>FY25</v>
      </c>
      <c r="I55" s="200" t="str">
        <f t="shared" si="20"/>
        <v>FY26</v>
      </c>
      <c r="J55" s="200" t="str">
        <f t="shared" si="20"/>
        <v>FY27</v>
      </c>
      <c r="K55" s="200" t="str">
        <f t="shared" si="20"/>
        <v>FY28</v>
      </c>
      <c r="L55" s="200" t="str">
        <f t="shared" si="20"/>
        <v>FY29</v>
      </c>
      <c r="M55" s="200" t="str">
        <f t="shared" si="20"/>
        <v>FY30</v>
      </c>
      <c r="N55" s="200" t="str">
        <f t="shared" si="20"/>
        <v>FY31</v>
      </c>
      <c r="O55" s="200" t="str">
        <f t="shared" si="20"/>
        <v>FY32</v>
      </c>
      <c r="P55" s="200" t="str">
        <f t="shared" si="20"/>
        <v>FY33</v>
      </c>
      <c r="Q55" s="200" t="s">
        <v>84</v>
      </c>
      <c r="R55" s="992" t="s">
        <v>354</v>
      </c>
      <c r="S55" s="992"/>
      <c r="T55" s="992" t="s">
        <v>355</v>
      </c>
      <c r="U55" s="992"/>
      <c r="V55" s="992" t="s">
        <v>356</v>
      </c>
      <c r="W55" s="992"/>
      <c r="X55" s="8"/>
    </row>
    <row r="56" spans="1:24" ht="25.5" customHeight="1" thickTop="1">
      <c r="A56" s="438" t="s">
        <v>357</v>
      </c>
      <c r="B56" s="11"/>
      <c r="C56" s="442">
        <v>45016</v>
      </c>
      <c r="D56" s="159"/>
      <c r="E56" s="487" t="str">
        <f>A2</f>
        <v>201 Kent Street</v>
      </c>
      <c r="F56" s="440">
        <f t="shared" ref="F56:P56" si="21">F272</f>
        <v>5.5342721655410259</v>
      </c>
      <c r="G56" s="440">
        <f t="shared" si="21"/>
        <v>5.5342721655410259</v>
      </c>
      <c r="H56" s="440">
        <f t="shared" si="21"/>
        <v>5.5546713464728459</v>
      </c>
      <c r="I56" s="440">
        <f t="shared" si="21"/>
        <v>5.8931708217041399</v>
      </c>
      <c r="J56" s="440">
        <f t="shared" si="21"/>
        <v>5.8931708217041399</v>
      </c>
      <c r="K56" s="440">
        <f t="shared" si="21"/>
        <v>5.910170139147322</v>
      </c>
      <c r="L56" s="440">
        <f t="shared" si="21"/>
        <v>5.910170139147322</v>
      </c>
      <c r="M56" s="440">
        <f t="shared" si="21"/>
        <v>5.910170139147322</v>
      </c>
      <c r="N56" s="440">
        <f t="shared" si="21"/>
        <v>5.9478053687578303</v>
      </c>
      <c r="O56" s="440">
        <f t="shared" si="21"/>
        <v>6.1177985431896591</v>
      </c>
      <c r="P56" s="440">
        <f t="shared" si="21"/>
        <v>6.4800970628414092</v>
      </c>
      <c r="Q56" s="470">
        <f>IF(E56="",0,P56-F56)</f>
        <v>0.94582489730038333</v>
      </c>
      <c r="R56" s="473" t="s">
        <v>358</v>
      </c>
      <c r="S56" s="478">
        <v>1</v>
      </c>
      <c r="T56" s="473" t="s">
        <v>358</v>
      </c>
      <c r="U56" s="478">
        <v>1</v>
      </c>
      <c r="V56" s="473" t="s">
        <v>358</v>
      </c>
      <c r="W56" s="479" t="e">
        <f ca="1">IF(W58=1,"Complete",IF(W60&lt;&gt;0,"Complete","Outstanding"))</f>
        <v>#NAME?</v>
      </c>
      <c r="X56" s="14"/>
    </row>
    <row r="57" spans="1:24" ht="25.5" customHeight="1">
      <c r="A57" s="438" t="s">
        <v>6</v>
      </c>
      <c r="C57" s="275" t="s">
        <v>118</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9899100</v>
      </c>
      <c r="T57" s="473" t="s">
        <v>669</v>
      </c>
      <c r="U57" s="479">
        <f>IF(U56="Underway","",S115)</f>
        <v>2789000</v>
      </c>
      <c r="V57" s="473" t="s">
        <v>361</v>
      </c>
      <c r="W57" s="478" t="s">
        <v>675</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272054.79541839578</v>
      </c>
      <c r="T58" s="473" t="s">
        <v>367</v>
      </c>
      <c r="U58" s="478">
        <f>IF(U56="Underway","",-1*S64)</f>
        <v>0.7473826592542322</v>
      </c>
      <c r="V58" s="473" t="s">
        <v>368</v>
      </c>
      <c r="W58" s="478">
        <v>0.11</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2.8521669001239799E-2</v>
      </c>
      <c r="T59" s="473" t="s">
        <v>371</v>
      </c>
      <c r="U59" s="483" t="e">
        <f ca="1">IF(U56="Underway","",_xlfn.MAXIFS(E69:E88,S69:S88,"Yes"))</f>
        <v>#NAME?</v>
      </c>
      <c r="V59" s="482" t="s">
        <v>372</v>
      </c>
      <c r="W59" s="479">
        <f>T115</f>
        <v>29940</v>
      </c>
      <c r="X59" s="14"/>
    </row>
    <row r="60" spans="1:24" ht="25.5" customHeight="1">
      <c r="A60" s="438" t="s">
        <v>373</v>
      </c>
      <c r="B60" s="14"/>
      <c r="C60" s="275">
        <v>27599.5</v>
      </c>
      <c r="D60" s="160"/>
      <c r="Q60" s="10"/>
      <c r="R60" s="473" t="s">
        <v>374</v>
      </c>
      <c r="S60" s="481">
        <f>IF(S56="Underway","",U115)</f>
        <v>0.91312047502474081</v>
      </c>
      <c r="T60" s="10"/>
      <c r="U60" s="10"/>
      <c r="V60" s="473" t="s">
        <v>375</v>
      </c>
      <c r="W60" s="483" t="e">
        <f ca="1">IF(IF(W58=1,"Complete",_xlfn.MAXIFS(E69:E114,T69:T114,"Yes"))=0,"",IF(W58=1,"Complete",_xlfn.MAXIFS(E69:E114,T69:T114,"Yes")))</f>
        <v>#NAME?</v>
      </c>
      <c r="X60" s="14"/>
    </row>
    <row r="61" spans="1:24" ht="25.5" customHeight="1">
      <c r="A61" s="438" t="s">
        <v>376</v>
      </c>
      <c r="B61" s="14"/>
      <c r="C61" s="444">
        <v>55</v>
      </c>
      <c r="D61" s="162"/>
      <c r="H61" s="13"/>
      <c r="J61" s="14"/>
      <c r="K61" s="14"/>
      <c r="L61" s="14"/>
      <c r="M61" s="10"/>
      <c r="N61" s="10"/>
      <c r="O61" s="10"/>
      <c r="P61" s="10"/>
      <c r="Q61" s="10"/>
      <c r="R61" s="482" t="s">
        <v>377</v>
      </c>
      <c r="S61" s="481">
        <f>P272</f>
        <v>6.4800970628414092</v>
      </c>
      <c r="T61" s="10"/>
      <c r="U61" s="10"/>
      <c r="V61" s="473" t="s">
        <v>378</v>
      </c>
      <c r="W61" s="478"/>
      <c r="X61" s="14"/>
    </row>
    <row r="62" spans="1:24" ht="25.5" customHeight="1">
      <c r="A62" s="438" t="s">
        <v>379</v>
      </c>
      <c r="B62" s="14"/>
      <c r="C62" s="275">
        <v>1521.712</v>
      </c>
      <c r="H62" s="13"/>
      <c r="J62" s="14"/>
      <c r="K62" s="14"/>
      <c r="L62" s="347"/>
      <c r="M62" s="10"/>
      <c r="N62" s="10"/>
      <c r="O62" s="10"/>
      <c r="P62" s="10"/>
      <c r="Q62" s="10"/>
      <c r="R62" s="482" t="s">
        <v>380</v>
      </c>
      <c r="S62" s="481">
        <f>Q272</f>
        <v>6.4800970628414092</v>
      </c>
      <c r="T62" s="496" t="s">
        <v>381</v>
      </c>
      <c r="U62" s="10"/>
      <c r="V62" s="10"/>
      <c r="W62" s="14"/>
      <c r="X62" s="14"/>
    </row>
    <row r="63" spans="1:24" ht="25.5" customHeight="1">
      <c r="A63" s="438" t="s">
        <v>382</v>
      </c>
      <c r="B63" s="14"/>
      <c r="C63" s="275">
        <v>1498.5630000000001</v>
      </c>
      <c r="H63" s="13"/>
      <c r="J63" s="14"/>
      <c r="K63" s="14"/>
      <c r="L63" s="10"/>
      <c r="M63" s="10"/>
      <c r="N63" s="10"/>
      <c r="O63" s="10"/>
      <c r="P63" s="10"/>
      <c r="Q63" s="10"/>
      <c r="R63" s="476" t="s">
        <v>383</v>
      </c>
      <c r="S63" s="478">
        <f>C115/C62</f>
        <v>-0.86744403671654036</v>
      </c>
      <c r="T63" s="496" t="s">
        <v>384</v>
      </c>
      <c r="U63" s="10"/>
      <c r="V63" s="10"/>
      <c r="W63" s="14"/>
      <c r="X63" s="14"/>
    </row>
    <row r="64" spans="1:24" ht="25.5" customHeight="1">
      <c r="A64" s="446" t="s">
        <v>385</v>
      </c>
      <c r="B64" s="447"/>
      <c r="C64" s="445">
        <v>51</v>
      </c>
      <c r="D64" s="495">
        <f>(AJ215-C64)/C64</f>
        <v>-0.64529367257974157</v>
      </c>
      <c r="H64" s="13"/>
      <c r="J64" s="14"/>
      <c r="K64" s="14"/>
      <c r="L64" s="10"/>
      <c r="M64" s="10"/>
      <c r="N64" s="10"/>
      <c r="O64" s="10"/>
      <c r="P64" s="10"/>
      <c r="Q64" s="10"/>
      <c r="R64" s="476" t="s">
        <v>386</v>
      </c>
      <c r="S64" s="478">
        <f>D115/C63</f>
        <v>-0.7473826592542322</v>
      </c>
      <c r="T64" s="10"/>
      <c r="U64" s="14"/>
      <c r="V64" s="10"/>
      <c r="W64" s="14"/>
      <c r="X64" s="14"/>
    </row>
    <row r="65" spans="1:24" ht="25.5" customHeight="1">
      <c r="B65" s="487" t="s">
        <v>387</v>
      </c>
      <c r="C65" s="489">
        <f>Z216</f>
        <v>5.5342721655410259</v>
      </c>
      <c r="D65" s="16"/>
      <c r="J65" s="14"/>
      <c r="K65" s="14"/>
      <c r="L65" s="14"/>
      <c r="M65" s="14"/>
      <c r="N65" s="14"/>
      <c r="O65" s="14"/>
      <c r="P65" s="14"/>
      <c r="Q65" s="14"/>
      <c r="R65" s="177">
        <f>O66+365</f>
        <v>48760</v>
      </c>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2">DATE(YEAR(H66)+1,MONTH(H66),DAY(H66))</f>
        <v>46203</v>
      </c>
      <c r="J66" s="416">
        <f t="shared" si="22"/>
        <v>46568</v>
      </c>
      <c r="K66" s="416">
        <f t="shared" si="22"/>
        <v>46934</v>
      </c>
      <c r="L66" s="416">
        <f t="shared" si="22"/>
        <v>47299</v>
      </c>
      <c r="M66" s="416">
        <f t="shared" si="22"/>
        <v>47664</v>
      </c>
      <c r="N66" s="416">
        <f t="shared" si="22"/>
        <v>48029</v>
      </c>
      <c r="O66" s="416">
        <f t="shared" si="22"/>
        <v>48395</v>
      </c>
      <c r="P66" s="416">
        <f t="shared" si="22"/>
        <v>48760</v>
      </c>
      <c r="Q66" s="416">
        <f t="shared" si="22"/>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730</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t="s">
        <v>731</v>
      </c>
      <c r="B69" s="374" t="s">
        <v>573</v>
      </c>
      <c r="C69" s="375">
        <v>0</v>
      </c>
      <c r="D69" s="376"/>
      <c r="E69" s="377">
        <v>45382</v>
      </c>
      <c r="F69" s="378">
        <v>70400</v>
      </c>
      <c r="G69" s="403">
        <f>IF(E69&lt;G66,F69,0)</f>
        <v>70400</v>
      </c>
      <c r="H69" s="404">
        <f t="shared" ref="H69:Q78" si="23">IF($E69&gt;H$66,0,IF($E69&gt;H$66-365,$F69,0))</f>
        <v>0</v>
      </c>
      <c r="I69" s="404">
        <f t="shared" si="23"/>
        <v>0</v>
      </c>
      <c r="J69" s="404">
        <f t="shared" si="23"/>
        <v>0</v>
      </c>
      <c r="K69" s="404">
        <f t="shared" si="23"/>
        <v>0</v>
      </c>
      <c r="L69" s="404">
        <f t="shared" si="23"/>
        <v>0</v>
      </c>
      <c r="M69" s="404">
        <f t="shared" si="23"/>
        <v>0</v>
      </c>
      <c r="N69" s="404">
        <f t="shared" si="23"/>
        <v>0</v>
      </c>
      <c r="O69" s="404">
        <f t="shared" si="23"/>
        <v>0</v>
      </c>
      <c r="P69" s="404">
        <f t="shared" si="23"/>
        <v>0</v>
      </c>
      <c r="Q69" s="448">
        <f t="shared" si="23"/>
        <v>0</v>
      </c>
      <c r="R69" s="380" t="s">
        <v>32</v>
      </c>
      <c r="S69" s="379"/>
      <c r="T69" s="380"/>
      <c r="U69" s="411" t="str">
        <f>IF(-0.75*((C69/(VLOOKUP($A$2,Assumptions!$B$124:$G$147,2,0)))+D69/(VLOOKUP($A$2,Assumptions!$B$124:$G$147,5,0)))=0,"",-0.75*((C69/(VLOOKUP($A$2,Assumptions!$B$124:$G$147,2,0)))+D69/(VLOOKUP($A$2,Assumptions!$B$124:$G$147,5,0))))</f>
        <v/>
      </c>
      <c r="V69" s="412">
        <f t="shared" ref="V69:V88" si="24">IF(ISERROR(((-1*C69*1000*$D$6)+(-1*D69*$D$8))/F69),"",((-1*C69*1000*$D$6)+(-1*D69*$D$8))/F69)</f>
        <v>0</v>
      </c>
      <c r="W69" s="450"/>
      <c r="X69" s="506"/>
    </row>
    <row r="70" spans="1:24" ht="15">
      <c r="A70" s="554" t="s">
        <v>732</v>
      </c>
      <c r="B70" s="555" t="s">
        <v>575</v>
      </c>
      <c r="C70" s="381">
        <v>-40</v>
      </c>
      <c r="D70" s="381"/>
      <c r="E70" s="377">
        <v>45747</v>
      </c>
      <c r="F70" s="378">
        <v>58700</v>
      </c>
      <c r="G70" s="403">
        <f t="shared" ref="G70:G91" si="25">IF($E70&lt;G$66,$F70,0)</f>
        <v>0</v>
      </c>
      <c r="H70" s="404">
        <f t="shared" si="23"/>
        <v>58700</v>
      </c>
      <c r="I70" s="404">
        <f t="shared" si="23"/>
        <v>0</v>
      </c>
      <c r="J70" s="405">
        <f t="shared" si="23"/>
        <v>0</v>
      </c>
      <c r="K70" s="405">
        <f t="shared" si="23"/>
        <v>0</v>
      </c>
      <c r="L70" s="405">
        <f t="shared" si="23"/>
        <v>0</v>
      </c>
      <c r="M70" s="405">
        <f t="shared" si="23"/>
        <v>0</v>
      </c>
      <c r="N70" s="405">
        <f t="shared" si="23"/>
        <v>0</v>
      </c>
      <c r="O70" s="405">
        <f t="shared" si="23"/>
        <v>0</v>
      </c>
      <c r="P70" s="406">
        <f t="shared" si="23"/>
        <v>0</v>
      </c>
      <c r="Q70" s="448">
        <f t="shared" si="23"/>
        <v>0</v>
      </c>
      <c r="R70" s="379" t="s">
        <v>32</v>
      </c>
      <c r="S70" s="379"/>
      <c r="T70" s="382"/>
      <c r="U70" s="413">
        <f>IF(-0.75*((C70/(VLOOKUP($A$2,Assumptions!$B$124:$G$147,2,0)))+D70/(VLOOKUP($A$2,Assumptions!$B$124:$G$147,5,0)))=0,"",-0.75*((C70/(VLOOKUP($A$2,Assumptions!$B$124:$G$147,2,0)))+D70/(VLOOKUP($A$2,Assumptions!$B$124:$G$147,5,0))))</f>
        <v>2.2831050228310501E-2</v>
      </c>
      <c r="V70" s="414">
        <f t="shared" si="24"/>
        <v>0.17320299991725313</v>
      </c>
      <c r="W70" s="451"/>
      <c r="X70" s="506"/>
    </row>
    <row r="71" spans="1:24" ht="15">
      <c r="A71" s="552" t="s">
        <v>733</v>
      </c>
      <c r="B71" s="551" t="s">
        <v>576</v>
      </c>
      <c r="C71" s="398">
        <v>0</v>
      </c>
      <c r="D71" s="398"/>
      <c r="E71" s="399">
        <v>45382</v>
      </c>
      <c r="F71" s="400">
        <v>29940</v>
      </c>
      <c r="G71" s="403">
        <f t="shared" si="25"/>
        <v>29940</v>
      </c>
      <c r="H71" s="404">
        <f t="shared" si="23"/>
        <v>0</v>
      </c>
      <c r="I71" s="405">
        <f t="shared" si="23"/>
        <v>0</v>
      </c>
      <c r="J71" s="405">
        <f t="shared" si="23"/>
        <v>0</v>
      </c>
      <c r="K71" s="405">
        <f t="shared" si="23"/>
        <v>0</v>
      </c>
      <c r="L71" s="405">
        <f t="shared" si="23"/>
        <v>0</v>
      </c>
      <c r="M71" s="405">
        <f t="shared" si="23"/>
        <v>0</v>
      </c>
      <c r="N71" s="405">
        <f t="shared" si="23"/>
        <v>0</v>
      </c>
      <c r="O71" s="405">
        <f t="shared" si="23"/>
        <v>0</v>
      </c>
      <c r="P71" s="406">
        <f t="shared" si="23"/>
        <v>0</v>
      </c>
      <c r="Q71" s="448">
        <f t="shared" si="23"/>
        <v>0</v>
      </c>
      <c r="R71" s="379"/>
      <c r="S71" s="379"/>
      <c r="T71" s="379" t="s">
        <v>32</v>
      </c>
      <c r="U71" s="413" t="str">
        <f>IF(-0.75*((C71/(VLOOKUP($A$2,Assumptions!$B$124:$G$147,2,0)))+D71/(VLOOKUP($A$2,Assumptions!$B$124:$G$147,5,0)))=0,"",-0.75*((C71/(VLOOKUP($A$2,Assumptions!$B$124:$G$147,2,0)))+D71/(VLOOKUP($A$2,Assumptions!$B$124:$G$147,5,0))))</f>
        <v/>
      </c>
      <c r="V71" s="414">
        <f t="shared" si="24"/>
        <v>0</v>
      </c>
      <c r="W71" s="451"/>
      <c r="X71" s="506"/>
    </row>
    <row r="72" spans="1:24" ht="30">
      <c r="A72" s="373" t="s">
        <v>577</v>
      </c>
      <c r="B72" s="374" t="s">
        <v>578</v>
      </c>
      <c r="C72" s="375">
        <v>-30</v>
      </c>
      <c r="D72" s="375"/>
      <c r="E72" s="377">
        <v>45747</v>
      </c>
      <c r="F72" s="378">
        <v>234000</v>
      </c>
      <c r="G72" s="403">
        <f t="shared" si="25"/>
        <v>0</v>
      </c>
      <c r="H72" s="404">
        <f t="shared" si="23"/>
        <v>234000</v>
      </c>
      <c r="I72" s="405">
        <f t="shared" si="23"/>
        <v>0</v>
      </c>
      <c r="J72" s="405">
        <f t="shared" si="23"/>
        <v>0</v>
      </c>
      <c r="K72" s="405">
        <f t="shared" si="23"/>
        <v>0</v>
      </c>
      <c r="L72" s="405">
        <f t="shared" si="23"/>
        <v>0</v>
      </c>
      <c r="M72" s="405">
        <f t="shared" si="23"/>
        <v>0</v>
      </c>
      <c r="N72" s="405">
        <f t="shared" si="23"/>
        <v>0</v>
      </c>
      <c r="O72" s="405">
        <f t="shared" si="23"/>
        <v>0</v>
      </c>
      <c r="P72" s="406">
        <f t="shared" si="23"/>
        <v>0</v>
      </c>
      <c r="Q72" s="448">
        <f t="shared" si="23"/>
        <v>0</v>
      </c>
      <c r="R72" s="379" t="s">
        <v>32</v>
      </c>
      <c r="S72" s="379"/>
      <c r="T72" s="382"/>
      <c r="U72" s="413">
        <f>IF(-0.75*((C72/(VLOOKUP($A$2,Assumptions!$B$124:$G$147,2,0)))+D72/(VLOOKUP($A$2,Assumptions!$B$124:$G$147,5,0)))=0,"",-0.75*((C72/(VLOOKUP($A$2,Assumptions!$B$124:$G$147,2,0)))+D72/(VLOOKUP($A$2,Assumptions!$B$124:$G$147,5,0))))</f>
        <v>1.7123287671232876E-2</v>
      </c>
      <c r="V72" s="414">
        <f t="shared" si="24"/>
        <v>3.2586590048534481E-2</v>
      </c>
      <c r="W72" s="451"/>
      <c r="X72" s="506" t="s">
        <v>32</v>
      </c>
    </row>
    <row r="73" spans="1:24" ht="15">
      <c r="A73" s="373" t="s">
        <v>577</v>
      </c>
      <c r="B73" s="374" t="s">
        <v>579</v>
      </c>
      <c r="C73" s="381">
        <v>-180</v>
      </c>
      <c r="D73" s="381"/>
      <c r="E73" s="377">
        <v>45747</v>
      </c>
      <c r="F73" s="378">
        <v>936000</v>
      </c>
      <c r="G73" s="403">
        <f t="shared" si="25"/>
        <v>0</v>
      </c>
      <c r="H73" s="404">
        <f t="shared" si="23"/>
        <v>936000</v>
      </c>
      <c r="I73" s="405">
        <f t="shared" si="23"/>
        <v>0</v>
      </c>
      <c r="J73" s="405">
        <f t="shared" si="23"/>
        <v>0</v>
      </c>
      <c r="K73" s="405">
        <f t="shared" si="23"/>
        <v>0</v>
      </c>
      <c r="L73" s="405">
        <f t="shared" si="23"/>
        <v>0</v>
      </c>
      <c r="M73" s="405">
        <f t="shared" si="23"/>
        <v>0</v>
      </c>
      <c r="N73" s="405">
        <f t="shared" si="23"/>
        <v>0</v>
      </c>
      <c r="O73" s="405">
        <f t="shared" si="23"/>
        <v>0</v>
      </c>
      <c r="P73" s="406">
        <f t="shared" si="23"/>
        <v>0</v>
      </c>
      <c r="Q73" s="448">
        <f t="shared" si="23"/>
        <v>0</v>
      </c>
      <c r="R73" s="379" t="s">
        <v>32</v>
      </c>
      <c r="S73" s="379"/>
      <c r="T73" s="382"/>
      <c r="U73" s="413">
        <f>IF(-0.75*((C73/(VLOOKUP($A$2,Assumptions!$B$124:$G$147,2,0)))+D73/(VLOOKUP($A$2,Assumptions!$B$124:$G$147,5,0)))=0,"",-0.75*((C73/(VLOOKUP($A$2,Assumptions!$B$124:$G$147,2,0)))+D73/(VLOOKUP($A$2,Assumptions!$B$124:$G$147,5,0))))</f>
        <v>0.10273972602739725</v>
      </c>
      <c r="V73" s="414">
        <f t="shared" si="24"/>
        <v>4.8879885072801721E-2</v>
      </c>
      <c r="W73" s="451"/>
      <c r="X73" s="506" t="s">
        <v>32</v>
      </c>
    </row>
    <row r="74" spans="1:24" ht="15">
      <c r="A74" s="373" t="s">
        <v>577</v>
      </c>
      <c r="B74" s="374" t="s">
        <v>580</v>
      </c>
      <c r="C74" s="375">
        <v>-50</v>
      </c>
      <c r="D74" s="375">
        <v>-360</v>
      </c>
      <c r="E74" s="377">
        <v>45747</v>
      </c>
      <c r="F74" s="378">
        <v>1118000</v>
      </c>
      <c r="G74" s="403">
        <f t="shared" si="25"/>
        <v>0</v>
      </c>
      <c r="H74" s="404">
        <f t="shared" si="23"/>
        <v>1118000</v>
      </c>
      <c r="I74" s="405">
        <f t="shared" si="23"/>
        <v>0</v>
      </c>
      <c r="J74" s="405">
        <f t="shared" si="23"/>
        <v>0</v>
      </c>
      <c r="K74" s="405">
        <f t="shared" si="23"/>
        <v>0</v>
      </c>
      <c r="L74" s="405">
        <f t="shared" si="23"/>
        <v>0</v>
      </c>
      <c r="M74" s="405">
        <f t="shared" si="23"/>
        <v>0</v>
      </c>
      <c r="N74" s="405">
        <f t="shared" si="23"/>
        <v>0</v>
      </c>
      <c r="O74" s="405">
        <f t="shared" si="23"/>
        <v>0</v>
      </c>
      <c r="P74" s="406">
        <f t="shared" si="23"/>
        <v>0</v>
      </c>
      <c r="Q74" s="448">
        <f t="shared" si="23"/>
        <v>0</v>
      </c>
      <c r="R74" s="379" t="s">
        <v>32</v>
      </c>
      <c r="S74" s="379" t="s">
        <v>32</v>
      </c>
      <c r="T74" s="382"/>
      <c r="U74" s="413">
        <f>IF(-0.75*((C74/(VLOOKUP($A$2,Assumptions!$B$124:$G$147,2,0)))+D74/(VLOOKUP($A$2,Assumptions!$B$124:$G$147,5,0)))=0,"",-0.75*((C74/(VLOOKUP($A$2,Assumptions!$B$124:$G$147,2,0)))+D74/(VLOOKUP($A$2,Assumptions!$B$124:$G$147,5,0))))</f>
        <v>7.9869611264475587E-2</v>
      </c>
      <c r="V74" s="414">
        <f t="shared" si="24"/>
        <v>1.9195608487520676E-2</v>
      </c>
      <c r="W74" s="451"/>
      <c r="X74" s="506" t="s">
        <v>32</v>
      </c>
    </row>
    <row r="75" spans="1:24" ht="30">
      <c r="A75" s="373" t="s">
        <v>577</v>
      </c>
      <c r="B75" s="374" t="s">
        <v>581</v>
      </c>
      <c r="C75" s="375">
        <v>-80</v>
      </c>
      <c r="D75" s="375"/>
      <c r="E75" s="377">
        <v>45747</v>
      </c>
      <c r="F75" s="378">
        <v>520000</v>
      </c>
      <c r="G75" s="403">
        <f t="shared" si="25"/>
        <v>0</v>
      </c>
      <c r="H75" s="404">
        <f t="shared" si="23"/>
        <v>520000</v>
      </c>
      <c r="I75" s="405">
        <f t="shared" si="23"/>
        <v>0</v>
      </c>
      <c r="J75" s="405">
        <f t="shared" si="23"/>
        <v>0</v>
      </c>
      <c r="K75" s="405">
        <f t="shared" si="23"/>
        <v>0</v>
      </c>
      <c r="L75" s="405">
        <f t="shared" si="23"/>
        <v>0</v>
      </c>
      <c r="M75" s="405">
        <f t="shared" si="23"/>
        <v>0</v>
      </c>
      <c r="N75" s="405">
        <f t="shared" si="23"/>
        <v>0</v>
      </c>
      <c r="O75" s="405">
        <f t="shared" si="23"/>
        <v>0</v>
      </c>
      <c r="P75" s="406">
        <f t="shared" si="23"/>
        <v>0</v>
      </c>
      <c r="Q75" s="448">
        <f t="shared" si="23"/>
        <v>0</v>
      </c>
      <c r="R75" s="379" t="s">
        <v>32</v>
      </c>
      <c r="S75" s="379"/>
      <c r="T75" s="382"/>
      <c r="U75" s="413">
        <f>IF(-0.75*((C75/(VLOOKUP($A$2,Assumptions!$B$124:$G$147,2,0)))+D75/(VLOOKUP($A$2,Assumptions!$B$124:$G$147,5,0)))=0,"",-0.75*((C75/(VLOOKUP($A$2,Assumptions!$B$124:$G$147,2,0)))+D75/(VLOOKUP($A$2,Assumptions!$B$124:$G$147,5,0))))</f>
        <v>4.5662100456621002E-2</v>
      </c>
      <c r="V75" s="414">
        <f t="shared" si="24"/>
        <v>3.9103908058241377E-2</v>
      </c>
      <c r="W75" s="451"/>
      <c r="X75" s="506" t="s">
        <v>32</v>
      </c>
    </row>
    <row r="76" spans="1:24" ht="15">
      <c r="A76" s="373" t="s">
        <v>577</v>
      </c>
      <c r="B76" s="374" t="s">
        <v>582</v>
      </c>
      <c r="C76" s="375">
        <v>-25</v>
      </c>
      <c r="D76" s="375"/>
      <c r="E76" s="377">
        <v>45747</v>
      </c>
      <c r="F76" s="378">
        <v>845000</v>
      </c>
      <c r="G76" s="403">
        <f t="shared" si="25"/>
        <v>0</v>
      </c>
      <c r="H76" s="404">
        <f t="shared" si="23"/>
        <v>845000</v>
      </c>
      <c r="I76" s="405">
        <f t="shared" si="23"/>
        <v>0</v>
      </c>
      <c r="J76" s="405">
        <f t="shared" si="23"/>
        <v>0</v>
      </c>
      <c r="K76" s="405">
        <f t="shared" si="23"/>
        <v>0</v>
      </c>
      <c r="L76" s="405">
        <f t="shared" si="23"/>
        <v>0</v>
      </c>
      <c r="M76" s="405">
        <f t="shared" si="23"/>
        <v>0</v>
      </c>
      <c r="N76" s="405">
        <f t="shared" si="23"/>
        <v>0</v>
      </c>
      <c r="O76" s="405">
        <f t="shared" si="23"/>
        <v>0</v>
      </c>
      <c r="P76" s="406">
        <f t="shared" si="23"/>
        <v>0</v>
      </c>
      <c r="Q76" s="448">
        <f t="shared" si="23"/>
        <v>0</v>
      </c>
      <c r="R76" s="379" t="s">
        <v>32</v>
      </c>
      <c r="S76" s="379"/>
      <c r="T76" s="382"/>
      <c r="U76" s="413">
        <f>IF(-0.75*((C76/(VLOOKUP($A$2,Assumptions!$B$124:$G$147,2,0)))+D76/(VLOOKUP($A$2,Assumptions!$B$124:$G$147,5,0)))=0,"",-0.75*((C76/(VLOOKUP($A$2,Assumptions!$B$124:$G$147,2,0)))+D76/(VLOOKUP($A$2,Assumptions!$B$124:$G$147,5,0))))</f>
        <v>1.4269406392694063E-2</v>
      </c>
      <c r="V76" s="414">
        <f t="shared" si="24"/>
        <v>7.5199823188925726E-3</v>
      </c>
      <c r="W76" s="451"/>
      <c r="X76" s="506" t="s">
        <v>32</v>
      </c>
    </row>
    <row r="77" spans="1:24" ht="15">
      <c r="A77" s="373" t="s">
        <v>577</v>
      </c>
      <c r="B77" s="374" t="s">
        <v>583</v>
      </c>
      <c r="C77" s="375">
        <v>-30</v>
      </c>
      <c r="D77" s="375"/>
      <c r="E77" s="377">
        <v>45747</v>
      </c>
      <c r="F77" s="378">
        <v>460000</v>
      </c>
      <c r="G77" s="403">
        <f t="shared" si="25"/>
        <v>0</v>
      </c>
      <c r="H77" s="404">
        <f t="shared" si="23"/>
        <v>460000</v>
      </c>
      <c r="I77" s="405">
        <f t="shared" si="23"/>
        <v>0</v>
      </c>
      <c r="J77" s="405">
        <f t="shared" si="23"/>
        <v>0</v>
      </c>
      <c r="K77" s="405">
        <f t="shared" si="23"/>
        <v>0</v>
      </c>
      <c r="L77" s="405">
        <f t="shared" si="23"/>
        <v>0</v>
      </c>
      <c r="M77" s="405">
        <f t="shared" si="23"/>
        <v>0</v>
      </c>
      <c r="N77" s="405">
        <f t="shared" si="23"/>
        <v>0</v>
      </c>
      <c r="O77" s="405">
        <f t="shared" si="23"/>
        <v>0</v>
      </c>
      <c r="P77" s="406">
        <f t="shared" si="23"/>
        <v>0</v>
      </c>
      <c r="Q77" s="448">
        <f t="shared" si="23"/>
        <v>0</v>
      </c>
      <c r="R77" s="379" t="s">
        <v>32</v>
      </c>
      <c r="S77" s="379"/>
      <c r="T77" s="385"/>
      <c r="U77" s="413">
        <f>IF(-0.75*((C77/(VLOOKUP($A$2,Assumptions!$B$124:$G$147,2,0)))+D77/(VLOOKUP($A$2,Assumptions!$B$124:$G$147,5,0)))=0,"",-0.75*((C77/(VLOOKUP($A$2,Assumptions!$B$124:$G$147,2,0)))+D77/(VLOOKUP($A$2,Assumptions!$B$124:$G$147,5,0))))</f>
        <v>1.7123287671232876E-2</v>
      </c>
      <c r="V77" s="414">
        <f t="shared" si="24"/>
        <v>1.6576656676863193E-2</v>
      </c>
      <c r="W77" s="451"/>
      <c r="X77" s="506" t="s">
        <v>32</v>
      </c>
    </row>
    <row r="78" spans="1:24" ht="15">
      <c r="A78" s="373" t="s">
        <v>584</v>
      </c>
      <c r="B78" s="524" t="s">
        <v>585</v>
      </c>
      <c r="C78" s="375">
        <v>-50</v>
      </c>
      <c r="D78" s="375"/>
      <c r="E78" s="377">
        <v>47573</v>
      </c>
      <c r="F78" s="378">
        <v>52000</v>
      </c>
      <c r="G78" s="403">
        <f t="shared" si="25"/>
        <v>0</v>
      </c>
      <c r="H78" s="404">
        <f t="shared" si="23"/>
        <v>0</v>
      </c>
      <c r="I78" s="405">
        <f t="shared" si="23"/>
        <v>0</v>
      </c>
      <c r="J78" s="405">
        <f t="shared" si="23"/>
        <v>0</v>
      </c>
      <c r="K78" s="405">
        <f t="shared" si="23"/>
        <v>0</v>
      </c>
      <c r="L78" s="405">
        <f t="shared" si="23"/>
        <v>0</v>
      </c>
      <c r="M78" s="405">
        <f t="shared" si="23"/>
        <v>52000</v>
      </c>
      <c r="N78" s="405">
        <f t="shared" si="23"/>
        <v>0</v>
      </c>
      <c r="O78" s="405">
        <f t="shared" si="23"/>
        <v>0</v>
      </c>
      <c r="P78" s="406">
        <f t="shared" si="23"/>
        <v>0</v>
      </c>
      <c r="Q78" s="448">
        <f t="shared" si="23"/>
        <v>0</v>
      </c>
      <c r="R78" s="379" t="s">
        <v>32</v>
      </c>
      <c r="S78" s="386"/>
      <c r="T78" s="387"/>
      <c r="U78" s="413">
        <f>IF(-0.75*((C78/(VLOOKUP($A$2,Assumptions!$B$124:$G$147,2,0)))+D78/(VLOOKUP($A$2,Assumptions!$B$124:$G$147,5,0)))=0,"",-0.75*((C78/(VLOOKUP($A$2,Assumptions!$B$124:$G$147,2,0)))+D78/(VLOOKUP($A$2,Assumptions!$B$124:$G$147,5,0))))</f>
        <v>2.8538812785388126E-2</v>
      </c>
      <c r="V78" s="414">
        <f t="shared" si="24"/>
        <v>0.2443994253640086</v>
      </c>
      <c r="W78" s="451"/>
      <c r="X78" s="506" t="s">
        <v>32</v>
      </c>
    </row>
    <row r="79" spans="1:24" ht="15">
      <c r="A79" s="373" t="s">
        <v>584</v>
      </c>
      <c r="B79" s="524" t="s">
        <v>586</v>
      </c>
      <c r="C79" s="375">
        <v>-20</v>
      </c>
      <c r="D79" s="375"/>
      <c r="E79" s="377">
        <v>47573</v>
      </c>
      <c r="F79" s="378">
        <v>65000</v>
      </c>
      <c r="G79" s="403">
        <f t="shared" si="25"/>
        <v>0</v>
      </c>
      <c r="H79" s="404">
        <f t="shared" ref="H79:Q91" si="26">IF($E79&gt;H$66,0,IF($E79&gt;H$66-365,$F79,0))</f>
        <v>0</v>
      </c>
      <c r="I79" s="405">
        <f t="shared" si="26"/>
        <v>0</v>
      </c>
      <c r="J79" s="405">
        <f t="shared" si="26"/>
        <v>0</v>
      </c>
      <c r="K79" s="405">
        <f t="shared" si="26"/>
        <v>0</v>
      </c>
      <c r="L79" s="405">
        <f t="shared" si="26"/>
        <v>0</v>
      </c>
      <c r="M79" s="405">
        <f t="shared" si="26"/>
        <v>65000</v>
      </c>
      <c r="N79" s="405">
        <f t="shared" si="26"/>
        <v>0</v>
      </c>
      <c r="O79" s="405">
        <f t="shared" si="26"/>
        <v>0</v>
      </c>
      <c r="P79" s="406">
        <f t="shared" si="26"/>
        <v>0</v>
      </c>
      <c r="Q79" s="448">
        <f t="shared" si="26"/>
        <v>0</v>
      </c>
      <c r="R79" s="379" t="s">
        <v>32</v>
      </c>
      <c r="S79" s="386"/>
      <c r="T79" s="387"/>
      <c r="U79" s="413">
        <f>IF(-0.75*((C79/(VLOOKUP($A$2,Assumptions!$B$124:$G$147,2,0)))+D79/(VLOOKUP($A$2,Assumptions!$B$124:$G$147,5,0)))=0,"",-0.75*((C79/(VLOOKUP($A$2,Assumptions!$B$124:$G$147,2,0)))+D79/(VLOOKUP($A$2,Assumptions!$B$124:$G$147,5,0))))</f>
        <v>1.1415525114155251E-2</v>
      </c>
      <c r="V79" s="414">
        <f t="shared" si="24"/>
        <v>7.8207816116482753E-2</v>
      </c>
      <c r="W79" s="451"/>
      <c r="X79" s="506" t="s">
        <v>32</v>
      </c>
    </row>
    <row r="80" spans="1:24" ht="30">
      <c r="A80" s="373" t="s">
        <v>584</v>
      </c>
      <c r="B80" s="524" t="s">
        <v>587</v>
      </c>
      <c r="C80" s="375">
        <v>-20</v>
      </c>
      <c r="D80" s="375"/>
      <c r="E80" s="377">
        <v>47573</v>
      </c>
      <c r="F80" s="378">
        <v>117000</v>
      </c>
      <c r="G80" s="403">
        <f t="shared" si="25"/>
        <v>0</v>
      </c>
      <c r="H80" s="404">
        <f t="shared" si="26"/>
        <v>0</v>
      </c>
      <c r="I80" s="405">
        <f t="shared" si="26"/>
        <v>0</v>
      </c>
      <c r="J80" s="405">
        <f t="shared" si="26"/>
        <v>0</v>
      </c>
      <c r="K80" s="405">
        <f t="shared" si="26"/>
        <v>0</v>
      </c>
      <c r="L80" s="405">
        <f t="shared" si="26"/>
        <v>0</v>
      </c>
      <c r="M80" s="405">
        <f t="shared" si="26"/>
        <v>117000</v>
      </c>
      <c r="N80" s="405">
        <f t="shared" si="26"/>
        <v>0</v>
      </c>
      <c r="O80" s="405">
        <f t="shared" si="26"/>
        <v>0</v>
      </c>
      <c r="P80" s="406">
        <f t="shared" si="26"/>
        <v>0</v>
      </c>
      <c r="Q80" s="448">
        <f t="shared" si="26"/>
        <v>0</v>
      </c>
      <c r="R80" s="379" t="s">
        <v>32</v>
      </c>
      <c r="S80" s="386"/>
      <c r="T80" s="387"/>
      <c r="U80" s="413">
        <f>IF(-0.75*((C80/(VLOOKUP($A$2,Assumptions!$B$124:$G$147,2,0)))+D80/(VLOOKUP($A$2,Assumptions!$B$124:$G$147,5,0)))=0,"",-0.75*((C80/(VLOOKUP($A$2,Assumptions!$B$124:$G$147,2,0)))+D80/(VLOOKUP($A$2,Assumptions!$B$124:$G$147,5,0))))</f>
        <v>1.1415525114155251E-2</v>
      </c>
      <c r="V80" s="414">
        <f t="shared" si="24"/>
        <v>4.3448786731379314E-2</v>
      </c>
      <c r="W80" s="451"/>
      <c r="X80" s="506" t="s">
        <v>32</v>
      </c>
    </row>
    <row r="81" spans="1:24" ht="45">
      <c r="A81" s="373" t="s">
        <v>588</v>
      </c>
      <c r="B81" s="457" t="s">
        <v>589</v>
      </c>
      <c r="C81" s="375">
        <v>-40</v>
      </c>
      <c r="D81" s="375"/>
      <c r="E81" s="377">
        <v>45747</v>
      </c>
      <c r="F81" s="378">
        <v>1040000</v>
      </c>
      <c r="G81" s="403">
        <f t="shared" si="25"/>
        <v>0</v>
      </c>
      <c r="H81" s="404">
        <f t="shared" si="26"/>
        <v>1040000</v>
      </c>
      <c r="I81" s="405">
        <f t="shared" si="26"/>
        <v>0</v>
      </c>
      <c r="J81" s="405">
        <f t="shared" si="26"/>
        <v>0</v>
      </c>
      <c r="K81" s="405">
        <f t="shared" si="26"/>
        <v>0</v>
      </c>
      <c r="L81" s="405">
        <f t="shared" si="26"/>
        <v>0</v>
      </c>
      <c r="M81" s="405">
        <f t="shared" si="26"/>
        <v>0</v>
      </c>
      <c r="N81" s="405">
        <f t="shared" si="26"/>
        <v>0</v>
      </c>
      <c r="O81" s="405">
        <f t="shared" si="26"/>
        <v>0</v>
      </c>
      <c r="P81" s="406">
        <f t="shared" si="26"/>
        <v>0</v>
      </c>
      <c r="Q81" s="448">
        <f t="shared" si="26"/>
        <v>0</v>
      </c>
      <c r="R81" s="379" t="s">
        <v>32</v>
      </c>
      <c r="S81" s="386"/>
      <c r="T81" s="387"/>
      <c r="U81" s="413">
        <f>IF(-0.75*((C81/(VLOOKUP($A$2,Assumptions!$B$124:$G$147,2,0)))+D81/(VLOOKUP($A$2,Assumptions!$B$124:$G$147,5,0)))=0,"",-0.75*((C81/(VLOOKUP($A$2,Assumptions!$B$124:$G$147,2,0)))+D81/(VLOOKUP($A$2,Assumptions!$B$124:$G$147,5,0))))</f>
        <v>2.2831050228310501E-2</v>
      </c>
      <c r="V81" s="414">
        <f t="shared" si="24"/>
        <v>9.7759770145603442E-3</v>
      </c>
      <c r="W81" s="451"/>
      <c r="X81" s="506" t="s">
        <v>32</v>
      </c>
    </row>
    <row r="82" spans="1:24" ht="15">
      <c r="A82" s="373" t="s">
        <v>734</v>
      </c>
      <c r="B82" s="457" t="s">
        <v>590</v>
      </c>
      <c r="C82" s="375">
        <v>-15</v>
      </c>
      <c r="D82" s="375"/>
      <c r="E82" s="377">
        <v>46477</v>
      </c>
      <c r="F82" s="378">
        <v>234000</v>
      </c>
      <c r="G82" s="403">
        <f t="shared" si="25"/>
        <v>0</v>
      </c>
      <c r="H82" s="404">
        <f t="shared" si="26"/>
        <v>0</v>
      </c>
      <c r="I82" s="405">
        <f t="shared" si="26"/>
        <v>0</v>
      </c>
      <c r="J82" s="405">
        <f t="shared" si="26"/>
        <v>234000</v>
      </c>
      <c r="K82" s="405">
        <f t="shared" si="26"/>
        <v>0</v>
      </c>
      <c r="L82" s="405">
        <f t="shared" si="26"/>
        <v>0</v>
      </c>
      <c r="M82" s="405">
        <f t="shared" si="26"/>
        <v>0</v>
      </c>
      <c r="N82" s="405">
        <f t="shared" si="26"/>
        <v>0</v>
      </c>
      <c r="O82" s="405">
        <f t="shared" si="26"/>
        <v>0</v>
      </c>
      <c r="P82" s="406">
        <f t="shared" si="26"/>
        <v>0</v>
      </c>
      <c r="Q82" s="448">
        <f t="shared" si="26"/>
        <v>0</v>
      </c>
      <c r="R82" s="379" t="s">
        <v>32</v>
      </c>
      <c r="S82" s="386"/>
      <c r="T82" s="387"/>
      <c r="U82" s="413">
        <f>IF(-0.75*((C82/(VLOOKUP($A$2,Assumptions!$B$124:$G$147,2,0)))+D82/(VLOOKUP($A$2,Assumptions!$B$124:$G$147,5,0)))=0,"",-0.75*((C82/(VLOOKUP($A$2,Assumptions!$B$124:$G$147,2,0)))+D82/(VLOOKUP($A$2,Assumptions!$B$124:$G$147,5,0))))</f>
        <v>8.5616438356164379E-3</v>
      </c>
      <c r="V82" s="414">
        <f t="shared" si="24"/>
        <v>1.629329502426724E-2</v>
      </c>
      <c r="W82" s="451"/>
      <c r="X82" s="506" t="s">
        <v>32</v>
      </c>
    </row>
    <row r="83" spans="1:24" ht="15">
      <c r="A83" s="373" t="s">
        <v>735</v>
      </c>
      <c r="B83" s="457" t="s">
        <v>591</v>
      </c>
      <c r="C83" s="375">
        <v>-10</v>
      </c>
      <c r="D83" s="375"/>
      <c r="E83" s="377">
        <v>46477</v>
      </c>
      <c r="F83" s="378">
        <v>585000</v>
      </c>
      <c r="G83" s="403">
        <f t="shared" si="25"/>
        <v>0</v>
      </c>
      <c r="H83" s="404">
        <f t="shared" si="26"/>
        <v>0</v>
      </c>
      <c r="I83" s="405">
        <f t="shared" si="26"/>
        <v>0</v>
      </c>
      <c r="J83" s="405">
        <f t="shared" si="26"/>
        <v>585000</v>
      </c>
      <c r="K83" s="405">
        <f t="shared" si="26"/>
        <v>0</v>
      </c>
      <c r="L83" s="405">
        <f t="shared" si="26"/>
        <v>0</v>
      </c>
      <c r="M83" s="405">
        <f t="shared" si="26"/>
        <v>0</v>
      </c>
      <c r="N83" s="405">
        <f t="shared" si="26"/>
        <v>0</v>
      </c>
      <c r="O83" s="405">
        <f t="shared" si="26"/>
        <v>0</v>
      </c>
      <c r="P83" s="406">
        <f t="shared" si="26"/>
        <v>0</v>
      </c>
      <c r="Q83" s="448">
        <f t="shared" si="26"/>
        <v>0</v>
      </c>
      <c r="R83" s="379" t="s">
        <v>32</v>
      </c>
      <c r="S83" s="386"/>
      <c r="T83" s="387"/>
      <c r="U83" s="413">
        <f>IF(-0.75*((C83/(VLOOKUP($A$2,Assumptions!$B$124:$G$147,2,0)))+D83/(VLOOKUP($A$2,Assumptions!$B$124:$G$147,5,0)))=0,"",-0.75*((C83/(VLOOKUP($A$2,Assumptions!$B$124:$G$147,2,0)))+D83/(VLOOKUP($A$2,Assumptions!$B$124:$G$147,5,0))))</f>
        <v>5.7077625570776253E-3</v>
      </c>
      <c r="V83" s="414">
        <f t="shared" si="24"/>
        <v>4.3448786731379307E-3</v>
      </c>
      <c r="W83" s="451"/>
      <c r="X83" s="506" t="s">
        <v>32</v>
      </c>
    </row>
    <row r="84" spans="1:24" ht="30">
      <c r="A84" s="554" t="s">
        <v>731</v>
      </c>
      <c r="B84" s="555" t="s">
        <v>593</v>
      </c>
      <c r="C84" s="375">
        <v>-30</v>
      </c>
      <c r="D84" s="375"/>
      <c r="E84" s="377">
        <v>45382</v>
      </c>
      <c r="F84" s="378">
        <v>156000</v>
      </c>
      <c r="G84" s="403">
        <f t="shared" si="25"/>
        <v>156000</v>
      </c>
      <c r="H84" s="404">
        <f t="shared" si="26"/>
        <v>0</v>
      </c>
      <c r="I84" s="405">
        <f t="shared" si="26"/>
        <v>0</v>
      </c>
      <c r="J84" s="405">
        <f t="shared" si="26"/>
        <v>0</v>
      </c>
      <c r="K84" s="405">
        <f t="shared" si="26"/>
        <v>0</v>
      </c>
      <c r="L84" s="405">
        <f t="shared" si="26"/>
        <v>0</v>
      </c>
      <c r="M84" s="405">
        <f t="shared" si="26"/>
        <v>0</v>
      </c>
      <c r="N84" s="405">
        <f t="shared" si="26"/>
        <v>0</v>
      </c>
      <c r="O84" s="405">
        <f t="shared" si="26"/>
        <v>0</v>
      </c>
      <c r="P84" s="406">
        <f t="shared" si="26"/>
        <v>0</v>
      </c>
      <c r="Q84" s="448">
        <f t="shared" si="26"/>
        <v>0</v>
      </c>
      <c r="R84" s="379" t="s">
        <v>32</v>
      </c>
      <c r="S84" s="386"/>
      <c r="T84" s="387"/>
      <c r="U84" s="413">
        <f>IF(-0.75*((C84/(VLOOKUP($A$2,Assumptions!$B$124:$G$147,2,0)))+D84/(VLOOKUP($A$2,Assumptions!$B$124:$G$147,5,0)))=0,"",-0.75*((C84/(VLOOKUP($A$2,Assumptions!$B$124:$G$147,2,0)))+D84/(VLOOKUP($A$2,Assumptions!$B$124:$G$147,5,0))))</f>
        <v>1.7123287671232876E-2</v>
      </c>
      <c r="V84" s="414">
        <f t="shared" si="24"/>
        <v>4.8879885072801721E-2</v>
      </c>
      <c r="W84" s="451"/>
      <c r="X84" s="506" t="s">
        <v>32</v>
      </c>
    </row>
    <row r="85" spans="1:24" ht="15">
      <c r="A85" s="526"/>
      <c r="B85" s="457" t="s">
        <v>736</v>
      </c>
      <c r="C85" s="375">
        <v>60</v>
      </c>
      <c r="D85" s="375">
        <v>-400</v>
      </c>
      <c r="E85" s="377">
        <v>47573</v>
      </c>
      <c r="F85" s="378">
        <v>390000</v>
      </c>
      <c r="G85" s="403">
        <f t="shared" si="25"/>
        <v>0</v>
      </c>
      <c r="H85" s="404">
        <f t="shared" si="26"/>
        <v>0</v>
      </c>
      <c r="I85" s="405">
        <f t="shared" si="26"/>
        <v>0</v>
      </c>
      <c r="J85" s="405">
        <f t="shared" si="26"/>
        <v>0</v>
      </c>
      <c r="K85" s="405">
        <f t="shared" si="26"/>
        <v>0</v>
      </c>
      <c r="L85" s="405">
        <f t="shared" si="26"/>
        <v>0</v>
      </c>
      <c r="M85" s="405">
        <f t="shared" si="26"/>
        <v>390000</v>
      </c>
      <c r="N85" s="405">
        <f t="shared" si="26"/>
        <v>0</v>
      </c>
      <c r="O85" s="405">
        <f t="shared" si="26"/>
        <v>0</v>
      </c>
      <c r="P85" s="406">
        <f t="shared" si="26"/>
        <v>0</v>
      </c>
      <c r="Q85" s="448">
        <f t="shared" si="26"/>
        <v>0</v>
      </c>
      <c r="R85" s="379"/>
      <c r="S85" s="379" t="s">
        <v>32</v>
      </c>
      <c r="T85" s="387"/>
      <c r="U85" s="413">
        <f>IF(-0.75*((C85/(VLOOKUP($A$2,Assumptions!$B$124:$G$147,2,0)))+D85/(VLOOKUP($A$2,Assumptions!$B$124:$G$147,5,0)))=0,"",-0.75*((C85/(VLOOKUP($A$2,Assumptions!$B$124:$G$147,2,0)))+D85/(VLOOKUP($A$2,Assumptions!$B$124:$G$147,5,0))))</f>
        <v>2.2787645189853638E-2</v>
      </c>
      <c r="V85" s="414">
        <f t="shared" si="24"/>
        <v>-1.4169662559324944E-2</v>
      </c>
      <c r="W85" s="451"/>
      <c r="X85" s="506" t="s">
        <v>32</v>
      </c>
    </row>
    <row r="86" spans="1:24" ht="15">
      <c r="A86" s="553" t="s">
        <v>737</v>
      </c>
      <c r="B86" s="528" t="s">
        <v>595</v>
      </c>
      <c r="C86" s="375">
        <v>-240</v>
      </c>
      <c r="D86" s="375"/>
      <c r="E86" s="377">
        <v>48304</v>
      </c>
      <c r="F86" s="378">
        <v>1035000</v>
      </c>
      <c r="G86" s="403">
        <f t="shared" si="25"/>
        <v>0</v>
      </c>
      <c r="H86" s="404">
        <f t="shared" si="26"/>
        <v>0</v>
      </c>
      <c r="I86" s="405">
        <f t="shared" si="26"/>
        <v>0</v>
      </c>
      <c r="J86" s="405">
        <f t="shared" si="26"/>
        <v>0</v>
      </c>
      <c r="K86" s="405">
        <f t="shared" si="26"/>
        <v>0</v>
      </c>
      <c r="L86" s="405">
        <f t="shared" si="26"/>
        <v>0</v>
      </c>
      <c r="M86" s="405">
        <f t="shared" si="26"/>
        <v>0</v>
      </c>
      <c r="N86" s="405">
        <f t="shared" si="26"/>
        <v>0</v>
      </c>
      <c r="O86" s="405">
        <f t="shared" si="26"/>
        <v>1035000</v>
      </c>
      <c r="P86" s="406">
        <f t="shared" si="26"/>
        <v>0</v>
      </c>
      <c r="Q86" s="448">
        <f t="shared" si="26"/>
        <v>0</v>
      </c>
      <c r="R86" s="379" t="s">
        <v>32</v>
      </c>
      <c r="S86" s="386"/>
      <c r="T86" s="387"/>
      <c r="U86" s="413">
        <f>IF(-0.75*((C86/(VLOOKUP($A$2,Assumptions!$B$124:$G$147,2,0)))+D86/(VLOOKUP($A$2,Assumptions!$B$124:$G$147,5,0)))=0,"",-0.75*((C86/(VLOOKUP($A$2,Assumptions!$B$124:$G$147,2,0)))+D86/(VLOOKUP($A$2,Assumptions!$B$124:$G$147,5,0))))</f>
        <v>0.13698630136986301</v>
      </c>
      <c r="V86" s="414">
        <f t="shared" si="24"/>
        <v>5.8939223739958017E-2</v>
      </c>
      <c r="W86" s="451"/>
      <c r="X86" s="507"/>
    </row>
    <row r="87" spans="1:24" ht="45">
      <c r="A87" s="553" t="s">
        <v>738</v>
      </c>
      <c r="B87" s="457" t="s">
        <v>596</v>
      </c>
      <c r="C87" s="375">
        <v>40</v>
      </c>
      <c r="D87" s="375">
        <v>-360</v>
      </c>
      <c r="E87" s="377">
        <v>48304</v>
      </c>
      <c r="F87" s="378">
        <v>805000</v>
      </c>
      <c r="G87" s="403">
        <f t="shared" si="25"/>
        <v>0</v>
      </c>
      <c r="H87" s="404">
        <f t="shared" si="26"/>
        <v>0</v>
      </c>
      <c r="I87" s="405">
        <f t="shared" si="26"/>
        <v>0</v>
      </c>
      <c r="J87" s="405">
        <f t="shared" si="26"/>
        <v>0</v>
      </c>
      <c r="K87" s="405">
        <f t="shared" si="26"/>
        <v>0</v>
      </c>
      <c r="L87" s="405">
        <f t="shared" si="26"/>
        <v>0</v>
      </c>
      <c r="M87" s="405">
        <f t="shared" si="26"/>
        <v>0</v>
      </c>
      <c r="N87" s="405">
        <f t="shared" si="26"/>
        <v>0</v>
      </c>
      <c r="O87" s="405">
        <f t="shared" si="26"/>
        <v>805000</v>
      </c>
      <c r="P87" s="406">
        <f t="shared" si="26"/>
        <v>0</v>
      </c>
      <c r="Q87" s="448">
        <f t="shared" si="26"/>
        <v>0</v>
      </c>
      <c r="R87" s="379"/>
      <c r="S87" s="379" t="s">
        <v>32</v>
      </c>
      <c r="T87" s="387"/>
      <c r="U87" s="413">
        <f>IF(-0.75*((C87/(VLOOKUP($A$2,Assumptions!$B$124:$G$147,2,0)))+D87/(VLOOKUP($A$2,Assumptions!$B$124:$G$147,5,0)))=0,"",-0.75*((C87/(VLOOKUP($A$2,Assumptions!$B$124:$G$147,2,0)))+D87/(VLOOKUP($A$2,Assumptions!$B$124:$G$147,5,0))))</f>
        <v>2.8499748250776953E-2</v>
      </c>
      <c r="V87" s="414">
        <f t="shared" si="24"/>
        <v>-1.7578831366746458E-3</v>
      </c>
      <c r="W87" s="451"/>
      <c r="X87" s="506" t="s">
        <v>32</v>
      </c>
    </row>
    <row r="88" spans="1:24" ht="30">
      <c r="A88" s="553" t="s">
        <v>739</v>
      </c>
      <c r="B88" s="529" t="s">
        <v>597</v>
      </c>
      <c r="C88" s="398">
        <v>-180</v>
      </c>
      <c r="D88" s="398"/>
      <c r="E88" s="399">
        <v>48304</v>
      </c>
      <c r="F88" s="400">
        <v>1035000</v>
      </c>
      <c r="G88" s="407">
        <f t="shared" si="25"/>
        <v>0</v>
      </c>
      <c r="H88" s="408">
        <f t="shared" si="26"/>
        <v>0</v>
      </c>
      <c r="I88" s="409">
        <f t="shared" si="26"/>
        <v>0</v>
      </c>
      <c r="J88" s="409">
        <f t="shared" si="26"/>
        <v>0</v>
      </c>
      <c r="K88" s="409">
        <f t="shared" si="26"/>
        <v>0</v>
      </c>
      <c r="L88" s="409">
        <f t="shared" si="26"/>
        <v>0</v>
      </c>
      <c r="M88" s="409">
        <f t="shared" si="26"/>
        <v>0</v>
      </c>
      <c r="N88" s="409">
        <f t="shared" si="26"/>
        <v>0</v>
      </c>
      <c r="O88" s="409">
        <f t="shared" si="26"/>
        <v>1035000</v>
      </c>
      <c r="P88" s="410">
        <f t="shared" si="26"/>
        <v>0</v>
      </c>
      <c r="Q88" s="449">
        <f t="shared" si="26"/>
        <v>0</v>
      </c>
      <c r="R88" s="401"/>
      <c r="S88" s="379" t="s">
        <v>32</v>
      </c>
      <c r="T88" s="402"/>
      <c r="U88" s="413">
        <f>IF(-0.75*((C88/(VLOOKUP($A$2,Assumptions!$B$124:$G$147,2,0)))+D88/(VLOOKUP($A$2,Assumptions!$B$124:$G$147,5,0)))=0,"",-0.75*((C88/(VLOOKUP($A$2,Assumptions!$B$124:$G$147,2,0)))+D88/(VLOOKUP($A$2,Assumptions!$B$124:$G$147,5,0))))</f>
        <v>0.10273972602739725</v>
      </c>
      <c r="V88" s="415">
        <f t="shared" si="24"/>
        <v>4.4204417804968511E-2</v>
      </c>
      <c r="W88" s="452"/>
      <c r="X88" s="506" t="s">
        <v>32</v>
      </c>
    </row>
    <row r="89" spans="1:24" ht="15">
      <c r="A89" s="553" t="s">
        <v>740</v>
      </c>
      <c r="B89" s="530" t="s">
        <v>598</v>
      </c>
      <c r="C89" s="398">
        <v>-130</v>
      </c>
      <c r="D89" s="398"/>
      <c r="E89" s="399">
        <v>48304</v>
      </c>
      <c r="F89" s="400">
        <v>287000</v>
      </c>
      <c r="G89" s="407">
        <f t="shared" si="25"/>
        <v>0</v>
      </c>
      <c r="H89" s="408">
        <f t="shared" si="26"/>
        <v>0</v>
      </c>
      <c r="I89" s="409">
        <f t="shared" si="26"/>
        <v>0</v>
      </c>
      <c r="J89" s="409">
        <f t="shared" si="26"/>
        <v>0</v>
      </c>
      <c r="K89" s="409">
        <f t="shared" si="26"/>
        <v>0</v>
      </c>
      <c r="L89" s="409">
        <f t="shared" si="26"/>
        <v>0</v>
      </c>
      <c r="M89" s="409">
        <f t="shared" si="26"/>
        <v>0</v>
      </c>
      <c r="N89" s="409">
        <f t="shared" si="26"/>
        <v>0</v>
      </c>
      <c r="O89" s="409">
        <f t="shared" si="26"/>
        <v>287000</v>
      </c>
      <c r="P89" s="410">
        <f t="shared" si="26"/>
        <v>0</v>
      </c>
      <c r="Q89" s="449">
        <f t="shared" si="26"/>
        <v>0</v>
      </c>
      <c r="R89" s="379" t="s">
        <v>32</v>
      </c>
      <c r="S89" s="401"/>
      <c r="T89" s="402"/>
      <c r="U89" s="413">
        <f>IF(-0.75*((C89/(VLOOKUP($A$2,Assumptions!$B$124:$G$147,2,0)))+D89/(VLOOKUP($A$2,Assumptions!$B$124:$G$147,5,0)))=0,"",-0.75*((C89/(VLOOKUP($A$2,Assumptions!$B$124:$G$147,2,0)))+D89/(VLOOKUP($A$2,Assumptions!$B$124:$G$147,5,0))))</f>
        <v>7.4200913242009128E-2</v>
      </c>
      <c r="V89" s="415">
        <f t="shared" ref="V89:W114" si="27">IF(ISERROR(((-C89*1000*$W$162)/F89)),"",((-C89*1000*$W$162)/F89))</f>
        <v>6.8850174216027876E-2</v>
      </c>
      <c r="W89" s="452" t="str">
        <f t="shared" si="27"/>
        <v/>
      </c>
      <c r="X89" s="507"/>
    </row>
    <row r="90" spans="1:24" ht="15">
      <c r="A90" s="553" t="s">
        <v>741</v>
      </c>
      <c r="B90" s="529" t="s">
        <v>599</v>
      </c>
      <c r="C90" s="398">
        <v>-160</v>
      </c>
      <c r="D90" s="398"/>
      <c r="E90" s="399">
        <v>47938</v>
      </c>
      <c r="F90" s="400">
        <v>1380000</v>
      </c>
      <c r="G90" s="407">
        <f t="shared" si="25"/>
        <v>0</v>
      </c>
      <c r="H90" s="408">
        <f t="shared" si="26"/>
        <v>0</v>
      </c>
      <c r="I90" s="409">
        <f t="shared" si="26"/>
        <v>0</v>
      </c>
      <c r="J90" s="409">
        <f t="shared" si="26"/>
        <v>0</v>
      </c>
      <c r="K90" s="409">
        <f t="shared" si="26"/>
        <v>0</v>
      </c>
      <c r="L90" s="409">
        <f t="shared" si="26"/>
        <v>0</v>
      </c>
      <c r="M90" s="409">
        <f t="shared" si="26"/>
        <v>0</v>
      </c>
      <c r="N90" s="409">
        <f t="shared" si="26"/>
        <v>1380000</v>
      </c>
      <c r="O90" s="409">
        <f t="shared" si="26"/>
        <v>0</v>
      </c>
      <c r="P90" s="410">
        <f t="shared" si="26"/>
        <v>0</v>
      </c>
      <c r="Q90" s="449">
        <f t="shared" si="26"/>
        <v>0</v>
      </c>
      <c r="R90" s="379" t="s">
        <v>32</v>
      </c>
      <c r="S90" s="401"/>
      <c r="T90" s="402"/>
      <c r="U90" s="413">
        <f>IF(-0.75*((C90/(VLOOKUP($A$2,Assumptions!$B$124:$G$147,2,0)))+D90/(VLOOKUP($A$2,Assumptions!$B$124:$G$147,5,0)))=0,"",-0.75*((C90/(VLOOKUP($A$2,Assumptions!$B$124:$G$147,2,0)))+D90/(VLOOKUP($A$2,Assumptions!$B$124:$G$147,5,0))))</f>
        <v>9.1324200913242004E-2</v>
      </c>
      <c r="V90" s="415">
        <f t="shared" si="27"/>
        <v>1.7623188405797102E-2</v>
      </c>
      <c r="W90" s="452" t="str">
        <f t="shared" si="27"/>
        <v/>
      </c>
      <c r="X90" s="506" t="s">
        <v>32</v>
      </c>
    </row>
    <row r="91" spans="1:24" ht="15">
      <c r="A91" s="526" t="s">
        <v>742</v>
      </c>
      <c r="B91" s="529" t="s">
        <v>600</v>
      </c>
      <c r="C91" s="398">
        <v>-90</v>
      </c>
      <c r="D91" s="398"/>
      <c r="E91" s="399">
        <v>47938</v>
      </c>
      <c r="F91" s="400">
        <v>1265000</v>
      </c>
      <c r="G91" s="407">
        <f t="shared" si="25"/>
        <v>0</v>
      </c>
      <c r="H91" s="408">
        <f t="shared" si="26"/>
        <v>0</v>
      </c>
      <c r="I91" s="409">
        <f t="shared" si="26"/>
        <v>0</v>
      </c>
      <c r="J91" s="409">
        <f t="shared" si="26"/>
        <v>0</v>
      </c>
      <c r="K91" s="409">
        <f t="shared" si="26"/>
        <v>0</v>
      </c>
      <c r="L91" s="409">
        <f t="shared" si="26"/>
        <v>0</v>
      </c>
      <c r="M91" s="409">
        <f t="shared" si="26"/>
        <v>0</v>
      </c>
      <c r="N91" s="409">
        <f t="shared" si="26"/>
        <v>1265000</v>
      </c>
      <c r="O91" s="409">
        <f t="shared" si="26"/>
        <v>0</v>
      </c>
      <c r="P91" s="410">
        <f t="shared" si="26"/>
        <v>0</v>
      </c>
      <c r="Q91" s="449">
        <f t="shared" si="26"/>
        <v>0</v>
      </c>
      <c r="R91" s="379" t="s">
        <v>32</v>
      </c>
      <c r="S91" s="401"/>
      <c r="T91" s="402"/>
      <c r="U91" s="413">
        <f>IF(-0.75*((C91/(VLOOKUP($A$2,Assumptions!$B$124:$G$147,2,0)))+D91/(VLOOKUP($A$2,Assumptions!$B$124:$G$147,5,0)))=0,"",-0.75*((C91/(VLOOKUP($A$2,Assumptions!$B$124:$G$147,2,0)))+D91/(VLOOKUP($A$2,Assumptions!$B$124:$G$147,5,0))))</f>
        <v>5.1369863013698627E-2</v>
      </c>
      <c r="V91" s="415">
        <f t="shared" si="27"/>
        <v>1.0814229249011858E-2</v>
      </c>
      <c r="W91" s="452" t="str">
        <f t="shared" si="27"/>
        <v/>
      </c>
      <c r="X91" s="506" t="s">
        <v>32</v>
      </c>
    </row>
    <row r="92" spans="1:24" ht="15">
      <c r="A92" s="531"/>
      <c r="B92" s="529"/>
      <c r="C92" s="398"/>
      <c r="D92" s="398"/>
      <c r="E92" s="399"/>
      <c r="F92" s="400"/>
      <c r="G92" s="407"/>
      <c r="H92" s="408"/>
      <c r="I92" s="409"/>
      <c r="J92" s="409"/>
      <c r="K92" s="409"/>
      <c r="L92" s="409"/>
      <c r="M92" s="409"/>
      <c r="N92" s="409"/>
      <c r="O92" s="409"/>
      <c r="P92" s="410"/>
      <c r="Q92" s="449"/>
      <c r="R92" s="401"/>
      <c r="S92" s="401"/>
      <c r="T92" s="402"/>
      <c r="V92" s="415" t="str">
        <f t="shared" si="27"/>
        <v/>
      </c>
      <c r="W92" s="452" t="str">
        <f t="shared" si="27"/>
        <v/>
      </c>
      <c r="X92" s="507"/>
    </row>
    <row r="93" spans="1:24" ht="15">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7"/>
        <v/>
      </c>
      <c r="W93" s="170" t="str">
        <f t="shared" si="27"/>
        <v/>
      </c>
      <c r="X93" s="170"/>
    </row>
    <row r="94" spans="1:24" ht="15">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7"/>
        <v/>
      </c>
      <c r="W94" s="170" t="str">
        <f t="shared" si="27"/>
        <v/>
      </c>
      <c r="X94" s="170"/>
    </row>
    <row r="95" spans="1:24" ht="15">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7"/>
        <v/>
      </c>
      <c r="W95" s="170" t="str">
        <f t="shared" si="27"/>
        <v/>
      </c>
      <c r="X95" s="170"/>
    </row>
    <row r="96" spans="1:24" ht="15">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7"/>
        <v/>
      </c>
      <c r="W96" s="170" t="str">
        <f t="shared" si="27"/>
        <v/>
      </c>
      <c r="X96" s="170"/>
    </row>
    <row r="97" spans="1:24" ht="15">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7"/>
        <v/>
      </c>
      <c r="W97" s="170" t="str">
        <f t="shared" si="27"/>
        <v/>
      </c>
      <c r="X97" s="170"/>
    </row>
    <row r="98" spans="1:24" ht="15">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7"/>
        <v/>
      </c>
      <c r="W98" s="170" t="str">
        <f t="shared" si="27"/>
        <v/>
      </c>
      <c r="X98" s="170"/>
    </row>
    <row r="99" spans="1:24" ht="15">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7"/>
        <v/>
      </c>
      <c r="W99" s="170" t="str">
        <f t="shared" si="27"/>
        <v/>
      </c>
      <c r="X99" s="170"/>
    </row>
    <row r="100" spans="1:24" ht="15">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7"/>
        <v/>
      </c>
      <c r="W100" s="170" t="str">
        <f t="shared" si="27"/>
        <v/>
      </c>
      <c r="X100" s="170"/>
    </row>
    <row r="101" spans="1:24" ht="15">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7"/>
        <v/>
      </c>
      <c r="W101" s="170" t="str">
        <f t="shared" si="27"/>
        <v/>
      </c>
      <c r="X101" s="170"/>
    </row>
    <row r="102" spans="1:24" ht="15">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7"/>
        <v/>
      </c>
      <c r="W102" s="170" t="str">
        <f t="shared" si="27"/>
        <v/>
      </c>
      <c r="X102" s="170"/>
    </row>
    <row r="103" spans="1:24" ht="15">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7"/>
        <v/>
      </c>
      <c r="W103" s="170" t="str">
        <f t="shared" si="27"/>
        <v/>
      </c>
      <c r="X103" s="170"/>
    </row>
    <row r="104" spans="1:24" ht="15">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7"/>
        <v/>
      </c>
      <c r="W104" s="170" t="str">
        <f t="shared" si="27"/>
        <v/>
      </c>
      <c r="X104" s="170"/>
    </row>
    <row r="105" spans="1:24" ht="15">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7"/>
        <v/>
      </c>
      <c r="W105" s="170" t="str">
        <f t="shared" si="27"/>
        <v/>
      </c>
      <c r="X105" s="170"/>
    </row>
    <row r="106" spans="1:24" ht="15">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7"/>
        <v/>
      </c>
      <c r="W106" s="170" t="str">
        <f t="shared" si="27"/>
        <v/>
      </c>
      <c r="X106" s="170"/>
    </row>
    <row r="107" spans="1:24" ht="15">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7"/>
        <v/>
      </c>
      <c r="W107" s="170" t="str">
        <f t="shared" si="27"/>
        <v/>
      </c>
      <c r="X107" s="170"/>
    </row>
    <row r="108" spans="1:24" ht="15">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7"/>
        <v/>
      </c>
      <c r="W108" s="170" t="str">
        <f t="shared" si="27"/>
        <v/>
      </c>
      <c r="X108" s="170"/>
    </row>
    <row r="109" spans="1:24" ht="15">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7"/>
        <v/>
      </c>
      <c r="W109" s="170" t="str">
        <f t="shared" si="27"/>
        <v/>
      </c>
      <c r="X109" s="170"/>
    </row>
    <row r="110" spans="1:24" ht="15">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7"/>
        <v/>
      </c>
      <c r="W110" s="170" t="str">
        <f t="shared" si="27"/>
        <v/>
      </c>
      <c r="X110" s="170"/>
    </row>
    <row r="111" spans="1:24" ht="15">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7"/>
        <v/>
      </c>
      <c r="W111" s="170" t="str">
        <f t="shared" si="27"/>
        <v/>
      </c>
      <c r="X111" s="170"/>
    </row>
    <row r="112" spans="1:24" ht="15">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7"/>
        <v/>
      </c>
      <c r="W112" s="170" t="str">
        <f t="shared" si="27"/>
        <v/>
      </c>
      <c r="X112" s="170"/>
    </row>
    <row r="113" spans="1:31" ht="15">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7"/>
        <v/>
      </c>
      <c r="W113" s="170" t="str">
        <f t="shared" si="27"/>
        <v/>
      </c>
      <c r="X113" s="170"/>
    </row>
    <row r="114" spans="1:31" ht="15">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7"/>
        <v/>
      </c>
      <c r="W114" s="173" t="str">
        <f t="shared" si="27"/>
        <v/>
      </c>
      <c r="X114" s="173"/>
    </row>
    <row r="115" spans="1:31" ht="15">
      <c r="A115" s="13"/>
      <c r="B115" s="353"/>
      <c r="C115" s="354">
        <f>SUM(C69:C91)</f>
        <v>-1320</v>
      </c>
      <c r="D115" s="354">
        <f>SUM(D69:D88)</f>
        <v>-1120</v>
      </c>
      <c r="E115" s="355"/>
      <c r="F115" s="333">
        <f>SUM(F69:F114)</f>
        <v>12718040</v>
      </c>
      <c r="G115" s="388">
        <f>SUM(G69:G114)</f>
        <v>256340</v>
      </c>
      <c r="H115" s="388">
        <f t="shared" ref="H115:N115" si="28">SUM(H69:H114)</f>
        <v>5211700</v>
      </c>
      <c r="I115" s="532">
        <f>SUM(I69:I114)</f>
        <v>0</v>
      </c>
      <c r="J115" s="388">
        <f t="shared" si="28"/>
        <v>819000</v>
      </c>
      <c r="K115" s="388">
        <f t="shared" si="28"/>
        <v>0</v>
      </c>
      <c r="L115" s="388">
        <f t="shared" si="28"/>
        <v>0</v>
      </c>
      <c r="M115" s="388">
        <f t="shared" si="28"/>
        <v>624000</v>
      </c>
      <c r="N115" s="388">
        <f t="shared" si="28"/>
        <v>2645000</v>
      </c>
      <c r="O115" s="388">
        <f>SUM(O69:O114)</f>
        <v>3162000</v>
      </c>
      <c r="P115" s="388">
        <f>SUM(P69:P114)</f>
        <v>0</v>
      </c>
      <c r="Q115" s="388">
        <f>SUM(Q69:Q114)</f>
        <v>0</v>
      </c>
      <c r="R115" s="388">
        <f>SUMIFS(F69:F114,R69:R114,"Yes")-0.5*SUMIFS(F69:F114,R69:R114,"Yes",S69:S114,"Yes")</f>
        <v>9899100</v>
      </c>
      <c r="S115" s="388">
        <f>SUMIFS(F69:F114,S69:S114,"Yes")-0.5*SUMIFS(F69:F114,S69:S114,"Yes",R69:R114,"Yes")</f>
        <v>2789000</v>
      </c>
      <c r="T115" s="388">
        <f>SUMIFS(F69:F114,T69:T114,"Yes")</f>
        <v>29940</v>
      </c>
      <c r="U115" s="389">
        <f>SUM(U69:U114)</f>
        <v>0.91312047502474081</v>
      </c>
      <c r="V115" s="390">
        <f>IF(ISERROR(((-1*C115*1000*$D$6)+(-1*D115*$D$8))/F115),"",((-1*C115*1000*$D$6)+(-1*D115*$D$8))/F115)</f>
        <v>2.8521669001239799E-2</v>
      </c>
      <c r="W115" s="391">
        <f>SUMIFS(F69:F114,W69:W114,"Yes")</f>
        <v>0</v>
      </c>
      <c r="X115" s="516">
        <f>SUMIFS(F69:F114,X69:X114,"Yes")</f>
        <v>11237000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5">
      <c r="A120" s="13"/>
      <c r="B120" s="13"/>
      <c r="C120" s="13"/>
      <c r="D120" s="13"/>
      <c r="E120" s="13"/>
      <c r="F120" s="13"/>
      <c r="G120" s="13"/>
      <c r="H120" s="13"/>
      <c r="I120" s="13"/>
      <c r="J120" s="13"/>
      <c r="K120" s="13"/>
      <c r="L120" s="13"/>
      <c r="M120" s="13"/>
      <c r="N120" s="13"/>
      <c r="O120" s="13"/>
      <c r="P120" s="13"/>
      <c r="Q120" s="13"/>
      <c r="R120" s="21" t="s">
        <v>743</v>
      </c>
      <c r="S120" s="22">
        <f>-AL214</f>
        <v>990</v>
      </c>
      <c r="T120" s="13"/>
      <c r="U120" s="13"/>
      <c r="V120" s="556" t="str">
        <f t="shared" ref="V120:V122" si="29">IF(ISERROR(((-1*C120*1000*$D$6)+(-1*D120*$D$8))/F120),"",((-1*C120*1000*$D$6)+(-1*D120*$D$8))/F120)</f>
        <v/>
      </c>
    </row>
    <row r="121" spans="1:31" s="20" customFormat="1" ht="15">
      <c r="A121" s="13"/>
      <c r="B121" s="13"/>
      <c r="C121" s="535">
        <f>SUM(C72:C77)</f>
        <v>-395</v>
      </c>
      <c r="D121" s="535">
        <f>SUM(D72:D77)</f>
        <v>-360</v>
      </c>
      <c r="E121" s="13"/>
      <c r="F121" s="535">
        <f>SUM(F72:F77)</f>
        <v>4113000</v>
      </c>
      <c r="G121" s="13"/>
      <c r="H121" s="13"/>
      <c r="I121" s="13"/>
      <c r="J121" s="13"/>
      <c r="K121" s="13"/>
      <c r="L121" s="13"/>
      <c r="M121" s="13"/>
      <c r="N121" s="13"/>
      <c r="O121" s="13"/>
      <c r="P121" s="13"/>
      <c r="Q121" s="13"/>
      <c r="R121" s="13"/>
      <c r="S121" s="13"/>
      <c r="T121" s="13"/>
      <c r="U121" s="13"/>
      <c r="V121" s="556">
        <f t="shared" si="29"/>
        <v>2.6538099710589451E-2</v>
      </c>
    </row>
    <row r="122" spans="1:31" s="20" customFormat="1" ht="15">
      <c r="A122" s="13"/>
      <c r="B122" s="13"/>
      <c r="C122" s="535">
        <f>SUM(C78:C80)</f>
        <v>-90</v>
      </c>
      <c r="D122" s="535">
        <f>SUM(D78:D80)</f>
        <v>0</v>
      </c>
      <c r="E122" s="13"/>
      <c r="F122" s="535">
        <f>SUM(F78:F80)</f>
        <v>234000</v>
      </c>
      <c r="G122" s="13"/>
      <c r="H122" s="13"/>
      <c r="I122" s="13"/>
      <c r="J122" s="13"/>
      <c r="K122" s="13"/>
      <c r="L122" s="13"/>
      <c r="M122" s="13"/>
      <c r="N122" s="13"/>
      <c r="O122" s="13"/>
      <c r="P122" s="13"/>
      <c r="Q122" s="13"/>
      <c r="R122" s="13"/>
      <c r="S122" s="13"/>
      <c r="T122" s="13"/>
      <c r="U122" s="13"/>
      <c r="V122" s="556">
        <f t="shared" si="29"/>
        <v>9.7759770145603442E-2</v>
      </c>
    </row>
    <row r="123" spans="1:31" s="20" customFormat="1" ht="13">
      <c r="A123" s="13"/>
      <c r="B123" s="13"/>
      <c r="C123" s="535">
        <f>SUM(C86:C90)</f>
        <v>-670</v>
      </c>
      <c r="D123" s="13"/>
      <c r="E123" s="13"/>
      <c r="F123" s="13"/>
      <c r="G123" s="13"/>
      <c r="H123" s="13"/>
      <c r="I123" s="13"/>
      <c r="J123" s="13"/>
      <c r="K123" s="13"/>
      <c r="L123" s="13"/>
      <c r="M123" s="13"/>
      <c r="N123" s="13"/>
      <c r="O123" s="13"/>
      <c r="P123" s="13"/>
      <c r="Q123" s="13"/>
      <c r="R123" s="21" t="s">
        <v>426</v>
      </c>
      <c r="S123" s="22">
        <f>BZ161</f>
        <v>5.606327462491846</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5.5342721655410259</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5.5546713464728459</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5.8931708217041399</v>
      </c>
      <c r="AA126" s="22">
        <f t="shared" ref="AA126:AC126" si="30">AK216</f>
        <v>6.4800970628414092</v>
      </c>
      <c r="AB126" s="22">
        <f t="shared" si="30"/>
        <v>0</v>
      </c>
      <c r="AC126" s="22">
        <f t="shared" si="30"/>
        <v>0</v>
      </c>
      <c r="AD126" s="22">
        <f t="shared" ref="AD126:AE126" si="31">AI217</f>
        <v>0</v>
      </c>
      <c r="AE126" s="22">
        <f t="shared" si="31"/>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5.8931708217041399</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5.910170139147322</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5.910170139147322</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5.910170139147322</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5.9478053687578303</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6.1177985431896591</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6.4800970628414092</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285">
        <f>S133-S123</f>
        <v>0.87376960034956319</v>
      </c>
      <c r="T134" s="13"/>
      <c r="U134" s="13">
        <f>S134*0.75</f>
        <v>0.65532720026217239</v>
      </c>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32">AQ156*0.5</f>
        <v>20.914999999999999</v>
      </c>
      <c r="AR154" s="338">
        <f t="shared" si="32"/>
        <v>26.98</v>
      </c>
      <c r="AS154" s="8"/>
      <c r="AT154" s="25">
        <v>6</v>
      </c>
      <c r="AU154" s="339">
        <f>AU156*0.5</f>
        <v>64.760000000000005</v>
      </c>
      <c r="AV154" s="339">
        <f t="shared" ref="AV154:AY154" si="33">AV156*0.5</f>
        <v>69.5</v>
      </c>
      <c r="AW154" s="339">
        <f t="shared" si="33"/>
        <v>59.814999999999998</v>
      </c>
      <c r="AX154" s="339">
        <f t="shared" si="33"/>
        <v>33.69</v>
      </c>
      <c r="AY154" s="339">
        <f t="shared" si="33"/>
        <v>44.87</v>
      </c>
      <c r="AZ154" s="8"/>
      <c r="BA154" s="25">
        <v>6</v>
      </c>
      <c r="BB154" s="24">
        <f t="shared" ref="BB154:BB155" si="34">IF($C$58="Base",BF154,BG154)</f>
        <v>34.795000000000002</v>
      </c>
      <c r="BC154" s="24" t="s">
        <v>436</v>
      </c>
      <c r="BD154" s="8"/>
      <c r="BE154" s="8"/>
      <c r="BF154" s="24">
        <f t="shared" ref="BF154:BF155" si="35">IF($C$59&gt;7000,"error",IF($C$59&gt;5999,AR154,IF($C$59&gt;4999,AQ154,IF($C$59&gt;3999,AP154,IF($C$59&gt;2999,AO154,IF($C$59&gt;1999,AN154,"Error"))))))</f>
        <v>34.795000000000002</v>
      </c>
      <c r="BG154" s="24">
        <f t="shared" ref="BG154:BG164" si="36">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7">AQ156*0.75</f>
        <v>31.372499999999999</v>
      </c>
      <c r="AR155" s="338">
        <f t="shared" si="37"/>
        <v>40.47</v>
      </c>
      <c r="AS155" s="24"/>
      <c r="AT155" s="25">
        <v>5.5</v>
      </c>
      <c r="AU155" s="339">
        <f>AU156*0.75</f>
        <v>97.140000000000015</v>
      </c>
      <c r="AV155" s="339">
        <f t="shared" ref="AV155:AY155" si="38">AV156*0.75</f>
        <v>104.25</v>
      </c>
      <c r="AW155" s="339">
        <f t="shared" si="38"/>
        <v>89.722499999999997</v>
      </c>
      <c r="AX155" s="339">
        <f t="shared" si="38"/>
        <v>50.534999999999997</v>
      </c>
      <c r="AY155" s="339">
        <f t="shared" si="38"/>
        <v>67.304999999999993</v>
      </c>
      <c r="AZ155" s="24"/>
      <c r="BA155" s="25">
        <v>5.5</v>
      </c>
      <c r="BB155" s="24">
        <f t="shared" si="34"/>
        <v>52.192500000000003</v>
      </c>
      <c r="BC155" s="24" t="s">
        <v>436</v>
      </c>
      <c r="BE155" s="24"/>
      <c r="BF155" s="24">
        <f t="shared" si="35"/>
        <v>52.192500000000003</v>
      </c>
      <c r="BG155" s="24">
        <f t="shared" si="36"/>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6"/>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27599.5</v>
      </c>
      <c r="BW156" s="14" t="s">
        <v>445</v>
      </c>
      <c r="BX156" s="14" t="s">
        <v>13</v>
      </c>
      <c r="BY156" s="14">
        <f>BY157/BV156</f>
        <v>47.446800079349266</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9">IF($C$58="Base",BF157,BG157)</f>
        <v>84.92</v>
      </c>
      <c r="BC157" s="24" t="s">
        <v>436</v>
      </c>
      <c r="BD157" s="24">
        <f>BB157-BB156</f>
        <v>15.329999999999998</v>
      </c>
      <c r="BE157" s="24"/>
      <c r="BF157" s="24">
        <f t="shared" ref="BF157:BF164" si="40">IF($C$59&gt;7000,"error",IF($C$59&gt;5999,AR157,IF($C$59&gt;4999,AQ157,IF($C$59&gt;3999,AP157,IF($C$59&gt;2999,AO157,IF($C$59&gt;1999,AN157,"Error"))))))</f>
        <v>84.92</v>
      </c>
      <c r="BG157" s="24">
        <f t="shared" si="36"/>
        <v>158.69</v>
      </c>
      <c r="BH157" s="24"/>
      <c r="BI157" s="29" t="s">
        <v>118</v>
      </c>
      <c r="BJ157" s="29">
        <v>810</v>
      </c>
      <c r="BK157" s="29">
        <v>51.33</v>
      </c>
      <c r="BL157" s="24">
        <v>2000</v>
      </c>
      <c r="BM157" s="25"/>
      <c r="BN157" s="24">
        <f>BV161/BV158</f>
        <v>31.699539065359481</v>
      </c>
      <c r="BO157" s="32" t="s">
        <v>447</v>
      </c>
      <c r="BP157" s="24">
        <f>$BY$158/SUM($BY$158:$BY$159)*C64</f>
        <v>48.004231129748241</v>
      </c>
      <c r="BQ157" s="29" t="s">
        <v>448</v>
      </c>
      <c r="BR157" s="29" t="s">
        <v>449</v>
      </c>
      <c r="BS157" s="29" t="s">
        <v>450</v>
      </c>
      <c r="BT157" s="14"/>
      <c r="BU157" s="30" t="s">
        <v>451</v>
      </c>
      <c r="BV157" s="33">
        <f xml:space="preserve"> 5 - 0.5*(BV158-BB156)/BH166</f>
        <v>5.7040368189905992</v>
      </c>
      <c r="BW157" s="14" t="s">
        <v>452</v>
      </c>
      <c r="BX157" s="14" t="s">
        <v>453</v>
      </c>
      <c r="BY157" s="14">
        <f>SUM(BY158:BY159)</f>
        <v>1309507.9587900001</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9"/>
        <v>100.25</v>
      </c>
      <c r="BC158" s="24" t="s">
        <v>436</v>
      </c>
      <c r="BD158" s="24">
        <f t="shared" ref="BD158:BD164" si="41">BB158-BB157</f>
        <v>15.329999999999998</v>
      </c>
      <c r="BE158" s="24"/>
      <c r="BF158" s="24">
        <f t="shared" si="40"/>
        <v>100.25</v>
      </c>
      <c r="BG158" s="24">
        <f t="shared" si="36"/>
        <v>187.86</v>
      </c>
      <c r="BH158" s="24"/>
      <c r="BI158" s="29" t="s">
        <v>150</v>
      </c>
      <c r="BJ158" s="29">
        <v>810</v>
      </c>
      <c r="BK158" s="29">
        <v>51.33</v>
      </c>
      <c r="BL158" s="24">
        <v>3000</v>
      </c>
      <c r="BM158" s="25"/>
      <c r="BN158" s="24">
        <f>BV162/BV163</f>
        <v>500.22650775260428</v>
      </c>
      <c r="BO158" s="24" t="s">
        <v>454</v>
      </c>
      <c r="BP158" s="24">
        <f>$BY$159/SUM($BY$158:$BY$159)*C64</f>
        <v>2.9957688702517551</v>
      </c>
      <c r="BQ158" s="29" t="s">
        <v>455</v>
      </c>
      <c r="BR158" s="29" t="s">
        <v>456</v>
      </c>
      <c r="BS158" s="29" t="s">
        <v>457</v>
      </c>
      <c r="BT158" s="14"/>
      <c r="BU158" s="30" t="s">
        <v>458</v>
      </c>
      <c r="BV158" s="31">
        <f>BP157</f>
        <v>48.004231129748241</v>
      </c>
      <c r="BW158" s="14" t="s">
        <v>436</v>
      </c>
      <c r="BX158" s="14" t="s">
        <v>459</v>
      </c>
      <c r="BY158" s="24">
        <f>INDEX($BJ$156:$BJ$161,MATCH($C$57,$BI$156:$BI$161,0))*$C$62</f>
        <v>1232586.72</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9"/>
        <v>115.57</v>
      </c>
      <c r="BC159" s="24" t="s">
        <v>436</v>
      </c>
      <c r="BD159" s="24">
        <f t="shared" si="41"/>
        <v>15.319999999999993</v>
      </c>
      <c r="BE159" s="24"/>
      <c r="BF159" s="24">
        <f t="shared" si="40"/>
        <v>115.57</v>
      </c>
      <c r="BG159" s="24">
        <f t="shared" si="36"/>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24">
        <f>INDEX($BK$156:$BK$161,MATCH($C$57,$BI$156:$BI$161,0))*$C$63</f>
        <v>76921.238790000003</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9"/>
        <v>130.9</v>
      </c>
      <c r="BC160" s="24" t="s">
        <v>436</v>
      </c>
      <c r="BD160" s="24">
        <f t="shared" si="41"/>
        <v>15.330000000000013</v>
      </c>
      <c r="BE160" s="24"/>
      <c r="BF160" s="24">
        <f t="shared" si="40"/>
        <v>130.9</v>
      </c>
      <c r="BG160" s="24">
        <f t="shared" si="36"/>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24">
        <f>((BY158+BY159)/$C$60)*(50/$C$61)</f>
        <v>43.133454617590239</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9"/>
        <v>146.22999999999999</v>
      </c>
      <c r="BC161" s="24" t="s">
        <v>436</v>
      </c>
      <c r="BD161" s="24">
        <f t="shared" si="41"/>
        <v>15.329999999999984</v>
      </c>
      <c r="BE161" s="24"/>
      <c r="BF161" s="24">
        <f t="shared" si="40"/>
        <v>146.22999999999999</v>
      </c>
      <c r="BG161" s="24">
        <f t="shared" si="36"/>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1521.712</v>
      </c>
      <c r="BW161" s="14" t="s">
        <v>311</v>
      </c>
      <c r="BX161" s="14"/>
      <c r="BY161" s="14"/>
      <c r="BZ161" s="38">
        <f>5-(0.5*(C64-CE177)/(CE176-CE177))</f>
        <v>5.606327462491846</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9"/>
        <v>161.56</v>
      </c>
      <c r="BC162" s="24" t="s">
        <v>436</v>
      </c>
      <c r="BD162" s="24">
        <f t="shared" si="41"/>
        <v>15.330000000000013</v>
      </c>
      <c r="BE162" s="24"/>
      <c r="BF162" s="24">
        <f t="shared" si="40"/>
        <v>161.56</v>
      </c>
      <c r="BG162" s="24">
        <f t="shared" si="36"/>
        <v>304.55</v>
      </c>
      <c r="BH162" s="24"/>
      <c r="BI162" s="24"/>
      <c r="BJ162" s="24"/>
      <c r="BK162" s="24"/>
      <c r="BL162" s="24"/>
      <c r="BM162" s="37"/>
      <c r="BN162" s="37"/>
      <c r="BO162" s="37"/>
      <c r="BP162" s="37"/>
      <c r="BQ162" s="29" t="s">
        <v>473</v>
      </c>
      <c r="BR162" s="24"/>
      <c r="BS162" s="24"/>
      <c r="BT162" s="14"/>
      <c r="BU162" s="14" t="s">
        <v>474</v>
      </c>
      <c r="BV162" s="31">
        <f>C63</f>
        <v>1498.5630000000001</v>
      </c>
      <c r="BW162" s="14" t="s">
        <v>314</v>
      </c>
      <c r="BX162" s="14"/>
      <c r="BY162" s="14">
        <f>C63*BK156</f>
        <v>76921.238790000003</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9"/>
        <v>176.89</v>
      </c>
      <c r="BC163" s="24" t="s">
        <v>436</v>
      </c>
      <c r="BD163" s="24">
        <f t="shared" si="41"/>
        <v>15.329999999999984</v>
      </c>
      <c r="BE163" s="24"/>
      <c r="BF163" s="24">
        <f t="shared" si="40"/>
        <v>176.89</v>
      </c>
      <c r="BG163" s="24">
        <f t="shared" si="36"/>
        <v>333.72</v>
      </c>
      <c r="BH163" s="24"/>
      <c r="BI163" s="24"/>
      <c r="BJ163" s="24"/>
      <c r="BK163" s="24"/>
      <c r="BL163" s="24"/>
      <c r="BM163" s="37"/>
      <c r="BN163" s="37"/>
      <c r="BO163" s="37"/>
      <c r="BP163" s="37"/>
      <c r="BQ163" s="29" t="s">
        <v>475</v>
      </c>
      <c r="BR163" s="24"/>
      <c r="BS163" s="24"/>
      <c r="BT163" s="14"/>
      <c r="BU163" s="14" t="s">
        <v>476</v>
      </c>
      <c r="BV163" s="14">
        <f>BP158</f>
        <v>2.9957688702517551</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9"/>
        <v>192.21</v>
      </c>
      <c r="BC164" s="24" t="s">
        <v>436</v>
      </c>
      <c r="BD164" s="24">
        <f t="shared" si="41"/>
        <v>15.320000000000022</v>
      </c>
      <c r="BE164" s="24"/>
      <c r="BF164" s="24">
        <f t="shared" si="40"/>
        <v>192.21</v>
      </c>
      <c r="BG164" s="24">
        <f t="shared" si="36"/>
        <v>362.89</v>
      </c>
      <c r="BH164" s="24"/>
      <c r="BI164" s="24"/>
      <c r="BJ164" s="24"/>
      <c r="BK164" s="24"/>
      <c r="BL164" s="24"/>
      <c r="BM164" s="37"/>
      <c r="BN164" s="37"/>
      <c r="BO164" s="37"/>
      <c r="BP164" s="37"/>
      <c r="BQ164" s="29" t="s">
        <v>478</v>
      </c>
      <c r="BR164" s="24"/>
      <c r="BS164" s="24"/>
      <c r="BT164" s="14"/>
      <c r="BU164" s="14"/>
      <c r="BV164" s="14"/>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42">H66</f>
        <v>45838</v>
      </c>
      <c r="I166" s="177">
        <f t="shared" si="42"/>
        <v>46203</v>
      </c>
      <c r="J166" s="177">
        <f t="shared" si="42"/>
        <v>46568</v>
      </c>
      <c r="K166" s="177">
        <f t="shared" si="42"/>
        <v>46934</v>
      </c>
      <c r="L166" s="177">
        <f t="shared" si="42"/>
        <v>47299</v>
      </c>
      <c r="M166" s="177">
        <f t="shared" si="42"/>
        <v>47664</v>
      </c>
      <c r="N166" s="177">
        <f t="shared" si="42"/>
        <v>48029</v>
      </c>
      <c r="O166" s="177">
        <f t="shared" si="42"/>
        <v>48395</v>
      </c>
      <c r="P166" s="177">
        <f t="shared" si="42"/>
        <v>48760</v>
      </c>
      <c r="Q166" s="177">
        <f t="shared" si="42"/>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3">DATE(YEAR(AB166)+1,MONTH(AB166),DAY(AB166))</f>
        <v>46112</v>
      </c>
      <c r="AD166" s="46">
        <f t="shared" si="43"/>
        <v>46477</v>
      </c>
      <c r="AE166" s="46">
        <f t="shared" si="43"/>
        <v>46843</v>
      </c>
      <c r="AF166" s="46">
        <f t="shared" si="43"/>
        <v>47208</v>
      </c>
      <c r="AG166" s="46">
        <f t="shared" si="43"/>
        <v>47573</v>
      </c>
      <c r="AH166" s="46">
        <f t="shared" si="43"/>
        <v>47938</v>
      </c>
      <c r="AI166" s="46">
        <f t="shared" si="43"/>
        <v>48304</v>
      </c>
      <c r="AJ166" s="46">
        <f t="shared" si="43"/>
        <v>48669</v>
      </c>
      <c r="AK166" s="46">
        <f t="shared" si="43"/>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4">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5">IF($E69&lt;G$66,$C69,0)</f>
        <v>0</v>
      </c>
      <c r="H167" s="12">
        <f t="shared" ref="H167:J186" si="46">IF($E69&gt;H$66,0,IF($E69&lt;H$66-365,$C69,0))</f>
        <v>0</v>
      </c>
      <c r="I167" s="12">
        <f t="shared" si="46"/>
        <v>0</v>
      </c>
      <c r="J167" s="12">
        <f t="shared" si="46"/>
        <v>0</v>
      </c>
      <c r="K167" s="12">
        <f t="shared" ref="K167:K209" si="47">IF($E69&lt;K$66,$C69,0)</f>
        <v>0</v>
      </c>
      <c r="L167" s="12">
        <f t="shared" ref="L167:N186" si="48">IF($E69&gt;L$66,0,IF($E69&lt;L$66-365,$C69,0))</f>
        <v>0</v>
      </c>
      <c r="M167" s="12">
        <f t="shared" si="48"/>
        <v>0</v>
      </c>
      <c r="N167" s="12">
        <f t="shared" si="48"/>
        <v>0</v>
      </c>
      <c r="O167" s="12">
        <f t="shared" ref="O167:O209" si="49">IF($E69&lt;O$66,$C69,0)</f>
        <v>0</v>
      </c>
      <c r="P167" s="12">
        <f t="shared" ref="P167:Q186" si="50">IF($E69&gt;P$66,0,IF($E69&lt;P$66-365,$C69,0))</f>
        <v>0</v>
      </c>
      <c r="Q167" s="12">
        <f t="shared" si="50"/>
        <v>0</v>
      </c>
      <c r="T167" s="14"/>
      <c r="U167" s="14"/>
      <c r="V167" s="14"/>
      <c r="W167" s="53">
        <f t="shared" ref="W167:W211" si="51">C68*$BN$160*1000</f>
        <v>0</v>
      </c>
      <c r="X167" s="54" t="e">
        <f t="shared" ref="X167:X211" si="52">-1*F68/W167</f>
        <v>#DIV/0!</v>
      </c>
      <c r="Y167" s="25">
        <f>Z167/$BH$166</f>
        <v>0</v>
      </c>
      <c r="Z167" s="54">
        <f>C68/$BN$157</f>
        <v>0</v>
      </c>
      <c r="AA167" s="54">
        <f t="shared" ref="AA167:AJ182" si="53">IF($E68+365&lt;$C$56,0,IF($E68&lt;$C$56,(($E68+365-$C$56)/365)*(($C68/$BN$157)+($D68/$BN$158)),IF($E68&gt;AA$166,0,IF($E68+365&lt;AA$166,($C68/$BN$157)+($D68/$BN$158),((AA$166-$E68)/365)*(($C68/$BN$157)+($D68/$BN$158))))))</f>
        <v>0</v>
      </c>
      <c r="AB167" s="54">
        <f t="shared" si="53"/>
        <v>0</v>
      </c>
      <c r="AC167" s="54">
        <f>IF($E68+365&lt;$C$56,0,IF($E68&lt;$C$56,(($E68+365-$C$56)/365)*(($C68/$BN$157)+($D68/$BN$158)),IF($E68&gt;AC$166,0,IF($E68+365&lt;AC$166,($C68/$BN$157)+($D68/$BN$158),((AC$166-$E68)/365)*(($C68/$BN$157)+($D68/$BN$158))))))</f>
        <v>0</v>
      </c>
      <c r="AD167" s="54">
        <f t="shared" si="53"/>
        <v>0</v>
      </c>
      <c r="AE167" s="54">
        <f t="shared" si="53"/>
        <v>0</v>
      </c>
      <c r="AF167" s="54">
        <f>IF($E68+365&lt;$C$56,0,IF($E68&lt;$C$56,(($E68+365-$C$56)/365)*(($C68/$BN$157)+($D68/$BN$158)),IF($E68&gt;AF$166,0,IF($E68+365&lt;AF$166,($C68/$BN$157)+($D68/$BN$158),((AF$166-$E68)/365)*(($C68/$BN$157)+($D68/$BN$158))))))</f>
        <v>0</v>
      </c>
      <c r="AG167" s="54">
        <f t="shared" si="53"/>
        <v>0</v>
      </c>
      <c r="AH167" s="54">
        <f t="shared" si="53"/>
        <v>0</v>
      </c>
      <c r="AI167" s="54">
        <f t="shared" si="53"/>
        <v>0</v>
      </c>
      <c r="AJ167" s="54">
        <f t="shared" si="53"/>
        <v>0</v>
      </c>
      <c r="AK167" s="54">
        <f t="shared" ref="AK167" si="54">IF($E68+365&lt;$C$56,0,IF($E68&lt;$C$56,(($E68+365-$C$56)/365)*(($C68/$BN$157)+($D68/$BN$158)),IF($E68&gt;AK$166,0,IF($E68+365&lt;AK$166,($C68/$BN$157)+($D68/$BN$158),((AK$166-$E68)/365)*(($C68/$BN$157)+($D68/$BN$158))))))</f>
        <v>0</v>
      </c>
      <c r="AL167" s="24">
        <f t="shared" ref="AL167:AL213" si="55">IF(G68&lt;&gt;"",C68,0)</f>
        <v>0</v>
      </c>
      <c r="AM167" s="24">
        <f t="shared" ref="AM167:AM213" si="56">IF(G68&lt;&gt;"",D68,0)</f>
        <v>0</v>
      </c>
      <c r="AN167" s="55">
        <f t="shared" ref="AN167:AN213" si="57">IF(W68="Yes",0,F68)</f>
        <v>0</v>
      </c>
      <c r="AO167" s="55">
        <f t="shared" ref="AO167:AO213" si="58">IF(W68="Yes",F68,0)</f>
        <v>0</v>
      </c>
      <c r="AP167" s="24"/>
      <c r="AQ167" s="24"/>
      <c r="AR167" s="24"/>
      <c r="AS167" s="24"/>
      <c r="AT167" s="24"/>
      <c r="AU167" s="24"/>
      <c r="AV167" s="24"/>
      <c r="AW167" s="24"/>
      <c r="AX167" s="24"/>
      <c r="AY167" s="24"/>
      <c r="AZ167" s="24"/>
      <c r="BA167" s="24"/>
      <c r="BB167" s="25"/>
      <c r="BC167" s="24"/>
      <c r="BD167" s="24"/>
      <c r="BE167" s="24">
        <f t="shared" si="44"/>
        <v>84.92</v>
      </c>
      <c r="BF167" s="24" t="s">
        <v>486</v>
      </c>
      <c r="BG167" s="56">
        <f>BV158+($C$64-$BV$158)</f>
        <v>51</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5"/>
        <v>0</v>
      </c>
      <c r="H168" s="12">
        <f t="shared" si="46"/>
        <v>0</v>
      </c>
      <c r="I168" s="12">
        <f t="shared" si="46"/>
        <v>-40</v>
      </c>
      <c r="J168" s="12">
        <f t="shared" si="46"/>
        <v>-40</v>
      </c>
      <c r="K168" s="12">
        <f t="shared" si="47"/>
        <v>-40</v>
      </c>
      <c r="L168" s="12">
        <f t="shared" si="48"/>
        <v>-40</v>
      </c>
      <c r="M168" s="12">
        <f t="shared" si="48"/>
        <v>-40</v>
      </c>
      <c r="N168" s="12">
        <f t="shared" si="48"/>
        <v>-40</v>
      </c>
      <c r="O168" s="12">
        <f t="shared" si="49"/>
        <v>-40</v>
      </c>
      <c r="P168" s="12">
        <f t="shared" si="50"/>
        <v>-40</v>
      </c>
      <c r="Q168" s="12">
        <f t="shared" si="50"/>
        <v>-40</v>
      </c>
      <c r="T168" s="57"/>
      <c r="U168" s="57"/>
      <c r="V168" s="57"/>
      <c r="W168" s="53">
        <f t="shared" si="51"/>
        <v>0</v>
      </c>
      <c r="X168" s="54" t="e">
        <f t="shared" si="52"/>
        <v>#DIV/0!</v>
      </c>
      <c r="Y168" s="54">
        <f t="shared" ref="Y168:Y200" si="59">Z168/(2*$BH$166)</f>
        <v>0</v>
      </c>
      <c r="Z168" s="54">
        <f>($C69/$BN$157)+($D69/$BN$158)</f>
        <v>0</v>
      </c>
      <c r="AA168" s="54">
        <f t="shared" si="53"/>
        <v>0</v>
      </c>
      <c r="AB168" s="54">
        <f t="shared" si="53"/>
        <v>0</v>
      </c>
      <c r="AC168" s="54">
        <f t="shared" si="53"/>
        <v>0</v>
      </c>
      <c r="AD168" s="54">
        <f>IF($E69+365&lt;$C$56,0,IF($E69&lt;$C$56,(($E69+365-$C$56)/365)*(($C69/$BN$157)+($D69/$BN$158)),IF($E69&gt;AD$166,0,IF($E69+365&lt;AD$166,($C69/$BN$157)+($D69/$BN$158),((AD$166-$E69)/365)*(($C69/$BN$157)+($D69/$BN$158))))))</f>
        <v>0</v>
      </c>
      <c r="AE168" s="54">
        <f t="shared" si="53"/>
        <v>0</v>
      </c>
      <c r="AF168" s="54">
        <f t="shared" si="53"/>
        <v>0</v>
      </c>
      <c r="AG168" s="54">
        <f t="shared" si="53"/>
        <v>0</v>
      </c>
      <c r="AH168" s="54">
        <f t="shared" si="53"/>
        <v>0</v>
      </c>
      <c r="AI168" s="54">
        <f t="shared" si="53"/>
        <v>0</v>
      </c>
      <c r="AJ168" s="54">
        <f t="shared" si="53"/>
        <v>0</v>
      </c>
      <c r="AK168" s="54">
        <f t="shared" ref="AK168" si="60">IF($E69+365&lt;$C$56,0,IF($E69&lt;$C$56,(($E69+365-$C$56)/365)*(($C69/$BN$157)+($D69/$BN$158)),IF($E69&gt;AK$166,0,IF($E69+365&lt;AK$166,($C69/$BN$157)+($D69/$BN$158),((AK$166-$E69)/365)*(($C69/$BN$157)+($D69/$BN$158))))))</f>
        <v>0</v>
      </c>
      <c r="AL168" s="24">
        <f t="shared" si="55"/>
        <v>0</v>
      </c>
      <c r="AM168" s="24">
        <f t="shared" si="56"/>
        <v>0</v>
      </c>
      <c r="AN168" s="55">
        <f t="shared" si="57"/>
        <v>70400</v>
      </c>
      <c r="AO168" s="55">
        <f t="shared" si="58"/>
        <v>0</v>
      </c>
      <c r="AP168" s="24"/>
      <c r="AQ168" s="24"/>
      <c r="AR168" s="24"/>
      <c r="AS168" s="24"/>
      <c r="AT168" s="24"/>
      <c r="AU168" s="24"/>
      <c r="AV168" s="24"/>
      <c r="AW168" s="24"/>
      <c r="AX168" s="24"/>
      <c r="AY168" s="24"/>
      <c r="AZ168" s="24"/>
      <c r="BA168" s="24"/>
      <c r="BB168" s="24"/>
      <c r="BC168" s="24"/>
      <c r="BD168" s="24"/>
      <c r="BE168" s="24">
        <f t="shared" si="44"/>
        <v>84.92</v>
      </c>
      <c r="BF168" s="59">
        <f>AB166</f>
        <v>45747</v>
      </c>
      <c r="BG168" s="36">
        <f>(BV158+AB214)+($C$64-$BV$158)</f>
        <v>50.29021049947734</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5"/>
        <v>0</v>
      </c>
      <c r="H169" s="12">
        <f t="shared" si="46"/>
        <v>0</v>
      </c>
      <c r="I169" s="12">
        <f t="shared" si="46"/>
        <v>0</v>
      </c>
      <c r="J169" s="12">
        <f t="shared" si="46"/>
        <v>0</v>
      </c>
      <c r="K169" s="12">
        <f t="shared" si="47"/>
        <v>0</v>
      </c>
      <c r="L169" s="12">
        <f t="shared" si="48"/>
        <v>0</v>
      </c>
      <c r="M169" s="12">
        <f t="shared" si="48"/>
        <v>0</v>
      </c>
      <c r="N169" s="12">
        <f t="shared" si="48"/>
        <v>0</v>
      </c>
      <c r="O169" s="12">
        <f t="shared" si="49"/>
        <v>0</v>
      </c>
      <c r="P169" s="12">
        <f t="shared" si="50"/>
        <v>0</v>
      </c>
      <c r="Q169" s="12">
        <f t="shared" si="50"/>
        <v>0</v>
      </c>
      <c r="T169" s="61"/>
      <c r="U169" s="61"/>
      <c r="V169" s="61"/>
      <c r="W169" s="53">
        <f t="shared" si="51"/>
        <v>-6080</v>
      </c>
      <c r="X169" s="54">
        <f t="shared" si="52"/>
        <v>9.6546052631578956</v>
      </c>
      <c r="Y169" s="595">
        <f t="shared" si="59"/>
        <v>-4.1156164413867269E-2</v>
      </c>
      <c r="Z169" s="54">
        <f>($C70/$BN$157)+($D70/$BN$158)</f>
        <v>-1.2618480009291704</v>
      </c>
      <c r="AA169" s="54">
        <f t="shared" si="53"/>
        <v>0</v>
      </c>
      <c r="AB169" s="54">
        <f t="shared" si="53"/>
        <v>0</v>
      </c>
      <c r="AC169" s="54">
        <f t="shared" si="53"/>
        <v>-1.2618480009291704</v>
      </c>
      <c r="AD169" s="54">
        <f>IF($E70+365&lt;$C$56,0,IF($E70&lt;$C$56,(($E70+365-$C$56)/365)*(($C70/$BN$157)+($D70/$BN$158)),IF($E70&gt;AD$166,0,IF($E70+365&lt;AD$166,($C70/$BN$157)+($D70/$BN$158),((AD$166-$E70)/365)*(($C70/$BN$157)+($D70/$BN$158))))))</f>
        <v>-1.2618480009291704</v>
      </c>
      <c r="AE169" s="54">
        <f t="shared" si="53"/>
        <v>-1.2618480009291704</v>
      </c>
      <c r="AF169" s="54">
        <f t="shared" si="53"/>
        <v>-1.2618480009291704</v>
      </c>
      <c r="AG169" s="54">
        <f t="shared" si="53"/>
        <v>-1.2618480009291704</v>
      </c>
      <c r="AH169" s="54">
        <f t="shared" si="53"/>
        <v>-1.2618480009291704</v>
      </c>
      <c r="AI169" s="54">
        <f t="shared" si="53"/>
        <v>-1.2618480009291704</v>
      </c>
      <c r="AJ169" s="54">
        <f t="shared" si="53"/>
        <v>-1.2618480009291704</v>
      </c>
      <c r="AK169" s="54">
        <f t="shared" ref="AK169" si="61">IF($E70+365&lt;$C$56,0,IF($E70&lt;$C$56,(($E70+365-$C$56)/365)*(($C70/$BN$157)+($D70/$BN$158)),IF($E70&gt;AK$166,0,IF($E70+365&lt;AK$166,($C70/$BN$157)+($D70/$BN$158),((AK$166-$E70)/365)*(($C70/$BN$157)+($D70/$BN$158))))))</f>
        <v>-1.2618480009291704</v>
      </c>
      <c r="AL169" s="24">
        <f t="shared" si="55"/>
        <v>-40</v>
      </c>
      <c r="AM169" s="24">
        <f t="shared" si="56"/>
        <v>0</v>
      </c>
      <c r="AN169" s="55">
        <f t="shared" si="57"/>
        <v>58700</v>
      </c>
      <c r="AO169" s="55">
        <f t="shared" si="58"/>
        <v>0</v>
      </c>
      <c r="AP169" s="24"/>
      <c r="AQ169" s="24"/>
      <c r="AR169" s="24"/>
      <c r="AS169" s="24"/>
      <c r="AT169" s="24"/>
      <c r="AU169" s="24"/>
      <c r="AV169" s="24"/>
      <c r="AW169" s="24"/>
      <c r="AX169" s="24"/>
      <c r="AY169" s="24"/>
      <c r="AZ169" s="24"/>
      <c r="BA169" s="24"/>
      <c r="BB169" s="24"/>
      <c r="BC169" s="24"/>
      <c r="BD169" s="24"/>
      <c r="BE169" s="24">
        <f t="shared" si="44"/>
        <v>84.92</v>
      </c>
      <c r="BF169" s="59">
        <f>BF168+365</f>
        <v>46112</v>
      </c>
      <c r="BG169" s="36">
        <f>BV158+AC214+($C$64-$BV$158)</f>
        <v>38.512121258804463</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62">INDEX(AN156:AR156,MATCH($CE$168,$AN$165:$AR$165,0))</f>
        <v>69.59</v>
      </c>
      <c r="CJ169" s="14">
        <f t="shared" ref="CJ169:CJ177" si="63">INDEX(AU156:AY156,MATCH($CE$168,$AN$165:$AR$165,0))</f>
        <v>129.52000000000001</v>
      </c>
    </row>
    <row r="170" spans="7:88">
      <c r="G170" s="12">
        <f t="shared" si="45"/>
        <v>0</v>
      </c>
      <c r="H170" s="12">
        <f t="shared" si="46"/>
        <v>0</v>
      </c>
      <c r="I170" s="12">
        <f t="shared" si="46"/>
        <v>-30</v>
      </c>
      <c r="J170" s="12">
        <f t="shared" si="46"/>
        <v>-30</v>
      </c>
      <c r="K170" s="12">
        <f t="shared" si="47"/>
        <v>-30</v>
      </c>
      <c r="L170" s="12">
        <f t="shared" si="48"/>
        <v>-30</v>
      </c>
      <c r="M170" s="12">
        <f t="shared" si="48"/>
        <v>-30</v>
      </c>
      <c r="N170" s="12">
        <f t="shared" si="48"/>
        <v>-30</v>
      </c>
      <c r="O170" s="12">
        <f t="shared" si="49"/>
        <v>-30</v>
      </c>
      <c r="P170" s="12">
        <f t="shared" si="50"/>
        <v>-30</v>
      </c>
      <c r="Q170" s="12">
        <f t="shared" si="50"/>
        <v>-30</v>
      </c>
      <c r="T170" s="61"/>
      <c r="U170" s="61"/>
      <c r="V170" s="61"/>
      <c r="W170" s="53">
        <f t="shared" si="51"/>
        <v>0</v>
      </c>
      <c r="X170" s="54" t="e">
        <f t="shared" si="52"/>
        <v>#DIV/0!</v>
      </c>
      <c r="Y170" s="595">
        <f t="shared" si="59"/>
        <v>0</v>
      </c>
      <c r="Z170" s="54">
        <f t="shared" ref="Z170:Z213" si="64">($C71/$BN$157)+($D71/$BN$158)</f>
        <v>0</v>
      </c>
      <c r="AA170" s="54">
        <f t="shared" si="53"/>
        <v>0</v>
      </c>
      <c r="AB170" s="54">
        <f t="shared" si="53"/>
        <v>0</v>
      </c>
      <c r="AC170" s="54">
        <f t="shared" si="53"/>
        <v>0</v>
      </c>
      <c r="AD170" s="54">
        <f t="shared" si="53"/>
        <v>0</v>
      </c>
      <c r="AE170" s="54">
        <f t="shared" si="53"/>
        <v>0</v>
      </c>
      <c r="AF170" s="54">
        <f t="shared" si="53"/>
        <v>0</v>
      </c>
      <c r="AG170" s="54">
        <f t="shared" si="53"/>
        <v>0</v>
      </c>
      <c r="AH170" s="54">
        <f t="shared" si="53"/>
        <v>0</v>
      </c>
      <c r="AI170" s="54">
        <f t="shared" si="53"/>
        <v>0</v>
      </c>
      <c r="AJ170" s="54">
        <f t="shared" si="53"/>
        <v>0</v>
      </c>
      <c r="AK170" s="54">
        <f t="shared" ref="AK170" si="65">IF($E71+365&lt;$C$56,0,IF($E71&lt;$C$56,(($E71+365-$C$56)/365)*(($C71/$BN$157)+($D71/$BN$158)),IF($E71&gt;AK$166,0,IF($E71+365&lt;AK$166,($C71/$BN$157)+($D71/$BN$158),((AK$166-$E71)/365)*(($C71/$BN$157)+($D71/$BN$158))))))</f>
        <v>0</v>
      </c>
      <c r="AL170" s="24">
        <f t="shared" si="55"/>
        <v>0</v>
      </c>
      <c r="AM170" s="24">
        <f t="shared" si="56"/>
        <v>0</v>
      </c>
      <c r="AN170" s="55">
        <f t="shared" si="57"/>
        <v>29940</v>
      </c>
      <c r="AO170" s="55">
        <f t="shared" si="58"/>
        <v>0</v>
      </c>
      <c r="AP170" s="24"/>
      <c r="AQ170" s="24"/>
      <c r="AR170" s="24"/>
      <c r="AS170" s="24"/>
      <c r="AT170" s="24"/>
      <c r="AU170" s="24"/>
      <c r="AV170" s="24"/>
      <c r="AW170" s="24"/>
      <c r="AX170" s="24"/>
      <c r="AY170" s="24"/>
      <c r="AZ170" s="24"/>
      <c r="BA170" s="24"/>
      <c r="BB170" s="24"/>
      <c r="BC170" s="24"/>
      <c r="BD170" s="24"/>
      <c r="BE170" s="24">
        <f t="shared" si="44"/>
        <v>84.92</v>
      </c>
      <c r="BF170" s="59">
        <f>BF169+365</f>
        <v>46477</v>
      </c>
      <c r="BG170" s="36">
        <f>$BV$158+AD214+($C$64-$BV$158)</f>
        <v>38.512121258804463</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62"/>
        <v>84.92</v>
      </c>
      <c r="CJ170" s="14">
        <f t="shared" si="63"/>
        <v>158.69</v>
      </c>
    </row>
    <row r="171" spans="7:88">
      <c r="G171" s="12">
        <f t="shared" si="45"/>
        <v>0</v>
      </c>
      <c r="H171" s="12">
        <f t="shared" si="46"/>
        <v>0</v>
      </c>
      <c r="I171" s="12">
        <f t="shared" si="46"/>
        <v>-180</v>
      </c>
      <c r="J171" s="12">
        <f t="shared" si="46"/>
        <v>-180</v>
      </c>
      <c r="K171" s="12">
        <f t="shared" si="47"/>
        <v>-180</v>
      </c>
      <c r="L171" s="12">
        <f t="shared" si="48"/>
        <v>-180</v>
      </c>
      <c r="M171" s="12">
        <f t="shared" si="48"/>
        <v>-180</v>
      </c>
      <c r="N171" s="12">
        <f t="shared" si="48"/>
        <v>-180</v>
      </c>
      <c r="O171" s="12">
        <f t="shared" si="49"/>
        <v>-180</v>
      </c>
      <c r="P171" s="12">
        <f t="shared" si="50"/>
        <v>-180</v>
      </c>
      <c r="Q171" s="12">
        <f t="shared" si="50"/>
        <v>-180</v>
      </c>
      <c r="T171" s="61"/>
      <c r="U171" s="61"/>
      <c r="V171" s="61"/>
      <c r="W171" s="53">
        <f t="shared" si="51"/>
        <v>-4560</v>
      </c>
      <c r="X171" s="54">
        <f t="shared" si="52"/>
        <v>51.315789473684212</v>
      </c>
      <c r="Y171" s="54">
        <f t="shared" si="59"/>
        <v>-3.0867123310400452E-2</v>
      </c>
      <c r="Z171" s="54">
        <f>($C72/$BN$157)+($D72/$BN$158)</f>
        <v>-0.94638600069687773</v>
      </c>
      <c r="AA171" s="54">
        <f t="shared" si="53"/>
        <v>0</v>
      </c>
      <c r="AB171" s="54">
        <f t="shared" si="53"/>
        <v>0</v>
      </c>
      <c r="AC171" s="54">
        <f t="shared" si="53"/>
        <v>-0.94638600069687773</v>
      </c>
      <c r="AD171" s="54">
        <f t="shared" si="53"/>
        <v>-0.94638600069687773</v>
      </c>
      <c r="AE171" s="54">
        <f t="shared" si="53"/>
        <v>-0.94638600069687773</v>
      </c>
      <c r="AF171" s="54">
        <f>IF($E72+365&lt;$C$56,0,IF($E72&lt;$C$56,(($E72+365-$C$56)/365)*(($C72/$BN$157)+($D72/$BN$158)),IF($E72&gt;AF$166,0,IF($E72+365&lt;AF$166,($C72/$BN$157)+($D72/$BN$158),((AF$166-$E72)/365)*(($C72/$BN$157)+($D72/$BN$158))))))</f>
        <v>-0.94638600069687773</v>
      </c>
      <c r="AG171" s="54">
        <f t="shared" si="53"/>
        <v>-0.94638600069687773</v>
      </c>
      <c r="AH171" s="54">
        <f t="shared" si="53"/>
        <v>-0.94638600069687773</v>
      </c>
      <c r="AI171" s="54">
        <f t="shared" si="53"/>
        <v>-0.94638600069687773</v>
      </c>
      <c r="AJ171" s="54">
        <f t="shared" si="53"/>
        <v>-0.94638600069687773</v>
      </c>
      <c r="AK171" s="54">
        <f t="shared" ref="AK171" si="66">IF($E72+365&lt;$C$56,0,IF($E72&lt;$C$56,(($E72+365-$C$56)/365)*(($C72/$BN$157)+($D72/$BN$158)),IF($E72&gt;AK$166,0,IF($E72+365&lt;AK$166,($C72/$BN$157)+($D72/$BN$158),((AK$166-$E72)/365)*(($C72/$BN$157)+($D72/$BN$158))))))</f>
        <v>-0.94638600069687773</v>
      </c>
      <c r="AL171" s="24">
        <f t="shared" si="55"/>
        <v>-30</v>
      </c>
      <c r="AM171" s="24">
        <f t="shared" si="56"/>
        <v>0</v>
      </c>
      <c r="AN171" s="55">
        <f t="shared" si="57"/>
        <v>234000</v>
      </c>
      <c r="AO171" s="55">
        <f t="shared" si="58"/>
        <v>0</v>
      </c>
      <c r="AP171" s="24"/>
      <c r="AQ171" s="24"/>
      <c r="AR171" s="24"/>
      <c r="AS171" s="24"/>
      <c r="AT171" s="24"/>
      <c r="AU171" s="24"/>
      <c r="AV171" s="24"/>
      <c r="AW171" s="24"/>
      <c r="AX171" s="24"/>
      <c r="AY171" s="24"/>
      <c r="AZ171" s="24"/>
      <c r="BA171" s="24"/>
      <c r="BB171" s="24"/>
      <c r="BC171" s="24"/>
      <c r="BD171" s="24"/>
      <c r="BE171" s="24">
        <f t="shared" si="44"/>
        <v>84.92</v>
      </c>
      <c r="BF171" s="59">
        <f t="shared" ref="BF171:BF176" si="67">BF170+365</f>
        <v>46842</v>
      </c>
      <c r="BG171" s="36">
        <f>$BV$158+AE214+($C$64-$BV$158)</f>
        <v>37.92063000836891</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62"/>
        <v>100.25</v>
      </c>
      <c r="CJ171" s="14">
        <f t="shared" si="63"/>
        <v>187.86</v>
      </c>
    </row>
    <row r="172" spans="7:88">
      <c r="G172" s="12">
        <f t="shared" si="45"/>
        <v>0</v>
      </c>
      <c r="H172" s="12">
        <f t="shared" si="46"/>
        <v>0</v>
      </c>
      <c r="I172" s="12">
        <f t="shared" si="46"/>
        <v>-50</v>
      </c>
      <c r="J172" s="12">
        <f t="shared" si="46"/>
        <v>-50</v>
      </c>
      <c r="K172" s="12">
        <f t="shared" si="47"/>
        <v>-50</v>
      </c>
      <c r="L172" s="12">
        <f t="shared" si="48"/>
        <v>-50</v>
      </c>
      <c r="M172" s="12">
        <f t="shared" si="48"/>
        <v>-50</v>
      </c>
      <c r="N172" s="12">
        <f t="shared" si="48"/>
        <v>-50</v>
      </c>
      <c r="O172" s="12">
        <f t="shared" si="49"/>
        <v>-50</v>
      </c>
      <c r="P172" s="12">
        <f t="shared" si="50"/>
        <v>-50</v>
      </c>
      <c r="Q172" s="12">
        <f t="shared" si="50"/>
        <v>-50</v>
      </c>
      <c r="T172" s="61"/>
      <c r="U172" s="61"/>
      <c r="V172" s="61"/>
      <c r="W172" s="53">
        <f t="shared" si="51"/>
        <v>-27360</v>
      </c>
      <c r="X172" s="54">
        <f t="shared" si="52"/>
        <v>34.210526315789473</v>
      </c>
      <c r="Y172" s="595">
        <f t="shared" si="59"/>
        <v>-0.18520273986240271</v>
      </c>
      <c r="Z172" s="54">
        <f t="shared" si="64"/>
        <v>-5.6783160041812666</v>
      </c>
      <c r="AA172" s="54">
        <f t="shared" si="53"/>
        <v>0</v>
      </c>
      <c r="AB172" s="54">
        <f t="shared" si="53"/>
        <v>0</v>
      </c>
      <c r="AC172" s="54">
        <f t="shared" si="53"/>
        <v>-5.6783160041812666</v>
      </c>
      <c r="AD172" s="54">
        <f t="shared" si="53"/>
        <v>-5.6783160041812666</v>
      </c>
      <c r="AE172" s="54">
        <f t="shared" si="53"/>
        <v>-5.6783160041812666</v>
      </c>
      <c r="AF172" s="54">
        <f t="shared" si="53"/>
        <v>-5.6783160041812666</v>
      </c>
      <c r="AG172" s="54">
        <f t="shared" si="53"/>
        <v>-5.6783160041812666</v>
      </c>
      <c r="AH172" s="54">
        <f t="shared" si="53"/>
        <v>-5.6783160041812666</v>
      </c>
      <c r="AI172" s="54">
        <f t="shared" si="53"/>
        <v>-5.6783160041812666</v>
      </c>
      <c r="AJ172" s="54">
        <f t="shared" si="53"/>
        <v>-5.6783160041812666</v>
      </c>
      <c r="AK172" s="54">
        <f t="shared" ref="AK172" si="68">IF($E73+365&lt;$C$56,0,IF($E73&lt;$C$56,(($E73+365-$C$56)/365)*(($C73/$BN$157)+($D73/$BN$158)),IF($E73&gt;AK$166,0,IF($E73+365&lt;AK$166,($C73/$BN$157)+($D73/$BN$158),((AK$166-$E73)/365)*(($C73/$BN$157)+($D73/$BN$158))))))</f>
        <v>-5.6783160041812666</v>
      </c>
      <c r="AL172" s="24">
        <f t="shared" si="55"/>
        <v>-180</v>
      </c>
      <c r="AM172" s="24">
        <f t="shared" si="56"/>
        <v>0</v>
      </c>
      <c r="AN172" s="55">
        <f t="shared" si="57"/>
        <v>936000</v>
      </c>
      <c r="AO172" s="55">
        <f t="shared" si="58"/>
        <v>0</v>
      </c>
      <c r="AP172" s="24"/>
      <c r="AQ172" s="24"/>
      <c r="AR172" s="24"/>
      <c r="AS172" s="24"/>
      <c r="AT172" s="24"/>
      <c r="AU172" s="24"/>
      <c r="AV172" s="24"/>
      <c r="AW172" s="24"/>
      <c r="AX172" s="24"/>
      <c r="AY172" s="24"/>
      <c r="AZ172" s="24"/>
      <c r="BA172" s="24"/>
      <c r="BB172" s="24"/>
      <c r="BC172" s="24"/>
      <c r="BD172" s="24"/>
      <c r="BE172" s="24">
        <f t="shared" si="44"/>
        <v>84.92</v>
      </c>
      <c r="BF172" s="59">
        <f t="shared" si="67"/>
        <v>47207</v>
      </c>
      <c r="BG172" s="36">
        <f>$BV$158+AF214+($C$64-$BV$158)</f>
        <v>37.92063000836891</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62"/>
        <v>115.57</v>
      </c>
      <c r="CJ172" s="14">
        <f t="shared" si="63"/>
        <v>217.04</v>
      </c>
    </row>
    <row r="173" spans="7:88">
      <c r="G173" s="12">
        <f t="shared" si="45"/>
        <v>0</v>
      </c>
      <c r="H173" s="12">
        <f t="shared" si="46"/>
        <v>0</v>
      </c>
      <c r="I173" s="12">
        <f t="shared" si="46"/>
        <v>-80</v>
      </c>
      <c r="J173" s="12">
        <f t="shared" si="46"/>
        <v>-80</v>
      </c>
      <c r="K173" s="12">
        <f t="shared" si="47"/>
        <v>-80</v>
      </c>
      <c r="L173" s="12">
        <f t="shared" si="48"/>
        <v>-80</v>
      </c>
      <c r="M173" s="12">
        <f t="shared" si="48"/>
        <v>-80</v>
      </c>
      <c r="N173" s="12">
        <f t="shared" si="48"/>
        <v>-80</v>
      </c>
      <c r="O173" s="12">
        <f t="shared" si="49"/>
        <v>-80</v>
      </c>
      <c r="P173" s="12">
        <f t="shared" si="50"/>
        <v>-80</v>
      </c>
      <c r="Q173" s="12">
        <f t="shared" si="50"/>
        <v>-80</v>
      </c>
      <c r="T173" s="61"/>
      <c r="U173" s="61"/>
      <c r="V173" s="61"/>
      <c r="W173" s="53">
        <f t="shared" si="51"/>
        <v>-7600</v>
      </c>
      <c r="X173" s="54">
        <f t="shared" si="52"/>
        <v>147.10526315789474</v>
      </c>
      <c r="Y173" s="595">
        <f t="shared" si="59"/>
        <v>-7.4917937954709718E-2</v>
      </c>
      <c r="Z173" s="54">
        <f t="shared" si="64"/>
        <v>-2.2969839776913998</v>
      </c>
      <c r="AA173" s="54">
        <f t="shared" si="53"/>
        <v>0</v>
      </c>
      <c r="AB173" s="54">
        <f t="shared" si="53"/>
        <v>0</v>
      </c>
      <c r="AC173" s="54">
        <f t="shared" si="53"/>
        <v>-2.2969839776913998</v>
      </c>
      <c r="AD173" s="54">
        <f t="shared" si="53"/>
        <v>-2.2969839776913998</v>
      </c>
      <c r="AE173" s="54">
        <f t="shared" si="53"/>
        <v>-2.2969839776913998</v>
      </c>
      <c r="AF173" s="54">
        <f t="shared" si="53"/>
        <v>-2.2969839776913998</v>
      </c>
      <c r="AG173" s="54">
        <f t="shared" si="53"/>
        <v>-2.2969839776913998</v>
      </c>
      <c r="AH173" s="54">
        <f t="shared" si="53"/>
        <v>-2.2969839776913998</v>
      </c>
      <c r="AI173" s="54">
        <f t="shared" si="53"/>
        <v>-2.2969839776913998</v>
      </c>
      <c r="AJ173" s="54">
        <f t="shared" si="53"/>
        <v>-2.2969839776913998</v>
      </c>
      <c r="AK173" s="54">
        <f t="shared" ref="AK173" si="69">IF($E74+365&lt;$C$56,0,IF($E74&lt;$C$56,(($E74+365-$C$56)/365)*(($C74/$BN$157)+($D74/$BN$158)),IF($E74&gt;AK$166,0,IF($E74+365&lt;AK$166,($C74/$BN$157)+($D74/$BN$158),((AK$166-$E74)/365)*(($C74/$BN$157)+($D74/$BN$158))))))</f>
        <v>-2.2969839776913998</v>
      </c>
      <c r="AL173" s="24">
        <f t="shared" si="55"/>
        <v>-50</v>
      </c>
      <c r="AM173" s="24">
        <f t="shared" si="56"/>
        <v>-360</v>
      </c>
      <c r="AN173" s="55">
        <f t="shared" si="57"/>
        <v>1118000</v>
      </c>
      <c r="AO173" s="55">
        <f t="shared" si="58"/>
        <v>0</v>
      </c>
      <c r="AP173" s="24"/>
      <c r="AQ173" s="24"/>
      <c r="AR173" s="24"/>
      <c r="AS173" s="24"/>
      <c r="AT173" s="24"/>
      <c r="AU173" s="24"/>
      <c r="AV173" s="24"/>
      <c r="AW173" s="24"/>
      <c r="AX173" s="24"/>
      <c r="AY173" s="24"/>
      <c r="AZ173" s="24"/>
      <c r="BA173" s="24"/>
      <c r="BB173" s="24"/>
      <c r="BC173" s="24"/>
      <c r="BD173" s="24"/>
      <c r="BE173" s="24">
        <f t="shared" si="44"/>
        <v>84.92</v>
      </c>
      <c r="BF173" s="59">
        <f t="shared" si="67"/>
        <v>47572</v>
      </c>
      <c r="BG173" s="36">
        <f>$BV$158+AG214+($C$64-$BV$158)</f>
        <v>37.92063000836891</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62"/>
        <v>130.9</v>
      </c>
      <c r="CJ173" s="14">
        <f t="shared" si="63"/>
        <v>246.21</v>
      </c>
    </row>
    <row r="174" spans="7:88">
      <c r="G174" s="12">
        <f t="shared" si="45"/>
        <v>0</v>
      </c>
      <c r="H174" s="12">
        <f t="shared" si="46"/>
        <v>0</v>
      </c>
      <c r="I174" s="12">
        <f t="shared" si="46"/>
        <v>-25</v>
      </c>
      <c r="J174" s="12">
        <f t="shared" si="46"/>
        <v>-25</v>
      </c>
      <c r="K174" s="12">
        <f t="shared" si="47"/>
        <v>-25</v>
      </c>
      <c r="L174" s="12">
        <f t="shared" si="48"/>
        <v>-25</v>
      </c>
      <c r="M174" s="12">
        <f t="shared" si="48"/>
        <v>-25</v>
      </c>
      <c r="N174" s="12">
        <f t="shared" si="48"/>
        <v>-25</v>
      </c>
      <c r="O174" s="12">
        <f t="shared" si="49"/>
        <v>-25</v>
      </c>
      <c r="P174" s="12">
        <f t="shared" si="50"/>
        <v>-25</v>
      </c>
      <c r="Q174" s="12">
        <f t="shared" si="50"/>
        <v>-25</v>
      </c>
      <c r="T174" s="61"/>
      <c r="U174" s="61"/>
      <c r="V174" s="61"/>
      <c r="W174" s="53">
        <f t="shared" si="51"/>
        <v>-12160</v>
      </c>
      <c r="X174" s="54">
        <f t="shared" si="52"/>
        <v>42.763157894736842</v>
      </c>
      <c r="Y174" s="595">
        <f t="shared" si="59"/>
        <v>-8.2312328827734538E-2</v>
      </c>
      <c r="Z174" s="54">
        <f t="shared" si="64"/>
        <v>-2.5236960018583408</v>
      </c>
      <c r="AA174" s="54">
        <f t="shared" si="53"/>
        <v>0</v>
      </c>
      <c r="AB174" s="54">
        <f t="shared" si="53"/>
        <v>0</v>
      </c>
      <c r="AC174" s="54">
        <f t="shared" si="53"/>
        <v>-2.5236960018583408</v>
      </c>
      <c r="AD174" s="54">
        <f t="shared" si="53"/>
        <v>-2.5236960018583408</v>
      </c>
      <c r="AE174" s="54">
        <f t="shared" si="53"/>
        <v>-2.5236960018583408</v>
      </c>
      <c r="AF174" s="54">
        <f t="shared" si="53"/>
        <v>-2.5236960018583408</v>
      </c>
      <c r="AG174" s="54">
        <f t="shared" si="53"/>
        <v>-2.5236960018583408</v>
      </c>
      <c r="AH174" s="54">
        <f t="shared" si="53"/>
        <v>-2.5236960018583408</v>
      </c>
      <c r="AI174" s="54">
        <f t="shared" si="53"/>
        <v>-2.5236960018583408</v>
      </c>
      <c r="AJ174" s="54">
        <f t="shared" si="53"/>
        <v>-2.5236960018583408</v>
      </c>
      <c r="AK174" s="54">
        <f t="shared" ref="AK174" si="70">IF($E75+365&lt;$C$56,0,IF($E75&lt;$C$56,(($E75+365-$C$56)/365)*(($C75/$BN$157)+($D75/$BN$158)),IF($E75&gt;AK$166,0,IF($E75+365&lt;AK$166,($C75/$BN$157)+($D75/$BN$158),((AK$166-$E75)/365)*(($C75/$BN$157)+($D75/$BN$158))))))</f>
        <v>-2.5236960018583408</v>
      </c>
      <c r="AL174" s="24">
        <f t="shared" si="55"/>
        <v>-80</v>
      </c>
      <c r="AM174" s="24">
        <f t="shared" si="56"/>
        <v>0</v>
      </c>
      <c r="AN174" s="55">
        <f t="shared" si="57"/>
        <v>520000</v>
      </c>
      <c r="AO174" s="55">
        <f t="shared" si="58"/>
        <v>0</v>
      </c>
      <c r="AP174" s="24"/>
      <c r="AQ174" s="24"/>
      <c r="AR174" s="24"/>
      <c r="AS174" s="24"/>
      <c r="AT174" s="24"/>
      <c r="AU174" s="24"/>
      <c r="AV174" s="24"/>
      <c r="AW174" s="24"/>
      <c r="AX174" s="24"/>
      <c r="AY174" s="24"/>
      <c r="AZ174" s="24"/>
      <c r="BA174" s="24"/>
      <c r="BB174" s="24"/>
      <c r="BC174" s="24"/>
      <c r="BD174" s="24"/>
      <c r="BE174" s="24">
        <f t="shared" si="44"/>
        <v>84.92</v>
      </c>
      <c r="BF174" s="59">
        <f t="shared" si="67"/>
        <v>47937</v>
      </c>
      <c r="BG174" s="36">
        <f>$BV$158+AH214+($C$64-$BV$158)</f>
        <v>36.61111219407131</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62"/>
        <v>146.22999999999999</v>
      </c>
      <c r="CJ174" s="14">
        <f t="shared" si="63"/>
        <v>275.38</v>
      </c>
    </row>
    <row r="175" spans="7:88">
      <c r="G175" s="12">
        <f t="shared" si="45"/>
        <v>0</v>
      </c>
      <c r="H175" s="12">
        <f t="shared" si="46"/>
        <v>0</v>
      </c>
      <c r="I175" s="12">
        <f t="shared" si="46"/>
        <v>-30</v>
      </c>
      <c r="J175" s="12">
        <f t="shared" si="46"/>
        <v>-30</v>
      </c>
      <c r="K175" s="12">
        <f t="shared" si="47"/>
        <v>-30</v>
      </c>
      <c r="L175" s="12">
        <f t="shared" si="48"/>
        <v>-30</v>
      </c>
      <c r="M175" s="12">
        <f t="shared" si="48"/>
        <v>-30</v>
      </c>
      <c r="N175" s="12">
        <f t="shared" si="48"/>
        <v>-30</v>
      </c>
      <c r="O175" s="12">
        <f t="shared" si="49"/>
        <v>-30</v>
      </c>
      <c r="P175" s="12">
        <f t="shared" si="50"/>
        <v>-30</v>
      </c>
      <c r="Q175" s="12">
        <f t="shared" si="50"/>
        <v>-30</v>
      </c>
      <c r="T175" s="61"/>
      <c r="U175" s="61"/>
      <c r="V175" s="61"/>
      <c r="W175" s="53">
        <f t="shared" si="51"/>
        <v>-3800</v>
      </c>
      <c r="X175" s="54">
        <f t="shared" si="52"/>
        <v>222.36842105263159</v>
      </c>
      <c r="Y175" s="595">
        <f t="shared" si="59"/>
        <v>-2.5722602758667043E-2</v>
      </c>
      <c r="Z175" s="54">
        <f t="shared" si="64"/>
        <v>-0.78865500058073146</v>
      </c>
      <c r="AA175" s="54">
        <f t="shared" si="53"/>
        <v>0</v>
      </c>
      <c r="AB175" s="54">
        <f t="shared" si="53"/>
        <v>0</v>
      </c>
      <c r="AC175" s="54">
        <f t="shared" si="53"/>
        <v>-0.78865500058073146</v>
      </c>
      <c r="AD175" s="54">
        <f t="shared" si="53"/>
        <v>-0.78865500058073146</v>
      </c>
      <c r="AE175" s="54">
        <f t="shared" si="53"/>
        <v>-0.78865500058073146</v>
      </c>
      <c r="AF175" s="54">
        <f t="shared" si="53"/>
        <v>-0.78865500058073146</v>
      </c>
      <c r="AG175" s="54">
        <f t="shared" si="53"/>
        <v>-0.78865500058073146</v>
      </c>
      <c r="AH175" s="54">
        <f t="shared" si="53"/>
        <v>-0.78865500058073146</v>
      </c>
      <c r="AI175" s="54">
        <f t="shared" si="53"/>
        <v>-0.78865500058073146</v>
      </c>
      <c r="AJ175" s="54">
        <f t="shared" si="53"/>
        <v>-0.78865500058073146</v>
      </c>
      <c r="AK175" s="54">
        <f t="shared" ref="AK175" si="71">IF($E76+365&lt;$C$56,0,IF($E76&lt;$C$56,(($E76+365-$C$56)/365)*(($C76/$BN$157)+($D76/$BN$158)),IF($E76&gt;AK$166,0,IF($E76+365&lt;AK$166,($C76/$BN$157)+($D76/$BN$158),((AK$166-$E76)/365)*(($C76/$BN$157)+($D76/$BN$158))))))</f>
        <v>-0.78865500058073146</v>
      </c>
      <c r="AL175" s="24">
        <f t="shared" si="55"/>
        <v>-25</v>
      </c>
      <c r="AM175" s="24">
        <f t="shared" si="56"/>
        <v>0</v>
      </c>
      <c r="AN175" s="55">
        <f t="shared" si="57"/>
        <v>845000</v>
      </c>
      <c r="AO175" s="55">
        <f t="shared" si="58"/>
        <v>0</v>
      </c>
      <c r="AP175" s="24"/>
      <c r="AQ175" s="24"/>
      <c r="AR175" s="24"/>
      <c r="AS175" s="24"/>
      <c r="AT175" s="24"/>
      <c r="AU175" s="24"/>
      <c r="AV175" s="24"/>
      <c r="AW175" s="24"/>
      <c r="AX175" s="24"/>
      <c r="AY175" s="24"/>
      <c r="AZ175" s="24"/>
      <c r="BA175" s="24"/>
      <c r="BB175" s="24"/>
      <c r="BC175" s="24"/>
      <c r="BD175" s="24"/>
      <c r="BE175" s="24">
        <f t="shared" si="44"/>
        <v>84.92</v>
      </c>
      <c r="BF175" s="59">
        <f t="shared" si="67"/>
        <v>48302</v>
      </c>
      <c r="BG175" s="36">
        <f>$BV$158+AI214+($C$64-$BV$158)</f>
        <v>30.696199689715822</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62"/>
        <v>161.56</v>
      </c>
      <c r="CJ175" s="14">
        <f t="shared" si="63"/>
        <v>304.55</v>
      </c>
    </row>
    <row r="176" spans="7:88">
      <c r="G176" s="12">
        <f t="shared" si="45"/>
        <v>0</v>
      </c>
      <c r="H176" s="12">
        <f t="shared" si="46"/>
        <v>0</v>
      </c>
      <c r="I176" s="12">
        <f t="shared" si="46"/>
        <v>0</v>
      </c>
      <c r="J176" s="12">
        <f t="shared" si="46"/>
        <v>0</v>
      </c>
      <c r="K176" s="12">
        <f t="shared" si="47"/>
        <v>0</v>
      </c>
      <c r="L176" s="12">
        <f t="shared" si="48"/>
        <v>0</v>
      </c>
      <c r="M176" s="12">
        <f t="shared" si="48"/>
        <v>0</v>
      </c>
      <c r="N176" s="12">
        <f t="shared" si="48"/>
        <v>-50</v>
      </c>
      <c r="O176" s="12">
        <f t="shared" si="49"/>
        <v>-50</v>
      </c>
      <c r="P176" s="12">
        <f t="shared" si="50"/>
        <v>-50</v>
      </c>
      <c r="Q176" s="12">
        <f t="shared" si="50"/>
        <v>-50</v>
      </c>
      <c r="T176" s="61"/>
      <c r="U176" s="61"/>
      <c r="V176" s="61"/>
      <c r="W176" s="53">
        <f t="shared" si="51"/>
        <v>-4560</v>
      </c>
      <c r="X176" s="54">
        <f t="shared" si="52"/>
        <v>100.87719298245614</v>
      </c>
      <c r="Y176" s="595">
        <f t="shared" si="59"/>
        <v>-3.0867123310400452E-2</v>
      </c>
      <c r="Z176" s="54">
        <f t="shared" si="64"/>
        <v>-0.94638600069687773</v>
      </c>
      <c r="AA176" s="54">
        <f t="shared" si="53"/>
        <v>0</v>
      </c>
      <c r="AB176" s="54">
        <f t="shared" si="53"/>
        <v>0</v>
      </c>
      <c r="AC176" s="54">
        <f t="shared" si="53"/>
        <v>-0.94638600069687773</v>
      </c>
      <c r="AD176" s="54">
        <f t="shared" si="53"/>
        <v>-0.94638600069687773</v>
      </c>
      <c r="AE176" s="54">
        <f t="shared" si="53"/>
        <v>-0.94638600069687773</v>
      </c>
      <c r="AF176" s="54">
        <f t="shared" si="53"/>
        <v>-0.94638600069687773</v>
      </c>
      <c r="AG176" s="54">
        <f t="shared" si="53"/>
        <v>-0.94638600069687773</v>
      </c>
      <c r="AH176" s="54">
        <f t="shared" si="53"/>
        <v>-0.94638600069687773</v>
      </c>
      <c r="AI176" s="54">
        <f t="shared" si="53"/>
        <v>-0.94638600069687773</v>
      </c>
      <c r="AJ176" s="54">
        <f t="shared" si="53"/>
        <v>-0.94638600069687773</v>
      </c>
      <c r="AK176" s="54">
        <f t="shared" ref="AK176" si="72">IF($E77+365&lt;$C$56,0,IF($E77&lt;$C$56,(($E77+365-$C$56)/365)*(($C77/$BN$157)+($D77/$BN$158)),IF($E77&gt;AK$166,0,IF($E77+365&lt;AK$166,($C77/$BN$157)+($D77/$BN$158),((AK$166-$E77)/365)*(($C77/$BN$157)+($D77/$BN$158))))))</f>
        <v>-0.94638600069687773</v>
      </c>
      <c r="AL176" s="24">
        <f t="shared" si="55"/>
        <v>-30</v>
      </c>
      <c r="AM176" s="24">
        <f t="shared" si="56"/>
        <v>0</v>
      </c>
      <c r="AN176" s="55">
        <f t="shared" si="57"/>
        <v>460000</v>
      </c>
      <c r="AO176" s="55">
        <f t="shared" si="58"/>
        <v>0</v>
      </c>
      <c r="AP176" s="24"/>
      <c r="AQ176" s="24"/>
      <c r="AR176" s="24"/>
      <c r="AS176" s="24"/>
      <c r="AT176" s="24"/>
      <c r="AU176" s="24"/>
      <c r="AV176" s="24"/>
      <c r="AW176" s="24"/>
      <c r="AX176" s="24"/>
      <c r="AY176" s="24"/>
      <c r="AZ176" s="24"/>
      <c r="BA176" s="24"/>
      <c r="BB176" s="24"/>
      <c r="BC176" s="24"/>
      <c r="BD176" s="24"/>
      <c r="BE176" s="24">
        <f t="shared" si="44"/>
        <v>84.92</v>
      </c>
      <c r="BF176" s="59">
        <f t="shared" si="67"/>
        <v>48667</v>
      </c>
      <c r="BG176" s="36">
        <f>$BV$158+AJ214+($C$64-$BV$158)</f>
        <v>18.090022698433181</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62"/>
        <v>176.89</v>
      </c>
      <c r="CJ176" s="14">
        <f t="shared" si="63"/>
        <v>333.72</v>
      </c>
    </row>
    <row r="177" spans="7:88">
      <c r="G177" s="12">
        <f t="shared" si="45"/>
        <v>0</v>
      </c>
      <c r="H177" s="12">
        <f t="shared" si="46"/>
        <v>0</v>
      </c>
      <c r="I177" s="12">
        <f t="shared" si="46"/>
        <v>0</v>
      </c>
      <c r="J177" s="12">
        <f t="shared" si="46"/>
        <v>0</v>
      </c>
      <c r="K177" s="12">
        <f t="shared" si="47"/>
        <v>0</v>
      </c>
      <c r="L177" s="12">
        <f t="shared" si="48"/>
        <v>0</v>
      </c>
      <c r="M177" s="12">
        <f t="shared" si="48"/>
        <v>0</v>
      </c>
      <c r="N177" s="12">
        <f t="shared" si="48"/>
        <v>-20</v>
      </c>
      <c r="O177" s="12">
        <f t="shared" si="49"/>
        <v>-20</v>
      </c>
      <c r="P177" s="12">
        <f t="shared" si="50"/>
        <v>-20</v>
      </c>
      <c r="Q177" s="12">
        <f t="shared" si="50"/>
        <v>-20</v>
      </c>
      <c r="T177" s="61"/>
      <c r="U177" s="61"/>
      <c r="V177" s="61"/>
      <c r="W177" s="53">
        <f t="shared" si="51"/>
        <v>-7600</v>
      </c>
      <c r="X177" s="54">
        <f t="shared" si="52"/>
        <v>6.8421052631578947</v>
      </c>
      <c r="Y177" s="595">
        <f t="shared" si="59"/>
        <v>-5.1445205517334086E-2</v>
      </c>
      <c r="Z177" s="54">
        <f t="shared" si="64"/>
        <v>-1.5773100011614629</v>
      </c>
      <c r="AA177" s="54">
        <f t="shared" si="53"/>
        <v>0</v>
      </c>
      <c r="AB177" s="54">
        <f t="shared" si="53"/>
        <v>0</v>
      </c>
      <c r="AC177" s="54">
        <f t="shared" si="53"/>
        <v>0</v>
      </c>
      <c r="AD177" s="54">
        <f t="shared" si="53"/>
        <v>0</v>
      </c>
      <c r="AE177" s="54">
        <f t="shared" si="53"/>
        <v>0</v>
      </c>
      <c r="AF177" s="54">
        <f t="shared" si="53"/>
        <v>0</v>
      </c>
      <c r="AG177" s="54">
        <f t="shared" si="53"/>
        <v>0</v>
      </c>
      <c r="AH177" s="54">
        <f t="shared" si="53"/>
        <v>-1.5773100011614629</v>
      </c>
      <c r="AI177" s="54">
        <f t="shared" si="53"/>
        <v>-1.5773100011614629</v>
      </c>
      <c r="AJ177" s="54">
        <f t="shared" si="53"/>
        <v>-1.5773100011614629</v>
      </c>
      <c r="AK177" s="54">
        <f t="shared" ref="AK177" si="73">IF($E78+365&lt;$C$56,0,IF($E78&lt;$C$56,(($E78+365-$C$56)/365)*(($C78/$BN$157)+($D78/$BN$158)),IF($E78&gt;AK$166,0,IF($E78+365&lt;AK$166,($C78/$BN$157)+($D78/$BN$158),((AK$166-$E78)/365)*(($C78/$BN$157)+($D78/$BN$158))))))</f>
        <v>-1.5773100011614629</v>
      </c>
      <c r="AL177" s="24">
        <f t="shared" si="55"/>
        <v>-50</v>
      </c>
      <c r="AM177" s="24">
        <f t="shared" si="56"/>
        <v>0</v>
      </c>
      <c r="AN177" s="55">
        <f t="shared" si="57"/>
        <v>52000</v>
      </c>
      <c r="AO177" s="55">
        <f t="shared" si="58"/>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62"/>
        <v>192.21</v>
      </c>
      <c r="CJ177" s="14">
        <f t="shared" si="63"/>
        <v>362.89</v>
      </c>
    </row>
    <row r="178" spans="7:88">
      <c r="G178" s="12">
        <f t="shared" si="45"/>
        <v>0</v>
      </c>
      <c r="H178" s="12">
        <f t="shared" si="46"/>
        <v>0</v>
      </c>
      <c r="I178" s="12">
        <f t="shared" si="46"/>
        <v>0</v>
      </c>
      <c r="J178" s="12">
        <f t="shared" si="46"/>
        <v>0</v>
      </c>
      <c r="K178" s="12">
        <f t="shared" si="47"/>
        <v>0</v>
      </c>
      <c r="L178" s="12">
        <f t="shared" si="48"/>
        <v>0</v>
      </c>
      <c r="M178" s="12">
        <f t="shared" si="48"/>
        <v>0</v>
      </c>
      <c r="N178" s="12">
        <f t="shared" si="48"/>
        <v>-20</v>
      </c>
      <c r="O178" s="12">
        <f t="shared" si="49"/>
        <v>-20</v>
      </c>
      <c r="P178" s="12">
        <f t="shared" si="50"/>
        <v>-20</v>
      </c>
      <c r="Q178" s="12">
        <f t="shared" si="50"/>
        <v>-20</v>
      </c>
      <c r="T178" s="61"/>
      <c r="U178" s="61"/>
      <c r="V178" s="61"/>
      <c r="W178" s="53">
        <f t="shared" si="51"/>
        <v>-3040</v>
      </c>
      <c r="X178" s="54">
        <f t="shared" si="52"/>
        <v>21.381578947368421</v>
      </c>
      <c r="Y178" s="595">
        <f t="shared" si="59"/>
        <v>-2.0578082206933634E-2</v>
      </c>
      <c r="Z178" s="54">
        <f t="shared" si="64"/>
        <v>-0.63092400046458519</v>
      </c>
      <c r="AA178" s="54">
        <f t="shared" si="53"/>
        <v>0</v>
      </c>
      <c r="AB178" s="54">
        <f t="shared" si="53"/>
        <v>0</v>
      </c>
      <c r="AC178" s="54">
        <f>IF($E79+365&lt;$C$56,0,IF($E79&lt;$C$56,(($E79+365-$C$56)/365)*(($C79/$BN$157)+($D79/$BN$158)),IF($E79&gt;AC$166,0,IF($E79+365&lt;AC$166,($C79/$BN$157)+($D79/$BN$158),((AC$166-$E79)/365)*(($C79/$BN$157)+($D79/$BN$158))))))</f>
        <v>0</v>
      </c>
      <c r="AD178" s="54">
        <f t="shared" si="53"/>
        <v>0</v>
      </c>
      <c r="AE178" s="54">
        <f t="shared" si="53"/>
        <v>0</v>
      </c>
      <c r="AF178" s="54">
        <f t="shared" si="53"/>
        <v>0</v>
      </c>
      <c r="AG178" s="54">
        <f t="shared" si="53"/>
        <v>0</v>
      </c>
      <c r="AH178" s="54">
        <f t="shared" si="53"/>
        <v>-0.63092400046458519</v>
      </c>
      <c r="AI178" s="54">
        <f t="shared" si="53"/>
        <v>-0.63092400046458519</v>
      </c>
      <c r="AJ178" s="54">
        <f t="shared" si="53"/>
        <v>-0.63092400046458519</v>
      </c>
      <c r="AK178" s="54">
        <f t="shared" ref="AK178" si="74">IF($E79+365&lt;$C$56,0,IF($E79&lt;$C$56,(($E79+365-$C$56)/365)*(($C79/$BN$157)+($D79/$BN$158)),IF($E79&gt;AK$166,0,IF($E79+365&lt;AK$166,($C79/$BN$157)+($D79/$BN$158),((AK$166-$E79)/365)*(($C79/$BN$157)+($D79/$BN$158))))))</f>
        <v>-0.63092400046458519</v>
      </c>
      <c r="AL178" s="24">
        <f t="shared" si="55"/>
        <v>-20</v>
      </c>
      <c r="AM178" s="24">
        <f t="shared" si="56"/>
        <v>0</v>
      </c>
      <c r="AN178" s="55">
        <f t="shared" si="57"/>
        <v>65000</v>
      </c>
      <c r="AO178" s="55">
        <f t="shared" si="58"/>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5"/>
        <v>0</v>
      </c>
      <c r="H179" s="12">
        <f t="shared" si="46"/>
        <v>0</v>
      </c>
      <c r="I179" s="12">
        <f t="shared" si="46"/>
        <v>-40</v>
      </c>
      <c r="J179" s="12">
        <f t="shared" si="46"/>
        <v>-40</v>
      </c>
      <c r="K179" s="12">
        <f t="shared" si="47"/>
        <v>-40</v>
      </c>
      <c r="L179" s="12">
        <f t="shared" si="48"/>
        <v>-40</v>
      </c>
      <c r="M179" s="12">
        <f t="shared" si="48"/>
        <v>-40</v>
      </c>
      <c r="N179" s="12">
        <f t="shared" si="48"/>
        <v>-40</v>
      </c>
      <c r="O179" s="12">
        <f t="shared" si="49"/>
        <v>-40</v>
      </c>
      <c r="P179" s="12">
        <f t="shared" si="50"/>
        <v>-40</v>
      </c>
      <c r="Q179" s="12">
        <f t="shared" si="50"/>
        <v>-40</v>
      </c>
      <c r="T179" s="61"/>
      <c r="U179" s="61"/>
      <c r="V179" s="61"/>
      <c r="W179" s="53">
        <f t="shared" si="51"/>
        <v>-3040</v>
      </c>
      <c r="X179" s="54">
        <f t="shared" si="52"/>
        <v>38.486842105263158</v>
      </c>
      <c r="Y179" s="595">
        <f t="shared" si="59"/>
        <v>-2.0578082206933634E-2</v>
      </c>
      <c r="Z179" s="54">
        <f t="shared" si="64"/>
        <v>-0.63092400046458519</v>
      </c>
      <c r="AA179" s="54">
        <f t="shared" si="53"/>
        <v>0</v>
      </c>
      <c r="AB179" s="54">
        <f t="shared" si="53"/>
        <v>0</v>
      </c>
      <c r="AC179" s="54">
        <f t="shared" si="53"/>
        <v>0</v>
      </c>
      <c r="AD179" s="54">
        <f t="shared" si="53"/>
        <v>0</v>
      </c>
      <c r="AE179" s="54">
        <f t="shared" si="53"/>
        <v>0</v>
      </c>
      <c r="AF179" s="54">
        <f t="shared" si="53"/>
        <v>0</v>
      </c>
      <c r="AG179" s="54">
        <f t="shared" si="53"/>
        <v>0</v>
      </c>
      <c r="AH179" s="54">
        <f t="shared" si="53"/>
        <v>-0.63092400046458519</v>
      </c>
      <c r="AI179" s="54">
        <f t="shared" si="53"/>
        <v>-0.63092400046458519</v>
      </c>
      <c r="AJ179" s="54">
        <f t="shared" si="53"/>
        <v>-0.63092400046458519</v>
      </c>
      <c r="AK179" s="54">
        <f t="shared" ref="AK179" si="75">IF($E80+365&lt;$C$56,0,IF($E80&lt;$C$56,(($E80+365-$C$56)/365)*(($C80/$BN$157)+($D80/$BN$158)),IF($E80&gt;AK$166,0,IF($E80+365&lt;AK$166,($C80/$BN$157)+($D80/$BN$158),((AK$166-$E80)/365)*(($C80/$BN$157)+($D80/$BN$158))))))</f>
        <v>-0.63092400046458519</v>
      </c>
      <c r="AL179" s="24">
        <f t="shared" si="55"/>
        <v>-20</v>
      </c>
      <c r="AM179" s="24">
        <f t="shared" si="56"/>
        <v>0</v>
      </c>
      <c r="AN179" s="55">
        <f t="shared" si="57"/>
        <v>117000</v>
      </c>
      <c r="AO179" s="55">
        <f t="shared" si="58"/>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5"/>
        <v>0</v>
      </c>
      <c r="H180" s="12">
        <f t="shared" si="46"/>
        <v>0</v>
      </c>
      <c r="I180" s="12">
        <f t="shared" si="46"/>
        <v>0</v>
      </c>
      <c r="J180" s="12">
        <f t="shared" si="46"/>
        <v>0</v>
      </c>
      <c r="K180" s="12">
        <f t="shared" si="47"/>
        <v>-15</v>
      </c>
      <c r="L180" s="12">
        <f t="shared" si="48"/>
        <v>-15</v>
      </c>
      <c r="M180" s="12">
        <f t="shared" si="48"/>
        <v>-15</v>
      </c>
      <c r="N180" s="12">
        <f t="shared" si="48"/>
        <v>-15</v>
      </c>
      <c r="O180" s="12">
        <f t="shared" si="49"/>
        <v>-15</v>
      </c>
      <c r="P180" s="12">
        <f t="shared" si="50"/>
        <v>-15</v>
      </c>
      <c r="Q180" s="12">
        <f t="shared" si="50"/>
        <v>-15</v>
      </c>
      <c r="T180" s="61"/>
      <c r="U180" s="61"/>
      <c r="V180" s="61"/>
      <c r="W180" s="53">
        <f t="shared" si="51"/>
        <v>-6080</v>
      </c>
      <c r="X180" s="54">
        <f t="shared" si="52"/>
        <v>171.05263157894737</v>
      </c>
      <c r="Y180" s="595">
        <f t="shared" si="59"/>
        <v>-4.1156164413867269E-2</v>
      </c>
      <c r="Z180" s="54">
        <f t="shared" si="64"/>
        <v>-1.2618480009291704</v>
      </c>
      <c r="AA180" s="54">
        <f t="shared" si="53"/>
        <v>0</v>
      </c>
      <c r="AB180" s="54">
        <f t="shared" si="53"/>
        <v>0</v>
      </c>
      <c r="AC180" s="54">
        <f t="shared" si="53"/>
        <v>-1.2618480009291704</v>
      </c>
      <c r="AD180" s="54">
        <f t="shared" si="53"/>
        <v>-1.2618480009291704</v>
      </c>
      <c r="AE180" s="54">
        <f t="shared" si="53"/>
        <v>-1.2618480009291704</v>
      </c>
      <c r="AF180" s="54">
        <f t="shared" si="53"/>
        <v>-1.2618480009291704</v>
      </c>
      <c r="AG180" s="54">
        <f t="shared" si="53"/>
        <v>-1.2618480009291704</v>
      </c>
      <c r="AH180" s="54">
        <f t="shared" si="53"/>
        <v>-1.2618480009291704</v>
      </c>
      <c r="AI180" s="54">
        <f t="shared" si="53"/>
        <v>-1.2618480009291704</v>
      </c>
      <c r="AJ180" s="54">
        <f t="shared" si="53"/>
        <v>-1.2618480009291704</v>
      </c>
      <c r="AK180" s="54">
        <f t="shared" ref="AK180" si="76">IF($E81+365&lt;$C$56,0,IF($E81&lt;$C$56,(($E81+365-$C$56)/365)*(($C81/$BN$157)+($D81/$BN$158)),IF($E81&gt;AK$166,0,IF($E81+365&lt;AK$166,($C81/$BN$157)+($D81/$BN$158),((AK$166-$E81)/365)*(($C81/$BN$157)+($D81/$BN$158))))))</f>
        <v>-1.2618480009291704</v>
      </c>
      <c r="AL180" s="24">
        <f t="shared" si="55"/>
        <v>-40</v>
      </c>
      <c r="AM180" s="24">
        <f t="shared" si="56"/>
        <v>0</v>
      </c>
      <c r="AN180" s="55">
        <f t="shared" si="57"/>
        <v>1040000</v>
      </c>
      <c r="AO180" s="55">
        <f t="shared" si="58"/>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5"/>
        <v>0</v>
      </c>
      <c r="H181" s="12">
        <f t="shared" si="46"/>
        <v>0</v>
      </c>
      <c r="I181" s="12">
        <f t="shared" si="46"/>
        <v>0</v>
      </c>
      <c r="J181" s="12">
        <f t="shared" si="46"/>
        <v>0</v>
      </c>
      <c r="K181" s="12">
        <f t="shared" si="47"/>
        <v>-10</v>
      </c>
      <c r="L181" s="12">
        <f t="shared" si="48"/>
        <v>-10</v>
      </c>
      <c r="M181" s="12">
        <f t="shared" si="48"/>
        <v>-10</v>
      </c>
      <c r="N181" s="12">
        <f t="shared" si="48"/>
        <v>-10</v>
      </c>
      <c r="O181" s="12">
        <f t="shared" si="49"/>
        <v>-10</v>
      </c>
      <c r="P181" s="12">
        <f t="shared" si="50"/>
        <v>-10</v>
      </c>
      <c r="Q181" s="12">
        <f t="shared" si="50"/>
        <v>-10</v>
      </c>
      <c r="T181" s="61"/>
      <c r="U181" s="61"/>
      <c r="V181" s="61"/>
      <c r="W181" s="53">
        <f t="shared" si="51"/>
        <v>-2280</v>
      </c>
      <c r="X181" s="54">
        <f t="shared" si="52"/>
        <v>102.63157894736842</v>
      </c>
      <c r="Y181" s="595">
        <f t="shared" si="59"/>
        <v>-1.5433561655200226E-2</v>
      </c>
      <c r="Z181" s="54">
        <f t="shared" si="64"/>
        <v>-0.47319300034843886</v>
      </c>
      <c r="AA181" s="54">
        <f t="shared" si="53"/>
        <v>0</v>
      </c>
      <c r="AB181" s="54">
        <f t="shared" si="53"/>
        <v>0</v>
      </c>
      <c r="AC181" s="54">
        <f t="shared" si="53"/>
        <v>0</v>
      </c>
      <c r="AD181" s="54">
        <f t="shared" si="53"/>
        <v>0</v>
      </c>
      <c r="AE181" s="54">
        <f t="shared" si="53"/>
        <v>-0.47319300034843886</v>
      </c>
      <c r="AF181" s="54">
        <f t="shared" si="53"/>
        <v>-0.47319300034843886</v>
      </c>
      <c r="AG181" s="54">
        <f t="shared" si="53"/>
        <v>-0.47319300034843886</v>
      </c>
      <c r="AH181" s="54">
        <f t="shared" si="53"/>
        <v>-0.47319300034843886</v>
      </c>
      <c r="AI181" s="54">
        <f t="shared" si="53"/>
        <v>-0.47319300034843886</v>
      </c>
      <c r="AJ181" s="54">
        <f t="shared" si="53"/>
        <v>-0.47319300034843886</v>
      </c>
      <c r="AK181" s="54">
        <f t="shared" ref="AK181" si="77">IF($E82+365&lt;$C$56,0,IF($E82&lt;$C$56,(($E82+365-$C$56)/365)*(($C82/$BN$157)+($D82/$BN$158)),IF($E82&gt;AK$166,0,IF($E82+365&lt;AK$166,($C82/$BN$157)+($D82/$BN$158),((AK$166-$E82)/365)*(($C82/$BN$157)+($D82/$BN$158))))))</f>
        <v>-0.47319300034843886</v>
      </c>
      <c r="AL181" s="24">
        <f t="shared" si="55"/>
        <v>-15</v>
      </c>
      <c r="AM181" s="24">
        <f t="shared" si="56"/>
        <v>0</v>
      </c>
      <c r="AN181" s="55">
        <f t="shared" si="57"/>
        <v>234000</v>
      </c>
      <c r="AO181" s="55">
        <f t="shared" si="58"/>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5"/>
        <v>-30</v>
      </c>
      <c r="H182" s="12">
        <f t="shared" si="46"/>
        <v>-30</v>
      </c>
      <c r="I182" s="12">
        <f t="shared" si="46"/>
        <v>-30</v>
      </c>
      <c r="J182" s="12">
        <f t="shared" si="46"/>
        <v>-30</v>
      </c>
      <c r="K182" s="12">
        <f t="shared" si="47"/>
        <v>-30</v>
      </c>
      <c r="L182" s="12">
        <f t="shared" si="48"/>
        <v>-30</v>
      </c>
      <c r="M182" s="12">
        <f t="shared" si="48"/>
        <v>-30</v>
      </c>
      <c r="N182" s="12">
        <f t="shared" si="48"/>
        <v>-30</v>
      </c>
      <c r="O182" s="12">
        <f t="shared" si="49"/>
        <v>-30</v>
      </c>
      <c r="P182" s="12">
        <f t="shared" si="50"/>
        <v>-30</v>
      </c>
      <c r="Q182" s="12">
        <f t="shared" si="50"/>
        <v>-30</v>
      </c>
      <c r="T182" s="61"/>
      <c r="U182" s="61"/>
      <c r="V182" s="61"/>
      <c r="W182" s="53">
        <f t="shared" si="51"/>
        <v>-1520</v>
      </c>
      <c r="X182" s="54">
        <f t="shared" si="52"/>
        <v>384.86842105263156</v>
      </c>
      <c r="Y182" s="595">
        <f t="shared" si="59"/>
        <v>-1.0289041103466817E-2</v>
      </c>
      <c r="Z182" s="54">
        <f t="shared" si="64"/>
        <v>-0.31546200023229259</v>
      </c>
      <c r="AA182" s="54">
        <f t="shared" si="53"/>
        <v>0</v>
      </c>
      <c r="AB182" s="54">
        <f t="shared" si="53"/>
        <v>0</v>
      </c>
      <c r="AC182" s="54">
        <f t="shared" si="53"/>
        <v>0</v>
      </c>
      <c r="AD182" s="54">
        <f t="shared" si="53"/>
        <v>0</v>
      </c>
      <c r="AE182" s="54">
        <f t="shared" si="53"/>
        <v>-0.31546200023229259</v>
      </c>
      <c r="AF182" s="54">
        <f t="shared" si="53"/>
        <v>-0.31546200023229259</v>
      </c>
      <c r="AG182" s="54">
        <f t="shared" si="53"/>
        <v>-0.31546200023229259</v>
      </c>
      <c r="AH182" s="54">
        <f t="shared" si="53"/>
        <v>-0.31546200023229259</v>
      </c>
      <c r="AI182" s="54">
        <f t="shared" si="53"/>
        <v>-0.31546200023229259</v>
      </c>
      <c r="AJ182" s="54">
        <f t="shared" si="53"/>
        <v>-0.31546200023229259</v>
      </c>
      <c r="AK182" s="54">
        <f t="shared" ref="AK182" si="78">IF($E83+365&lt;$C$56,0,IF($E83&lt;$C$56,(($E83+365-$C$56)/365)*(($C83/$BN$157)+($D83/$BN$158)),IF($E83&gt;AK$166,0,IF($E83+365&lt;AK$166,($C83/$BN$157)+($D83/$BN$158),((AK$166-$E83)/365)*(($C83/$BN$157)+($D83/$BN$158))))))</f>
        <v>-0.31546200023229259</v>
      </c>
      <c r="AL182" s="24">
        <f t="shared" si="55"/>
        <v>-10</v>
      </c>
      <c r="AM182" s="24">
        <f t="shared" si="56"/>
        <v>0</v>
      </c>
      <c r="AN182" s="55">
        <f t="shared" si="57"/>
        <v>585000</v>
      </c>
      <c r="AO182" s="55">
        <f t="shared" si="58"/>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5"/>
        <v>0</v>
      </c>
      <c r="H183" s="12">
        <f t="shared" si="46"/>
        <v>0</v>
      </c>
      <c r="I183" s="12">
        <f t="shared" si="46"/>
        <v>0</v>
      </c>
      <c r="J183" s="12">
        <f t="shared" si="46"/>
        <v>0</v>
      </c>
      <c r="K183" s="12">
        <f t="shared" si="47"/>
        <v>0</v>
      </c>
      <c r="L183" s="12">
        <f t="shared" si="48"/>
        <v>0</v>
      </c>
      <c r="M183" s="12">
        <f t="shared" si="48"/>
        <v>0</v>
      </c>
      <c r="N183" s="12">
        <f t="shared" si="48"/>
        <v>60</v>
      </c>
      <c r="O183" s="12">
        <f t="shared" si="49"/>
        <v>60</v>
      </c>
      <c r="P183" s="12">
        <f t="shared" si="50"/>
        <v>60</v>
      </c>
      <c r="Q183" s="12">
        <f t="shared" si="50"/>
        <v>60</v>
      </c>
      <c r="T183" s="61"/>
      <c r="U183" s="61"/>
      <c r="V183" s="61"/>
      <c r="W183" s="53">
        <f t="shared" si="51"/>
        <v>-4560</v>
      </c>
      <c r="X183" s="54">
        <f t="shared" si="52"/>
        <v>34.210526315789473</v>
      </c>
      <c r="Y183" s="595">
        <f t="shared" si="59"/>
        <v>-3.0867123310400452E-2</v>
      </c>
      <c r="Z183" s="54">
        <f t="shared" si="64"/>
        <v>-0.94638600069687773</v>
      </c>
      <c r="AA183" s="54">
        <f t="shared" ref="AA183:AJ198" si="79">IF($E84+365&lt;$C$56,0,IF($E84&lt;$C$56,(($E84+365-$C$56)/365)*(($C84/$BN$157)+($D84/$BN$158)),IF($E84&gt;AA$166,0,IF($E84+365&lt;AA$166,($C84/$BN$157)+($D84/$BN$158),((AA$166-$E84)/365)*(($C84/$BN$157)+($D84/$BN$158))))))</f>
        <v>0</v>
      </c>
      <c r="AB183" s="54">
        <f t="shared" si="79"/>
        <v>-0.94638600069687773</v>
      </c>
      <c r="AC183" s="54">
        <f t="shared" si="79"/>
        <v>-0.94638600069687773</v>
      </c>
      <c r="AD183" s="54">
        <f t="shared" si="79"/>
        <v>-0.94638600069687773</v>
      </c>
      <c r="AE183" s="54">
        <f t="shared" si="79"/>
        <v>-0.94638600069687773</v>
      </c>
      <c r="AF183" s="54">
        <f t="shared" si="79"/>
        <v>-0.94638600069687773</v>
      </c>
      <c r="AG183" s="54">
        <f t="shared" si="79"/>
        <v>-0.94638600069687773</v>
      </c>
      <c r="AH183" s="54">
        <f t="shared" si="79"/>
        <v>-0.94638600069687773</v>
      </c>
      <c r="AI183" s="54">
        <f t="shared" si="79"/>
        <v>-0.94638600069687773</v>
      </c>
      <c r="AJ183" s="54">
        <f t="shared" si="79"/>
        <v>-0.94638600069687773</v>
      </c>
      <c r="AK183" s="54">
        <f t="shared" ref="AK183" si="80">IF($E84+365&lt;$C$56,0,IF($E84&lt;$C$56,(($E84+365-$C$56)/365)*(($C84/$BN$157)+($D84/$BN$158)),IF($E84&gt;AK$166,0,IF($E84+365&lt;AK$166,($C84/$BN$157)+($D84/$BN$158),((AK$166-$E84)/365)*(($C84/$BN$157)+($D84/$BN$158))))))</f>
        <v>-0.94638600069687773</v>
      </c>
      <c r="AL183" s="24">
        <f t="shared" si="55"/>
        <v>-30</v>
      </c>
      <c r="AM183" s="24">
        <f t="shared" si="56"/>
        <v>0</v>
      </c>
      <c r="AN183" s="55">
        <f t="shared" si="57"/>
        <v>156000</v>
      </c>
      <c r="AO183" s="55">
        <f t="shared" si="58"/>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5"/>
        <v>0</v>
      </c>
      <c r="H184" s="12">
        <f t="shared" si="46"/>
        <v>0</v>
      </c>
      <c r="I184" s="12">
        <f t="shared" si="46"/>
        <v>0</v>
      </c>
      <c r="J184" s="12">
        <f t="shared" si="46"/>
        <v>0</v>
      </c>
      <c r="K184" s="12">
        <f t="shared" si="47"/>
        <v>0</v>
      </c>
      <c r="L184" s="12">
        <f t="shared" si="48"/>
        <v>0</v>
      </c>
      <c r="M184" s="12">
        <f t="shared" si="48"/>
        <v>0</v>
      </c>
      <c r="N184" s="12">
        <f t="shared" si="48"/>
        <v>0</v>
      </c>
      <c r="O184" s="12">
        <f t="shared" si="49"/>
        <v>-240</v>
      </c>
      <c r="P184" s="12">
        <f t="shared" si="50"/>
        <v>-240</v>
      </c>
      <c r="Q184" s="12">
        <f t="shared" si="50"/>
        <v>-240</v>
      </c>
      <c r="T184" s="61"/>
      <c r="U184" s="61"/>
      <c r="V184" s="61"/>
      <c r="W184" s="53">
        <f t="shared" si="51"/>
        <v>9120</v>
      </c>
      <c r="X184" s="54">
        <f t="shared" si="52"/>
        <v>-42.763157894736842</v>
      </c>
      <c r="Y184" s="595">
        <f t="shared" si="59"/>
        <v>3.5653432801494647E-2</v>
      </c>
      <c r="Z184" s="54">
        <f t="shared" si="64"/>
        <v>1.0931342496938257</v>
      </c>
      <c r="AA184" s="54">
        <f t="shared" si="79"/>
        <v>0</v>
      </c>
      <c r="AB184" s="54">
        <f t="shared" si="79"/>
        <v>0</v>
      </c>
      <c r="AC184" s="54">
        <f t="shared" si="79"/>
        <v>0</v>
      </c>
      <c r="AD184" s="54">
        <f t="shared" si="79"/>
        <v>0</v>
      </c>
      <c r="AE184" s="54">
        <f t="shared" si="79"/>
        <v>0</v>
      </c>
      <c r="AF184" s="54">
        <f t="shared" si="79"/>
        <v>0</v>
      </c>
      <c r="AG184" s="54">
        <f t="shared" si="79"/>
        <v>0</v>
      </c>
      <c r="AH184" s="54">
        <f t="shared" si="79"/>
        <v>1.0931342496938257</v>
      </c>
      <c r="AI184" s="54">
        <f t="shared" si="79"/>
        <v>1.0931342496938257</v>
      </c>
      <c r="AJ184" s="54">
        <f t="shared" si="79"/>
        <v>1.0931342496938257</v>
      </c>
      <c r="AK184" s="54">
        <f t="shared" ref="AK184" si="81">IF($E85+365&lt;$C$56,0,IF($E85&lt;$C$56,(($E85+365-$C$56)/365)*(($C85/$BN$157)+($D85/$BN$158)),IF($E85&gt;AK$166,0,IF($E85+365&lt;AK$166,($C85/$BN$157)+($D85/$BN$158),((AK$166-$E85)/365)*(($C85/$BN$157)+($D85/$BN$158))))))</f>
        <v>1.0931342496938257</v>
      </c>
      <c r="AL184" s="24">
        <f t="shared" si="55"/>
        <v>60</v>
      </c>
      <c r="AM184" s="24">
        <f t="shared" si="56"/>
        <v>-400</v>
      </c>
      <c r="AN184" s="55">
        <f t="shared" si="57"/>
        <v>390000</v>
      </c>
      <c r="AO184" s="55">
        <f t="shared" si="58"/>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5"/>
        <v>0</v>
      </c>
      <c r="H185" s="12">
        <f t="shared" si="46"/>
        <v>0</v>
      </c>
      <c r="I185" s="12">
        <f t="shared" si="46"/>
        <v>0</v>
      </c>
      <c r="J185" s="12">
        <f t="shared" si="46"/>
        <v>0</v>
      </c>
      <c r="K185" s="12">
        <f t="shared" si="47"/>
        <v>0</v>
      </c>
      <c r="L185" s="12">
        <f t="shared" si="48"/>
        <v>0</v>
      </c>
      <c r="M185" s="12">
        <f t="shared" si="48"/>
        <v>0</v>
      </c>
      <c r="N185" s="12">
        <f t="shared" si="48"/>
        <v>0</v>
      </c>
      <c r="O185" s="12">
        <f t="shared" si="49"/>
        <v>40</v>
      </c>
      <c r="P185" s="12">
        <f t="shared" si="50"/>
        <v>40</v>
      </c>
      <c r="Q185" s="12">
        <f t="shared" si="50"/>
        <v>40</v>
      </c>
      <c r="T185" s="61"/>
      <c r="U185" s="61"/>
      <c r="V185" s="61"/>
      <c r="W185" s="53">
        <f t="shared" si="51"/>
        <v>-36480</v>
      </c>
      <c r="X185" s="54">
        <f t="shared" si="52"/>
        <v>28.371710526315791</v>
      </c>
      <c r="Y185" s="595">
        <f t="shared" si="59"/>
        <v>-0.24693698648320361</v>
      </c>
      <c r="Z185" s="54">
        <f t="shared" si="64"/>
        <v>-7.5710880055750218</v>
      </c>
      <c r="AA185" s="54">
        <f t="shared" si="79"/>
        <v>0</v>
      </c>
      <c r="AB185" s="54">
        <f t="shared" si="79"/>
        <v>0</v>
      </c>
      <c r="AC185" s="54">
        <f t="shared" si="79"/>
        <v>0</v>
      </c>
      <c r="AD185" s="54">
        <f t="shared" si="79"/>
        <v>0</v>
      </c>
      <c r="AE185" s="54">
        <f t="shared" si="79"/>
        <v>0</v>
      </c>
      <c r="AF185" s="54">
        <f t="shared" si="79"/>
        <v>0</v>
      </c>
      <c r="AG185" s="54">
        <f t="shared" si="79"/>
        <v>0</v>
      </c>
      <c r="AH185" s="54">
        <f t="shared" si="79"/>
        <v>0</v>
      </c>
      <c r="AI185" s="54">
        <f t="shared" si="79"/>
        <v>0</v>
      </c>
      <c r="AJ185" s="54">
        <f t="shared" si="79"/>
        <v>-7.5710880055750218</v>
      </c>
      <c r="AK185" s="54">
        <f t="shared" ref="AK185" si="82">IF($E86+365&lt;$C$56,0,IF($E86&lt;$C$56,(($E86+365-$C$56)/365)*(($C86/$BN$157)+($D86/$BN$158)),IF($E86&gt;AK$166,0,IF($E86+365&lt;AK$166,($C86/$BN$157)+($D86/$BN$158),((AK$166-$E86)/365)*(($C86/$BN$157)+($D86/$BN$158))))))</f>
        <v>-7.5710880055750218</v>
      </c>
      <c r="AL185" s="24">
        <f t="shared" si="55"/>
        <v>-240</v>
      </c>
      <c r="AM185" s="24">
        <f t="shared" si="56"/>
        <v>0</v>
      </c>
      <c r="AN185" s="55">
        <f t="shared" si="57"/>
        <v>1035000</v>
      </c>
      <c r="AO185" s="55">
        <f t="shared" si="58"/>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5"/>
        <v>0</v>
      </c>
      <c r="H186" s="12">
        <f t="shared" si="46"/>
        <v>0</v>
      </c>
      <c r="I186" s="12">
        <f t="shared" si="46"/>
        <v>0</v>
      </c>
      <c r="J186" s="12">
        <f t="shared" si="46"/>
        <v>0</v>
      </c>
      <c r="K186" s="12">
        <f t="shared" si="47"/>
        <v>0</v>
      </c>
      <c r="L186" s="12">
        <f t="shared" si="48"/>
        <v>0</v>
      </c>
      <c r="M186" s="12">
        <f t="shared" si="48"/>
        <v>0</v>
      </c>
      <c r="N186" s="12">
        <f t="shared" si="48"/>
        <v>0</v>
      </c>
      <c r="O186" s="12">
        <f t="shared" si="49"/>
        <v>-180</v>
      </c>
      <c r="P186" s="12">
        <f t="shared" si="50"/>
        <v>-180</v>
      </c>
      <c r="Q186" s="12">
        <f t="shared" si="50"/>
        <v>-180</v>
      </c>
      <c r="T186" s="61"/>
      <c r="U186" s="61"/>
      <c r="V186" s="61"/>
      <c r="W186" s="53">
        <f t="shared" si="51"/>
        <v>6080</v>
      </c>
      <c r="X186" s="54">
        <f t="shared" si="52"/>
        <v>-132.40131578947367</v>
      </c>
      <c r="Y186" s="595">
        <f t="shared" si="59"/>
        <v>1.7683431976491637E-2</v>
      </c>
      <c r="Z186" s="54">
        <f t="shared" si="64"/>
        <v>0.54217402439923357</v>
      </c>
      <c r="AA186" s="54">
        <f t="shared" si="79"/>
        <v>0</v>
      </c>
      <c r="AB186" s="54">
        <f t="shared" si="79"/>
        <v>0</v>
      </c>
      <c r="AC186" s="54">
        <f t="shared" si="79"/>
        <v>0</v>
      </c>
      <c r="AD186" s="54">
        <f t="shared" si="79"/>
        <v>0</v>
      </c>
      <c r="AE186" s="54">
        <f t="shared" si="79"/>
        <v>0</v>
      </c>
      <c r="AF186" s="54">
        <f t="shared" si="79"/>
        <v>0</v>
      </c>
      <c r="AG186" s="54">
        <f t="shared" si="79"/>
        <v>0</v>
      </c>
      <c r="AH186" s="54">
        <f t="shared" si="79"/>
        <v>0</v>
      </c>
      <c r="AI186" s="54">
        <f t="shared" si="79"/>
        <v>0</v>
      </c>
      <c r="AJ186" s="54">
        <f t="shared" si="79"/>
        <v>0.54217402439923357</v>
      </c>
      <c r="AK186" s="54">
        <f t="shared" ref="AK186" si="83">IF($E87+365&lt;$C$56,0,IF($E87&lt;$C$56,(($E87+365-$C$56)/365)*(($C87/$BN$157)+($D87/$BN$158)),IF($E87&gt;AK$166,0,IF($E87+365&lt;AK$166,($C87/$BN$157)+($D87/$BN$158),((AK$166-$E87)/365)*(($C87/$BN$157)+($D87/$BN$158))))))</f>
        <v>0.54217402439923357</v>
      </c>
      <c r="AL186" s="24">
        <f t="shared" si="55"/>
        <v>40</v>
      </c>
      <c r="AM186" s="24">
        <f t="shared" si="56"/>
        <v>-360</v>
      </c>
      <c r="AN186" s="55">
        <f t="shared" si="57"/>
        <v>805000</v>
      </c>
      <c r="AO186" s="55">
        <f t="shared" si="58"/>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5"/>
        <v>0</v>
      </c>
      <c r="H187" s="12">
        <f t="shared" ref="H187:J206" si="84">IF($E89&gt;H$66,0,IF($E89&lt;H$66-365,$C89,0))</f>
        <v>0</v>
      </c>
      <c r="I187" s="12">
        <f t="shared" si="84"/>
        <v>0</v>
      </c>
      <c r="J187" s="12">
        <f t="shared" si="84"/>
        <v>0</v>
      </c>
      <c r="K187" s="12">
        <f t="shared" si="47"/>
        <v>0</v>
      </c>
      <c r="L187" s="12">
        <f t="shared" ref="L187:N206" si="85">IF($E89&gt;L$66,0,IF($E89&lt;L$66-365,$C89,0))</f>
        <v>0</v>
      </c>
      <c r="M187" s="12">
        <f t="shared" si="85"/>
        <v>0</v>
      </c>
      <c r="N187" s="12">
        <f t="shared" si="85"/>
        <v>0</v>
      </c>
      <c r="O187" s="12">
        <f t="shared" si="49"/>
        <v>-130</v>
      </c>
      <c r="P187" s="12">
        <f t="shared" ref="P187:Q206" si="86">IF($E89&gt;P$66,0,IF($E89&lt;P$66-365,$C89,0))</f>
        <v>-130</v>
      </c>
      <c r="Q187" s="12">
        <f t="shared" si="86"/>
        <v>-130</v>
      </c>
      <c r="T187" s="61"/>
      <c r="U187" s="61"/>
      <c r="V187" s="61"/>
      <c r="W187" s="53">
        <f t="shared" si="51"/>
        <v>-27360</v>
      </c>
      <c r="X187" s="54">
        <f t="shared" si="52"/>
        <v>37.828947368421055</v>
      </c>
      <c r="Y187" s="595">
        <f t="shared" si="59"/>
        <v>-0.18520273986240271</v>
      </c>
      <c r="Z187" s="54">
        <f t="shared" si="64"/>
        <v>-5.6783160041812666</v>
      </c>
      <c r="AA187" s="54">
        <f t="shared" si="79"/>
        <v>0</v>
      </c>
      <c r="AB187" s="54">
        <f t="shared" si="79"/>
        <v>0</v>
      </c>
      <c r="AC187" s="54">
        <f t="shared" si="79"/>
        <v>0</v>
      </c>
      <c r="AD187" s="54">
        <f t="shared" si="79"/>
        <v>0</v>
      </c>
      <c r="AE187" s="54">
        <f t="shared" si="79"/>
        <v>0</v>
      </c>
      <c r="AF187" s="54">
        <f t="shared" si="79"/>
        <v>0</v>
      </c>
      <c r="AG187" s="54">
        <f t="shared" si="79"/>
        <v>0</v>
      </c>
      <c r="AH187" s="54">
        <f t="shared" si="79"/>
        <v>0</v>
      </c>
      <c r="AI187" s="54">
        <f t="shared" si="79"/>
        <v>0</v>
      </c>
      <c r="AJ187" s="54">
        <f t="shared" si="79"/>
        <v>-5.6783160041812666</v>
      </c>
      <c r="AK187" s="54">
        <f t="shared" ref="AK187" si="87">IF($E88+365&lt;$C$56,0,IF($E88&lt;$C$56,(($E88+365-$C$56)/365)*(($C88/$BN$157)+($D88/$BN$158)),IF($E88&gt;AK$166,0,IF($E88+365&lt;AK$166,($C88/$BN$157)+($D88/$BN$158),((AK$166-$E88)/365)*(($C88/$BN$157)+($D88/$BN$158))))))</f>
        <v>-5.6783160041812666</v>
      </c>
      <c r="AL187" s="24">
        <f t="shared" si="55"/>
        <v>-180</v>
      </c>
      <c r="AM187" s="24">
        <f t="shared" si="56"/>
        <v>0</v>
      </c>
      <c r="AN187" s="55">
        <f t="shared" si="57"/>
        <v>1035000</v>
      </c>
      <c r="AO187" s="55">
        <f t="shared" si="58"/>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5"/>
        <v>0</v>
      </c>
      <c r="H188" s="12">
        <f t="shared" si="84"/>
        <v>0</v>
      </c>
      <c r="I188" s="12">
        <f t="shared" si="84"/>
        <v>0</v>
      </c>
      <c r="J188" s="12">
        <f t="shared" si="84"/>
        <v>0</v>
      </c>
      <c r="K188" s="12">
        <f t="shared" si="47"/>
        <v>0</v>
      </c>
      <c r="L188" s="12">
        <f t="shared" si="85"/>
        <v>0</v>
      </c>
      <c r="M188" s="12">
        <f t="shared" si="85"/>
        <v>0</v>
      </c>
      <c r="N188" s="12">
        <f t="shared" si="85"/>
        <v>0</v>
      </c>
      <c r="O188" s="12">
        <f t="shared" si="49"/>
        <v>-160</v>
      </c>
      <c r="P188" s="12">
        <f t="shared" si="86"/>
        <v>-160</v>
      </c>
      <c r="Q188" s="12">
        <f t="shared" si="86"/>
        <v>-160</v>
      </c>
      <c r="T188" s="61"/>
      <c r="U188" s="61"/>
      <c r="V188" s="61"/>
      <c r="W188" s="53">
        <f t="shared" si="51"/>
        <v>-19759.999999999996</v>
      </c>
      <c r="X188" s="54">
        <f t="shared" si="52"/>
        <v>14.524291497975712</v>
      </c>
      <c r="Y188" s="595">
        <f t="shared" si="59"/>
        <v>-0.1337575343450686</v>
      </c>
      <c r="Z188" s="54">
        <f t="shared" si="64"/>
        <v>-4.101006003019803</v>
      </c>
      <c r="AA188" s="54">
        <f t="shared" si="79"/>
        <v>0</v>
      </c>
      <c r="AB188" s="54">
        <f t="shared" si="79"/>
        <v>0</v>
      </c>
      <c r="AC188" s="54">
        <f t="shared" si="79"/>
        <v>0</v>
      </c>
      <c r="AD188" s="54">
        <f t="shared" si="79"/>
        <v>0</v>
      </c>
      <c r="AE188" s="54">
        <f t="shared" si="79"/>
        <v>0</v>
      </c>
      <c r="AF188" s="54">
        <f t="shared" si="79"/>
        <v>0</v>
      </c>
      <c r="AG188" s="54">
        <f t="shared" si="79"/>
        <v>0</v>
      </c>
      <c r="AH188" s="54">
        <f t="shared" si="79"/>
        <v>0</v>
      </c>
      <c r="AI188" s="54">
        <f t="shared" si="79"/>
        <v>0</v>
      </c>
      <c r="AJ188" s="54">
        <f t="shared" si="79"/>
        <v>-4.101006003019803</v>
      </c>
      <c r="AK188" s="54">
        <f t="shared" ref="AK188" si="88">IF($E89+365&lt;$C$56,0,IF($E89&lt;$C$56,(($E89+365-$C$56)/365)*(($C89/$BN$157)+($D89/$BN$158)),IF($E89&gt;AK$166,0,IF($E89+365&lt;AK$166,($C89/$BN$157)+($D89/$BN$158),((AK$166-$E89)/365)*(($C89/$BN$157)+($D89/$BN$158))))))</f>
        <v>-4.101006003019803</v>
      </c>
      <c r="AL188" s="24">
        <f t="shared" si="55"/>
        <v>-130</v>
      </c>
      <c r="AM188" s="24">
        <f t="shared" si="56"/>
        <v>0</v>
      </c>
      <c r="AN188" s="55">
        <f t="shared" si="57"/>
        <v>287000</v>
      </c>
      <c r="AO188" s="55">
        <f t="shared" si="58"/>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5"/>
        <v>0</v>
      </c>
      <c r="H189" s="12">
        <f t="shared" si="84"/>
        <v>0</v>
      </c>
      <c r="I189" s="12">
        <f t="shared" si="84"/>
        <v>0</v>
      </c>
      <c r="J189" s="12">
        <f t="shared" si="84"/>
        <v>0</v>
      </c>
      <c r="K189" s="12">
        <f t="shared" si="47"/>
        <v>0</v>
      </c>
      <c r="L189" s="12">
        <f t="shared" si="85"/>
        <v>0</v>
      </c>
      <c r="M189" s="12">
        <f t="shared" si="85"/>
        <v>0</v>
      </c>
      <c r="N189" s="12">
        <f t="shared" si="85"/>
        <v>0</v>
      </c>
      <c r="O189" s="12">
        <f t="shared" si="49"/>
        <v>-90</v>
      </c>
      <c r="P189" s="12">
        <f t="shared" si="86"/>
        <v>-90</v>
      </c>
      <c r="Q189" s="12">
        <f t="shared" si="86"/>
        <v>-90</v>
      </c>
      <c r="T189" s="61"/>
      <c r="U189" s="61"/>
      <c r="V189" s="61"/>
      <c r="W189" s="53">
        <f t="shared" si="51"/>
        <v>-24320</v>
      </c>
      <c r="X189" s="54">
        <f t="shared" si="52"/>
        <v>56.743421052631582</v>
      </c>
      <c r="Y189" s="595">
        <f t="shared" si="59"/>
        <v>-0.16462465765546908</v>
      </c>
      <c r="Z189" s="54">
        <f t="shared" si="64"/>
        <v>-5.0473920037166815</v>
      </c>
      <c r="AA189" s="54">
        <f t="shared" si="79"/>
        <v>0</v>
      </c>
      <c r="AB189" s="54">
        <f t="shared" si="79"/>
        <v>0</v>
      </c>
      <c r="AC189" s="54">
        <f t="shared" si="79"/>
        <v>0</v>
      </c>
      <c r="AD189" s="54">
        <f t="shared" si="79"/>
        <v>0</v>
      </c>
      <c r="AE189" s="54">
        <f t="shared" si="79"/>
        <v>0</v>
      </c>
      <c r="AF189" s="54">
        <f t="shared" si="79"/>
        <v>0</v>
      </c>
      <c r="AG189" s="54">
        <f t="shared" si="79"/>
        <v>0</v>
      </c>
      <c r="AH189" s="54">
        <f t="shared" si="79"/>
        <v>0</v>
      </c>
      <c r="AI189" s="54">
        <f t="shared" si="79"/>
        <v>-5.0473920037166815</v>
      </c>
      <c r="AJ189" s="54">
        <f t="shared" si="79"/>
        <v>-5.0473920037166815</v>
      </c>
      <c r="AK189" s="54">
        <f t="shared" ref="AK189" si="89">IF($E90+365&lt;$C$56,0,IF($E90&lt;$C$56,(($E90+365-$C$56)/365)*(($C90/$BN$157)+($D90/$BN$158)),IF($E90&gt;AK$166,0,IF($E90+365&lt;AK$166,($C90/$BN$157)+($D90/$BN$158),((AK$166-$E90)/365)*(($C90/$BN$157)+($D90/$BN$158))))))</f>
        <v>-5.0473920037166815</v>
      </c>
      <c r="AL189" s="24">
        <f t="shared" si="55"/>
        <v>-160</v>
      </c>
      <c r="AM189" s="24">
        <f t="shared" si="56"/>
        <v>0</v>
      </c>
      <c r="AN189" s="55">
        <f t="shared" si="57"/>
        <v>1380000</v>
      </c>
      <c r="AO189" s="55">
        <f t="shared" si="58"/>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5"/>
        <v>0</v>
      </c>
      <c r="H190" s="12">
        <f t="shared" si="84"/>
        <v>0</v>
      </c>
      <c r="I190" s="12">
        <f t="shared" si="84"/>
        <v>0</v>
      </c>
      <c r="J190" s="12">
        <f t="shared" si="84"/>
        <v>0</v>
      </c>
      <c r="K190" s="12">
        <f t="shared" si="47"/>
        <v>0</v>
      </c>
      <c r="L190" s="12">
        <f t="shared" si="85"/>
        <v>0</v>
      </c>
      <c r="M190" s="12">
        <f t="shared" si="85"/>
        <v>0</v>
      </c>
      <c r="N190" s="12">
        <f t="shared" si="85"/>
        <v>0</v>
      </c>
      <c r="O190" s="12">
        <f t="shared" si="49"/>
        <v>0</v>
      </c>
      <c r="P190" s="12">
        <f t="shared" si="86"/>
        <v>0</v>
      </c>
      <c r="Q190" s="12">
        <f t="shared" si="86"/>
        <v>0</v>
      </c>
      <c r="T190" s="61"/>
      <c r="U190" s="61"/>
      <c r="V190" s="61"/>
      <c r="W190" s="53">
        <f t="shared" si="51"/>
        <v>-13680</v>
      </c>
      <c r="X190" s="54">
        <f t="shared" si="52"/>
        <v>92.470760233918128</v>
      </c>
      <c r="Y190" s="595">
        <f t="shared" si="59"/>
        <v>-9.2601369931201355E-2</v>
      </c>
      <c r="Z190" s="54">
        <f t="shared" si="64"/>
        <v>-2.8391580020906333</v>
      </c>
      <c r="AA190" s="54">
        <f t="shared" si="79"/>
        <v>0</v>
      </c>
      <c r="AB190" s="54">
        <f t="shared" si="79"/>
        <v>0</v>
      </c>
      <c r="AC190" s="54">
        <f t="shared" si="79"/>
        <v>0</v>
      </c>
      <c r="AD190" s="54">
        <f t="shared" si="79"/>
        <v>0</v>
      </c>
      <c r="AE190" s="54">
        <f t="shared" si="79"/>
        <v>0</v>
      </c>
      <c r="AF190" s="54">
        <f t="shared" si="79"/>
        <v>0</v>
      </c>
      <c r="AG190" s="54">
        <f t="shared" si="79"/>
        <v>0</v>
      </c>
      <c r="AH190" s="54">
        <f t="shared" si="79"/>
        <v>0</v>
      </c>
      <c r="AI190" s="54">
        <f t="shared" si="79"/>
        <v>-2.8391580020906333</v>
      </c>
      <c r="AJ190" s="54">
        <f t="shared" si="79"/>
        <v>-2.8391580020906333</v>
      </c>
      <c r="AK190" s="54">
        <f t="shared" ref="AK190" si="90">IF($E91+365&lt;$C$56,0,IF($E91&lt;$C$56,(($E91+365-$C$56)/365)*(($C91/$BN$157)+($D91/$BN$158)),IF($E91&gt;AK$166,0,IF($E91+365&lt;AK$166,($C91/$BN$157)+($D91/$BN$158),((AK$166-$E91)/365)*(($C91/$BN$157)+($D91/$BN$158))))))</f>
        <v>-2.8391580020906333</v>
      </c>
      <c r="AL190" s="24">
        <f t="shared" si="55"/>
        <v>-90</v>
      </c>
      <c r="AM190" s="24">
        <f t="shared" si="56"/>
        <v>0</v>
      </c>
      <c r="AN190" s="55">
        <f t="shared" si="57"/>
        <v>1265000</v>
      </c>
      <c r="AO190" s="55">
        <f t="shared" si="58"/>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5"/>
        <v>0</v>
      </c>
      <c r="H191" s="12">
        <f t="shared" si="84"/>
        <v>0</v>
      </c>
      <c r="I191" s="12">
        <f t="shared" si="84"/>
        <v>0</v>
      </c>
      <c r="J191" s="12">
        <f t="shared" si="84"/>
        <v>0</v>
      </c>
      <c r="K191" s="12">
        <f t="shared" si="47"/>
        <v>0</v>
      </c>
      <c r="L191" s="12">
        <f t="shared" si="85"/>
        <v>0</v>
      </c>
      <c r="M191" s="12">
        <f t="shared" si="85"/>
        <v>0</v>
      </c>
      <c r="N191" s="12">
        <f t="shared" si="85"/>
        <v>0</v>
      </c>
      <c r="O191" s="12">
        <f t="shared" si="49"/>
        <v>0</v>
      </c>
      <c r="P191" s="12">
        <f t="shared" si="86"/>
        <v>0</v>
      </c>
      <c r="Q191" s="12">
        <f t="shared" si="86"/>
        <v>0</v>
      </c>
      <c r="T191" s="61"/>
      <c r="U191" s="61"/>
      <c r="V191" s="61"/>
      <c r="W191" s="53">
        <f t="shared" si="51"/>
        <v>0</v>
      </c>
      <c r="X191" s="54" t="e">
        <f t="shared" si="52"/>
        <v>#DIV/0!</v>
      </c>
      <c r="Y191" s="595">
        <f t="shared" si="59"/>
        <v>0</v>
      </c>
      <c r="Z191" s="54">
        <f t="shared" si="64"/>
        <v>0</v>
      </c>
      <c r="AA191" s="54">
        <f t="shared" si="79"/>
        <v>0</v>
      </c>
      <c r="AB191" s="54">
        <f t="shared" si="79"/>
        <v>0</v>
      </c>
      <c r="AC191" s="54">
        <f t="shared" si="79"/>
        <v>0</v>
      </c>
      <c r="AD191" s="54">
        <f t="shared" si="79"/>
        <v>0</v>
      </c>
      <c r="AE191" s="54">
        <f t="shared" si="79"/>
        <v>0</v>
      </c>
      <c r="AF191" s="54">
        <f t="shared" si="79"/>
        <v>0</v>
      </c>
      <c r="AG191" s="54">
        <f t="shared" si="79"/>
        <v>0</v>
      </c>
      <c r="AH191" s="54">
        <f t="shared" si="79"/>
        <v>0</v>
      </c>
      <c r="AI191" s="54">
        <f t="shared" si="79"/>
        <v>0</v>
      </c>
      <c r="AJ191" s="54">
        <f t="shared" si="79"/>
        <v>0</v>
      </c>
      <c r="AK191" s="54">
        <f t="shared" ref="AK191" si="91">IF($E92+365&lt;$C$56,0,IF($E92&lt;$C$56,(($E92+365-$C$56)/365)*(($C92/$BN$157)+($D92/$BN$158)),IF($E92&gt;AK$166,0,IF($E92+365&lt;AK$166,($C92/$BN$157)+($D92/$BN$158),((AK$166-$E92)/365)*(($C92/$BN$157)+($D92/$BN$158))))))</f>
        <v>0</v>
      </c>
      <c r="AL191" s="24">
        <f t="shared" si="55"/>
        <v>0</v>
      </c>
      <c r="AM191" s="24">
        <f t="shared" si="56"/>
        <v>0</v>
      </c>
      <c r="AN191" s="55">
        <f t="shared" si="57"/>
        <v>0</v>
      </c>
      <c r="AO191" s="55">
        <f t="shared" si="58"/>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5"/>
        <v>0</v>
      </c>
      <c r="H192" s="12">
        <f t="shared" si="84"/>
        <v>0</v>
      </c>
      <c r="I192" s="12">
        <f t="shared" si="84"/>
        <v>0</v>
      </c>
      <c r="J192" s="12">
        <f t="shared" si="84"/>
        <v>0</v>
      </c>
      <c r="K192" s="12">
        <f t="shared" si="47"/>
        <v>0</v>
      </c>
      <c r="L192" s="12">
        <f t="shared" si="85"/>
        <v>0</v>
      </c>
      <c r="M192" s="12">
        <f t="shared" si="85"/>
        <v>0</v>
      </c>
      <c r="N192" s="12">
        <f t="shared" si="85"/>
        <v>0</v>
      </c>
      <c r="O192" s="12">
        <f t="shared" si="49"/>
        <v>0</v>
      </c>
      <c r="P192" s="12">
        <f t="shared" si="86"/>
        <v>0</v>
      </c>
      <c r="Q192" s="12">
        <f t="shared" si="86"/>
        <v>0</v>
      </c>
      <c r="T192" s="61"/>
      <c r="U192" s="61"/>
      <c r="V192" s="61"/>
      <c r="W192" s="53">
        <f t="shared" si="51"/>
        <v>0</v>
      </c>
      <c r="X192" s="54" t="e">
        <f t="shared" si="52"/>
        <v>#DIV/0!</v>
      </c>
      <c r="Y192" s="595">
        <f t="shared" si="59"/>
        <v>0</v>
      </c>
      <c r="Z192" s="54">
        <f t="shared" si="64"/>
        <v>0</v>
      </c>
      <c r="AA192" s="54">
        <f t="shared" si="79"/>
        <v>0</v>
      </c>
      <c r="AB192" s="54">
        <f t="shared" si="79"/>
        <v>0</v>
      </c>
      <c r="AC192" s="54">
        <f t="shared" si="79"/>
        <v>0</v>
      </c>
      <c r="AD192" s="54">
        <f t="shared" si="79"/>
        <v>0</v>
      </c>
      <c r="AE192" s="54">
        <f t="shared" si="79"/>
        <v>0</v>
      </c>
      <c r="AF192" s="54">
        <f t="shared" si="79"/>
        <v>0</v>
      </c>
      <c r="AG192" s="54">
        <f t="shared" si="79"/>
        <v>0</v>
      </c>
      <c r="AH192" s="54">
        <f t="shared" si="79"/>
        <v>0</v>
      </c>
      <c r="AI192" s="54">
        <f t="shared" si="79"/>
        <v>0</v>
      </c>
      <c r="AJ192" s="54">
        <f t="shared" si="79"/>
        <v>0</v>
      </c>
      <c r="AK192" s="54">
        <f t="shared" ref="AK192" si="92">IF($E93+365&lt;$C$56,0,IF($E93&lt;$C$56,(($E93+365-$C$56)/365)*(($C93/$BN$157)+($D93/$BN$158)),IF($E93&gt;AK$166,0,IF($E93+365&lt;AK$166,($C93/$BN$157)+($D93/$BN$158),((AK$166-$E93)/365)*(($C93/$BN$157)+($D93/$BN$158))))))</f>
        <v>0</v>
      </c>
      <c r="AL192" s="24">
        <f t="shared" si="55"/>
        <v>0</v>
      </c>
      <c r="AM192" s="24">
        <f t="shared" si="56"/>
        <v>0</v>
      </c>
      <c r="AN192" s="55">
        <f t="shared" si="57"/>
        <v>0</v>
      </c>
      <c r="AO192" s="55">
        <f t="shared" si="58"/>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5"/>
        <v>0</v>
      </c>
      <c r="H193" s="12">
        <f t="shared" si="84"/>
        <v>0</v>
      </c>
      <c r="I193" s="12">
        <f t="shared" si="84"/>
        <v>0</v>
      </c>
      <c r="J193" s="12">
        <f t="shared" si="84"/>
        <v>0</v>
      </c>
      <c r="K193" s="12">
        <f t="shared" si="47"/>
        <v>0</v>
      </c>
      <c r="L193" s="12">
        <f t="shared" si="85"/>
        <v>0</v>
      </c>
      <c r="M193" s="12">
        <f t="shared" si="85"/>
        <v>0</v>
      </c>
      <c r="N193" s="12">
        <f t="shared" si="85"/>
        <v>0</v>
      </c>
      <c r="O193" s="12">
        <f t="shared" si="49"/>
        <v>0</v>
      </c>
      <c r="P193" s="12">
        <f t="shared" si="86"/>
        <v>0</v>
      </c>
      <c r="Q193" s="12">
        <f t="shared" si="86"/>
        <v>0</v>
      </c>
      <c r="T193" s="61"/>
      <c r="U193" s="61"/>
      <c r="V193" s="61"/>
      <c r="W193" s="53">
        <f t="shared" si="51"/>
        <v>0</v>
      </c>
      <c r="X193" s="54" t="e">
        <f t="shared" si="52"/>
        <v>#DIV/0!</v>
      </c>
      <c r="Y193" s="595">
        <f t="shared" si="59"/>
        <v>0</v>
      </c>
      <c r="Z193" s="54">
        <f t="shared" si="64"/>
        <v>0</v>
      </c>
      <c r="AA193" s="54">
        <f t="shared" si="79"/>
        <v>0</v>
      </c>
      <c r="AB193" s="54">
        <f t="shared" si="79"/>
        <v>0</v>
      </c>
      <c r="AC193" s="54">
        <f t="shared" si="79"/>
        <v>0</v>
      </c>
      <c r="AD193" s="54">
        <f t="shared" si="79"/>
        <v>0</v>
      </c>
      <c r="AE193" s="54">
        <f t="shared" si="79"/>
        <v>0</v>
      </c>
      <c r="AF193" s="54">
        <f t="shared" si="79"/>
        <v>0</v>
      </c>
      <c r="AG193" s="54">
        <f t="shared" si="79"/>
        <v>0</v>
      </c>
      <c r="AH193" s="54">
        <f t="shared" si="79"/>
        <v>0</v>
      </c>
      <c r="AI193" s="54">
        <f t="shared" si="79"/>
        <v>0</v>
      </c>
      <c r="AJ193" s="54">
        <f t="shared" si="79"/>
        <v>0</v>
      </c>
      <c r="AK193" s="54">
        <f t="shared" ref="AK193" si="93">IF($E94+365&lt;$C$56,0,IF($E94&lt;$C$56,(($E94+365-$C$56)/365)*(($C94/$BN$157)+($D94/$BN$158)),IF($E94&gt;AK$166,0,IF($E94+365&lt;AK$166,($C94/$BN$157)+($D94/$BN$158),((AK$166-$E94)/365)*(($C94/$BN$157)+($D94/$BN$158))))))</f>
        <v>0</v>
      </c>
      <c r="AL193" s="24">
        <f t="shared" si="55"/>
        <v>0</v>
      </c>
      <c r="AM193" s="24">
        <f t="shared" si="56"/>
        <v>0</v>
      </c>
      <c r="AN193" s="55">
        <f t="shared" si="57"/>
        <v>0</v>
      </c>
      <c r="AO193" s="55">
        <f t="shared" si="58"/>
        <v>0</v>
      </c>
      <c r="AP193" s="24"/>
      <c r="AQ193" s="24"/>
      <c r="AR193" s="24"/>
      <c r="AS193" s="24"/>
      <c r="AT193" s="24"/>
      <c r="AU193" s="24"/>
      <c r="AV193" s="24"/>
      <c r="AW193" s="24"/>
      <c r="AX193" s="24"/>
      <c r="AY193" s="24"/>
    </row>
    <row r="194" spans="7:51">
      <c r="G194" s="12">
        <f t="shared" si="45"/>
        <v>0</v>
      </c>
      <c r="H194" s="12">
        <f t="shared" si="84"/>
        <v>0</v>
      </c>
      <c r="I194" s="12">
        <f t="shared" si="84"/>
        <v>0</v>
      </c>
      <c r="J194" s="12">
        <f t="shared" si="84"/>
        <v>0</v>
      </c>
      <c r="K194" s="12">
        <f t="shared" si="47"/>
        <v>0</v>
      </c>
      <c r="L194" s="12">
        <f t="shared" si="85"/>
        <v>0</v>
      </c>
      <c r="M194" s="12">
        <f t="shared" si="85"/>
        <v>0</v>
      </c>
      <c r="N194" s="12">
        <f t="shared" si="85"/>
        <v>0</v>
      </c>
      <c r="O194" s="12">
        <f t="shared" si="49"/>
        <v>0</v>
      </c>
      <c r="P194" s="12">
        <f t="shared" si="86"/>
        <v>0</v>
      </c>
      <c r="Q194" s="12">
        <f t="shared" si="86"/>
        <v>0</v>
      </c>
      <c r="T194" s="61"/>
      <c r="U194" s="61"/>
      <c r="V194" s="61"/>
      <c r="W194" s="53">
        <f t="shared" si="51"/>
        <v>0</v>
      </c>
      <c r="X194" s="54" t="e">
        <f t="shared" si="52"/>
        <v>#DIV/0!</v>
      </c>
      <c r="Y194" s="595">
        <f t="shared" si="59"/>
        <v>0</v>
      </c>
      <c r="Z194" s="54">
        <f t="shared" si="64"/>
        <v>0</v>
      </c>
      <c r="AA194" s="54">
        <f t="shared" si="79"/>
        <v>0</v>
      </c>
      <c r="AB194" s="54">
        <f t="shared" si="79"/>
        <v>0</v>
      </c>
      <c r="AC194" s="54">
        <f t="shared" si="79"/>
        <v>0</v>
      </c>
      <c r="AD194" s="54">
        <f t="shared" si="79"/>
        <v>0</v>
      </c>
      <c r="AE194" s="54">
        <f t="shared" si="79"/>
        <v>0</v>
      </c>
      <c r="AF194" s="54">
        <f t="shared" si="79"/>
        <v>0</v>
      </c>
      <c r="AG194" s="54">
        <f t="shared" si="79"/>
        <v>0</v>
      </c>
      <c r="AH194" s="54">
        <f t="shared" si="79"/>
        <v>0</v>
      </c>
      <c r="AI194" s="54">
        <f t="shared" si="79"/>
        <v>0</v>
      </c>
      <c r="AJ194" s="54">
        <f t="shared" si="79"/>
        <v>0</v>
      </c>
      <c r="AK194" s="54">
        <f t="shared" ref="AK194" si="94">IF($E95+365&lt;$C$56,0,IF($E95&lt;$C$56,(($E95+365-$C$56)/365)*(($C95/$BN$157)+($D95/$BN$158)),IF($E95&gt;AK$166,0,IF($E95+365&lt;AK$166,($C95/$BN$157)+($D95/$BN$158),((AK$166-$E95)/365)*(($C95/$BN$157)+($D95/$BN$158))))))</f>
        <v>0</v>
      </c>
      <c r="AL194" s="24">
        <f t="shared" si="55"/>
        <v>0</v>
      </c>
      <c r="AM194" s="24">
        <f t="shared" si="56"/>
        <v>0</v>
      </c>
      <c r="AN194" s="55">
        <f t="shared" si="57"/>
        <v>0</v>
      </c>
      <c r="AO194" s="55">
        <f t="shared" si="58"/>
        <v>0</v>
      </c>
      <c r="AP194" s="24"/>
      <c r="AQ194" s="24"/>
      <c r="AR194" s="24"/>
      <c r="AS194" s="24"/>
      <c r="AT194" s="24"/>
      <c r="AU194" s="24"/>
      <c r="AV194" s="24"/>
      <c r="AW194" s="24"/>
      <c r="AX194" s="24"/>
      <c r="AY194" s="24"/>
    </row>
    <row r="195" spans="7:51">
      <c r="G195" s="12">
        <f t="shared" si="45"/>
        <v>0</v>
      </c>
      <c r="H195" s="12">
        <f t="shared" si="84"/>
        <v>0</v>
      </c>
      <c r="I195" s="12">
        <f t="shared" si="84"/>
        <v>0</v>
      </c>
      <c r="J195" s="12">
        <f t="shared" si="84"/>
        <v>0</v>
      </c>
      <c r="K195" s="12">
        <f t="shared" si="47"/>
        <v>0</v>
      </c>
      <c r="L195" s="12">
        <f t="shared" si="85"/>
        <v>0</v>
      </c>
      <c r="M195" s="12">
        <f t="shared" si="85"/>
        <v>0</v>
      </c>
      <c r="N195" s="12">
        <f t="shared" si="85"/>
        <v>0</v>
      </c>
      <c r="O195" s="12">
        <f t="shared" si="49"/>
        <v>0</v>
      </c>
      <c r="P195" s="12">
        <f t="shared" si="86"/>
        <v>0</v>
      </c>
      <c r="Q195" s="12">
        <f t="shared" si="86"/>
        <v>0</v>
      </c>
      <c r="T195" s="61"/>
      <c r="U195" s="61"/>
      <c r="V195" s="61"/>
      <c r="W195" s="53">
        <f t="shared" si="51"/>
        <v>0</v>
      </c>
      <c r="X195" s="54" t="e">
        <f t="shared" si="52"/>
        <v>#DIV/0!</v>
      </c>
      <c r="Y195" s="595">
        <f t="shared" si="59"/>
        <v>0</v>
      </c>
      <c r="Z195" s="54">
        <f t="shared" si="64"/>
        <v>0</v>
      </c>
      <c r="AA195" s="54">
        <f t="shared" si="79"/>
        <v>0</v>
      </c>
      <c r="AB195" s="54">
        <f t="shared" si="79"/>
        <v>0</v>
      </c>
      <c r="AC195" s="54">
        <f t="shared" si="79"/>
        <v>0</v>
      </c>
      <c r="AD195" s="54">
        <f t="shared" si="79"/>
        <v>0</v>
      </c>
      <c r="AE195" s="54">
        <f t="shared" si="79"/>
        <v>0</v>
      </c>
      <c r="AF195" s="54">
        <f t="shared" si="79"/>
        <v>0</v>
      </c>
      <c r="AG195" s="54">
        <f t="shared" si="79"/>
        <v>0</v>
      </c>
      <c r="AH195" s="54">
        <f t="shared" si="79"/>
        <v>0</v>
      </c>
      <c r="AI195" s="54">
        <f t="shared" si="79"/>
        <v>0</v>
      </c>
      <c r="AJ195" s="54">
        <f t="shared" si="79"/>
        <v>0</v>
      </c>
      <c r="AK195" s="54">
        <f t="shared" ref="AK195" si="95">IF($E96+365&lt;$C$56,0,IF($E96&lt;$C$56,(($E96+365-$C$56)/365)*(($C96/$BN$157)+($D96/$BN$158)),IF($E96&gt;AK$166,0,IF($E96+365&lt;AK$166,($C96/$BN$157)+($D96/$BN$158),((AK$166-$E96)/365)*(($C96/$BN$157)+($D96/$BN$158))))))</f>
        <v>0</v>
      </c>
      <c r="AL195" s="24">
        <f t="shared" si="55"/>
        <v>0</v>
      </c>
      <c r="AM195" s="24">
        <f t="shared" si="56"/>
        <v>0</v>
      </c>
      <c r="AN195" s="55">
        <f t="shared" si="57"/>
        <v>0</v>
      </c>
      <c r="AO195" s="55">
        <f t="shared" si="58"/>
        <v>0</v>
      </c>
      <c r="AP195" s="24"/>
      <c r="AQ195" s="24"/>
      <c r="AR195" s="24"/>
      <c r="AS195" s="24"/>
      <c r="AT195" s="24"/>
      <c r="AU195" s="24"/>
      <c r="AV195" s="24"/>
      <c r="AW195" s="24"/>
      <c r="AX195" s="24"/>
      <c r="AY195" s="24"/>
    </row>
    <row r="196" spans="7:51">
      <c r="G196" s="12">
        <f t="shared" si="45"/>
        <v>0</v>
      </c>
      <c r="H196" s="12">
        <f t="shared" si="84"/>
        <v>0</v>
      </c>
      <c r="I196" s="12">
        <f t="shared" si="84"/>
        <v>0</v>
      </c>
      <c r="J196" s="12">
        <f t="shared" si="84"/>
        <v>0</v>
      </c>
      <c r="K196" s="12">
        <f t="shared" si="47"/>
        <v>0</v>
      </c>
      <c r="L196" s="12">
        <f t="shared" si="85"/>
        <v>0</v>
      </c>
      <c r="M196" s="12">
        <f t="shared" si="85"/>
        <v>0</v>
      </c>
      <c r="N196" s="12">
        <f t="shared" si="85"/>
        <v>0</v>
      </c>
      <c r="O196" s="12">
        <f t="shared" si="49"/>
        <v>0</v>
      </c>
      <c r="P196" s="12">
        <f t="shared" si="86"/>
        <v>0</v>
      </c>
      <c r="Q196" s="12">
        <f t="shared" si="86"/>
        <v>0</v>
      </c>
      <c r="T196" s="61"/>
      <c r="U196" s="61"/>
      <c r="V196" s="61"/>
      <c r="W196" s="53">
        <f t="shared" si="51"/>
        <v>0</v>
      </c>
      <c r="X196" s="54" t="e">
        <f t="shared" si="52"/>
        <v>#DIV/0!</v>
      </c>
      <c r="Y196" s="595">
        <f t="shared" si="59"/>
        <v>0</v>
      </c>
      <c r="Z196" s="54">
        <f t="shared" si="64"/>
        <v>0</v>
      </c>
      <c r="AA196" s="54">
        <f t="shared" si="79"/>
        <v>0</v>
      </c>
      <c r="AB196" s="54">
        <f t="shared" si="79"/>
        <v>0</v>
      </c>
      <c r="AC196" s="54">
        <f t="shared" si="79"/>
        <v>0</v>
      </c>
      <c r="AD196" s="54">
        <f t="shared" si="79"/>
        <v>0</v>
      </c>
      <c r="AE196" s="54">
        <f t="shared" si="79"/>
        <v>0</v>
      </c>
      <c r="AF196" s="54">
        <f t="shared" si="79"/>
        <v>0</v>
      </c>
      <c r="AG196" s="54">
        <f t="shared" si="79"/>
        <v>0</v>
      </c>
      <c r="AH196" s="54">
        <f t="shared" si="79"/>
        <v>0</v>
      </c>
      <c r="AI196" s="54">
        <f t="shared" si="79"/>
        <v>0</v>
      </c>
      <c r="AJ196" s="54">
        <f t="shared" si="79"/>
        <v>0</v>
      </c>
      <c r="AK196" s="54">
        <f t="shared" ref="AK196" si="96">IF($E97+365&lt;$C$56,0,IF($E97&lt;$C$56,(($E97+365-$C$56)/365)*(($C97/$BN$157)+($D97/$BN$158)),IF($E97&gt;AK$166,0,IF($E97+365&lt;AK$166,($C97/$BN$157)+($D97/$BN$158),((AK$166-$E97)/365)*(($C97/$BN$157)+($D97/$BN$158))))))</f>
        <v>0</v>
      </c>
      <c r="AL196" s="24">
        <f t="shared" si="55"/>
        <v>0</v>
      </c>
      <c r="AM196" s="24">
        <f t="shared" si="56"/>
        <v>0</v>
      </c>
      <c r="AN196" s="55">
        <f t="shared" si="57"/>
        <v>0</v>
      </c>
      <c r="AO196" s="55">
        <f t="shared" si="58"/>
        <v>0</v>
      </c>
      <c r="AP196" s="24"/>
      <c r="AQ196" s="24"/>
      <c r="AR196" s="24"/>
      <c r="AS196" s="24"/>
      <c r="AT196" s="24"/>
      <c r="AU196" s="24"/>
      <c r="AV196" s="24"/>
      <c r="AW196" s="24"/>
      <c r="AX196" s="24"/>
      <c r="AY196" s="24"/>
    </row>
    <row r="197" spans="7:51">
      <c r="G197" s="12">
        <f t="shared" si="45"/>
        <v>0</v>
      </c>
      <c r="H197" s="12">
        <f t="shared" si="84"/>
        <v>0</v>
      </c>
      <c r="I197" s="12">
        <f t="shared" si="84"/>
        <v>0</v>
      </c>
      <c r="J197" s="12">
        <f t="shared" si="84"/>
        <v>0</v>
      </c>
      <c r="K197" s="12">
        <f t="shared" si="47"/>
        <v>0</v>
      </c>
      <c r="L197" s="12">
        <f t="shared" si="85"/>
        <v>0</v>
      </c>
      <c r="M197" s="12">
        <f t="shared" si="85"/>
        <v>0</v>
      </c>
      <c r="N197" s="12">
        <f t="shared" si="85"/>
        <v>0</v>
      </c>
      <c r="O197" s="12">
        <f t="shared" si="49"/>
        <v>0</v>
      </c>
      <c r="P197" s="12">
        <f t="shared" si="86"/>
        <v>0</v>
      </c>
      <c r="Q197" s="12">
        <f t="shared" si="86"/>
        <v>0</v>
      </c>
      <c r="T197" s="61"/>
      <c r="U197" s="61"/>
      <c r="V197" s="61"/>
      <c r="W197" s="53">
        <f t="shared" si="51"/>
        <v>0</v>
      </c>
      <c r="X197" s="54" t="e">
        <f t="shared" si="52"/>
        <v>#DIV/0!</v>
      </c>
      <c r="Y197" s="595">
        <f t="shared" si="59"/>
        <v>0</v>
      </c>
      <c r="Z197" s="54">
        <f t="shared" si="64"/>
        <v>0</v>
      </c>
      <c r="AA197" s="54">
        <f t="shared" si="79"/>
        <v>0</v>
      </c>
      <c r="AB197" s="54">
        <f t="shared" si="79"/>
        <v>0</v>
      </c>
      <c r="AC197" s="54">
        <f t="shared" si="79"/>
        <v>0</v>
      </c>
      <c r="AD197" s="54">
        <f t="shared" si="79"/>
        <v>0</v>
      </c>
      <c r="AE197" s="54">
        <f t="shared" si="79"/>
        <v>0</v>
      </c>
      <c r="AF197" s="54">
        <f t="shared" si="79"/>
        <v>0</v>
      </c>
      <c r="AG197" s="54">
        <f t="shared" si="79"/>
        <v>0</v>
      </c>
      <c r="AH197" s="54">
        <f t="shared" si="79"/>
        <v>0</v>
      </c>
      <c r="AI197" s="54">
        <f t="shared" si="79"/>
        <v>0</v>
      </c>
      <c r="AJ197" s="54">
        <f t="shared" si="79"/>
        <v>0</v>
      </c>
      <c r="AK197" s="54">
        <f t="shared" ref="AK197" si="97">IF($E98+365&lt;$C$56,0,IF($E98&lt;$C$56,(($E98+365-$C$56)/365)*(($C98/$BN$157)+($D98/$BN$158)),IF($E98&gt;AK$166,0,IF($E98+365&lt;AK$166,($C98/$BN$157)+($D98/$BN$158),((AK$166-$E98)/365)*(($C98/$BN$157)+($D98/$BN$158))))))</f>
        <v>0</v>
      </c>
      <c r="AL197" s="24">
        <f t="shared" si="55"/>
        <v>0</v>
      </c>
      <c r="AM197" s="24">
        <f t="shared" si="56"/>
        <v>0</v>
      </c>
      <c r="AN197" s="55">
        <f t="shared" si="57"/>
        <v>0</v>
      </c>
      <c r="AO197" s="55">
        <f t="shared" si="58"/>
        <v>0</v>
      </c>
      <c r="AP197" s="24"/>
      <c r="AQ197" s="24"/>
      <c r="AR197" s="24"/>
      <c r="AS197" s="24"/>
      <c r="AT197" s="24"/>
      <c r="AU197" s="24"/>
      <c r="AV197" s="24"/>
      <c r="AW197" s="24"/>
      <c r="AX197" s="24"/>
      <c r="AY197" s="24"/>
    </row>
    <row r="198" spans="7:51">
      <c r="G198" s="12">
        <f t="shared" si="45"/>
        <v>0</v>
      </c>
      <c r="H198" s="12">
        <f t="shared" si="84"/>
        <v>0</v>
      </c>
      <c r="I198" s="12">
        <f t="shared" si="84"/>
        <v>0</v>
      </c>
      <c r="J198" s="12">
        <f t="shared" si="84"/>
        <v>0</v>
      </c>
      <c r="K198" s="12">
        <f t="shared" si="47"/>
        <v>0</v>
      </c>
      <c r="L198" s="12">
        <f t="shared" si="85"/>
        <v>0</v>
      </c>
      <c r="M198" s="12">
        <f t="shared" si="85"/>
        <v>0</v>
      </c>
      <c r="N198" s="12">
        <f t="shared" si="85"/>
        <v>0</v>
      </c>
      <c r="O198" s="12">
        <f t="shared" si="49"/>
        <v>0</v>
      </c>
      <c r="P198" s="12">
        <f t="shared" si="86"/>
        <v>0</v>
      </c>
      <c r="Q198" s="12">
        <f t="shared" si="86"/>
        <v>0</v>
      </c>
      <c r="T198" s="61"/>
      <c r="U198" s="61"/>
      <c r="V198" s="61"/>
      <c r="W198" s="53">
        <f t="shared" si="51"/>
        <v>0</v>
      </c>
      <c r="X198" s="54" t="e">
        <f t="shared" si="52"/>
        <v>#DIV/0!</v>
      </c>
      <c r="Y198" s="595">
        <f t="shared" si="59"/>
        <v>0</v>
      </c>
      <c r="Z198" s="54">
        <f t="shared" si="64"/>
        <v>0</v>
      </c>
      <c r="AA198" s="54">
        <f t="shared" si="79"/>
        <v>0</v>
      </c>
      <c r="AB198" s="54">
        <f t="shared" si="79"/>
        <v>0</v>
      </c>
      <c r="AC198" s="54">
        <f t="shared" si="79"/>
        <v>0</v>
      </c>
      <c r="AD198" s="54">
        <f t="shared" si="79"/>
        <v>0</v>
      </c>
      <c r="AE198" s="54">
        <f t="shared" si="79"/>
        <v>0</v>
      </c>
      <c r="AF198" s="54">
        <f t="shared" si="79"/>
        <v>0</v>
      </c>
      <c r="AG198" s="54">
        <f t="shared" si="79"/>
        <v>0</v>
      </c>
      <c r="AH198" s="54">
        <f t="shared" si="79"/>
        <v>0</v>
      </c>
      <c r="AI198" s="54">
        <f t="shared" si="79"/>
        <v>0</v>
      </c>
      <c r="AJ198" s="54">
        <f t="shared" si="79"/>
        <v>0</v>
      </c>
      <c r="AK198" s="54">
        <f t="shared" ref="AK198" si="98">IF($E99+365&lt;$C$56,0,IF($E99&lt;$C$56,(($E99+365-$C$56)/365)*(($C99/$BN$157)+($D99/$BN$158)),IF($E99&gt;AK$166,0,IF($E99+365&lt;AK$166,($C99/$BN$157)+($D99/$BN$158),((AK$166-$E99)/365)*(($C99/$BN$157)+($D99/$BN$158))))))</f>
        <v>0</v>
      </c>
      <c r="AL198" s="24">
        <f t="shared" si="55"/>
        <v>0</v>
      </c>
      <c r="AM198" s="24">
        <f t="shared" si="56"/>
        <v>0</v>
      </c>
      <c r="AN198" s="55">
        <f t="shared" si="57"/>
        <v>0</v>
      </c>
      <c r="AO198" s="55">
        <f t="shared" si="58"/>
        <v>0</v>
      </c>
      <c r="AP198" s="24"/>
      <c r="AQ198" s="24"/>
      <c r="AR198" s="24"/>
      <c r="AS198" s="24"/>
      <c r="AT198" s="24"/>
      <c r="AU198" s="24"/>
      <c r="AV198" s="24"/>
      <c r="AW198" s="24"/>
      <c r="AX198" s="24"/>
      <c r="AY198" s="24"/>
    </row>
    <row r="199" spans="7:51">
      <c r="G199" s="12">
        <f t="shared" si="45"/>
        <v>0</v>
      </c>
      <c r="H199" s="12">
        <f t="shared" si="84"/>
        <v>0</v>
      </c>
      <c r="I199" s="12">
        <f t="shared" si="84"/>
        <v>0</v>
      </c>
      <c r="J199" s="12">
        <f t="shared" si="84"/>
        <v>0</v>
      </c>
      <c r="K199" s="12">
        <f t="shared" si="47"/>
        <v>0</v>
      </c>
      <c r="L199" s="12">
        <f t="shared" si="85"/>
        <v>0</v>
      </c>
      <c r="M199" s="12">
        <f t="shared" si="85"/>
        <v>0</v>
      </c>
      <c r="N199" s="12">
        <f t="shared" si="85"/>
        <v>0</v>
      </c>
      <c r="O199" s="12">
        <f t="shared" si="49"/>
        <v>0</v>
      </c>
      <c r="P199" s="12">
        <f t="shared" si="86"/>
        <v>0</v>
      </c>
      <c r="Q199" s="12">
        <f t="shared" si="86"/>
        <v>0</v>
      </c>
      <c r="T199" s="61"/>
      <c r="U199" s="61"/>
      <c r="V199" s="61"/>
      <c r="W199" s="53">
        <f t="shared" si="51"/>
        <v>0</v>
      </c>
      <c r="X199" s="54" t="e">
        <f t="shared" si="52"/>
        <v>#DIV/0!</v>
      </c>
      <c r="Y199" s="595">
        <f t="shared" si="59"/>
        <v>0</v>
      </c>
      <c r="Z199" s="54">
        <f t="shared" si="64"/>
        <v>0</v>
      </c>
      <c r="AA199" s="54">
        <f t="shared" ref="AA199:AJ213" si="99">IF($E100+365&lt;$C$56,0,IF($E100&lt;$C$56,(($E100+365-$C$56)/365)*(($C100/$BN$157)+($D100/$BN$158)),IF($E100&gt;AA$166,0,IF($E100+365&lt;AA$166,($C100/$BN$157)+($D100/$BN$158),((AA$166-$E100)/365)*(($C100/$BN$157)+($D100/$BN$158))))))</f>
        <v>0</v>
      </c>
      <c r="AB199" s="54">
        <f t="shared" si="99"/>
        <v>0</v>
      </c>
      <c r="AC199" s="54">
        <f t="shared" si="99"/>
        <v>0</v>
      </c>
      <c r="AD199" s="54">
        <f t="shared" si="99"/>
        <v>0</v>
      </c>
      <c r="AE199" s="54">
        <f t="shared" si="99"/>
        <v>0</v>
      </c>
      <c r="AF199" s="54">
        <f t="shared" si="99"/>
        <v>0</v>
      </c>
      <c r="AG199" s="54">
        <f t="shared" si="99"/>
        <v>0</v>
      </c>
      <c r="AH199" s="54">
        <f t="shared" si="99"/>
        <v>0</v>
      </c>
      <c r="AI199" s="54">
        <f t="shared" si="99"/>
        <v>0</v>
      </c>
      <c r="AJ199" s="54">
        <f t="shared" si="99"/>
        <v>0</v>
      </c>
      <c r="AK199" s="54">
        <f t="shared" ref="AK199" si="100">IF($E100+365&lt;$C$56,0,IF($E100&lt;$C$56,(($E100+365-$C$56)/365)*(($C100/$BN$157)+($D100/$BN$158)),IF($E100&gt;AK$166,0,IF($E100+365&lt;AK$166,($C100/$BN$157)+($D100/$BN$158),((AK$166-$E100)/365)*(($C100/$BN$157)+($D100/$BN$158))))))</f>
        <v>0</v>
      </c>
      <c r="AL199" s="24">
        <f t="shared" si="55"/>
        <v>0</v>
      </c>
      <c r="AM199" s="24">
        <f t="shared" si="56"/>
        <v>0</v>
      </c>
      <c r="AN199" s="55">
        <f t="shared" si="57"/>
        <v>0</v>
      </c>
      <c r="AO199" s="55">
        <f t="shared" si="58"/>
        <v>0</v>
      </c>
      <c r="AP199" s="24"/>
      <c r="AQ199" s="24"/>
      <c r="AR199" s="24"/>
      <c r="AS199" s="24"/>
      <c r="AT199" s="24"/>
      <c r="AU199" s="24"/>
      <c r="AV199" s="24"/>
      <c r="AW199" s="24"/>
      <c r="AX199" s="24"/>
      <c r="AY199" s="24"/>
    </row>
    <row r="200" spans="7:51">
      <c r="G200" s="12">
        <f t="shared" si="45"/>
        <v>0</v>
      </c>
      <c r="H200" s="12">
        <f t="shared" si="84"/>
        <v>0</v>
      </c>
      <c r="I200" s="12">
        <f t="shared" si="84"/>
        <v>0</v>
      </c>
      <c r="J200" s="12">
        <f t="shared" si="84"/>
        <v>0</v>
      </c>
      <c r="K200" s="12">
        <f t="shared" si="47"/>
        <v>0</v>
      </c>
      <c r="L200" s="12">
        <f t="shared" si="85"/>
        <v>0</v>
      </c>
      <c r="M200" s="12">
        <f t="shared" si="85"/>
        <v>0</v>
      </c>
      <c r="N200" s="12">
        <f t="shared" si="85"/>
        <v>0</v>
      </c>
      <c r="O200" s="12">
        <f t="shared" si="49"/>
        <v>0</v>
      </c>
      <c r="P200" s="12">
        <f t="shared" si="86"/>
        <v>0</v>
      </c>
      <c r="Q200" s="12">
        <f t="shared" si="86"/>
        <v>0</v>
      </c>
      <c r="T200" s="61"/>
      <c r="U200" s="61"/>
      <c r="V200" s="61"/>
      <c r="W200" s="53">
        <f t="shared" si="51"/>
        <v>0</v>
      </c>
      <c r="X200" s="54" t="e">
        <f t="shared" si="52"/>
        <v>#DIV/0!</v>
      </c>
      <c r="Y200" s="595">
        <f t="shared" si="59"/>
        <v>0</v>
      </c>
      <c r="Z200" s="54">
        <f t="shared" si="64"/>
        <v>0</v>
      </c>
      <c r="AA200" s="54">
        <f t="shared" si="99"/>
        <v>0</v>
      </c>
      <c r="AB200" s="54">
        <f t="shared" si="99"/>
        <v>0</v>
      </c>
      <c r="AC200" s="54">
        <f t="shared" si="99"/>
        <v>0</v>
      </c>
      <c r="AD200" s="54">
        <f t="shared" si="99"/>
        <v>0</v>
      </c>
      <c r="AE200" s="54">
        <f t="shared" si="99"/>
        <v>0</v>
      </c>
      <c r="AF200" s="54">
        <f t="shared" si="99"/>
        <v>0</v>
      </c>
      <c r="AG200" s="54">
        <f t="shared" si="99"/>
        <v>0</v>
      </c>
      <c r="AH200" s="54">
        <f t="shared" si="99"/>
        <v>0</v>
      </c>
      <c r="AI200" s="54">
        <f t="shared" si="99"/>
        <v>0</v>
      </c>
      <c r="AJ200" s="54">
        <f t="shared" si="99"/>
        <v>0</v>
      </c>
      <c r="AK200" s="54">
        <f t="shared" ref="AK200" si="101">IF($E101+365&lt;$C$56,0,IF($E101&lt;$C$56,(($E101+365-$C$56)/365)*(($C101/$BN$157)+($D101/$BN$158)),IF($E101&gt;AK$166,0,IF($E101+365&lt;AK$166,($C101/$BN$157)+($D101/$BN$158),((AK$166-$E101)/365)*(($C101/$BN$157)+($D101/$BN$158))))))</f>
        <v>0</v>
      </c>
      <c r="AL200" s="24">
        <f t="shared" si="55"/>
        <v>0</v>
      </c>
      <c r="AM200" s="24">
        <f t="shared" si="56"/>
        <v>0</v>
      </c>
      <c r="AN200" s="55">
        <f t="shared" si="57"/>
        <v>0</v>
      </c>
      <c r="AO200" s="55">
        <f t="shared" si="58"/>
        <v>0</v>
      </c>
      <c r="AP200" s="24"/>
      <c r="AQ200" s="24"/>
      <c r="AR200" s="24"/>
      <c r="AS200" s="24"/>
      <c r="AT200" s="24"/>
      <c r="AU200" s="24"/>
      <c r="AV200" s="24"/>
      <c r="AW200" s="24"/>
      <c r="AX200" s="24"/>
      <c r="AY200" s="24"/>
    </row>
    <row r="201" spans="7:51">
      <c r="G201" s="12">
        <f t="shared" si="45"/>
        <v>0</v>
      </c>
      <c r="H201" s="12">
        <f t="shared" si="84"/>
        <v>0</v>
      </c>
      <c r="I201" s="12">
        <f t="shared" si="84"/>
        <v>0</v>
      </c>
      <c r="J201" s="12">
        <f t="shared" si="84"/>
        <v>0</v>
      </c>
      <c r="K201" s="12">
        <f t="shared" si="47"/>
        <v>0</v>
      </c>
      <c r="L201" s="12">
        <f t="shared" si="85"/>
        <v>0</v>
      </c>
      <c r="M201" s="12">
        <f t="shared" si="85"/>
        <v>0</v>
      </c>
      <c r="N201" s="12">
        <f t="shared" si="85"/>
        <v>0</v>
      </c>
      <c r="O201" s="12">
        <f t="shared" si="49"/>
        <v>0</v>
      </c>
      <c r="P201" s="12">
        <f t="shared" si="86"/>
        <v>0</v>
      </c>
      <c r="Q201" s="12">
        <f t="shared" si="86"/>
        <v>0</v>
      </c>
      <c r="T201" s="61"/>
      <c r="U201" s="61"/>
      <c r="V201" s="61"/>
      <c r="W201" s="53">
        <f t="shared" si="51"/>
        <v>0</v>
      </c>
      <c r="X201" s="54" t="e">
        <f t="shared" si="52"/>
        <v>#DIV/0!</v>
      </c>
      <c r="Y201" s="25">
        <f t="shared" ref="Y201:Y213" si="102">Z201/$BH$166</f>
        <v>0</v>
      </c>
      <c r="Z201" s="54">
        <f t="shared" si="64"/>
        <v>0</v>
      </c>
      <c r="AA201" s="54">
        <f t="shared" si="99"/>
        <v>0</v>
      </c>
      <c r="AB201" s="54">
        <f t="shared" si="99"/>
        <v>0</v>
      </c>
      <c r="AC201" s="54">
        <f t="shared" si="99"/>
        <v>0</v>
      </c>
      <c r="AD201" s="54">
        <f t="shared" si="99"/>
        <v>0</v>
      </c>
      <c r="AE201" s="54">
        <f t="shared" si="99"/>
        <v>0</v>
      </c>
      <c r="AF201" s="54">
        <f t="shared" si="99"/>
        <v>0</v>
      </c>
      <c r="AG201" s="54">
        <f t="shared" si="99"/>
        <v>0</v>
      </c>
      <c r="AH201" s="54">
        <f t="shared" si="99"/>
        <v>0</v>
      </c>
      <c r="AI201" s="54">
        <f t="shared" si="99"/>
        <v>0</v>
      </c>
      <c r="AJ201" s="54">
        <f t="shared" si="99"/>
        <v>0</v>
      </c>
      <c r="AK201" s="54">
        <f t="shared" ref="AK201" si="103">IF($E102+365&lt;$C$56,0,IF($E102&lt;$C$56,(($E102+365-$C$56)/365)*(($C102/$BN$157)+($D102/$BN$158)),IF($E102&gt;AK$166,0,IF($E102+365&lt;AK$166,($C102/$BN$157)+($D102/$BN$158),((AK$166-$E102)/365)*(($C102/$BN$157)+($D102/$BN$158))))))</f>
        <v>0</v>
      </c>
      <c r="AL201" s="24">
        <f t="shared" si="55"/>
        <v>0</v>
      </c>
      <c r="AM201" s="24">
        <f t="shared" si="56"/>
        <v>0</v>
      </c>
      <c r="AN201" s="55">
        <f t="shared" si="57"/>
        <v>0</v>
      </c>
      <c r="AO201" s="55">
        <f t="shared" si="58"/>
        <v>0</v>
      </c>
      <c r="AP201" s="24"/>
      <c r="AQ201" s="24"/>
      <c r="AR201" s="24"/>
      <c r="AS201" s="24"/>
      <c r="AT201" s="24"/>
      <c r="AU201" s="24"/>
      <c r="AV201" s="24"/>
      <c r="AW201" s="24"/>
      <c r="AX201" s="24"/>
      <c r="AY201" s="24"/>
    </row>
    <row r="202" spans="7:51">
      <c r="G202" s="12">
        <f t="shared" si="45"/>
        <v>0</v>
      </c>
      <c r="H202" s="12">
        <f t="shared" si="84"/>
        <v>0</v>
      </c>
      <c r="I202" s="12">
        <f t="shared" si="84"/>
        <v>0</v>
      </c>
      <c r="J202" s="12">
        <f t="shared" si="84"/>
        <v>0</v>
      </c>
      <c r="K202" s="12">
        <f t="shared" si="47"/>
        <v>0</v>
      </c>
      <c r="L202" s="12">
        <f t="shared" si="85"/>
        <v>0</v>
      </c>
      <c r="M202" s="12">
        <f t="shared" si="85"/>
        <v>0</v>
      </c>
      <c r="N202" s="12">
        <f t="shared" si="85"/>
        <v>0</v>
      </c>
      <c r="O202" s="12">
        <f t="shared" si="49"/>
        <v>0</v>
      </c>
      <c r="P202" s="12">
        <f t="shared" si="86"/>
        <v>0</v>
      </c>
      <c r="Q202" s="12">
        <f t="shared" si="86"/>
        <v>0</v>
      </c>
      <c r="T202" s="61"/>
      <c r="U202" s="61"/>
      <c r="V202" s="61"/>
      <c r="W202" s="53">
        <f t="shared" si="51"/>
        <v>0</v>
      </c>
      <c r="X202" s="54" t="e">
        <f t="shared" si="52"/>
        <v>#DIV/0!</v>
      </c>
      <c r="Y202" s="25">
        <f t="shared" si="102"/>
        <v>0</v>
      </c>
      <c r="Z202" s="54">
        <f t="shared" si="64"/>
        <v>0</v>
      </c>
      <c r="AA202" s="54">
        <f t="shared" si="99"/>
        <v>0</v>
      </c>
      <c r="AB202" s="54">
        <f t="shared" si="99"/>
        <v>0</v>
      </c>
      <c r="AC202" s="54">
        <f t="shared" si="99"/>
        <v>0</v>
      </c>
      <c r="AD202" s="54">
        <f t="shared" si="99"/>
        <v>0</v>
      </c>
      <c r="AE202" s="54">
        <f t="shared" si="99"/>
        <v>0</v>
      </c>
      <c r="AF202" s="54">
        <f t="shared" si="99"/>
        <v>0</v>
      </c>
      <c r="AG202" s="54">
        <f t="shared" si="99"/>
        <v>0</v>
      </c>
      <c r="AH202" s="54">
        <f t="shared" si="99"/>
        <v>0</v>
      </c>
      <c r="AI202" s="54">
        <f t="shared" si="99"/>
        <v>0</v>
      </c>
      <c r="AJ202" s="54">
        <f t="shared" si="99"/>
        <v>0</v>
      </c>
      <c r="AK202" s="54">
        <f t="shared" ref="AK202" si="104">IF($E103+365&lt;$C$56,0,IF($E103&lt;$C$56,(($E103+365-$C$56)/365)*(($C103/$BN$157)+($D103/$BN$158)),IF($E103&gt;AK$166,0,IF($E103+365&lt;AK$166,($C103/$BN$157)+($D103/$BN$158),((AK$166-$E103)/365)*(($C103/$BN$157)+($D103/$BN$158))))))</f>
        <v>0</v>
      </c>
      <c r="AL202" s="24">
        <f t="shared" si="55"/>
        <v>0</v>
      </c>
      <c r="AM202" s="24">
        <f t="shared" si="56"/>
        <v>0</v>
      </c>
      <c r="AN202" s="55">
        <f t="shared" si="57"/>
        <v>0</v>
      </c>
      <c r="AO202" s="55">
        <f t="shared" si="58"/>
        <v>0</v>
      </c>
      <c r="AP202" s="24"/>
      <c r="AQ202" s="24"/>
      <c r="AR202" s="24"/>
      <c r="AS202" s="24"/>
      <c r="AT202" s="24"/>
      <c r="AU202" s="24"/>
      <c r="AV202" s="24"/>
      <c r="AW202" s="24"/>
      <c r="AX202" s="24"/>
      <c r="AY202" s="24"/>
    </row>
    <row r="203" spans="7:51">
      <c r="G203" s="12">
        <f t="shared" si="45"/>
        <v>0</v>
      </c>
      <c r="H203" s="12">
        <f t="shared" si="84"/>
        <v>0</v>
      </c>
      <c r="I203" s="12">
        <f t="shared" si="84"/>
        <v>0</v>
      </c>
      <c r="J203" s="12">
        <f t="shared" si="84"/>
        <v>0</v>
      </c>
      <c r="K203" s="12">
        <f t="shared" si="47"/>
        <v>0</v>
      </c>
      <c r="L203" s="12">
        <f t="shared" si="85"/>
        <v>0</v>
      </c>
      <c r="M203" s="12">
        <f t="shared" si="85"/>
        <v>0</v>
      </c>
      <c r="N203" s="12">
        <f t="shared" si="85"/>
        <v>0</v>
      </c>
      <c r="O203" s="12">
        <f t="shared" si="49"/>
        <v>0</v>
      </c>
      <c r="P203" s="12">
        <f t="shared" si="86"/>
        <v>0</v>
      </c>
      <c r="Q203" s="12">
        <f t="shared" si="86"/>
        <v>0</v>
      </c>
      <c r="T203" s="61"/>
      <c r="U203" s="61"/>
      <c r="V203" s="61"/>
      <c r="W203" s="53">
        <f t="shared" si="51"/>
        <v>0</v>
      </c>
      <c r="X203" s="54" t="e">
        <f t="shared" si="52"/>
        <v>#DIV/0!</v>
      </c>
      <c r="Y203" s="25">
        <f t="shared" si="102"/>
        <v>0</v>
      </c>
      <c r="Z203" s="54">
        <f t="shared" si="64"/>
        <v>0</v>
      </c>
      <c r="AA203" s="54">
        <f t="shared" si="99"/>
        <v>0</v>
      </c>
      <c r="AB203" s="54">
        <f t="shared" si="99"/>
        <v>0</v>
      </c>
      <c r="AC203" s="54">
        <f t="shared" si="99"/>
        <v>0</v>
      </c>
      <c r="AD203" s="54">
        <f t="shared" si="99"/>
        <v>0</v>
      </c>
      <c r="AE203" s="54">
        <f t="shared" si="99"/>
        <v>0</v>
      </c>
      <c r="AF203" s="54">
        <f t="shared" si="99"/>
        <v>0</v>
      </c>
      <c r="AG203" s="54">
        <f t="shared" si="99"/>
        <v>0</v>
      </c>
      <c r="AH203" s="54">
        <f t="shared" si="99"/>
        <v>0</v>
      </c>
      <c r="AI203" s="54">
        <f t="shared" si="99"/>
        <v>0</v>
      </c>
      <c r="AJ203" s="54">
        <f t="shared" si="99"/>
        <v>0</v>
      </c>
      <c r="AK203" s="54">
        <f t="shared" ref="AK203" si="105">IF($E104+365&lt;$C$56,0,IF($E104&lt;$C$56,(($E104+365-$C$56)/365)*(($C104/$BN$157)+($D104/$BN$158)),IF($E104&gt;AK$166,0,IF($E104+365&lt;AK$166,($C104/$BN$157)+($D104/$BN$158),((AK$166-$E104)/365)*(($C104/$BN$157)+($D104/$BN$158))))))</f>
        <v>0</v>
      </c>
      <c r="AL203" s="24">
        <f t="shared" si="55"/>
        <v>0</v>
      </c>
      <c r="AM203" s="24">
        <f t="shared" si="56"/>
        <v>0</v>
      </c>
      <c r="AN203" s="55">
        <f t="shared" si="57"/>
        <v>0</v>
      </c>
      <c r="AO203" s="55">
        <f t="shared" si="58"/>
        <v>0</v>
      </c>
      <c r="AP203" s="24"/>
      <c r="AQ203" s="24"/>
      <c r="AR203" s="24"/>
      <c r="AS203" s="24"/>
      <c r="AT203" s="24"/>
      <c r="AU203" s="24"/>
      <c r="AV203" s="24"/>
      <c r="AW203" s="24"/>
      <c r="AX203" s="24"/>
      <c r="AY203" s="24"/>
    </row>
    <row r="204" spans="7:51">
      <c r="G204" s="12">
        <f t="shared" si="45"/>
        <v>0</v>
      </c>
      <c r="H204" s="12">
        <f t="shared" si="84"/>
        <v>0</v>
      </c>
      <c r="I204" s="12">
        <f t="shared" si="84"/>
        <v>0</v>
      </c>
      <c r="J204" s="12">
        <f t="shared" si="84"/>
        <v>0</v>
      </c>
      <c r="K204" s="12">
        <f t="shared" si="47"/>
        <v>0</v>
      </c>
      <c r="L204" s="12">
        <f t="shared" si="85"/>
        <v>0</v>
      </c>
      <c r="M204" s="12">
        <f t="shared" si="85"/>
        <v>0</v>
      </c>
      <c r="N204" s="12">
        <f t="shared" si="85"/>
        <v>0</v>
      </c>
      <c r="O204" s="12">
        <f t="shared" si="49"/>
        <v>0</v>
      </c>
      <c r="P204" s="12">
        <f t="shared" si="86"/>
        <v>0</v>
      </c>
      <c r="Q204" s="12">
        <f t="shared" si="86"/>
        <v>0</v>
      </c>
      <c r="T204" s="61"/>
      <c r="U204" s="61"/>
      <c r="V204" s="61"/>
      <c r="W204" s="53">
        <f t="shared" si="51"/>
        <v>0</v>
      </c>
      <c r="X204" s="54" t="e">
        <f t="shared" si="52"/>
        <v>#DIV/0!</v>
      </c>
      <c r="Y204" s="25">
        <f t="shared" si="102"/>
        <v>0</v>
      </c>
      <c r="Z204" s="54">
        <f t="shared" si="64"/>
        <v>0</v>
      </c>
      <c r="AA204" s="54">
        <f t="shared" si="99"/>
        <v>0</v>
      </c>
      <c r="AB204" s="54">
        <f t="shared" si="99"/>
        <v>0</v>
      </c>
      <c r="AC204" s="54">
        <f t="shared" si="99"/>
        <v>0</v>
      </c>
      <c r="AD204" s="54">
        <f t="shared" si="99"/>
        <v>0</v>
      </c>
      <c r="AE204" s="54">
        <f t="shared" si="99"/>
        <v>0</v>
      </c>
      <c r="AF204" s="54">
        <f t="shared" si="99"/>
        <v>0</v>
      </c>
      <c r="AG204" s="54">
        <f t="shared" si="99"/>
        <v>0</v>
      </c>
      <c r="AH204" s="54">
        <f t="shared" si="99"/>
        <v>0</v>
      </c>
      <c r="AI204" s="54">
        <f t="shared" si="99"/>
        <v>0</v>
      </c>
      <c r="AJ204" s="54">
        <f t="shared" si="99"/>
        <v>0</v>
      </c>
      <c r="AK204" s="54">
        <f t="shared" ref="AK204" si="106">IF($E105+365&lt;$C$56,0,IF($E105&lt;$C$56,(($E105+365-$C$56)/365)*(($C105/$BN$157)+($D105/$BN$158)),IF($E105&gt;AK$166,0,IF($E105+365&lt;AK$166,($C105/$BN$157)+($D105/$BN$158),((AK$166-$E105)/365)*(($C105/$BN$157)+($D105/$BN$158))))))</f>
        <v>0</v>
      </c>
      <c r="AL204" s="24">
        <f t="shared" si="55"/>
        <v>0</v>
      </c>
      <c r="AM204" s="24">
        <f t="shared" si="56"/>
        <v>0</v>
      </c>
      <c r="AN204" s="55">
        <f t="shared" si="57"/>
        <v>0</v>
      </c>
      <c r="AO204" s="55">
        <f t="shared" si="58"/>
        <v>0</v>
      </c>
      <c r="AP204" s="24"/>
      <c r="AQ204" s="24"/>
      <c r="AR204" s="24"/>
      <c r="AS204" s="24"/>
      <c r="AT204" s="24"/>
      <c r="AU204" s="24"/>
      <c r="AV204" s="24"/>
      <c r="AW204" s="24"/>
      <c r="AX204" s="24"/>
      <c r="AY204" s="24"/>
    </row>
    <row r="205" spans="7:51">
      <c r="G205" s="12">
        <f t="shared" si="45"/>
        <v>0</v>
      </c>
      <c r="H205" s="12">
        <f t="shared" si="84"/>
        <v>0</v>
      </c>
      <c r="I205" s="12">
        <f t="shared" si="84"/>
        <v>0</v>
      </c>
      <c r="J205" s="12">
        <f t="shared" si="84"/>
        <v>0</v>
      </c>
      <c r="K205" s="12">
        <f t="shared" si="47"/>
        <v>0</v>
      </c>
      <c r="L205" s="12">
        <f t="shared" si="85"/>
        <v>0</v>
      </c>
      <c r="M205" s="12">
        <f t="shared" si="85"/>
        <v>0</v>
      </c>
      <c r="N205" s="12">
        <f t="shared" si="85"/>
        <v>0</v>
      </c>
      <c r="O205" s="12">
        <f t="shared" si="49"/>
        <v>0</v>
      </c>
      <c r="P205" s="12">
        <f t="shared" si="86"/>
        <v>0</v>
      </c>
      <c r="Q205" s="12">
        <f t="shared" si="86"/>
        <v>0</v>
      </c>
      <c r="T205" s="61"/>
      <c r="U205" s="61"/>
      <c r="V205" s="61"/>
      <c r="W205" s="53">
        <f t="shared" si="51"/>
        <v>0</v>
      </c>
      <c r="X205" s="54" t="e">
        <f t="shared" si="52"/>
        <v>#DIV/0!</v>
      </c>
      <c r="Y205" s="25">
        <f t="shared" si="102"/>
        <v>0</v>
      </c>
      <c r="Z205" s="54">
        <f t="shared" si="64"/>
        <v>0</v>
      </c>
      <c r="AA205" s="54">
        <f t="shared" si="99"/>
        <v>0</v>
      </c>
      <c r="AB205" s="54">
        <f t="shared" si="99"/>
        <v>0</v>
      </c>
      <c r="AC205" s="54">
        <f t="shared" si="99"/>
        <v>0</v>
      </c>
      <c r="AD205" s="54">
        <f t="shared" si="99"/>
        <v>0</v>
      </c>
      <c r="AE205" s="54">
        <f t="shared" si="99"/>
        <v>0</v>
      </c>
      <c r="AF205" s="54">
        <f t="shared" si="99"/>
        <v>0</v>
      </c>
      <c r="AG205" s="54">
        <f t="shared" si="99"/>
        <v>0</v>
      </c>
      <c r="AH205" s="54">
        <f t="shared" si="99"/>
        <v>0</v>
      </c>
      <c r="AI205" s="54">
        <f t="shared" si="99"/>
        <v>0</v>
      </c>
      <c r="AJ205" s="54">
        <f t="shared" si="99"/>
        <v>0</v>
      </c>
      <c r="AK205" s="54">
        <f t="shared" ref="AK205" si="107">IF($E106+365&lt;$C$56,0,IF($E106&lt;$C$56,(($E106+365-$C$56)/365)*(($C106/$BN$157)+($D106/$BN$158)),IF($E106&gt;AK$166,0,IF($E106+365&lt;AK$166,($C106/$BN$157)+($D106/$BN$158),((AK$166-$E106)/365)*(($C106/$BN$157)+($D106/$BN$158))))))</f>
        <v>0</v>
      </c>
      <c r="AL205" s="24">
        <f t="shared" si="55"/>
        <v>0</v>
      </c>
      <c r="AM205" s="24">
        <f t="shared" si="56"/>
        <v>0</v>
      </c>
      <c r="AN205" s="55">
        <f t="shared" si="57"/>
        <v>0</v>
      </c>
      <c r="AO205" s="55">
        <f t="shared" si="58"/>
        <v>0</v>
      </c>
      <c r="AP205" s="24"/>
      <c r="AQ205" s="24"/>
      <c r="AR205" s="24"/>
      <c r="AS205" s="24"/>
      <c r="AT205" s="24"/>
      <c r="AU205" s="24"/>
      <c r="AV205" s="24"/>
      <c r="AW205" s="24"/>
      <c r="AX205" s="24"/>
      <c r="AY205" s="24"/>
    </row>
    <row r="206" spans="7:51">
      <c r="G206" s="12">
        <f t="shared" si="45"/>
        <v>0</v>
      </c>
      <c r="H206" s="12">
        <f t="shared" si="84"/>
        <v>0</v>
      </c>
      <c r="I206" s="12">
        <f t="shared" si="84"/>
        <v>0</v>
      </c>
      <c r="J206" s="12">
        <f t="shared" si="84"/>
        <v>0</v>
      </c>
      <c r="K206" s="12">
        <f t="shared" si="47"/>
        <v>0</v>
      </c>
      <c r="L206" s="12">
        <f t="shared" si="85"/>
        <v>0</v>
      </c>
      <c r="M206" s="12">
        <f t="shared" si="85"/>
        <v>0</v>
      </c>
      <c r="N206" s="12">
        <f t="shared" si="85"/>
        <v>0</v>
      </c>
      <c r="O206" s="12">
        <f t="shared" si="49"/>
        <v>0</v>
      </c>
      <c r="P206" s="12">
        <f t="shared" si="86"/>
        <v>0</v>
      </c>
      <c r="Q206" s="12">
        <f t="shared" si="86"/>
        <v>0</v>
      </c>
      <c r="T206" s="61"/>
      <c r="U206" s="61"/>
      <c r="V206" s="61"/>
      <c r="W206" s="53">
        <f t="shared" si="51"/>
        <v>0</v>
      </c>
      <c r="X206" s="54" t="e">
        <f t="shared" si="52"/>
        <v>#DIV/0!</v>
      </c>
      <c r="Y206" s="25">
        <f t="shared" si="102"/>
        <v>0</v>
      </c>
      <c r="Z206" s="54">
        <f t="shared" si="64"/>
        <v>0</v>
      </c>
      <c r="AA206" s="54">
        <f t="shared" si="99"/>
        <v>0</v>
      </c>
      <c r="AB206" s="54">
        <f t="shared" si="99"/>
        <v>0</v>
      </c>
      <c r="AC206" s="54">
        <f t="shared" si="99"/>
        <v>0</v>
      </c>
      <c r="AD206" s="54">
        <f t="shared" si="99"/>
        <v>0</v>
      </c>
      <c r="AE206" s="54">
        <f t="shared" si="99"/>
        <v>0</v>
      </c>
      <c r="AF206" s="54">
        <f t="shared" si="99"/>
        <v>0</v>
      </c>
      <c r="AG206" s="54">
        <f t="shared" si="99"/>
        <v>0</v>
      </c>
      <c r="AH206" s="54">
        <f t="shared" si="99"/>
        <v>0</v>
      </c>
      <c r="AI206" s="54">
        <f t="shared" si="99"/>
        <v>0</v>
      </c>
      <c r="AJ206" s="54">
        <f t="shared" si="99"/>
        <v>0</v>
      </c>
      <c r="AK206" s="54">
        <f t="shared" ref="AK206" si="108">IF($E107+365&lt;$C$56,0,IF($E107&lt;$C$56,(($E107+365-$C$56)/365)*(($C107/$BN$157)+($D107/$BN$158)),IF($E107&gt;AK$166,0,IF($E107+365&lt;AK$166,($C107/$BN$157)+($D107/$BN$158),((AK$166-$E107)/365)*(($C107/$BN$157)+($D107/$BN$158))))))</f>
        <v>0</v>
      </c>
      <c r="AL206" s="24">
        <f t="shared" si="55"/>
        <v>0</v>
      </c>
      <c r="AM206" s="24">
        <f t="shared" si="56"/>
        <v>0</v>
      </c>
      <c r="AN206" s="55">
        <f t="shared" si="57"/>
        <v>0</v>
      </c>
      <c r="AO206" s="55">
        <f t="shared" si="58"/>
        <v>0</v>
      </c>
      <c r="AP206" s="24"/>
      <c r="AQ206" s="24"/>
      <c r="AR206" s="24"/>
      <c r="AS206" s="24"/>
      <c r="AT206" s="24"/>
      <c r="AU206" s="24"/>
      <c r="AV206" s="24"/>
      <c r="AW206" s="24"/>
      <c r="AX206" s="24"/>
      <c r="AY206" s="24"/>
    </row>
    <row r="207" spans="7:51">
      <c r="G207" s="12">
        <f t="shared" si="45"/>
        <v>0</v>
      </c>
      <c r="H207" s="12">
        <f t="shared" ref="H207:J209" si="109">IF($E109&gt;H$66,0,IF($E109&lt;H$66-365,$C109,0))</f>
        <v>0</v>
      </c>
      <c r="I207" s="12">
        <f t="shared" si="109"/>
        <v>0</v>
      </c>
      <c r="J207" s="12">
        <f t="shared" si="109"/>
        <v>0</v>
      </c>
      <c r="K207" s="12">
        <f t="shared" si="47"/>
        <v>0</v>
      </c>
      <c r="L207" s="12">
        <f t="shared" ref="L207:N209" si="110">IF($E109&gt;L$66,0,IF($E109&lt;L$66-365,$C109,0))</f>
        <v>0</v>
      </c>
      <c r="M207" s="12">
        <f t="shared" si="110"/>
        <v>0</v>
      </c>
      <c r="N207" s="12">
        <f t="shared" si="110"/>
        <v>0</v>
      </c>
      <c r="O207" s="12">
        <f t="shared" si="49"/>
        <v>0</v>
      </c>
      <c r="P207" s="12">
        <f t="shared" ref="P207:Q209" si="111">IF($E109&gt;P$66,0,IF($E109&lt;P$66-365,$C109,0))</f>
        <v>0</v>
      </c>
      <c r="Q207" s="12">
        <f t="shared" si="111"/>
        <v>0</v>
      </c>
      <c r="T207" s="61"/>
      <c r="U207" s="61"/>
      <c r="V207" s="61"/>
      <c r="W207" s="53">
        <f t="shared" si="51"/>
        <v>0</v>
      </c>
      <c r="X207" s="54" t="e">
        <f t="shared" si="52"/>
        <v>#DIV/0!</v>
      </c>
      <c r="Y207" s="25">
        <f t="shared" si="102"/>
        <v>0</v>
      </c>
      <c r="Z207" s="54">
        <f t="shared" si="64"/>
        <v>0</v>
      </c>
      <c r="AA207" s="54">
        <f t="shared" si="99"/>
        <v>0</v>
      </c>
      <c r="AB207" s="54">
        <f t="shared" si="99"/>
        <v>0</v>
      </c>
      <c r="AC207" s="54">
        <f t="shared" si="99"/>
        <v>0</v>
      </c>
      <c r="AD207" s="54">
        <f t="shared" si="99"/>
        <v>0</v>
      </c>
      <c r="AE207" s="54">
        <f t="shared" si="99"/>
        <v>0</v>
      </c>
      <c r="AF207" s="54">
        <f t="shared" si="99"/>
        <v>0</v>
      </c>
      <c r="AG207" s="54">
        <f t="shared" si="99"/>
        <v>0</v>
      </c>
      <c r="AH207" s="54">
        <f t="shared" si="99"/>
        <v>0</v>
      </c>
      <c r="AI207" s="54">
        <f t="shared" si="99"/>
        <v>0</v>
      </c>
      <c r="AJ207" s="54">
        <f t="shared" si="99"/>
        <v>0</v>
      </c>
      <c r="AK207" s="54">
        <f t="shared" ref="AK207" si="112">IF($E108+365&lt;$C$56,0,IF($E108&lt;$C$56,(($E108+365-$C$56)/365)*(($C108/$BN$157)+($D108/$BN$158)),IF($E108&gt;AK$166,0,IF($E108+365&lt;AK$166,($C108/$BN$157)+($D108/$BN$158),((AK$166-$E108)/365)*(($C108/$BN$157)+($D108/$BN$158))))))</f>
        <v>0</v>
      </c>
      <c r="AL207" s="24">
        <f t="shared" si="55"/>
        <v>0</v>
      </c>
      <c r="AM207" s="24">
        <f t="shared" si="56"/>
        <v>0</v>
      </c>
      <c r="AN207" s="55">
        <f t="shared" si="57"/>
        <v>0</v>
      </c>
      <c r="AO207" s="55">
        <f t="shared" si="58"/>
        <v>0</v>
      </c>
      <c r="AP207" s="24"/>
      <c r="AQ207" s="24"/>
      <c r="AR207" s="24"/>
      <c r="AS207" s="24"/>
      <c r="AT207" s="24"/>
      <c r="AU207" s="24"/>
      <c r="AV207" s="24"/>
      <c r="AW207" s="24"/>
      <c r="AX207" s="24"/>
      <c r="AY207" s="24"/>
    </row>
    <row r="208" spans="7:51">
      <c r="G208" s="12">
        <f t="shared" si="45"/>
        <v>0</v>
      </c>
      <c r="H208" s="12">
        <f t="shared" si="109"/>
        <v>0</v>
      </c>
      <c r="I208" s="12">
        <f t="shared" si="109"/>
        <v>0</v>
      </c>
      <c r="J208" s="12">
        <f t="shared" si="109"/>
        <v>0</v>
      </c>
      <c r="K208" s="12">
        <f t="shared" si="47"/>
        <v>0</v>
      </c>
      <c r="L208" s="12">
        <f t="shared" si="110"/>
        <v>0</v>
      </c>
      <c r="M208" s="12">
        <f t="shared" si="110"/>
        <v>0</v>
      </c>
      <c r="N208" s="12">
        <f t="shared" si="110"/>
        <v>0</v>
      </c>
      <c r="O208" s="12">
        <f t="shared" si="49"/>
        <v>0</v>
      </c>
      <c r="P208" s="12">
        <f t="shared" si="111"/>
        <v>0</v>
      </c>
      <c r="Q208" s="12">
        <f t="shared" si="111"/>
        <v>0</v>
      </c>
      <c r="T208" s="61"/>
      <c r="U208" s="61"/>
      <c r="V208" s="61"/>
      <c r="W208" s="53">
        <f t="shared" si="51"/>
        <v>0</v>
      </c>
      <c r="X208" s="54" t="e">
        <f t="shared" si="52"/>
        <v>#DIV/0!</v>
      </c>
      <c r="Y208" s="25">
        <f t="shared" si="102"/>
        <v>0</v>
      </c>
      <c r="Z208" s="54">
        <f t="shared" si="64"/>
        <v>0</v>
      </c>
      <c r="AA208" s="54">
        <f t="shared" si="99"/>
        <v>0</v>
      </c>
      <c r="AB208" s="54">
        <f t="shared" si="99"/>
        <v>0</v>
      </c>
      <c r="AC208" s="54">
        <f t="shared" si="99"/>
        <v>0</v>
      </c>
      <c r="AD208" s="54">
        <f t="shared" si="99"/>
        <v>0</v>
      </c>
      <c r="AE208" s="54">
        <f t="shared" si="99"/>
        <v>0</v>
      </c>
      <c r="AF208" s="54">
        <f t="shared" si="99"/>
        <v>0</v>
      </c>
      <c r="AG208" s="54">
        <f t="shared" si="99"/>
        <v>0</v>
      </c>
      <c r="AH208" s="54">
        <f t="shared" si="99"/>
        <v>0</v>
      </c>
      <c r="AI208" s="54">
        <f t="shared" si="99"/>
        <v>0</v>
      </c>
      <c r="AJ208" s="54">
        <f t="shared" si="99"/>
        <v>0</v>
      </c>
      <c r="AK208" s="54">
        <f t="shared" ref="AK208" si="113">IF($E109+365&lt;$C$56,0,IF($E109&lt;$C$56,(($E109+365-$C$56)/365)*(($C109/$BN$157)+($D109/$BN$158)),IF($E109&gt;AK$166,0,IF($E109+365&lt;AK$166,($C109/$BN$157)+($D109/$BN$158),((AK$166-$E109)/365)*(($C109/$BN$157)+($D109/$BN$158))))))</f>
        <v>0</v>
      </c>
      <c r="AL208" s="24">
        <f t="shared" si="55"/>
        <v>0</v>
      </c>
      <c r="AM208" s="24">
        <f t="shared" si="56"/>
        <v>0</v>
      </c>
      <c r="AN208" s="55">
        <f t="shared" si="57"/>
        <v>0</v>
      </c>
      <c r="AO208" s="55">
        <f t="shared" si="58"/>
        <v>0</v>
      </c>
      <c r="AP208" s="24"/>
      <c r="AQ208" s="24"/>
      <c r="AR208" s="24"/>
      <c r="AS208" s="24"/>
      <c r="AT208" s="24"/>
      <c r="AU208" s="24"/>
      <c r="AV208" s="24"/>
      <c r="AW208" s="24"/>
      <c r="AX208" s="24"/>
      <c r="AY208" s="24"/>
    </row>
    <row r="209" spans="6:51">
      <c r="G209" s="12">
        <f t="shared" si="45"/>
        <v>0</v>
      </c>
      <c r="H209" s="12">
        <f t="shared" si="109"/>
        <v>0</v>
      </c>
      <c r="I209" s="12">
        <f t="shared" si="109"/>
        <v>0</v>
      </c>
      <c r="J209" s="12">
        <f t="shared" si="109"/>
        <v>0</v>
      </c>
      <c r="K209" s="12">
        <f t="shared" si="47"/>
        <v>0</v>
      </c>
      <c r="L209" s="12">
        <f t="shared" si="110"/>
        <v>0</v>
      </c>
      <c r="M209" s="12">
        <f t="shared" si="110"/>
        <v>0</v>
      </c>
      <c r="N209" s="12">
        <f t="shared" si="110"/>
        <v>0</v>
      </c>
      <c r="O209" s="12">
        <f t="shared" si="49"/>
        <v>0</v>
      </c>
      <c r="P209" s="12">
        <f t="shared" si="111"/>
        <v>0</v>
      </c>
      <c r="Q209" s="12">
        <f t="shared" si="111"/>
        <v>0</v>
      </c>
      <c r="T209" s="61"/>
      <c r="U209" s="61"/>
      <c r="V209" s="61"/>
      <c r="W209" s="53">
        <f t="shared" si="51"/>
        <v>0</v>
      </c>
      <c r="X209" s="54" t="e">
        <f t="shared" si="52"/>
        <v>#DIV/0!</v>
      </c>
      <c r="Y209" s="25">
        <f t="shared" si="102"/>
        <v>0</v>
      </c>
      <c r="Z209" s="54">
        <f t="shared" si="64"/>
        <v>0</v>
      </c>
      <c r="AA209" s="54">
        <f t="shared" si="99"/>
        <v>0</v>
      </c>
      <c r="AB209" s="54">
        <f t="shared" si="99"/>
        <v>0</v>
      </c>
      <c r="AC209" s="54">
        <f t="shared" si="99"/>
        <v>0</v>
      </c>
      <c r="AD209" s="54">
        <f t="shared" si="99"/>
        <v>0</v>
      </c>
      <c r="AE209" s="54">
        <f t="shared" si="99"/>
        <v>0</v>
      </c>
      <c r="AF209" s="54">
        <f t="shared" si="99"/>
        <v>0</v>
      </c>
      <c r="AG209" s="54">
        <f t="shared" si="99"/>
        <v>0</v>
      </c>
      <c r="AH209" s="54">
        <f t="shared" si="99"/>
        <v>0</v>
      </c>
      <c r="AI209" s="54">
        <f t="shared" si="99"/>
        <v>0</v>
      </c>
      <c r="AJ209" s="54">
        <f t="shared" si="99"/>
        <v>0</v>
      </c>
      <c r="AK209" s="54">
        <f t="shared" ref="AK209" si="114">IF($E110+365&lt;$C$56,0,IF($E110&lt;$C$56,(($E110+365-$C$56)/365)*(($C110/$BN$157)+($D110/$BN$158)),IF($E110&gt;AK$166,0,IF($E110+365&lt;AK$166,($C110/$BN$157)+($D110/$BN$158),((AK$166-$E110)/365)*(($C110/$BN$157)+($D110/$BN$158))))))</f>
        <v>0</v>
      </c>
      <c r="AL209" s="24">
        <f t="shared" si="55"/>
        <v>0</v>
      </c>
      <c r="AM209" s="24">
        <f t="shared" si="56"/>
        <v>0</v>
      </c>
      <c r="AN209" s="55">
        <f t="shared" si="57"/>
        <v>0</v>
      </c>
      <c r="AO209" s="55">
        <f t="shared" si="58"/>
        <v>0</v>
      </c>
      <c r="AP209" s="24"/>
      <c r="AQ209" s="24"/>
      <c r="AR209" s="24"/>
      <c r="AS209" s="24"/>
      <c r="AT209" s="24"/>
      <c r="AU209" s="24"/>
      <c r="AV209" s="24"/>
      <c r="AW209" s="24"/>
      <c r="AX209" s="24"/>
      <c r="AY209" s="24"/>
    </row>
    <row r="210" spans="6:51">
      <c r="T210" s="61"/>
      <c r="U210" s="61"/>
      <c r="V210" s="61"/>
      <c r="W210" s="53">
        <f t="shared" si="51"/>
        <v>0</v>
      </c>
      <c r="X210" s="54" t="e">
        <f t="shared" si="52"/>
        <v>#DIV/0!</v>
      </c>
      <c r="Y210" s="25">
        <f t="shared" si="102"/>
        <v>0</v>
      </c>
      <c r="Z210" s="54">
        <f t="shared" si="64"/>
        <v>0</v>
      </c>
      <c r="AA210" s="54">
        <f t="shared" si="99"/>
        <v>0</v>
      </c>
      <c r="AB210" s="54">
        <f t="shared" si="99"/>
        <v>0</v>
      </c>
      <c r="AC210" s="54">
        <f t="shared" si="99"/>
        <v>0</v>
      </c>
      <c r="AD210" s="54">
        <f t="shared" si="99"/>
        <v>0</v>
      </c>
      <c r="AE210" s="54">
        <f t="shared" si="99"/>
        <v>0</v>
      </c>
      <c r="AF210" s="54">
        <f t="shared" si="99"/>
        <v>0</v>
      </c>
      <c r="AG210" s="54">
        <f t="shared" si="99"/>
        <v>0</v>
      </c>
      <c r="AH210" s="54">
        <f t="shared" si="99"/>
        <v>0</v>
      </c>
      <c r="AI210" s="54">
        <f t="shared" si="99"/>
        <v>0</v>
      </c>
      <c r="AJ210" s="54">
        <f t="shared" si="99"/>
        <v>0</v>
      </c>
      <c r="AK210" s="54">
        <f t="shared" ref="AK210" si="115">IF($E111+365&lt;$C$56,0,IF($E111&lt;$C$56,(($E111+365-$C$56)/365)*(($C111/$BN$157)+($D111/$BN$158)),IF($E111&gt;AK$166,0,IF($E111+365&lt;AK$166,($C111/$BN$157)+($D111/$BN$158),((AK$166-$E111)/365)*(($C111/$BN$157)+($D111/$BN$158))))))</f>
        <v>0</v>
      </c>
      <c r="AL210" s="24">
        <f t="shared" si="55"/>
        <v>0</v>
      </c>
      <c r="AM210" s="24">
        <f t="shared" si="56"/>
        <v>0</v>
      </c>
      <c r="AN210" s="55">
        <f t="shared" si="57"/>
        <v>0</v>
      </c>
      <c r="AO210" s="55">
        <f t="shared" si="58"/>
        <v>0</v>
      </c>
      <c r="AP210" s="24"/>
      <c r="AQ210" s="24"/>
      <c r="AR210" s="24"/>
      <c r="AS210" s="24"/>
      <c r="AT210" s="24"/>
      <c r="AU210" s="24"/>
      <c r="AV210" s="24"/>
      <c r="AW210" s="24"/>
      <c r="AX210" s="24"/>
      <c r="AY210" s="24"/>
    </row>
    <row r="211" spans="6:51">
      <c r="T211" s="61"/>
      <c r="U211" s="61"/>
      <c r="V211" s="61"/>
      <c r="W211" s="53">
        <f t="shared" si="51"/>
        <v>0</v>
      </c>
      <c r="X211" s="54" t="e">
        <f t="shared" si="52"/>
        <v>#DIV/0!</v>
      </c>
      <c r="Y211" s="25">
        <f t="shared" si="102"/>
        <v>0</v>
      </c>
      <c r="Z211" s="54">
        <f t="shared" si="64"/>
        <v>0</v>
      </c>
      <c r="AA211" s="54">
        <f t="shared" si="99"/>
        <v>0</v>
      </c>
      <c r="AB211" s="54">
        <f t="shared" si="99"/>
        <v>0</v>
      </c>
      <c r="AC211" s="54">
        <f t="shared" si="99"/>
        <v>0</v>
      </c>
      <c r="AD211" s="54">
        <f t="shared" si="99"/>
        <v>0</v>
      </c>
      <c r="AE211" s="54">
        <f t="shared" si="99"/>
        <v>0</v>
      </c>
      <c r="AF211" s="54">
        <f t="shared" si="99"/>
        <v>0</v>
      </c>
      <c r="AG211" s="54">
        <f t="shared" si="99"/>
        <v>0</v>
      </c>
      <c r="AH211" s="54">
        <f t="shared" si="99"/>
        <v>0</v>
      </c>
      <c r="AI211" s="54">
        <f t="shared" si="99"/>
        <v>0</v>
      </c>
      <c r="AJ211" s="54">
        <f t="shared" si="99"/>
        <v>0</v>
      </c>
      <c r="AK211" s="54">
        <f t="shared" ref="AK211" si="116">IF($E112+365&lt;$C$56,0,IF($E112&lt;$C$56,(($E112+365-$C$56)/365)*(($C112/$BN$157)+($D112/$BN$158)),IF($E112&gt;AK$166,0,IF($E112+365&lt;AK$166,($C112/$BN$157)+($D112/$BN$158),((AK$166-$E112)/365)*(($C112/$BN$157)+($D112/$BN$158))))))</f>
        <v>0</v>
      </c>
      <c r="AL211" s="24">
        <f t="shared" si="55"/>
        <v>0</v>
      </c>
      <c r="AM211" s="24">
        <f t="shared" si="56"/>
        <v>0</v>
      </c>
      <c r="AN211" s="55">
        <f t="shared" si="57"/>
        <v>0</v>
      </c>
      <c r="AO211" s="55">
        <f t="shared" si="58"/>
        <v>0</v>
      </c>
      <c r="AP211" s="25"/>
      <c r="AQ211" s="24"/>
      <c r="AR211" s="24"/>
      <c r="AS211" s="24"/>
      <c r="AT211" s="24"/>
      <c r="AU211" s="24"/>
      <c r="AV211" s="24"/>
      <c r="AW211" s="24"/>
      <c r="AX211" s="24"/>
      <c r="AY211" s="24"/>
    </row>
    <row r="212" spans="6:51">
      <c r="T212" s="61"/>
      <c r="U212" s="61"/>
      <c r="V212" s="61"/>
      <c r="W212" s="53"/>
      <c r="X212" s="54"/>
      <c r="Y212" s="25">
        <f t="shared" si="102"/>
        <v>0</v>
      </c>
      <c r="Z212" s="54">
        <f t="shared" si="64"/>
        <v>0</v>
      </c>
      <c r="AA212" s="54">
        <f t="shared" si="99"/>
        <v>0</v>
      </c>
      <c r="AB212" s="54">
        <f t="shared" si="99"/>
        <v>0</v>
      </c>
      <c r="AC212" s="54">
        <f t="shared" si="99"/>
        <v>0</v>
      </c>
      <c r="AD212" s="54">
        <f t="shared" si="99"/>
        <v>0</v>
      </c>
      <c r="AE212" s="54">
        <f t="shared" si="99"/>
        <v>0</v>
      </c>
      <c r="AF212" s="54">
        <f t="shared" si="99"/>
        <v>0</v>
      </c>
      <c r="AG212" s="54">
        <f t="shared" si="99"/>
        <v>0</v>
      </c>
      <c r="AH212" s="54">
        <f t="shared" si="99"/>
        <v>0</v>
      </c>
      <c r="AI212" s="54">
        <f t="shared" si="99"/>
        <v>0</v>
      </c>
      <c r="AJ212" s="54">
        <f t="shared" si="99"/>
        <v>0</v>
      </c>
      <c r="AK212" s="54">
        <f t="shared" ref="AK212" si="117">IF($E113+365&lt;$C$56,0,IF($E113&lt;$C$56,(($E113+365-$C$56)/365)*(($C113/$BN$157)+($D113/$BN$158)),IF($E113&gt;AK$166,0,IF($E113+365&lt;AK$166,($C113/$BN$157)+($D113/$BN$158),((AK$166-$E113)/365)*(($C113/$BN$157)+($D113/$BN$158))))))</f>
        <v>0</v>
      </c>
      <c r="AL212" s="24">
        <f t="shared" si="55"/>
        <v>0</v>
      </c>
      <c r="AM212" s="24">
        <f t="shared" si="56"/>
        <v>0</v>
      </c>
      <c r="AN212" s="55">
        <f t="shared" si="57"/>
        <v>0</v>
      </c>
      <c r="AO212" s="55">
        <f t="shared" si="58"/>
        <v>0</v>
      </c>
      <c r="AP212" s="24"/>
      <c r="AQ212" s="24"/>
      <c r="AR212" s="24"/>
      <c r="AS212" s="24"/>
      <c r="AT212" s="24"/>
      <c r="AU212" s="24"/>
      <c r="AV212" s="24"/>
      <c r="AW212" s="24"/>
      <c r="AX212" s="24"/>
      <c r="AY212" s="24"/>
    </row>
    <row r="213" spans="6:51">
      <c r="T213" s="61"/>
      <c r="U213" s="61"/>
      <c r="V213" s="61"/>
      <c r="W213" s="53"/>
      <c r="X213" s="54"/>
      <c r="Y213" s="25">
        <f t="shared" si="102"/>
        <v>0</v>
      </c>
      <c r="Z213" s="54">
        <f t="shared" si="64"/>
        <v>0</v>
      </c>
      <c r="AA213" s="54">
        <f t="shared" si="99"/>
        <v>0</v>
      </c>
      <c r="AB213" s="54">
        <f t="shared" si="99"/>
        <v>0</v>
      </c>
      <c r="AC213" s="54">
        <f t="shared" si="99"/>
        <v>0</v>
      </c>
      <c r="AD213" s="54">
        <f t="shared" si="99"/>
        <v>0</v>
      </c>
      <c r="AE213" s="54">
        <f t="shared" si="99"/>
        <v>0</v>
      </c>
      <c r="AF213" s="54">
        <f t="shared" si="99"/>
        <v>0</v>
      </c>
      <c r="AG213" s="54">
        <f t="shared" si="99"/>
        <v>0</v>
      </c>
      <c r="AH213" s="54">
        <f t="shared" si="99"/>
        <v>0</v>
      </c>
      <c r="AI213" s="54">
        <f t="shared" si="99"/>
        <v>0</v>
      </c>
      <c r="AJ213" s="54">
        <f t="shared" si="99"/>
        <v>0</v>
      </c>
      <c r="AK213" s="54">
        <f t="shared" ref="AK213" si="118">IF($E114+365&lt;$C$56,0,IF($E114&lt;$C$56,(($E114+365-$C$56)/365)*(($C114/$BN$157)+($D114/$BN$158)),IF($E114&gt;AK$166,0,IF($E114+365&lt;AK$166,($C114/$BN$157)+($D114/$BN$158),((AK$166-$E114)/365)*(($C114/$BN$157)+($D114/$BN$158))))))</f>
        <v>0</v>
      </c>
      <c r="AL213" s="24">
        <f t="shared" si="55"/>
        <v>0</v>
      </c>
      <c r="AM213" s="24">
        <f t="shared" si="56"/>
        <v>0</v>
      </c>
      <c r="AN213" s="55">
        <f t="shared" si="57"/>
        <v>0</v>
      </c>
      <c r="AO213" s="55">
        <f t="shared" si="58"/>
        <v>0</v>
      </c>
      <c r="AP213" s="24"/>
      <c r="AQ213" s="24"/>
      <c r="AR213" s="24"/>
      <c r="AS213" s="24"/>
      <c r="AT213" s="24"/>
      <c r="AU213" s="24"/>
      <c r="AV213" s="24"/>
      <c r="AW213" s="24"/>
      <c r="AX213" s="24"/>
      <c r="AY213" s="24"/>
    </row>
    <row r="214" spans="6:51" ht="13">
      <c r="F214" s="187" t="s">
        <v>490</v>
      </c>
      <c r="G214" s="187">
        <f>SUM(G167:G213)</f>
        <v>-30</v>
      </c>
      <c r="H214" s="187">
        <f t="shared" ref="H214:Q214" si="119">SUM(H167:H213)</f>
        <v>-30</v>
      </c>
      <c r="I214" s="187">
        <f t="shared" si="119"/>
        <v>-505</v>
      </c>
      <c r="J214" s="187">
        <f t="shared" si="119"/>
        <v>-505</v>
      </c>
      <c r="K214" s="187">
        <f t="shared" si="119"/>
        <v>-530</v>
      </c>
      <c r="L214" s="187">
        <f t="shared" si="119"/>
        <v>-530</v>
      </c>
      <c r="M214" s="187">
        <f t="shared" si="119"/>
        <v>-530</v>
      </c>
      <c r="N214" s="187">
        <f t="shared" si="119"/>
        <v>-560</v>
      </c>
      <c r="O214" s="187">
        <f t="shared" si="119"/>
        <v>-1320</v>
      </c>
      <c r="P214" s="187">
        <f t="shared" si="119"/>
        <v>-1320</v>
      </c>
      <c r="Q214" s="187">
        <f t="shared" si="119"/>
        <v>-1320</v>
      </c>
      <c r="T214" s="14"/>
      <c r="U214" s="14"/>
      <c r="V214" s="14"/>
      <c r="W214" s="24"/>
      <c r="X214" s="62" t="e">
        <f>SUM(X168:X213)</f>
        <v>#DIV/0!</v>
      </c>
      <c r="Y214" s="157" t="s">
        <v>84</v>
      </c>
      <c r="AA214" s="155">
        <f>VLOOKUP($A$2,Assumptions!$B$124:$G$147,6,0)*SUM(AA167:AA213)</f>
        <v>0</v>
      </c>
      <c r="AB214" s="155">
        <f>VLOOKUP($A$2,Assumptions!$B$124:$G$147,6,0)*SUM(AB167:AB213)</f>
        <v>-0.70978950052265832</v>
      </c>
      <c r="AC214" s="155">
        <f>VLOOKUP($A$2,Assumptions!$B$124:$G$147,6,0)*SUM(AC167:AC213)</f>
        <v>-12.487878741195535</v>
      </c>
      <c r="AD214" s="155">
        <f>VLOOKUP($A$2,Assumptions!$B$124:$G$147,6,0)*SUM(AD167:AD213)</f>
        <v>-12.487878741195535</v>
      </c>
      <c r="AE214" s="155">
        <f>VLOOKUP($A$2,Assumptions!$B$124:$G$147,6,0)*SUM(AE167:AE213)</f>
        <v>-13.079369991631086</v>
      </c>
      <c r="AF214" s="155">
        <f>VLOOKUP($A$2,Assumptions!$B$124:$G$147,6,0)*SUM(AF167:AF213)</f>
        <v>-13.079369991631086</v>
      </c>
      <c r="AG214" s="155">
        <f>VLOOKUP($A$2,Assumptions!$B$124:$G$147,6,0)*SUM(AG167:AG213)</f>
        <v>-13.079369991631086</v>
      </c>
      <c r="AH214" s="155">
        <f>VLOOKUP($A$2,Assumptions!$B$124:$G$147,6,0)*SUM(AH167:AH213)</f>
        <v>-14.388887805928691</v>
      </c>
      <c r="AI214" s="155">
        <f>VLOOKUP($A$2,Assumptions!$B$124:$G$147,6,0)*SUM(AI167:AI213)</f>
        <v>-20.303800310284178</v>
      </c>
      <c r="AJ214" s="155">
        <f>VLOOKUP($A$2,Assumptions!$B$124:$G$147,6,0)*SUM(AJ167:AJ213)</f>
        <v>-32.909977301566819</v>
      </c>
      <c r="AK214" s="155">
        <f>VLOOKUP($A$2,Assumptions!$B$124:$G$147,6,0)*SUM(AK167:AK213)</f>
        <v>-32.909977301566819</v>
      </c>
      <c r="AL214" s="155">
        <f>VLOOKUP($A$2,Assumptions!$B$124:$G$147,6,0)*SUM(AL167:AL213)</f>
        <v>-990</v>
      </c>
      <c r="AM214" s="155">
        <f>VLOOKUP($A$2,Assumptions!$B$124:$G$147,6,0)*SUM(AM167:AM213)</f>
        <v>-840</v>
      </c>
      <c r="AN214" s="55">
        <f>SUM(AN167:AN213)</f>
        <v>12718040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51</v>
      </c>
      <c r="AA215" s="156">
        <f>$C$64+AA214</f>
        <v>51</v>
      </c>
      <c r="AB215" s="156">
        <f t="shared" ref="AB215:AE215" si="120">$C$64+AB214</f>
        <v>50.29021049947734</v>
      </c>
      <c r="AC215" s="156">
        <f t="shared" si="120"/>
        <v>38.512121258804463</v>
      </c>
      <c r="AD215" s="156">
        <f t="shared" si="120"/>
        <v>38.512121258804463</v>
      </c>
      <c r="AE215" s="156">
        <f t="shared" si="120"/>
        <v>37.920630008368917</v>
      </c>
      <c r="AF215" s="156">
        <f>$C$64+AF214</f>
        <v>37.920630008368917</v>
      </c>
      <c r="AG215" s="156">
        <f t="shared" ref="AG215:AJ215" si="121">$C$64+AG214</f>
        <v>37.920630008368917</v>
      </c>
      <c r="AH215" s="156">
        <f>$C$64+AH214</f>
        <v>36.61111219407131</v>
      </c>
      <c r="AI215" s="156">
        <f t="shared" si="121"/>
        <v>30.696199689715822</v>
      </c>
      <c r="AJ215" s="156">
        <f t="shared" si="121"/>
        <v>18.090022698433181</v>
      </c>
      <c r="AK215" s="156">
        <f t="shared" ref="AK215" si="122">$C$64+AK214</f>
        <v>18.090022698433181</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 si="123">IF(Z215&lt;$BB$154,(6+(1-Z215/$BB$154)),IF(Z215&lt;$BB$155,5.5+(0.5*(($BB$155-Z215)/($BB$155-$BB$154))),IF(Z215&lt;$BB$156,5-0.5*((Z215)-$BB$156)/($BB$156-$BB$155),IF(Z215&lt;$BB$157,4.5-0.5*((Z215-$BB$157)/($BB$157-$BB$156)),5-0.5*((Z215-$BB$156)/$BH$166)))))</f>
        <v>5.5342721655410259</v>
      </c>
      <c r="AA216" s="154">
        <f t="shared" ref="AA216" si="124">IF(AA215&lt;$BB$154,(6+(1-AA215/$BB$154)),IF(AA215&lt;$BB$155,5.5+(0.5*(($BB$155-AA215)/($BB$155-$BB$154))),IF(AA215&lt;$BB$156,5-0.5*((AA215)-$BB$156)/($BB$156-$BB$155),IF(AA215&lt;$BB$157,4.5-0.5*((AA215-$BB$157)/($BB$157-$BB$156)),5-0.5*((AA215-$BB$156)/$BH$166)))))</f>
        <v>5.5342721655410259</v>
      </c>
      <c r="AB216" s="154">
        <f t="shared" ref="AB216" si="125">IF(AB215&lt;$BB$154,(6+(1-AB215/$BB$154)),IF(AB215&lt;$BB$155,5.5+(0.5*(($BB$155-AB215)/($BB$155-$BB$154))),IF(AB215&lt;$BB$156,5-0.5*((AB215)-$BB$156)/($BB$156-$BB$155),IF(AB215&lt;$BB$157,4.5-0.5*((AB215-$BB$157)/($BB$157-$BB$156)),5-0.5*((AB215-$BB$156)/$BH$166)))))</f>
        <v>5.5546713464728459</v>
      </c>
      <c r="AC216" s="154">
        <f t="shared" ref="AC216" si="126">IF(AC215&lt;$BB$154,(6+(1-AC215/$BB$154)),IF(AC215&lt;$BB$155,5.5+(0.5*(($BB$155-AC215)/($BB$155-$BB$154))),IF(AC215&lt;$BB$156,5-0.5*((AC215)-$BB$156)/($BB$156-$BB$155),IF(AC215&lt;$BB$157,4.5-0.5*((AC215-$BB$157)/($BB$157-$BB$156)),5-0.5*((AC215-$BB$156)/$BH$166)))))</f>
        <v>5.8931708217041399</v>
      </c>
      <c r="AD216" s="154">
        <f t="shared" ref="AD216" si="127">IF(AD215&lt;$BB$154,(6+(1-AD215/$BB$154)),IF(AD215&lt;$BB$155,5.5+(0.5*(($BB$155-AD215)/($BB$155-$BB$154))),IF(AD215&lt;$BB$156,5-0.5*((AD215)-$BB$156)/($BB$156-$BB$155),IF(AD215&lt;$BB$157,4.5-0.5*((AD215-$BB$157)/($BB$157-$BB$156)),5-0.5*((AD215-$BB$156)/$BH$166)))))</f>
        <v>5.8931708217041399</v>
      </c>
      <c r="AE216" s="154">
        <f t="shared" ref="AE216" si="128">IF(AE215&lt;$BB$154,(6+(1-AE215/$BB$154)),IF(AE215&lt;$BB$155,5.5+(0.5*(($BB$155-AE215)/($BB$155-$BB$154))),IF(AE215&lt;$BB$156,5-0.5*((AE215)-$BB$156)/($BB$156-$BB$155),IF(AE215&lt;$BB$157,4.5-0.5*((AE215-$BB$157)/($BB$157-$BB$156)),5-0.5*((AE215-$BB$156)/$BH$166)))))</f>
        <v>5.910170139147322</v>
      </c>
      <c r="AF216" s="154">
        <f t="shared" ref="AF216" si="129">IF(AF215&lt;$BB$154,(6+(1-AF215/$BB$154)),IF(AF215&lt;$BB$155,5.5+(0.5*(($BB$155-AF215)/($BB$155-$BB$154))),IF(AF215&lt;$BB$156,5-0.5*((AF215)-$BB$156)/($BB$156-$BB$155),IF(AF215&lt;$BB$157,4.5-0.5*((AF215-$BB$157)/($BB$157-$BB$156)),5-0.5*((AF215-$BB$156)/$BH$166)))))</f>
        <v>5.910170139147322</v>
      </c>
      <c r="AG216" s="154">
        <f t="shared" ref="AG216" si="130">IF(AG215&lt;$BB$154,(6+(1-AG215/$BB$154)),IF(AG215&lt;$BB$155,5.5+(0.5*(($BB$155-AG215)/($BB$155-$BB$154))),IF(AG215&lt;$BB$156,5-0.5*((AG215)-$BB$156)/($BB$156-$BB$155),IF(AG215&lt;$BB$157,4.5-0.5*((AG215-$BB$157)/($BB$157-$BB$156)),5-0.5*((AG215-$BB$156)/$BH$166)))))</f>
        <v>5.910170139147322</v>
      </c>
      <c r="AH216" s="154">
        <f t="shared" ref="AH216:AJ216" si="131">IF(AH215&lt;$BB$154,(6+(1-AH215/$BB$154)),IF(AH215&lt;$BB$155,5.5+(0.5*(($BB$155-AH215)/($BB$155-$BB$154))),IF(AH215&lt;$BB$156,5-0.5*((AH215)-$BB$156)/($BB$156-$BB$155),IF(AH215&lt;$BB$157,4.5-0.5*((AH215-$BB$157)/($BB$157-$BB$156)),5-0.5*((AH215-$BB$156)/$BH$166)))))</f>
        <v>5.9478053687578303</v>
      </c>
      <c r="AI216" s="154">
        <f t="shared" si="131"/>
        <v>6.1177985431896591</v>
      </c>
      <c r="AJ216" s="154">
        <f t="shared" si="131"/>
        <v>6.4800970628414092</v>
      </c>
      <c r="AK216" s="154">
        <f>IF(AK215&lt;$BB$154,(6+(1-AK215/$BB$154)),IF(AK215&lt;$BB$155,5.5+(0.5*(($BB$155-AK215)/($BB$155-$BB$154))),IF(AK215&lt;$BB$156,5-0.5*((AK215)-$BB$156)/($BB$156-$BB$155),IF(AK215&lt;$BB$157,4.5-0.5*((AK215-$BB$157)/($BB$157-$BB$156)),5-0.5*((AK215-$BB$156)/$BH$166)))))</f>
        <v>6.4800970628414092</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83"/>
      <c r="AD219" s="283"/>
      <c r="AE219" s="283"/>
      <c r="AF219" s="283"/>
      <c r="AG219" s="283"/>
      <c r="AH219" s="283"/>
      <c r="AI219" s="283"/>
      <c r="AJ219" s="283"/>
      <c r="AK219" s="24"/>
      <c r="AL219" s="24"/>
      <c r="AM219" s="24"/>
      <c r="AN219" s="24"/>
      <c r="AO219" s="24"/>
      <c r="AP219" s="24"/>
      <c r="AQ219" s="24"/>
      <c r="AR219" s="24"/>
      <c r="AS219" s="24"/>
      <c r="AT219" s="24"/>
      <c r="AU219" s="24"/>
      <c r="AV219" s="24"/>
      <c r="AW219" s="24"/>
      <c r="AX219" s="24"/>
      <c r="AY219" s="24"/>
    </row>
    <row r="220" spans="6:51">
      <c r="G220" s="12">
        <f t="shared" ref="G220:G265" si="132">IF($E69&lt;G$66,$D69,0)</f>
        <v>0</v>
      </c>
      <c r="H220" s="12">
        <f t="shared" ref="H220:Q220" si="133">IF($E69&gt;H$66,0,IF($E69&lt;H$66-365,$D69,0))</f>
        <v>0</v>
      </c>
      <c r="I220" s="12">
        <f t="shared" si="133"/>
        <v>0</v>
      </c>
      <c r="J220" s="12">
        <f t="shared" si="133"/>
        <v>0</v>
      </c>
      <c r="K220" s="12">
        <f t="shared" si="133"/>
        <v>0</v>
      </c>
      <c r="L220" s="12">
        <f t="shared" si="133"/>
        <v>0</v>
      </c>
      <c r="M220" s="12">
        <f t="shared" si="133"/>
        <v>0</v>
      </c>
      <c r="N220" s="12">
        <f t="shared" si="133"/>
        <v>0</v>
      </c>
      <c r="O220" s="12">
        <f t="shared" si="133"/>
        <v>0</v>
      </c>
      <c r="P220" s="12">
        <f t="shared" si="133"/>
        <v>0</v>
      </c>
      <c r="Q220" s="12">
        <f t="shared" si="133"/>
        <v>0</v>
      </c>
      <c r="T220" s="24"/>
      <c r="U220" s="24"/>
      <c r="V220" s="24"/>
      <c r="W220" s="24"/>
      <c r="X220" s="24"/>
      <c r="Y220" s="24"/>
      <c r="Z220" s="24"/>
      <c r="AC220" s="283"/>
      <c r="AD220" s="283"/>
      <c r="AE220" s="283"/>
      <c r="AF220" s="283"/>
      <c r="AG220" s="283"/>
      <c r="AH220" s="283"/>
      <c r="AI220" s="283"/>
      <c r="AJ220" s="283"/>
      <c r="AK220" s="24"/>
      <c r="AL220" s="24"/>
      <c r="AM220" s="24"/>
      <c r="AN220" s="24"/>
      <c r="AO220" s="24"/>
      <c r="AP220" s="24"/>
      <c r="AQ220" s="24"/>
      <c r="AR220" s="24"/>
      <c r="AS220" s="24"/>
      <c r="AT220" s="24"/>
      <c r="AU220" s="24"/>
      <c r="AV220" s="24"/>
      <c r="AW220" s="24"/>
      <c r="AX220" s="24"/>
      <c r="AY220" s="24"/>
    </row>
    <row r="221" spans="6:51">
      <c r="G221" s="12">
        <f t="shared" si="132"/>
        <v>0</v>
      </c>
      <c r="H221" s="12">
        <f t="shared" ref="H221:Q221" si="134">IF($E70&gt;H$66,0,IF($E70&lt;H$66-365,$D70,0))</f>
        <v>0</v>
      </c>
      <c r="I221" s="12">
        <f t="shared" si="134"/>
        <v>0</v>
      </c>
      <c r="J221" s="12">
        <f t="shared" si="134"/>
        <v>0</v>
      </c>
      <c r="K221" s="12">
        <f t="shared" si="134"/>
        <v>0</v>
      </c>
      <c r="L221" s="12">
        <f t="shared" si="134"/>
        <v>0</v>
      </c>
      <c r="M221" s="12">
        <f t="shared" si="134"/>
        <v>0</v>
      </c>
      <c r="N221" s="12">
        <f t="shared" si="134"/>
        <v>0</v>
      </c>
      <c r="O221" s="12">
        <f t="shared" si="134"/>
        <v>0</v>
      </c>
      <c r="P221" s="12">
        <f t="shared" si="134"/>
        <v>0</v>
      </c>
      <c r="Q221" s="12">
        <f t="shared" si="134"/>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32"/>
        <v>0</v>
      </c>
      <c r="H222" s="12">
        <f t="shared" ref="H222:Q222" si="135">IF($E71&gt;H$66,0,IF($E71&lt;H$66-365,$D71,0))</f>
        <v>0</v>
      </c>
      <c r="I222" s="12">
        <f t="shared" si="135"/>
        <v>0</v>
      </c>
      <c r="J222" s="12">
        <f t="shared" si="135"/>
        <v>0</v>
      </c>
      <c r="K222" s="12">
        <f t="shared" si="135"/>
        <v>0</v>
      </c>
      <c r="L222" s="12">
        <f t="shared" si="135"/>
        <v>0</v>
      </c>
      <c r="M222" s="12">
        <f t="shared" si="135"/>
        <v>0</v>
      </c>
      <c r="N222" s="12">
        <f t="shared" si="135"/>
        <v>0</v>
      </c>
      <c r="O222" s="12">
        <f t="shared" si="135"/>
        <v>0</v>
      </c>
      <c r="P222" s="12">
        <f t="shared" si="135"/>
        <v>0</v>
      </c>
      <c r="Q222" s="12">
        <f t="shared" si="135"/>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32"/>
        <v>0</v>
      </c>
      <c r="H223" s="12">
        <f t="shared" ref="H223:Q223" si="136">IF($E72&gt;H$66,0,IF($E72&lt;H$66-365,$D72,0))</f>
        <v>0</v>
      </c>
      <c r="I223" s="12">
        <f t="shared" si="136"/>
        <v>0</v>
      </c>
      <c r="J223" s="12">
        <f t="shared" si="136"/>
        <v>0</v>
      </c>
      <c r="K223" s="12">
        <f t="shared" si="136"/>
        <v>0</v>
      </c>
      <c r="L223" s="12">
        <f t="shared" si="136"/>
        <v>0</v>
      </c>
      <c r="M223" s="12">
        <f t="shared" si="136"/>
        <v>0</v>
      </c>
      <c r="N223" s="12">
        <f t="shared" si="136"/>
        <v>0</v>
      </c>
      <c r="O223" s="12">
        <f t="shared" si="136"/>
        <v>0</v>
      </c>
      <c r="P223" s="12">
        <f t="shared" si="136"/>
        <v>0</v>
      </c>
      <c r="Q223" s="12">
        <f t="shared" si="136"/>
        <v>0</v>
      </c>
      <c r="T223" s="20"/>
      <c r="U223" s="20"/>
      <c r="V223" s="20"/>
    </row>
    <row r="224" spans="6:51">
      <c r="G224" s="12">
        <f t="shared" si="132"/>
        <v>0</v>
      </c>
      <c r="H224" s="12">
        <f t="shared" ref="H224:Q224" si="137">IF($E73&gt;H$66,0,IF($E73&lt;H$66-365,$D73,0))</f>
        <v>0</v>
      </c>
      <c r="I224" s="12">
        <f t="shared" si="137"/>
        <v>0</v>
      </c>
      <c r="J224" s="12">
        <f t="shared" si="137"/>
        <v>0</v>
      </c>
      <c r="K224" s="12">
        <f t="shared" si="137"/>
        <v>0</v>
      </c>
      <c r="L224" s="12">
        <f t="shared" si="137"/>
        <v>0</v>
      </c>
      <c r="M224" s="12">
        <f t="shared" si="137"/>
        <v>0</v>
      </c>
      <c r="N224" s="12">
        <f t="shared" si="137"/>
        <v>0</v>
      </c>
      <c r="O224" s="12">
        <f t="shared" si="137"/>
        <v>0</v>
      </c>
      <c r="P224" s="12">
        <f t="shared" si="137"/>
        <v>0</v>
      </c>
      <c r="Q224" s="12">
        <f t="shared" si="137"/>
        <v>0</v>
      </c>
      <c r="T224" s="20"/>
      <c r="U224" s="20"/>
      <c r="V224" s="20"/>
    </row>
    <row r="225" spans="7:28">
      <c r="G225" s="12">
        <f t="shared" si="132"/>
        <v>0</v>
      </c>
      <c r="H225" s="12">
        <f t="shared" ref="H225:Q225" si="138">IF($E74&gt;H$66,0,IF($E74&lt;H$66-365,$D74,0))</f>
        <v>0</v>
      </c>
      <c r="I225" s="12">
        <f t="shared" si="138"/>
        <v>-360</v>
      </c>
      <c r="J225" s="12">
        <f t="shared" si="138"/>
        <v>-360</v>
      </c>
      <c r="K225" s="12">
        <f t="shared" si="138"/>
        <v>-360</v>
      </c>
      <c r="L225" s="12">
        <f t="shared" si="138"/>
        <v>-360</v>
      </c>
      <c r="M225" s="12">
        <f t="shared" si="138"/>
        <v>-360</v>
      </c>
      <c r="N225" s="12">
        <f t="shared" si="138"/>
        <v>-360</v>
      </c>
      <c r="O225" s="12">
        <f t="shared" si="138"/>
        <v>-360</v>
      </c>
      <c r="P225" s="12">
        <f t="shared" si="138"/>
        <v>-360</v>
      </c>
      <c r="Q225" s="12">
        <f t="shared" si="138"/>
        <v>-360</v>
      </c>
      <c r="T225" s="20"/>
      <c r="U225" s="20"/>
      <c r="V225" s="20"/>
      <c r="AA225" s="55">
        <f>SUM(AN167:AN213)</f>
        <v>12718040</v>
      </c>
      <c r="AB225" s="24">
        <f>SUM(AO167:AO213)</f>
        <v>0</v>
      </c>
    </row>
    <row r="226" spans="7:28">
      <c r="G226" s="12">
        <f t="shared" si="132"/>
        <v>0</v>
      </c>
      <c r="H226" s="12">
        <f t="shared" ref="H226:Q226" si="139">IF($E75&gt;H$66,0,IF($E75&lt;H$66-365,$D75,0))</f>
        <v>0</v>
      </c>
      <c r="I226" s="12">
        <f t="shared" si="139"/>
        <v>0</v>
      </c>
      <c r="J226" s="12">
        <f t="shared" si="139"/>
        <v>0</v>
      </c>
      <c r="K226" s="12">
        <f t="shared" si="139"/>
        <v>0</v>
      </c>
      <c r="L226" s="12">
        <f t="shared" si="139"/>
        <v>0</v>
      </c>
      <c r="M226" s="12">
        <f t="shared" si="139"/>
        <v>0</v>
      </c>
      <c r="N226" s="12">
        <f t="shared" si="139"/>
        <v>0</v>
      </c>
      <c r="O226" s="12">
        <f t="shared" si="139"/>
        <v>0</v>
      </c>
      <c r="P226" s="12">
        <f t="shared" si="139"/>
        <v>0</v>
      </c>
      <c r="Q226" s="12">
        <f t="shared" si="139"/>
        <v>0</v>
      </c>
      <c r="T226" s="20"/>
      <c r="U226" s="20"/>
      <c r="V226" s="20"/>
      <c r="AA226" s="24">
        <f>AA225*1.35</f>
        <v>17169354</v>
      </c>
      <c r="AB226" s="24">
        <f>AB225*1.35</f>
        <v>0</v>
      </c>
    </row>
    <row r="227" spans="7:28">
      <c r="G227" s="12">
        <f t="shared" si="132"/>
        <v>0</v>
      </c>
      <c r="H227" s="12">
        <f t="shared" ref="H227:Q227" si="140">IF($E76&gt;H$66,0,IF($E76&lt;H$66-365,$D76,0))</f>
        <v>0</v>
      </c>
      <c r="I227" s="12">
        <f t="shared" si="140"/>
        <v>0</v>
      </c>
      <c r="J227" s="12">
        <f t="shared" si="140"/>
        <v>0</v>
      </c>
      <c r="K227" s="12">
        <f t="shared" si="140"/>
        <v>0</v>
      </c>
      <c r="L227" s="12">
        <f t="shared" si="140"/>
        <v>0</v>
      </c>
      <c r="M227" s="12">
        <f t="shared" si="140"/>
        <v>0</v>
      </c>
      <c r="N227" s="12">
        <f t="shared" si="140"/>
        <v>0</v>
      </c>
      <c r="O227" s="12">
        <f t="shared" si="140"/>
        <v>0</v>
      </c>
      <c r="P227" s="12">
        <f t="shared" si="140"/>
        <v>0</v>
      </c>
      <c r="Q227" s="12">
        <f t="shared" si="140"/>
        <v>0</v>
      </c>
    </row>
    <row r="228" spans="7:28">
      <c r="G228" s="12">
        <f t="shared" si="132"/>
        <v>0</v>
      </c>
      <c r="H228" s="12">
        <f t="shared" ref="H228:Q228" si="141">IF($E77&gt;H$66,0,IF($E77&lt;H$66-365,$D77,0))</f>
        <v>0</v>
      </c>
      <c r="I228" s="12">
        <f t="shared" si="141"/>
        <v>0</v>
      </c>
      <c r="J228" s="12">
        <f t="shared" si="141"/>
        <v>0</v>
      </c>
      <c r="K228" s="12">
        <f t="shared" si="141"/>
        <v>0</v>
      </c>
      <c r="L228" s="12">
        <f t="shared" si="141"/>
        <v>0</v>
      </c>
      <c r="M228" s="12">
        <f t="shared" si="141"/>
        <v>0</v>
      </c>
      <c r="N228" s="12">
        <f t="shared" si="141"/>
        <v>0</v>
      </c>
      <c r="O228" s="12">
        <f t="shared" si="141"/>
        <v>0</v>
      </c>
      <c r="P228" s="12">
        <f t="shared" si="141"/>
        <v>0</v>
      </c>
      <c r="Q228" s="12">
        <f t="shared" si="141"/>
        <v>0</v>
      </c>
    </row>
    <row r="229" spans="7:28">
      <c r="G229" s="12">
        <f t="shared" si="132"/>
        <v>0</v>
      </c>
      <c r="H229" s="12">
        <f t="shared" ref="H229:Q229" si="142">IF($E78&gt;H$66,0,IF($E78&lt;H$66-365,$D78,0))</f>
        <v>0</v>
      </c>
      <c r="I229" s="12">
        <f t="shared" si="142"/>
        <v>0</v>
      </c>
      <c r="J229" s="12">
        <f t="shared" si="142"/>
        <v>0</v>
      </c>
      <c r="K229" s="12">
        <f t="shared" si="142"/>
        <v>0</v>
      </c>
      <c r="L229" s="12">
        <f t="shared" si="142"/>
        <v>0</v>
      </c>
      <c r="M229" s="12">
        <f t="shared" si="142"/>
        <v>0</v>
      </c>
      <c r="N229" s="12">
        <f t="shared" si="142"/>
        <v>0</v>
      </c>
      <c r="O229" s="12">
        <f t="shared" si="142"/>
        <v>0</v>
      </c>
      <c r="P229" s="12">
        <f t="shared" si="142"/>
        <v>0</v>
      </c>
      <c r="Q229" s="12">
        <f t="shared" si="142"/>
        <v>0</v>
      </c>
    </row>
    <row r="230" spans="7:28">
      <c r="G230" s="12">
        <f t="shared" si="132"/>
        <v>0</v>
      </c>
      <c r="H230" s="12">
        <f t="shared" ref="H230:Q230" si="143">IF($E79&gt;H$66,0,IF($E79&lt;H$66-365,$D79,0))</f>
        <v>0</v>
      </c>
      <c r="I230" s="12">
        <f t="shared" si="143"/>
        <v>0</v>
      </c>
      <c r="J230" s="12">
        <f t="shared" si="143"/>
        <v>0</v>
      </c>
      <c r="K230" s="12">
        <f t="shared" si="143"/>
        <v>0</v>
      </c>
      <c r="L230" s="12">
        <f t="shared" si="143"/>
        <v>0</v>
      </c>
      <c r="M230" s="12">
        <f t="shared" si="143"/>
        <v>0</v>
      </c>
      <c r="N230" s="12">
        <f t="shared" si="143"/>
        <v>0</v>
      </c>
      <c r="O230" s="12">
        <f t="shared" si="143"/>
        <v>0</v>
      </c>
      <c r="P230" s="12">
        <f t="shared" si="143"/>
        <v>0</v>
      </c>
      <c r="Q230" s="12">
        <f t="shared" si="143"/>
        <v>0</v>
      </c>
    </row>
    <row r="231" spans="7:28">
      <c r="G231" s="12">
        <f t="shared" si="132"/>
        <v>0</v>
      </c>
      <c r="H231" s="12">
        <f t="shared" ref="H231:Q231" si="144">IF($E80&gt;H$66,0,IF($E80&lt;H$66-365,$D80,0))</f>
        <v>0</v>
      </c>
      <c r="I231" s="12">
        <f t="shared" si="144"/>
        <v>0</v>
      </c>
      <c r="J231" s="12">
        <f t="shared" si="144"/>
        <v>0</v>
      </c>
      <c r="K231" s="12">
        <f t="shared" si="144"/>
        <v>0</v>
      </c>
      <c r="L231" s="12">
        <f t="shared" si="144"/>
        <v>0</v>
      </c>
      <c r="M231" s="12">
        <f t="shared" si="144"/>
        <v>0</v>
      </c>
      <c r="N231" s="12">
        <f t="shared" si="144"/>
        <v>0</v>
      </c>
      <c r="O231" s="12">
        <f t="shared" si="144"/>
        <v>0</v>
      </c>
      <c r="P231" s="12">
        <f t="shared" si="144"/>
        <v>0</v>
      </c>
      <c r="Q231" s="12">
        <f t="shared" si="144"/>
        <v>0</v>
      </c>
    </row>
    <row r="232" spans="7:28">
      <c r="G232" s="12">
        <f t="shared" si="132"/>
        <v>0</v>
      </c>
      <c r="H232" s="12">
        <f t="shared" ref="H232:Q232" si="145">IF($E81&gt;H$66,0,IF($E81&lt;H$66-365,$D81,0))</f>
        <v>0</v>
      </c>
      <c r="I232" s="12">
        <f t="shared" si="145"/>
        <v>0</v>
      </c>
      <c r="J232" s="12">
        <f t="shared" si="145"/>
        <v>0</v>
      </c>
      <c r="K232" s="12">
        <f t="shared" si="145"/>
        <v>0</v>
      </c>
      <c r="L232" s="12">
        <f t="shared" si="145"/>
        <v>0</v>
      </c>
      <c r="M232" s="12">
        <f t="shared" si="145"/>
        <v>0</v>
      </c>
      <c r="N232" s="12">
        <f t="shared" si="145"/>
        <v>0</v>
      </c>
      <c r="O232" s="12">
        <f t="shared" si="145"/>
        <v>0</v>
      </c>
      <c r="P232" s="12">
        <f t="shared" si="145"/>
        <v>0</v>
      </c>
      <c r="Q232" s="12">
        <f t="shared" si="145"/>
        <v>0</v>
      </c>
    </row>
    <row r="233" spans="7:28">
      <c r="G233" s="12">
        <f t="shared" si="132"/>
        <v>0</v>
      </c>
      <c r="H233" s="12">
        <f t="shared" ref="H233:Q233" si="146">IF($E82&gt;H$66,0,IF($E82&lt;H$66-365,$D82,0))</f>
        <v>0</v>
      </c>
      <c r="I233" s="12">
        <f t="shared" si="146"/>
        <v>0</v>
      </c>
      <c r="J233" s="12">
        <f t="shared" si="146"/>
        <v>0</v>
      </c>
      <c r="K233" s="12">
        <f t="shared" si="146"/>
        <v>0</v>
      </c>
      <c r="L233" s="12">
        <f t="shared" si="146"/>
        <v>0</v>
      </c>
      <c r="M233" s="12">
        <f t="shared" si="146"/>
        <v>0</v>
      </c>
      <c r="N233" s="12">
        <f t="shared" si="146"/>
        <v>0</v>
      </c>
      <c r="O233" s="12">
        <f t="shared" si="146"/>
        <v>0</v>
      </c>
      <c r="P233" s="12">
        <f t="shared" si="146"/>
        <v>0</v>
      </c>
      <c r="Q233" s="12">
        <f t="shared" si="146"/>
        <v>0</v>
      </c>
    </row>
    <row r="234" spans="7:28">
      <c r="G234" s="12">
        <f t="shared" si="132"/>
        <v>0</v>
      </c>
      <c r="H234" s="12">
        <f t="shared" ref="H234:Q234" si="147">IF($E83&gt;H$66,0,IF($E83&lt;H$66-365,$D83,0))</f>
        <v>0</v>
      </c>
      <c r="I234" s="12">
        <f t="shared" si="147"/>
        <v>0</v>
      </c>
      <c r="J234" s="12">
        <f t="shared" si="147"/>
        <v>0</v>
      </c>
      <c r="K234" s="12">
        <f t="shared" si="147"/>
        <v>0</v>
      </c>
      <c r="L234" s="12">
        <f t="shared" si="147"/>
        <v>0</v>
      </c>
      <c r="M234" s="12">
        <f t="shared" si="147"/>
        <v>0</v>
      </c>
      <c r="N234" s="12">
        <f t="shared" si="147"/>
        <v>0</v>
      </c>
      <c r="O234" s="12">
        <f t="shared" si="147"/>
        <v>0</v>
      </c>
      <c r="P234" s="12">
        <f t="shared" si="147"/>
        <v>0</v>
      </c>
      <c r="Q234" s="12">
        <f t="shared" si="147"/>
        <v>0</v>
      </c>
    </row>
    <row r="235" spans="7:28">
      <c r="G235" s="12">
        <f t="shared" si="132"/>
        <v>0</v>
      </c>
      <c r="H235" s="12">
        <f t="shared" ref="H235:Q235" si="148">IF($E84&gt;H$66,0,IF($E84&lt;H$66-365,$D84,0))</f>
        <v>0</v>
      </c>
      <c r="I235" s="12">
        <f t="shared" si="148"/>
        <v>0</v>
      </c>
      <c r="J235" s="12">
        <f t="shared" si="148"/>
        <v>0</v>
      </c>
      <c r="K235" s="12">
        <f t="shared" si="148"/>
        <v>0</v>
      </c>
      <c r="L235" s="12">
        <f t="shared" si="148"/>
        <v>0</v>
      </c>
      <c r="M235" s="12">
        <f t="shared" si="148"/>
        <v>0</v>
      </c>
      <c r="N235" s="12">
        <f t="shared" si="148"/>
        <v>0</v>
      </c>
      <c r="O235" s="12">
        <f t="shared" si="148"/>
        <v>0</v>
      </c>
      <c r="P235" s="12">
        <f t="shared" si="148"/>
        <v>0</v>
      </c>
      <c r="Q235" s="12">
        <f t="shared" si="148"/>
        <v>0</v>
      </c>
    </row>
    <row r="236" spans="7:28">
      <c r="G236" s="12">
        <f t="shared" si="132"/>
        <v>0</v>
      </c>
      <c r="H236" s="12">
        <f t="shared" ref="H236:Q236" si="149">IF($E85&gt;H$66,0,IF($E85&lt;H$66-365,$D85,0))</f>
        <v>0</v>
      </c>
      <c r="I236" s="12">
        <f t="shared" si="149"/>
        <v>0</v>
      </c>
      <c r="J236" s="12">
        <f t="shared" si="149"/>
        <v>0</v>
      </c>
      <c r="K236" s="12">
        <f t="shared" si="149"/>
        <v>0</v>
      </c>
      <c r="L236" s="12">
        <f t="shared" si="149"/>
        <v>0</v>
      </c>
      <c r="M236" s="12">
        <f t="shared" si="149"/>
        <v>0</v>
      </c>
      <c r="N236" s="12">
        <f t="shared" si="149"/>
        <v>-400</v>
      </c>
      <c r="O236" s="12">
        <f t="shared" si="149"/>
        <v>-400</v>
      </c>
      <c r="P236" s="12">
        <f t="shared" si="149"/>
        <v>-400</v>
      </c>
      <c r="Q236" s="12">
        <f t="shared" si="149"/>
        <v>-400</v>
      </c>
    </row>
    <row r="237" spans="7:28">
      <c r="G237" s="12">
        <f t="shared" si="132"/>
        <v>0</v>
      </c>
      <c r="H237" s="12">
        <f t="shared" ref="H237:Q237" si="150">IF($E86&gt;H$66,0,IF($E86&lt;H$66-365,$D86,0))</f>
        <v>0</v>
      </c>
      <c r="I237" s="12">
        <f t="shared" si="150"/>
        <v>0</v>
      </c>
      <c r="J237" s="12">
        <f t="shared" si="150"/>
        <v>0</v>
      </c>
      <c r="K237" s="12">
        <f t="shared" si="150"/>
        <v>0</v>
      </c>
      <c r="L237" s="12">
        <f t="shared" si="150"/>
        <v>0</v>
      </c>
      <c r="M237" s="12">
        <f t="shared" si="150"/>
        <v>0</v>
      </c>
      <c r="N237" s="12">
        <f t="shared" si="150"/>
        <v>0</v>
      </c>
      <c r="O237" s="12">
        <f t="shared" si="150"/>
        <v>0</v>
      </c>
      <c r="P237" s="12">
        <f t="shared" si="150"/>
        <v>0</v>
      </c>
      <c r="Q237" s="12">
        <f t="shared" si="150"/>
        <v>0</v>
      </c>
    </row>
    <row r="238" spans="7:28">
      <c r="G238" s="12">
        <f t="shared" si="132"/>
        <v>0</v>
      </c>
      <c r="H238" s="12">
        <f t="shared" ref="H238:Q238" si="151">IF($E87&gt;H$66,0,IF($E87&lt;H$66-365,$D87,0))</f>
        <v>0</v>
      </c>
      <c r="I238" s="12">
        <f t="shared" si="151"/>
        <v>0</v>
      </c>
      <c r="J238" s="12">
        <f t="shared" si="151"/>
        <v>0</v>
      </c>
      <c r="K238" s="12">
        <f t="shared" si="151"/>
        <v>0</v>
      </c>
      <c r="L238" s="12">
        <f t="shared" si="151"/>
        <v>0</v>
      </c>
      <c r="M238" s="12">
        <f t="shared" si="151"/>
        <v>0</v>
      </c>
      <c r="N238" s="12">
        <f t="shared" si="151"/>
        <v>0</v>
      </c>
      <c r="O238" s="12">
        <f t="shared" si="151"/>
        <v>0</v>
      </c>
      <c r="P238" s="12">
        <f t="shared" si="151"/>
        <v>-360</v>
      </c>
      <c r="Q238" s="12">
        <f t="shared" si="151"/>
        <v>-360</v>
      </c>
    </row>
    <row r="239" spans="7:28">
      <c r="G239" s="12">
        <f t="shared" si="132"/>
        <v>0</v>
      </c>
      <c r="H239" s="12">
        <f t="shared" ref="H239:Q239" si="152">IF($E88&gt;H$66,0,IF($E88&lt;H$66-365,$D88,0))</f>
        <v>0</v>
      </c>
      <c r="I239" s="12">
        <f t="shared" si="152"/>
        <v>0</v>
      </c>
      <c r="J239" s="12">
        <f t="shared" si="152"/>
        <v>0</v>
      </c>
      <c r="K239" s="12">
        <f t="shared" si="152"/>
        <v>0</v>
      </c>
      <c r="L239" s="12">
        <f t="shared" si="152"/>
        <v>0</v>
      </c>
      <c r="M239" s="12">
        <f t="shared" si="152"/>
        <v>0</v>
      </c>
      <c r="N239" s="12">
        <f t="shared" si="152"/>
        <v>0</v>
      </c>
      <c r="O239" s="12">
        <f t="shared" si="152"/>
        <v>0</v>
      </c>
      <c r="P239" s="12">
        <f t="shared" si="152"/>
        <v>0</v>
      </c>
      <c r="Q239" s="12">
        <f t="shared" si="152"/>
        <v>0</v>
      </c>
    </row>
    <row r="240" spans="7:28">
      <c r="G240" s="12">
        <f t="shared" si="132"/>
        <v>0</v>
      </c>
      <c r="H240" s="12">
        <f t="shared" ref="H240:Q240" si="153">IF($E89&gt;H$66,0,IF($E89&lt;H$66-365,$D89,0))</f>
        <v>0</v>
      </c>
      <c r="I240" s="12">
        <f t="shared" si="153"/>
        <v>0</v>
      </c>
      <c r="J240" s="12">
        <f t="shared" si="153"/>
        <v>0</v>
      </c>
      <c r="K240" s="12">
        <f t="shared" si="153"/>
        <v>0</v>
      </c>
      <c r="L240" s="12">
        <f t="shared" si="153"/>
        <v>0</v>
      </c>
      <c r="M240" s="12">
        <f t="shared" si="153"/>
        <v>0</v>
      </c>
      <c r="N240" s="12">
        <f t="shared" si="153"/>
        <v>0</v>
      </c>
      <c r="O240" s="12">
        <f t="shared" si="153"/>
        <v>0</v>
      </c>
      <c r="P240" s="12">
        <f t="shared" si="153"/>
        <v>0</v>
      </c>
      <c r="Q240" s="12">
        <f t="shared" si="153"/>
        <v>0</v>
      </c>
    </row>
    <row r="241" spans="7:17">
      <c r="G241" s="12">
        <f t="shared" si="132"/>
        <v>0</v>
      </c>
      <c r="H241" s="12">
        <f t="shared" ref="H241:Q241" si="154">IF($E90&gt;H$66,0,IF($E90&lt;H$66-365,$D90,0))</f>
        <v>0</v>
      </c>
      <c r="I241" s="12">
        <f t="shared" si="154"/>
        <v>0</v>
      </c>
      <c r="J241" s="12">
        <f t="shared" si="154"/>
        <v>0</v>
      </c>
      <c r="K241" s="12">
        <f t="shared" si="154"/>
        <v>0</v>
      </c>
      <c r="L241" s="12">
        <f t="shared" si="154"/>
        <v>0</v>
      </c>
      <c r="M241" s="12">
        <f t="shared" si="154"/>
        <v>0</v>
      </c>
      <c r="N241" s="12">
        <f t="shared" si="154"/>
        <v>0</v>
      </c>
      <c r="O241" s="12">
        <f t="shared" si="154"/>
        <v>0</v>
      </c>
      <c r="P241" s="12">
        <f t="shared" si="154"/>
        <v>0</v>
      </c>
      <c r="Q241" s="12">
        <f t="shared" si="154"/>
        <v>0</v>
      </c>
    </row>
    <row r="242" spans="7:17">
      <c r="G242" s="12">
        <f t="shared" si="132"/>
        <v>0</v>
      </c>
      <c r="H242" s="12">
        <f t="shared" ref="H242:Q242" si="155">IF($E91&gt;H$66,0,IF($E91&lt;H$66-365,$D91,0))</f>
        <v>0</v>
      </c>
      <c r="I242" s="12">
        <f t="shared" si="155"/>
        <v>0</v>
      </c>
      <c r="J242" s="12">
        <f t="shared" si="155"/>
        <v>0</v>
      </c>
      <c r="K242" s="12">
        <f t="shared" si="155"/>
        <v>0</v>
      </c>
      <c r="L242" s="12">
        <f t="shared" si="155"/>
        <v>0</v>
      </c>
      <c r="M242" s="12">
        <f t="shared" si="155"/>
        <v>0</v>
      </c>
      <c r="N242" s="12">
        <f t="shared" si="155"/>
        <v>0</v>
      </c>
      <c r="O242" s="12">
        <f t="shared" si="155"/>
        <v>0</v>
      </c>
      <c r="P242" s="12">
        <f t="shared" si="155"/>
        <v>0</v>
      </c>
      <c r="Q242" s="12">
        <f t="shared" si="155"/>
        <v>0</v>
      </c>
    </row>
    <row r="243" spans="7:17">
      <c r="G243" s="12">
        <f t="shared" si="132"/>
        <v>0</v>
      </c>
      <c r="H243" s="12">
        <f t="shared" ref="H243:Q243" si="156">IF($E92&gt;H$66,0,IF($E92&lt;H$66-365,$D92,0))</f>
        <v>0</v>
      </c>
      <c r="I243" s="12">
        <f t="shared" si="156"/>
        <v>0</v>
      </c>
      <c r="J243" s="12">
        <f t="shared" si="156"/>
        <v>0</v>
      </c>
      <c r="K243" s="12">
        <f t="shared" si="156"/>
        <v>0</v>
      </c>
      <c r="L243" s="12">
        <f t="shared" si="156"/>
        <v>0</v>
      </c>
      <c r="M243" s="12">
        <f t="shared" si="156"/>
        <v>0</v>
      </c>
      <c r="N243" s="12">
        <f t="shared" si="156"/>
        <v>0</v>
      </c>
      <c r="O243" s="12">
        <f t="shared" si="156"/>
        <v>0</v>
      </c>
      <c r="P243" s="12">
        <f t="shared" si="156"/>
        <v>0</v>
      </c>
      <c r="Q243" s="12">
        <f t="shared" si="156"/>
        <v>0</v>
      </c>
    </row>
    <row r="244" spans="7:17">
      <c r="G244" s="12">
        <f t="shared" si="132"/>
        <v>0</v>
      </c>
      <c r="H244" s="12">
        <f t="shared" ref="H244:Q244" si="157">IF($E93&gt;H$66,0,IF($E93&lt;H$66-365,$D93,0))</f>
        <v>0</v>
      </c>
      <c r="I244" s="12">
        <f t="shared" si="157"/>
        <v>0</v>
      </c>
      <c r="J244" s="12">
        <f t="shared" si="157"/>
        <v>0</v>
      </c>
      <c r="K244" s="12">
        <f t="shared" si="157"/>
        <v>0</v>
      </c>
      <c r="L244" s="12">
        <f t="shared" si="157"/>
        <v>0</v>
      </c>
      <c r="M244" s="12">
        <f t="shared" si="157"/>
        <v>0</v>
      </c>
      <c r="N244" s="12">
        <f t="shared" si="157"/>
        <v>0</v>
      </c>
      <c r="O244" s="12">
        <f t="shared" si="157"/>
        <v>0</v>
      </c>
      <c r="P244" s="12">
        <f t="shared" si="157"/>
        <v>0</v>
      </c>
      <c r="Q244" s="12">
        <f t="shared" si="157"/>
        <v>0</v>
      </c>
    </row>
    <row r="245" spans="7:17">
      <c r="G245" s="12">
        <f t="shared" si="132"/>
        <v>0</v>
      </c>
      <c r="H245" s="12">
        <f t="shared" ref="H245:Q245" si="158">IF($E94&gt;H$66,0,IF($E94&lt;H$66-365,$D94,0))</f>
        <v>0</v>
      </c>
      <c r="I245" s="12">
        <f t="shared" si="158"/>
        <v>0</v>
      </c>
      <c r="J245" s="12">
        <f t="shared" si="158"/>
        <v>0</v>
      </c>
      <c r="K245" s="12">
        <f t="shared" si="158"/>
        <v>0</v>
      </c>
      <c r="L245" s="12">
        <f t="shared" si="158"/>
        <v>0</v>
      </c>
      <c r="M245" s="12">
        <f t="shared" si="158"/>
        <v>0</v>
      </c>
      <c r="N245" s="12">
        <f t="shared" si="158"/>
        <v>0</v>
      </c>
      <c r="O245" s="12">
        <f t="shared" si="158"/>
        <v>0</v>
      </c>
      <c r="P245" s="12">
        <f t="shared" si="158"/>
        <v>0</v>
      </c>
      <c r="Q245" s="12">
        <f t="shared" si="158"/>
        <v>0</v>
      </c>
    </row>
    <row r="246" spans="7:17">
      <c r="G246" s="12">
        <f t="shared" si="132"/>
        <v>0</v>
      </c>
      <c r="H246" s="12">
        <f t="shared" ref="H246:Q246" si="159">IF($E95&gt;H$66,0,IF($E95&lt;H$66-365,$D95,0))</f>
        <v>0</v>
      </c>
      <c r="I246" s="12">
        <f t="shared" si="159"/>
        <v>0</v>
      </c>
      <c r="J246" s="12">
        <f t="shared" si="159"/>
        <v>0</v>
      </c>
      <c r="K246" s="12">
        <f t="shared" si="159"/>
        <v>0</v>
      </c>
      <c r="L246" s="12">
        <f t="shared" si="159"/>
        <v>0</v>
      </c>
      <c r="M246" s="12">
        <f t="shared" si="159"/>
        <v>0</v>
      </c>
      <c r="N246" s="12">
        <f t="shared" si="159"/>
        <v>0</v>
      </c>
      <c r="O246" s="12">
        <f t="shared" si="159"/>
        <v>0</v>
      </c>
      <c r="P246" s="12">
        <f t="shared" si="159"/>
        <v>0</v>
      </c>
      <c r="Q246" s="12">
        <f t="shared" si="159"/>
        <v>0</v>
      </c>
    </row>
    <row r="247" spans="7:17">
      <c r="G247" s="12">
        <f t="shared" si="132"/>
        <v>0</v>
      </c>
      <c r="H247" s="12">
        <f t="shared" ref="H247:Q247" si="160">IF($E96&gt;H$66,0,IF($E96&lt;H$66-365,$D96,0))</f>
        <v>0</v>
      </c>
      <c r="I247" s="12">
        <f t="shared" si="160"/>
        <v>0</v>
      </c>
      <c r="J247" s="12">
        <f t="shared" si="160"/>
        <v>0</v>
      </c>
      <c r="K247" s="12">
        <f t="shared" si="160"/>
        <v>0</v>
      </c>
      <c r="L247" s="12">
        <f t="shared" si="160"/>
        <v>0</v>
      </c>
      <c r="M247" s="12">
        <f t="shared" si="160"/>
        <v>0</v>
      </c>
      <c r="N247" s="12">
        <f t="shared" si="160"/>
        <v>0</v>
      </c>
      <c r="O247" s="12">
        <f t="shared" si="160"/>
        <v>0</v>
      </c>
      <c r="P247" s="12">
        <f t="shared" si="160"/>
        <v>0</v>
      </c>
      <c r="Q247" s="12">
        <f t="shared" si="160"/>
        <v>0</v>
      </c>
    </row>
    <row r="248" spans="7:17">
      <c r="G248" s="12">
        <f t="shared" si="132"/>
        <v>0</v>
      </c>
      <c r="H248" s="12">
        <f t="shared" ref="H248:Q248" si="161">IF($E97&gt;H$66,0,IF($E97&lt;H$66-365,$D97,0))</f>
        <v>0</v>
      </c>
      <c r="I248" s="12">
        <f t="shared" si="161"/>
        <v>0</v>
      </c>
      <c r="J248" s="12">
        <f t="shared" si="161"/>
        <v>0</v>
      </c>
      <c r="K248" s="12">
        <f t="shared" si="161"/>
        <v>0</v>
      </c>
      <c r="L248" s="12">
        <f t="shared" si="161"/>
        <v>0</v>
      </c>
      <c r="M248" s="12">
        <f t="shared" si="161"/>
        <v>0</v>
      </c>
      <c r="N248" s="12">
        <f t="shared" si="161"/>
        <v>0</v>
      </c>
      <c r="O248" s="12">
        <f t="shared" si="161"/>
        <v>0</v>
      </c>
      <c r="P248" s="12">
        <f t="shared" si="161"/>
        <v>0</v>
      </c>
      <c r="Q248" s="12">
        <f t="shared" si="161"/>
        <v>0</v>
      </c>
    </row>
    <row r="249" spans="7:17">
      <c r="G249" s="12">
        <f t="shared" si="132"/>
        <v>0</v>
      </c>
      <c r="H249" s="12">
        <f t="shared" ref="H249:Q249" si="162">IF($E98&gt;H$66,0,IF($E98&lt;H$66-365,$D98,0))</f>
        <v>0</v>
      </c>
      <c r="I249" s="12">
        <f t="shared" si="162"/>
        <v>0</v>
      </c>
      <c r="J249" s="12">
        <f t="shared" si="162"/>
        <v>0</v>
      </c>
      <c r="K249" s="12">
        <f t="shared" si="162"/>
        <v>0</v>
      </c>
      <c r="L249" s="12">
        <f t="shared" si="162"/>
        <v>0</v>
      </c>
      <c r="M249" s="12">
        <f t="shared" si="162"/>
        <v>0</v>
      </c>
      <c r="N249" s="12">
        <f t="shared" si="162"/>
        <v>0</v>
      </c>
      <c r="O249" s="12">
        <f t="shared" si="162"/>
        <v>0</v>
      </c>
      <c r="P249" s="12">
        <f t="shared" si="162"/>
        <v>0</v>
      </c>
      <c r="Q249" s="12">
        <f t="shared" si="162"/>
        <v>0</v>
      </c>
    </row>
    <row r="250" spans="7:17">
      <c r="G250" s="12">
        <f t="shared" si="132"/>
        <v>0</v>
      </c>
      <c r="H250" s="12">
        <f t="shared" ref="H250:Q250" si="163">IF($E99&gt;H$66,0,IF($E99&lt;H$66-365,$D99,0))</f>
        <v>0</v>
      </c>
      <c r="I250" s="12">
        <f t="shared" si="163"/>
        <v>0</v>
      </c>
      <c r="J250" s="12">
        <f t="shared" si="163"/>
        <v>0</v>
      </c>
      <c r="K250" s="12">
        <f t="shared" si="163"/>
        <v>0</v>
      </c>
      <c r="L250" s="12">
        <f t="shared" si="163"/>
        <v>0</v>
      </c>
      <c r="M250" s="12">
        <f t="shared" si="163"/>
        <v>0</v>
      </c>
      <c r="N250" s="12">
        <f t="shared" si="163"/>
        <v>0</v>
      </c>
      <c r="O250" s="12">
        <f t="shared" si="163"/>
        <v>0</v>
      </c>
      <c r="P250" s="12">
        <f t="shared" si="163"/>
        <v>0</v>
      </c>
      <c r="Q250" s="12">
        <f t="shared" si="163"/>
        <v>0</v>
      </c>
    </row>
    <row r="251" spans="7:17">
      <c r="G251" s="12">
        <f t="shared" si="132"/>
        <v>0</v>
      </c>
      <c r="H251" s="12">
        <f t="shared" ref="H251:Q251" si="164">IF($E100&gt;H$66,0,IF($E100&lt;H$66-365,$D100,0))</f>
        <v>0</v>
      </c>
      <c r="I251" s="12">
        <f t="shared" si="164"/>
        <v>0</v>
      </c>
      <c r="J251" s="12">
        <f t="shared" si="164"/>
        <v>0</v>
      </c>
      <c r="K251" s="12">
        <f t="shared" si="164"/>
        <v>0</v>
      </c>
      <c r="L251" s="12">
        <f t="shared" si="164"/>
        <v>0</v>
      </c>
      <c r="M251" s="12">
        <f t="shared" si="164"/>
        <v>0</v>
      </c>
      <c r="N251" s="12">
        <f t="shared" si="164"/>
        <v>0</v>
      </c>
      <c r="O251" s="12">
        <f t="shared" si="164"/>
        <v>0</v>
      </c>
      <c r="P251" s="12">
        <f t="shared" si="164"/>
        <v>0</v>
      </c>
      <c r="Q251" s="12">
        <f t="shared" si="164"/>
        <v>0</v>
      </c>
    </row>
    <row r="252" spans="7:17">
      <c r="G252" s="12">
        <f t="shared" si="132"/>
        <v>0</v>
      </c>
      <c r="H252" s="12">
        <f t="shared" ref="H252:Q252" si="165">IF($E101&gt;H$66,0,IF($E101&lt;H$66-365,$D101,0))</f>
        <v>0</v>
      </c>
      <c r="I252" s="12">
        <f t="shared" si="165"/>
        <v>0</v>
      </c>
      <c r="J252" s="12">
        <f t="shared" si="165"/>
        <v>0</v>
      </c>
      <c r="K252" s="12">
        <f t="shared" si="165"/>
        <v>0</v>
      </c>
      <c r="L252" s="12">
        <f t="shared" si="165"/>
        <v>0</v>
      </c>
      <c r="M252" s="12">
        <f t="shared" si="165"/>
        <v>0</v>
      </c>
      <c r="N252" s="12">
        <f t="shared" si="165"/>
        <v>0</v>
      </c>
      <c r="O252" s="12">
        <f t="shared" si="165"/>
        <v>0</v>
      </c>
      <c r="P252" s="12">
        <f t="shared" si="165"/>
        <v>0</v>
      </c>
      <c r="Q252" s="12">
        <f t="shared" si="165"/>
        <v>0</v>
      </c>
    </row>
    <row r="253" spans="7:17">
      <c r="G253" s="12">
        <f t="shared" si="132"/>
        <v>0</v>
      </c>
      <c r="H253" s="12">
        <f t="shared" ref="H253:Q253" si="166">IF($E102&gt;H$66,0,IF($E102&lt;H$66-365,$D102,0))</f>
        <v>0</v>
      </c>
      <c r="I253" s="12">
        <f t="shared" si="166"/>
        <v>0</v>
      </c>
      <c r="J253" s="12">
        <f t="shared" si="166"/>
        <v>0</v>
      </c>
      <c r="K253" s="12">
        <f t="shared" si="166"/>
        <v>0</v>
      </c>
      <c r="L253" s="12">
        <f t="shared" si="166"/>
        <v>0</v>
      </c>
      <c r="M253" s="12">
        <f t="shared" si="166"/>
        <v>0</v>
      </c>
      <c r="N253" s="12">
        <f t="shared" si="166"/>
        <v>0</v>
      </c>
      <c r="O253" s="12">
        <f t="shared" si="166"/>
        <v>0</v>
      </c>
      <c r="P253" s="12">
        <f t="shared" si="166"/>
        <v>0</v>
      </c>
      <c r="Q253" s="12">
        <f t="shared" si="166"/>
        <v>0</v>
      </c>
    </row>
    <row r="254" spans="7:17">
      <c r="G254" s="12">
        <f t="shared" si="132"/>
        <v>0</v>
      </c>
      <c r="H254" s="12">
        <f t="shared" ref="H254:Q254" si="167">IF($E103&gt;H$66,0,IF($E103&lt;H$66-365,$D103,0))</f>
        <v>0</v>
      </c>
      <c r="I254" s="12">
        <f t="shared" si="167"/>
        <v>0</v>
      </c>
      <c r="J254" s="12">
        <f t="shared" si="167"/>
        <v>0</v>
      </c>
      <c r="K254" s="12">
        <f t="shared" si="167"/>
        <v>0</v>
      </c>
      <c r="L254" s="12">
        <f t="shared" si="167"/>
        <v>0</v>
      </c>
      <c r="M254" s="12">
        <f t="shared" si="167"/>
        <v>0</v>
      </c>
      <c r="N254" s="12">
        <f t="shared" si="167"/>
        <v>0</v>
      </c>
      <c r="O254" s="12">
        <f t="shared" si="167"/>
        <v>0</v>
      </c>
      <c r="P254" s="12">
        <f t="shared" si="167"/>
        <v>0</v>
      </c>
      <c r="Q254" s="12">
        <f t="shared" si="167"/>
        <v>0</v>
      </c>
    </row>
    <row r="255" spans="7:17">
      <c r="G255" s="12">
        <f t="shared" si="132"/>
        <v>0</v>
      </c>
      <c r="H255" s="12">
        <f t="shared" ref="H255:Q255" si="168">IF($E104&gt;H$66,0,IF($E104&lt;H$66-365,$D104,0))</f>
        <v>0</v>
      </c>
      <c r="I255" s="12">
        <f t="shared" si="168"/>
        <v>0</v>
      </c>
      <c r="J255" s="12">
        <f t="shared" si="168"/>
        <v>0</v>
      </c>
      <c r="K255" s="12">
        <f t="shared" si="168"/>
        <v>0</v>
      </c>
      <c r="L255" s="12">
        <f t="shared" si="168"/>
        <v>0</v>
      </c>
      <c r="M255" s="12">
        <f t="shared" si="168"/>
        <v>0</v>
      </c>
      <c r="N255" s="12">
        <f t="shared" si="168"/>
        <v>0</v>
      </c>
      <c r="O255" s="12">
        <f t="shared" si="168"/>
        <v>0</v>
      </c>
      <c r="P255" s="12">
        <f t="shared" si="168"/>
        <v>0</v>
      </c>
      <c r="Q255" s="12">
        <f t="shared" si="168"/>
        <v>0</v>
      </c>
    </row>
    <row r="256" spans="7:17">
      <c r="G256" s="12">
        <f t="shared" si="132"/>
        <v>0</v>
      </c>
      <c r="H256" s="12">
        <f t="shared" ref="H256:Q256" si="169">IF($E105&gt;H$66,0,IF($E105&lt;H$66-365,$D105,0))</f>
        <v>0</v>
      </c>
      <c r="I256" s="12">
        <f t="shared" si="169"/>
        <v>0</v>
      </c>
      <c r="J256" s="12">
        <f t="shared" si="169"/>
        <v>0</v>
      </c>
      <c r="K256" s="12">
        <f t="shared" si="169"/>
        <v>0</v>
      </c>
      <c r="L256" s="12">
        <f t="shared" si="169"/>
        <v>0</v>
      </c>
      <c r="M256" s="12">
        <f t="shared" si="169"/>
        <v>0</v>
      </c>
      <c r="N256" s="12">
        <f t="shared" si="169"/>
        <v>0</v>
      </c>
      <c r="O256" s="12">
        <f t="shared" si="169"/>
        <v>0</v>
      </c>
      <c r="P256" s="12">
        <f t="shared" si="169"/>
        <v>0</v>
      </c>
      <c r="Q256" s="12">
        <f t="shared" si="169"/>
        <v>0</v>
      </c>
    </row>
    <row r="257" spans="5:18">
      <c r="G257" s="12">
        <f t="shared" si="132"/>
        <v>0</v>
      </c>
      <c r="H257" s="12">
        <f t="shared" ref="H257:Q257" si="170">IF($E106&gt;H$66,0,IF($E106&lt;H$66-365,$D106,0))</f>
        <v>0</v>
      </c>
      <c r="I257" s="12">
        <f t="shared" si="170"/>
        <v>0</v>
      </c>
      <c r="J257" s="12">
        <f t="shared" si="170"/>
        <v>0</v>
      </c>
      <c r="K257" s="12">
        <f t="shared" si="170"/>
        <v>0</v>
      </c>
      <c r="L257" s="12">
        <f t="shared" si="170"/>
        <v>0</v>
      </c>
      <c r="M257" s="12">
        <f t="shared" si="170"/>
        <v>0</v>
      </c>
      <c r="N257" s="12">
        <f t="shared" si="170"/>
        <v>0</v>
      </c>
      <c r="O257" s="12">
        <f t="shared" si="170"/>
        <v>0</v>
      </c>
      <c r="P257" s="12">
        <f t="shared" si="170"/>
        <v>0</v>
      </c>
      <c r="Q257" s="12">
        <f t="shared" si="170"/>
        <v>0</v>
      </c>
    </row>
    <row r="258" spans="5:18">
      <c r="G258" s="12">
        <f t="shared" si="132"/>
        <v>0</v>
      </c>
      <c r="H258" s="12">
        <f t="shared" ref="H258:Q258" si="171">IF($E107&gt;H$66,0,IF($E107&lt;H$66-365,$D107,0))</f>
        <v>0</v>
      </c>
      <c r="I258" s="12">
        <f t="shared" si="171"/>
        <v>0</v>
      </c>
      <c r="J258" s="12">
        <f t="shared" si="171"/>
        <v>0</v>
      </c>
      <c r="K258" s="12">
        <f t="shared" si="171"/>
        <v>0</v>
      </c>
      <c r="L258" s="12">
        <f t="shared" si="171"/>
        <v>0</v>
      </c>
      <c r="M258" s="12">
        <f t="shared" si="171"/>
        <v>0</v>
      </c>
      <c r="N258" s="12">
        <f t="shared" si="171"/>
        <v>0</v>
      </c>
      <c r="O258" s="12">
        <f t="shared" si="171"/>
        <v>0</v>
      </c>
      <c r="P258" s="12">
        <f t="shared" si="171"/>
        <v>0</v>
      </c>
      <c r="Q258" s="12">
        <f t="shared" si="171"/>
        <v>0</v>
      </c>
    </row>
    <row r="259" spans="5:18">
      <c r="G259" s="12">
        <f t="shared" si="132"/>
        <v>0</v>
      </c>
      <c r="H259" s="12">
        <f t="shared" ref="H259:Q259" si="172">IF($E108&gt;H$66,0,IF($E108&lt;H$66-365,$D108,0))</f>
        <v>0</v>
      </c>
      <c r="I259" s="12">
        <f t="shared" si="172"/>
        <v>0</v>
      </c>
      <c r="J259" s="12">
        <f t="shared" si="172"/>
        <v>0</v>
      </c>
      <c r="K259" s="12">
        <f t="shared" si="172"/>
        <v>0</v>
      </c>
      <c r="L259" s="12">
        <f t="shared" si="172"/>
        <v>0</v>
      </c>
      <c r="M259" s="12">
        <f t="shared" si="172"/>
        <v>0</v>
      </c>
      <c r="N259" s="12">
        <f t="shared" si="172"/>
        <v>0</v>
      </c>
      <c r="O259" s="12">
        <f t="shared" si="172"/>
        <v>0</v>
      </c>
      <c r="P259" s="12">
        <f t="shared" si="172"/>
        <v>0</v>
      </c>
      <c r="Q259" s="12">
        <f t="shared" si="172"/>
        <v>0</v>
      </c>
    </row>
    <row r="260" spans="5:18">
      <c r="G260" s="12">
        <f t="shared" si="132"/>
        <v>0</v>
      </c>
      <c r="H260" s="12">
        <f t="shared" ref="H260:Q260" si="173">IF($E109&gt;H$66,0,IF($E109&lt;H$66-365,$D109,0))</f>
        <v>0</v>
      </c>
      <c r="I260" s="12">
        <f t="shared" si="173"/>
        <v>0</v>
      </c>
      <c r="J260" s="12">
        <f t="shared" si="173"/>
        <v>0</v>
      </c>
      <c r="K260" s="12">
        <f t="shared" si="173"/>
        <v>0</v>
      </c>
      <c r="L260" s="12">
        <f t="shared" si="173"/>
        <v>0</v>
      </c>
      <c r="M260" s="12">
        <f t="shared" si="173"/>
        <v>0</v>
      </c>
      <c r="N260" s="12">
        <f t="shared" si="173"/>
        <v>0</v>
      </c>
      <c r="O260" s="12">
        <f t="shared" si="173"/>
        <v>0</v>
      </c>
      <c r="P260" s="12">
        <f t="shared" si="173"/>
        <v>0</v>
      </c>
      <c r="Q260" s="12">
        <f t="shared" si="173"/>
        <v>0</v>
      </c>
    </row>
    <row r="261" spans="5:18">
      <c r="G261" s="12">
        <f t="shared" si="132"/>
        <v>0</v>
      </c>
      <c r="H261" s="12">
        <f t="shared" ref="H261:Q261" si="174">IF($E110&gt;H$66,0,IF($E110&lt;H$66-365,$D110,0))</f>
        <v>0</v>
      </c>
      <c r="I261" s="12">
        <f t="shared" si="174"/>
        <v>0</v>
      </c>
      <c r="J261" s="12">
        <f t="shared" si="174"/>
        <v>0</v>
      </c>
      <c r="K261" s="12">
        <f t="shared" si="174"/>
        <v>0</v>
      </c>
      <c r="L261" s="12">
        <f t="shared" si="174"/>
        <v>0</v>
      </c>
      <c r="M261" s="12">
        <f t="shared" si="174"/>
        <v>0</v>
      </c>
      <c r="N261" s="12">
        <f t="shared" si="174"/>
        <v>0</v>
      </c>
      <c r="O261" s="12">
        <f t="shared" si="174"/>
        <v>0</v>
      </c>
      <c r="P261" s="12">
        <f t="shared" si="174"/>
        <v>0</v>
      </c>
      <c r="Q261" s="12">
        <f t="shared" si="174"/>
        <v>0</v>
      </c>
    </row>
    <row r="262" spans="5:18">
      <c r="G262" s="12">
        <f t="shared" si="132"/>
        <v>0</v>
      </c>
      <c r="H262" s="12">
        <f t="shared" ref="H262:Q262" si="175">IF($E111&gt;H$66,0,IF($E111&lt;H$66-365,$D111,0))</f>
        <v>0</v>
      </c>
      <c r="I262" s="12">
        <f t="shared" si="175"/>
        <v>0</v>
      </c>
      <c r="J262" s="12">
        <f t="shared" si="175"/>
        <v>0</v>
      </c>
      <c r="K262" s="12">
        <f t="shared" si="175"/>
        <v>0</v>
      </c>
      <c r="L262" s="12">
        <f t="shared" si="175"/>
        <v>0</v>
      </c>
      <c r="M262" s="12">
        <f t="shared" si="175"/>
        <v>0</v>
      </c>
      <c r="N262" s="12">
        <f t="shared" si="175"/>
        <v>0</v>
      </c>
      <c r="O262" s="12">
        <f t="shared" si="175"/>
        <v>0</v>
      </c>
      <c r="P262" s="12">
        <f t="shared" si="175"/>
        <v>0</v>
      </c>
      <c r="Q262" s="12">
        <f t="shared" si="175"/>
        <v>0</v>
      </c>
    </row>
    <row r="263" spans="5:18">
      <c r="G263" s="12">
        <f t="shared" si="132"/>
        <v>0</v>
      </c>
      <c r="H263" s="12">
        <f t="shared" ref="H263:Q263" si="176">IF($E112&gt;H$66,0,IF($E112&lt;H$66-365,$D112,0))</f>
        <v>0</v>
      </c>
      <c r="I263" s="12">
        <f t="shared" si="176"/>
        <v>0</v>
      </c>
      <c r="J263" s="12">
        <f t="shared" si="176"/>
        <v>0</v>
      </c>
      <c r="K263" s="12">
        <f t="shared" si="176"/>
        <v>0</v>
      </c>
      <c r="L263" s="12">
        <f t="shared" si="176"/>
        <v>0</v>
      </c>
      <c r="M263" s="12">
        <f t="shared" si="176"/>
        <v>0</v>
      </c>
      <c r="N263" s="12">
        <f t="shared" si="176"/>
        <v>0</v>
      </c>
      <c r="O263" s="12">
        <f t="shared" si="176"/>
        <v>0</v>
      </c>
      <c r="P263" s="12">
        <f t="shared" si="176"/>
        <v>0</v>
      </c>
      <c r="Q263" s="12">
        <f t="shared" si="176"/>
        <v>0</v>
      </c>
    </row>
    <row r="264" spans="5:18">
      <c r="G264" s="12">
        <f t="shared" si="132"/>
        <v>0</v>
      </c>
      <c r="H264" s="12">
        <f t="shared" ref="H264:Q264" si="177">IF($E113&gt;H$66,0,IF($E113&lt;H$66-365,$D113,0))</f>
        <v>0</v>
      </c>
      <c r="I264" s="12">
        <f t="shared" si="177"/>
        <v>0</v>
      </c>
      <c r="J264" s="12">
        <f t="shared" si="177"/>
        <v>0</v>
      </c>
      <c r="K264" s="12">
        <f t="shared" si="177"/>
        <v>0</v>
      </c>
      <c r="L264" s="12">
        <f t="shared" si="177"/>
        <v>0</v>
      </c>
      <c r="M264" s="12">
        <f t="shared" si="177"/>
        <v>0</v>
      </c>
      <c r="N264" s="12">
        <f t="shared" si="177"/>
        <v>0</v>
      </c>
      <c r="O264" s="12">
        <f t="shared" si="177"/>
        <v>0</v>
      </c>
      <c r="P264" s="12">
        <f t="shared" si="177"/>
        <v>0</v>
      </c>
      <c r="Q264" s="12">
        <f t="shared" si="177"/>
        <v>0</v>
      </c>
    </row>
    <row r="265" spans="5:18">
      <c r="G265" s="12">
        <f t="shared" si="132"/>
        <v>0</v>
      </c>
      <c r="H265" s="12">
        <f t="shared" ref="H265:Q265" si="178">IF($E114&gt;H$66,0,IF($E114&lt;H$66-365,$D114,0))</f>
        <v>0</v>
      </c>
      <c r="I265" s="12">
        <f t="shared" si="178"/>
        <v>0</v>
      </c>
      <c r="J265" s="12">
        <f t="shared" si="178"/>
        <v>0</v>
      </c>
      <c r="K265" s="12">
        <f t="shared" si="178"/>
        <v>0</v>
      </c>
      <c r="L265" s="12">
        <f t="shared" si="178"/>
        <v>0</v>
      </c>
      <c r="M265" s="12">
        <f t="shared" si="178"/>
        <v>0</v>
      </c>
      <c r="N265" s="12">
        <f t="shared" si="178"/>
        <v>0</v>
      </c>
      <c r="O265" s="12">
        <f t="shared" si="178"/>
        <v>0</v>
      </c>
      <c r="P265" s="12">
        <f t="shared" si="178"/>
        <v>0</v>
      </c>
      <c r="Q265" s="12">
        <f t="shared" si="178"/>
        <v>0</v>
      </c>
    </row>
    <row r="267" spans="5:18">
      <c r="F267" s="187" t="s">
        <v>493</v>
      </c>
      <c r="G267" s="187">
        <f>SUM(G220:G265)</f>
        <v>0</v>
      </c>
      <c r="H267" s="187">
        <f t="shared" ref="H267:Q267" si="179">SUM(H220:H265)</f>
        <v>0</v>
      </c>
      <c r="I267" s="187">
        <f t="shared" si="179"/>
        <v>-360</v>
      </c>
      <c r="J267" s="187">
        <f t="shared" si="179"/>
        <v>-360</v>
      </c>
      <c r="K267" s="187">
        <f t="shared" si="179"/>
        <v>-360</v>
      </c>
      <c r="L267" s="187">
        <f t="shared" si="179"/>
        <v>-360</v>
      </c>
      <c r="M267" s="187">
        <f t="shared" si="179"/>
        <v>-360</v>
      </c>
      <c r="N267" s="187">
        <f t="shared" si="179"/>
        <v>-760</v>
      </c>
      <c r="O267" s="187">
        <f t="shared" si="179"/>
        <v>-760</v>
      </c>
      <c r="P267" s="187">
        <f t="shared" si="179"/>
        <v>-1120</v>
      </c>
      <c r="Q267" s="187">
        <f t="shared" si="179"/>
        <v>-1120</v>
      </c>
    </row>
    <row r="271" spans="5:18">
      <c r="F271" s="207" t="s">
        <v>486</v>
      </c>
      <c r="G271" s="206">
        <f>G66</f>
        <v>45473</v>
      </c>
      <c r="H271" s="206">
        <f t="shared" ref="H271:Q271" si="180">H66</f>
        <v>45838</v>
      </c>
      <c r="I271" s="206">
        <f t="shared" si="180"/>
        <v>46203</v>
      </c>
      <c r="J271" s="206">
        <f t="shared" si="180"/>
        <v>46568</v>
      </c>
      <c r="K271" s="206">
        <f t="shared" si="180"/>
        <v>46934</v>
      </c>
      <c r="L271" s="206">
        <f t="shared" si="180"/>
        <v>47299</v>
      </c>
      <c r="M271" s="206">
        <f t="shared" si="180"/>
        <v>47664</v>
      </c>
      <c r="N271" s="206">
        <f t="shared" si="180"/>
        <v>48029</v>
      </c>
      <c r="O271" s="206">
        <f t="shared" si="180"/>
        <v>48395</v>
      </c>
      <c r="P271" s="206">
        <f t="shared" si="180"/>
        <v>48760</v>
      </c>
      <c r="Q271" s="206">
        <f t="shared" si="180"/>
        <v>49125</v>
      </c>
      <c r="R271" s="206">
        <f t="shared" ref="R271" si="181">Q271+365</f>
        <v>49490</v>
      </c>
    </row>
    <row r="272" spans="5:18">
      <c r="E272" s="12" t="s">
        <v>399</v>
      </c>
      <c r="F272" s="348">
        <f t="shared" ref="F272:P272" si="182">Z216</f>
        <v>5.5342721655410259</v>
      </c>
      <c r="G272" s="348">
        <f t="shared" si="182"/>
        <v>5.5342721655410259</v>
      </c>
      <c r="H272" s="348">
        <f t="shared" si="182"/>
        <v>5.5546713464728459</v>
      </c>
      <c r="I272" s="348">
        <f t="shared" si="182"/>
        <v>5.8931708217041399</v>
      </c>
      <c r="J272" s="348">
        <f t="shared" si="182"/>
        <v>5.8931708217041399</v>
      </c>
      <c r="K272" s="348">
        <f t="shared" si="182"/>
        <v>5.910170139147322</v>
      </c>
      <c r="L272" s="348">
        <f t="shared" si="182"/>
        <v>5.910170139147322</v>
      </c>
      <c r="M272" s="348">
        <f t="shared" si="182"/>
        <v>5.910170139147322</v>
      </c>
      <c r="N272" s="348">
        <f t="shared" si="182"/>
        <v>5.9478053687578303</v>
      </c>
      <c r="O272" s="348">
        <f t="shared" si="182"/>
        <v>6.1177985431896591</v>
      </c>
      <c r="P272" s="348">
        <f t="shared" si="182"/>
        <v>6.4800970628414092</v>
      </c>
      <c r="Q272" s="348">
        <f>AK216</f>
        <v>6.4800970628414092</v>
      </c>
    </row>
  </sheetData>
  <sheetProtection formatCells="0" formatColumns="0" formatRows="0" selectLockedCells="1"/>
  <customSheetViews>
    <customSheetView guid="{0FAFE012-8D9E-4ED0-86A4-A997E430971B}" showGridLines="0" fitToPage="1" hiddenRows="1" topLeftCell="L66">
      <selection activeCell="U72" sqref="U72:U78"/>
      <pageMargins left="0.74803149606299213" right="0.74803149606299213" top="0.51181102362204722" bottom="0.62992125984251968" header="0.51181102362204722" footer="0.51181102362204722"/>
      <pageSetup paperSize="9" scale="22"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1" type="noConversion"/>
  <conditionalFormatting sqref="F7:Q7 F9:Q9">
    <cfRule type="cellIs" dxfId="44" priority="1" operator="lessThan">
      <formula>0</formula>
    </cfRule>
  </conditionalFormatting>
  <conditionalFormatting sqref="F46:Q47">
    <cfRule type="cellIs" dxfId="43" priority="3" operator="lessThan">
      <formula>0</formula>
    </cfRule>
  </conditionalFormatting>
  <conditionalFormatting sqref="F50:Q50">
    <cfRule type="cellIs" dxfId="42" priority="2" operator="lessThan">
      <formula>0</formula>
    </cfRule>
  </conditionalFormatting>
  <dataValidations disablePrompts="1" count="3">
    <dataValidation type="list" allowBlank="1" showInputMessage="1" showErrorMessage="1" sqref="F141:G141" xr:uid="{6F17C00C-D382-4EDD-9794-890C1F7DD0FA}">
      <formula1>"0.0 Stars,0.5 Stars,1.0 Stars,1.5 Stars,2.0 Stars,2.5 Stars,3.0 Stars,3.5 Stars,4.0 Stars,4.5 Stars,5.0 Stars,5.5 Stars,6.0 Stars,N/A"</formula1>
    </dataValidation>
    <dataValidation type="list" allowBlank="1" showInputMessage="1" showErrorMessage="1" sqref="E114" xr:uid="{95A091E4-3DFF-4836-B0E2-C25B40D3C3B8}">
      <formula1>$BQ$155:$BQ$169</formula1>
    </dataValidation>
    <dataValidation type="list" allowBlank="1" showInputMessage="1" showErrorMessage="1" sqref="O114:Q114" xr:uid="{9BFB908A-1DF4-4B35-B7E4-08159E80A3BC}">
      <formula1>$BS$156:$BS$159</formula1>
    </dataValidation>
  </dataValidations>
  <pageMargins left="0.74803149606299213" right="0.74803149606299213" top="0.51181102362204722" bottom="0.62992125984251968" header="0.51181102362204722" footer="0.51181102362204722"/>
  <pageSetup paperSize="9" scale="19" orientation="landscape" r:id="rId2"/>
  <headerFooter alignWithMargins="0"/>
  <drawing r:id="rId3"/>
  <legacy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04F1A-AC9E-46D7-8A7B-9A550438DBBD}">
  <sheetPr codeName="Sheet53">
    <tabColor theme="5"/>
    <pageSetUpPr fitToPage="1"/>
  </sheetPr>
  <dimension ref="A1:CJ272"/>
  <sheetViews>
    <sheetView showGridLines="0" topLeftCell="D24" zoomScale="70" zoomScaleNormal="70" workbookViewId="0">
      <selection activeCell="AA59" sqref="AA59"/>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4.72656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140</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ACT2</v>
      </c>
      <c r="B6" s="368" t="s">
        <v>309</v>
      </c>
      <c r="C6" s="484" t="s">
        <v>41</v>
      </c>
      <c r="D6" s="485">
        <f>(VLOOKUP($A$2,Assumptions!$B$41:$C$63,2,0))/1000</f>
        <v>0.21276325022386997</v>
      </c>
      <c r="E6" s="367" t="s">
        <v>311</v>
      </c>
      <c r="F6" s="517">
        <f>VLOOKUP($A$2,'Footprint Summary'!$B$4:$R$26,COLUMNS('Footprint Summary'!$B$4:F$26)+1,0)</f>
        <v>1111.9480000000001</v>
      </c>
      <c r="G6" s="517">
        <f>VLOOKUP($A$2,'Footprint Summary'!$B$4:$R$26,COLUMNS('Footprint Summary'!$B$4:G$26)+1,0)</f>
        <v>1111.9480000000001</v>
      </c>
      <c r="H6" s="517">
        <f>VLOOKUP($A$2,'Footprint Summary'!$B$4:$R$26,COLUMNS('Footprint Summary'!$B$4:H$26)+1,0)</f>
        <v>1111.9480000000001</v>
      </c>
      <c r="I6" s="517">
        <f>VLOOKUP($A$2,'Footprint Summary'!$B$4:$R$26,COLUMNS('Footprint Summary'!$B$4:I$26)+1,0)</f>
        <v>1111.9480000000001</v>
      </c>
      <c r="J6" s="517">
        <f>VLOOKUP($A$2,'Footprint Summary'!$B$4:$R$26,COLUMNS('Footprint Summary'!$B$4:J$26)+1,0)</f>
        <v>1111.9480000000001</v>
      </c>
      <c r="K6" s="517">
        <f>VLOOKUP($A$2,'Footprint Summary'!$B$4:$R$26,COLUMNS('Footprint Summary'!$B$4:K$26)+1,0)</f>
        <v>1111.9480000000001</v>
      </c>
      <c r="L6" s="517">
        <f>VLOOKUP($A$2,'Footprint Summary'!$B$4:$R$26,COLUMNS('Footprint Summary'!$B$4:L$26)+1,0)</f>
        <v>1111.9480000000001</v>
      </c>
      <c r="M6" s="517">
        <f>VLOOKUP($A$2,'Footprint Summary'!$B$4:$R$26,COLUMNS('Footprint Summary'!$B$4:M$26)+1,0)</f>
        <v>1111.9480000000001</v>
      </c>
      <c r="N6" s="517">
        <f>VLOOKUP($A$2,'Footprint Summary'!$B$4:$R$26,COLUMNS('Footprint Summary'!$B$4:N$26)+1,0)</f>
        <v>1111.9480000000001</v>
      </c>
      <c r="O6" s="517">
        <f>VLOOKUP($A$2,'Footprint Summary'!$B$4:$R$26,COLUMNS('Footprint Summary'!$B$4:O$26)+1,0)</f>
        <v>1111.9480000000001</v>
      </c>
      <c r="P6" s="517">
        <f>VLOOKUP($A$2,'Footprint Summary'!$B$4:$R$26,COLUMNS('Footprint Summary'!$B$4:P$26)+1,0)</f>
        <v>1111.9480000000001</v>
      </c>
      <c r="Q6" s="429">
        <f>(P6-F6)/F6</f>
        <v>0</v>
      </c>
      <c r="R6" s="366"/>
      <c r="S6" s="357"/>
      <c r="T6" s="8"/>
      <c r="U6" s="8"/>
    </row>
    <row r="7" spans="1:21" s="7" customFormat="1" ht="17.25" customHeight="1">
      <c r="A7" s="368" t="str">
        <f>VLOOKUP($A$2,'Asset Attributes'!$B$3:$D$25,2,0)</f>
        <v>ACT2</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17.995528299098108</v>
      </c>
      <c r="E8" s="422" t="s">
        <v>314</v>
      </c>
      <c r="F8" s="519">
        <f>VLOOKUP($A$2,'Footprint Summary'!$B$33:$R$55,COLUMNS('Footprint Summary'!$B$33:F$55)+1,0)</f>
        <v>4934.9009999999998</v>
      </c>
      <c r="G8" s="519">
        <f>VLOOKUP($A$2,'Footprint Summary'!$B$33:$R$55,COLUMNS('Footprint Summary'!$B$33:G$55)+1,0)</f>
        <v>4934.9009999999998</v>
      </c>
      <c r="H8" s="519">
        <f>VLOOKUP($A$2,'Footprint Summary'!$B$33:$R$55,COLUMNS('Footprint Summary'!$B$33:H$55)+1,0)</f>
        <v>4934.9009999999998</v>
      </c>
      <c r="I8" s="519">
        <f>VLOOKUP($A$2,'Footprint Summary'!$B$33:$R$55,COLUMNS('Footprint Summary'!$B$33:I$55)+1,0)</f>
        <v>4934.9009999999998</v>
      </c>
      <c r="J8" s="519">
        <f>VLOOKUP($A$2,'Footprint Summary'!$B$33:$R$55,COLUMNS('Footprint Summary'!$B$33:J$55)+1,0)</f>
        <v>4934.9009999999998</v>
      </c>
      <c r="K8" s="519">
        <f>VLOOKUP($A$2,'Footprint Summary'!$B$33:$R$55,COLUMNS('Footprint Summary'!$B$33:K$55)+1,0)</f>
        <v>4934.9009999999998</v>
      </c>
      <c r="L8" s="519">
        <f>VLOOKUP($A$2,'Footprint Summary'!$B$33:$R$55,COLUMNS('Footprint Summary'!$B$33:L$55)+1,0)</f>
        <v>4934.9009999999998</v>
      </c>
      <c r="M8" s="519">
        <f>VLOOKUP($A$2,'Footprint Summary'!$B$33:$R$55,COLUMNS('Footprint Summary'!$B$33:M$55)+1,0)</f>
        <v>4934.9009999999998</v>
      </c>
      <c r="N8" s="519">
        <f>VLOOKUP($A$2,'Footprint Summary'!$B$33:$R$55,COLUMNS('Footprint Summary'!$B$33:N$55)+1,0)</f>
        <v>4934.9009999999998</v>
      </c>
      <c r="O8" s="519">
        <f>VLOOKUP($A$2,'Footprint Summary'!$B$33:$R$55,COLUMNS('Footprint Summary'!$B$33:O$55)+1,0)</f>
        <v>4934.9009999999998</v>
      </c>
      <c r="P8" s="519">
        <f>VLOOKUP($A$2,'Footprint Summary'!$B$33:$R$55,COLUMNS('Footprint Summary'!$B$33:P$55)+1,0)</f>
        <v>4934.9009999999998</v>
      </c>
      <c r="Q8" s="429">
        <f>(P8-F8)/F8</f>
        <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ACT2</v>
      </c>
      <c r="B13" s="368" t="s">
        <v>317</v>
      </c>
      <c r="C13" s="367"/>
      <c r="D13" s="2"/>
      <c r="E13" s="367" t="s">
        <v>321</v>
      </c>
      <c r="F13" s="367">
        <f>VLOOKUP($A$2,'Footprint Summary'!$B$4:$R$26,COLUMNS('Footprint Summary'!$B$4:F$26)+1,0)*VLOOKUP($A$13,Assumptions!$A$4:$N$14,COLUMNS(Assumptions!$A$4:B$14)+1,0)</f>
        <v>878.43892000000017</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254.29544852999999</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43.59746813872124</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1176.3318366687215</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6" s="7" customFormat="1" ht="17.25" customHeight="1" thickTop="1">
      <c r="E17" s="367" t="s">
        <v>322</v>
      </c>
      <c r="F17" s="428">
        <f>1000*F16/(VLOOKUP($A$2,'Asset Attributes'!$B$3:$D$25,3,0))</f>
        <v>56.389043510316924</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c r="Y17" s="8"/>
      <c r="Z17" s="8"/>
    </row>
    <row r="18" spans="1:26" s="7" customFormat="1" ht="28.5" customHeight="1" thickBot="1">
      <c r="A18" s="9" t="s">
        <v>323</v>
      </c>
      <c r="E18" s="367"/>
      <c r="F18" s="428"/>
      <c r="G18" s="428"/>
      <c r="H18" s="428"/>
      <c r="I18" s="428"/>
      <c r="J18" s="428"/>
      <c r="K18" s="428"/>
      <c r="L18" s="428"/>
      <c r="M18" s="428"/>
      <c r="N18" s="428"/>
      <c r="O18" s="428"/>
      <c r="P18" s="428"/>
      <c r="R18" s="366"/>
      <c r="S18" s="357"/>
      <c r="T18" s="8"/>
      <c r="U18" s="8"/>
      <c r="V18" s="8"/>
      <c r="W18" s="8"/>
      <c r="X18" s="8"/>
      <c r="Y18" s="8"/>
      <c r="Z18" s="8"/>
    </row>
    <row r="19" spans="1:26"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c r="V19" s="8"/>
      <c r="W19" s="8"/>
      <c r="X19" s="8"/>
      <c r="Y19" s="8"/>
      <c r="Z19" s="8" t="s">
        <v>744</v>
      </c>
    </row>
    <row r="20" spans="1:26" s="7" customFormat="1" ht="19.5" customHeight="1" thickTop="1">
      <c r="A20" s="368" t="s">
        <v>324</v>
      </c>
      <c r="B20" s="368" t="s">
        <v>325</v>
      </c>
      <c r="E20" s="367" t="s">
        <v>321</v>
      </c>
      <c r="F20" s="499">
        <f>-1*(VLOOKUP($A$2,'Footprint Summary'!$B$244:$R$266,COLUMNS('Footprint Summary'!$B$244:F$266)+1,0))</f>
        <v>0</v>
      </c>
      <c r="G20" s="499">
        <f>-1*(VLOOKUP($A$2,'Footprint Summary'!$B$244:$R$266,COLUMNS('Footprint Summary'!$B$244:G$266)+1,0))</f>
        <v>0</v>
      </c>
      <c r="H20" s="499">
        <f>-1*(VLOOKUP($A$2,'Footprint Summary'!$B$244:$R$266,COLUMNS('Footprint Summary'!$B$244:H$266)+1,0))</f>
        <v>0</v>
      </c>
      <c r="I20" s="499">
        <f>-1*(VLOOKUP($A$2,'Footprint Summary'!$B$244:$R$266,COLUMNS('Footprint Summary'!$B$244:I$266)+1,0))</f>
        <v>0</v>
      </c>
      <c r="J20" s="499">
        <f>-1*(VLOOKUP($A$2,'Footprint Summary'!$B$244:$R$266,COLUMNS('Footprint Summary'!$B$244:J$266)+1,0))</f>
        <v>0</v>
      </c>
      <c r="K20" s="499">
        <f>-1*(VLOOKUP($A$2,'Footprint Summary'!$B$244:$R$266,COLUMNS('Footprint Summary'!$B$244:K$266)+1,0))</f>
        <v>0</v>
      </c>
      <c r="L20" s="499">
        <f>-1*(VLOOKUP($A$2,'Footprint Summary'!$B$244:$R$266,COLUMNS('Footprint Summary'!$B$244:L$266)+1,0))</f>
        <v>0</v>
      </c>
      <c r="M20" s="499">
        <f>-1*(VLOOKUP($A$2,'Footprint Summary'!$B$244:$R$266,COLUMNS('Footprint Summary'!$B$244:M$266)+1,0))</f>
        <v>0</v>
      </c>
      <c r="N20" s="499">
        <f>-1*(VLOOKUP($A$2,'Footprint Summary'!$B$244:$R$266,COLUMNS('Footprint Summary'!$B$244:N$266)+1,0))</f>
        <v>0</v>
      </c>
      <c r="O20" s="499">
        <f>-1*(VLOOKUP($A$2,'Footprint Summary'!$B$244:$R$266,COLUMNS('Footprint Summary'!$B$244:O$266)+1,0))</f>
        <v>0</v>
      </c>
      <c r="P20" s="499">
        <f>-1*(VLOOKUP($A$2,'Footprint Summary'!$B$244:$R$266,COLUMNS('Footprint Summary'!$B$244:P$266)+1,0))</f>
        <v>0</v>
      </c>
      <c r="Q20" s="499">
        <f>SUM(G20:P20)</f>
        <v>0</v>
      </c>
      <c r="R20" s="366"/>
      <c r="S20" s="357"/>
      <c r="T20" s="8"/>
      <c r="U20" s="8"/>
      <c r="V20" s="8"/>
      <c r="W20" s="8"/>
      <c r="X20" s="8"/>
      <c r="Y20" s="8"/>
      <c r="Z20" s="8"/>
    </row>
    <row r="21" spans="1:26" s="7" customFormat="1" ht="19.5" customHeight="1">
      <c r="A21" s="368" t="str">
        <f>VLOOKUP($A$2,'Asset Attributes'!$B$3:$D$25,2,0)</f>
        <v>ACT2</v>
      </c>
      <c r="B21" s="368" t="s">
        <v>326</v>
      </c>
      <c r="E21" s="367" t="s">
        <v>321</v>
      </c>
      <c r="F21" s="499">
        <f>-1*(VLOOKUP($A$2,'Footprint Summary'!$B$302:$R$324,COLUMNS('Footprint Summary'!$B$302:F324)+1,0))</f>
        <v>0</v>
      </c>
      <c r="G21" s="499">
        <f>-1*(VLOOKUP($A$2,'Footprint Summary'!$B$302:$R$324,COLUMNS('Footprint Summary'!$B$302:G324)+1,0))</f>
        <v>825.06541600000003</v>
      </c>
      <c r="H21" s="499">
        <f>-1*(VLOOKUP($A$2,'Footprint Summary'!$B$302:$R$324,COLUMNS('Footprint Summary'!$B$302:H324)+1,0))</f>
        <v>811.72203999999999</v>
      </c>
      <c r="I21" s="499">
        <f>-1*(VLOOKUP($A$2,'Footprint Summary'!$B$302:$R$324,COLUMNS('Footprint Summary'!$B$302:I324)+1,0))</f>
        <v>736.10957600000006</v>
      </c>
      <c r="J21" s="499">
        <f>-1*(VLOOKUP($A$2,'Footprint Summary'!$B$302:$R$324,COLUMNS('Footprint Summary'!$B$302:J324)+1,0))</f>
        <v>693.8555520000001</v>
      </c>
      <c r="K21" s="499">
        <f>-1*(VLOOKUP($A$2,'Footprint Summary'!$B$302:$R$324,COLUMNS('Footprint Summary'!$B$302:K324)+1,0))</f>
        <v>608.23555600000009</v>
      </c>
      <c r="L21" s="499">
        <f>-1*(VLOOKUP($A$2,'Footprint Summary'!$B$302:$R$324,COLUMNS('Footprint Summary'!$B$302:L324)+1,0))</f>
        <v>511.49608000000006</v>
      </c>
      <c r="M21" s="499">
        <f>-1*(VLOOKUP($A$2,'Footprint Summary'!$B$302:$R$324,COLUMNS('Footprint Summary'!$B$302:M324)+1,0))</f>
        <v>425.87608400000005</v>
      </c>
      <c r="N21" s="499">
        <f>-1*(VLOOKUP($A$2,'Footprint Summary'!$B$302:$R$324,COLUMNS('Footprint Summary'!$B$302:N324)+1,0))</f>
        <v>361.38310000000007</v>
      </c>
      <c r="O21" s="499">
        <f>-1*(VLOOKUP($A$2,'Footprint Summary'!$B$302:$R$324,COLUMNS('Footprint Summary'!$B$302:O324)+1,0))</f>
        <v>320.24102399999998</v>
      </c>
      <c r="P21" s="499">
        <f>-1*(VLOOKUP($A$2,'Footprint Summary'!$B$302:$R$324,COLUMNS('Footprint Summary'!$B$302:P324)+1,0))</f>
        <v>293.55427200000003</v>
      </c>
      <c r="Q21" s="499">
        <f t="shared" ref="Q21:Q27" si="6">SUM(G21:P21)</f>
        <v>5587.538700000001</v>
      </c>
      <c r="R21" s="366"/>
      <c r="S21" s="357"/>
      <c r="T21" s="8"/>
      <c r="U21" s="8"/>
      <c r="V21" s="8"/>
      <c r="W21" s="8"/>
      <c r="X21" s="8"/>
      <c r="Y21" s="8"/>
      <c r="Z21" s="8"/>
    </row>
    <row r="22" spans="1:26" s="7" customFormat="1" ht="19.5" customHeight="1">
      <c r="A22" s="368" t="s">
        <v>284</v>
      </c>
      <c r="B22" s="368" t="s">
        <v>327</v>
      </c>
      <c r="E22" s="425" t="s">
        <v>321</v>
      </c>
      <c r="F22" s="499">
        <v>0</v>
      </c>
      <c r="G22" s="499">
        <f>(VLOOKUP($A$2,'Footprint Summary'!$B$33:$R$55,COLUMNS('Footprint Summary'!$B$33:G$55)+1,0)*VLOOKUP($B$14,Assumptions!$B$17:$N$29,COLUMNS(Assumptions!$B$18:C$29)+1,0)/1000)</f>
        <v>254.29544852999999</v>
      </c>
      <c r="H22" s="499">
        <f>(VLOOKUP($A$2,'Footprint Summary'!$B$33:$R$55,COLUMNS('Footprint Summary'!$B$33:H$55)+1,0)*VLOOKUP($B$14,Assumptions!$B$17:$N$29,COLUMNS(Assumptions!$B$18:D$29)+1,0)/1000)</f>
        <v>254.29544852999999</v>
      </c>
      <c r="I22" s="499">
        <f>(VLOOKUP($A$2,'Footprint Summary'!$B$33:$R$55,COLUMNS('Footprint Summary'!$B$33:I$55)+1,0)*VLOOKUP($B$14,Assumptions!$B$17:$N$29,COLUMNS(Assumptions!$B$18:E$29)+1,0)/1000)</f>
        <v>254.29544852999999</v>
      </c>
      <c r="J22" s="499">
        <f>(VLOOKUP($A$2,'Footprint Summary'!$B$33:$R$55,COLUMNS('Footprint Summary'!$B$33:J$55)+1,0)*VLOOKUP($B$14,Assumptions!$B$17:$N$29,COLUMNS(Assumptions!$B$18:F$29)+1,0)/1000)</f>
        <v>254.29544852999999</v>
      </c>
      <c r="K22" s="499">
        <f>(VLOOKUP($A$2,'Footprint Summary'!$B$33:$R$55,COLUMNS('Footprint Summary'!$B$33:K$55)+1,0)*VLOOKUP($B$14,Assumptions!$B$17:$N$29,COLUMNS(Assumptions!$B$18:G$29)+1,0)/1000)</f>
        <v>254.29544852999999</v>
      </c>
      <c r="L22" s="499">
        <f>(VLOOKUP($A$2,'Footprint Summary'!$B$33:$R$55,COLUMNS('Footprint Summary'!$B$33:L$55)+1,0)*VLOOKUP($B$14,Assumptions!$B$17:$N$29,COLUMNS(Assumptions!$B$18:H$29)+1,0)/1000)</f>
        <v>254.29544852999999</v>
      </c>
      <c r="M22" s="499">
        <f>(VLOOKUP($A$2,'Footprint Summary'!$B$33:$R$55,COLUMNS('Footprint Summary'!$B$33:M$55)+1,0)*VLOOKUP($B$14,Assumptions!$B$17:$N$29,COLUMNS(Assumptions!$B$18:I$29)+1,0)/1000)</f>
        <v>254.29544852999999</v>
      </c>
      <c r="N22" s="499">
        <f>(VLOOKUP($A$2,'Footprint Summary'!$B$33:$R$55,COLUMNS('Footprint Summary'!$B$33:N$55)+1,0)*VLOOKUP($B$14,Assumptions!$B$17:$N$29,COLUMNS(Assumptions!$B$18:J$29)+1,0)/1000)</f>
        <v>254.29544852999999</v>
      </c>
      <c r="O22" s="499">
        <f>(VLOOKUP($A$2,'Footprint Summary'!$B$33:$R$55,COLUMNS('Footprint Summary'!$B$33:O$55)+1,0)*VLOOKUP($B$14,Assumptions!$B$17:$N$29,COLUMNS(Assumptions!$B$18:K$29)+1,0)/1000)</f>
        <v>254.29544852999999</v>
      </c>
      <c r="P22" s="499">
        <f>(VLOOKUP($A$2,'Footprint Summary'!$B$33:$R$55,COLUMNS('Footprint Summary'!$B$33:P$55)+1,0)*VLOOKUP($B$14,Assumptions!$B$17:$N$29,COLUMNS(Assumptions!$B$18:L$29)+1,0)/1000)</f>
        <v>254.29544852999999</v>
      </c>
      <c r="Q22" s="499">
        <f t="shared" si="6"/>
        <v>2542.9544852999998</v>
      </c>
      <c r="R22" s="366"/>
      <c r="S22" s="357"/>
      <c r="T22" s="8"/>
      <c r="U22" s="8"/>
      <c r="V22" s="8"/>
      <c r="W22" s="8"/>
      <c r="X22" s="8"/>
      <c r="Y22" s="8"/>
      <c r="Z22" s="8"/>
    </row>
    <row r="23" spans="1:26" s="7" customFormat="1" ht="19.5" customHeight="1">
      <c r="A23" s="368" t="s">
        <v>284</v>
      </c>
      <c r="B23" s="368" t="s">
        <v>328</v>
      </c>
      <c r="E23" s="425" t="s">
        <v>321</v>
      </c>
      <c r="F23" s="499">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c r="V23" s="8"/>
      <c r="W23" s="8"/>
      <c r="X23" s="8"/>
      <c r="Y23" s="8"/>
      <c r="Z23" s="8"/>
    </row>
    <row r="24" spans="1:26" s="7" customFormat="1" ht="19.5" customHeight="1">
      <c r="A24" s="419" t="s">
        <v>319</v>
      </c>
      <c r="B24" s="419" t="s">
        <v>329</v>
      </c>
      <c r="E24" s="425" t="s">
        <v>321</v>
      </c>
      <c r="F24" s="499">
        <v>0</v>
      </c>
      <c r="G24" s="499">
        <f>VLOOKUP($A$2,'Footprint Summary'!$B$216:$R$238,COLUMNS('Footprint Summary'!$B$216:G238)+1,0)</f>
        <v>40.087651570196655</v>
      </c>
      <c r="H24" s="499">
        <f>VLOOKUP($A$2,'Footprint Summary'!$B$216:$R$238,COLUMNS('Footprint Summary'!$B$216:H238)+1,0)</f>
        <v>36.577835001672071</v>
      </c>
      <c r="I24" s="499">
        <f>VLOOKUP($A$2,'Footprint Summary'!$B$216:$R$238,COLUMNS('Footprint Summary'!$B$216:I238)+1,0)</f>
        <v>33.068018433147486</v>
      </c>
      <c r="J24" s="499">
        <f>VLOOKUP($A$2,'Footprint Summary'!$B$216:$R$238,COLUMNS('Footprint Summary'!$B$216:J238)+1,0)</f>
        <v>29.558201864622902</v>
      </c>
      <c r="K24" s="499">
        <f>VLOOKUP($A$2,'Footprint Summary'!$B$216:$R$238,COLUMNS('Footprint Summary'!$B$216:K238)+1,0)</f>
        <v>26.048385296098317</v>
      </c>
      <c r="L24" s="499">
        <f>VLOOKUP($A$2,'Footprint Summary'!$B$216:$R$238,COLUMNS('Footprint Summary'!$B$216:L238)+1,0)</f>
        <v>22.538568727573733</v>
      </c>
      <c r="M24" s="499">
        <f>VLOOKUP($A$2,'Footprint Summary'!$B$216:$R$238,COLUMNS('Footprint Summary'!$B$216:M238)+1,0)</f>
        <v>19.028752159049152</v>
      </c>
      <c r="N24" s="499">
        <f>VLOOKUP($A$2,'Footprint Summary'!$B$216:$R$238,COLUMNS('Footprint Summary'!$B$216:N238)+1,0)</f>
        <v>15.518935590524569</v>
      </c>
      <c r="O24" s="499">
        <f>VLOOKUP($A$2,'Footprint Summary'!$B$216:$R$238,COLUMNS('Footprint Summary'!$B$216:O238)+1,0)</f>
        <v>12.009119021999986</v>
      </c>
      <c r="P24" s="499">
        <f>VLOOKUP($A$2,'Footprint Summary'!$B$216:$R$238,COLUMNS('Footprint Summary'!$B$216:P238)+1,0)</f>
        <v>12.009119021999998</v>
      </c>
      <c r="Q24" s="499">
        <f t="shared" si="6"/>
        <v>246.44458668688486</v>
      </c>
      <c r="R24" s="366"/>
      <c r="S24" s="357"/>
      <c r="T24" s="8"/>
      <c r="U24" s="8"/>
      <c r="V24" s="8"/>
      <c r="W24" s="8"/>
      <c r="X24" s="8"/>
      <c r="Y24" s="8"/>
      <c r="Z24" s="8"/>
    </row>
    <row r="25" spans="1:26" s="7" customFormat="1" ht="19.5" customHeight="1">
      <c r="A25" s="658" t="s">
        <v>319</v>
      </c>
      <c r="B25" s="658" t="s">
        <v>319</v>
      </c>
      <c r="C25" s="659"/>
      <c r="D25" s="659"/>
      <c r="E25" s="660" t="s">
        <v>321</v>
      </c>
      <c r="F25" s="656">
        <f>VLOOKUP($A$2,'Footprint Summary'!$B$216:$R$238,COLUMNS('Footprint Summary'!$B$216:F238)+1,0)-F24</f>
        <v>43.59746813872124</v>
      </c>
      <c r="G25" s="656">
        <f>VLOOKUP($A$2,'Footprint Summary'!$B$216:$R$238,COLUMNS('Footprint Summary'!$B$216:G238)+1,0)-G24</f>
        <v>0</v>
      </c>
      <c r="H25" s="656">
        <f>VLOOKUP($A$2,'Footprint Summary'!$B$216:$R$238,COLUMNS('Footprint Summary'!$B$216:H238)+1,0)-H24</f>
        <v>0</v>
      </c>
      <c r="I25" s="656">
        <f>VLOOKUP($A$2,'Footprint Summary'!$B$216:$R$238,COLUMNS('Footprint Summary'!$B$216:I238)+1,0)-I24</f>
        <v>0</v>
      </c>
      <c r="J25" s="656">
        <f>VLOOKUP($A$2,'Footprint Summary'!$B$216:$R$238,COLUMNS('Footprint Summary'!$B$216:J238)+1,0)-J24</f>
        <v>0</v>
      </c>
      <c r="K25" s="656">
        <f>VLOOKUP($A$2,'Footprint Summary'!$B$216:$R$238,COLUMNS('Footprint Summary'!$B$216:K238)+1,0)-K24</f>
        <v>0</v>
      </c>
      <c r="L25" s="656">
        <f>VLOOKUP($A$2,'Footprint Summary'!$B$216:$R$238,COLUMNS('Footprint Summary'!$B$216:L238)+1,0)-L24</f>
        <v>0</v>
      </c>
      <c r="M25" s="656">
        <f>VLOOKUP($A$2,'Footprint Summary'!$B$216:$R$238,COLUMNS('Footprint Summary'!$B$216:M238)+1,0)-M24</f>
        <v>0</v>
      </c>
      <c r="N25" s="656">
        <f>VLOOKUP($A$2,'Footprint Summary'!$B$216:$R$238,COLUMNS('Footprint Summary'!$B$216:N238)+1,0)-N24</f>
        <v>0</v>
      </c>
      <c r="O25" s="656">
        <f>VLOOKUP($A$2,'Footprint Summary'!$B$216:$R$238,COLUMNS('Footprint Summary'!$B$216:O238)+1,0)-O24</f>
        <v>0</v>
      </c>
      <c r="P25" s="656">
        <f>VLOOKUP($A$2,'Footprint Summary'!$B$216:$R$238,COLUMNS('Footprint Summary'!$B$216:P238)+1,0)-P24</f>
        <v>0</v>
      </c>
      <c r="Q25" s="656">
        <f t="shared" si="6"/>
        <v>0</v>
      </c>
      <c r="R25" s="366"/>
      <c r="S25" s="357"/>
      <c r="T25" s="8"/>
      <c r="U25" s="8"/>
      <c r="V25" s="8"/>
      <c r="W25" s="8"/>
      <c r="X25" s="8"/>
      <c r="Y25" s="8"/>
      <c r="Z25" s="8"/>
    </row>
    <row r="26" spans="1:26" s="7" customFormat="1" ht="19.5" customHeight="1">
      <c r="A26" s="658" t="s">
        <v>284</v>
      </c>
      <c r="B26" s="661" t="s">
        <v>285</v>
      </c>
      <c r="C26" s="659"/>
      <c r="D26" s="659"/>
      <c r="E26" s="660" t="s">
        <v>321</v>
      </c>
      <c r="F26" s="656">
        <f>(VLOOKUP($A$2,'Footprint Summary'!$B$33:$R$55,COLUMNS('Footprint Summary'!$B$33:F$55)+1,0)*VLOOKUP($B$14,Assumptions!$B$17:$N$29,COLUMNS(Assumptions!$B$18:B$29)+1,0)/1000)-F22</f>
        <v>254.29544852999999</v>
      </c>
      <c r="G26" s="656">
        <f>(VLOOKUP($A$2,'Footprint Summary'!$B$33:$R$55,COLUMNS('Footprint Summary'!$B$33:G$55)+1,0)*VLOOKUP($B$14,Assumptions!$B$17:$N$29,COLUMNS(Assumptions!$B$18:C$29)+1,0)/1000)-G22</f>
        <v>0</v>
      </c>
      <c r="H26" s="656">
        <f>(VLOOKUP($A$2,'Footprint Summary'!$B$33:$R$55,COLUMNS('Footprint Summary'!$B$33:H$55)+1,0)*VLOOKUP($B$14,Assumptions!$B$17:$N$29,COLUMNS(Assumptions!$B$18:D$29)+1,0)/1000)-H22</f>
        <v>0</v>
      </c>
      <c r="I26" s="656">
        <f>(VLOOKUP($A$2,'Footprint Summary'!$B$33:$R$55,COLUMNS('Footprint Summary'!$B$33:I$55)+1,0)*VLOOKUP($B$14,Assumptions!$B$17:$N$29,COLUMNS(Assumptions!$B$18:E$29)+1,0)/1000)-I22</f>
        <v>0</v>
      </c>
      <c r="J26" s="656">
        <f>(VLOOKUP($A$2,'Footprint Summary'!$B$33:$R$55,COLUMNS('Footprint Summary'!$B$33:J$55)+1,0)*VLOOKUP($B$14,Assumptions!$B$17:$N$29,COLUMNS(Assumptions!$B$18:F$29)+1,0)/1000)-J22</f>
        <v>0</v>
      </c>
      <c r="K26" s="656">
        <f>(VLOOKUP($A$2,'Footprint Summary'!$B$33:$R$55,COLUMNS('Footprint Summary'!$B$33:K$55)+1,0)*VLOOKUP($B$14,Assumptions!$B$17:$N$29,COLUMNS(Assumptions!$B$18:G$29)+1,0)/1000)-K22</f>
        <v>0</v>
      </c>
      <c r="L26" s="656">
        <f>(VLOOKUP($A$2,'Footprint Summary'!$B$33:$R$55,COLUMNS('Footprint Summary'!$B$33:L$55)+1,0)*VLOOKUP($B$14,Assumptions!$B$17:$N$29,COLUMNS(Assumptions!$B$18:H$29)+1,0)/1000)-L22</f>
        <v>0</v>
      </c>
      <c r="M26" s="656">
        <f>(VLOOKUP($A$2,'Footprint Summary'!$B$33:$R$55,COLUMNS('Footprint Summary'!$B$33:M$55)+1,0)*VLOOKUP($B$14,Assumptions!$B$17:$N$29,COLUMNS(Assumptions!$B$18:I$29)+1,0)/1000)-M22</f>
        <v>0</v>
      </c>
      <c r="N26" s="656">
        <f>(VLOOKUP($A$2,'Footprint Summary'!$B$33:$R$55,COLUMNS('Footprint Summary'!$B$33:N$55)+1,0)*VLOOKUP($B$14,Assumptions!$B$17:$N$29,COLUMNS(Assumptions!$B$18:J$29)+1,0)/1000)-N22</f>
        <v>0</v>
      </c>
      <c r="O26" s="656">
        <f>(VLOOKUP($A$2,'Footprint Summary'!$B$33:$R$55,COLUMNS('Footprint Summary'!$B$33:O$55)+1,0)*VLOOKUP($B$14,Assumptions!$B$17:$N$29,COLUMNS(Assumptions!$B$18:K$29)+1,0)/1000)-O22</f>
        <v>0</v>
      </c>
      <c r="P26" s="656">
        <f>(VLOOKUP($A$2,'Footprint Summary'!$B$33:$R$55,COLUMNS('Footprint Summary'!$B$33:P$55)+1,0)*VLOOKUP($B$14,Assumptions!$B$17:$N$29,COLUMNS(Assumptions!$B$18:L$29)+1,0)/1000)-P22</f>
        <v>0</v>
      </c>
      <c r="Q26" s="656">
        <f t="shared" si="6"/>
        <v>0</v>
      </c>
      <c r="R26" s="366"/>
      <c r="S26" s="357"/>
      <c r="T26" s="8"/>
      <c r="U26" s="8"/>
      <c r="V26" s="8"/>
      <c r="W26" s="8"/>
      <c r="X26" s="8"/>
      <c r="Y26" s="8"/>
      <c r="Z26" s="8"/>
    </row>
    <row r="27" spans="1:26" s="7" customFormat="1" ht="19.5" customHeight="1">
      <c r="A27" s="661" t="str">
        <f>VLOOKUP($A$2,'Asset Attributes'!$B$3:$D$25,2,0)</f>
        <v>ACT2</v>
      </c>
      <c r="B27" s="661" t="s">
        <v>330</v>
      </c>
      <c r="C27" s="659"/>
      <c r="D27" s="659"/>
      <c r="E27" s="660" t="s">
        <v>321</v>
      </c>
      <c r="F27" s="657">
        <f>VLOOKUP($A$2,'Footprint Summary'!$B$4:$R$26,COLUMNS('Footprint Summary'!$B$4:F$26)+1,0)*VLOOKUP($A$13,Assumptions!$A$4:$N$14,COLUMNS(Assumptions!$A$4:B$14)+1,0)</f>
        <v>878.43892000000017</v>
      </c>
      <c r="G27" s="656">
        <f>VLOOKUP($A$2,'Footprint Summary'!$B$4:$R$26,COLUMNS('Footprint Summary'!$B$4:G$26)+1,0)*VLOOKUP($A$13,Assumptions!$A$4:$N$14,COLUMNS(Assumptions!$A$4:C$14)+1,0)</f>
        <v>0</v>
      </c>
      <c r="H27" s="656">
        <f>VLOOKUP($A$2,'Footprint Summary'!$B$4:$R$26,COLUMNS('Footprint Summary'!$B$4:H$26)+1,0)*VLOOKUP($A$13,Assumptions!$A$4:$N$14,COLUMNS(Assumptions!$A$4:D$14)+1,0)</f>
        <v>0</v>
      </c>
      <c r="I27" s="656">
        <f>VLOOKUP($A$2,'Footprint Summary'!$B$4:$R$26,COLUMNS('Footprint Summary'!$B$4:I$26)+1,0)*VLOOKUP($A$13,Assumptions!$A$4:$N$14,COLUMNS(Assumptions!$A$4:E$14)+1,0)</f>
        <v>0</v>
      </c>
      <c r="J27" s="656">
        <f>VLOOKUP($A$2,'Footprint Summary'!$B$4:$R$26,COLUMNS('Footprint Summary'!$B$4:J$26)+1,0)*VLOOKUP($A$13,Assumptions!$A$4:$N$14,COLUMNS(Assumptions!$A$4:F$14)+1,0)</f>
        <v>0</v>
      </c>
      <c r="K27" s="656">
        <f>VLOOKUP($A$2,'Footprint Summary'!$B$4:$R$26,COLUMNS('Footprint Summary'!$B$4:K$26)+1,0)*VLOOKUP($A$13,Assumptions!$A$4:$N$14,COLUMNS(Assumptions!$A$4:G$14)+1,0)</f>
        <v>0</v>
      </c>
      <c r="L27" s="656">
        <f>VLOOKUP($A$2,'Footprint Summary'!$B$4:$R$26,COLUMNS('Footprint Summary'!$B$4:L$26)+1,0)*VLOOKUP($A$13,Assumptions!$A$4:$N$14,COLUMNS(Assumptions!$A$4:H$14)+1,0)</f>
        <v>0</v>
      </c>
      <c r="M27" s="656">
        <f>VLOOKUP($A$2,'Footprint Summary'!$B$4:$R$26,COLUMNS('Footprint Summary'!$B$4:M$26)+1,0)*VLOOKUP($A$13,Assumptions!$A$4:$N$14,COLUMNS(Assumptions!$A$4:I$14)+1,0)</f>
        <v>0</v>
      </c>
      <c r="N27" s="656">
        <f>VLOOKUP($A$2,'Footprint Summary'!$B$4:$R$26,COLUMNS('Footprint Summary'!$B$4:N$26)+1,0)*VLOOKUP($A$13,Assumptions!$A$4:$N$14,COLUMNS(Assumptions!$A$4:J$14)+1,0)</f>
        <v>0</v>
      </c>
      <c r="O27" s="656">
        <f>VLOOKUP($A$2,'Footprint Summary'!$B$4:$R$26,COLUMNS('Footprint Summary'!$B$4:O$26)+1,0)*VLOOKUP($A$13,Assumptions!$A$4:$N$14,COLUMNS(Assumptions!$A$4:K$14)+1,0)</f>
        <v>0</v>
      </c>
      <c r="P27" s="656">
        <f>VLOOKUP($A$2,'Footprint Summary'!$B$4:$R$26,COLUMNS('Footprint Summary'!$B$4:P$26)+1,0)*VLOOKUP($A$13,Assumptions!$A$4:$N$14,COLUMNS(Assumptions!$A$4:L$14)+1,0)</f>
        <v>0</v>
      </c>
      <c r="Q27" s="656">
        <f t="shared" si="6"/>
        <v>0</v>
      </c>
      <c r="R27" s="366"/>
      <c r="S27" s="357"/>
      <c r="T27" s="8"/>
      <c r="U27" s="8"/>
      <c r="V27" s="8"/>
      <c r="W27" s="8"/>
      <c r="X27" s="8"/>
      <c r="Y27" s="8"/>
      <c r="Z27" s="8"/>
    </row>
    <row r="28" spans="1:26" s="7" customFormat="1" ht="19.5" customHeight="1" thickBot="1">
      <c r="E28" s="425" t="s">
        <v>321</v>
      </c>
      <c r="F28" s="434">
        <f>SUM(F20:F23)</f>
        <v>0</v>
      </c>
      <c r="G28" s="434">
        <f t="shared" ref="G28:P28" si="7">SUM(G20:G23)</f>
        <v>1079.3608645300001</v>
      </c>
      <c r="H28" s="434">
        <f t="shared" si="7"/>
        <v>1066.01748853</v>
      </c>
      <c r="I28" s="434">
        <f t="shared" si="7"/>
        <v>990.40502452999999</v>
      </c>
      <c r="J28" s="434">
        <f t="shared" si="7"/>
        <v>948.15100053000015</v>
      </c>
      <c r="K28" s="434">
        <f t="shared" si="7"/>
        <v>862.53100453000002</v>
      </c>
      <c r="L28" s="434">
        <f t="shared" si="7"/>
        <v>765.79152853000005</v>
      </c>
      <c r="M28" s="434">
        <f t="shared" si="7"/>
        <v>680.17153253000004</v>
      </c>
      <c r="N28" s="434">
        <f t="shared" si="7"/>
        <v>615.67854853000006</v>
      </c>
      <c r="O28" s="434">
        <f t="shared" si="7"/>
        <v>574.53647252999997</v>
      </c>
      <c r="P28" s="434">
        <f t="shared" si="7"/>
        <v>547.84972053000001</v>
      </c>
      <c r="Q28" s="434">
        <f t="shared" ref="Q28" si="8">SUM(Q20:Q24)</f>
        <v>8376.9377719868862</v>
      </c>
      <c r="R28" s="366"/>
      <c r="S28" s="357"/>
      <c r="T28" s="8"/>
      <c r="U28" s="8"/>
      <c r="V28" s="8"/>
      <c r="W28" s="8"/>
      <c r="X28" s="8"/>
      <c r="Y28" s="8"/>
      <c r="Z28" s="8"/>
    </row>
    <row r="29" spans="1:26" s="7" customFormat="1" ht="36.75" customHeight="1" thickTop="1" thickBot="1">
      <c r="A29" s="9" t="s">
        <v>331</v>
      </c>
      <c r="B29" s="1"/>
      <c r="C29" s="369" t="s">
        <v>30</v>
      </c>
      <c r="D29" s="2"/>
      <c r="E29" s="3"/>
      <c r="F29" s="2"/>
      <c r="G29" s="4"/>
      <c r="H29" s="4"/>
      <c r="J29" s="8"/>
      <c r="K29" s="8"/>
      <c r="L29" s="8" t="s">
        <v>745</v>
      </c>
      <c r="M29" s="8"/>
      <c r="N29" s="8"/>
      <c r="O29" s="8"/>
      <c r="P29" s="8"/>
      <c r="Q29" s="357"/>
      <c r="R29" s="366"/>
      <c r="S29" s="357"/>
      <c r="T29" s="8"/>
      <c r="U29" s="8"/>
      <c r="V29" s="8"/>
      <c r="W29" s="8"/>
      <c r="X29" s="8"/>
      <c r="Y29" s="8"/>
      <c r="Z29" s="8"/>
    </row>
    <row r="30" spans="1:26"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X30" s="8"/>
      <c r="Y30" s="8"/>
      <c r="Z30" s="8"/>
    </row>
    <row r="31" spans="1:26" s="7" customFormat="1" ht="17.25" customHeight="1" thickTop="1">
      <c r="A31" s="436" t="s">
        <v>332</v>
      </c>
      <c r="B31" s="437"/>
      <c r="C31" s="435"/>
      <c r="S31" s="357"/>
      <c r="T31" s="8"/>
      <c r="U31" s="8"/>
      <c r="V31" s="8"/>
      <c r="W31" s="8"/>
      <c r="X31" s="8"/>
      <c r="Y31" s="8"/>
      <c r="Z31" s="8"/>
    </row>
    <row r="32" spans="1:26" s="7" customFormat="1" ht="17.25" customHeight="1">
      <c r="A32" s="368" t="s">
        <v>30</v>
      </c>
      <c r="B32" s="368" t="s">
        <v>334</v>
      </c>
      <c r="F32" s="674">
        <f>VLOOKUP($A$2,'Costs Summary'!$B$154:$R$176,COLUMNS('Costs Summary'!$B$154:F$176)+1,0)</f>
        <v>0</v>
      </c>
      <c r="G32" s="674">
        <f>VLOOKUP($A$2,'Costs Summary'!$B$154:$R$176,COLUMNS('Costs Summary'!$B$154:G$176)+1,0)</f>
        <v>307556.17172791134</v>
      </c>
      <c r="H32" s="674">
        <f>VLOOKUP($A$2,'Costs Summary'!$B$154:$R$176,COLUMNS('Costs Summary'!$B$154:H$176)+1,0)</f>
        <v>318320.63773838821</v>
      </c>
      <c r="I32" s="674">
        <f>VLOOKUP($A$2,'Costs Summary'!$B$154:$R$176,COLUMNS('Costs Summary'!$B$154:I$176)+1,0)</f>
        <v>329461.86005923175</v>
      </c>
      <c r="J32" s="674">
        <f>VLOOKUP($A$2,'Costs Summary'!$B$154:$R$176,COLUMNS('Costs Summary'!$B$154:J$176)+1,0)</f>
        <v>340993.02516130486</v>
      </c>
      <c r="K32" s="674">
        <f>VLOOKUP($A$2,'Costs Summary'!$B$154:$R$176,COLUMNS('Costs Summary'!$B$154:K$176)+1,0)</f>
        <v>352927.78104195051</v>
      </c>
      <c r="L32" s="674">
        <f>VLOOKUP($A$2,'Costs Summary'!$B$154:$R$176,COLUMNS('Costs Summary'!$B$154:L$176)+1,0)</f>
        <v>365280.25337841874</v>
      </c>
      <c r="M32" s="674">
        <f>VLOOKUP($A$2,'Costs Summary'!$B$154:$R$176,COLUMNS('Costs Summary'!$B$154:M$176)+1,0)</f>
        <v>378065.06224666338</v>
      </c>
      <c r="N32" s="674">
        <f>VLOOKUP($A$2,'Costs Summary'!$B$154:$R$176,COLUMNS('Costs Summary'!$B$154:N$176)+1,0)</f>
        <v>453678.07469599601</v>
      </c>
      <c r="O32" s="674">
        <f>VLOOKUP($A$2,'Costs Summary'!$B$154:$R$176,COLUMNS('Costs Summary'!$B$154:O$176)+1,0)</f>
        <v>469556.80731035583</v>
      </c>
      <c r="P32" s="674">
        <f>VLOOKUP($A$2,'Costs Summary'!$B$154:$R$176,COLUMNS('Costs Summary'!$B$154:P$176)+1,0)</f>
        <v>485991.29556621826</v>
      </c>
      <c r="Q32" s="433">
        <f>SUM(G32:P32)</f>
        <v>3801830.9689264391</v>
      </c>
      <c r="R32" s="366"/>
      <c r="S32" s="357"/>
      <c r="T32" s="8"/>
      <c r="U32" s="8"/>
      <c r="V32" s="8"/>
      <c r="W32" s="8"/>
      <c r="X32" s="8"/>
      <c r="Y32" s="8"/>
      <c r="Z32" s="8"/>
    </row>
    <row r="33" spans="1:21" s="7" customFormat="1" ht="17.25" customHeight="1">
      <c r="A33" s="368" t="s">
        <v>284</v>
      </c>
      <c r="B33" s="368" t="s">
        <v>335</v>
      </c>
      <c r="C33" s="423"/>
      <c r="D33" s="423"/>
      <c r="E33" s="423"/>
      <c r="F33" s="674">
        <f>VLOOKUP($A$2,'Costs Summary'!$B$183:$R$205,COLUMNS('Costs Summary'!$B$183:F$205)+1,0)</f>
        <v>218766.34715634456</v>
      </c>
      <c r="G33" s="674">
        <f>VLOOKUP($A$2,'Costs Summary'!$B$183:$R$205,COLUMNS('Costs Summary'!$B$183:G$205)+1,0)</f>
        <v>91470.335116709975</v>
      </c>
      <c r="H33" s="674">
        <f>VLOOKUP($A$2,'Costs Summary'!$B$183:$R$205,COLUMNS('Costs Summary'!$B$183:H$205)+1,0)</f>
        <v>94214.445170211286</v>
      </c>
      <c r="I33" s="674">
        <f>VLOOKUP($A$2,'Costs Summary'!$B$183:$R$205,COLUMNS('Costs Summary'!$B$183:I$205)+1,0)</f>
        <v>97040.878525317617</v>
      </c>
      <c r="J33" s="674">
        <f>VLOOKUP($A$2,'Costs Summary'!$B$183:$R$205,COLUMNS('Costs Summary'!$B$183:J$205)+1,0)</f>
        <v>99952.104881077146</v>
      </c>
      <c r="K33" s="674">
        <f>VLOOKUP($A$2,'Costs Summary'!$B$183:$R$205,COLUMNS('Costs Summary'!$B$183:K$205)+1,0)</f>
        <v>102950.66802750948</v>
      </c>
      <c r="L33" s="674">
        <f>VLOOKUP($A$2,'Costs Summary'!$B$183:$R$205,COLUMNS('Costs Summary'!$B$183:L$205)+1,0)</f>
        <v>106039.18806833477</v>
      </c>
      <c r="M33" s="674">
        <f>VLOOKUP($A$2,'Costs Summary'!$B$183:$R$205,COLUMNS('Costs Summary'!$B$183:M$205)+1,0)</f>
        <v>109220.36371038482</v>
      </c>
      <c r="N33" s="674">
        <f>VLOOKUP($A$2,'Costs Summary'!$B$183:$R$205,COLUMNS('Costs Summary'!$B$183:N$205)+1,0)</f>
        <v>112496.97462169637</v>
      </c>
      <c r="O33" s="674">
        <f>VLOOKUP($A$2,'Costs Summary'!$B$183:$R$205,COLUMNS('Costs Summary'!$B$183:O$205)+1,0)</f>
        <v>115871.88386034727</v>
      </c>
      <c r="P33" s="674">
        <f>VLOOKUP($A$2,'Costs Summary'!$B$183:$R$205,COLUMNS('Costs Summary'!$B$183:P$205)+1,0)</f>
        <v>119348.0403761577</v>
      </c>
      <c r="Q33" s="433">
        <f>SUM(G33:P33)</f>
        <v>1048604.8823577464</v>
      </c>
      <c r="R33" s="366"/>
      <c r="S33" s="357"/>
      <c r="T33" s="8"/>
      <c r="U33" s="8"/>
    </row>
    <row r="34" spans="1:21" s="7" customFormat="1" ht="17.25" customHeight="1">
      <c r="A34" s="368" t="s">
        <v>284</v>
      </c>
      <c r="B34" s="368" t="s">
        <v>336</v>
      </c>
      <c r="H34" s="674">
        <f>VLOOKUP($A$2,'Costs Summary'!$B$241:$R$263,COLUMNS('Costs Summary'!$B$241:H263)+1,0)</f>
        <v>15257.726911799999</v>
      </c>
      <c r="I34" s="674">
        <f>VLOOKUP($A$2,'Costs Summary'!$B$241:$R$263,COLUMNS('Costs Summary'!$B$241:I263)+1,0)</f>
        <v>15257.726911799999</v>
      </c>
      <c r="J34" s="674">
        <f>VLOOKUP($A$2,'Costs Summary'!$B$241:$R$263,COLUMNS('Costs Summary'!$B$241:J263)+1,0)</f>
        <v>15257.726911799999</v>
      </c>
      <c r="K34" s="674">
        <f>VLOOKUP($A$2,'Costs Summary'!$B$241:$R$263,COLUMNS('Costs Summary'!$B$241:K263)+1,0)</f>
        <v>15257.726911799999</v>
      </c>
      <c r="L34" s="674">
        <f>VLOOKUP($A$2,'Costs Summary'!$B$241:$R$263,COLUMNS('Costs Summary'!$B$241:L263)+1,0)</f>
        <v>15257.726911799999</v>
      </c>
      <c r="M34" s="674">
        <f>VLOOKUP($A$2,'Costs Summary'!$B$241:$R$263,COLUMNS('Costs Summary'!$B$241:M263)+1,0)</f>
        <v>15257.726911799999</v>
      </c>
      <c r="N34" s="674">
        <f>VLOOKUP($A$2,'Costs Summary'!$B$241:$R$263,COLUMNS('Costs Summary'!$B$241:N263)+1,0)</f>
        <v>15257.726911799999</v>
      </c>
      <c r="O34" s="674">
        <f>VLOOKUP($A$2,'Costs Summary'!$B$241:$R$263,COLUMNS('Costs Summary'!$B$241:O263)+1,0)</f>
        <v>15257.726911799999</v>
      </c>
      <c r="P34" s="674">
        <f>VLOOKUP($A$2,'Costs Summary'!$B$241:$R$263,COLUMNS('Costs Summary'!$B$241:P263)+1,0)</f>
        <v>15257.726911799999</v>
      </c>
      <c r="Q34" s="433">
        <f>SUM(G34:P34)</f>
        <v>137319.54220619999</v>
      </c>
      <c r="R34" s="366"/>
      <c r="S34" s="357"/>
      <c r="T34" s="8"/>
      <c r="U34" s="8"/>
    </row>
    <row r="35" spans="1:21" s="7" customFormat="1" ht="17.25" customHeight="1">
      <c r="A35" s="419" t="s">
        <v>319</v>
      </c>
      <c r="B35" s="419" t="s">
        <v>665</v>
      </c>
      <c r="C35" s="423"/>
      <c r="D35" s="423"/>
      <c r="E35" s="423"/>
      <c r="F35" s="423"/>
      <c r="G35" s="423"/>
      <c r="H35" s="674">
        <f>VLOOKUP($A$2,'Costs Summary'!$B$212:$R$234,COLUMNS('Costs Summary'!$B$212:H$234)+1,0)</f>
        <v>2194.6701001003244</v>
      </c>
      <c r="I35" s="674">
        <f>VLOOKUP($A$2,'Costs Summary'!$B$212:$R$234,COLUMNS('Costs Summary'!$B$212:I$234)+1,0)</f>
        <v>1984.0811059888492</v>
      </c>
      <c r="J35" s="674">
        <f>VLOOKUP($A$2,'Costs Summary'!$B$212:$R$234,COLUMNS('Costs Summary'!$B$212:J$234)+1,0)</f>
        <v>1773.4921118773741</v>
      </c>
      <c r="K35" s="674">
        <f>VLOOKUP($A$2,'Costs Summary'!$B$212:$R$234,COLUMNS('Costs Summary'!$B$212:K$234)+1,0)</f>
        <v>1562.903117765899</v>
      </c>
      <c r="L35" s="674">
        <f>VLOOKUP($A$2,'Costs Summary'!$B$212:$R$234,COLUMNS('Costs Summary'!$B$212:L$234)+1,0)</f>
        <v>1352.3141236544238</v>
      </c>
      <c r="M35" s="674">
        <f>VLOOKUP($A$2,'Costs Summary'!$B$212:$R$234,COLUMNS('Costs Summary'!$B$212:M$234)+1,0)</f>
        <v>1141.7251295429492</v>
      </c>
      <c r="N35" s="674">
        <f>VLOOKUP($A$2,'Costs Summary'!$B$212:$R$234,COLUMNS('Costs Summary'!$B$212:N$234)+1,0)</f>
        <v>931.13613543147414</v>
      </c>
      <c r="O35" s="674">
        <f>VLOOKUP($A$2,'Costs Summary'!$B$212:$R$234,COLUMNS('Costs Summary'!$B$212:O$234)+1,0)</f>
        <v>720.54714131999913</v>
      </c>
      <c r="P35" s="674">
        <f>VLOOKUP($A$2,'Costs Summary'!$B$212:$R$234,COLUMNS('Costs Summary'!$B$212:P$234)+1,0)</f>
        <v>720.54714131999992</v>
      </c>
      <c r="Q35" s="433">
        <f>SUM(G35:P35)</f>
        <v>12381.416107001292</v>
      </c>
      <c r="R35" s="366"/>
      <c r="S35" s="357"/>
      <c r="T35" s="8"/>
      <c r="U35" s="8"/>
    </row>
    <row r="36" spans="1:21" s="7" customFormat="1" ht="17.25" customHeight="1" thickBot="1">
      <c r="A36" s="437" t="s">
        <v>338</v>
      </c>
      <c r="C36" s="423"/>
      <c r="D36" s="423"/>
      <c r="E36" s="368" t="s">
        <v>669</v>
      </c>
      <c r="F36" s="676">
        <f t="shared" ref="F36:P36" si="10">SUM(F32:F35)</f>
        <v>218766.34715634456</v>
      </c>
      <c r="G36" s="676">
        <f t="shared" si="10"/>
        <v>399026.50684462133</v>
      </c>
      <c r="H36" s="676">
        <f t="shared" si="10"/>
        <v>429987.47992049984</v>
      </c>
      <c r="I36" s="676">
        <f t="shared" si="10"/>
        <v>443744.5466023382</v>
      </c>
      <c r="J36" s="676">
        <f t="shared" si="10"/>
        <v>457976.34906605934</v>
      </c>
      <c r="K36" s="676">
        <f t="shared" si="10"/>
        <v>472699.07909902587</v>
      </c>
      <c r="L36" s="676">
        <f t="shared" si="10"/>
        <v>487929.48248220794</v>
      </c>
      <c r="M36" s="676">
        <f t="shared" si="10"/>
        <v>503684.87799839111</v>
      </c>
      <c r="N36" s="676">
        <f t="shared" si="10"/>
        <v>582363.91236492386</v>
      </c>
      <c r="O36" s="676">
        <f t="shared" si="10"/>
        <v>601406.96522382309</v>
      </c>
      <c r="P36" s="676">
        <f t="shared" si="10"/>
        <v>621317.60999549588</v>
      </c>
      <c r="Q36" s="462">
        <f t="shared" ref="Q36" si="11">SUM(Q32:Q35)</f>
        <v>5000136.809597387</v>
      </c>
      <c r="R36" s="366"/>
      <c r="S36" s="357"/>
      <c r="T36" s="8"/>
      <c r="U36" s="8"/>
    </row>
    <row r="37" spans="1:21" s="7" customFormat="1" ht="17.25" customHeight="1" thickTop="1" thickBot="1">
      <c r="C37" s="423"/>
      <c r="D37" s="423"/>
      <c r="E37" s="368" t="s">
        <v>340</v>
      </c>
      <c r="F37" s="675">
        <f>F36/(VLOOKUP($A$2,'Asset Attributes'!$B$3:$D$25,3,0))</f>
        <v>10.486858115926589</v>
      </c>
      <c r="G37" s="675">
        <f>G36/(VLOOKUP($A$2,'Asset Attributes'!$B$3:$D$25,3,0))</f>
        <v>19.127870516495918</v>
      </c>
      <c r="H37" s="675">
        <f>H36/(VLOOKUP($A$2,'Asset Attributes'!$B$3:$D$25,3,0))</f>
        <v>20.612026265303669</v>
      </c>
      <c r="I37" s="675">
        <f>I36/(VLOOKUP($A$2,'Asset Attributes'!$B$3:$D$25,3,0))</f>
        <v>21.271489698592504</v>
      </c>
      <c r="J37" s="675">
        <f>J36/(VLOOKUP($A$2,'Asset Attributes'!$B$3:$D$25,3,0))</f>
        <v>21.953710227988079</v>
      </c>
      <c r="K37" s="675">
        <f>K36/(VLOOKUP($A$2,'Asset Attributes'!$B$3:$D$25,3,0))</f>
        <v>22.659464028523363</v>
      </c>
      <c r="L37" s="675">
        <f>L36/(VLOOKUP($A$2,'Asset Attributes'!$B$3:$D$25,3,0))</f>
        <v>23.38955383165754</v>
      </c>
      <c r="M37" s="675">
        <f>M36/(VLOOKUP($A$2,'Asset Attributes'!$B$3:$D$25,3,0))</f>
        <v>24.144809836459956</v>
      </c>
      <c r="N37" s="675">
        <f>N36/(VLOOKUP($A$2,'Asset Attributes'!$B$3:$D$25,3,0))</f>
        <v>27.916394821193801</v>
      </c>
      <c r="O37" s="675">
        <f>O36/(VLOOKUP($A$2,'Asset Attributes'!$B$3:$D$25,3,0))</f>
        <v>28.829249087954704</v>
      </c>
      <c r="P37" s="675">
        <f>P36/(VLOOKUP($A$2,'Asset Attributes'!$B$3:$D$25,3,0))</f>
        <v>29.783692536095867</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ACT2</v>
      </c>
      <c r="B39" s="368" t="s">
        <v>342</v>
      </c>
      <c r="C39" s="423"/>
      <c r="D39" s="423"/>
      <c r="E39" s="367"/>
      <c r="F39" s="674">
        <f>VLOOKUP($A$2,'Costs Summary'!$B$4:$R$26,COLUMNS('Costs Summary'!$B$4:F$26)+1,0)</f>
        <v>0</v>
      </c>
      <c r="G39" s="674">
        <f>VLOOKUP($A$2,'Costs Summary'!$B$4:$R$26,COLUMNS('Costs Summary'!$B$4:G$26)+1,0)</f>
        <v>307556.17172791134</v>
      </c>
      <c r="H39" s="674">
        <f>VLOOKUP($A$2,'Costs Summary'!$B$4:$R$26,COLUMNS('Costs Summary'!$B$4:H$26)+1,0)</f>
        <v>318320.63773838821</v>
      </c>
      <c r="I39" s="674">
        <f>VLOOKUP($A$2,'Costs Summary'!$B$4:$R$26,COLUMNS('Costs Summary'!$B$4:I$26)+1,0)</f>
        <v>329461.86005923175</v>
      </c>
      <c r="J39" s="674">
        <f>VLOOKUP($A$2,'Costs Summary'!$B$4:$R$26,COLUMNS('Costs Summary'!$B$4:J$26)+1,0)</f>
        <v>340993.02516130486</v>
      </c>
      <c r="K39" s="674">
        <f>VLOOKUP($A$2,'Costs Summary'!$B$4:$R$26,COLUMNS('Costs Summary'!$B$4:K$26)+1,0)</f>
        <v>352927.78104195051</v>
      </c>
      <c r="L39" s="674">
        <f>VLOOKUP($A$2,'Costs Summary'!$B$4:$R$26,COLUMNS('Costs Summary'!$B$4:L$26)+1,0)</f>
        <v>365280.25337841874</v>
      </c>
      <c r="M39" s="674">
        <f>VLOOKUP($A$2,'Costs Summary'!$B$4:$R$26,COLUMNS('Costs Summary'!$B$4:M$26)+1,0)</f>
        <v>378065.06224666338</v>
      </c>
      <c r="N39" s="674">
        <f>VLOOKUP($A$2,'Costs Summary'!$B$4:$R$26,COLUMNS('Costs Summary'!$B$4:N$26)+1,0)</f>
        <v>453678.07469599601</v>
      </c>
      <c r="O39" s="674">
        <f>VLOOKUP($A$2,'Costs Summary'!$B$4:$R$26,COLUMNS('Costs Summary'!$B$4:O$26)+1,0)</f>
        <v>469556.80731035583</v>
      </c>
      <c r="P39" s="674">
        <f>VLOOKUP($A$2,'Costs Summary'!$B$4:$R$26,COLUMNS('Costs Summary'!$B$4:P$26)+1,0)</f>
        <v>485991.29556621826</v>
      </c>
      <c r="Q39" s="433">
        <f>SUM(G39:P39)</f>
        <v>3801830.9689264391</v>
      </c>
      <c r="R39" s="366"/>
      <c r="S39" s="357"/>
      <c r="T39" s="8"/>
      <c r="U39" s="8"/>
    </row>
    <row r="40" spans="1:21" s="7" customFormat="1" ht="17.25" customHeight="1">
      <c r="A40" s="368" t="s">
        <v>284</v>
      </c>
      <c r="B40" s="368" t="s">
        <v>343</v>
      </c>
      <c r="C40" s="423"/>
      <c r="D40" s="423"/>
      <c r="E40" s="423"/>
      <c r="F40" s="674">
        <f>VLOOKUP($A$2,'Costs Summary'!$B$33:$R$55,COLUMNS('Costs Summary'!$B$33:F$55)+1,0)</f>
        <v>40614.412500000006</v>
      </c>
      <c r="G40" s="674">
        <f>VLOOKUP($A$2,'Costs Summary'!$B$33:$R$55,COLUMNS('Costs Summary'!$B$33:G$55)+1,0)</f>
        <v>91470.335116709975</v>
      </c>
      <c r="H40" s="674">
        <f>VLOOKUP($A$2,'Costs Summary'!$B$33:$R$55,COLUMNS('Costs Summary'!$B$33:H$55)+1,0)</f>
        <v>94214.445170211286</v>
      </c>
      <c r="I40" s="674">
        <f>VLOOKUP($A$2,'Costs Summary'!$B$33:$R$55,COLUMNS('Costs Summary'!$B$33:I$55)+1,0)</f>
        <v>97040.878525317617</v>
      </c>
      <c r="J40" s="674">
        <f>VLOOKUP($A$2,'Costs Summary'!$B$33:$R$55,COLUMNS('Costs Summary'!$B$33:J$55)+1,0)</f>
        <v>99952.104881077146</v>
      </c>
      <c r="K40" s="674">
        <f>VLOOKUP($A$2,'Costs Summary'!$B$33:$R$55,COLUMNS('Costs Summary'!$B$33:K$55)+1,0)</f>
        <v>102950.66802750948</v>
      </c>
      <c r="L40" s="674">
        <f>VLOOKUP($A$2,'Costs Summary'!$B$33:$R$55,COLUMNS('Costs Summary'!$B$33:L$55)+1,0)</f>
        <v>106039.18806833477</v>
      </c>
      <c r="M40" s="674">
        <f>VLOOKUP($A$2,'Costs Summary'!$B$33:$R$55,COLUMNS('Costs Summary'!$B$33:M$55)+1,0)</f>
        <v>109220.36371038482</v>
      </c>
      <c r="N40" s="674">
        <f>VLOOKUP($A$2,'Costs Summary'!$B$33:$R$55,COLUMNS('Costs Summary'!$B$33:N$55)+1,0)</f>
        <v>112496.97462169637</v>
      </c>
      <c r="O40" s="674">
        <f>VLOOKUP($A$2,'Costs Summary'!$B$33:$R$55,COLUMNS('Costs Summary'!$B$33:O$55)+1,0)</f>
        <v>115871.88386034727</v>
      </c>
      <c r="P40" s="674">
        <f>VLOOKUP($A$2,'Costs Summary'!$B$33:$R$55,COLUMNS('Costs Summary'!$B$33:P$55)+1,0)</f>
        <v>119348.0403761577</v>
      </c>
      <c r="Q40" s="433">
        <f>SUM(G40:P40)</f>
        <v>1048604.8823577464</v>
      </c>
      <c r="R40" s="366"/>
      <c r="S40" s="357"/>
      <c r="T40" s="8"/>
      <c r="U40" s="8"/>
    </row>
    <row r="41" spans="1:21" s="7" customFormat="1" ht="17.25" customHeight="1">
      <c r="A41" s="368" t="s">
        <v>284</v>
      </c>
      <c r="B41" s="368" t="s">
        <v>336</v>
      </c>
      <c r="H41" s="674">
        <f>VLOOKUP($A$2,'Costs Summary'!$B$125:$R$147,COLUMNS('Costs Summary'!$B$125:H$147)+1,0)</f>
        <v>15257.726911799999</v>
      </c>
      <c r="I41" s="674">
        <f>VLOOKUP($A$2,'Costs Summary'!$B$125:$R$147,COLUMNS('Costs Summary'!$B$125:I$147)+1,0)</f>
        <v>15257.726911799999</v>
      </c>
      <c r="J41" s="674">
        <f>VLOOKUP($A$2,'Costs Summary'!$B$125:$R$147,COLUMNS('Costs Summary'!$B$125:J$147)+1,0)</f>
        <v>15257.726911799999</v>
      </c>
      <c r="K41" s="674">
        <f>VLOOKUP($A$2,'Costs Summary'!$B$125:$R$147,COLUMNS('Costs Summary'!$B$125:K$147)+1,0)</f>
        <v>15257.726911799999</v>
      </c>
      <c r="L41" s="674">
        <f>VLOOKUP($A$2,'Costs Summary'!$B$125:$R$147,COLUMNS('Costs Summary'!$B$125:L$147)+1,0)</f>
        <v>15257.726911799999</v>
      </c>
      <c r="M41" s="674">
        <f>VLOOKUP($A$2,'Costs Summary'!$B$125:$R$147,COLUMNS('Costs Summary'!$B$125:M$147)+1,0)</f>
        <v>15257.726911799999</v>
      </c>
      <c r="N41" s="674">
        <f>VLOOKUP($A$2,'Costs Summary'!$B$125:$R$147,COLUMNS('Costs Summary'!$B$125:N$147)+1,0)</f>
        <v>15257.726911799999</v>
      </c>
      <c r="O41" s="674">
        <f>VLOOKUP($A$2,'Costs Summary'!$B$125:$R$147,COLUMNS('Costs Summary'!$B$125:O$147)+1,0)</f>
        <v>15257.726911799999</v>
      </c>
      <c r="P41" s="674">
        <f>VLOOKUP($A$2,'Costs Summary'!$B$125:$R$147,COLUMNS('Costs Summary'!$B$125:P$147)+1,0)</f>
        <v>15257.726911799999</v>
      </c>
      <c r="Q41" s="433">
        <f t="shared" ref="Q41:Q42" si="12">SUM(G41:P41)</f>
        <v>137319.54220619999</v>
      </c>
      <c r="R41" s="366"/>
      <c r="S41" s="357"/>
      <c r="T41" s="8"/>
      <c r="U41" s="8"/>
    </row>
    <row r="42" spans="1:21" s="7" customFormat="1" ht="17.25" customHeight="1">
      <c r="A42" s="419" t="s">
        <v>319</v>
      </c>
      <c r="B42" s="419" t="s">
        <v>666</v>
      </c>
      <c r="C42" s="423"/>
      <c r="D42" s="423"/>
      <c r="E42" s="423"/>
      <c r="F42" s="423"/>
      <c r="G42" s="423"/>
      <c r="H42" s="674">
        <f>VLOOKUP($A$2,'Costs Summary'!$B$212:$R$234,COLUMNS('Costs Summary'!$B$212:H$234)+1,0)</f>
        <v>2194.6701001003244</v>
      </c>
      <c r="I42" s="674">
        <f>VLOOKUP($A$2,'Costs Summary'!$B$212:$R$234,COLUMNS('Costs Summary'!$B$212:I$234)+1,0)</f>
        <v>1984.0811059888492</v>
      </c>
      <c r="J42" s="674">
        <f>VLOOKUP($A$2,'Costs Summary'!$B$212:$R$234,COLUMNS('Costs Summary'!$B$212:J$234)+1,0)</f>
        <v>1773.4921118773741</v>
      </c>
      <c r="K42" s="674">
        <f>VLOOKUP($A$2,'Costs Summary'!$B$212:$R$234,COLUMNS('Costs Summary'!$B$212:K$234)+1,0)</f>
        <v>1562.903117765899</v>
      </c>
      <c r="L42" s="674">
        <f>VLOOKUP($A$2,'Costs Summary'!$B$212:$R$234,COLUMNS('Costs Summary'!$B$212:L$234)+1,0)</f>
        <v>1352.3141236544238</v>
      </c>
      <c r="M42" s="674">
        <f>VLOOKUP($A$2,'Costs Summary'!$B$212:$R$234,COLUMNS('Costs Summary'!$B$212:M$234)+1,0)</f>
        <v>1141.7251295429492</v>
      </c>
      <c r="N42" s="674">
        <f>VLOOKUP($A$2,'Costs Summary'!$B$212:$R$234,COLUMNS('Costs Summary'!$B$212:N$234)+1,0)</f>
        <v>931.13613543147414</v>
      </c>
      <c r="O42" s="674">
        <f>VLOOKUP($A$2,'Costs Summary'!$B$212:$R$234,COLUMNS('Costs Summary'!$B$212:O$234)+1,0)</f>
        <v>720.54714131999913</v>
      </c>
      <c r="P42" s="674">
        <f>VLOOKUP($A$2,'Costs Summary'!$B$212:$R$234,COLUMNS('Costs Summary'!$B$212:P$234)+1,0)</f>
        <v>720.54714131999992</v>
      </c>
      <c r="Q42" s="433">
        <f t="shared" si="12"/>
        <v>12381.416107001292</v>
      </c>
      <c r="R42" s="366"/>
      <c r="S42" s="357"/>
      <c r="T42" s="8"/>
      <c r="U42" s="8"/>
    </row>
    <row r="43" spans="1:21" s="7" customFormat="1" ht="17.25" customHeight="1" thickBot="1">
      <c r="A43" s="437" t="s">
        <v>338</v>
      </c>
      <c r="E43" s="368" t="s">
        <v>669</v>
      </c>
      <c r="F43" s="676">
        <f t="shared" ref="F43:P43" si="13">SUM(F39:F42)</f>
        <v>40614.412500000006</v>
      </c>
      <c r="G43" s="676">
        <f t="shared" si="13"/>
        <v>399026.50684462133</v>
      </c>
      <c r="H43" s="676">
        <f t="shared" si="13"/>
        <v>429987.47992049984</v>
      </c>
      <c r="I43" s="676">
        <f t="shared" si="13"/>
        <v>443744.5466023382</v>
      </c>
      <c r="J43" s="676">
        <f t="shared" si="13"/>
        <v>457976.34906605934</v>
      </c>
      <c r="K43" s="676">
        <f t="shared" si="13"/>
        <v>472699.07909902587</v>
      </c>
      <c r="L43" s="676">
        <f t="shared" si="13"/>
        <v>487929.48248220794</v>
      </c>
      <c r="M43" s="676">
        <f t="shared" si="13"/>
        <v>503684.87799839111</v>
      </c>
      <c r="N43" s="676">
        <f t="shared" si="13"/>
        <v>582363.91236492386</v>
      </c>
      <c r="O43" s="676">
        <f t="shared" si="13"/>
        <v>601406.96522382309</v>
      </c>
      <c r="P43" s="676">
        <f t="shared" si="13"/>
        <v>621317.60999549588</v>
      </c>
      <c r="Q43" s="462">
        <f t="shared" ref="Q43" si="14">SUM(Q39:Q42)</f>
        <v>5000136.809597387</v>
      </c>
      <c r="R43" s="366"/>
      <c r="S43" s="357"/>
      <c r="T43" s="8"/>
      <c r="U43" s="8"/>
    </row>
    <row r="44" spans="1:21" s="7" customFormat="1" ht="17.25" customHeight="1" thickTop="1" thickBot="1">
      <c r="E44" s="368" t="s">
        <v>340</v>
      </c>
      <c r="F44" s="675">
        <f>F43/(VLOOKUP($A$2,'Asset Attributes'!$B$3:$D$25,3,0))</f>
        <v>1.9469063084224154</v>
      </c>
      <c r="G44" s="675">
        <f>G43/(VLOOKUP($A$2,'Asset Attributes'!$B$3:$D$25,3,0))</f>
        <v>19.127870516495918</v>
      </c>
      <c r="H44" s="675">
        <f>H43/(VLOOKUP($A$2,'Asset Attributes'!$B$3:$D$25,3,0))</f>
        <v>20.612026265303669</v>
      </c>
      <c r="I44" s="675">
        <f>I43/(VLOOKUP($A$2,'Asset Attributes'!$B$3:$D$25,3,0))</f>
        <v>21.271489698592504</v>
      </c>
      <c r="J44" s="675">
        <f>J43/(VLOOKUP($A$2,'Asset Attributes'!$B$3:$D$25,3,0))</f>
        <v>21.953710227988079</v>
      </c>
      <c r="K44" s="675">
        <f>K43/(VLOOKUP($A$2,'Asset Attributes'!$B$3:$D$25,3,0))</f>
        <v>22.659464028523363</v>
      </c>
      <c r="L44" s="675">
        <f>L43/(VLOOKUP($A$2,'Asset Attributes'!$B$3:$D$25,3,0))</f>
        <v>23.38955383165754</v>
      </c>
      <c r="M44" s="675">
        <f>M43/(VLOOKUP($A$2,'Asset Attributes'!$B$3:$D$25,3,0))</f>
        <v>24.144809836459956</v>
      </c>
      <c r="N44" s="675">
        <f>N43/(VLOOKUP($A$2,'Asset Attributes'!$B$3:$D$25,3,0))</f>
        <v>27.916394821193801</v>
      </c>
      <c r="O44" s="675">
        <f>O43/(VLOOKUP($A$2,'Asset Attributes'!$B$3:$D$25,3,0))</f>
        <v>28.829249087954704</v>
      </c>
      <c r="P44" s="675">
        <f>P43/(VLOOKUP($A$2,'Asset Attributes'!$B$3:$D$25,3,0))</f>
        <v>29.783692536095867</v>
      </c>
      <c r="Q44" s="460">
        <f>Q43/(VLOOKUP($A$2,'Asset Attributes'!$B$3:$D$25,3,0))</f>
        <v>239.68826085026544</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676">
        <f>F43-F36</f>
        <v>-178151.93465634456</v>
      </c>
      <c r="G46" s="676">
        <f t="shared" ref="G46:P46" si="15">G43-G36</f>
        <v>0</v>
      </c>
      <c r="H46" s="676">
        <f t="shared" si="15"/>
        <v>0</v>
      </c>
      <c r="I46" s="676">
        <f t="shared" si="15"/>
        <v>0</v>
      </c>
      <c r="J46" s="676">
        <f t="shared" si="15"/>
        <v>0</v>
      </c>
      <c r="K46" s="676">
        <f t="shared" si="15"/>
        <v>0</v>
      </c>
      <c r="L46" s="676">
        <f t="shared" si="15"/>
        <v>0</v>
      </c>
      <c r="M46" s="676">
        <f t="shared" si="15"/>
        <v>0</v>
      </c>
      <c r="N46" s="676">
        <f t="shared" si="15"/>
        <v>0</v>
      </c>
      <c r="O46" s="676">
        <f t="shared" si="15"/>
        <v>0</v>
      </c>
      <c r="P46" s="676">
        <f t="shared" si="15"/>
        <v>0</v>
      </c>
      <c r="Q46" s="462">
        <f>SUM(F46:P46)</f>
        <v>-178151.93465634456</v>
      </c>
      <c r="R46" s="366"/>
      <c r="S46" s="357"/>
      <c r="T46" s="8"/>
      <c r="U46" s="8"/>
    </row>
    <row r="47" spans="1:21" s="7" customFormat="1" ht="17.25" customHeight="1" thickTop="1" thickBot="1">
      <c r="A47" s="9"/>
      <c r="B47" s="1"/>
      <c r="C47" s="2"/>
      <c r="D47" s="2"/>
      <c r="E47" s="368" t="s">
        <v>340</v>
      </c>
      <c r="F47" s="675">
        <f>F46/(VLOOKUP($A$2,'Asset Attributes'!$B$3:$D$25,3,0))</f>
        <v>-8.539951807504174</v>
      </c>
      <c r="G47" s="675">
        <f>G46/(VLOOKUP($A$2,'Asset Attributes'!$B$3:$D$25,3,0))</f>
        <v>0</v>
      </c>
      <c r="H47" s="675">
        <f>H46/(VLOOKUP($A$2,'Asset Attributes'!$B$3:$D$25,3,0))</f>
        <v>0</v>
      </c>
      <c r="I47" s="675">
        <f>I46/(VLOOKUP($A$2,'Asset Attributes'!$B$3:$D$25,3,0))</f>
        <v>0</v>
      </c>
      <c r="J47" s="675">
        <f>J46/(VLOOKUP($A$2,'Asset Attributes'!$B$3:$D$25,3,0))</f>
        <v>0</v>
      </c>
      <c r="K47" s="675">
        <f>K46/(VLOOKUP($A$2,'Asset Attributes'!$B$3:$D$25,3,0))</f>
        <v>0</v>
      </c>
      <c r="L47" s="675">
        <f>L46/(VLOOKUP($A$2,'Asset Attributes'!$B$3:$D$25,3,0))</f>
        <v>0</v>
      </c>
      <c r="M47" s="675">
        <f>M46/(VLOOKUP($A$2,'Asset Attributes'!$B$3:$D$25,3,0))</f>
        <v>0</v>
      </c>
      <c r="N47" s="675">
        <f>N46/(VLOOKUP($A$2,'Asset Attributes'!$B$3:$D$25,3,0))</f>
        <v>0</v>
      </c>
      <c r="O47" s="675">
        <f>O46/(VLOOKUP($A$2,'Asset Attributes'!$B$3:$D$25,3,0))</f>
        <v>0</v>
      </c>
      <c r="P47" s="675">
        <f>P46/(VLOOKUP($A$2,'Asset Attributes'!$B$3:$D$25,3,0))</f>
        <v>0</v>
      </c>
      <c r="Q47" s="460">
        <f>Q46/(VLOOKUP($A$2,'Asset Attributes'!$B$3:$D$25,3,0))</f>
        <v>-8.539951807504174</v>
      </c>
      <c r="R47" s="366"/>
      <c r="S47" s="357"/>
      <c r="T47" s="8"/>
      <c r="U47" s="8"/>
    </row>
    <row r="48" spans="1:21" s="7" customFormat="1" ht="17.25" customHeight="1" thickTop="1">
      <c r="A48" s="436" t="s">
        <v>345</v>
      </c>
      <c r="B48" s="1"/>
      <c r="C48" s="2"/>
      <c r="D48" s="2"/>
      <c r="E48" s="368"/>
      <c r="F48" s="677"/>
      <c r="G48" s="677"/>
      <c r="H48" s="677"/>
      <c r="I48" s="677"/>
      <c r="J48" s="677"/>
      <c r="K48" s="677"/>
      <c r="L48" s="677"/>
      <c r="M48" s="677"/>
      <c r="N48" s="677"/>
      <c r="O48" s="677"/>
      <c r="P48" s="677"/>
      <c r="Q48" s="357"/>
      <c r="R48" s="366"/>
      <c r="S48" s="357"/>
      <c r="T48" s="8"/>
      <c r="U48" s="8"/>
    </row>
    <row r="49" spans="1:24" s="7" customFormat="1" ht="17.25" customHeight="1">
      <c r="B49" s="368" t="s">
        <v>346</v>
      </c>
      <c r="C49" s="2"/>
      <c r="D49" s="2"/>
      <c r="E49" s="459" t="s">
        <v>347</v>
      </c>
      <c r="F49" s="463"/>
      <c r="G49" s="678">
        <f t="shared" ref="G49:P49" si="16">G115</f>
        <v>0</v>
      </c>
      <c r="H49" s="678">
        <f t="shared" si="16"/>
        <v>0</v>
      </c>
      <c r="I49" s="678">
        <f t="shared" si="16"/>
        <v>0</v>
      </c>
      <c r="J49" s="678">
        <f t="shared" si="16"/>
        <v>0</v>
      </c>
      <c r="K49" s="678">
        <f t="shared" si="16"/>
        <v>0</v>
      </c>
      <c r="L49" s="678">
        <f t="shared" si="16"/>
        <v>0</v>
      </c>
      <c r="M49" s="678">
        <f t="shared" si="16"/>
        <v>0</v>
      </c>
      <c r="N49" s="678">
        <f t="shared" si="16"/>
        <v>0</v>
      </c>
      <c r="O49" s="678">
        <f t="shared" si="16"/>
        <v>0</v>
      </c>
      <c r="P49" s="678">
        <f t="shared" si="16"/>
        <v>0</v>
      </c>
      <c r="Q49" s="465">
        <f>+SUM(F49:P49)</f>
        <v>0</v>
      </c>
      <c r="R49" s="366"/>
      <c r="S49" s="357"/>
      <c r="T49" s="8"/>
      <c r="U49" s="8"/>
      <c r="V49" s="8"/>
      <c r="W49" s="8"/>
      <c r="X49" s="8"/>
    </row>
    <row r="50" spans="1:24" s="7" customFormat="1" ht="17.25" customHeight="1">
      <c r="A50" s="9"/>
      <c r="B50" s="368"/>
      <c r="C50" s="2"/>
      <c r="D50" s="2"/>
      <c r="E50" s="459" t="s">
        <v>348</v>
      </c>
      <c r="F50" s="679">
        <f>F46</f>
        <v>-178151.93465634456</v>
      </c>
      <c r="G50" s="679">
        <f t="shared" ref="G50:P50" si="17">G46</f>
        <v>0</v>
      </c>
      <c r="H50" s="679">
        <f t="shared" si="17"/>
        <v>0</v>
      </c>
      <c r="I50" s="679">
        <f t="shared" si="17"/>
        <v>0</v>
      </c>
      <c r="J50" s="679">
        <f t="shared" si="17"/>
        <v>0</v>
      </c>
      <c r="K50" s="679">
        <f t="shared" si="17"/>
        <v>0</v>
      </c>
      <c r="L50" s="679">
        <f t="shared" si="17"/>
        <v>0</v>
      </c>
      <c r="M50" s="679">
        <f t="shared" si="17"/>
        <v>0</v>
      </c>
      <c r="N50" s="679">
        <f t="shared" si="17"/>
        <v>0</v>
      </c>
      <c r="O50" s="679">
        <f t="shared" si="17"/>
        <v>0</v>
      </c>
      <c r="P50" s="679">
        <f t="shared" si="17"/>
        <v>0</v>
      </c>
      <c r="Q50" s="467">
        <f>Q46</f>
        <v>-178151.93465634456</v>
      </c>
      <c r="R50" s="366"/>
      <c r="S50" s="357"/>
      <c r="T50" s="8"/>
      <c r="U50" s="8"/>
      <c r="V50" s="8"/>
      <c r="W50" s="8"/>
      <c r="X50" s="8"/>
    </row>
    <row r="51" spans="1:24"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746</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220 London Circuit</v>
      </c>
      <c r="F56" s="440">
        <f t="shared" ref="F56:P56" si="19">F272</f>
        <v>4.790932811480757</v>
      </c>
      <c r="G56" s="440">
        <f t="shared" si="19"/>
        <v>4.790932811480757</v>
      </c>
      <c r="H56" s="440">
        <f t="shared" si="19"/>
        <v>4.790932811480757</v>
      </c>
      <c r="I56" s="440">
        <f t="shared" si="19"/>
        <v>4.790932811480757</v>
      </c>
      <c r="J56" s="440">
        <f t="shared" si="19"/>
        <v>4.790932811480757</v>
      </c>
      <c r="K56" s="440">
        <f t="shared" si="19"/>
        <v>4.790932811480757</v>
      </c>
      <c r="L56" s="440">
        <f t="shared" si="19"/>
        <v>4.790932811480757</v>
      </c>
      <c r="M56" s="440">
        <f t="shared" si="19"/>
        <v>4.790932811480757</v>
      </c>
      <c r="N56" s="440">
        <f t="shared" si="19"/>
        <v>4.790932811480757</v>
      </c>
      <c r="O56" s="440">
        <f t="shared" si="19"/>
        <v>4.790932811480757</v>
      </c>
      <c r="P56" s="440">
        <f t="shared" si="19"/>
        <v>4.790932811480757</v>
      </c>
      <c r="Q56" s="470">
        <f>IF(E56="",0,P56-F56)</f>
        <v>0</v>
      </c>
      <c r="R56" s="473" t="s">
        <v>358</v>
      </c>
      <c r="S56" s="478" t="s">
        <v>20</v>
      </c>
      <c r="T56" s="473" t="s">
        <v>358</v>
      </c>
      <c r="U56" s="478" t="s">
        <v>20</v>
      </c>
      <c r="V56" s="473" t="s">
        <v>358</v>
      </c>
      <c r="W56" s="479" t="s">
        <v>20</v>
      </c>
      <c r="X56" s="14"/>
    </row>
    <row r="57" spans="1:24" ht="25.5" customHeight="1">
      <c r="A57" s="438" t="s">
        <v>6</v>
      </c>
      <c r="C57" s="275" t="s">
        <v>142</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t="str">
        <f>IF(S56="Underway","",R115)</f>
        <v/>
      </c>
      <c r="T57" s="473" t="s">
        <v>669</v>
      </c>
      <c r="U57" s="479" t="str">
        <f>IF(U56="Underway","",S115)</f>
        <v/>
      </c>
      <c r="V57" s="473" t="s">
        <v>361</v>
      </c>
      <c r="W57" s="478"/>
      <c r="X57" s="14"/>
    </row>
    <row r="58" spans="1:24" ht="25.5" customHeight="1">
      <c r="A58" s="438" t="s">
        <v>363</v>
      </c>
      <c r="B58" s="14"/>
      <c r="C58" s="275" t="s">
        <v>364</v>
      </c>
      <c r="D58" s="160"/>
      <c r="E58" s="488" t="str">
        <f>IF(VLOOKUP($A$2,'Asset Attributes'!B3:G25,6,0)&gt;0.001,"IOM","")</f>
        <v/>
      </c>
      <c r="F58" s="439" t="str">
        <f>IF($E$58="IOM",SUMPRODUCT('Footprint Summary'!G153:G175,'Footprint Summary'!$C153:$C175,'Footprint Summary'!$F153:$F175)/SUMPRODUCT('Footprint Summary'!$C153:$C175,'Footprint Summary'!$F153:$F175),"")</f>
        <v/>
      </c>
      <c r="G58" s="439" t="str">
        <f>IF($E$58="IOM",SUMPRODUCT('Footprint Summary'!H153:H175,'Footprint Summary'!$C153:$C175,'Footprint Summary'!$F153:$F175)/SUMPRODUCT('Footprint Summary'!$C153:$C175,'Footprint Summary'!$F153:$F175),"")</f>
        <v/>
      </c>
      <c r="H58" s="439" t="str">
        <f>IF($E$58="IOM",SUMPRODUCT('Footprint Summary'!I153:I175,'Footprint Summary'!$C153:$C175,'Footprint Summary'!$F153:$F175)/SUMPRODUCT('Footprint Summary'!$C153:$C175,'Footprint Summary'!$F153:$F175),"")</f>
        <v/>
      </c>
      <c r="I58" s="439" t="str">
        <f>IF($E$58="IOM",SUMPRODUCT('Footprint Summary'!J153:J175,'Footprint Summary'!$C153:$C175,'Footprint Summary'!$F153:$F175)/SUMPRODUCT('Footprint Summary'!$C153:$C175,'Footprint Summary'!$F153:$F175),"")</f>
        <v/>
      </c>
      <c r="J58" s="439" t="str">
        <f>IF($E$58="IOM",SUMPRODUCT('Footprint Summary'!K153:K175,'Footprint Summary'!$C153:$C175,'Footprint Summary'!$F153:$F175)/SUMPRODUCT('Footprint Summary'!$C153:$C175,'Footprint Summary'!$F153:$F175),"")</f>
        <v/>
      </c>
      <c r="K58" s="439" t="str">
        <f>IF($E$58="IOM",SUMPRODUCT('Footprint Summary'!L153:L175,'Footprint Summary'!$C153:$C175,'Footprint Summary'!$F153:$F175)/SUMPRODUCT('Footprint Summary'!$C153:$C175,'Footprint Summary'!$F153:$F175),"")</f>
        <v/>
      </c>
      <c r="L58" s="439" t="str">
        <f>IF($E$58="IOM",SUMPRODUCT('Footprint Summary'!M153:M175,'Footprint Summary'!$C153:$C175,'Footprint Summary'!$F153:$F175)/SUMPRODUCT('Footprint Summary'!$C153:$C175,'Footprint Summary'!$F153:$F175),"")</f>
        <v/>
      </c>
      <c r="M58" s="439" t="str">
        <f>IF($E$58="IOM",SUMPRODUCT('Footprint Summary'!N153:N175,'Footprint Summary'!$C153:$C175,'Footprint Summary'!$F153:$F175)/SUMPRODUCT('Footprint Summary'!$C153:$C175,'Footprint Summary'!$F153:$F175),"")</f>
        <v/>
      </c>
      <c r="N58" s="439" t="str">
        <f>IF($E$58="IOM",SUMPRODUCT('Footprint Summary'!O153:O175,'Footprint Summary'!$C153:$C175,'Footprint Summary'!$F153:$F175)/SUMPRODUCT('Footprint Summary'!$C153:$C175,'Footprint Summary'!$F153:$F175),"")</f>
        <v/>
      </c>
      <c r="O58" s="439" t="str">
        <f>IF($E$58="IOM",SUMPRODUCT('Footprint Summary'!P153:P175,'Footprint Summary'!$C153:$C175,'Footprint Summary'!$F153:$F175)/SUMPRODUCT('Footprint Summary'!$C153:$C175,'Footprint Summary'!$F153:$F175),"")</f>
        <v/>
      </c>
      <c r="P58" s="439" t="str">
        <f>IF($E$58="IOM",SUMPRODUCT('Footprint Summary'!Q153:Q175,'Footprint Summary'!$C153:$C175,'Footprint Summary'!$F153:$F175)/SUMPRODUCT('Footprint Summary'!$C153:$C175,'Footprint Summary'!$F153:$F175),"")</f>
        <v/>
      </c>
      <c r="Q58" s="470" t="str">
        <f>IF(E58="","",P58-F58)</f>
        <v/>
      </c>
      <c r="R58" s="482" t="s">
        <v>366</v>
      </c>
      <c r="S58" s="479" t="str">
        <f>IF(S56="Underway","",-1*(1000*AL214*D6+AM214*D8))</f>
        <v/>
      </c>
      <c r="T58" s="473" t="s">
        <v>367</v>
      </c>
      <c r="U58" s="478" t="str">
        <f>IF(U56="Underway","",-1*S64)</f>
        <v/>
      </c>
      <c r="V58" s="473" t="s">
        <v>368</v>
      </c>
      <c r="W58" s="478">
        <v>0</v>
      </c>
      <c r="X58" s="14"/>
    </row>
    <row r="59" spans="1:24" ht="25.5" customHeight="1">
      <c r="A59" s="438" t="s">
        <v>369</v>
      </c>
      <c r="B59" s="14"/>
      <c r="C59" s="443">
        <v>2060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t="str">
        <f>V115</f>
        <v/>
      </c>
      <c r="T59" s="473" t="s">
        <v>371</v>
      </c>
      <c r="U59" s="483" t="str">
        <f>IF(U56="Underway","",_xlfn.MAXIFS(E69:E88,S69:S88,"Yes"))</f>
        <v/>
      </c>
      <c r="V59" s="482" t="s">
        <v>372</v>
      </c>
      <c r="W59" s="479">
        <f>T115</f>
        <v>0</v>
      </c>
      <c r="X59" s="14"/>
    </row>
    <row r="60" spans="1:24" ht="25.5" customHeight="1">
      <c r="A60" s="438" t="s">
        <v>373</v>
      </c>
      <c r="B60" s="14"/>
      <c r="C60" s="275">
        <v>20860.96</v>
      </c>
      <c r="D60" s="160"/>
      <c r="Q60" s="10"/>
      <c r="R60" s="473" t="s">
        <v>374</v>
      </c>
      <c r="S60" s="481" t="str">
        <f>IF(S56="Underway","",U115)</f>
        <v/>
      </c>
      <c r="T60" s="10"/>
      <c r="U60" s="10"/>
      <c r="V60" s="473" t="s">
        <v>375</v>
      </c>
      <c r="W60" s="483" t="e">
        <f ca="1">IF(IF(W58=1,"Complete",_xlfn.MAXIFS(E69:E114,T69:T114,"Yes"))=0,"",IF(W58=1,"Complete",_xlfn.MAXIFS(E69:E114,T69:T114,"Yes")))</f>
        <v>#NAME?</v>
      </c>
      <c r="X60" s="14"/>
    </row>
    <row r="61" spans="1:24" ht="25.5" customHeight="1">
      <c r="A61" s="438" t="s">
        <v>376</v>
      </c>
      <c r="B61" s="14"/>
      <c r="C61" s="444">
        <v>61.38</v>
      </c>
      <c r="D61" s="162"/>
      <c r="H61" s="13"/>
      <c r="J61" s="14"/>
      <c r="K61" s="14"/>
      <c r="L61" s="14"/>
      <c r="M61" s="10"/>
      <c r="N61" s="10"/>
      <c r="O61" s="10"/>
      <c r="P61" s="10"/>
      <c r="Q61" s="10"/>
      <c r="R61" s="482" t="s">
        <v>377</v>
      </c>
      <c r="S61" s="481">
        <f>P272</f>
        <v>4.790932811480757</v>
      </c>
      <c r="T61" s="10"/>
      <c r="U61" s="10"/>
      <c r="V61" s="473" t="s">
        <v>378</v>
      </c>
      <c r="W61" s="478">
        <v>0</v>
      </c>
      <c r="X61" s="14"/>
    </row>
    <row r="62" spans="1:24" ht="25.5" customHeight="1">
      <c r="A62" s="438" t="s">
        <v>379</v>
      </c>
      <c r="B62" s="14"/>
      <c r="C62" s="275">
        <v>1111.9480000000001</v>
      </c>
      <c r="H62" s="13"/>
      <c r="J62" s="14"/>
      <c r="K62" s="14"/>
      <c r="L62" s="347"/>
      <c r="M62" s="10"/>
      <c r="N62" s="10"/>
      <c r="O62" s="10"/>
      <c r="P62" s="10"/>
      <c r="Q62" s="10"/>
      <c r="R62" s="482" t="s">
        <v>380</v>
      </c>
      <c r="S62" s="481">
        <f>Q272</f>
        <v>4.790932811480757</v>
      </c>
      <c r="T62" s="10"/>
      <c r="U62" s="10"/>
      <c r="V62" s="10"/>
      <c r="W62" s="14"/>
      <c r="X62" s="14"/>
    </row>
    <row r="63" spans="1:24" ht="25.5" customHeight="1">
      <c r="A63" s="438" t="s">
        <v>382</v>
      </c>
      <c r="B63" s="14"/>
      <c r="C63" s="275">
        <v>4934.9009999999998</v>
      </c>
      <c r="H63" s="13"/>
      <c r="J63" s="14"/>
      <c r="K63" s="14"/>
      <c r="L63" s="10"/>
      <c r="M63" s="10"/>
      <c r="N63" s="10"/>
      <c r="O63" s="10"/>
      <c r="P63" s="10"/>
      <c r="Q63" s="10"/>
      <c r="R63" s="476" t="s">
        <v>383</v>
      </c>
      <c r="S63" s="478">
        <f>C115/C62</f>
        <v>0</v>
      </c>
      <c r="T63" s="10"/>
      <c r="U63" s="10"/>
      <c r="V63" s="10"/>
      <c r="W63" s="14"/>
      <c r="X63" s="14"/>
    </row>
    <row r="64" spans="1:24" ht="25.5" customHeight="1">
      <c r="A64" s="446" t="s">
        <v>385</v>
      </c>
      <c r="B64" s="447"/>
      <c r="C64" s="445">
        <v>76</v>
      </c>
      <c r="D64" s="495">
        <f>(AJ215-C64)/C64</f>
        <v>0</v>
      </c>
      <c r="H64" s="13"/>
      <c r="J64" s="14"/>
      <c r="K64" s="14"/>
      <c r="L64" s="10"/>
      <c r="M64" s="10"/>
      <c r="N64" s="10"/>
      <c r="O64" s="10"/>
      <c r="P64" s="10"/>
      <c r="Q64" s="10"/>
      <c r="R64" s="476" t="s">
        <v>386</v>
      </c>
      <c r="S64" s="478">
        <f>D115/C63</f>
        <v>0</v>
      </c>
      <c r="T64" s="10"/>
      <c r="U64" s="14"/>
      <c r="V64" s="10"/>
      <c r="W64" s="14"/>
      <c r="X64" s="14"/>
    </row>
    <row r="65" spans="1:24" ht="25.5" customHeight="1">
      <c r="B65" s="487" t="s">
        <v>387</v>
      </c>
      <c r="C65" s="489">
        <f>Z216</f>
        <v>4.790932811480757</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77"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c r="S69" s="379"/>
      <c r="T69" s="380"/>
      <c r="U69" s="411" t="e">
        <f>IF(-0.75*((C69/(VLOOKUP($A$2,Assumptions!$B$124:$G$147,2,0)))+D69/(VLOOKUP($A$2,Assumptions!$B$124:$G$147,5,0)))=0,"",-0.75*((C69/(VLOOKUP($A$2,Assumptions!$B$124:$G$147,2,0)))+D69/(VLOOKUP($A$2,Assumptions!$B$124:$G$147,5,0))))</f>
        <v>#DIV/0!</v>
      </c>
      <c r="V69" s="412" t="str">
        <f t="shared" ref="V69:V88" si="22">IF(ISERROR(((-1*C69*1000*$D$6)+(-1*D69*$D$8))/F69),"",((-1*C69*1000*$D$6)+(-1*D69*$D$8))/F69)</f>
        <v/>
      </c>
      <c r="W69" s="450"/>
      <c r="X69" s="506"/>
    </row>
    <row r="70" spans="1:24" ht="15">
      <c r="A70" s="373"/>
      <c r="B70" s="374"/>
      <c r="C70" s="381"/>
      <c r="D70" s="381"/>
      <c r="E70" s="377"/>
      <c r="F70" s="378"/>
      <c r="G70" s="403">
        <f t="shared" ref="G70:G77" si="23">IF($E70&lt;G$66,$F70,0)</f>
        <v>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c r="S70" s="379"/>
      <c r="T70" s="382"/>
      <c r="U70" s="413" t="e">
        <f>IF(-0.75*((C70/(VLOOKUP($A$2,Assumptions!$B$124:$G$147,2,0)))+D70/(VLOOKUP($A$2,Assumptions!$B$124:$G$147,5,0)))=0,"",-0.75*((C70/(VLOOKUP($A$2,Assumptions!$B$124:$G$147,2,0)))+D70/(VLOOKUP($A$2,Assumptions!$B$124:$G$147,5,0))))</f>
        <v>#DIV/0!</v>
      </c>
      <c r="V70" s="414" t="str">
        <f t="shared" si="22"/>
        <v/>
      </c>
      <c r="W70" s="451"/>
      <c r="X70" s="507"/>
    </row>
    <row r="71" spans="1:24" ht="15">
      <c r="A71" s="373"/>
      <c r="B71" s="374"/>
      <c r="C71" s="383"/>
      <c r="D71" s="383"/>
      <c r="E71" s="377"/>
      <c r="F71" s="384"/>
      <c r="G71" s="403">
        <f t="shared" si="23"/>
        <v>0</v>
      </c>
      <c r="H71" s="404">
        <f t="shared" si="21"/>
        <v>0</v>
      </c>
      <c r="I71" s="405">
        <f t="shared" si="21"/>
        <v>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c r="S71" s="379"/>
      <c r="T71" s="382"/>
      <c r="U71" s="413" t="e">
        <f>IF(-0.75*((C71/(VLOOKUP($A$2,Assumptions!$B$124:$G$147,2,0)))+D71/(VLOOKUP($A$2,Assumptions!$B$124:$G$147,5,0)))=0,"",-0.75*((C71/(VLOOKUP($A$2,Assumptions!$B$124:$G$147,2,0)))+D71/(VLOOKUP($A$2,Assumptions!$B$124:$G$147,5,0))))</f>
        <v>#DIV/0!</v>
      </c>
      <c r="V71" s="414" t="str">
        <f t="shared" si="22"/>
        <v/>
      </c>
      <c r="W71" s="451"/>
      <c r="X71" s="507"/>
    </row>
    <row r="72" spans="1:24" ht="15">
      <c r="A72" s="373"/>
      <c r="B72" s="374"/>
      <c r="C72" s="375"/>
      <c r="D72" s="375"/>
      <c r="E72" s="377"/>
      <c r="F72" s="378"/>
      <c r="G72" s="403">
        <f t="shared" si="23"/>
        <v>0</v>
      </c>
      <c r="H72" s="404">
        <f t="shared" si="21"/>
        <v>0</v>
      </c>
      <c r="I72" s="405">
        <f t="shared" si="21"/>
        <v>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c r="S72" s="379"/>
      <c r="T72" s="382"/>
      <c r="U72" s="413" t="e">
        <f>IF(-0.75*((C72/(VLOOKUP($A$2,Assumptions!$B$124:$G$147,2,0)))+D72/(VLOOKUP($A$2,Assumptions!$B$124:$G$147,5,0)))=0,"",-0.75*((C72/(VLOOKUP($A$2,Assumptions!$B$124:$G$147,2,0)))+D72/(VLOOKUP($A$2,Assumptions!$B$124:$G$147,5,0))))</f>
        <v>#DIV/0!</v>
      </c>
      <c r="V72" s="414" t="str">
        <f t="shared" si="22"/>
        <v/>
      </c>
      <c r="W72" s="451"/>
      <c r="X72" s="507"/>
    </row>
    <row r="73" spans="1:24" ht="15">
      <c r="A73" s="373"/>
      <c r="B73" s="374"/>
      <c r="C73" s="381"/>
      <c r="D73" s="381"/>
      <c r="E73" s="377"/>
      <c r="F73" s="378"/>
      <c r="G73" s="403">
        <f t="shared" si="23"/>
        <v>0</v>
      </c>
      <c r="H73" s="404">
        <f t="shared" si="21"/>
        <v>0</v>
      </c>
      <c r="I73" s="405">
        <f t="shared" si="21"/>
        <v>0</v>
      </c>
      <c r="J73" s="405">
        <f t="shared" si="21"/>
        <v>0</v>
      </c>
      <c r="K73" s="405">
        <f t="shared" si="21"/>
        <v>0</v>
      </c>
      <c r="L73" s="405">
        <f t="shared" si="21"/>
        <v>0</v>
      </c>
      <c r="M73" s="405">
        <f t="shared" si="21"/>
        <v>0</v>
      </c>
      <c r="N73" s="405">
        <f t="shared" si="21"/>
        <v>0</v>
      </c>
      <c r="O73" s="405">
        <f t="shared" si="21"/>
        <v>0</v>
      </c>
      <c r="P73" s="406">
        <f t="shared" si="21"/>
        <v>0</v>
      </c>
      <c r="Q73" s="448">
        <f t="shared" si="21"/>
        <v>0</v>
      </c>
      <c r="R73" s="379"/>
      <c r="S73" s="379"/>
      <c r="T73" s="382"/>
      <c r="U73" s="413" t="e">
        <f>IF(-0.75*((C73/(VLOOKUP($A$2,Assumptions!$B$124:$G$147,2,0)))+D73/(VLOOKUP($A$2,Assumptions!$B$124:$G$147,5,0)))=0,"",-0.75*((C73/(VLOOKUP($A$2,Assumptions!$B$124:$G$147,2,0)))+D73/(VLOOKUP($A$2,Assumptions!$B$124:$G$147,5,0))))</f>
        <v>#DIV/0!</v>
      </c>
      <c r="V73" s="414" t="str">
        <f t="shared" si="22"/>
        <v/>
      </c>
      <c r="W73" s="451"/>
      <c r="X73" s="507"/>
    </row>
    <row r="74" spans="1:24" ht="15">
      <c r="A74" s="373"/>
      <c r="B74" s="374"/>
      <c r="C74" s="375"/>
      <c r="D74" s="375"/>
      <c r="E74" s="377"/>
      <c r="F74" s="378"/>
      <c r="G74" s="403">
        <f t="shared" si="23"/>
        <v>0</v>
      </c>
      <c r="H74" s="404">
        <f t="shared" si="21"/>
        <v>0</v>
      </c>
      <c r="I74" s="405">
        <f t="shared" si="21"/>
        <v>0</v>
      </c>
      <c r="J74" s="405">
        <f t="shared" si="21"/>
        <v>0</v>
      </c>
      <c r="K74" s="405">
        <f t="shared" si="21"/>
        <v>0</v>
      </c>
      <c r="L74" s="405">
        <f t="shared" si="21"/>
        <v>0</v>
      </c>
      <c r="M74" s="405">
        <f t="shared" si="21"/>
        <v>0</v>
      </c>
      <c r="N74" s="405">
        <f t="shared" si="21"/>
        <v>0</v>
      </c>
      <c r="O74" s="405">
        <f t="shared" si="21"/>
        <v>0</v>
      </c>
      <c r="P74" s="406">
        <f t="shared" si="21"/>
        <v>0</v>
      </c>
      <c r="Q74" s="448">
        <f t="shared" si="21"/>
        <v>0</v>
      </c>
      <c r="R74" s="379"/>
      <c r="S74" s="379"/>
      <c r="T74" s="382"/>
      <c r="U74" s="413" t="e">
        <f>IF(-0.75*((C74/(VLOOKUP($A$2,Assumptions!$B$124:$G$147,2,0)))+D74/(VLOOKUP($A$2,Assumptions!$B$124:$G$147,5,0)))=0,"",-0.75*((C74/(VLOOKUP($A$2,Assumptions!$B$124:$G$147,2,0)))+D74/(VLOOKUP($A$2,Assumptions!$B$124:$G$147,5,0))))</f>
        <v>#DIV/0!</v>
      </c>
      <c r="V74" s="414" t="str">
        <f t="shared" si="22"/>
        <v/>
      </c>
      <c r="W74" s="451"/>
      <c r="X74" s="507"/>
    </row>
    <row r="75" spans="1:24" ht="15">
      <c r="A75" s="373"/>
      <c r="B75" s="374"/>
      <c r="C75" s="375"/>
      <c r="D75" s="375"/>
      <c r="E75" s="377"/>
      <c r="F75" s="378"/>
      <c r="G75" s="403">
        <f t="shared" si="23"/>
        <v>0</v>
      </c>
      <c r="H75" s="404">
        <f t="shared" si="21"/>
        <v>0</v>
      </c>
      <c r="I75" s="405">
        <f t="shared" si="21"/>
        <v>0</v>
      </c>
      <c r="J75" s="405">
        <f t="shared" si="21"/>
        <v>0</v>
      </c>
      <c r="K75" s="405">
        <f t="shared" si="21"/>
        <v>0</v>
      </c>
      <c r="L75" s="405">
        <f t="shared" si="21"/>
        <v>0</v>
      </c>
      <c r="M75" s="405">
        <f t="shared" si="21"/>
        <v>0</v>
      </c>
      <c r="N75" s="405">
        <f t="shared" si="21"/>
        <v>0</v>
      </c>
      <c r="O75" s="405">
        <f t="shared" si="21"/>
        <v>0</v>
      </c>
      <c r="P75" s="406">
        <f t="shared" si="21"/>
        <v>0</v>
      </c>
      <c r="Q75" s="448">
        <f t="shared" si="21"/>
        <v>0</v>
      </c>
      <c r="R75" s="379"/>
      <c r="S75" s="379"/>
      <c r="T75" s="382"/>
      <c r="U75" s="413" t="e">
        <f>IF(-0.75*((C75/(VLOOKUP($A$2,Assumptions!$B$124:$G$147,2,0)))+D75/(VLOOKUP($A$2,Assumptions!$B$124:$G$147,5,0)))=0,"",-0.75*((C75/(VLOOKUP($A$2,Assumptions!$B$124:$G$147,2,0)))+D75/(VLOOKUP($A$2,Assumptions!$B$124:$G$147,5,0))))</f>
        <v>#DIV/0!</v>
      </c>
      <c r="V75" s="414" t="str">
        <f t="shared" si="22"/>
        <v/>
      </c>
      <c r="W75" s="451"/>
      <c r="X75" s="507"/>
    </row>
    <row r="76" spans="1:24" ht="15">
      <c r="A76" s="373"/>
      <c r="B76" s="374"/>
      <c r="C76" s="375"/>
      <c r="D76" s="375"/>
      <c r="E76" s="377"/>
      <c r="F76" s="378"/>
      <c r="G76" s="403">
        <f t="shared" si="23"/>
        <v>0</v>
      </c>
      <c r="H76" s="404">
        <f t="shared" si="21"/>
        <v>0</v>
      </c>
      <c r="I76" s="405">
        <f t="shared" si="21"/>
        <v>0</v>
      </c>
      <c r="J76" s="405">
        <f t="shared" si="21"/>
        <v>0</v>
      </c>
      <c r="K76" s="405">
        <f t="shared" si="21"/>
        <v>0</v>
      </c>
      <c r="L76" s="405">
        <f t="shared" si="21"/>
        <v>0</v>
      </c>
      <c r="M76" s="405">
        <f t="shared" si="21"/>
        <v>0</v>
      </c>
      <c r="N76" s="405">
        <f t="shared" si="21"/>
        <v>0</v>
      </c>
      <c r="O76" s="405">
        <f t="shared" si="21"/>
        <v>0</v>
      </c>
      <c r="P76" s="406">
        <f t="shared" si="21"/>
        <v>0</v>
      </c>
      <c r="Q76" s="448">
        <f t="shared" si="21"/>
        <v>0</v>
      </c>
      <c r="R76" s="379"/>
      <c r="S76" s="379"/>
      <c r="T76" s="382"/>
      <c r="U76" s="413" t="e">
        <f>IF(-0.75*((C76/(VLOOKUP($A$2,Assumptions!$B$124:$G$147,2,0)))+D76/(VLOOKUP($A$2,Assumptions!$B$124:$G$147,5,0)))=0,"",-0.75*((C76/(VLOOKUP($A$2,Assumptions!$B$124:$G$147,2,0)))+D76/(VLOOKUP($A$2,Assumptions!$B$124:$G$147,5,0))))</f>
        <v>#DIV/0!</v>
      </c>
      <c r="V76" s="414" t="str">
        <f t="shared" si="22"/>
        <v/>
      </c>
      <c r="W76" s="451"/>
      <c r="X76" s="507"/>
    </row>
    <row r="77" spans="1:24" ht="15">
      <c r="A77" s="373"/>
      <c r="B77" s="374"/>
      <c r="C77" s="375"/>
      <c r="D77" s="375"/>
      <c r="E77" s="377"/>
      <c r="F77" s="378"/>
      <c r="G77" s="403">
        <f t="shared" si="23"/>
        <v>0</v>
      </c>
      <c r="H77" s="404">
        <f t="shared" si="21"/>
        <v>0</v>
      </c>
      <c r="I77" s="405">
        <f t="shared" si="21"/>
        <v>0</v>
      </c>
      <c r="J77" s="405">
        <f t="shared" si="21"/>
        <v>0</v>
      </c>
      <c r="K77" s="405">
        <f t="shared" si="21"/>
        <v>0</v>
      </c>
      <c r="L77" s="405">
        <f t="shared" si="21"/>
        <v>0</v>
      </c>
      <c r="M77" s="405">
        <f t="shared" si="21"/>
        <v>0</v>
      </c>
      <c r="N77" s="405">
        <f t="shared" si="21"/>
        <v>0</v>
      </c>
      <c r="O77" s="405">
        <f t="shared" si="21"/>
        <v>0</v>
      </c>
      <c r="P77" s="406">
        <f t="shared" si="21"/>
        <v>0</v>
      </c>
      <c r="Q77" s="448">
        <f t="shared" si="21"/>
        <v>0</v>
      </c>
      <c r="R77" s="379"/>
      <c r="S77" s="379"/>
      <c r="T77" s="385"/>
      <c r="U77" s="413" t="e">
        <f>IF(-0.75*((C77/(VLOOKUP($A$2,Assumptions!$B$124:$G$147,2,0)))+D77/(VLOOKUP($A$2,Assumptions!$B$124:$G$147,5,0)))=0,"",-0.75*((C77/(VLOOKUP($A$2,Assumptions!$B$124:$G$147,2,0)))+D77/(VLOOKUP($A$2,Assumptions!$B$124:$G$147,5,0))))</f>
        <v>#DIV/0!</v>
      </c>
      <c r="V77" s="414" t="str">
        <f t="shared" si="22"/>
        <v/>
      </c>
      <c r="W77" s="451"/>
      <c r="X77" s="507"/>
    </row>
    <row r="78" spans="1:24" ht="15">
      <c r="A78" s="373"/>
      <c r="B78" s="374"/>
      <c r="C78" s="375"/>
      <c r="D78" s="375"/>
      <c r="E78" s="377"/>
      <c r="F78" s="378"/>
      <c r="G78" s="403"/>
      <c r="H78" s="404"/>
      <c r="I78" s="405"/>
      <c r="J78" s="405"/>
      <c r="K78" s="405"/>
      <c r="L78" s="405"/>
      <c r="M78" s="405"/>
      <c r="N78" s="405"/>
      <c r="O78" s="405"/>
      <c r="P78" s="406"/>
      <c r="Q78" s="448"/>
      <c r="R78" s="379"/>
      <c r="S78" s="386"/>
      <c r="T78" s="387"/>
      <c r="U78" s="413" t="e">
        <f>IF(-0.75*((C78/(VLOOKUP($A$2,Assumptions!$B$124:$G$147,2,0)))+D78/(VLOOKUP($A$2,Assumptions!$B$124:$G$147,5,0)))=0,"",-0.75*((C78/(VLOOKUP($A$2,Assumptions!$B$124:$G$147,2,0)))+D78/(VLOOKUP($A$2,Assumptions!$B$124:$G$147,5,0))))</f>
        <v>#DIV/0!</v>
      </c>
      <c r="V78" s="414" t="str">
        <f t="shared" si="22"/>
        <v/>
      </c>
      <c r="W78" s="451"/>
      <c r="X78" s="507"/>
    </row>
    <row r="79" spans="1:24" ht="15">
      <c r="A79" s="373"/>
      <c r="B79" s="374"/>
      <c r="C79" s="375"/>
      <c r="D79" s="375"/>
      <c r="E79" s="377"/>
      <c r="F79" s="378"/>
      <c r="G79" s="403"/>
      <c r="H79" s="404"/>
      <c r="I79" s="405"/>
      <c r="J79" s="405"/>
      <c r="K79" s="405"/>
      <c r="L79" s="405"/>
      <c r="M79" s="405"/>
      <c r="N79" s="405"/>
      <c r="O79" s="405"/>
      <c r="P79" s="406"/>
      <c r="Q79" s="448"/>
      <c r="R79" s="379"/>
      <c r="S79" s="386"/>
      <c r="T79" s="387"/>
      <c r="U79" s="413" t="e">
        <f>IF(-0.75*((C79/(VLOOKUP($A$2,Assumptions!$B$124:$G$147,2,0)))+D79/(VLOOKUP($A$2,Assumptions!$B$124:$G$147,5,0)))=0,"",-0.75*((C79/(VLOOKUP($A$2,Assumptions!$B$124:$G$147,2,0)))+D79/(VLOOKUP($A$2,Assumptions!$B$124:$G$147,5,0))))</f>
        <v>#DIV/0!</v>
      </c>
      <c r="V79" s="414" t="str">
        <f t="shared" si="22"/>
        <v/>
      </c>
      <c r="W79" s="451"/>
      <c r="X79" s="507"/>
    </row>
    <row r="80" spans="1:24" ht="15">
      <c r="A80" s="373"/>
      <c r="B80" s="374"/>
      <c r="C80" s="375"/>
      <c r="D80" s="375"/>
      <c r="E80" s="377"/>
      <c r="F80" s="378"/>
      <c r="G80" s="403"/>
      <c r="H80" s="404"/>
      <c r="I80" s="405"/>
      <c r="J80" s="405"/>
      <c r="K80" s="405"/>
      <c r="L80" s="405"/>
      <c r="M80" s="405"/>
      <c r="N80" s="405"/>
      <c r="O80" s="405"/>
      <c r="P80" s="406"/>
      <c r="Q80" s="448"/>
      <c r="R80" s="379"/>
      <c r="S80" s="386"/>
      <c r="T80" s="387"/>
      <c r="U80" s="413" t="e">
        <f>IF(-0.75*((C80/(VLOOKUP($A$2,Assumptions!$B$124:$G$147,2,0)))+D80/(VLOOKUP($A$2,Assumptions!$B$124:$G$147,5,0)))=0,"",-0.75*((C80/(VLOOKUP($A$2,Assumptions!$B$124:$G$147,2,0)))+D80/(VLOOKUP($A$2,Assumptions!$B$124:$G$147,5,0))))</f>
        <v>#DIV/0!</v>
      </c>
      <c r="V80" s="414" t="str">
        <f t="shared" si="22"/>
        <v/>
      </c>
      <c r="W80" s="451"/>
      <c r="X80" s="507"/>
    </row>
    <row r="81" spans="1:24" ht="15">
      <c r="A81" s="373"/>
      <c r="B81" s="457"/>
      <c r="C81" s="375"/>
      <c r="D81" s="375"/>
      <c r="E81" s="377"/>
      <c r="F81" s="378"/>
      <c r="G81" s="403"/>
      <c r="H81" s="404"/>
      <c r="I81" s="405"/>
      <c r="J81" s="405"/>
      <c r="K81" s="405"/>
      <c r="L81" s="405"/>
      <c r="M81" s="405"/>
      <c r="N81" s="405"/>
      <c r="O81" s="405"/>
      <c r="P81" s="406"/>
      <c r="Q81" s="448"/>
      <c r="R81" s="379"/>
      <c r="S81" s="386"/>
      <c r="T81" s="387"/>
      <c r="U81" s="413" t="e">
        <f>IF(-0.75*((C81/(VLOOKUP($A$2,Assumptions!$B$124:$G$147,2,0)))+D81/(VLOOKUP($A$2,Assumptions!$B$124:$G$147,5,0)))=0,"",-0.75*((C81/(VLOOKUP($A$2,Assumptions!$B$124:$G$147,2,0)))+D81/(VLOOKUP($A$2,Assumptions!$B$124:$G$147,5,0))))</f>
        <v>#DIV/0!</v>
      </c>
      <c r="V81" s="414" t="str">
        <f t="shared" si="22"/>
        <v/>
      </c>
      <c r="W81" s="451"/>
      <c r="X81" s="507"/>
    </row>
    <row r="82" spans="1:24" ht="15">
      <c r="A82" s="373"/>
      <c r="B82" s="457"/>
      <c r="C82" s="375"/>
      <c r="D82" s="375"/>
      <c r="E82" s="377"/>
      <c r="F82" s="378"/>
      <c r="G82" s="403"/>
      <c r="H82" s="404"/>
      <c r="I82" s="405"/>
      <c r="J82" s="405"/>
      <c r="K82" s="405"/>
      <c r="L82" s="405"/>
      <c r="M82" s="405"/>
      <c r="N82" s="405"/>
      <c r="O82" s="405"/>
      <c r="P82" s="406"/>
      <c r="Q82" s="448"/>
      <c r="R82" s="379"/>
      <c r="S82" s="386"/>
      <c r="T82" s="387"/>
      <c r="U82" s="413" t="e">
        <f>IF(-0.75*((C82/(VLOOKUP($A$2,Assumptions!$B$124:$G$147,2,0)))+D82/(VLOOKUP($A$2,Assumptions!$B$124:$G$147,5,0)))=0,"",-0.75*((C82/(VLOOKUP($A$2,Assumptions!$B$124:$G$147,2,0)))+D82/(VLOOKUP($A$2,Assumptions!$B$124:$G$147,5,0))))</f>
        <v>#DIV/0!</v>
      </c>
      <c r="V82" s="414" t="str">
        <f t="shared" si="22"/>
        <v/>
      </c>
      <c r="W82" s="451"/>
      <c r="X82" s="507"/>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e">
        <f>IF(-0.75*((C83/(VLOOKUP($A$2,Assumptions!$B$124:$G$147,2,0)))+D83/(VLOOKUP($A$2,Assumptions!$B$124:$G$147,5,0)))=0,"",-0.75*((C83/(VLOOKUP($A$2,Assumptions!$B$124:$G$147,2,0)))+D83/(VLOOKUP($A$2,Assumptions!$B$124:$G$147,5,0))))</f>
        <v>#DIV/0!</v>
      </c>
      <c r="V83" s="414" t="str">
        <f t="shared" si="22"/>
        <v/>
      </c>
      <c r="W83" s="451"/>
      <c r="X83" s="507"/>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e">
        <f>IF(-0.75*((C84/(VLOOKUP($A$2,Assumptions!$B$124:$G$147,2,0)))+D84/(VLOOKUP($A$2,Assumptions!$B$124:$G$147,5,0)))=0,"",-0.75*((C84/(VLOOKUP($A$2,Assumptions!$B$124:$G$147,2,0)))+D84/(VLOOKUP($A$2,Assumptions!$B$124:$G$147,5,0))))</f>
        <v>#DIV/0!</v>
      </c>
      <c r="V84" s="414" t="str">
        <f t="shared" si="22"/>
        <v/>
      </c>
      <c r="W84" s="451"/>
      <c r="X84" s="507"/>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e">
        <f>IF(-0.75*((C85/(VLOOKUP($A$2,Assumptions!$B$124:$G$147,2,0)))+D85/(VLOOKUP($A$2,Assumptions!$B$124:$G$147,5,0)))=0,"",-0.75*((C85/(VLOOKUP($A$2,Assumptions!$B$124:$G$147,2,0)))+D85/(VLOOKUP($A$2,Assumptions!$B$124:$G$147,5,0))))</f>
        <v>#DIV/0!</v>
      </c>
      <c r="V85" s="414" t="str">
        <f t="shared" si="22"/>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e">
        <f>IF(-0.75*((C86/(VLOOKUP($A$2,Assumptions!$B$124:$G$147,2,0)))+D86/(VLOOKUP($A$2,Assumptions!$B$124:$G$147,5,0)))=0,"",-0.75*((C86/(VLOOKUP($A$2,Assumptions!$B$124:$G$147,2,0)))+D86/(VLOOKUP($A$2,Assumptions!$B$124:$G$147,5,0))))</f>
        <v>#DIV/0!</v>
      </c>
      <c r="V86" s="414" t="str">
        <f t="shared" si="22"/>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e">
        <f>IF(-0.75*((C87/(VLOOKUP($A$2,Assumptions!$B$124:$G$147,2,0)))+D87/(VLOOKUP($A$2,Assumptions!$B$124:$G$147,5,0)))=0,"",-0.75*((C87/(VLOOKUP($A$2,Assumptions!$B$124:$G$147,2,0)))+D87/(VLOOKUP($A$2,Assumptions!$B$124:$G$147,5,0))))</f>
        <v>#DIV/0!</v>
      </c>
      <c r="V87" s="414" t="str">
        <f t="shared" si="22"/>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e">
        <f>IF(-0.75*((C88/(VLOOKUP($A$2,Assumptions!$B$124:$G$147,2,0)))+D88/(VLOOKUP($A$2,Assumptions!$B$124:$G$147,5,0)))=0,"",-0.75*((C88/(VLOOKUP($A$2,Assumptions!$B$124:$G$147,2,0)))+D88/(VLOOKUP($A$2,Assumptions!$B$124:$G$147,5,0))))</f>
        <v>#DIV/0!</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0</v>
      </c>
      <c r="D115" s="354">
        <f>SUM(D69:D88)</f>
        <v>0</v>
      </c>
      <c r="E115" s="355"/>
      <c r="F115" s="333">
        <f>SUM(F69:F114)</f>
        <v>0</v>
      </c>
      <c r="G115" s="388">
        <f>SUM(G69:G114)</f>
        <v>0</v>
      </c>
      <c r="H115" s="388">
        <f t="shared" ref="H115:N115" si="25">SUM(H69:H114)</f>
        <v>0</v>
      </c>
      <c r="I115" s="388">
        <f t="shared" si="25"/>
        <v>0</v>
      </c>
      <c r="J115" s="388">
        <f t="shared" si="25"/>
        <v>0</v>
      </c>
      <c r="K115" s="388">
        <f t="shared" si="25"/>
        <v>0</v>
      </c>
      <c r="L115" s="388">
        <f t="shared" si="25"/>
        <v>0</v>
      </c>
      <c r="M115" s="388">
        <f t="shared" si="25"/>
        <v>0</v>
      </c>
      <c r="N115" s="388">
        <f t="shared" si="25"/>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t="e">
        <f>SUM(U69:U114)</f>
        <v>#DIV/0!</v>
      </c>
      <c r="V115" s="390" t="str">
        <f>IF(ISERROR(((-1*C115*1000*$D$6)+(-1*D115*$D$8))/F115),"",((-1*C115*1000*$D$6)+(-1*D115*$D$8))/F115)</f>
        <v/>
      </c>
      <c r="W115" s="391">
        <f>SUMIFS(F69:F114,W69:W114,"Yes")</f>
        <v>0</v>
      </c>
      <c r="X115" s="388">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t="e">
        <f>BZ161</f>
        <v>#N/A</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4.790932811480757</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4.790932811480757</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4.790932811480757</v>
      </c>
      <c r="AA126" s="22">
        <f t="shared" ref="AA126:AC126" si="26">AK216</f>
        <v>4.790932811480757</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4.790932811480757</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4.790932811480757</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4.790932811480757</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4.790932811480757</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4.790932811480757</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4.790932811480757</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4.790932811480757</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34.795000000000002</v>
      </c>
      <c r="BC154" s="24" t="s">
        <v>436</v>
      </c>
      <c r="BD154" s="8"/>
      <c r="BE154" s="8"/>
      <c r="BF154" s="24">
        <f t="shared" ref="BF154:BF155" si="31">IF($C$59&gt;7000,"error",IF($C$59&gt;5999,AR154,IF($C$59&gt;4999,AQ154,IF($C$59&gt;3999,AP154,IF($C$59&gt;2999,AO154,IF($C$59&gt;1999,AN154,"Error"))))))</f>
        <v>34.795000000000002</v>
      </c>
      <c r="BG154" s="24">
        <f t="shared" ref="BG154:BG164" si="32">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52.192500000000003</v>
      </c>
      <c r="BC155" s="24" t="s">
        <v>436</v>
      </c>
      <c r="BE155" s="24"/>
      <c r="BF155" s="24">
        <f t="shared" si="31"/>
        <v>52.192500000000003</v>
      </c>
      <c r="BG155" s="24">
        <f t="shared" si="32"/>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2"/>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20860.96</v>
      </c>
      <c r="BW156" s="14" t="s">
        <v>445</v>
      </c>
      <c r="BX156" s="181" t="s">
        <v>13</v>
      </c>
      <c r="BY156" s="38">
        <f>BY157/BV156</f>
        <v>55.317988641462343</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84.92</v>
      </c>
      <c r="BC157" s="24" t="s">
        <v>436</v>
      </c>
      <c r="BD157" s="24">
        <f>BB157-BB156</f>
        <v>15.329999999999998</v>
      </c>
      <c r="BE157" s="24"/>
      <c r="BF157" s="24">
        <f t="shared" ref="BF157:BF164" si="36">IF($C$59&gt;7000,"error",IF($C$59&gt;5999,AR157,IF($C$59&gt;4999,AQ157,IF($C$59&gt;3999,AP157,IF($C$59&gt;2999,AO157,IF($C$59&gt;1999,AN157,"Error"))))))</f>
        <v>84.92</v>
      </c>
      <c r="BG157" s="24">
        <f t="shared" si="32"/>
        <v>158.69</v>
      </c>
      <c r="BH157" s="24"/>
      <c r="BI157" s="29" t="s">
        <v>118</v>
      </c>
      <c r="BJ157" s="29">
        <v>810</v>
      </c>
      <c r="BK157" s="29">
        <v>51.33</v>
      </c>
      <c r="BL157" s="24">
        <v>2000</v>
      </c>
      <c r="BM157" s="25"/>
      <c r="BN157" s="24">
        <f>BV161/BV158</f>
        <v>18.745717159356726</v>
      </c>
      <c r="BO157" s="32" t="s">
        <v>447</v>
      </c>
      <c r="BP157" s="179">
        <f>$BY$158/SUM($BY$158:$BY$159)*C64</f>
        <v>59.317442514861746</v>
      </c>
      <c r="BQ157" s="29" t="s">
        <v>448</v>
      </c>
      <c r="BR157" s="29" t="s">
        <v>449</v>
      </c>
      <c r="BS157" s="29" t="s">
        <v>450</v>
      </c>
      <c r="BT157" s="14"/>
      <c r="BU157" s="30" t="s">
        <v>451</v>
      </c>
      <c r="BV157" s="33">
        <f xml:space="preserve"> 5 - 0.5*(BV158-BB156)/BH166</f>
        <v>5.3350475370234269</v>
      </c>
      <c r="BW157" s="14" t="s">
        <v>452</v>
      </c>
      <c r="BX157" s="181" t="s">
        <v>453</v>
      </c>
      <c r="BY157" s="180">
        <f>SUM(BY158:BY159)</f>
        <v>1153986.3483300002</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100.25</v>
      </c>
      <c r="BC158" s="24" t="s">
        <v>436</v>
      </c>
      <c r="BD158" s="24">
        <f t="shared" ref="BD158:BD164" si="37">BB158-BB157</f>
        <v>15.329999999999998</v>
      </c>
      <c r="BE158" s="24"/>
      <c r="BF158" s="24">
        <f t="shared" si="36"/>
        <v>100.25</v>
      </c>
      <c r="BG158" s="24">
        <f t="shared" si="32"/>
        <v>187.86</v>
      </c>
      <c r="BH158" s="24"/>
      <c r="BI158" s="29" t="s">
        <v>150</v>
      </c>
      <c r="BJ158" s="29">
        <v>810</v>
      </c>
      <c r="BK158" s="29">
        <v>51.33</v>
      </c>
      <c r="BL158" s="24">
        <v>3000</v>
      </c>
      <c r="BM158" s="25"/>
      <c r="BN158" s="179">
        <f>BV162/BV163</f>
        <v>295.81201829493381</v>
      </c>
      <c r="BO158" s="24" t="s">
        <v>454</v>
      </c>
      <c r="BP158" s="179">
        <f>$BY$159/SUM($BY$158:$BY$159)*C64</f>
        <v>16.682557485138247</v>
      </c>
      <c r="BQ158" s="29" t="s">
        <v>455</v>
      </c>
      <c r="BR158" s="29" t="s">
        <v>456</v>
      </c>
      <c r="BS158" s="29" t="s">
        <v>457</v>
      </c>
      <c r="BT158" s="14"/>
      <c r="BU158" s="30" t="s">
        <v>458</v>
      </c>
      <c r="BV158" s="31">
        <f>BP157</f>
        <v>59.317442514861746</v>
      </c>
      <c r="BW158" s="14" t="s">
        <v>436</v>
      </c>
      <c r="BX158" s="181" t="s">
        <v>459</v>
      </c>
      <c r="BY158" s="178">
        <f>INDEX($BJ$156:$BJ$161,MATCH($C$57,$BI$156:$BI$161,0))*$C$62</f>
        <v>900677.88000000012</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115.57</v>
      </c>
      <c r="BC159" s="24" t="s">
        <v>436</v>
      </c>
      <c r="BD159" s="24">
        <f t="shared" si="37"/>
        <v>15.319999999999993</v>
      </c>
      <c r="BE159" s="24"/>
      <c r="BF159" s="24">
        <f t="shared" si="36"/>
        <v>115.57</v>
      </c>
      <c r="BG159" s="24">
        <f t="shared" si="32"/>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253308.46832999997</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130.9</v>
      </c>
      <c r="BC160" s="24" t="s">
        <v>436</v>
      </c>
      <c r="BD160" s="24">
        <f t="shared" si="37"/>
        <v>15.330000000000013</v>
      </c>
      <c r="BE160" s="24"/>
      <c r="BF160" s="24">
        <f t="shared" si="36"/>
        <v>130.9</v>
      </c>
      <c r="BG160" s="24">
        <f t="shared" si="32"/>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45.061900164110739</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146.22999999999999</v>
      </c>
      <c r="BC161" s="24" t="s">
        <v>436</v>
      </c>
      <c r="BD161" s="24">
        <f t="shared" si="37"/>
        <v>15.329999999999984</v>
      </c>
      <c r="BE161" s="24"/>
      <c r="BF161" s="24">
        <f t="shared" si="36"/>
        <v>146.22999999999999</v>
      </c>
      <c r="BG161" s="24">
        <f t="shared" si="32"/>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1111.9480000000001</v>
      </c>
      <c r="BW161" s="14" t="s">
        <v>311</v>
      </c>
      <c r="BX161" s="14"/>
      <c r="BY161" s="14"/>
      <c r="BZ161" s="38" t="e">
        <f>5-(0.5*(C64-CE177)/(CE176-CE177))</f>
        <v>#N/A</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161.56</v>
      </c>
      <c r="BC162" s="24" t="s">
        <v>436</v>
      </c>
      <c r="BD162" s="24">
        <f t="shared" si="37"/>
        <v>15.330000000000013</v>
      </c>
      <c r="BE162" s="24"/>
      <c r="BF162" s="24">
        <f t="shared" si="36"/>
        <v>161.56</v>
      </c>
      <c r="BG162" s="24">
        <f t="shared" si="32"/>
        <v>304.55</v>
      </c>
      <c r="BH162" s="24"/>
      <c r="BI162" s="24"/>
      <c r="BJ162" s="24"/>
      <c r="BK162" s="24"/>
      <c r="BL162" s="24"/>
      <c r="BM162" s="37"/>
      <c r="BN162" s="37"/>
      <c r="BO162" s="37"/>
      <c r="BP162" s="37"/>
      <c r="BQ162" s="29" t="s">
        <v>473</v>
      </c>
      <c r="BR162" s="24"/>
      <c r="BS162" s="24"/>
      <c r="BT162" s="14"/>
      <c r="BU162" s="14" t="s">
        <v>474</v>
      </c>
      <c r="BV162" s="31">
        <f>C63</f>
        <v>4934.9009999999998</v>
      </c>
      <c r="BW162" s="14" t="s">
        <v>314</v>
      </c>
      <c r="BX162" s="14"/>
      <c r="BY162" s="38">
        <f>C63*BK156</f>
        <v>253308.46832999997</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176.89</v>
      </c>
      <c r="BC163" s="24" t="s">
        <v>436</v>
      </c>
      <c r="BD163" s="24">
        <f t="shared" si="37"/>
        <v>15.329999999999984</v>
      </c>
      <c r="BE163" s="24"/>
      <c r="BF163" s="24">
        <f t="shared" si="36"/>
        <v>176.89</v>
      </c>
      <c r="BG163" s="24">
        <f t="shared" si="32"/>
        <v>333.72</v>
      </c>
      <c r="BH163" s="24"/>
      <c r="BI163" s="24"/>
      <c r="BJ163" s="24"/>
      <c r="BK163" s="24"/>
      <c r="BL163" s="24"/>
      <c r="BM163" s="37"/>
      <c r="BN163" s="37"/>
      <c r="BO163" s="37"/>
      <c r="BP163" s="37"/>
      <c r="BQ163" s="29" t="s">
        <v>475</v>
      </c>
      <c r="BR163" s="24"/>
      <c r="BS163" s="24"/>
      <c r="BT163" s="14"/>
      <c r="BU163" s="14" t="s">
        <v>476</v>
      </c>
      <c r="BV163" s="38">
        <f>BP158</f>
        <v>16.682557485138247</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192.21</v>
      </c>
      <c r="BC164" s="24" t="s">
        <v>436</v>
      </c>
      <c r="BD164" s="24">
        <f t="shared" si="37"/>
        <v>15.320000000000022</v>
      </c>
      <c r="BE164" s="24"/>
      <c r="BF164" s="24">
        <f t="shared" si="36"/>
        <v>192.21</v>
      </c>
      <c r="BG164" s="24">
        <f t="shared" si="32"/>
        <v>362.89</v>
      </c>
      <c r="BH164" s="24"/>
      <c r="BI164" s="24"/>
      <c r="BJ164" s="24"/>
      <c r="BK164" s="24"/>
      <c r="BL164" s="24"/>
      <c r="BM164" s="37"/>
      <c r="BN164" s="37"/>
      <c r="BO164" s="37"/>
      <c r="BP164" s="37"/>
      <c r="BQ164" s="29" t="s">
        <v>478</v>
      </c>
      <c r="BR164" s="24"/>
      <c r="BS164" s="24"/>
      <c r="BT164" s="14"/>
      <c r="BU164" s="14"/>
      <c r="BV164" s="38">
        <f>BV163+BV158</f>
        <v>76</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f>G66</f>
        <v>45473</v>
      </c>
      <c r="H166" s="206">
        <f t="shared" ref="H166:Q166" si="38">H66</f>
        <v>45838</v>
      </c>
      <c r="I166" s="206">
        <f t="shared" si="38"/>
        <v>46203</v>
      </c>
      <c r="J166" s="206">
        <f t="shared" si="38"/>
        <v>46568</v>
      </c>
      <c r="K166" s="206">
        <f t="shared" si="38"/>
        <v>46934</v>
      </c>
      <c r="L166" s="206">
        <f t="shared" si="38"/>
        <v>47299</v>
      </c>
      <c r="M166" s="206">
        <f t="shared" si="38"/>
        <v>47664</v>
      </c>
      <c r="N166" s="206">
        <f t="shared" si="38"/>
        <v>48029</v>
      </c>
      <c r="O166" s="206">
        <f t="shared" si="38"/>
        <v>48395</v>
      </c>
      <c r="P166" s="206">
        <f t="shared" si="38"/>
        <v>48760</v>
      </c>
      <c r="Q166" s="206">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t="e">
        <f t="shared" ref="BE166:BE176" si="40">IF($C$58="base",INDEX($AN$157:$AR$157,MATCH($C$57,$AN$165:$AR$165,0)),INDEX($AU$157:$AY$157,MATCH($C$57,$AU$165:$AY$165,0)))</f>
        <v>#N/A</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0</v>
      </c>
      <c r="K167" s="12">
        <f t="shared" ref="K167:K209" si="43">IF($E69&lt;K$66,$C69,0)</f>
        <v>0</v>
      </c>
      <c r="L167" s="12">
        <f t="shared" ref="L167:N186" si="44">IF($E69&gt;L$66,0,IF($E69&lt;L$66-365,$C69,0))</f>
        <v>0</v>
      </c>
      <c r="M167" s="12">
        <f t="shared" si="44"/>
        <v>0</v>
      </c>
      <c r="N167" s="12">
        <f t="shared" si="44"/>
        <v>0</v>
      </c>
      <c r="O167" s="12">
        <f t="shared" ref="O167:O209" si="45">IF($E69&lt;O$66,$C69,0)</f>
        <v>0</v>
      </c>
      <c r="P167" s="12">
        <f t="shared" ref="P167:Q186" si="46">IF($E69&gt;P$66,0,IF($E69&lt;P$66-365,$C69,0))</f>
        <v>0</v>
      </c>
      <c r="Q167" s="12">
        <f t="shared" si="46"/>
        <v>0</v>
      </c>
      <c r="T167" s="14"/>
      <c r="U167" s="14"/>
      <c r="V167" s="14"/>
      <c r="W167" s="53">
        <f t="shared" ref="W167:W211" si="47">C68*$BN$160*1000</f>
        <v>0</v>
      </c>
      <c r="X167" s="54" t="e">
        <f t="shared" ref="X167:X211" si="48">-1*F68/W167</f>
        <v>#DIV/0!</v>
      </c>
      <c r="Y167" s="25">
        <f>Z167/$BH$166</f>
        <v>0</v>
      </c>
      <c r="Z167" s="54">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t="e">
        <f t="shared" si="40"/>
        <v>#N/A</v>
      </c>
      <c r="BF167" s="24" t="s">
        <v>486</v>
      </c>
      <c r="BG167" s="56">
        <f>BV158+($C$64-$BV$158)</f>
        <v>76</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0</v>
      </c>
      <c r="K168" s="12">
        <f t="shared" si="43"/>
        <v>0</v>
      </c>
      <c r="L168" s="12">
        <f t="shared" si="44"/>
        <v>0</v>
      </c>
      <c r="M168" s="12">
        <f t="shared" si="44"/>
        <v>0</v>
      </c>
      <c r="N168" s="12">
        <f t="shared" si="44"/>
        <v>0</v>
      </c>
      <c r="O168" s="12">
        <f t="shared" si="45"/>
        <v>0</v>
      </c>
      <c r="P168" s="12">
        <f t="shared" si="46"/>
        <v>0</v>
      </c>
      <c r="Q168" s="12">
        <f t="shared" si="46"/>
        <v>0</v>
      </c>
      <c r="T168" s="57"/>
      <c r="U168" s="57"/>
      <c r="V168" s="57"/>
      <c r="W168" s="53">
        <f t="shared" si="47"/>
        <v>0</v>
      </c>
      <c r="X168" s="54" t="e">
        <f t="shared" si="48"/>
        <v>#DIV/0!</v>
      </c>
      <c r="Y168" s="54">
        <f t="shared" ref="Y168:Y213" si="55">Z168/$BH$166</f>
        <v>0</v>
      </c>
      <c r="Z168" s="54">
        <f>($C69/$BN$157)+($D69/$BN$158)</f>
        <v>0</v>
      </c>
      <c r="AA168" s="54">
        <f t="shared" si="49"/>
        <v>0</v>
      </c>
      <c r="AB168" s="54">
        <f t="shared" si="49"/>
        <v>0</v>
      </c>
      <c r="AC168" s="54">
        <f t="shared" si="49"/>
        <v>0</v>
      </c>
      <c r="AD168" s="54">
        <f>IF($E69+365&lt;$C$56,0,IF($E69&lt;$C$56,(($E69+365-$C$56)/365)*(($C69/$BN$157)+($D69/$BN$158)),IF($E69&gt;AD$166,0,IF($E69+365&lt;AD$166,($C69/$BN$157)+($D69/$BN$158),((AD$166-$E69)/365)*(($C69/$BN$157)+($D69/$BN$158))))))</f>
        <v>0</v>
      </c>
      <c r="AE168" s="54">
        <f t="shared" si="49"/>
        <v>0</v>
      </c>
      <c r="AF168" s="54">
        <f t="shared" si="49"/>
        <v>0</v>
      </c>
      <c r="AG168" s="54">
        <f t="shared" si="49"/>
        <v>0</v>
      </c>
      <c r="AH168" s="54">
        <f t="shared" si="49"/>
        <v>0</v>
      </c>
      <c r="AI168" s="54">
        <f t="shared" si="49"/>
        <v>0</v>
      </c>
      <c r="AJ168" s="54">
        <f t="shared" si="49"/>
        <v>0</v>
      </c>
      <c r="AK168" s="54">
        <f t="shared" ref="AK168" si="56">IF($E69+365&lt;$C$56,0,IF($E69&lt;$C$56,(($E69+365-$C$56)/365)*(($C69/$BN$157)+($D69/$BN$158)),IF($E69&gt;AK$166,0,IF($E69+365&lt;AK$166,($C69/$BN$157)+($D69/$BN$158),((AK$166-$E69)/365)*(($C69/$BN$157)+($D69/$BN$158))))))</f>
        <v>0</v>
      </c>
      <c r="AL168" s="24">
        <f t="shared" si="51"/>
        <v>0</v>
      </c>
      <c r="AM168" s="24">
        <f t="shared" si="52"/>
        <v>0</v>
      </c>
      <c r="AN168" s="55">
        <f t="shared" si="53"/>
        <v>0</v>
      </c>
      <c r="AO168" s="55">
        <f t="shared" si="54"/>
        <v>0</v>
      </c>
      <c r="AP168" s="24"/>
      <c r="AQ168" s="24"/>
      <c r="AR168" s="24"/>
      <c r="AS168" s="24"/>
      <c r="AT168" s="24"/>
      <c r="AU168" s="24"/>
      <c r="AV168" s="24"/>
      <c r="AW168" s="24"/>
      <c r="AX168" s="24"/>
      <c r="AY168" s="24"/>
      <c r="AZ168" s="24"/>
      <c r="BA168" s="24"/>
      <c r="BB168" s="24"/>
      <c r="BC168" s="24"/>
      <c r="BD168" s="24"/>
      <c r="BE168" s="24" t="e">
        <f t="shared" si="40"/>
        <v>#N/A</v>
      </c>
      <c r="BF168" s="59">
        <f>AB166</f>
        <v>45747</v>
      </c>
      <c r="BG168" s="36">
        <f>(BV158+AB214)+($C$64-$BV$158)</f>
        <v>76</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ACT</v>
      </c>
      <c r="CF168" s="14" t="str">
        <f>C57</f>
        <v>ACT</v>
      </c>
      <c r="CG168" s="14"/>
      <c r="CH168" s="25" t="s">
        <v>388</v>
      </c>
      <c r="CI168" s="14" t="s">
        <v>488</v>
      </c>
      <c r="CJ168" s="14"/>
    </row>
    <row r="169" spans="7:88">
      <c r="G169" s="12">
        <f t="shared" si="41"/>
        <v>0</v>
      </c>
      <c r="H169" s="12">
        <f t="shared" si="42"/>
        <v>0</v>
      </c>
      <c r="I169" s="12">
        <f t="shared" si="42"/>
        <v>0</v>
      </c>
      <c r="J169" s="12">
        <f t="shared" si="42"/>
        <v>0</v>
      </c>
      <c r="K169" s="12">
        <f t="shared" si="43"/>
        <v>0</v>
      </c>
      <c r="L169" s="12">
        <f t="shared" si="44"/>
        <v>0</v>
      </c>
      <c r="M169" s="12">
        <f t="shared" si="44"/>
        <v>0</v>
      </c>
      <c r="N169" s="12">
        <f t="shared" si="44"/>
        <v>0</v>
      </c>
      <c r="O169" s="12">
        <f t="shared" si="45"/>
        <v>0</v>
      </c>
      <c r="P169" s="12">
        <f t="shared" si="46"/>
        <v>0</v>
      </c>
      <c r="Q169" s="12">
        <f t="shared" si="46"/>
        <v>0</v>
      </c>
      <c r="T169" s="61"/>
      <c r="U169" s="61"/>
      <c r="V169" s="61"/>
      <c r="W169" s="53">
        <f t="shared" si="47"/>
        <v>0</v>
      </c>
      <c r="X169" s="54" t="e">
        <f t="shared" si="48"/>
        <v>#DIV/0!</v>
      </c>
      <c r="Y169" s="343">
        <f>Z169/$BH$166</f>
        <v>0</v>
      </c>
      <c r="Z169" s="54">
        <f>($C70/$BN$157)+($D70/$BN$158)</f>
        <v>0</v>
      </c>
      <c r="AA169" s="54">
        <f t="shared" si="49"/>
        <v>0</v>
      </c>
      <c r="AB169" s="54">
        <f t="shared" si="49"/>
        <v>0</v>
      </c>
      <c r="AC169" s="54">
        <f t="shared" si="49"/>
        <v>0</v>
      </c>
      <c r="AD169" s="54">
        <f>IF($E70+365&lt;$C$56,0,IF($E70&lt;$C$56,(($E70+365-$C$56)/365)*(($C70/$BN$157)+($D70/$BN$158)),IF($E70&gt;AD$166,0,IF($E70+365&lt;AD$166,($C70/$BN$157)+($D70/$BN$158),((AD$166-$E70)/365)*(($C70/$BN$157)+($D70/$BN$158))))))</f>
        <v>0</v>
      </c>
      <c r="AE169" s="54">
        <f t="shared" si="49"/>
        <v>0</v>
      </c>
      <c r="AF169" s="54">
        <f t="shared" si="49"/>
        <v>0</v>
      </c>
      <c r="AG169" s="54">
        <f t="shared" si="49"/>
        <v>0</v>
      </c>
      <c r="AH169" s="54">
        <f t="shared" si="49"/>
        <v>0</v>
      </c>
      <c r="AI169" s="54">
        <f t="shared" si="49"/>
        <v>0</v>
      </c>
      <c r="AJ169" s="54">
        <f t="shared" si="49"/>
        <v>0</v>
      </c>
      <c r="AK169" s="54">
        <f t="shared" ref="AK169" si="57">IF($E70+365&lt;$C$56,0,IF($E70&lt;$C$56,(($E70+365-$C$56)/365)*(($C70/$BN$157)+($D70/$BN$158)),IF($E70&gt;AK$166,0,IF($E70+365&lt;AK$166,($C70/$BN$157)+($D70/$BN$158),((AK$166-$E70)/365)*(($C70/$BN$157)+($D70/$BN$158))))))</f>
        <v>0</v>
      </c>
      <c r="AL169" s="24">
        <f t="shared" si="51"/>
        <v>0</v>
      </c>
      <c r="AM169" s="24">
        <f t="shared" si="52"/>
        <v>0</v>
      </c>
      <c r="AN169" s="55">
        <f t="shared" si="53"/>
        <v>0</v>
      </c>
      <c r="AO169" s="55">
        <f t="shared" si="54"/>
        <v>0</v>
      </c>
      <c r="AP169" s="24"/>
      <c r="AQ169" s="24"/>
      <c r="AR169" s="24"/>
      <c r="AS169" s="24"/>
      <c r="AT169" s="24"/>
      <c r="AU169" s="24"/>
      <c r="AV169" s="24"/>
      <c r="AW169" s="24"/>
      <c r="AX169" s="24"/>
      <c r="AY169" s="24"/>
      <c r="AZ169" s="24"/>
      <c r="BA169" s="24"/>
      <c r="BB169" s="24"/>
      <c r="BC169" s="24"/>
      <c r="BD169" s="24"/>
      <c r="BE169" s="24" t="e">
        <f t="shared" si="40"/>
        <v>#N/A</v>
      </c>
      <c r="BF169" s="59">
        <f>BF168+365</f>
        <v>46112</v>
      </c>
      <c r="BG169" s="36">
        <f>BV158+AC214+($C$64-$BV$158)</f>
        <v>76</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t="e">
        <f>CI177</f>
        <v>#N/A</v>
      </c>
      <c r="CF169" s="14" t="e">
        <f>CJ177</f>
        <v>#N/A</v>
      </c>
      <c r="CG169" s="14"/>
      <c r="CH169" s="25">
        <v>5</v>
      </c>
      <c r="CI169" s="14" t="e">
        <f t="shared" ref="CI169:CI177" si="58">INDEX(AN156:AR156,MATCH($CE$168,$AN$165:$AR$165,0))</f>
        <v>#N/A</v>
      </c>
      <c r="CJ169" s="14" t="e">
        <f t="shared" ref="CJ169:CJ177" si="59">INDEX(AU156:AY156,MATCH($CE$168,$AN$165:$AR$165,0))</f>
        <v>#N/A</v>
      </c>
    </row>
    <row r="170" spans="7:88">
      <c r="G170" s="12">
        <f t="shared" si="41"/>
        <v>0</v>
      </c>
      <c r="H170" s="12">
        <f t="shared" si="42"/>
        <v>0</v>
      </c>
      <c r="I170" s="12">
        <f t="shared" si="42"/>
        <v>0</v>
      </c>
      <c r="J170" s="12">
        <f t="shared" si="42"/>
        <v>0</v>
      </c>
      <c r="K170" s="12">
        <f t="shared" si="43"/>
        <v>0</v>
      </c>
      <c r="L170" s="12">
        <f t="shared" si="44"/>
        <v>0</v>
      </c>
      <c r="M170" s="12">
        <f t="shared" si="44"/>
        <v>0</v>
      </c>
      <c r="N170" s="12">
        <f t="shared" si="44"/>
        <v>0</v>
      </c>
      <c r="O170" s="12">
        <f t="shared" si="45"/>
        <v>0</v>
      </c>
      <c r="P170" s="12">
        <f t="shared" si="46"/>
        <v>0</v>
      </c>
      <c r="Q170" s="12">
        <f t="shared" si="46"/>
        <v>0</v>
      </c>
      <c r="T170" s="61"/>
      <c r="U170" s="61"/>
      <c r="V170" s="61"/>
      <c r="W170" s="53">
        <f t="shared" si="47"/>
        <v>0</v>
      </c>
      <c r="X170" s="54" t="e">
        <f t="shared" si="48"/>
        <v>#DIV/0!</v>
      </c>
      <c r="Y170" s="25">
        <f t="shared" si="55"/>
        <v>0</v>
      </c>
      <c r="Z170" s="54">
        <f t="shared" ref="Z170:Z213" si="60">($C71/$BN$157)+($D71/$BN$158)</f>
        <v>0</v>
      </c>
      <c r="AA170" s="54">
        <f t="shared" si="49"/>
        <v>0</v>
      </c>
      <c r="AB170" s="54">
        <f t="shared" si="49"/>
        <v>0</v>
      </c>
      <c r="AC170" s="54">
        <f t="shared" si="49"/>
        <v>0</v>
      </c>
      <c r="AD170" s="54">
        <f t="shared" si="49"/>
        <v>0</v>
      </c>
      <c r="AE170" s="54">
        <f t="shared" si="49"/>
        <v>0</v>
      </c>
      <c r="AF170" s="54">
        <f t="shared" si="49"/>
        <v>0</v>
      </c>
      <c r="AG170" s="54">
        <f t="shared" si="49"/>
        <v>0</v>
      </c>
      <c r="AH170" s="54">
        <f t="shared" si="49"/>
        <v>0</v>
      </c>
      <c r="AI170" s="54">
        <f t="shared" si="49"/>
        <v>0</v>
      </c>
      <c r="AJ170" s="54">
        <f t="shared" si="49"/>
        <v>0</v>
      </c>
      <c r="AK170" s="54">
        <f t="shared" ref="AK170" si="61">IF($E71+365&lt;$C$56,0,IF($E71&lt;$C$56,(($E71+365-$C$56)/365)*(($C71/$BN$157)+($D71/$BN$158)),IF($E71&gt;AK$166,0,IF($E71+365&lt;AK$166,($C71/$BN$157)+($D71/$BN$158),((AK$166-$E71)/365)*(($C71/$BN$157)+($D71/$BN$158))))))</f>
        <v>0</v>
      </c>
      <c r="AL170" s="24">
        <f t="shared" si="51"/>
        <v>0</v>
      </c>
      <c r="AM170" s="24">
        <f t="shared" si="52"/>
        <v>0</v>
      </c>
      <c r="AN170" s="55">
        <f t="shared" si="53"/>
        <v>0</v>
      </c>
      <c r="AO170" s="55">
        <f t="shared" si="54"/>
        <v>0</v>
      </c>
      <c r="AP170" s="24"/>
      <c r="AQ170" s="24"/>
      <c r="AR170" s="24"/>
      <c r="AS170" s="24"/>
      <c r="AT170" s="24"/>
      <c r="AU170" s="24"/>
      <c r="AV170" s="24"/>
      <c r="AW170" s="24"/>
      <c r="AX170" s="24"/>
      <c r="AY170" s="24"/>
      <c r="AZ170" s="24"/>
      <c r="BA170" s="24"/>
      <c r="BB170" s="24"/>
      <c r="BC170" s="24"/>
      <c r="BD170" s="24"/>
      <c r="BE170" s="24" t="e">
        <f t="shared" si="40"/>
        <v>#N/A</v>
      </c>
      <c r="BF170" s="59">
        <f>BF169+365</f>
        <v>46477</v>
      </c>
      <c r="BG170" s="36">
        <f>$BV$158+AD214+($C$64-$BV$158)</f>
        <v>76</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t="e">
        <f>CI176</f>
        <v>#N/A</v>
      </c>
      <c r="CF170" s="14" t="e">
        <f>CJ176</f>
        <v>#N/A</v>
      </c>
      <c r="CG170" s="14"/>
      <c r="CH170" s="25">
        <v>4.5</v>
      </c>
      <c r="CI170" s="14" t="e">
        <f t="shared" si="58"/>
        <v>#N/A</v>
      </c>
      <c r="CJ170" s="14" t="e">
        <f t="shared" si="59"/>
        <v>#N/A</v>
      </c>
    </row>
    <row r="171" spans="7:88">
      <c r="G171" s="12">
        <f t="shared" si="41"/>
        <v>0</v>
      </c>
      <c r="H171" s="12">
        <f t="shared" si="42"/>
        <v>0</v>
      </c>
      <c r="I171" s="12">
        <f t="shared" si="42"/>
        <v>0</v>
      </c>
      <c r="J171" s="12">
        <f t="shared" si="42"/>
        <v>0</v>
      </c>
      <c r="K171" s="12">
        <f t="shared" si="43"/>
        <v>0</v>
      </c>
      <c r="L171" s="12">
        <f t="shared" si="44"/>
        <v>0</v>
      </c>
      <c r="M171" s="12">
        <f t="shared" si="44"/>
        <v>0</v>
      </c>
      <c r="N171" s="12">
        <f t="shared" si="44"/>
        <v>0</v>
      </c>
      <c r="O171" s="12">
        <f t="shared" si="45"/>
        <v>0</v>
      </c>
      <c r="P171" s="12">
        <f t="shared" si="46"/>
        <v>0</v>
      </c>
      <c r="Q171" s="12">
        <f t="shared" si="46"/>
        <v>0</v>
      </c>
      <c r="T171" s="61"/>
      <c r="U171" s="61"/>
      <c r="V171" s="61"/>
      <c r="W171" s="53">
        <f t="shared" si="47"/>
        <v>0</v>
      </c>
      <c r="X171" s="54" t="e">
        <f t="shared" si="48"/>
        <v>#DIV/0!</v>
      </c>
      <c r="Y171" s="54">
        <f t="shared" si="55"/>
        <v>0</v>
      </c>
      <c r="Z171" s="54">
        <f>($C72/$BN$157)+($D72/$BN$158)</f>
        <v>0</v>
      </c>
      <c r="AA171" s="54">
        <f t="shared" si="49"/>
        <v>0</v>
      </c>
      <c r="AB171" s="54">
        <f t="shared" si="49"/>
        <v>0</v>
      </c>
      <c r="AC171" s="54">
        <f t="shared" si="49"/>
        <v>0</v>
      </c>
      <c r="AD171" s="54">
        <f t="shared" si="49"/>
        <v>0</v>
      </c>
      <c r="AE171" s="54">
        <f t="shared" si="49"/>
        <v>0</v>
      </c>
      <c r="AF171" s="54">
        <f>IF($E72+365&lt;$C$56,0,IF($E72&lt;$C$56,(($E72+365-$C$56)/365)*(($C72/$BN$157)+($D72/$BN$158)),IF($E72&gt;AF$166,0,IF($E72+365&lt;AF$166,($C72/$BN$157)+($D72/$BN$158),((AF$166-$E72)/365)*(($C72/$BN$157)+($D72/$BN$158))))))</f>
        <v>0</v>
      </c>
      <c r="AG171" s="54">
        <f t="shared" si="49"/>
        <v>0</v>
      </c>
      <c r="AH171" s="54">
        <f t="shared" si="49"/>
        <v>0</v>
      </c>
      <c r="AI171" s="54">
        <f t="shared" si="49"/>
        <v>0</v>
      </c>
      <c r="AJ171" s="54">
        <f t="shared" si="49"/>
        <v>0</v>
      </c>
      <c r="AK171" s="54">
        <f t="shared" ref="AK171" si="62">IF($E72+365&lt;$C$56,0,IF($E72&lt;$C$56,(($E72+365-$C$56)/365)*(($C72/$BN$157)+($D72/$BN$158)),IF($E72&gt;AK$166,0,IF($E72+365&lt;AK$166,($C72/$BN$157)+($D72/$BN$158),((AK$166-$E72)/365)*(($C72/$BN$157)+($D72/$BN$158))))))</f>
        <v>0</v>
      </c>
      <c r="AL171" s="24">
        <f t="shared" si="51"/>
        <v>0</v>
      </c>
      <c r="AM171" s="24">
        <f t="shared" si="52"/>
        <v>0</v>
      </c>
      <c r="AN171" s="55">
        <f t="shared" si="53"/>
        <v>0</v>
      </c>
      <c r="AO171" s="55">
        <f t="shared" si="54"/>
        <v>0</v>
      </c>
      <c r="AP171" s="24"/>
      <c r="AQ171" s="24"/>
      <c r="AR171" s="24"/>
      <c r="AS171" s="24"/>
      <c r="AT171" s="24"/>
      <c r="AU171" s="24"/>
      <c r="AV171" s="24"/>
      <c r="AW171" s="24"/>
      <c r="AX171" s="24"/>
      <c r="AY171" s="24"/>
      <c r="AZ171" s="24"/>
      <c r="BA171" s="24"/>
      <c r="BB171" s="24"/>
      <c r="BC171" s="24"/>
      <c r="BD171" s="24"/>
      <c r="BE171" s="24" t="e">
        <f t="shared" si="40"/>
        <v>#N/A</v>
      </c>
      <c r="BF171" s="59">
        <f t="shared" ref="BF171:BF176" si="63">BF170+365</f>
        <v>46842</v>
      </c>
      <c r="BG171" s="36">
        <f>$BV$158+AE214+($C$64-$BV$158)</f>
        <v>76</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t="e">
        <f>CI175</f>
        <v>#N/A</v>
      </c>
      <c r="CF171" s="14" t="e">
        <f>CJ175</f>
        <v>#N/A</v>
      </c>
      <c r="CG171" s="14"/>
      <c r="CH171" s="25">
        <v>4</v>
      </c>
      <c r="CI171" s="14" t="e">
        <f t="shared" si="58"/>
        <v>#N/A</v>
      </c>
      <c r="CJ171" s="14" t="e">
        <f t="shared" si="59"/>
        <v>#N/A</v>
      </c>
    </row>
    <row r="172" spans="7:88">
      <c r="G172" s="12">
        <f t="shared" si="41"/>
        <v>0</v>
      </c>
      <c r="H172" s="12">
        <f t="shared" si="42"/>
        <v>0</v>
      </c>
      <c r="I172" s="12">
        <f t="shared" si="42"/>
        <v>0</v>
      </c>
      <c r="J172" s="12">
        <f t="shared" si="42"/>
        <v>0</v>
      </c>
      <c r="K172" s="12">
        <f t="shared" si="43"/>
        <v>0</v>
      </c>
      <c r="L172" s="12">
        <f t="shared" si="44"/>
        <v>0</v>
      </c>
      <c r="M172" s="12">
        <f t="shared" si="44"/>
        <v>0</v>
      </c>
      <c r="N172" s="12">
        <f t="shared" si="44"/>
        <v>0</v>
      </c>
      <c r="O172" s="12">
        <f t="shared" si="45"/>
        <v>0</v>
      </c>
      <c r="P172" s="12">
        <f t="shared" si="46"/>
        <v>0</v>
      </c>
      <c r="Q172" s="12">
        <f t="shared" si="46"/>
        <v>0</v>
      </c>
      <c r="T172" s="61"/>
      <c r="U172" s="61"/>
      <c r="V172" s="61"/>
      <c r="W172" s="53">
        <f t="shared" si="47"/>
        <v>0</v>
      </c>
      <c r="X172" s="54" t="e">
        <f t="shared" si="48"/>
        <v>#DIV/0!</v>
      </c>
      <c r="Y172" s="25">
        <f>Z172/$BH$166</f>
        <v>0</v>
      </c>
      <c r="Z172" s="54">
        <f t="shared" si="60"/>
        <v>0</v>
      </c>
      <c r="AA172" s="54">
        <f t="shared" si="49"/>
        <v>0</v>
      </c>
      <c r="AB172" s="54">
        <f t="shared" si="49"/>
        <v>0</v>
      </c>
      <c r="AC172" s="54">
        <f t="shared" si="49"/>
        <v>0</v>
      </c>
      <c r="AD172" s="54">
        <f t="shared" si="49"/>
        <v>0</v>
      </c>
      <c r="AE172" s="54">
        <f t="shared" si="49"/>
        <v>0</v>
      </c>
      <c r="AF172" s="54">
        <f t="shared" si="49"/>
        <v>0</v>
      </c>
      <c r="AG172" s="54">
        <f t="shared" si="49"/>
        <v>0</v>
      </c>
      <c r="AH172" s="54">
        <f t="shared" si="49"/>
        <v>0</v>
      </c>
      <c r="AI172" s="54">
        <f t="shared" si="49"/>
        <v>0</v>
      </c>
      <c r="AJ172" s="54">
        <f t="shared" si="49"/>
        <v>0</v>
      </c>
      <c r="AK172" s="54">
        <f t="shared" ref="AK172" si="64">IF($E73+365&lt;$C$56,0,IF($E73&lt;$C$56,(($E73+365-$C$56)/365)*(($C73/$BN$157)+($D73/$BN$158)),IF($E73&gt;AK$166,0,IF($E73+365&lt;AK$166,($C73/$BN$157)+($D73/$BN$158),((AK$166-$E73)/365)*(($C73/$BN$157)+($D73/$BN$158))))))</f>
        <v>0</v>
      </c>
      <c r="AL172" s="24">
        <f t="shared" si="51"/>
        <v>0</v>
      </c>
      <c r="AM172" s="24">
        <f t="shared" si="52"/>
        <v>0</v>
      </c>
      <c r="AN172" s="55">
        <f t="shared" si="53"/>
        <v>0</v>
      </c>
      <c r="AO172" s="55">
        <f t="shared" si="54"/>
        <v>0</v>
      </c>
      <c r="AP172" s="24"/>
      <c r="AQ172" s="24"/>
      <c r="AR172" s="24"/>
      <c r="AS172" s="24"/>
      <c r="AT172" s="24"/>
      <c r="AU172" s="24"/>
      <c r="AV172" s="24"/>
      <c r="AW172" s="24"/>
      <c r="AX172" s="24"/>
      <c r="AY172" s="24"/>
      <c r="AZ172" s="24"/>
      <c r="BA172" s="24"/>
      <c r="BB172" s="24"/>
      <c r="BC172" s="24"/>
      <c r="BD172" s="24"/>
      <c r="BE172" s="24" t="e">
        <f t="shared" si="40"/>
        <v>#N/A</v>
      </c>
      <c r="BF172" s="59">
        <f t="shared" si="63"/>
        <v>47207</v>
      </c>
      <c r="BG172" s="36">
        <f>$BV$158+AF214+($C$64-$BV$158)</f>
        <v>76</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t="e">
        <f>CI174</f>
        <v>#N/A</v>
      </c>
      <c r="CF172" s="14" t="e">
        <f>CJ174</f>
        <v>#N/A</v>
      </c>
      <c r="CG172" s="14"/>
      <c r="CH172" s="25">
        <v>3.5</v>
      </c>
      <c r="CI172" s="14" t="e">
        <f t="shared" si="58"/>
        <v>#N/A</v>
      </c>
      <c r="CJ172" s="14" t="e">
        <f t="shared" si="59"/>
        <v>#N/A</v>
      </c>
    </row>
    <row r="173" spans="7:88">
      <c r="G173" s="12">
        <f t="shared" si="41"/>
        <v>0</v>
      </c>
      <c r="H173" s="12">
        <f t="shared" si="42"/>
        <v>0</v>
      </c>
      <c r="I173" s="12">
        <f t="shared" si="42"/>
        <v>0</v>
      </c>
      <c r="J173" s="12">
        <f t="shared" si="42"/>
        <v>0</v>
      </c>
      <c r="K173" s="12">
        <f t="shared" si="43"/>
        <v>0</v>
      </c>
      <c r="L173" s="12">
        <f t="shared" si="44"/>
        <v>0</v>
      </c>
      <c r="M173" s="12">
        <f t="shared" si="44"/>
        <v>0</v>
      </c>
      <c r="N173" s="12">
        <f t="shared" si="44"/>
        <v>0</v>
      </c>
      <c r="O173" s="12">
        <f t="shared" si="45"/>
        <v>0</v>
      </c>
      <c r="P173" s="12">
        <f t="shared" si="46"/>
        <v>0</v>
      </c>
      <c r="Q173" s="12">
        <f t="shared" si="46"/>
        <v>0</v>
      </c>
      <c r="T173" s="61"/>
      <c r="U173" s="61"/>
      <c r="V173" s="61"/>
      <c r="W173" s="53">
        <f t="shared" si="47"/>
        <v>0</v>
      </c>
      <c r="X173" s="54" t="e">
        <f t="shared" si="48"/>
        <v>#DIV/0!</v>
      </c>
      <c r="Y173" s="25">
        <f t="shared" si="55"/>
        <v>0</v>
      </c>
      <c r="Z173" s="54">
        <f t="shared" si="60"/>
        <v>0</v>
      </c>
      <c r="AA173" s="54">
        <f t="shared" si="49"/>
        <v>0</v>
      </c>
      <c r="AB173" s="54">
        <f t="shared" si="49"/>
        <v>0</v>
      </c>
      <c r="AC173" s="54">
        <f t="shared" si="49"/>
        <v>0</v>
      </c>
      <c r="AD173" s="54">
        <f t="shared" si="49"/>
        <v>0</v>
      </c>
      <c r="AE173" s="54">
        <f t="shared" si="49"/>
        <v>0</v>
      </c>
      <c r="AF173" s="54">
        <f t="shared" si="49"/>
        <v>0</v>
      </c>
      <c r="AG173" s="54">
        <f t="shared" si="49"/>
        <v>0</v>
      </c>
      <c r="AH173" s="54">
        <f t="shared" si="49"/>
        <v>0</v>
      </c>
      <c r="AI173" s="54">
        <f t="shared" si="49"/>
        <v>0</v>
      </c>
      <c r="AJ173" s="54">
        <f t="shared" si="49"/>
        <v>0</v>
      </c>
      <c r="AK173" s="54">
        <f t="shared" ref="AK173" si="65">IF($E74+365&lt;$C$56,0,IF($E74&lt;$C$56,(($E74+365-$C$56)/365)*(($C74/$BN$157)+($D74/$BN$158)),IF($E74&gt;AK$166,0,IF($E74+365&lt;AK$166,($C74/$BN$157)+($D74/$BN$158),((AK$166-$E74)/365)*(($C74/$BN$157)+($D74/$BN$158))))))</f>
        <v>0</v>
      </c>
      <c r="AL173" s="24">
        <f t="shared" si="51"/>
        <v>0</v>
      </c>
      <c r="AM173" s="24">
        <f t="shared" si="52"/>
        <v>0</v>
      </c>
      <c r="AN173" s="55">
        <f t="shared" si="53"/>
        <v>0</v>
      </c>
      <c r="AO173" s="55">
        <f t="shared" si="54"/>
        <v>0</v>
      </c>
      <c r="AP173" s="24"/>
      <c r="AQ173" s="24"/>
      <c r="AR173" s="24"/>
      <c r="AS173" s="24"/>
      <c r="AT173" s="24"/>
      <c r="AU173" s="24"/>
      <c r="AV173" s="24"/>
      <c r="AW173" s="24"/>
      <c r="AX173" s="24"/>
      <c r="AY173" s="24"/>
      <c r="AZ173" s="24"/>
      <c r="BA173" s="24"/>
      <c r="BB173" s="24"/>
      <c r="BC173" s="24"/>
      <c r="BD173" s="24"/>
      <c r="BE173" s="24" t="e">
        <f t="shared" si="40"/>
        <v>#N/A</v>
      </c>
      <c r="BF173" s="59">
        <f t="shared" si="63"/>
        <v>47572</v>
      </c>
      <c r="BG173" s="36">
        <f>$BV$158+AG214+($C$64-$BV$158)</f>
        <v>76</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t="e">
        <f>CI173</f>
        <v>#N/A</v>
      </c>
      <c r="CF173" s="14" t="e">
        <f>CJ173</f>
        <v>#N/A</v>
      </c>
      <c r="CG173" s="14"/>
      <c r="CH173" s="25">
        <v>3</v>
      </c>
      <c r="CI173" s="14" t="e">
        <f t="shared" si="58"/>
        <v>#N/A</v>
      </c>
      <c r="CJ173" s="14" t="e">
        <f t="shared" si="59"/>
        <v>#N/A</v>
      </c>
    </row>
    <row r="174" spans="7:88">
      <c r="G174" s="12">
        <f t="shared" si="41"/>
        <v>0</v>
      </c>
      <c r="H174" s="12">
        <f t="shared" si="42"/>
        <v>0</v>
      </c>
      <c r="I174" s="12">
        <f t="shared" si="42"/>
        <v>0</v>
      </c>
      <c r="J174" s="12">
        <f t="shared" si="42"/>
        <v>0</v>
      </c>
      <c r="K174" s="12">
        <f t="shared" si="43"/>
        <v>0</v>
      </c>
      <c r="L174" s="12">
        <f t="shared" si="44"/>
        <v>0</v>
      </c>
      <c r="M174" s="12">
        <f t="shared" si="44"/>
        <v>0</v>
      </c>
      <c r="N174" s="12">
        <f t="shared" si="44"/>
        <v>0</v>
      </c>
      <c r="O174" s="12">
        <f t="shared" si="45"/>
        <v>0</v>
      </c>
      <c r="P174" s="12">
        <f t="shared" si="46"/>
        <v>0</v>
      </c>
      <c r="Q174" s="12">
        <f t="shared" si="46"/>
        <v>0</v>
      </c>
      <c r="T174" s="61"/>
      <c r="U174" s="61"/>
      <c r="V174" s="61"/>
      <c r="W174" s="53">
        <f t="shared" si="47"/>
        <v>0</v>
      </c>
      <c r="X174" s="54" t="e">
        <f t="shared" si="48"/>
        <v>#DIV/0!</v>
      </c>
      <c r="Y174" s="25">
        <f t="shared" si="55"/>
        <v>0</v>
      </c>
      <c r="Z174" s="54">
        <f t="shared" si="60"/>
        <v>0</v>
      </c>
      <c r="AA174" s="54">
        <f t="shared" si="49"/>
        <v>0</v>
      </c>
      <c r="AB174" s="54">
        <f t="shared" si="49"/>
        <v>0</v>
      </c>
      <c r="AC174" s="54">
        <f t="shared" si="49"/>
        <v>0</v>
      </c>
      <c r="AD174" s="54">
        <f t="shared" si="49"/>
        <v>0</v>
      </c>
      <c r="AE174" s="54">
        <f t="shared" si="49"/>
        <v>0</v>
      </c>
      <c r="AF174" s="54">
        <f t="shared" si="49"/>
        <v>0</v>
      </c>
      <c r="AG174" s="54">
        <f t="shared" si="49"/>
        <v>0</v>
      </c>
      <c r="AH174" s="54">
        <f t="shared" si="49"/>
        <v>0</v>
      </c>
      <c r="AI174" s="54">
        <f t="shared" si="49"/>
        <v>0</v>
      </c>
      <c r="AJ174" s="54">
        <f t="shared" si="49"/>
        <v>0</v>
      </c>
      <c r="AK174" s="54">
        <f t="shared" ref="AK174" si="66">IF($E75+365&lt;$C$56,0,IF($E75&lt;$C$56,(($E75+365-$C$56)/365)*(($C75/$BN$157)+($D75/$BN$158)),IF($E75&gt;AK$166,0,IF($E75+365&lt;AK$166,($C75/$BN$157)+($D75/$BN$158),((AK$166-$E75)/365)*(($C75/$BN$157)+($D75/$BN$158))))))</f>
        <v>0</v>
      </c>
      <c r="AL174" s="24">
        <f t="shared" si="51"/>
        <v>0</v>
      </c>
      <c r="AM174" s="24">
        <f t="shared" si="52"/>
        <v>0</v>
      </c>
      <c r="AN174" s="55">
        <f t="shared" si="53"/>
        <v>0</v>
      </c>
      <c r="AO174" s="55">
        <f t="shared" si="54"/>
        <v>0</v>
      </c>
      <c r="AP174" s="24"/>
      <c r="AQ174" s="24"/>
      <c r="AR174" s="24"/>
      <c r="AS174" s="24"/>
      <c r="AT174" s="24"/>
      <c r="AU174" s="24"/>
      <c r="AV174" s="24"/>
      <c r="AW174" s="24"/>
      <c r="AX174" s="24"/>
      <c r="AY174" s="24"/>
      <c r="AZ174" s="24"/>
      <c r="BA174" s="24"/>
      <c r="BB174" s="24"/>
      <c r="BC174" s="24"/>
      <c r="BD174" s="24"/>
      <c r="BE174" s="24" t="e">
        <f t="shared" si="40"/>
        <v>#N/A</v>
      </c>
      <c r="BF174" s="59">
        <f t="shared" si="63"/>
        <v>47937</v>
      </c>
      <c r="BG174" s="36">
        <f>$BV$158+AH214+($C$64-$BV$158)</f>
        <v>76</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t="e">
        <f>CI172</f>
        <v>#N/A</v>
      </c>
      <c r="CF174" s="14" t="e">
        <f>CJ172</f>
        <v>#N/A</v>
      </c>
      <c r="CG174" s="14"/>
      <c r="CH174" s="25">
        <v>2.5</v>
      </c>
      <c r="CI174" s="14" t="e">
        <f t="shared" si="58"/>
        <v>#N/A</v>
      </c>
      <c r="CJ174" s="14" t="e">
        <f t="shared" si="59"/>
        <v>#N/A</v>
      </c>
    </row>
    <row r="175" spans="7:88">
      <c r="G175" s="12">
        <f t="shared" si="41"/>
        <v>0</v>
      </c>
      <c r="H175" s="12">
        <f t="shared" si="42"/>
        <v>0</v>
      </c>
      <c r="I175" s="12">
        <f t="shared" si="42"/>
        <v>0</v>
      </c>
      <c r="J175" s="12">
        <f t="shared" si="42"/>
        <v>0</v>
      </c>
      <c r="K175" s="12">
        <f t="shared" si="43"/>
        <v>0</v>
      </c>
      <c r="L175" s="12">
        <f t="shared" si="44"/>
        <v>0</v>
      </c>
      <c r="M175" s="12">
        <f t="shared" si="44"/>
        <v>0</v>
      </c>
      <c r="N175" s="12">
        <f t="shared" si="44"/>
        <v>0</v>
      </c>
      <c r="O175" s="12">
        <f t="shared" si="45"/>
        <v>0</v>
      </c>
      <c r="P175" s="12">
        <f t="shared" si="46"/>
        <v>0</v>
      </c>
      <c r="Q175" s="12">
        <f t="shared" si="46"/>
        <v>0</v>
      </c>
      <c r="T175" s="61"/>
      <c r="U175" s="61"/>
      <c r="V175" s="61"/>
      <c r="W175" s="53">
        <f t="shared" si="47"/>
        <v>0</v>
      </c>
      <c r="X175" s="54" t="e">
        <f t="shared" si="48"/>
        <v>#DIV/0!</v>
      </c>
      <c r="Y175" s="25">
        <f t="shared" si="55"/>
        <v>0</v>
      </c>
      <c r="Z175" s="54">
        <f t="shared" si="60"/>
        <v>0</v>
      </c>
      <c r="AA175" s="54">
        <f t="shared" si="49"/>
        <v>0</v>
      </c>
      <c r="AB175" s="54">
        <f t="shared" si="49"/>
        <v>0</v>
      </c>
      <c r="AC175" s="54">
        <f t="shared" si="49"/>
        <v>0</v>
      </c>
      <c r="AD175" s="54">
        <f t="shared" si="49"/>
        <v>0</v>
      </c>
      <c r="AE175" s="54">
        <f t="shared" si="49"/>
        <v>0</v>
      </c>
      <c r="AF175" s="54">
        <f t="shared" si="49"/>
        <v>0</v>
      </c>
      <c r="AG175" s="54">
        <f t="shared" si="49"/>
        <v>0</v>
      </c>
      <c r="AH175" s="54">
        <f t="shared" si="49"/>
        <v>0</v>
      </c>
      <c r="AI175" s="54">
        <f t="shared" si="49"/>
        <v>0</v>
      </c>
      <c r="AJ175" s="54">
        <f t="shared" si="49"/>
        <v>0</v>
      </c>
      <c r="AK175" s="54">
        <f t="shared" ref="AK175" si="67">IF($E76+365&lt;$C$56,0,IF($E76&lt;$C$56,(($E76+365-$C$56)/365)*(($C76/$BN$157)+($D76/$BN$158)),IF($E76&gt;AK$166,0,IF($E76+365&lt;AK$166,($C76/$BN$157)+($D76/$BN$158),((AK$166-$E76)/365)*(($C76/$BN$157)+($D76/$BN$158))))))</f>
        <v>0</v>
      </c>
      <c r="AL175" s="24">
        <f t="shared" si="51"/>
        <v>0</v>
      </c>
      <c r="AM175" s="24">
        <f t="shared" si="52"/>
        <v>0</v>
      </c>
      <c r="AN175" s="55">
        <f t="shared" si="53"/>
        <v>0</v>
      </c>
      <c r="AO175" s="55">
        <f t="shared" si="54"/>
        <v>0</v>
      </c>
      <c r="AP175" s="24"/>
      <c r="AQ175" s="24"/>
      <c r="AR175" s="24"/>
      <c r="AS175" s="24"/>
      <c r="AT175" s="24"/>
      <c r="AU175" s="24"/>
      <c r="AV175" s="24"/>
      <c r="AW175" s="24"/>
      <c r="AX175" s="24"/>
      <c r="AY175" s="24"/>
      <c r="AZ175" s="24"/>
      <c r="BA175" s="24"/>
      <c r="BB175" s="24"/>
      <c r="BC175" s="24"/>
      <c r="BD175" s="24"/>
      <c r="BE175" s="24" t="e">
        <f t="shared" si="40"/>
        <v>#N/A</v>
      </c>
      <c r="BF175" s="59">
        <f t="shared" si="63"/>
        <v>48302</v>
      </c>
      <c r="BG175" s="36">
        <f>$BV$158+AI214+($C$64-$BV$158)</f>
        <v>76</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t="e">
        <f>CI171</f>
        <v>#N/A</v>
      </c>
      <c r="CF175" s="14" t="e">
        <f>CJ171</f>
        <v>#N/A</v>
      </c>
      <c r="CG175" s="14"/>
      <c r="CH175" s="25">
        <v>2</v>
      </c>
      <c r="CI175" s="14" t="e">
        <f t="shared" si="58"/>
        <v>#N/A</v>
      </c>
      <c r="CJ175" s="14" t="e">
        <f t="shared" si="59"/>
        <v>#N/A</v>
      </c>
    </row>
    <row r="176" spans="7:88">
      <c r="G176" s="12">
        <f t="shared" si="41"/>
        <v>0</v>
      </c>
      <c r="H176" s="12">
        <f t="shared" si="42"/>
        <v>0</v>
      </c>
      <c r="I176" s="12">
        <f t="shared" si="42"/>
        <v>0</v>
      </c>
      <c r="J176" s="12">
        <f t="shared" si="42"/>
        <v>0</v>
      </c>
      <c r="K176" s="12">
        <f t="shared" si="43"/>
        <v>0</v>
      </c>
      <c r="L176" s="12">
        <f t="shared" si="44"/>
        <v>0</v>
      </c>
      <c r="M176" s="12">
        <f t="shared" si="44"/>
        <v>0</v>
      </c>
      <c r="N176" s="12">
        <f t="shared" si="44"/>
        <v>0</v>
      </c>
      <c r="O176" s="12">
        <f t="shared" si="45"/>
        <v>0</v>
      </c>
      <c r="P176" s="12">
        <f t="shared" si="46"/>
        <v>0</v>
      </c>
      <c r="Q176" s="12">
        <f t="shared" si="46"/>
        <v>0</v>
      </c>
      <c r="T176" s="61"/>
      <c r="U176" s="61"/>
      <c r="V176" s="61"/>
      <c r="W176" s="53">
        <f t="shared" si="47"/>
        <v>0</v>
      </c>
      <c r="X176" s="54" t="e">
        <f t="shared" si="48"/>
        <v>#DIV/0!</v>
      </c>
      <c r="Y176" s="25">
        <f t="shared" si="55"/>
        <v>0</v>
      </c>
      <c r="Z176" s="54">
        <f t="shared" si="60"/>
        <v>0</v>
      </c>
      <c r="AA176" s="54">
        <f t="shared" si="49"/>
        <v>0</v>
      </c>
      <c r="AB176" s="54">
        <f t="shared" si="49"/>
        <v>0</v>
      </c>
      <c r="AC176" s="54">
        <f t="shared" si="49"/>
        <v>0</v>
      </c>
      <c r="AD176" s="54">
        <f t="shared" si="49"/>
        <v>0</v>
      </c>
      <c r="AE176" s="54">
        <f t="shared" si="49"/>
        <v>0</v>
      </c>
      <c r="AF176" s="54">
        <f t="shared" si="49"/>
        <v>0</v>
      </c>
      <c r="AG176" s="54">
        <f t="shared" si="49"/>
        <v>0</v>
      </c>
      <c r="AH176" s="54">
        <f t="shared" si="49"/>
        <v>0</v>
      </c>
      <c r="AI176" s="54">
        <f t="shared" si="49"/>
        <v>0</v>
      </c>
      <c r="AJ176" s="54">
        <f t="shared" si="49"/>
        <v>0</v>
      </c>
      <c r="AK176" s="54">
        <f t="shared" ref="AK176" si="68">IF($E77+365&lt;$C$56,0,IF($E77&lt;$C$56,(($E77+365-$C$56)/365)*(($C77/$BN$157)+($D77/$BN$158)),IF($E77&gt;AK$166,0,IF($E77+365&lt;AK$166,($C77/$BN$157)+($D77/$BN$158),((AK$166-$E77)/365)*(($C77/$BN$157)+($D77/$BN$158))))))</f>
        <v>0</v>
      </c>
      <c r="AL176" s="24">
        <f t="shared" si="51"/>
        <v>0</v>
      </c>
      <c r="AM176" s="24">
        <f t="shared" si="52"/>
        <v>0</v>
      </c>
      <c r="AN176" s="55">
        <f t="shared" si="53"/>
        <v>0</v>
      </c>
      <c r="AO176" s="55">
        <f t="shared" si="54"/>
        <v>0</v>
      </c>
      <c r="AP176" s="24"/>
      <c r="AQ176" s="24"/>
      <c r="AR176" s="24"/>
      <c r="AS176" s="24"/>
      <c r="AT176" s="24"/>
      <c r="AU176" s="24"/>
      <c r="AV176" s="24"/>
      <c r="AW176" s="24"/>
      <c r="AX176" s="24"/>
      <c r="AY176" s="24"/>
      <c r="AZ176" s="24"/>
      <c r="BA176" s="24"/>
      <c r="BB176" s="24"/>
      <c r="BC176" s="24"/>
      <c r="BD176" s="24"/>
      <c r="BE176" s="24" t="e">
        <f t="shared" si="40"/>
        <v>#N/A</v>
      </c>
      <c r="BF176" s="59">
        <f t="shared" si="63"/>
        <v>48667</v>
      </c>
      <c r="BG176" s="36">
        <f>$BV$158+AJ214+($C$64-$BV$158)</f>
        <v>76</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t="e">
        <f>CI170</f>
        <v>#N/A</v>
      </c>
      <c r="CF176" s="14" t="e">
        <f>CJ170</f>
        <v>#N/A</v>
      </c>
      <c r="CG176" s="14"/>
      <c r="CH176" s="25">
        <v>1.5</v>
      </c>
      <c r="CI176" s="14" t="e">
        <f t="shared" si="58"/>
        <v>#N/A</v>
      </c>
      <c r="CJ176" s="14" t="e">
        <f t="shared" si="59"/>
        <v>#N/A</v>
      </c>
    </row>
    <row r="177" spans="7:88">
      <c r="G177" s="12">
        <f t="shared" si="41"/>
        <v>0</v>
      </c>
      <c r="H177" s="12">
        <f t="shared" si="42"/>
        <v>0</v>
      </c>
      <c r="I177" s="12">
        <f t="shared" si="42"/>
        <v>0</v>
      </c>
      <c r="J177" s="12">
        <f t="shared" si="42"/>
        <v>0</v>
      </c>
      <c r="K177" s="12">
        <f t="shared" si="43"/>
        <v>0</v>
      </c>
      <c r="L177" s="12">
        <f t="shared" si="44"/>
        <v>0</v>
      </c>
      <c r="M177" s="12">
        <f t="shared" si="44"/>
        <v>0</v>
      </c>
      <c r="N177" s="12">
        <f t="shared" si="44"/>
        <v>0</v>
      </c>
      <c r="O177" s="12">
        <f t="shared" si="45"/>
        <v>0</v>
      </c>
      <c r="P177" s="12">
        <f t="shared" si="46"/>
        <v>0</v>
      </c>
      <c r="Q177" s="12">
        <f t="shared" si="46"/>
        <v>0</v>
      </c>
      <c r="T177" s="61"/>
      <c r="U177" s="61"/>
      <c r="V177" s="61"/>
      <c r="W177" s="53">
        <f t="shared" si="47"/>
        <v>0</v>
      </c>
      <c r="X177" s="54" t="e">
        <f t="shared" si="48"/>
        <v>#DIV/0!</v>
      </c>
      <c r="Y177" s="25">
        <f t="shared" si="55"/>
        <v>0</v>
      </c>
      <c r="Z177" s="54">
        <f t="shared" si="60"/>
        <v>0</v>
      </c>
      <c r="AA177" s="54">
        <f t="shared" si="49"/>
        <v>0</v>
      </c>
      <c r="AB177" s="54">
        <f t="shared" si="49"/>
        <v>0</v>
      </c>
      <c r="AC177" s="54">
        <f t="shared" si="49"/>
        <v>0</v>
      </c>
      <c r="AD177" s="54">
        <f t="shared" si="49"/>
        <v>0</v>
      </c>
      <c r="AE177" s="54">
        <f t="shared" si="49"/>
        <v>0</v>
      </c>
      <c r="AF177" s="54">
        <f t="shared" si="49"/>
        <v>0</v>
      </c>
      <c r="AG177" s="54">
        <f t="shared" si="49"/>
        <v>0</v>
      </c>
      <c r="AH177" s="54">
        <f t="shared" si="49"/>
        <v>0</v>
      </c>
      <c r="AI177" s="54">
        <f t="shared" si="49"/>
        <v>0</v>
      </c>
      <c r="AJ177" s="54">
        <f t="shared" si="49"/>
        <v>0</v>
      </c>
      <c r="AK177" s="54">
        <f t="shared" ref="AK177" si="69">IF($E78+365&lt;$C$56,0,IF($E78&lt;$C$56,(($E78+365-$C$56)/365)*(($C78/$BN$157)+($D78/$BN$158)),IF($E78&gt;AK$166,0,IF($E78+365&lt;AK$166,($C78/$BN$157)+($D78/$BN$158),((AK$166-$E78)/365)*(($C78/$BN$157)+($D78/$BN$158))))))</f>
        <v>0</v>
      </c>
      <c r="AL177" s="24">
        <f t="shared" si="51"/>
        <v>0</v>
      </c>
      <c r="AM177" s="24">
        <f t="shared" si="52"/>
        <v>0</v>
      </c>
      <c r="AN177" s="55">
        <f t="shared" si="53"/>
        <v>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t="e">
        <f>CI169</f>
        <v>#N/A</v>
      </c>
      <c r="CF177" s="14" t="e">
        <f>CJ169</f>
        <v>#N/A</v>
      </c>
      <c r="CG177" s="14"/>
      <c r="CH177" s="25">
        <v>1</v>
      </c>
      <c r="CI177" s="14" t="e">
        <f t="shared" si="58"/>
        <v>#N/A</v>
      </c>
      <c r="CJ177" s="14" t="e">
        <f t="shared" si="59"/>
        <v>#N/A</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0</v>
      </c>
      <c r="X178" s="54" t="e">
        <f t="shared" si="48"/>
        <v>#DIV/0!</v>
      </c>
      <c r="Y178" s="25">
        <f t="shared" si="55"/>
        <v>0</v>
      </c>
      <c r="Z178" s="54">
        <f t="shared" si="60"/>
        <v>0</v>
      </c>
      <c r="AA178" s="54">
        <f t="shared" si="49"/>
        <v>0</v>
      </c>
      <c r="AB178" s="54">
        <f t="shared" si="49"/>
        <v>0</v>
      </c>
      <c r="AC178" s="54">
        <f>IF($E79+365&lt;$C$56,0,IF($E79&lt;$C$56,(($E79+365-$C$56)/365)*(($C79/$BN$157)+($D79/$BN$158)),IF($E79&gt;AC$166,0,IF($E79+365&lt;AC$166,($C79/$BN$157)+($D79/$BN$158),((AC$166-$E79)/365)*(($C79/$BN$157)+($D79/$BN$158))))))</f>
        <v>0</v>
      </c>
      <c r="AD178" s="54">
        <f t="shared" si="49"/>
        <v>0</v>
      </c>
      <c r="AE178" s="54">
        <f t="shared" si="49"/>
        <v>0</v>
      </c>
      <c r="AF178" s="54">
        <f t="shared" si="49"/>
        <v>0</v>
      </c>
      <c r="AG178" s="54">
        <f t="shared" si="49"/>
        <v>0</v>
      </c>
      <c r="AH178" s="54">
        <f t="shared" si="49"/>
        <v>0</v>
      </c>
      <c r="AI178" s="54">
        <f t="shared" si="49"/>
        <v>0</v>
      </c>
      <c r="AJ178" s="54">
        <f t="shared" si="49"/>
        <v>0</v>
      </c>
      <c r="AK178" s="54">
        <f t="shared" ref="AK178" si="70">IF($E79+365&lt;$C$56,0,IF($E79&lt;$C$56,(($E79+365-$C$56)/365)*(($C79/$BN$157)+($D79/$BN$158)),IF($E79&gt;AK$166,0,IF($E79+365&lt;AK$166,($C79/$BN$157)+($D79/$BN$158),((AK$166-$E79)/365)*(($C79/$BN$157)+($D79/$BN$158))))))</f>
        <v>0</v>
      </c>
      <c r="AL178" s="24">
        <f t="shared" si="51"/>
        <v>0</v>
      </c>
      <c r="AM178" s="24">
        <f t="shared" si="52"/>
        <v>0</v>
      </c>
      <c r="AN178" s="55">
        <f t="shared" si="53"/>
        <v>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0</v>
      </c>
      <c r="X179" s="54" t="e">
        <f t="shared" si="48"/>
        <v>#DIV/0!</v>
      </c>
      <c r="Y179" s="25">
        <f t="shared" si="55"/>
        <v>0</v>
      </c>
      <c r="Z179" s="54">
        <f t="shared" si="60"/>
        <v>0</v>
      </c>
      <c r="AA179" s="54">
        <f t="shared" si="49"/>
        <v>0</v>
      </c>
      <c r="AB179" s="54">
        <f t="shared" si="49"/>
        <v>0</v>
      </c>
      <c r="AC179" s="54">
        <f t="shared" si="49"/>
        <v>0</v>
      </c>
      <c r="AD179" s="54">
        <f t="shared" si="49"/>
        <v>0</v>
      </c>
      <c r="AE179" s="54">
        <f t="shared" si="49"/>
        <v>0</v>
      </c>
      <c r="AF179" s="54">
        <f t="shared" si="49"/>
        <v>0</v>
      </c>
      <c r="AG179" s="54">
        <f t="shared" si="49"/>
        <v>0</v>
      </c>
      <c r="AH179" s="54">
        <f t="shared" si="49"/>
        <v>0</v>
      </c>
      <c r="AI179" s="54">
        <f t="shared" si="49"/>
        <v>0</v>
      </c>
      <c r="AJ179" s="54">
        <f t="shared" si="49"/>
        <v>0</v>
      </c>
      <c r="AK179" s="54">
        <f t="shared" ref="AK179" si="71">IF($E80+365&lt;$C$56,0,IF($E80&lt;$C$56,(($E80+365-$C$56)/365)*(($C80/$BN$157)+($D80/$BN$158)),IF($E80&gt;AK$166,0,IF($E80+365&lt;AK$166,($C80/$BN$157)+($D80/$BN$158),((AK$166-$E80)/365)*(($C80/$BN$157)+($D80/$BN$158))))))</f>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48"/>
        <v>#DIV/0!</v>
      </c>
      <c r="Y180" s="25">
        <f t="shared" si="55"/>
        <v>0</v>
      </c>
      <c r="Z180" s="54">
        <f t="shared" si="60"/>
        <v>0</v>
      </c>
      <c r="AA180" s="54">
        <f t="shared" si="49"/>
        <v>0</v>
      </c>
      <c r="AB180" s="54">
        <f t="shared" si="49"/>
        <v>0</v>
      </c>
      <c r="AC180" s="54">
        <f t="shared" si="49"/>
        <v>0</v>
      </c>
      <c r="AD180" s="54">
        <f t="shared" si="49"/>
        <v>0</v>
      </c>
      <c r="AE180" s="54">
        <f t="shared" si="49"/>
        <v>0</v>
      </c>
      <c r="AF180" s="54">
        <f t="shared" si="49"/>
        <v>0</v>
      </c>
      <c r="AG180" s="54">
        <f t="shared" si="49"/>
        <v>0</v>
      </c>
      <c r="AH180" s="54">
        <f t="shared" si="49"/>
        <v>0</v>
      </c>
      <c r="AI180" s="54">
        <f t="shared" si="49"/>
        <v>0</v>
      </c>
      <c r="AJ180" s="54">
        <f t="shared" si="49"/>
        <v>0</v>
      </c>
      <c r="AK180" s="54">
        <f t="shared" ref="AK180" si="72">IF($E81+365&lt;$C$56,0,IF($E81&lt;$C$56,(($E81+365-$C$56)/365)*(($C81/$BN$157)+($D81/$BN$158)),IF($E81&gt;AK$166,0,IF($E81+365&lt;AK$166,($C81/$BN$157)+($D81/$BN$158),((AK$166-$E81)/365)*(($C81/$BN$157)+($D81/$BN$158))))))</f>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48"/>
        <v>#DIV/0!</v>
      </c>
      <c r="Y181" s="25">
        <f t="shared" si="55"/>
        <v>0</v>
      </c>
      <c r="Z181" s="54">
        <f t="shared" si="60"/>
        <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48"/>
        <v>#DIV/0!</v>
      </c>
      <c r="Y182" s="25">
        <f t="shared" si="55"/>
        <v>0</v>
      </c>
      <c r="Z182" s="54">
        <f t="shared" si="60"/>
        <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48"/>
        <v>#DIV/0!</v>
      </c>
      <c r="Y183" s="25">
        <f t="shared" si="55"/>
        <v>0</v>
      </c>
      <c r="Z183" s="54">
        <f t="shared" si="60"/>
        <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48"/>
        <v>#DIV/0!</v>
      </c>
      <c r="Y184" s="25">
        <f t="shared" si="55"/>
        <v>0</v>
      </c>
      <c r="Z184" s="54">
        <f t="shared" si="60"/>
        <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48"/>
        <v>#DIV/0!</v>
      </c>
      <c r="Y185" s="25">
        <f t="shared" si="55"/>
        <v>0</v>
      </c>
      <c r="Z185" s="54">
        <f t="shared" si="60"/>
        <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48"/>
        <v>#DIV/0!</v>
      </c>
      <c r="Y186" s="25">
        <f t="shared" si="55"/>
        <v>0</v>
      </c>
      <c r="Z186" s="54">
        <f t="shared" si="60"/>
        <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48"/>
        <v>#DIV/0!</v>
      </c>
      <c r="Y187" s="25">
        <f t="shared" si="55"/>
        <v>0</v>
      </c>
      <c r="Z187" s="54">
        <f t="shared" si="60"/>
        <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48"/>
        <v>#DIV/0!</v>
      </c>
      <c r="Y188" s="25">
        <f t="shared" si="55"/>
        <v>0</v>
      </c>
      <c r="Z188" s="54">
        <f t="shared" si="60"/>
        <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48"/>
        <v>#DIV/0!</v>
      </c>
      <c r="Y189" s="25">
        <f t="shared" si="55"/>
        <v>0</v>
      </c>
      <c r="Z189" s="54">
        <f t="shared" si="60"/>
        <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48"/>
        <v>#DIV/0!</v>
      </c>
      <c r="Y190" s="25">
        <f t="shared" si="55"/>
        <v>0</v>
      </c>
      <c r="Z190" s="54">
        <f t="shared" si="60"/>
        <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48"/>
        <v>#DIV/0!</v>
      </c>
      <c r="Y191" s="25">
        <f t="shared" si="55"/>
        <v>0</v>
      </c>
      <c r="Z191" s="54">
        <f t="shared" si="60"/>
        <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48"/>
        <v>#DIV/0!</v>
      </c>
      <c r="Y192" s="25">
        <f t="shared" si="55"/>
        <v>0</v>
      </c>
      <c r="Z192" s="54">
        <f t="shared" si="60"/>
        <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48"/>
        <v>#DIV/0!</v>
      </c>
      <c r="Y193" s="25">
        <f t="shared" si="55"/>
        <v>0</v>
      </c>
      <c r="Z193" s="54">
        <f t="shared" si="60"/>
        <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48"/>
        <v>#DIV/0!</v>
      </c>
      <c r="Y194" s="25">
        <f t="shared" si="55"/>
        <v>0</v>
      </c>
      <c r="Z194" s="54">
        <f t="shared" si="60"/>
        <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0">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48"/>
        <v>#DIV/0!</v>
      </c>
      <c r="Y195" s="25">
        <f t="shared" si="55"/>
        <v>0</v>
      </c>
      <c r="Z195" s="54">
        <f t="shared" si="60"/>
        <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1">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48"/>
        <v>#DIV/0!</v>
      </c>
      <c r="Y196" s="25">
        <f t="shared" si="55"/>
        <v>0</v>
      </c>
      <c r="Z196" s="54">
        <f t="shared" si="60"/>
        <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2">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48"/>
        <v>#DIV/0!</v>
      </c>
      <c r="Y197" s="25">
        <f t="shared" si="55"/>
        <v>0</v>
      </c>
      <c r="Z197" s="54">
        <f t="shared" si="60"/>
        <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3">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48"/>
        <v>#DIV/0!</v>
      </c>
      <c r="Y198" s="25">
        <f t="shared" si="55"/>
        <v>0</v>
      </c>
      <c r="Z198" s="54">
        <f t="shared" si="60"/>
        <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4">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48"/>
        <v>#DIV/0!</v>
      </c>
      <c r="Y199" s="25">
        <f t="shared" si="55"/>
        <v>0</v>
      </c>
      <c r="Z199" s="54">
        <f t="shared" si="60"/>
        <v>0</v>
      </c>
      <c r="AA199" s="54">
        <f t="shared" ref="AA199:AJ213" si="95">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ref="AK199" si="96">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c r="AU199" s="24"/>
      <c r="AV199" s="24"/>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48"/>
        <v>#DIV/0!</v>
      </c>
      <c r="Y200" s="25">
        <f t="shared" si="55"/>
        <v>0</v>
      </c>
      <c r="Z200" s="54">
        <f t="shared" si="60"/>
        <v>0</v>
      </c>
      <c r="AA200" s="54">
        <f t="shared" si="95"/>
        <v>0</v>
      </c>
      <c r="AB200" s="54">
        <f t="shared" si="95"/>
        <v>0</v>
      </c>
      <c r="AC200" s="54">
        <f t="shared" si="95"/>
        <v>0</v>
      </c>
      <c r="AD200" s="54">
        <f t="shared" si="95"/>
        <v>0</v>
      </c>
      <c r="AE200" s="54">
        <f t="shared" si="95"/>
        <v>0</v>
      </c>
      <c r="AF200" s="54">
        <f t="shared" si="95"/>
        <v>0</v>
      </c>
      <c r="AG200" s="54">
        <f t="shared" si="95"/>
        <v>0</v>
      </c>
      <c r="AH200" s="54">
        <f t="shared" si="95"/>
        <v>0</v>
      </c>
      <c r="AI200" s="54">
        <f t="shared" si="95"/>
        <v>0</v>
      </c>
      <c r="AJ200" s="54">
        <f t="shared" si="95"/>
        <v>0</v>
      </c>
      <c r="AK200" s="54">
        <f t="shared" ref="AK200" si="97">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c r="AT200" s="24"/>
      <c r="AU200" s="24"/>
      <c r="AV200" s="24"/>
      <c r="AW200" s="24"/>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48"/>
        <v>#DIV/0!</v>
      </c>
      <c r="Y201" s="25">
        <f t="shared" si="55"/>
        <v>0</v>
      </c>
      <c r="Z201" s="54">
        <f t="shared" si="60"/>
        <v>0</v>
      </c>
      <c r="AA201" s="54">
        <f t="shared" si="95"/>
        <v>0</v>
      </c>
      <c r="AB201" s="54">
        <f t="shared" si="95"/>
        <v>0</v>
      </c>
      <c r="AC201" s="54">
        <f t="shared" si="95"/>
        <v>0</v>
      </c>
      <c r="AD201" s="54">
        <f t="shared" si="95"/>
        <v>0</v>
      </c>
      <c r="AE201" s="54">
        <f t="shared" si="95"/>
        <v>0</v>
      </c>
      <c r="AF201" s="54">
        <f t="shared" si="95"/>
        <v>0</v>
      </c>
      <c r="AG201" s="54">
        <f t="shared" si="95"/>
        <v>0</v>
      </c>
      <c r="AH201" s="54">
        <f t="shared" si="95"/>
        <v>0</v>
      </c>
      <c r="AI201" s="54">
        <f t="shared" si="95"/>
        <v>0</v>
      </c>
      <c r="AJ201" s="54">
        <f t="shared" si="95"/>
        <v>0</v>
      </c>
      <c r="AK201" s="54">
        <f t="shared" ref="AK201" si="98">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c r="AU201" s="24"/>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48"/>
        <v>#DIV/0!</v>
      </c>
      <c r="Y202" s="25">
        <f t="shared" si="55"/>
        <v>0</v>
      </c>
      <c r="Z202" s="54">
        <f t="shared" si="60"/>
        <v>0</v>
      </c>
      <c r="AA202" s="54">
        <f t="shared" si="95"/>
        <v>0</v>
      </c>
      <c r="AB202" s="54">
        <f t="shared" si="95"/>
        <v>0</v>
      </c>
      <c r="AC202" s="54">
        <f t="shared" si="95"/>
        <v>0</v>
      </c>
      <c r="AD202" s="54">
        <f t="shared" si="95"/>
        <v>0</v>
      </c>
      <c r="AE202" s="54">
        <f t="shared" si="95"/>
        <v>0</v>
      </c>
      <c r="AF202" s="54">
        <f t="shared" si="95"/>
        <v>0</v>
      </c>
      <c r="AG202" s="54">
        <f t="shared" si="95"/>
        <v>0</v>
      </c>
      <c r="AH202" s="54">
        <f t="shared" si="95"/>
        <v>0</v>
      </c>
      <c r="AI202" s="54">
        <f t="shared" si="95"/>
        <v>0</v>
      </c>
      <c r="AJ202" s="54">
        <f t="shared" si="95"/>
        <v>0</v>
      </c>
      <c r="AK202" s="54">
        <f t="shared" ref="AK202" si="99">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48"/>
        <v>#DIV/0!</v>
      </c>
      <c r="Y203" s="25">
        <f t="shared" si="55"/>
        <v>0</v>
      </c>
      <c r="Z203" s="54">
        <f t="shared" si="60"/>
        <v>0</v>
      </c>
      <c r="AA203" s="54">
        <f t="shared" si="95"/>
        <v>0</v>
      </c>
      <c r="AB203" s="54">
        <f t="shared" si="95"/>
        <v>0</v>
      </c>
      <c r="AC203" s="54">
        <f t="shared" si="95"/>
        <v>0</v>
      </c>
      <c r="AD203" s="54">
        <f t="shared" si="95"/>
        <v>0</v>
      </c>
      <c r="AE203" s="54">
        <f t="shared" si="95"/>
        <v>0</v>
      </c>
      <c r="AF203" s="54">
        <f t="shared" si="95"/>
        <v>0</v>
      </c>
      <c r="AG203" s="54">
        <f t="shared" si="95"/>
        <v>0</v>
      </c>
      <c r="AH203" s="54">
        <f t="shared" si="95"/>
        <v>0</v>
      </c>
      <c r="AI203" s="54">
        <f t="shared" si="95"/>
        <v>0</v>
      </c>
      <c r="AJ203" s="54">
        <f t="shared" si="95"/>
        <v>0</v>
      </c>
      <c r="AK203" s="54">
        <f t="shared" ref="AK203" si="100">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48"/>
        <v>#DIV/0!</v>
      </c>
      <c r="Y204" s="25">
        <f t="shared" si="55"/>
        <v>0</v>
      </c>
      <c r="Z204" s="54">
        <f t="shared" si="60"/>
        <v>0</v>
      </c>
      <c r="AA204" s="54">
        <f t="shared" si="95"/>
        <v>0</v>
      </c>
      <c r="AB204" s="54">
        <f t="shared" si="95"/>
        <v>0</v>
      </c>
      <c r="AC204" s="54">
        <f t="shared" si="95"/>
        <v>0</v>
      </c>
      <c r="AD204" s="54">
        <f t="shared" si="95"/>
        <v>0</v>
      </c>
      <c r="AE204" s="54">
        <f t="shared" si="95"/>
        <v>0</v>
      </c>
      <c r="AF204" s="54">
        <f t="shared" si="95"/>
        <v>0</v>
      </c>
      <c r="AG204" s="54">
        <f t="shared" si="95"/>
        <v>0</v>
      </c>
      <c r="AH204" s="54">
        <f t="shared" si="95"/>
        <v>0</v>
      </c>
      <c r="AI204" s="54">
        <f t="shared" si="95"/>
        <v>0</v>
      </c>
      <c r="AJ204" s="54">
        <f t="shared" si="95"/>
        <v>0</v>
      </c>
      <c r="AK204" s="54">
        <f t="shared" ref="AK204" si="101">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48"/>
        <v>#DIV/0!</v>
      </c>
      <c r="Y205" s="25">
        <f t="shared" si="55"/>
        <v>0</v>
      </c>
      <c r="Z205" s="54">
        <f t="shared" si="60"/>
        <v>0</v>
      </c>
      <c r="AA205" s="54">
        <f t="shared" si="95"/>
        <v>0</v>
      </c>
      <c r="AB205" s="54">
        <f t="shared" si="95"/>
        <v>0</v>
      </c>
      <c r="AC205" s="54">
        <f t="shared" si="95"/>
        <v>0</v>
      </c>
      <c r="AD205" s="54">
        <f t="shared" si="95"/>
        <v>0</v>
      </c>
      <c r="AE205" s="54">
        <f t="shared" si="95"/>
        <v>0</v>
      </c>
      <c r="AF205" s="54">
        <f t="shared" si="95"/>
        <v>0</v>
      </c>
      <c r="AG205" s="54">
        <f t="shared" si="95"/>
        <v>0</v>
      </c>
      <c r="AH205" s="54">
        <f t="shared" si="95"/>
        <v>0</v>
      </c>
      <c r="AI205" s="54">
        <f t="shared" si="95"/>
        <v>0</v>
      </c>
      <c r="AJ205" s="54">
        <f t="shared" si="95"/>
        <v>0</v>
      </c>
      <c r="AK205" s="54">
        <f t="shared" ref="AK205" si="102">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48"/>
        <v>#DIV/0!</v>
      </c>
      <c r="Y206" s="25">
        <f t="shared" si="55"/>
        <v>0</v>
      </c>
      <c r="Z206" s="54">
        <f t="shared" si="60"/>
        <v>0</v>
      </c>
      <c r="AA206" s="54">
        <f t="shared" si="95"/>
        <v>0</v>
      </c>
      <c r="AB206" s="54">
        <f t="shared" si="95"/>
        <v>0</v>
      </c>
      <c r="AC206" s="54">
        <f t="shared" si="95"/>
        <v>0</v>
      </c>
      <c r="AD206" s="54">
        <f t="shared" si="95"/>
        <v>0</v>
      </c>
      <c r="AE206" s="54">
        <f t="shared" si="95"/>
        <v>0</v>
      </c>
      <c r="AF206" s="54">
        <f t="shared" si="95"/>
        <v>0</v>
      </c>
      <c r="AG206" s="54">
        <f t="shared" si="95"/>
        <v>0</v>
      </c>
      <c r="AH206" s="54">
        <f t="shared" si="95"/>
        <v>0</v>
      </c>
      <c r="AI206" s="54">
        <f t="shared" si="95"/>
        <v>0</v>
      </c>
      <c r="AJ206" s="54">
        <f t="shared" si="95"/>
        <v>0</v>
      </c>
      <c r="AK206" s="54">
        <f t="shared" ref="AK206" si="103">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4">IF($E109&gt;H$66,0,IF($E109&lt;H$66-365,$C109,0))</f>
        <v>0</v>
      </c>
      <c r="I207" s="12">
        <f t="shared" si="104"/>
        <v>0</v>
      </c>
      <c r="J207" s="12">
        <f t="shared" si="104"/>
        <v>0</v>
      </c>
      <c r="K207" s="12">
        <f t="shared" si="43"/>
        <v>0</v>
      </c>
      <c r="L207" s="12">
        <f t="shared" ref="L207:N209" si="105">IF($E109&gt;L$66,0,IF($E109&lt;L$66-365,$C109,0))</f>
        <v>0</v>
      </c>
      <c r="M207" s="12">
        <f t="shared" si="105"/>
        <v>0</v>
      </c>
      <c r="N207" s="12">
        <f t="shared" si="105"/>
        <v>0</v>
      </c>
      <c r="O207" s="12">
        <f t="shared" si="45"/>
        <v>0</v>
      </c>
      <c r="P207" s="12">
        <f t="shared" ref="P207:Q209" si="106">IF($E109&gt;P$66,0,IF($E109&lt;P$66-365,$C109,0))</f>
        <v>0</v>
      </c>
      <c r="Q207" s="12">
        <f t="shared" si="106"/>
        <v>0</v>
      </c>
      <c r="T207" s="61"/>
      <c r="U207" s="61"/>
      <c r="V207" s="61"/>
      <c r="W207" s="53">
        <f t="shared" si="47"/>
        <v>0</v>
      </c>
      <c r="X207" s="54" t="e">
        <f t="shared" si="48"/>
        <v>#DIV/0!</v>
      </c>
      <c r="Y207" s="25">
        <f t="shared" si="55"/>
        <v>0</v>
      </c>
      <c r="Z207" s="54">
        <f t="shared" si="60"/>
        <v>0</v>
      </c>
      <c r="AA207" s="54">
        <f t="shared" si="95"/>
        <v>0</v>
      </c>
      <c r="AB207" s="54">
        <f t="shared" si="95"/>
        <v>0</v>
      </c>
      <c r="AC207" s="54">
        <f t="shared" si="95"/>
        <v>0</v>
      </c>
      <c r="AD207" s="54">
        <f t="shared" si="95"/>
        <v>0</v>
      </c>
      <c r="AE207" s="54">
        <f t="shared" si="95"/>
        <v>0</v>
      </c>
      <c r="AF207" s="54">
        <f t="shared" si="95"/>
        <v>0</v>
      </c>
      <c r="AG207" s="54">
        <f t="shared" si="95"/>
        <v>0</v>
      </c>
      <c r="AH207" s="54">
        <f t="shared" si="95"/>
        <v>0</v>
      </c>
      <c r="AI207" s="54">
        <f t="shared" si="95"/>
        <v>0</v>
      </c>
      <c r="AJ207" s="54">
        <f t="shared" si="95"/>
        <v>0</v>
      </c>
      <c r="AK207" s="54">
        <f t="shared" ref="AK207" si="107">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4"/>
        <v>0</v>
      </c>
      <c r="I208" s="12">
        <f t="shared" si="104"/>
        <v>0</v>
      </c>
      <c r="J208" s="12">
        <f t="shared" si="104"/>
        <v>0</v>
      </c>
      <c r="K208" s="12">
        <f t="shared" si="43"/>
        <v>0</v>
      </c>
      <c r="L208" s="12">
        <f t="shared" si="105"/>
        <v>0</v>
      </c>
      <c r="M208" s="12">
        <f t="shared" si="105"/>
        <v>0</v>
      </c>
      <c r="N208" s="12">
        <f t="shared" si="105"/>
        <v>0</v>
      </c>
      <c r="O208" s="12">
        <f t="shared" si="45"/>
        <v>0</v>
      </c>
      <c r="P208" s="12">
        <f t="shared" si="106"/>
        <v>0</v>
      </c>
      <c r="Q208" s="12">
        <f t="shared" si="106"/>
        <v>0</v>
      </c>
      <c r="T208" s="61"/>
      <c r="U208" s="61"/>
      <c r="V208" s="61"/>
      <c r="W208" s="53">
        <f t="shared" si="47"/>
        <v>0</v>
      </c>
      <c r="X208" s="54" t="e">
        <f t="shared" si="48"/>
        <v>#DIV/0!</v>
      </c>
      <c r="Y208" s="25">
        <f t="shared" si="55"/>
        <v>0</v>
      </c>
      <c r="Z208" s="54">
        <f t="shared" si="60"/>
        <v>0</v>
      </c>
      <c r="AA208" s="54">
        <f t="shared" si="95"/>
        <v>0</v>
      </c>
      <c r="AB208" s="54">
        <f t="shared" si="95"/>
        <v>0</v>
      </c>
      <c r="AC208" s="54">
        <f t="shared" si="95"/>
        <v>0</v>
      </c>
      <c r="AD208" s="54">
        <f t="shared" si="95"/>
        <v>0</v>
      </c>
      <c r="AE208" s="54">
        <f t="shared" si="95"/>
        <v>0</v>
      </c>
      <c r="AF208" s="54">
        <f t="shared" si="95"/>
        <v>0</v>
      </c>
      <c r="AG208" s="54">
        <f t="shared" si="95"/>
        <v>0</v>
      </c>
      <c r="AH208" s="54">
        <f t="shared" si="95"/>
        <v>0</v>
      </c>
      <c r="AI208" s="54">
        <f t="shared" si="95"/>
        <v>0</v>
      </c>
      <c r="AJ208" s="54">
        <f t="shared" si="95"/>
        <v>0</v>
      </c>
      <c r="AK208" s="54">
        <f t="shared" ref="AK208" si="108">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4"/>
        <v>0</v>
      </c>
      <c r="I209" s="12">
        <f t="shared" si="104"/>
        <v>0</v>
      </c>
      <c r="J209" s="12">
        <f t="shared" si="104"/>
        <v>0</v>
      </c>
      <c r="K209" s="12">
        <f t="shared" si="43"/>
        <v>0</v>
      </c>
      <c r="L209" s="12">
        <f t="shared" si="105"/>
        <v>0</v>
      </c>
      <c r="M209" s="12">
        <f t="shared" si="105"/>
        <v>0</v>
      </c>
      <c r="N209" s="12">
        <f t="shared" si="105"/>
        <v>0</v>
      </c>
      <c r="O209" s="12">
        <f t="shared" si="45"/>
        <v>0</v>
      </c>
      <c r="P209" s="12">
        <f t="shared" si="106"/>
        <v>0</v>
      </c>
      <c r="Q209" s="12">
        <f t="shared" si="106"/>
        <v>0</v>
      </c>
      <c r="T209" s="61"/>
      <c r="U209" s="61"/>
      <c r="V209" s="61"/>
      <c r="W209" s="53">
        <f t="shared" si="47"/>
        <v>0</v>
      </c>
      <c r="X209" s="54" t="e">
        <f t="shared" si="48"/>
        <v>#DIV/0!</v>
      </c>
      <c r="Y209" s="25">
        <f t="shared" si="55"/>
        <v>0</v>
      </c>
      <c r="Z209" s="54">
        <f t="shared" si="60"/>
        <v>0</v>
      </c>
      <c r="AA209" s="54">
        <f t="shared" si="95"/>
        <v>0</v>
      </c>
      <c r="AB209" s="54">
        <f t="shared" si="95"/>
        <v>0</v>
      </c>
      <c r="AC209" s="54">
        <f t="shared" si="95"/>
        <v>0</v>
      </c>
      <c r="AD209" s="54">
        <f t="shared" si="95"/>
        <v>0</v>
      </c>
      <c r="AE209" s="54">
        <f t="shared" si="95"/>
        <v>0</v>
      </c>
      <c r="AF209" s="54">
        <f t="shared" si="95"/>
        <v>0</v>
      </c>
      <c r="AG209" s="54">
        <f t="shared" si="95"/>
        <v>0</v>
      </c>
      <c r="AH209" s="54">
        <f t="shared" si="95"/>
        <v>0</v>
      </c>
      <c r="AI209" s="54">
        <f t="shared" si="95"/>
        <v>0</v>
      </c>
      <c r="AJ209" s="54">
        <f t="shared" si="95"/>
        <v>0</v>
      </c>
      <c r="AK209" s="54">
        <f t="shared" ref="AK209" si="109">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48"/>
        <v>#DIV/0!</v>
      </c>
      <c r="Y210" s="25">
        <f t="shared" si="55"/>
        <v>0</v>
      </c>
      <c r="Z210" s="54">
        <f t="shared" si="60"/>
        <v>0</v>
      </c>
      <c r="AA210" s="54">
        <f t="shared" si="95"/>
        <v>0</v>
      </c>
      <c r="AB210" s="54">
        <f t="shared" si="95"/>
        <v>0</v>
      </c>
      <c r="AC210" s="54">
        <f t="shared" si="95"/>
        <v>0</v>
      </c>
      <c r="AD210" s="54">
        <f t="shared" si="95"/>
        <v>0</v>
      </c>
      <c r="AE210" s="54">
        <f t="shared" si="95"/>
        <v>0</v>
      </c>
      <c r="AF210" s="54">
        <f t="shared" si="95"/>
        <v>0</v>
      </c>
      <c r="AG210" s="54">
        <f t="shared" si="95"/>
        <v>0</v>
      </c>
      <c r="AH210" s="54">
        <f t="shared" si="95"/>
        <v>0</v>
      </c>
      <c r="AI210" s="54">
        <f t="shared" si="95"/>
        <v>0</v>
      </c>
      <c r="AJ210" s="54">
        <f t="shared" si="95"/>
        <v>0</v>
      </c>
      <c r="AK210" s="54">
        <f t="shared" ref="AK210" si="110">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48"/>
        <v>#DIV/0!</v>
      </c>
      <c r="Y211" s="25">
        <f t="shared" si="55"/>
        <v>0</v>
      </c>
      <c r="Z211" s="54">
        <f t="shared" si="60"/>
        <v>0</v>
      </c>
      <c r="AA211" s="54">
        <f t="shared" si="95"/>
        <v>0</v>
      </c>
      <c r="AB211" s="54">
        <f t="shared" si="95"/>
        <v>0</v>
      </c>
      <c r="AC211" s="54">
        <f t="shared" si="95"/>
        <v>0</v>
      </c>
      <c r="AD211" s="54">
        <f t="shared" si="95"/>
        <v>0</v>
      </c>
      <c r="AE211" s="54">
        <f t="shared" si="95"/>
        <v>0</v>
      </c>
      <c r="AF211" s="54">
        <f t="shared" si="95"/>
        <v>0</v>
      </c>
      <c r="AG211" s="54">
        <f t="shared" si="95"/>
        <v>0</v>
      </c>
      <c r="AH211" s="54">
        <f t="shared" si="95"/>
        <v>0</v>
      </c>
      <c r="AI211" s="54">
        <f t="shared" si="95"/>
        <v>0</v>
      </c>
      <c r="AJ211" s="54">
        <f t="shared" si="95"/>
        <v>0</v>
      </c>
      <c r="AK211" s="54">
        <f t="shared" ref="AK211" si="111">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c r="Y212" s="25">
        <f t="shared" si="55"/>
        <v>0</v>
      </c>
      <c r="Z212" s="54">
        <f t="shared" si="60"/>
        <v>0</v>
      </c>
      <c r="AA212" s="54">
        <f t="shared" si="95"/>
        <v>0</v>
      </c>
      <c r="AB212" s="54">
        <f t="shared" si="95"/>
        <v>0</v>
      </c>
      <c r="AC212" s="54">
        <f t="shared" si="95"/>
        <v>0</v>
      </c>
      <c r="AD212" s="54">
        <f t="shared" si="95"/>
        <v>0</v>
      </c>
      <c r="AE212" s="54">
        <f t="shared" si="95"/>
        <v>0</v>
      </c>
      <c r="AF212" s="54">
        <f t="shared" si="95"/>
        <v>0</v>
      </c>
      <c r="AG212" s="54">
        <f t="shared" si="95"/>
        <v>0</v>
      </c>
      <c r="AH212" s="54">
        <f t="shared" si="95"/>
        <v>0</v>
      </c>
      <c r="AI212" s="54">
        <f t="shared" si="95"/>
        <v>0</v>
      </c>
      <c r="AJ212" s="54">
        <f t="shared" si="95"/>
        <v>0</v>
      </c>
      <c r="AK212" s="54">
        <f t="shared" ref="AK212" si="112">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c r="Y213" s="25">
        <f t="shared" si="55"/>
        <v>0</v>
      </c>
      <c r="Z213" s="54">
        <f t="shared" si="60"/>
        <v>0</v>
      </c>
      <c r="AA213" s="54">
        <f t="shared" si="95"/>
        <v>0</v>
      </c>
      <c r="AB213" s="54">
        <f t="shared" si="95"/>
        <v>0</v>
      </c>
      <c r="AC213" s="54">
        <f t="shared" si="95"/>
        <v>0</v>
      </c>
      <c r="AD213" s="54">
        <f t="shared" si="95"/>
        <v>0</v>
      </c>
      <c r="AE213" s="54">
        <f t="shared" si="95"/>
        <v>0</v>
      </c>
      <c r="AF213" s="54">
        <f t="shared" si="95"/>
        <v>0</v>
      </c>
      <c r="AG213" s="54">
        <f t="shared" si="95"/>
        <v>0</v>
      </c>
      <c r="AH213" s="54">
        <f t="shared" si="95"/>
        <v>0</v>
      </c>
      <c r="AI213" s="54">
        <f t="shared" si="95"/>
        <v>0</v>
      </c>
      <c r="AJ213" s="54">
        <f t="shared" si="95"/>
        <v>0</v>
      </c>
      <c r="AK213" s="54">
        <f t="shared" ref="AK213" si="113">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0</v>
      </c>
      <c r="H214" s="187">
        <f t="shared" ref="H214:Q214" si="114">SUM(H167:H213)</f>
        <v>0</v>
      </c>
      <c r="I214" s="187">
        <f t="shared" si="114"/>
        <v>0</v>
      </c>
      <c r="J214" s="187">
        <f t="shared" si="114"/>
        <v>0</v>
      </c>
      <c r="K214" s="187">
        <f t="shared" si="114"/>
        <v>0</v>
      </c>
      <c r="L214" s="187">
        <f t="shared" si="114"/>
        <v>0</v>
      </c>
      <c r="M214" s="187">
        <f t="shared" si="114"/>
        <v>0</v>
      </c>
      <c r="N214" s="187">
        <f t="shared" si="114"/>
        <v>0</v>
      </c>
      <c r="O214" s="187">
        <f t="shared" si="114"/>
        <v>0</v>
      </c>
      <c r="P214" s="187">
        <f t="shared" si="114"/>
        <v>0</v>
      </c>
      <c r="Q214" s="187">
        <f t="shared" si="114"/>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76</v>
      </c>
      <c r="AA215" s="156">
        <f>$C$64+AA214</f>
        <v>76</v>
      </c>
      <c r="AB215" s="156">
        <f t="shared" ref="AB215:AE215" si="115">$C$64+AB214</f>
        <v>76</v>
      </c>
      <c r="AC215" s="156">
        <f t="shared" si="115"/>
        <v>76</v>
      </c>
      <c r="AD215" s="156">
        <f t="shared" si="115"/>
        <v>76</v>
      </c>
      <c r="AE215" s="156">
        <f t="shared" si="115"/>
        <v>76</v>
      </c>
      <c r="AF215" s="156">
        <f>$C$64+AF214</f>
        <v>76</v>
      </c>
      <c r="AG215" s="156">
        <f t="shared" ref="AG215:AK215" si="116">$C$64+AG214</f>
        <v>76</v>
      </c>
      <c r="AH215" s="156">
        <f>$C$64+AH214</f>
        <v>76</v>
      </c>
      <c r="AI215" s="156">
        <f t="shared" si="116"/>
        <v>76</v>
      </c>
      <c r="AJ215" s="156">
        <f t="shared" si="116"/>
        <v>76</v>
      </c>
      <c r="AK215" s="156">
        <f t="shared" si="116"/>
        <v>76</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IF(Z215&lt;$BB$154,(6+(1-Z215/$BB$154)),IF(Z215&lt;$BB$155,5.5+(0.5*(($BB$155-Z215)/($BB$155-$BB$154))),(5 - 0.5*((Z215)-$BB$156)/$BH$166)))</f>
        <v>4.790932811480757</v>
      </c>
      <c r="AA216" s="154">
        <f t="shared" ref="AA216:AJ216" si="117">IF(AA215&lt;$BB$154,(6+(1-AA215/$BB$154)),IF(AA215&lt;$BB$155,5.5+(0.5*(($BB$155-AA215)/($BB$155-$BB$154))),IF(AA215&lt;$BB$156,5-0.5*((AA215)-$BB$156)/($BB$156-$BB$155),IF(AA215&lt;$BB$157,4.5-0.5*((AA215-$BB$157)/($BB$157-$BB$156)),5-0.5*((AA215-$BB$156)/$BH$166)))))</f>
        <v>4.790932811480757</v>
      </c>
      <c r="AB216" s="154">
        <f t="shared" si="117"/>
        <v>4.790932811480757</v>
      </c>
      <c r="AC216" s="154">
        <f t="shared" si="117"/>
        <v>4.790932811480757</v>
      </c>
      <c r="AD216" s="154">
        <f t="shared" si="117"/>
        <v>4.790932811480757</v>
      </c>
      <c r="AE216" s="154">
        <f t="shared" si="117"/>
        <v>4.790932811480757</v>
      </c>
      <c r="AF216" s="154">
        <f t="shared" si="117"/>
        <v>4.790932811480757</v>
      </c>
      <c r="AG216" s="154">
        <f t="shared" si="117"/>
        <v>4.790932811480757</v>
      </c>
      <c r="AH216" s="154">
        <f t="shared" si="117"/>
        <v>4.790932811480757</v>
      </c>
      <c r="AI216" s="154">
        <f t="shared" si="117"/>
        <v>4.790932811480757</v>
      </c>
      <c r="AJ216" s="154">
        <f t="shared" si="117"/>
        <v>4.790932811480757</v>
      </c>
      <c r="AK216" s="154">
        <f>IF(AK215&lt;$BB$154,(6+(1-AK215/$BB$154)),IF(AK215&lt;$BB$155,5.5+(0.5*(($BB$155-AK215)/($BB$155-$BB$154))),IF(AK215&lt;$BB$156,5-0.5*((AK215)-$BB$156)/($BB$156-$BB$155),IF(AK215&lt;$BB$157,4.5-0.5*((AK215-$BB$157)/($BB$157-$BB$156)),5-0.5*((AK215-$BB$156)/$BH$166)))))</f>
        <v>4.790932811480757</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8">IF($E69&lt;G$66,$D69,0)</f>
        <v>0</v>
      </c>
      <c r="H220" s="12">
        <f t="shared" ref="H220:Q220" si="119">IF($E69&gt;H$66,0,IF($E69&lt;H$66-365,$D69,0))</f>
        <v>0</v>
      </c>
      <c r="I220" s="12">
        <f t="shared" si="119"/>
        <v>0</v>
      </c>
      <c r="J220" s="12">
        <f t="shared" si="119"/>
        <v>0</v>
      </c>
      <c r="K220" s="12">
        <f t="shared" si="119"/>
        <v>0</v>
      </c>
      <c r="L220" s="12">
        <f t="shared" si="119"/>
        <v>0</v>
      </c>
      <c r="M220" s="12">
        <f t="shared" si="119"/>
        <v>0</v>
      </c>
      <c r="N220" s="12">
        <f t="shared" si="119"/>
        <v>0</v>
      </c>
      <c r="O220" s="12">
        <f t="shared" si="119"/>
        <v>0</v>
      </c>
      <c r="P220" s="12">
        <f t="shared" si="119"/>
        <v>0</v>
      </c>
      <c r="Q220" s="12">
        <f t="shared" si="119"/>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8"/>
        <v>0</v>
      </c>
      <c r="H221" s="12">
        <f t="shared" ref="H221:Q221" si="120">IF($E70&gt;H$66,0,IF($E70&lt;H$66-365,$D70,0))</f>
        <v>0</v>
      </c>
      <c r="I221" s="12">
        <f t="shared" si="120"/>
        <v>0</v>
      </c>
      <c r="J221" s="12">
        <f t="shared" si="120"/>
        <v>0</v>
      </c>
      <c r="K221" s="12">
        <f t="shared" si="120"/>
        <v>0</v>
      </c>
      <c r="L221" s="12">
        <f t="shared" si="120"/>
        <v>0</v>
      </c>
      <c r="M221" s="12">
        <f t="shared" si="120"/>
        <v>0</v>
      </c>
      <c r="N221" s="12">
        <f t="shared" si="120"/>
        <v>0</v>
      </c>
      <c r="O221" s="12">
        <f t="shared" si="120"/>
        <v>0</v>
      </c>
      <c r="P221" s="12">
        <f t="shared" si="120"/>
        <v>0</v>
      </c>
      <c r="Q221" s="12">
        <f t="shared" si="120"/>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8"/>
        <v>0</v>
      </c>
      <c r="H222" s="12">
        <f t="shared" ref="H222:Q222" si="121">IF($E71&gt;H$66,0,IF($E71&lt;H$66-365,$D71,0))</f>
        <v>0</v>
      </c>
      <c r="I222" s="12">
        <f t="shared" si="121"/>
        <v>0</v>
      </c>
      <c r="J222" s="12">
        <f t="shared" si="121"/>
        <v>0</v>
      </c>
      <c r="K222" s="12">
        <f t="shared" si="121"/>
        <v>0</v>
      </c>
      <c r="L222" s="12">
        <f t="shared" si="121"/>
        <v>0</v>
      </c>
      <c r="M222" s="12">
        <f t="shared" si="121"/>
        <v>0</v>
      </c>
      <c r="N222" s="12">
        <f t="shared" si="121"/>
        <v>0</v>
      </c>
      <c r="O222" s="12">
        <f t="shared" si="121"/>
        <v>0</v>
      </c>
      <c r="P222" s="12">
        <f t="shared" si="121"/>
        <v>0</v>
      </c>
      <c r="Q222" s="12">
        <f t="shared" si="121"/>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8"/>
        <v>0</v>
      </c>
      <c r="H223" s="12">
        <f t="shared" ref="H223:Q223" si="122">IF($E72&gt;H$66,0,IF($E72&lt;H$66-365,$D72,0))</f>
        <v>0</v>
      </c>
      <c r="I223" s="12">
        <f t="shared" si="122"/>
        <v>0</v>
      </c>
      <c r="J223" s="12">
        <f t="shared" si="122"/>
        <v>0</v>
      </c>
      <c r="K223" s="12">
        <f t="shared" si="122"/>
        <v>0</v>
      </c>
      <c r="L223" s="12">
        <f t="shared" si="122"/>
        <v>0</v>
      </c>
      <c r="M223" s="12">
        <f t="shared" si="122"/>
        <v>0</v>
      </c>
      <c r="N223" s="12">
        <f t="shared" si="122"/>
        <v>0</v>
      </c>
      <c r="O223" s="12">
        <f t="shared" si="122"/>
        <v>0</v>
      </c>
      <c r="P223" s="12">
        <f t="shared" si="122"/>
        <v>0</v>
      </c>
      <c r="Q223" s="12">
        <f t="shared" si="122"/>
        <v>0</v>
      </c>
      <c r="T223" s="20"/>
      <c r="U223" s="20"/>
      <c r="V223" s="20"/>
    </row>
    <row r="224" spans="6:51">
      <c r="G224" s="12">
        <f t="shared" si="118"/>
        <v>0</v>
      </c>
      <c r="H224" s="12">
        <f t="shared" ref="H224:Q224" si="123">IF($E73&gt;H$66,0,IF($E73&lt;H$66-365,$D73,0))</f>
        <v>0</v>
      </c>
      <c r="I224" s="12">
        <f t="shared" si="123"/>
        <v>0</v>
      </c>
      <c r="J224" s="12">
        <f t="shared" si="123"/>
        <v>0</v>
      </c>
      <c r="K224" s="12">
        <f t="shared" si="123"/>
        <v>0</v>
      </c>
      <c r="L224" s="12">
        <f t="shared" si="123"/>
        <v>0</v>
      </c>
      <c r="M224" s="12">
        <f t="shared" si="123"/>
        <v>0</v>
      </c>
      <c r="N224" s="12">
        <f t="shared" si="123"/>
        <v>0</v>
      </c>
      <c r="O224" s="12">
        <f t="shared" si="123"/>
        <v>0</v>
      </c>
      <c r="P224" s="12">
        <f t="shared" si="123"/>
        <v>0</v>
      </c>
      <c r="Q224" s="12">
        <f t="shared" si="123"/>
        <v>0</v>
      </c>
      <c r="T224" s="20"/>
      <c r="U224" s="20"/>
      <c r="V224" s="20"/>
    </row>
    <row r="225" spans="7:28">
      <c r="G225" s="12">
        <f t="shared" si="118"/>
        <v>0</v>
      </c>
      <c r="H225" s="12">
        <f t="shared" ref="H225:Q225" si="124">IF($E74&gt;H$66,0,IF($E74&lt;H$66-365,$D74,0))</f>
        <v>0</v>
      </c>
      <c r="I225" s="12">
        <f t="shared" si="124"/>
        <v>0</v>
      </c>
      <c r="J225" s="12">
        <f t="shared" si="124"/>
        <v>0</v>
      </c>
      <c r="K225" s="12">
        <f t="shared" si="124"/>
        <v>0</v>
      </c>
      <c r="L225" s="12">
        <f t="shared" si="124"/>
        <v>0</v>
      </c>
      <c r="M225" s="12">
        <f t="shared" si="124"/>
        <v>0</v>
      </c>
      <c r="N225" s="12">
        <f t="shared" si="124"/>
        <v>0</v>
      </c>
      <c r="O225" s="12">
        <f t="shared" si="124"/>
        <v>0</v>
      </c>
      <c r="P225" s="12">
        <f t="shared" si="124"/>
        <v>0</v>
      </c>
      <c r="Q225" s="12">
        <f t="shared" si="124"/>
        <v>0</v>
      </c>
      <c r="T225" s="20"/>
      <c r="U225" s="20"/>
      <c r="V225" s="20"/>
      <c r="AA225" s="55">
        <f>SUM(AN167:AN213)</f>
        <v>0</v>
      </c>
      <c r="AB225" s="24">
        <f>SUM(AO167:AO213)</f>
        <v>0</v>
      </c>
    </row>
    <row r="226" spans="7:28">
      <c r="G226" s="12">
        <f t="shared" si="118"/>
        <v>0</v>
      </c>
      <c r="H226" s="12">
        <f t="shared" ref="H226:Q226" si="125">IF($E75&gt;H$66,0,IF($E75&lt;H$66-365,$D75,0))</f>
        <v>0</v>
      </c>
      <c r="I226" s="12">
        <f t="shared" si="125"/>
        <v>0</v>
      </c>
      <c r="J226" s="12">
        <f t="shared" si="125"/>
        <v>0</v>
      </c>
      <c r="K226" s="12">
        <f t="shared" si="125"/>
        <v>0</v>
      </c>
      <c r="L226" s="12">
        <f t="shared" si="125"/>
        <v>0</v>
      </c>
      <c r="M226" s="12">
        <f t="shared" si="125"/>
        <v>0</v>
      </c>
      <c r="N226" s="12">
        <f t="shared" si="125"/>
        <v>0</v>
      </c>
      <c r="O226" s="12">
        <f t="shared" si="125"/>
        <v>0</v>
      </c>
      <c r="P226" s="12">
        <f t="shared" si="125"/>
        <v>0</v>
      </c>
      <c r="Q226" s="12">
        <f t="shared" si="125"/>
        <v>0</v>
      </c>
      <c r="T226" s="20"/>
      <c r="U226" s="20"/>
      <c r="V226" s="20"/>
      <c r="AA226" s="24">
        <f>AA225*1.35</f>
        <v>0</v>
      </c>
      <c r="AB226" s="24">
        <f>AB225*1.35</f>
        <v>0</v>
      </c>
    </row>
    <row r="227" spans="7:28">
      <c r="G227" s="12">
        <f t="shared" si="118"/>
        <v>0</v>
      </c>
      <c r="H227" s="12">
        <f t="shared" ref="H227:Q227" si="126">IF($E76&gt;H$66,0,IF($E76&lt;H$66-365,$D76,0))</f>
        <v>0</v>
      </c>
      <c r="I227" s="12">
        <f t="shared" si="126"/>
        <v>0</v>
      </c>
      <c r="J227" s="12">
        <f t="shared" si="126"/>
        <v>0</v>
      </c>
      <c r="K227" s="12">
        <f t="shared" si="126"/>
        <v>0</v>
      </c>
      <c r="L227" s="12">
        <f t="shared" si="126"/>
        <v>0</v>
      </c>
      <c r="M227" s="12">
        <f t="shared" si="126"/>
        <v>0</v>
      </c>
      <c r="N227" s="12">
        <f t="shared" si="126"/>
        <v>0</v>
      </c>
      <c r="O227" s="12">
        <f t="shared" si="126"/>
        <v>0</v>
      </c>
      <c r="P227" s="12">
        <f t="shared" si="126"/>
        <v>0</v>
      </c>
      <c r="Q227" s="12">
        <f t="shared" si="126"/>
        <v>0</v>
      </c>
    </row>
    <row r="228" spans="7:28">
      <c r="G228" s="12">
        <f t="shared" si="118"/>
        <v>0</v>
      </c>
      <c r="H228" s="12">
        <f t="shared" ref="H228:Q228" si="127">IF($E77&gt;H$66,0,IF($E77&lt;H$66-365,$D77,0))</f>
        <v>0</v>
      </c>
      <c r="I228" s="12">
        <f t="shared" si="127"/>
        <v>0</v>
      </c>
      <c r="J228" s="12">
        <f t="shared" si="127"/>
        <v>0</v>
      </c>
      <c r="K228" s="12">
        <f t="shared" si="127"/>
        <v>0</v>
      </c>
      <c r="L228" s="12">
        <f t="shared" si="127"/>
        <v>0</v>
      </c>
      <c r="M228" s="12">
        <f t="shared" si="127"/>
        <v>0</v>
      </c>
      <c r="N228" s="12">
        <f t="shared" si="127"/>
        <v>0</v>
      </c>
      <c r="O228" s="12">
        <f t="shared" si="127"/>
        <v>0</v>
      </c>
      <c r="P228" s="12">
        <f t="shared" si="127"/>
        <v>0</v>
      </c>
      <c r="Q228" s="12">
        <f t="shared" si="127"/>
        <v>0</v>
      </c>
    </row>
    <row r="229" spans="7:28">
      <c r="G229" s="12">
        <f t="shared" si="118"/>
        <v>0</v>
      </c>
      <c r="H229" s="12">
        <f t="shared" ref="H229:Q229" si="128">IF($E78&gt;H$66,0,IF($E78&lt;H$66-365,$D78,0))</f>
        <v>0</v>
      </c>
      <c r="I229" s="12">
        <f t="shared" si="128"/>
        <v>0</v>
      </c>
      <c r="J229" s="12">
        <f t="shared" si="128"/>
        <v>0</v>
      </c>
      <c r="K229" s="12">
        <f t="shared" si="128"/>
        <v>0</v>
      </c>
      <c r="L229" s="12">
        <f t="shared" si="128"/>
        <v>0</v>
      </c>
      <c r="M229" s="12">
        <f t="shared" si="128"/>
        <v>0</v>
      </c>
      <c r="N229" s="12">
        <f t="shared" si="128"/>
        <v>0</v>
      </c>
      <c r="O229" s="12">
        <f t="shared" si="128"/>
        <v>0</v>
      </c>
      <c r="P229" s="12">
        <f t="shared" si="128"/>
        <v>0</v>
      </c>
      <c r="Q229" s="12">
        <f t="shared" si="128"/>
        <v>0</v>
      </c>
    </row>
    <row r="230" spans="7:28">
      <c r="G230" s="12">
        <f t="shared" si="118"/>
        <v>0</v>
      </c>
      <c r="H230" s="12">
        <f t="shared" ref="H230:Q230" si="129">IF($E79&gt;H$66,0,IF($E79&lt;H$66-365,$D79,0))</f>
        <v>0</v>
      </c>
      <c r="I230" s="12">
        <f t="shared" si="129"/>
        <v>0</v>
      </c>
      <c r="J230" s="12">
        <f t="shared" si="129"/>
        <v>0</v>
      </c>
      <c r="K230" s="12">
        <f t="shared" si="129"/>
        <v>0</v>
      </c>
      <c r="L230" s="12">
        <f t="shared" si="129"/>
        <v>0</v>
      </c>
      <c r="M230" s="12">
        <f t="shared" si="129"/>
        <v>0</v>
      </c>
      <c r="N230" s="12">
        <f t="shared" si="129"/>
        <v>0</v>
      </c>
      <c r="O230" s="12">
        <f t="shared" si="129"/>
        <v>0</v>
      </c>
      <c r="P230" s="12">
        <f t="shared" si="129"/>
        <v>0</v>
      </c>
      <c r="Q230" s="12">
        <f t="shared" si="129"/>
        <v>0</v>
      </c>
    </row>
    <row r="231" spans="7:28">
      <c r="G231" s="12">
        <f t="shared" si="118"/>
        <v>0</v>
      </c>
      <c r="H231" s="12">
        <f t="shared" ref="H231:Q231" si="130">IF($E80&gt;H$66,0,IF($E80&lt;H$66-365,$D80,0))</f>
        <v>0</v>
      </c>
      <c r="I231" s="12">
        <f t="shared" si="130"/>
        <v>0</v>
      </c>
      <c r="J231" s="12">
        <f t="shared" si="130"/>
        <v>0</v>
      </c>
      <c r="K231" s="12">
        <f t="shared" si="130"/>
        <v>0</v>
      </c>
      <c r="L231" s="12">
        <f t="shared" si="130"/>
        <v>0</v>
      </c>
      <c r="M231" s="12">
        <f t="shared" si="130"/>
        <v>0</v>
      </c>
      <c r="N231" s="12">
        <f t="shared" si="130"/>
        <v>0</v>
      </c>
      <c r="O231" s="12">
        <f t="shared" si="130"/>
        <v>0</v>
      </c>
      <c r="P231" s="12">
        <f t="shared" si="130"/>
        <v>0</v>
      </c>
      <c r="Q231" s="12">
        <f t="shared" si="130"/>
        <v>0</v>
      </c>
    </row>
    <row r="232" spans="7:28">
      <c r="G232" s="12">
        <f t="shared" si="118"/>
        <v>0</v>
      </c>
      <c r="H232" s="12">
        <f t="shared" ref="H232:Q232" si="131">IF($E81&gt;H$66,0,IF($E81&lt;H$66-365,$D81,0))</f>
        <v>0</v>
      </c>
      <c r="I232" s="12">
        <f t="shared" si="131"/>
        <v>0</v>
      </c>
      <c r="J232" s="12">
        <f t="shared" si="131"/>
        <v>0</v>
      </c>
      <c r="K232" s="12">
        <f t="shared" si="131"/>
        <v>0</v>
      </c>
      <c r="L232" s="12">
        <f t="shared" si="131"/>
        <v>0</v>
      </c>
      <c r="M232" s="12">
        <f t="shared" si="131"/>
        <v>0</v>
      </c>
      <c r="N232" s="12">
        <f t="shared" si="131"/>
        <v>0</v>
      </c>
      <c r="O232" s="12">
        <f t="shared" si="131"/>
        <v>0</v>
      </c>
      <c r="P232" s="12">
        <f t="shared" si="131"/>
        <v>0</v>
      </c>
      <c r="Q232" s="12">
        <f t="shared" si="131"/>
        <v>0</v>
      </c>
    </row>
    <row r="233" spans="7:28">
      <c r="G233" s="12">
        <f t="shared" si="118"/>
        <v>0</v>
      </c>
      <c r="H233" s="12">
        <f t="shared" ref="H233:Q233" si="132">IF($E82&gt;H$66,0,IF($E82&lt;H$66-365,$D82,0))</f>
        <v>0</v>
      </c>
      <c r="I233" s="12">
        <f t="shared" si="132"/>
        <v>0</v>
      </c>
      <c r="J233" s="12">
        <f t="shared" si="132"/>
        <v>0</v>
      </c>
      <c r="K233" s="12">
        <f t="shared" si="132"/>
        <v>0</v>
      </c>
      <c r="L233" s="12">
        <f t="shared" si="132"/>
        <v>0</v>
      </c>
      <c r="M233" s="12">
        <f t="shared" si="132"/>
        <v>0</v>
      </c>
      <c r="N233" s="12">
        <f t="shared" si="132"/>
        <v>0</v>
      </c>
      <c r="O233" s="12">
        <f t="shared" si="132"/>
        <v>0</v>
      </c>
      <c r="P233" s="12">
        <f t="shared" si="132"/>
        <v>0</v>
      </c>
      <c r="Q233" s="12">
        <f t="shared" si="132"/>
        <v>0</v>
      </c>
    </row>
    <row r="234" spans="7:28">
      <c r="G234" s="12">
        <f t="shared" si="118"/>
        <v>0</v>
      </c>
      <c r="H234" s="12">
        <f t="shared" ref="H234:Q234" si="133">IF($E83&gt;H$66,0,IF($E83&lt;H$66-365,$D83,0))</f>
        <v>0</v>
      </c>
      <c r="I234" s="12">
        <f t="shared" si="133"/>
        <v>0</v>
      </c>
      <c r="J234" s="12">
        <f t="shared" si="133"/>
        <v>0</v>
      </c>
      <c r="K234" s="12">
        <f t="shared" si="133"/>
        <v>0</v>
      </c>
      <c r="L234" s="12">
        <f t="shared" si="133"/>
        <v>0</v>
      </c>
      <c r="M234" s="12">
        <f t="shared" si="133"/>
        <v>0</v>
      </c>
      <c r="N234" s="12">
        <f t="shared" si="133"/>
        <v>0</v>
      </c>
      <c r="O234" s="12">
        <f t="shared" si="133"/>
        <v>0</v>
      </c>
      <c r="P234" s="12">
        <f t="shared" si="133"/>
        <v>0</v>
      </c>
      <c r="Q234" s="12">
        <f t="shared" si="133"/>
        <v>0</v>
      </c>
    </row>
    <row r="235" spans="7:28">
      <c r="G235" s="12">
        <f t="shared" si="118"/>
        <v>0</v>
      </c>
      <c r="H235" s="12">
        <f t="shared" ref="H235:Q235" si="134">IF($E84&gt;H$66,0,IF($E84&lt;H$66-365,$D84,0))</f>
        <v>0</v>
      </c>
      <c r="I235" s="12">
        <f t="shared" si="134"/>
        <v>0</v>
      </c>
      <c r="J235" s="12">
        <f t="shared" si="134"/>
        <v>0</v>
      </c>
      <c r="K235" s="12">
        <f t="shared" si="134"/>
        <v>0</v>
      </c>
      <c r="L235" s="12">
        <f t="shared" si="134"/>
        <v>0</v>
      </c>
      <c r="M235" s="12">
        <f t="shared" si="134"/>
        <v>0</v>
      </c>
      <c r="N235" s="12">
        <f t="shared" si="134"/>
        <v>0</v>
      </c>
      <c r="O235" s="12">
        <f t="shared" si="134"/>
        <v>0</v>
      </c>
      <c r="P235" s="12">
        <f t="shared" si="134"/>
        <v>0</v>
      </c>
      <c r="Q235" s="12">
        <f t="shared" si="134"/>
        <v>0</v>
      </c>
    </row>
    <row r="236" spans="7:28">
      <c r="G236" s="12">
        <f t="shared" si="118"/>
        <v>0</v>
      </c>
      <c r="H236" s="12">
        <f t="shared" ref="H236:Q236" si="135">IF($E85&gt;H$66,0,IF($E85&lt;H$66-365,$D85,0))</f>
        <v>0</v>
      </c>
      <c r="I236" s="12">
        <f t="shared" si="135"/>
        <v>0</v>
      </c>
      <c r="J236" s="12">
        <f t="shared" si="135"/>
        <v>0</v>
      </c>
      <c r="K236" s="12">
        <f t="shared" si="135"/>
        <v>0</v>
      </c>
      <c r="L236" s="12">
        <f t="shared" si="135"/>
        <v>0</v>
      </c>
      <c r="M236" s="12">
        <f t="shared" si="135"/>
        <v>0</v>
      </c>
      <c r="N236" s="12">
        <f t="shared" si="135"/>
        <v>0</v>
      </c>
      <c r="O236" s="12">
        <f t="shared" si="135"/>
        <v>0</v>
      </c>
      <c r="P236" s="12">
        <f t="shared" si="135"/>
        <v>0</v>
      </c>
      <c r="Q236" s="12">
        <f t="shared" si="135"/>
        <v>0</v>
      </c>
    </row>
    <row r="237" spans="7:28">
      <c r="G237" s="12">
        <f t="shared" si="118"/>
        <v>0</v>
      </c>
      <c r="H237" s="12">
        <f t="shared" ref="H237:Q237" si="136">IF($E86&gt;H$66,0,IF($E86&lt;H$66-365,$D86,0))</f>
        <v>0</v>
      </c>
      <c r="I237" s="12">
        <f t="shared" si="136"/>
        <v>0</v>
      </c>
      <c r="J237" s="12">
        <f t="shared" si="136"/>
        <v>0</v>
      </c>
      <c r="K237" s="12">
        <f t="shared" si="136"/>
        <v>0</v>
      </c>
      <c r="L237" s="12">
        <f t="shared" si="136"/>
        <v>0</v>
      </c>
      <c r="M237" s="12">
        <f t="shared" si="136"/>
        <v>0</v>
      </c>
      <c r="N237" s="12">
        <f t="shared" si="136"/>
        <v>0</v>
      </c>
      <c r="O237" s="12">
        <f t="shared" si="136"/>
        <v>0</v>
      </c>
      <c r="P237" s="12">
        <f t="shared" si="136"/>
        <v>0</v>
      </c>
      <c r="Q237" s="12">
        <f t="shared" si="136"/>
        <v>0</v>
      </c>
    </row>
    <row r="238" spans="7:28">
      <c r="G238" s="12">
        <f t="shared" si="118"/>
        <v>0</v>
      </c>
      <c r="H238" s="12">
        <f t="shared" ref="H238:Q238" si="137">IF($E87&gt;H$66,0,IF($E87&lt;H$66-365,$D87,0))</f>
        <v>0</v>
      </c>
      <c r="I238" s="12">
        <f t="shared" si="137"/>
        <v>0</v>
      </c>
      <c r="J238" s="12">
        <f t="shared" si="137"/>
        <v>0</v>
      </c>
      <c r="K238" s="12">
        <f t="shared" si="137"/>
        <v>0</v>
      </c>
      <c r="L238" s="12">
        <f t="shared" si="137"/>
        <v>0</v>
      </c>
      <c r="M238" s="12">
        <f t="shared" si="137"/>
        <v>0</v>
      </c>
      <c r="N238" s="12">
        <f t="shared" si="137"/>
        <v>0</v>
      </c>
      <c r="O238" s="12">
        <f t="shared" si="137"/>
        <v>0</v>
      </c>
      <c r="P238" s="12">
        <f t="shared" si="137"/>
        <v>0</v>
      </c>
      <c r="Q238" s="12">
        <f t="shared" si="137"/>
        <v>0</v>
      </c>
    </row>
    <row r="239" spans="7:28">
      <c r="G239" s="12">
        <f t="shared" si="118"/>
        <v>0</v>
      </c>
      <c r="H239" s="12">
        <f t="shared" ref="H239:Q239" si="138">IF($E88&gt;H$66,0,IF($E88&lt;H$66-365,$D88,0))</f>
        <v>0</v>
      </c>
      <c r="I239" s="12">
        <f t="shared" si="138"/>
        <v>0</v>
      </c>
      <c r="J239" s="12">
        <f t="shared" si="138"/>
        <v>0</v>
      </c>
      <c r="K239" s="12">
        <f t="shared" si="138"/>
        <v>0</v>
      </c>
      <c r="L239" s="12">
        <f t="shared" si="138"/>
        <v>0</v>
      </c>
      <c r="M239" s="12">
        <f t="shared" si="138"/>
        <v>0</v>
      </c>
      <c r="N239" s="12">
        <f t="shared" si="138"/>
        <v>0</v>
      </c>
      <c r="O239" s="12">
        <f t="shared" si="138"/>
        <v>0</v>
      </c>
      <c r="P239" s="12">
        <f t="shared" si="138"/>
        <v>0</v>
      </c>
      <c r="Q239" s="12">
        <f t="shared" si="138"/>
        <v>0</v>
      </c>
    </row>
    <row r="240" spans="7:28">
      <c r="G240" s="12">
        <f t="shared" si="118"/>
        <v>0</v>
      </c>
      <c r="H240" s="12">
        <f t="shared" ref="H240:Q240" si="139">IF($E89&gt;H$66,0,IF($E89&lt;H$66-365,$D89,0))</f>
        <v>0</v>
      </c>
      <c r="I240" s="12">
        <f t="shared" si="139"/>
        <v>0</v>
      </c>
      <c r="J240" s="12">
        <f t="shared" si="139"/>
        <v>0</v>
      </c>
      <c r="K240" s="12">
        <f t="shared" si="139"/>
        <v>0</v>
      </c>
      <c r="L240" s="12">
        <f t="shared" si="139"/>
        <v>0</v>
      </c>
      <c r="M240" s="12">
        <f t="shared" si="139"/>
        <v>0</v>
      </c>
      <c r="N240" s="12">
        <f t="shared" si="139"/>
        <v>0</v>
      </c>
      <c r="O240" s="12">
        <f t="shared" si="139"/>
        <v>0</v>
      </c>
      <c r="P240" s="12">
        <f t="shared" si="139"/>
        <v>0</v>
      </c>
      <c r="Q240" s="12">
        <f t="shared" si="139"/>
        <v>0</v>
      </c>
    </row>
    <row r="241" spans="7:17">
      <c r="G241" s="12">
        <f t="shared" si="118"/>
        <v>0</v>
      </c>
      <c r="H241" s="12">
        <f t="shared" ref="H241:Q241" si="140">IF($E90&gt;H$66,0,IF($E90&lt;H$66-365,$D90,0))</f>
        <v>0</v>
      </c>
      <c r="I241" s="12">
        <f t="shared" si="140"/>
        <v>0</v>
      </c>
      <c r="J241" s="12">
        <f t="shared" si="140"/>
        <v>0</v>
      </c>
      <c r="K241" s="12">
        <f t="shared" si="140"/>
        <v>0</v>
      </c>
      <c r="L241" s="12">
        <f t="shared" si="140"/>
        <v>0</v>
      </c>
      <c r="M241" s="12">
        <f t="shared" si="140"/>
        <v>0</v>
      </c>
      <c r="N241" s="12">
        <f t="shared" si="140"/>
        <v>0</v>
      </c>
      <c r="O241" s="12">
        <f t="shared" si="140"/>
        <v>0</v>
      </c>
      <c r="P241" s="12">
        <f t="shared" si="140"/>
        <v>0</v>
      </c>
      <c r="Q241" s="12">
        <f t="shared" si="140"/>
        <v>0</v>
      </c>
    </row>
    <row r="242" spans="7:17">
      <c r="G242" s="12">
        <f t="shared" si="118"/>
        <v>0</v>
      </c>
      <c r="H242" s="12">
        <f t="shared" ref="H242:Q242" si="141">IF($E91&gt;H$66,0,IF($E91&lt;H$66-365,$D91,0))</f>
        <v>0</v>
      </c>
      <c r="I242" s="12">
        <f t="shared" si="141"/>
        <v>0</v>
      </c>
      <c r="J242" s="12">
        <f t="shared" si="141"/>
        <v>0</v>
      </c>
      <c r="K242" s="12">
        <f t="shared" si="141"/>
        <v>0</v>
      </c>
      <c r="L242" s="12">
        <f t="shared" si="141"/>
        <v>0</v>
      </c>
      <c r="M242" s="12">
        <f t="shared" si="141"/>
        <v>0</v>
      </c>
      <c r="N242" s="12">
        <f t="shared" si="141"/>
        <v>0</v>
      </c>
      <c r="O242" s="12">
        <f t="shared" si="141"/>
        <v>0</v>
      </c>
      <c r="P242" s="12">
        <f t="shared" si="141"/>
        <v>0</v>
      </c>
      <c r="Q242" s="12">
        <f t="shared" si="141"/>
        <v>0</v>
      </c>
    </row>
    <row r="243" spans="7:17">
      <c r="G243" s="12">
        <f t="shared" si="118"/>
        <v>0</v>
      </c>
      <c r="H243" s="12">
        <f t="shared" ref="H243:Q243" si="142">IF($E92&gt;H$66,0,IF($E92&lt;H$66-365,$D92,0))</f>
        <v>0</v>
      </c>
      <c r="I243" s="12">
        <f t="shared" si="142"/>
        <v>0</v>
      </c>
      <c r="J243" s="12">
        <f t="shared" si="142"/>
        <v>0</v>
      </c>
      <c r="K243" s="12">
        <f t="shared" si="142"/>
        <v>0</v>
      </c>
      <c r="L243" s="12">
        <f t="shared" si="142"/>
        <v>0</v>
      </c>
      <c r="M243" s="12">
        <f t="shared" si="142"/>
        <v>0</v>
      </c>
      <c r="N243" s="12">
        <f t="shared" si="142"/>
        <v>0</v>
      </c>
      <c r="O243" s="12">
        <f t="shared" si="142"/>
        <v>0</v>
      </c>
      <c r="P243" s="12">
        <f t="shared" si="142"/>
        <v>0</v>
      </c>
      <c r="Q243" s="12">
        <f t="shared" si="142"/>
        <v>0</v>
      </c>
    </row>
    <row r="244" spans="7:17">
      <c r="G244" s="12">
        <f t="shared" si="118"/>
        <v>0</v>
      </c>
      <c r="H244" s="12">
        <f t="shared" ref="H244:Q244" si="143">IF($E93&gt;H$66,0,IF($E93&lt;H$66-365,$D93,0))</f>
        <v>0</v>
      </c>
      <c r="I244" s="12">
        <f t="shared" si="143"/>
        <v>0</v>
      </c>
      <c r="J244" s="12">
        <f t="shared" si="143"/>
        <v>0</v>
      </c>
      <c r="K244" s="12">
        <f t="shared" si="143"/>
        <v>0</v>
      </c>
      <c r="L244" s="12">
        <f t="shared" si="143"/>
        <v>0</v>
      </c>
      <c r="M244" s="12">
        <f t="shared" si="143"/>
        <v>0</v>
      </c>
      <c r="N244" s="12">
        <f t="shared" si="143"/>
        <v>0</v>
      </c>
      <c r="O244" s="12">
        <f t="shared" si="143"/>
        <v>0</v>
      </c>
      <c r="P244" s="12">
        <f t="shared" si="143"/>
        <v>0</v>
      </c>
      <c r="Q244" s="12">
        <f t="shared" si="143"/>
        <v>0</v>
      </c>
    </row>
    <row r="245" spans="7:17">
      <c r="G245" s="12">
        <f t="shared" si="118"/>
        <v>0</v>
      </c>
      <c r="H245" s="12">
        <f t="shared" ref="H245:Q245" si="144">IF($E94&gt;H$66,0,IF($E94&lt;H$66-365,$D94,0))</f>
        <v>0</v>
      </c>
      <c r="I245" s="12">
        <f t="shared" si="144"/>
        <v>0</v>
      </c>
      <c r="J245" s="12">
        <f t="shared" si="144"/>
        <v>0</v>
      </c>
      <c r="K245" s="12">
        <f t="shared" si="144"/>
        <v>0</v>
      </c>
      <c r="L245" s="12">
        <f t="shared" si="144"/>
        <v>0</v>
      </c>
      <c r="M245" s="12">
        <f t="shared" si="144"/>
        <v>0</v>
      </c>
      <c r="N245" s="12">
        <f t="shared" si="144"/>
        <v>0</v>
      </c>
      <c r="O245" s="12">
        <f t="shared" si="144"/>
        <v>0</v>
      </c>
      <c r="P245" s="12">
        <f t="shared" si="144"/>
        <v>0</v>
      </c>
      <c r="Q245" s="12">
        <f t="shared" si="144"/>
        <v>0</v>
      </c>
    </row>
    <row r="246" spans="7:17">
      <c r="G246" s="12">
        <f t="shared" si="118"/>
        <v>0</v>
      </c>
      <c r="H246" s="12">
        <f t="shared" ref="H246:Q246" si="145">IF($E95&gt;H$66,0,IF($E95&lt;H$66-365,$D95,0))</f>
        <v>0</v>
      </c>
      <c r="I246" s="12">
        <f t="shared" si="145"/>
        <v>0</v>
      </c>
      <c r="J246" s="12">
        <f t="shared" si="145"/>
        <v>0</v>
      </c>
      <c r="K246" s="12">
        <f t="shared" si="145"/>
        <v>0</v>
      </c>
      <c r="L246" s="12">
        <f t="shared" si="145"/>
        <v>0</v>
      </c>
      <c r="M246" s="12">
        <f t="shared" si="145"/>
        <v>0</v>
      </c>
      <c r="N246" s="12">
        <f t="shared" si="145"/>
        <v>0</v>
      </c>
      <c r="O246" s="12">
        <f t="shared" si="145"/>
        <v>0</v>
      </c>
      <c r="P246" s="12">
        <f t="shared" si="145"/>
        <v>0</v>
      </c>
      <c r="Q246" s="12">
        <f t="shared" si="145"/>
        <v>0</v>
      </c>
    </row>
    <row r="247" spans="7:17">
      <c r="G247" s="12">
        <f t="shared" si="118"/>
        <v>0</v>
      </c>
      <c r="H247" s="12">
        <f t="shared" ref="H247:Q247" si="146">IF($E96&gt;H$66,0,IF($E96&lt;H$66-365,$D96,0))</f>
        <v>0</v>
      </c>
      <c r="I247" s="12">
        <f t="shared" si="146"/>
        <v>0</v>
      </c>
      <c r="J247" s="12">
        <f t="shared" si="146"/>
        <v>0</v>
      </c>
      <c r="K247" s="12">
        <f t="shared" si="146"/>
        <v>0</v>
      </c>
      <c r="L247" s="12">
        <f t="shared" si="146"/>
        <v>0</v>
      </c>
      <c r="M247" s="12">
        <f t="shared" si="146"/>
        <v>0</v>
      </c>
      <c r="N247" s="12">
        <f t="shared" si="146"/>
        <v>0</v>
      </c>
      <c r="O247" s="12">
        <f t="shared" si="146"/>
        <v>0</v>
      </c>
      <c r="P247" s="12">
        <f t="shared" si="146"/>
        <v>0</v>
      </c>
      <c r="Q247" s="12">
        <f t="shared" si="146"/>
        <v>0</v>
      </c>
    </row>
    <row r="248" spans="7:17">
      <c r="G248" s="12">
        <f t="shared" si="118"/>
        <v>0</v>
      </c>
      <c r="H248" s="12">
        <f t="shared" ref="H248:Q248" si="147">IF($E97&gt;H$66,0,IF($E97&lt;H$66-365,$D97,0))</f>
        <v>0</v>
      </c>
      <c r="I248" s="12">
        <f t="shared" si="147"/>
        <v>0</v>
      </c>
      <c r="J248" s="12">
        <f t="shared" si="147"/>
        <v>0</v>
      </c>
      <c r="K248" s="12">
        <f t="shared" si="147"/>
        <v>0</v>
      </c>
      <c r="L248" s="12">
        <f t="shared" si="147"/>
        <v>0</v>
      </c>
      <c r="M248" s="12">
        <f t="shared" si="147"/>
        <v>0</v>
      </c>
      <c r="N248" s="12">
        <f t="shared" si="147"/>
        <v>0</v>
      </c>
      <c r="O248" s="12">
        <f t="shared" si="147"/>
        <v>0</v>
      </c>
      <c r="P248" s="12">
        <f t="shared" si="147"/>
        <v>0</v>
      </c>
      <c r="Q248" s="12">
        <f t="shared" si="147"/>
        <v>0</v>
      </c>
    </row>
    <row r="249" spans="7:17">
      <c r="G249" s="12">
        <f t="shared" si="118"/>
        <v>0</v>
      </c>
      <c r="H249" s="12">
        <f t="shared" ref="H249:Q249" si="148">IF($E98&gt;H$66,0,IF($E98&lt;H$66-365,$D98,0))</f>
        <v>0</v>
      </c>
      <c r="I249" s="12">
        <f t="shared" si="148"/>
        <v>0</v>
      </c>
      <c r="J249" s="12">
        <f t="shared" si="148"/>
        <v>0</v>
      </c>
      <c r="K249" s="12">
        <f t="shared" si="148"/>
        <v>0</v>
      </c>
      <c r="L249" s="12">
        <f t="shared" si="148"/>
        <v>0</v>
      </c>
      <c r="M249" s="12">
        <f t="shared" si="148"/>
        <v>0</v>
      </c>
      <c r="N249" s="12">
        <f t="shared" si="148"/>
        <v>0</v>
      </c>
      <c r="O249" s="12">
        <f t="shared" si="148"/>
        <v>0</v>
      </c>
      <c r="P249" s="12">
        <f t="shared" si="148"/>
        <v>0</v>
      </c>
      <c r="Q249" s="12">
        <f t="shared" si="148"/>
        <v>0</v>
      </c>
    </row>
    <row r="250" spans="7:17">
      <c r="G250" s="12">
        <f t="shared" si="118"/>
        <v>0</v>
      </c>
      <c r="H250" s="12">
        <f t="shared" ref="H250:Q250" si="149">IF($E99&gt;H$66,0,IF($E99&lt;H$66-365,$D99,0))</f>
        <v>0</v>
      </c>
      <c r="I250" s="12">
        <f t="shared" si="149"/>
        <v>0</v>
      </c>
      <c r="J250" s="12">
        <f t="shared" si="149"/>
        <v>0</v>
      </c>
      <c r="K250" s="12">
        <f t="shared" si="149"/>
        <v>0</v>
      </c>
      <c r="L250" s="12">
        <f t="shared" si="149"/>
        <v>0</v>
      </c>
      <c r="M250" s="12">
        <f t="shared" si="149"/>
        <v>0</v>
      </c>
      <c r="N250" s="12">
        <f t="shared" si="149"/>
        <v>0</v>
      </c>
      <c r="O250" s="12">
        <f t="shared" si="149"/>
        <v>0</v>
      </c>
      <c r="P250" s="12">
        <f t="shared" si="149"/>
        <v>0</v>
      </c>
      <c r="Q250" s="12">
        <f t="shared" si="149"/>
        <v>0</v>
      </c>
    </row>
    <row r="251" spans="7:17">
      <c r="G251" s="12">
        <f t="shared" si="118"/>
        <v>0</v>
      </c>
      <c r="H251" s="12">
        <f t="shared" ref="H251:Q251" si="150">IF($E100&gt;H$66,0,IF($E100&lt;H$66-365,$D100,0))</f>
        <v>0</v>
      </c>
      <c r="I251" s="12">
        <f t="shared" si="150"/>
        <v>0</v>
      </c>
      <c r="J251" s="12">
        <f t="shared" si="150"/>
        <v>0</v>
      </c>
      <c r="K251" s="12">
        <f t="shared" si="150"/>
        <v>0</v>
      </c>
      <c r="L251" s="12">
        <f t="shared" si="150"/>
        <v>0</v>
      </c>
      <c r="M251" s="12">
        <f t="shared" si="150"/>
        <v>0</v>
      </c>
      <c r="N251" s="12">
        <f t="shared" si="150"/>
        <v>0</v>
      </c>
      <c r="O251" s="12">
        <f t="shared" si="150"/>
        <v>0</v>
      </c>
      <c r="P251" s="12">
        <f t="shared" si="150"/>
        <v>0</v>
      </c>
      <c r="Q251" s="12">
        <f t="shared" si="150"/>
        <v>0</v>
      </c>
    </row>
    <row r="252" spans="7:17">
      <c r="G252" s="12">
        <f t="shared" si="118"/>
        <v>0</v>
      </c>
      <c r="H252" s="12">
        <f t="shared" ref="H252:Q252" si="151">IF($E101&gt;H$66,0,IF($E101&lt;H$66-365,$D101,0))</f>
        <v>0</v>
      </c>
      <c r="I252" s="12">
        <f t="shared" si="151"/>
        <v>0</v>
      </c>
      <c r="J252" s="12">
        <f t="shared" si="151"/>
        <v>0</v>
      </c>
      <c r="K252" s="12">
        <f t="shared" si="151"/>
        <v>0</v>
      </c>
      <c r="L252" s="12">
        <f t="shared" si="151"/>
        <v>0</v>
      </c>
      <c r="M252" s="12">
        <f t="shared" si="151"/>
        <v>0</v>
      </c>
      <c r="N252" s="12">
        <f t="shared" si="151"/>
        <v>0</v>
      </c>
      <c r="O252" s="12">
        <f t="shared" si="151"/>
        <v>0</v>
      </c>
      <c r="P252" s="12">
        <f t="shared" si="151"/>
        <v>0</v>
      </c>
      <c r="Q252" s="12">
        <f t="shared" si="151"/>
        <v>0</v>
      </c>
    </row>
    <row r="253" spans="7:17">
      <c r="G253" s="12">
        <f t="shared" si="118"/>
        <v>0</v>
      </c>
      <c r="H253" s="12">
        <f t="shared" ref="H253:Q253" si="152">IF($E102&gt;H$66,0,IF($E102&lt;H$66-365,$D102,0))</f>
        <v>0</v>
      </c>
      <c r="I253" s="12">
        <f t="shared" si="152"/>
        <v>0</v>
      </c>
      <c r="J253" s="12">
        <f t="shared" si="152"/>
        <v>0</v>
      </c>
      <c r="K253" s="12">
        <f t="shared" si="152"/>
        <v>0</v>
      </c>
      <c r="L253" s="12">
        <f t="shared" si="152"/>
        <v>0</v>
      </c>
      <c r="M253" s="12">
        <f t="shared" si="152"/>
        <v>0</v>
      </c>
      <c r="N253" s="12">
        <f t="shared" si="152"/>
        <v>0</v>
      </c>
      <c r="O253" s="12">
        <f t="shared" si="152"/>
        <v>0</v>
      </c>
      <c r="P253" s="12">
        <f t="shared" si="152"/>
        <v>0</v>
      </c>
      <c r="Q253" s="12">
        <f t="shared" si="152"/>
        <v>0</v>
      </c>
    </row>
    <row r="254" spans="7:17">
      <c r="G254" s="12">
        <f t="shared" si="118"/>
        <v>0</v>
      </c>
      <c r="H254" s="12">
        <f t="shared" ref="H254:Q254" si="153">IF($E103&gt;H$66,0,IF($E103&lt;H$66-365,$D103,0))</f>
        <v>0</v>
      </c>
      <c r="I254" s="12">
        <f t="shared" si="153"/>
        <v>0</v>
      </c>
      <c r="J254" s="12">
        <f t="shared" si="153"/>
        <v>0</v>
      </c>
      <c r="K254" s="12">
        <f t="shared" si="153"/>
        <v>0</v>
      </c>
      <c r="L254" s="12">
        <f t="shared" si="153"/>
        <v>0</v>
      </c>
      <c r="M254" s="12">
        <f t="shared" si="153"/>
        <v>0</v>
      </c>
      <c r="N254" s="12">
        <f t="shared" si="153"/>
        <v>0</v>
      </c>
      <c r="O254" s="12">
        <f t="shared" si="153"/>
        <v>0</v>
      </c>
      <c r="P254" s="12">
        <f t="shared" si="153"/>
        <v>0</v>
      </c>
      <c r="Q254" s="12">
        <f t="shared" si="153"/>
        <v>0</v>
      </c>
    </row>
    <row r="255" spans="7:17">
      <c r="G255" s="12">
        <f t="shared" si="118"/>
        <v>0</v>
      </c>
      <c r="H255" s="12">
        <f t="shared" ref="H255:Q255" si="154">IF($E104&gt;H$66,0,IF($E104&lt;H$66-365,$D104,0))</f>
        <v>0</v>
      </c>
      <c r="I255" s="12">
        <f t="shared" si="154"/>
        <v>0</v>
      </c>
      <c r="J255" s="12">
        <f t="shared" si="154"/>
        <v>0</v>
      </c>
      <c r="K255" s="12">
        <f t="shared" si="154"/>
        <v>0</v>
      </c>
      <c r="L255" s="12">
        <f t="shared" si="154"/>
        <v>0</v>
      </c>
      <c r="M255" s="12">
        <f t="shared" si="154"/>
        <v>0</v>
      </c>
      <c r="N255" s="12">
        <f t="shared" si="154"/>
        <v>0</v>
      </c>
      <c r="O255" s="12">
        <f t="shared" si="154"/>
        <v>0</v>
      </c>
      <c r="P255" s="12">
        <f t="shared" si="154"/>
        <v>0</v>
      </c>
      <c r="Q255" s="12">
        <f t="shared" si="154"/>
        <v>0</v>
      </c>
    </row>
    <row r="256" spans="7:17">
      <c r="G256" s="12">
        <f t="shared" si="118"/>
        <v>0</v>
      </c>
      <c r="H256" s="12">
        <f t="shared" ref="H256:Q256" si="155">IF($E105&gt;H$66,0,IF($E105&lt;H$66-365,$D105,0))</f>
        <v>0</v>
      </c>
      <c r="I256" s="12">
        <f t="shared" si="155"/>
        <v>0</v>
      </c>
      <c r="J256" s="12">
        <f t="shared" si="155"/>
        <v>0</v>
      </c>
      <c r="K256" s="12">
        <f t="shared" si="155"/>
        <v>0</v>
      </c>
      <c r="L256" s="12">
        <f t="shared" si="155"/>
        <v>0</v>
      </c>
      <c r="M256" s="12">
        <f t="shared" si="155"/>
        <v>0</v>
      </c>
      <c r="N256" s="12">
        <f t="shared" si="155"/>
        <v>0</v>
      </c>
      <c r="O256" s="12">
        <f t="shared" si="155"/>
        <v>0</v>
      </c>
      <c r="P256" s="12">
        <f t="shared" si="155"/>
        <v>0</v>
      </c>
      <c r="Q256" s="12">
        <f t="shared" si="155"/>
        <v>0</v>
      </c>
    </row>
    <row r="257" spans="5:18">
      <c r="G257" s="12">
        <f t="shared" si="118"/>
        <v>0</v>
      </c>
      <c r="H257" s="12">
        <f t="shared" ref="H257:Q257" si="156">IF($E106&gt;H$66,0,IF($E106&lt;H$66-365,$D106,0))</f>
        <v>0</v>
      </c>
      <c r="I257" s="12">
        <f t="shared" si="156"/>
        <v>0</v>
      </c>
      <c r="J257" s="12">
        <f t="shared" si="156"/>
        <v>0</v>
      </c>
      <c r="K257" s="12">
        <f t="shared" si="156"/>
        <v>0</v>
      </c>
      <c r="L257" s="12">
        <f t="shared" si="156"/>
        <v>0</v>
      </c>
      <c r="M257" s="12">
        <f t="shared" si="156"/>
        <v>0</v>
      </c>
      <c r="N257" s="12">
        <f t="shared" si="156"/>
        <v>0</v>
      </c>
      <c r="O257" s="12">
        <f t="shared" si="156"/>
        <v>0</v>
      </c>
      <c r="P257" s="12">
        <f t="shared" si="156"/>
        <v>0</v>
      </c>
      <c r="Q257" s="12">
        <f t="shared" si="156"/>
        <v>0</v>
      </c>
    </row>
    <row r="258" spans="5:18">
      <c r="G258" s="12">
        <f t="shared" si="118"/>
        <v>0</v>
      </c>
      <c r="H258" s="12">
        <f t="shared" ref="H258:Q258" si="157">IF($E107&gt;H$66,0,IF($E107&lt;H$66-365,$D107,0))</f>
        <v>0</v>
      </c>
      <c r="I258" s="12">
        <f t="shared" si="157"/>
        <v>0</v>
      </c>
      <c r="J258" s="12">
        <f t="shared" si="157"/>
        <v>0</v>
      </c>
      <c r="K258" s="12">
        <f t="shared" si="157"/>
        <v>0</v>
      </c>
      <c r="L258" s="12">
        <f t="shared" si="157"/>
        <v>0</v>
      </c>
      <c r="M258" s="12">
        <f t="shared" si="157"/>
        <v>0</v>
      </c>
      <c r="N258" s="12">
        <f t="shared" si="157"/>
        <v>0</v>
      </c>
      <c r="O258" s="12">
        <f t="shared" si="157"/>
        <v>0</v>
      </c>
      <c r="P258" s="12">
        <f t="shared" si="157"/>
        <v>0</v>
      </c>
      <c r="Q258" s="12">
        <f t="shared" si="157"/>
        <v>0</v>
      </c>
    </row>
    <row r="259" spans="5:18">
      <c r="G259" s="12">
        <f t="shared" si="118"/>
        <v>0</v>
      </c>
      <c r="H259" s="12">
        <f t="shared" ref="H259:Q259" si="158">IF($E108&gt;H$66,0,IF($E108&lt;H$66-365,$D108,0))</f>
        <v>0</v>
      </c>
      <c r="I259" s="12">
        <f t="shared" si="158"/>
        <v>0</v>
      </c>
      <c r="J259" s="12">
        <f t="shared" si="158"/>
        <v>0</v>
      </c>
      <c r="K259" s="12">
        <f t="shared" si="158"/>
        <v>0</v>
      </c>
      <c r="L259" s="12">
        <f t="shared" si="158"/>
        <v>0</v>
      </c>
      <c r="M259" s="12">
        <f t="shared" si="158"/>
        <v>0</v>
      </c>
      <c r="N259" s="12">
        <f t="shared" si="158"/>
        <v>0</v>
      </c>
      <c r="O259" s="12">
        <f t="shared" si="158"/>
        <v>0</v>
      </c>
      <c r="P259" s="12">
        <f t="shared" si="158"/>
        <v>0</v>
      </c>
      <c r="Q259" s="12">
        <f t="shared" si="158"/>
        <v>0</v>
      </c>
    </row>
    <row r="260" spans="5:18">
      <c r="G260" s="12">
        <f t="shared" si="118"/>
        <v>0</v>
      </c>
      <c r="H260" s="12">
        <f t="shared" ref="H260:Q260" si="159">IF($E109&gt;H$66,0,IF($E109&lt;H$66-365,$D109,0))</f>
        <v>0</v>
      </c>
      <c r="I260" s="12">
        <f t="shared" si="159"/>
        <v>0</v>
      </c>
      <c r="J260" s="12">
        <f t="shared" si="159"/>
        <v>0</v>
      </c>
      <c r="K260" s="12">
        <f t="shared" si="159"/>
        <v>0</v>
      </c>
      <c r="L260" s="12">
        <f t="shared" si="159"/>
        <v>0</v>
      </c>
      <c r="M260" s="12">
        <f t="shared" si="159"/>
        <v>0</v>
      </c>
      <c r="N260" s="12">
        <f t="shared" si="159"/>
        <v>0</v>
      </c>
      <c r="O260" s="12">
        <f t="shared" si="159"/>
        <v>0</v>
      </c>
      <c r="P260" s="12">
        <f t="shared" si="159"/>
        <v>0</v>
      </c>
      <c r="Q260" s="12">
        <f t="shared" si="159"/>
        <v>0</v>
      </c>
    </row>
    <row r="261" spans="5:18">
      <c r="G261" s="12">
        <f t="shared" si="118"/>
        <v>0</v>
      </c>
      <c r="H261" s="12">
        <f t="shared" ref="H261:Q261" si="160">IF($E110&gt;H$66,0,IF($E110&lt;H$66-365,$D110,0))</f>
        <v>0</v>
      </c>
      <c r="I261" s="12">
        <f t="shared" si="160"/>
        <v>0</v>
      </c>
      <c r="J261" s="12">
        <f t="shared" si="160"/>
        <v>0</v>
      </c>
      <c r="K261" s="12">
        <f t="shared" si="160"/>
        <v>0</v>
      </c>
      <c r="L261" s="12">
        <f t="shared" si="160"/>
        <v>0</v>
      </c>
      <c r="M261" s="12">
        <f t="shared" si="160"/>
        <v>0</v>
      </c>
      <c r="N261" s="12">
        <f t="shared" si="160"/>
        <v>0</v>
      </c>
      <c r="O261" s="12">
        <f t="shared" si="160"/>
        <v>0</v>
      </c>
      <c r="P261" s="12">
        <f t="shared" si="160"/>
        <v>0</v>
      </c>
      <c r="Q261" s="12">
        <f t="shared" si="160"/>
        <v>0</v>
      </c>
    </row>
    <row r="262" spans="5:18">
      <c r="G262" s="12">
        <f t="shared" si="118"/>
        <v>0</v>
      </c>
      <c r="H262" s="12">
        <f t="shared" ref="H262:Q262" si="161">IF($E111&gt;H$66,0,IF($E111&lt;H$66-365,$D111,0))</f>
        <v>0</v>
      </c>
      <c r="I262" s="12">
        <f t="shared" si="161"/>
        <v>0</v>
      </c>
      <c r="J262" s="12">
        <f t="shared" si="161"/>
        <v>0</v>
      </c>
      <c r="K262" s="12">
        <f t="shared" si="161"/>
        <v>0</v>
      </c>
      <c r="L262" s="12">
        <f t="shared" si="161"/>
        <v>0</v>
      </c>
      <c r="M262" s="12">
        <f t="shared" si="161"/>
        <v>0</v>
      </c>
      <c r="N262" s="12">
        <f t="shared" si="161"/>
        <v>0</v>
      </c>
      <c r="O262" s="12">
        <f t="shared" si="161"/>
        <v>0</v>
      </c>
      <c r="P262" s="12">
        <f t="shared" si="161"/>
        <v>0</v>
      </c>
      <c r="Q262" s="12">
        <f t="shared" si="161"/>
        <v>0</v>
      </c>
    </row>
    <row r="263" spans="5:18">
      <c r="G263" s="12">
        <f t="shared" si="118"/>
        <v>0</v>
      </c>
      <c r="H263" s="12">
        <f t="shared" ref="H263:Q263" si="162">IF($E112&gt;H$66,0,IF($E112&lt;H$66-365,$D112,0))</f>
        <v>0</v>
      </c>
      <c r="I263" s="12">
        <f t="shared" si="162"/>
        <v>0</v>
      </c>
      <c r="J263" s="12">
        <f t="shared" si="162"/>
        <v>0</v>
      </c>
      <c r="K263" s="12">
        <f t="shared" si="162"/>
        <v>0</v>
      </c>
      <c r="L263" s="12">
        <f t="shared" si="162"/>
        <v>0</v>
      </c>
      <c r="M263" s="12">
        <f t="shared" si="162"/>
        <v>0</v>
      </c>
      <c r="N263" s="12">
        <f t="shared" si="162"/>
        <v>0</v>
      </c>
      <c r="O263" s="12">
        <f t="shared" si="162"/>
        <v>0</v>
      </c>
      <c r="P263" s="12">
        <f t="shared" si="162"/>
        <v>0</v>
      </c>
      <c r="Q263" s="12">
        <f t="shared" si="162"/>
        <v>0</v>
      </c>
    </row>
    <row r="264" spans="5:18">
      <c r="G264" s="12">
        <f t="shared" si="118"/>
        <v>0</v>
      </c>
      <c r="H264" s="12">
        <f t="shared" ref="H264:Q264" si="163">IF($E113&gt;H$66,0,IF($E113&lt;H$66-365,$D113,0))</f>
        <v>0</v>
      </c>
      <c r="I264" s="12">
        <f t="shared" si="163"/>
        <v>0</v>
      </c>
      <c r="J264" s="12">
        <f t="shared" si="163"/>
        <v>0</v>
      </c>
      <c r="K264" s="12">
        <f t="shared" si="163"/>
        <v>0</v>
      </c>
      <c r="L264" s="12">
        <f t="shared" si="163"/>
        <v>0</v>
      </c>
      <c r="M264" s="12">
        <f t="shared" si="163"/>
        <v>0</v>
      </c>
      <c r="N264" s="12">
        <f t="shared" si="163"/>
        <v>0</v>
      </c>
      <c r="O264" s="12">
        <f t="shared" si="163"/>
        <v>0</v>
      </c>
      <c r="P264" s="12">
        <f t="shared" si="163"/>
        <v>0</v>
      </c>
      <c r="Q264" s="12">
        <f t="shared" si="163"/>
        <v>0</v>
      </c>
    </row>
    <row r="265" spans="5:18">
      <c r="G265" s="12">
        <f t="shared" si="118"/>
        <v>0</v>
      </c>
      <c r="H265" s="12">
        <f t="shared" ref="H265:Q265" si="164">IF($E114&gt;H$66,0,IF($E114&lt;H$66-365,$D114,0))</f>
        <v>0</v>
      </c>
      <c r="I265" s="12">
        <f t="shared" si="164"/>
        <v>0</v>
      </c>
      <c r="J265" s="12">
        <f t="shared" si="164"/>
        <v>0</v>
      </c>
      <c r="K265" s="12">
        <f t="shared" si="164"/>
        <v>0</v>
      </c>
      <c r="L265" s="12">
        <f t="shared" si="164"/>
        <v>0</v>
      </c>
      <c r="M265" s="12">
        <f t="shared" si="164"/>
        <v>0</v>
      </c>
      <c r="N265" s="12">
        <f t="shared" si="164"/>
        <v>0</v>
      </c>
      <c r="O265" s="12">
        <f t="shared" si="164"/>
        <v>0</v>
      </c>
      <c r="P265" s="12">
        <f t="shared" si="164"/>
        <v>0</v>
      </c>
      <c r="Q265" s="12">
        <f t="shared" si="164"/>
        <v>0</v>
      </c>
    </row>
    <row r="267" spans="5:18">
      <c r="F267" s="187" t="s">
        <v>493</v>
      </c>
      <c r="G267" s="187">
        <f>SUM(G220:G265)</f>
        <v>0</v>
      </c>
      <c r="H267" s="187">
        <f t="shared" ref="H267:Q267" si="165">SUM(H220:H265)</f>
        <v>0</v>
      </c>
      <c r="I267" s="187">
        <f t="shared" si="165"/>
        <v>0</v>
      </c>
      <c r="J267" s="187">
        <f t="shared" si="165"/>
        <v>0</v>
      </c>
      <c r="K267" s="187">
        <f t="shared" si="165"/>
        <v>0</v>
      </c>
      <c r="L267" s="187">
        <f t="shared" si="165"/>
        <v>0</v>
      </c>
      <c r="M267" s="187">
        <f t="shared" si="165"/>
        <v>0</v>
      </c>
      <c r="N267" s="187">
        <f t="shared" si="165"/>
        <v>0</v>
      </c>
      <c r="O267" s="187">
        <f t="shared" si="165"/>
        <v>0</v>
      </c>
      <c r="P267" s="187">
        <f t="shared" si="165"/>
        <v>0</v>
      </c>
      <c r="Q267" s="187">
        <f t="shared" si="165"/>
        <v>0</v>
      </c>
    </row>
    <row r="271" spans="5:18">
      <c r="F271" s="207" t="s">
        <v>486</v>
      </c>
      <c r="G271" s="206">
        <f>G66</f>
        <v>45473</v>
      </c>
      <c r="H271" s="206">
        <f t="shared" ref="H271:Q271" si="166">H66</f>
        <v>45838</v>
      </c>
      <c r="I271" s="206">
        <f t="shared" si="166"/>
        <v>46203</v>
      </c>
      <c r="J271" s="206">
        <f t="shared" si="166"/>
        <v>46568</v>
      </c>
      <c r="K271" s="206">
        <f t="shared" si="166"/>
        <v>46934</v>
      </c>
      <c r="L271" s="206">
        <f t="shared" si="166"/>
        <v>47299</v>
      </c>
      <c r="M271" s="206">
        <f t="shared" si="166"/>
        <v>47664</v>
      </c>
      <c r="N271" s="206">
        <f t="shared" si="166"/>
        <v>48029</v>
      </c>
      <c r="O271" s="206">
        <f t="shared" si="166"/>
        <v>48395</v>
      </c>
      <c r="P271" s="206">
        <f t="shared" si="166"/>
        <v>48760</v>
      </c>
      <c r="Q271" s="206">
        <f t="shared" si="166"/>
        <v>49125</v>
      </c>
      <c r="R271" s="206">
        <f t="shared" ref="R271" si="167">Q271+365</f>
        <v>49490</v>
      </c>
    </row>
    <row r="272" spans="5:18">
      <c r="E272" s="12" t="s">
        <v>399</v>
      </c>
      <c r="F272" s="348">
        <f t="shared" ref="F272:P272" si="168">Z216</f>
        <v>4.790932811480757</v>
      </c>
      <c r="G272" s="348">
        <f t="shared" si="168"/>
        <v>4.790932811480757</v>
      </c>
      <c r="H272" s="348">
        <f t="shared" si="168"/>
        <v>4.790932811480757</v>
      </c>
      <c r="I272" s="348">
        <f t="shared" si="168"/>
        <v>4.790932811480757</v>
      </c>
      <c r="J272" s="348">
        <f t="shared" si="168"/>
        <v>4.790932811480757</v>
      </c>
      <c r="K272" s="348">
        <f t="shared" si="168"/>
        <v>4.790932811480757</v>
      </c>
      <c r="L272" s="348">
        <f t="shared" si="168"/>
        <v>4.790932811480757</v>
      </c>
      <c r="M272" s="348">
        <f t="shared" si="168"/>
        <v>4.790932811480757</v>
      </c>
      <c r="N272" s="348">
        <f t="shared" si="168"/>
        <v>4.790932811480757</v>
      </c>
      <c r="O272" s="348">
        <f t="shared" si="168"/>
        <v>4.790932811480757</v>
      </c>
      <c r="P272" s="348">
        <f t="shared" si="168"/>
        <v>4.790932811480757</v>
      </c>
      <c r="Q272" s="348">
        <f>AK216</f>
        <v>4.790932811480757</v>
      </c>
    </row>
  </sheetData>
  <sheetProtection formatCells="0" formatColumns="0" formatRows="0" selectLockedCells="1"/>
  <customSheetViews>
    <customSheetView guid="{0FAFE012-8D9E-4ED0-86A4-A997E430971B}" scale="70" showGridLines="0" fitToPage="1" hiddenRows="1" topLeftCell="D24">
      <selection activeCell="AA59" sqref="AA59"/>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41" priority="1" operator="lessThan">
      <formula>0</formula>
    </cfRule>
  </conditionalFormatting>
  <conditionalFormatting sqref="F46:Q47">
    <cfRule type="cellIs" dxfId="40" priority="4" operator="lessThan">
      <formula>0</formula>
    </cfRule>
  </conditionalFormatting>
  <conditionalFormatting sqref="F50:Q50">
    <cfRule type="cellIs" dxfId="39" priority="3" operator="lessThan">
      <formula>0</formula>
    </cfRule>
  </conditionalFormatting>
  <dataValidations disablePrompts="1" count="3">
    <dataValidation type="list" allowBlank="1" showInputMessage="1" showErrorMessage="1" sqref="F141:G141" xr:uid="{CDFFD9F1-0731-46A3-B9A4-43DA4CB9AD77}">
      <formula1>"0.0 Stars,0.5 Stars,1.0 Stars,1.5 Stars,2.0 Stars,2.5 Stars,3.0 Stars,3.5 Stars,4.0 Stars,4.5 Stars,5.0 Stars,5.5 Stars,6.0 Stars,N/A"</formula1>
    </dataValidation>
    <dataValidation type="list" allowBlank="1" showInputMessage="1" showErrorMessage="1" sqref="E114" xr:uid="{0C2524EE-AAC3-41C7-A238-7243A9A5A1DB}">
      <formula1>$BQ$155:$BQ$169</formula1>
    </dataValidation>
    <dataValidation type="list" allowBlank="1" showInputMessage="1" showErrorMessage="1" sqref="O114:Q114" xr:uid="{AFB89577-03D5-4643-9FCD-69D7B1730AEB}">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69E99-5244-43D7-ABA7-B2D532EDED44}">
  <sheetPr codeName="Sheet45">
    <tabColor theme="5"/>
    <pageSetUpPr fitToPage="1"/>
  </sheetPr>
  <dimension ref="A1:CJ272"/>
  <sheetViews>
    <sheetView showGridLines="0" topLeftCell="E15" zoomScale="85" zoomScaleNormal="85" workbookViewId="0">
      <selection activeCell="Y168" sqref="Y168"/>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2.179687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49</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QLD2</v>
      </c>
      <c r="B6" s="368" t="s">
        <v>309</v>
      </c>
      <c r="C6" s="484" t="s">
        <v>41</v>
      </c>
      <c r="D6" s="485">
        <f>(VLOOKUP($A$2,Assumptions!$B$41:$C$63,2,0))/1000</f>
        <v>0.16136701900699404</v>
      </c>
      <c r="E6" s="367" t="s">
        <v>311</v>
      </c>
      <c r="F6" s="517">
        <f>VLOOKUP($A$2,'Footprint Summary'!$B$4:$R$26,COLUMNS('Footprint Summary'!$B$4:F$26)+1,0)</f>
        <v>1879.1079999999999</v>
      </c>
      <c r="G6" s="517">
        <f>VLOOKUP($A$2,'Footprint Summary'!$B$4:$R$26,COLUMNS('Footprint Summary'!$B$4:G$26)+1,0)</f>
        <v>1879.1079999999999</v>
      </c>
      <c r="H6" s="517">
        <f>VLOOKUP($A$2,'Footprint Summary'!$B$4:$R$26,COLUMNS('Footprint Summary'!$B$4:H$26)+1,0)</f>
        <v>1879.1079999999999</v>
      </c>
      <c r="I6" s="517">
        <f>VLOOKUP($A$2,'Footprint Summary'!$B$4:$R$26,COLUMNS('Footprint Summary'!$B$4:I$26)+1,0)</f>
        <v>1879.10799</v>
      </c>
      <c r="J6" s="517">
        <f>VLOOKUP($A$2,'Footprint Summary'!$B$4:$R$26,COLUMNS('Footprint Summary'!$B$4:J$26)+1,0)</f>
        <v>1879.10799</v>
      </c>
      <c r="K6" s="517">
        <f>VLOOKUP($A$2,'Footprint Summary'!$B$4:$R$26,COLUMNS('Footprint Summary'!$B$4:K$26)+1,0)</f>
        <v>1702.4299899999999</v>
      </c>
      <c r="L6" s="517">
        <f>VLOOKUP($A$2,'Footprint Summary'!$B$4:$R$26,COLUMNS('Footprint Summary'!$B$4:L$26)+1,0)</f>
        <v>1702.4299899999999</v>
      </c>
      <c r="M6" s="517">
        <f>VLOOKUP($A$2,'Footprint Summary'!$B$4:$R$26,COLUMNS('Footprint Summary'!$B$4:M$26)+1,0)</f>
        <v>1702.4299899999999</v>
      </c>
      <c r="N6" s="517">
        <f>VLOOKUP($A$2,'Footprint Summary'!$B$4:$R$26,COLUMNS('Footprint Summary'!$B$4:N$26)+1,0)</f>
        <v>1702.4299899999999</v>
      </c>
      <c r="O6" s="517">
        <f>VLOOKUP($A$2,'Footprint Summary'!$B$4:$R$26,COLUMNS('Footprint Summary'!$B$4:O$26)+1,0)</f>
        <v>1582.0549899999999</v>
      </c>
      <c r="P6" s="517">
        <f>VLOOKUP($A$2,'Footprint Summary'!$B$4:$R$26,COLUMNS('Footprint Summary'!$B$4:P$26)+1,0)</f>
        <v>1582.0549899999999</v>
      </c>
      <c r="Q6" s="429">
        <f>(P6-F6)/F6</f>
        <v>-0.15808192504103016</v>
      </c>
      <c r="R6" s="366"/>
      <c r="S6" s="357"/>
      <c r="T6" s="8"/>
      <c r="U6" s="8"/>
    </row>
    <row r="7" spans="1:21" s="7" customFormat="1" ht="17.25" customHeight="1">
      <c r="A7" s="368" t="str">
        <f>VLOOKUP($A$2,'Asset Attributes'!$B$3:$D$25,2,0)</f>
        <v>QLD2</v>
      </c>
      <c r="B7" s="368" t="s">
        <v>312</v>
      </c>
      <c r="E7" s="367" t="s">
        <v>311</v>
      </c>
      <c r="F7" s="518">
        <f>F6-$F$6</f>
        <v>0</v>
      </c>
      <c r="G7" s="518">
        <f t="shared" ref="G7:P7" si="1">G6-$F$6</f>
        <v>0</v>
      </c>
      <c r="H7" s="518">
        <f t="shared" si="1"/>
        <v>0</v>
      </c>
      <c r="I7" s="518">
        <f t="shared" si="1"/>
        <v>-9.9999999747524271E-6</v>
      </c>
      <c r="J7" s="518">
        <f>J6-$F$6</f>
        <v>-9.9999999747524271E-6</v>
      </c>
      <c r="K7" s="518">
        <f t="shared" si="1"/>
        <v>-176.67801000000009</v>
      </c>
      <c r="L7" s="518">
        <f t="shared" si="1"/>
        <v>-176.67801000000009</v>
      </c>
      <c r="M7" s="518">
        <f t="shared" si="1"/>
        <v>-176.67801000000009</v>
      </c>
      <c r="N7" s="518">
        <f t="shared" si="1"/>
        <v>-176.67801000000009</v>
      </c>
      <c r="O7" s="518">
        <f t="shared" si="1"/>
        <v>-297.05301000000009</v>
      </c>
      <c r="P7" s="518">
        <f t="shared" si="1"/>
        <v>-297.05301000000009</v>
      </c>
      <c r="Q7" s="490">
        <f>SUM(F7:P7)</f>
        <v>-1300.8180800000005</v>
      </c>
      <c r="R7" s="366"/>
      <c r="S7" s="357"/>
      <c r="T7" s="8"/>
      <c r="U7" s="8"/>
    </row>
    <row r="8" spans="1:21" s="7" customFormat="1" ht="17.25" customHeight="1">
      <c r="A8" s="419" t="s">
        <v>284</v>
      </c>
      <c r="B8" s="368" t="s">
        <v>313</v>
      </c>
      <c r="C8" s="2"/>
      <c r="D8" s="486">
        <f>(VLOOKUP($A$2,Assumptions!$B$69:$C$91,2,0))</f>
        <v>0</v>
      </c>
      <c r="E8" s="422" t="s">
        <v>314</v>
      </c>
      <c r="F8" s="519">
        <f>VLOOKUP($A$2,'Footprint Summary'!$B$33:$R$55,COLUMNS('Footprint Summary'!$B$33:F$55)+1,0)</f>
        <v>0</v>
      </c>
      <c r="G8" s="519">
        <f>VLOOKUP($A$2,'Footprint Summary'!$B$33:$R$55,COLUMNS('Footprint Summary'!$B$33:G$55)+1,0)</f>
        <v>0</v>
      </c>
      <c r="H8" s="519">
        <f>VLOOKUP($A$2,'Footprint Summary'!$B$33:$R$55,COLUMNS('Footprint Summary'!$B$33:H$55)+1,0)</f>
        <v>0</v>
      </c>
      <c r="I8" s="519">
        <f>VLOOKUP($A$2,'Footprint Summary'!$B$33:$R$55,COLUMNS('Footprint Summary'!$B$33:I$55)+1,0)</f>
        <v>0</v>
      </c>
      <c r="J8" s="519">
        <f>VLOOKUP($A$2,'Footprint Summary'!$B$33:$R$55,COLUMNS('Footprint Summary'!$B$33:J$55)+1,0)</f>
        <v>0</v>
      </c>
      <c r="K8" s="519">
        <f>VLOOKUP($A$2,'Footprint Summary'!$B$33:$R$55,COLUMNS('Footprint Summary'!$B$33:K$55)+1,0)</f>
        <v>0</v>
      </c>
      <c r="L8" s="519">
        <f>VLOOKUP($A$2,'Footprint Summary'!$B$33:$R$55,COLUMNS('Footprint Summary'!$B$33:L$55)+1,0)</f>
        <v>0</v>
      </c>
      <c r="M8" s="519">
        <f>VLOOKUP($A$2,'Footprint Summary'!$B$33:$R$55,COLUMNS('Footprint Summary'!$B$33:M$55)+1,0)</f>
        <v>0</v>
      </c>
      <c r="N8" s="519">
        <f>VLOOKUP($A$2,'Footprint Summary'!$B$33:$R$55,COLUMNS('Footprint Summary'!$B$33:N$55)+1,0)</f>
        <v>0</v>
      </c>
      <c r="O8" s="519">
        <f>VLOOKUP($A$2,'Footprint Summary'!$B$33:$R$55,COLUMNS('Footprint Summary'!$B$33:O$55)+1,0)</f>
        <v>0</v>
      </c>
      <c r="P8" s="519">
        <f>VLOOKUP($A$2,'Footprint Summary'!$B$33:$R$55,COLUMNS('Footprint Summary'!$B$33:P$55)+1,0)</f>
        <v>0</v>
      </c>
      <c r="Q8" s="429" t="e">
        <f>(P8-F8)/F8</f>
        <v>#DIV/0!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27"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QLD2</v>
      </c>
      <c r="B13" s="368" t="s">
        <v>317</v>
      </c>
      <c r="C13" s="367"/>
      <c r="D13" s="2"/>
      <c r="E13" s="367" t="s">
        <v>321</v>
      </c>
      <c r="F13" s="367">
        <f>VLOOKUP($A$2,'Footprint Summary'!$B$4:$R$26,COLUMNS('Footprint Summary'!$B$4:F$26)+1,0)*VLOOKUP($A$13,Assumptions!$A$4:$N$14,COLUMNS(Assumptions!$A$4:B$14)+1,0)</f>
        <v>1653.6150399999999</v>
      </c>
      <c r="G13" s="367">
        <f>VLOOKUP($A$2,'Footprint Summary'!$B$4:$R$26,COLUMNS('Footprint Summary'!$B$4:G$26)+1,0)*VLOOKUP($A$13,Assumptions!$A$4:$N$14,COLUMNS(Assumptions!$A$4:C$14)+1,0)</f>
        <v>826.80751999999995</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0</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c r="R14" s="366"/>
      <c r="S14" s="357"/>
      <c r="T14" s="8"/>
      <c r="U14" s="8"/>
    </row>
    <row r="15" spans="1:21" s="7" customFormat="1" ht="17.25" customHeight="1">
      <c r="A15" s="417" t="s">
        <v>319</v>
      </c>
      <c r="B15" s="417" t="s">
        <v>747</v>
      </c>
      <c r="C15" s="418"/>
      <c r="D15" s="418"/>
      <c r="E15" s="421" t="s">
        <v>321</v>
      </c>
      <c r="F15" s="517">
        <f>VLOOKUP($A$2,'Footprint Summary'!$B$216:$R$238,COLUMNS('Footprint Summary'!$B$216:F238)+1,0)-F24</f>
        <v>156.98270326973631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1810.5977432697362</v>
      </c>
      <c r="G16" s="434">
        <f t="shared" ref="G16:P16" si="4">SUM(G13:G15)</f>
        <v>826.80751999999995</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73.143643179677468</v>
      </c>
      <c r="G17" s="428">
        <f>1000*G16/(VLOOKUP($A$2,'Asset Attributes'!$B$3:$D$25,3,0))</f>
        <v>33.400966308475397</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f>1000*F13/(VLOOKUP($A$2,'Asset Attributes'!$B$3:$D$25,3,0))</f>
        <v>66.801932616950793</v>
      </c>
      <c r="G18" s="428">
        <f>1000*G13/(VLOOKUP($A$2,'Asset Attributes'!$B$3:$D$25,3,0))</f>
        <v>33.400966308475397</v>
      </c>
      <c r="H18" s="428">
        <f>1000*H13/(VLOOKUP($A$2,'Asset Attributes'!$B$3:$D$25,3,0))</f>
        <v>0</v>
      </c>
      <c r="I18" s="428">
        <f>1000*I13/(VLOOKUP($A$2,'Asset Attributes'!$B$3:$D$25,3,0))</f>
        <v>0</v>
      </c>
      <c r="J18" s="428">
        <f>1000*J13/(VLOOKUP($A$2,'Asset Attributes'!$B$3:$D$25,3,0))</f>
        <v>0</v>
      </c>
      <c r="K18" s="428">
        <f>1000*K13/(VLOOKUP($A$2,'Asset Attributes'!$B$3:$D$25,3,0))</f>
        <v>0</v>
      </c>
      <c r="L18" s="428">
        <f>1000*L13/(VLOOKUP($A$2,'Asset Attributes'!$B$3:$D$25,3,0))</f>
        <v>0</v>
      </c>
      <c r="M18" s="428">
        <f>1000*M13/(VLOOKUP($A$2,'Asset Attributes'!$B$3:$D$25,3,0))</f>
        <v>0</v>
      </c>
      <c r="N18" s="428">
        <f>1000*N13/(VLOOKUP($A$2,'Asset Attributes'!$B$3:$D$25,3,0))</f>
        <v>0</v>
      </c>
      <c r="O18" s="428">
        <f>1000*O13/(VLOOKUP($A$2,'Asset Attributes'!$B$3:$D$25,3,0))</f>
        <v>0</v>
      </c>
      <c r="P18" s="428">
        <f>1000*P13/(VLOOKUP($A$2,'Asset Attributes'!$B$3:$D$25,3,0))</f>
        <v>0</v>
      </c>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Summary'!$B$244:$R$266,COLUMNS('Footprint Summary'!$B$244:G$266)+1,0))</f>
        <v>0</v>
      </c>
      <c r="H20" s="499">
        <f>-1*(VLOOKUP($A$2,'Footprint Summary'!$B$244:$R$266,COLUMNS('Footprint Summary'!$B$244:H$266)+1,0))</f>
        <v>0</v>
      </c>
      <c r="I20" s="499">
        <f>-1*(VLOOKUP($A$2,'Footprint Summary'!$B$244:$R$266,COLUMNS('Footprint Summary'!$B$244:I$266)+1,0))</f>
        <v>5.4399999862653205E-6</v>
      </c>
      <c r="J20" s="499">
        <f>-1*(VLOOKUP($A$2,'Footprint Summary'!$B$244:$R$266,COLUMNS('Footprint Summary'!$B$244:J$266)+1,0))</f>
        <v>5.1099999870984907E-6</v>
      </c>
      <c r="K20" s="499">
        <f>-1*(VLOOKUP($A$2,'Footprint Summary'!$B$244:$R$266,COLUMNS('Footprint Summary'!$B$244:K$266)+1,0))</f>
        <v>85.158800820000039</v>
      </c>
      <c r="L20" s="499">
        <f>-1*(VLOOKUP($A$2,'Footprint Summary'!$B$244:$R$266,COLUMNS('Footprint Summary'!$B$244:L$266)+1,0))</f>
        <v>80.388494550000047</v>
      </c>
      <c r="M20" s="499">
        <f>-1*(VLOOKUP($A$2,'Footprint Summary'!$B$244:$R$266,COLUMNS('Footprint Summary'!$B$244:M$266)+1,0))</f>
        <v>75.79486629000003</v>
      </c>
      <c r="N20" s="499">
        <f>-1*(VLOOKUP($A$2,'Footprint Summary'!$B$244:$R$266,COLUMNS('Footprint Summary'!$B$244:N$266)+1,0))</f>
        <v>71.377916040000045</v>
      </c>
      <c r="O20" s="499">
        <f>-1*(VLOOKUP($A$2,'Footprint Summary'!$B$244:$R$266,COLUMNS('Footprint Summary'!$B$244:O$266)+1,0))</f>
        <v>113.47424982000004</v>
      </c>
      <c r="P20" s="499">
        <f>-1*(VLOOKUP($A$2,'Footprint Summary'!$B$244:$R$266,COLUMNS('Footprint Summary'!$B$244:P$266)+1,0))</f>
        <v>109.31550768000002</v>
      </c>
      <c r="Q20" s="499">
        <f>SUM(G20:P20)</f>
        <v>535.50984575000018</v>
      </c>
      <c r="R20" s="366"/>
      <c r="S20" s="357"/>
      <c r="T20" s="8"/>
      <c r="U20" s="8"/>
    </row>
    <row r="21" spans="1:21" s="7" customFormat="1" ht="19.5" customHeight="1">
      <c r="A21" s="368" t="str">
        <f>VLOOKUP($A$2,'Asset Attributes'!$B$3:$D$25,2,0)</f>
        <v>QLD2</v>
      </c>
      <c r="B21" s="368" t="s">
        <v>326</v>
      </c>
      <c r="E21" s="367" t="s">
        <v>321</v>
      </c>
      <c r="F21" s="499">
        <f>-1*(VLOOKUP($A$2,'Footprint Summary'!$B$302:$R$324,COLUMNS('Footprint Summary'!$B$302:F324)+1,0))</f>
        <v>0</v>
      </c>
      <c r="G21" s="499">
        <f>-1*(VLOOKUP($A$2,'Footprint Summary'!$B$302:$R$324,COLUMNS('Footprint Summary'!$B$302:G324)+1,0))</f>
        <v>826.80751999999995</v>
      </c>
      <c r="H21" s="499">
        <f>-1*(VLOOKUP($A$2,'Footprint Summary'!$B$302:$R$324,COLUMNS('Footprint Summary'!$B$302:H324)+1,0))</f>
        <v>1155.6514199999999</v>
      </c>
      <c r="I21" s="499">
        <f>-1*(VLOOKUP($A$2,'Footprint Summary'!$B$302:$R$324,COLUMNS('Footprint Summary'!$B$302:I324)+1,0))</f>
        <v>1022.2347465600001</v>
      </c>
      <c r="J21" s="499">
        <f>-1*(VLOOKUP($A$2,'Footprint Summary'!$B$302:$R$324,COLUMNS('Footprint Summary'!$B$302:J324)+1,0))</f>
        <v>960.22418288999995</v>
      </c>
      <c r="K21" s="499">
        <f>-1*(VLOOKUP($A$2,'Footprint Summary'!$B$302:$R$324,COLUMNS('Footprint Summary'!$B$302:K324)+1,0))</f>
        <v>820.57125517999987</v>
      </c>
      <c r="L21" s="499">
        <f>-1*(VLOOKUP($A$2,'Footprint Summary'!$B$302:$R$324,COLUMNS('Footprint Summary'!$B$302:L324)+1,0))</f>
        <v>774.60564545</v>
      </c>
      <c r="M21" s="499">
        <f>-1*(VLOOKUP($A$2,'Footprint Summary'!$B$302:$R$324,COLUMNS('Footprint Summary'!$B$302:M324)+1,0))</f>
        <v>730.34246570999994</v>
      </c>
      <c r="N21" s="499">
        <f>-1*(VLOOKUP($A$2,'Footprint Summary'!$B$302:$R$324,COLUMNS('Footprint Summary'!$B$302:N324)+1,0))</f>
        <v>687.78171596000004</v>
      </c>
      <c r="O21" s="499">
        <f>-1*(VLOOKUP($A$2,'Footprint Summary'!$B$302:$R$324,COLUMNS('Footprint Summary'!$B$302:O324)+1,0))</f>
        <v>604.34500617999993</v>
      </c>
      <c r="P21" s="499">
        <f>-1*(VLOOKUP($A$2,'Footprint Summary'!$B$302:$R$324,COLUMNS('Footprint Summary'!$B$302:P324)+1,0))</f>
        <v>582.19623631999991</v>
      </c>
      <c r="Q21" s="499">
        <f t="shared" ref="Q21:Q27" si="6">SUM(G21:P21)</f>
        <v>8164.7601942500005</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0</v>
      </c>
      <c r="H22" s="499">
        <f>(VLOOKUP($A$2,'Footprint Summary'!$B$33:$R$55,COLUMNS('Footprint Summary'!$B$33:H$55)+1,0)*VLOOKUP($B$14,Assumptions!$B$17:$N$29,COLUMNS(Assumptions!$B$18:D$29)+1,0)/1000)</f>
        <v>0</v>
      </c>
      <c r="I22" s="499">
        <f>(VLOOKUP($A$2,'Footprint Summary'!$B$33:$R$55,COLUMNS('Footprint Summary'!$B$33:I$55)+1,0)*VLOOKUP($B$14,Assumptions!$B$17:$N$29,COLUMNS(Assumptions!$B$18:E$29)+1,0)/1000)</f>
        <v>0</v>
      </c>
      <c r="J22" s="499">
        <f>(VLOOKUP($A$2,'Footprint Summary'!$B$33:$R$55,COLUMNS('Footprint Summary'!$B$33:J$55)+1,0)*VLOOKUP($B$14,Assumptions!$B$17:$N$29,COLUMNS(Assumptions!$B$18:F$29)+1,0)/1000)</f>
        <v>0</v>
      </c>
      <c r="K22" s="499">
        <f>(VLOOKUP($A$2,'Footprint Summary'!$B$33:$R$55,COLUMNS('Footprint Summary'!$B$33:K$55)+1,0)*VLOOKUP($B$14,Assumptions!$B$17:$N$29,COLUMNS(Assumptions!$B$18:G$29)+1,0)/1000)</f>
        <v>0</v>
      </c>
      <c r="L22" s="499">
        <f>(VLOOKUP($A$2,'Footprint Summary'!$B$33:$R$55,COLUMNS('Footprint Summary'!$B$33:L$55)+1,0)*VLOOKUP($B$14,Assumptions!$B$17:$N$29,COLUMNS(Assumptions!$B$18:H$29)+1,0)/1000)</f>
        <v>0</v>
      </c>
      <c r="M22" s="499">
        <f>(VLOOKUP($A$2,'Footprint Summary'!$B$33:$R$55,COLUMNS('Footprint Summary'!$B$33:M$55)+1,0)*VLOOKUP($B$14,Assumptions!$B$17:$N$29,COLUMNS(Assumptions!$B$18:I$29)+1,0)/1000)</f>
        <v>0</v>
      </c>
      <c r="N22" s="499">
        <f>(VLOOKUP($A$2,'Footprint Summary'!$B$33:$R$55,COLUMNS('Footprint Summary'!$B$33:N$55)+1,0)*VLOOKUP($B$14,Assumptions!$B$17:$N$29,COLUMNS(Assumptions!$B$18:J$29)+1,0)/1000)</f>
        <v>0</v>
      </c>
      <c r="O22" s="499">
        <f>(VLOOKUP($A$2,'Footprint Summary'!$B$33:$R$55,COLUMNS('Footprint Summary'!$B$33:O$55)+1,0)*VLOOKUP($B$14,Assumptions!$B$17:$N$29,COLUMNS(Assumptions!$B$18:K$29)+1,0)/1000)</f>
        <v>0</v>
      </c>
      <c r="P22" s="499">
        <f>(VLOOKUP($A$2,'Footprint Summary'!$B$33:$R$55,COLUMNS('Footprint Summary'!$B$33:P$55)+1,0)*VLOOKUP($B$14,Assumptions!$B$17:$N$29,COLUMNS(Assumptions!$B$18:L$29)+1,0)/1000)</f>
        <v>0</v>
      </c>
      <c r="Q22" s="499">
        <f t="shared" si="6"/>
        <v>0</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141.69279965921004</v>
      </c>
      <c r="H24" s="499">
        <f>VLOOKUP($A$2,'Footprint Summary'!$B$216:$R$238,COLUMNS('Footprint Summary'!$B$216:H238)+1,0)</f>
        <v>126.40289604868379</v>
      </c>
      <c r="I24" s="499">
        <f>VLOOKUP($A$2,'Footprint Summary'!$B$216:$R$238,COLUMNS('Footprint Summary'!$B$216:I238)+1,0)</f>
        <v>111.11299243815752</v>
      </c>
      <c r="J24" s="499">
        <f>VLOOKUP($A$2,'Footprint Summary'!$B$216:$R$238,COLUMNS('Footprint Summary'!$B$216:J238)+1,0)</f>
        <v>95.823088827631253</v>
      </c>
      <c r="K24" s="499">
        <f>VLOOKUP($A$2,'Footprint Summary'!$B$216:$R$238,COLUMNS('Footprint Summary'!$B$216:K238)+1,0)</f>
        <v>80.533185217104986</v>
      </c>
      <c r="L24" s="499">
        <f>VLOOKUP($A$2,'Footprint Summary'!$B$216:$R$238,COLUMNS('Footprint Summary'!$B$216:L238)+1,0)</f>
        <v>65.243281606578734</v>
      </c>
      <c r="M24" s="499">
        <f>VLOOKUP($A$2,'Footprint Summary'!$B$216:$R$238,COLUMNS('Footprint Summary'!$B$216:M238)+1,0)</f>
        <v>49.953377996052467</v>
      </c>
      <c r="N24" s="499">
        <f>VLOOKUP($A$2,'Footprint Summary'!$B$216:$R$238,COLUMNS('Footprint Summary'!$B$216:N238)+1,0)</f>
        <v>34.663474385526214</v>
      </c>
      <c r="O24" s="499">
        <f>VLOOKUP($A$2,'Footprint Summary'!$B$216:$R$238,COLUMNS('Footprint Summary'!$B$216:O238)+1,0)</f>
        <v>19.373570774999951</v>
      </c>
      <c r="P24" s="499">
        <f>VLOOKUP($A$2,'Footprint Summary'!$B$216:$R$238,COLUMNS('Footprint Summary'!$B$216:P238)+1,0)</f>
        <v>19.373570775000001</v>
      </c>
      <c r="Q24" s="499">
        <f t="shared" si="6"/>
        <v>744.17223772894499</v>
      </c>
      <c r="R24" s="366"/>
      <c r="S24" s="357"/>
      <c r="T24" s="8"/>
      <c r="U24" s="8"/>
    </row>
    <row r="25" spans="1:21" s="7" customFormat="1" ht="19.5" customHeight="1">
      <c r="A25" s="658" t="s">
        <v>319</v>
      </c>
      <c r="B25" s="658" t="s">
        <v>319</v>
      </c>
      <c r="C25" s="659"/>
      <c r="D25" s="659"/>
      <c r="E25" s="660" t="s">
        <v>321</v>
      </c>
      <c r="F25" s="656">
        <f>VLOOKUP($A$2,'Footprint Summary'!$B$216:$R$238,COLUMNS('Footprint Summary'!$B$216:F238)+1,0)-F24</f>
        <v>156.98270326973631</v>
      </c>
      <c r="G25" s="656">
        <f>VLOOKUP($A$2,'Footprint Summary'!$B$216:$R$238,COLUMNS('Footprint Summary'!$B$216:G238)+1,0)-G24</f>
        <v>0</v>
      </c>
      <c r="H25" s="656">
        <f>VLOOKUP($A$2,'Footprint Summary'!$B$216:$R$238,COLUMNS('Footprint Summary'!$B$216:H238)+1,0)-H24</f>
        <v>0</v>
      </c>
      <c r="I25" s="656">
        <f>VLOOKUP($A$2,'Footprint Summary'!$B$216:$R$238,COLUMNS('Footprint Summary'!$B$216:I238)+1,0)-I24</f>
        <v>0</v>
      </c>
      <c r="J25" s="656">
        <f>VLOOKUP($A$2,'Footprint Summary'!$B$216:$R$238,COLUMNS('Footprint Summary'!$B$216:J238)+1,0)-J24</f>
        <v>0</v>
      </c>
      <c r="K25" s="656">
        <f>VLOOKUP($A$2,'Footprint Summary'!$B$216:$R$238,COLUMNS('Footprint Summary'!$B$216:K238)+1,0)-K24</f>
        <v>0</v>
      </c>
      <c r="L25" s="656">
        <f>VLOOKUP($A$2,'Footprint Summary'!$B$216:$R$238,COLUMNS('Footprint Summary'!$B$216:L238)+1,0)-L24</f>
        <v>0</v>
      </c>
      <c r="M25" s="656">
        <f>VLOOKUP($A$2,'Footprint Summary'!$B$216:$R$238,COLUMNS('Footprint Summary'!$B$216:M238)+1,0)-M24</f>
        <v>0</v>
      </c>
      <c r="N25" s="656">
        <f>VLOOKUP($A$2,'Footprint Summary'!$B$216:$R$238,COLUMNS('Footprint Summary'!$B$216:N238)+1,0)-N24</f>
        <v>0</v>
      </c>
      <c r="O25" s="656">
        <f>VLOOKUP($A$2,'Footprint Summary'!$B$216:$R$238,COLUMNS('Footprint Summary'!$B$216:O238)+1,0)-O24</f>
        <v>0</v>
      </c>
      <c r="P25" s="656">
        <f>VLOOKUP($A$2,'Footprint Summary'!$B$216:$R$238,COLUMNS('Footprint Summary'!$B$216:P238)+1,0)-P24</f>
        <v>0</v>
      </c>
      <c r="Q25" s="656">
        <f t="shared" si="6"/>
        <v>0</v>
      </c>
      <c r="R25" s="366"/>
      <c r="S25" s="357"/>
      <c r="T25" s="8"/>
      <c r="U25" s="8"/>
    </row>
    <row r="26" spans="1:21" s="7" customFormat="1" ht="19.5" customHeight="1">
      <c r="A26" s="658" t="s">
        <v>284</v>
      </c>
      <c r="B26" s="661" t="s">
        <v>285</v>
      </c>
      <c r="C26" s="659"/>
      <c r="D26" s="659"/>
      <c r="E26" s="660" t="s">
        <v>321</v>
      </c>
      <c r="F26" s="656">
        <f>(VLOOKUP($A$2,'Footprint Summary'!$B$33:$R$55,COLUMNS('Footprint Summary'!$B$33:F$55)+1,0)*VLOOKUP($B$14,Assumptions!$B$17:$N$29,COLUMNS(Assumptions!$B$18:B$29)+1,0)/1000)-F22</f>
        <v>0</v>
      </c>
      <c r="G26" s="656">
        <f>(VLOOKUP($A$2,'Footprint Summary'!$B$33:$R$55,COLUMNS('Footprint Summary'!$B$33:G$55)+1,0)*VLOOKUP($B$14,Assumptions!$B$17:$N$29,COLUMNS(Assumptions!$B$18:C$29)+1,0)/1000)-G22</f>
        <v>0</v>
      </c>
      <c r="H26" s="656">
        <f>(VLOOKUP($A$2,'Footprint Summary'!$B$33:$R$55,COLUMNS('Footprint Summary'!$B$33:H$55)+1,0)*VLOOKUP($B$14,Assumptions!$B$17:$N$29,COLUMNS(Assumptions!$B$18:D$29)+1,0)/1000)-H22</f>
        <v>0</v>
      </c>
      <c r="I26" s="656">
        <f>(VLOOKUP($A$2,'Footprint Summary'!$B$33:$R$55,COLUMNS('Footprint Summary'!$B$33:I$55)+1,0)*VLOOKUP($B$14,Assumptions!$B$17:$N$29,COLUMNS(Assumptions!$B$18:E$29)+1,0)/1000)-I22</f>
        <v>0</v>
      </c>
      <c r="J26" s="656">
        <f>(VLOOKUP($A$2,'Footprint Summary'!$B$33:$R$55,COLUMNS('Footprint Summary'!$B$33:J$55)+1,0)*VLOOKUP($B$14,Assumptions!$B$17:$N$29,COLUMNS(Assumptions!$B$18:F$29)+1,0)/1000)-J22</f>
        <v>0</v>
      </c>
      <c r="K26" s="656">
        <f>(VLOOKUP($A$2,'Footprint Summary'!$B$33:$R$55,COLUMNS('Footprint Summary'!$B$33:K$55)+1,0)*VLOOKUP($B$14,Assumptions!$B$17:$N$29,COLUMNS(Assumptions!$B$18:G$29)+1,0)/1000)-K22</f>
        <v>0</v>
      </c>
      <c r="L26" s="656">
        <f>(VLOOKUP($A$2,'Footprint Summary'!$B$33:$R$55,COLUMNS('Footprint Summary'!$B$33:L$55)+1,0)*VLOOKUP($B$14,Assumptions!$B$17:$N$29,COLUMNS(Assumptions!$B$18:H$29)+1,0)/1000)-L22</f>
        <v>0</v>
      </c>
      <c r="M26" s="656">
        <f>(VLOOKUP($A$2,'Footprint Summary'!$B$33:$R$55,COLUMNS('Footprint Summary'!$B$33:M$55)+1,0)*VLOOKUP($B$14,Assumptions!$B$17:$N$29,COLUMNS(Assumptions!$B$18:I$29)+1,0)/1000)-M22</f>
        <v>0</v>
      </c>
      <c r="N26" s="656">
        <f>(VLOOKUP($A$2,'Footprint Summary'!$B$33:$R$55,COLUMNS('Footprint Summary'!$B$33:N$55)+1,0)*VLOOKUP($B$14,Assumptions!$B$17:$N$29,COLUMNS(Assumptions!$B$18:J$29)+1,0)/1000)-N22</f>
        <v>0</v>
      </c>
      <c r="O26" s="656">
        <f>(VLOOKUP($A$2,'Footprint Summary'!$B$33:$R$55,COLUMNS('Footprint Summary'!$B$33:O$55)+1,0)*VLOOKUP($B$14,Assumptions!$B$17:$N$29,COLUMNS(Assumptions!$B$18:K$29)+1,0)/1000)-O22</f>
        <v>0</v>
      </c>
      <c r="P26" s="656">
        <f>(VLOOKUP($A$2,'Footprint Summary'!$B$33:$R$55,COLUMNS('Footprint Summary'!$B$33:P$55)+1,0)*VLOOKUP($B$14,Assumptions!$B$17:$N$29,COLUMNS(Assumptions!$B$18:L$29)+1,0)/1000)-P22</f>
        <v>0</v>
      </c>
      <c r="Q26" s="656">
        <f t="shared" si="6"/>
        <v>0</v>
      </c>
      <c r="R26" s="366"/>
      <c r="S26" s="357"/>
      <c r="T26" s="8"/>
      <c r="U26" s="8"/>
    </row>
    <row r="27" spans="1:21" s="7" customFormat="1" ht="19.5" customHeight="1">
      <c r="A27" s="661" t="str">
        <f>VLOOKUP($A$2,'Asset Attributes'!$B$3:$D$25,2,0)</f>
        <v>QLD2</v>
      </c>
      <c r="B27" s="661" t="s">
        <v>330</v>
      </c>
      <c r="C27" s="659"/>
      <c r="D27" s="659"/>
      <c r="E27" s="660" t="s">
        <v>321</v>
      </c>
      <c r="F27" s="657">
        <f>VLOOKUP($A$2,'Footprint Summary'!$B$4:$R$26,COLUMNS('Footprint Summary'!$B$4:F$26)+1,0)*VLOOKUP($A$13,Assumptions!$A$4:$N$14,COLUMNS(Assumptions!$A$4:B$14)+1,0)</f>
        <v>1653.6150399999999</v>
      </c>
      <c r="G27" s="656">
        <f>VLOOKUP($A$2,'Footprint Summary'!$B$4:$R$26,COLUMNS('Footprint Summary'!$B$4:G$26)+1,0)*VLOOKUP($A$13,Assumptions!$A$4:$N$14,COLUMNS(Assumptions!$A$4:C$14)+1,0)</f>
        <v>826.80751999999995</v>
      </c>
      <c r="H27" s="656">
        <f>VLOOKUP($A$2,'Footprint Summary'!$B$4:$R$26,COLUMNS('Footprint Summary'!$B$4:H$26)+1,0)*VLOOKUP($A$13,Assumptions!$A$4:$N$14,COLUMNS(Assumptions!$A$4:D$14)+1,0)</f>
        <v>0</v>
      </c>
      <c r="I27" s="656">
        <f>VLOOKUP($A$2,'Footprint Summary'!$B$4:$R$26,COLUMNS('Footprint Summary'!$B$4:I$26)+1,0)*VLOOKUP($A$13,Assumptions!$A$4:$N$14,COLUMNS(Assumptions!$A$4:E$14)+1,0)</f>
        <v>0</v>
      </c>
      <c r="J27" s="656">
        <f>VLOOKUP($A$2,'Footprint Summary'!$B$4:$R$26,COLUMNS('Footprint Summary'!$B$4:J$26)+1,0)*VLOOKUP($A$13,Assumptions!$A$4:$N$14,COLUMNS(Assumptions!$A$4:F$14)+1,0)</f>
        <v>0</v>
      </c>
      <c r="K27" s="656">
        <f>VLOOKUP($A$2,'Footprint Summary'!$B$4:$R$26,COLUMNS('Footprint Summary'!$B$4:K$26)+1,0)*VLOOKUP($A$13,Assumptions!$A$4:$N$14,COLUMNS(Assumptions!$A$4:G$14)+1,0)</f>
        <v>0</v>
      </c>
      <c r="L27" s="656">
        <f>VLOOKUP($A$2,'Footprint Summary'!$B$4:$R$26,COLUMNS('Footprint Summary'!$B$4:L$26)+1,0)*VLOOKUP($A$13,Assumptions!$A$4:$N$14,COLUMNS(Assumptions!$A$4:H$14)+1,0)</f>
        <v>0</v>
      </c>
      <c r="M27" s="656">
        <f>VLOOKUP($A$2,'Footprint Summary'!$B$4:$R$26,COLUMNS('Footprint Summary'!$B$4:M$26)+1,0)*VLOOKUP($A$13,Assumptions!$A$4:$N$14,COLUMNS(Assumptions!$A$4:I$14)+1,0)</f>
        <v>0</v>
      </c>
      <c r="N27" s="656">
        <f>VLOOKUP($A$2,'Footprint Summary'!$B$4:$R$26,COLUMNS('Footprint Summary'!$B$4:N$26)+1,0)*VLOOKUP($A$13,Assumptions!$A$4:$N$14,COLUMNS(Assumptions!$A$4:J$14)+1,0)</f>
        <v>0</v>
      </c>
      <c r="O27" s="656">
        <f>VLOOKUP($A$2,'Footprint Summary'!$B$4:$R$26,COLUMNS('Footprint Summary'!$B$4:O$26)+1,0)*VLOOKUP($A$13,Assumptions!$A$4:$N$14,COLUMNS(Assumptions!$A$4:K$14)+1,0)</f>
        <v>0</v>
      </c>
      <c r="P27" s="656">
        <f>VLOOKUP($A$2,'Footprint Summary'!$B$4:$R$26,COLUMNS('Footprint Summary'!$B$4:P$26)+1,0)*VLOOKUP($A$13,Assumptions!$A$4:$N$14,COLUMNS(Assumptions!$A$4:L$14)+1,0)</f>
        <v>0</v>
      </c>
      <c r="Q27" s="656">
        <f t="shared" si="6"/>
        <v>826.80751999999995</v>
      </c>
      <c r="R27" s="366"/>
      <c r="S27" s="357"/>
      <c r="T27" s="8"/>
      <c r="U27" s="8"/>
    </row>
    <row r="28" spans="1:21" s="7" customFormat="1" ht="19.5" customHeight="1" thickBot="1">
      <c r="E28" s="425" t="s">
        <v>321</v>
      </c>
      <c r="F28" s="434">
        <f>SUM(F20:F24)</f>
        <v>0</v>
      </c>
      <c r="G28" s="434">
        <f>SUM(G20:G24)</f>
        <v>968.50031965920994</v>
      </c>
      <c r="H28" s="434">
        <f>SUM(H20:H24)</f>
        <v>1282.0543160486836</v>
      </c>
      <c r="I28" s="434">
        <f t="shared" ref="I28:Q28" si="7">SUM(I20:I24)</f>
        <v>1133.3477444381576</v>
      </c>
      <c r="J28" s="434">
        <f t="shared" si="7"/>
        <v>1056.0472768276311</v>
      </c>
      <c r="K28" s="434">
        <f t="shared" si="7"/>
        <v>986.26324121710491</v>
      </c>
      <c r="L28" s="434">
        <f t="shared" si="7"/>
        <v>920.23742160657878</v>
      </c>
      <c r="M28" s="434">
        <f t="shared" si="7"/>
        <v>856.09070999605251</v>
      </c>
      <c r="N28" s="434">
        <f t="shared" si="7"/>
        <v>793.82310638552633</v>
      </c>
      <c r="O28" s="434">
        <f t="shared" si="7"/>
        <v>737.19282677499996</v>
      </c>
      <c r="P28" s="434">
        <f t="shared" si="7"/>
        <v>710.88531477499987</v>
      </c>
      <c r="Q28" s="434">
        <f t="shared" si="7"/>
        <v>9444.4422777289456</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8">G55</f>
        <v>CURRENT</v>
      </c>
      <c r="H30" s="200" t="str">
        <f t="shared" si="8"/>
        <v>FY25</v>
      </c>
      <c r="I30" s="200" t="str">
        <f t="shared" si="8"/>
        <v>FY26</v>
      </c>
      <c r="J30" s="200" t="str">
        <f t="shared" si="8"/>
        <v>FY27</v>
      </c>
      <c r="K30" s="200" t="str">
        <f t="shared" si="8"/>
        <v>FY28</v>
      </c>
      <c r="L30" s="200" t="str">
        <f t="shared" si="8"/>
        <v>FY29</v>
      </c>
      <c r="M30" s="200" t="str">
        <f t="shared" si="8"/>
        <v>FY30</v>
      </c>
      <c r="N30" s="200" t="str">
        <f t="shared" si="8"/>
        <v>FY31</v>
      </c>
      <c r="O30" s="200" t="str">
        <f t="shared" si="8"/>
        <v>FY32</v>
      </c>
      <c r="P30" s="200" t="str">
        <f t="shared" si="8"/>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297705.61000000004</v>
      </c>
      <c r="G32" s="424">
        <f>VLOOKUP($A$2,'Costs Summary'!$B$154:$R$176,COLUMNS('Costs Summary'!$B$154:G$176)+1,0)</f>
        <v>394193.87325785292</v>
      </c>
      <c r="H32" s="424">
        <f>VLOOKUP($A$2,'Costs Summary'!$B$154:$R$176,COLUMNS('Costs Summary'!$B$154:H$176)+1,0)</f>
        <v>407990.65882187773</v>
      </c>
      <c r="I32" s="424">
        <f>VLOOKUP($A$2,'Costs Summary'!$B$154:$R$176,COLUMNS('Costs Summary'!$B$154:I$176)+1,0)</f>
        <v>422270.33188064338</v>
      </c>
      <c r="J32" s="424">
        <f>VLOOKUP($A$2,'Costs Summary'!$B$154:$R$176,COLUMNS('Costs Summary'!$B$154:J$176)+1,0)</f>
        <v>437049.79349646589</v>
      </c>
      <c r="K32" s="424">
        <f>VLOOKUP($A$2,'Costs Summary'!$B$154:$R$176,COLUMNS('Costs Summary'!$B$154:K$176)+1,0)</f>
        <v>452346.53626884217</v>
      </c>
      <c r="L32" s="424">
        <f>VLOOKUP($A$2,'Costs Summary'!$B$154:$R$176,COLUMNS('Costs Summary'!$B$154:L$176)+1,0)</f>
        <v>468178.66503825161</v>
      </c>
      <c r="M32" s="424">
        <f>VLOOKUP($A$2,'Costs Summary'!$B$154:$R$176,COLUMNS('Costs Summary'!$B$154:M$176)+1,0)</f>
        <v>484564.91831459041</v>
      </c>
      <c r="N32" s="424">
        <f>VLOOKUP($A$2,'Costs Summary'!$B$154:$R$176,COLUMNS('Costs Summary'!$B$154:N$176)+1,0)</f>
        <v>581477.90197750845</v>
      </c>
      <c r="O32" s="424">
        <f>VLOOKUP($A$2,'Costs Summary'!$B$154:$R$176,COLUMNS('Costs Summary'!$B$154:O$176)+1,0)</f>
        <v>601829.62854672119</v>
      </c>
      <c r="P32" s="424">
        <f>VLOOKUP($A$2,'Costs Summary'!$B$154:$R$176,COLUMNS('Costs Summary'!$B$154:P$176)+1,0)</f>
        <v>622893.66554585635</v>
      </c>
      <c r="Q32" s="433">
        <f>SUM(G32:P32)</f>
        <v>4872795.9731486104</v>
      </c>
      <c r="R32" s="366"/>
      <c r="S32" s="357"/>
      <c r="T32" s="8"/>
      <c r="U32" s="8"/>
    </row>
    <row r="33" spans="1:21" s="7" customFormat="1" ht="17.25" customHeight="1">
      <c r="A33" s="368" t="s">
        <v>284</v>
      </c>
      <c r="B33" s="368" t="s">
        <v>335</v>
      </c>
      <c r="C33" s="423"/>
      <c r="D33" s="423"/>
      <c r="E33" s="423"/>
      <c r="F33" s="424">
        <f>VLOOKUP($A$2,'Costs Summary'!$B$183:$R$205,COLUMNS('Costs Summary'!$B$183:F$205)+1,0)</f>
        <v>0</v>
      </c>
      <c r="G33" s="424">
        <f>VLOOKUP($A$2,'Costs Summary'!$B$183:$R$205,COLUMNS('Costs Summary'!$B$183:G$205)+1,0)</f>
        <v>0</v>
      </c>
      <c r="H33" s="424">
        <f>VLOOKUP($A$2,'Costs Summary'!$B$183:$R$205,COLUMNS('Costs Summary'!$B$183:H$205)+1,0)</f>
        <v>0</v>
      </c>
      <c r="I33" s="424">
        <f>VLOOKUP($A$2,'Costs Summary'!$B$183:$R$205,COLUMNS('Costs Summary'!$B$183:I$205)+1,0)</f>
        <v>0</v>
      </c>
      <c r="J33" s="424">
        <f>VLOOKUP($A$2,'Costs Summary'!$B$183:$R$205,COLUMNS('Costs Summary'!$B$183:J$205)+1,0)</f>
        <v>0</v>
      </c>
      <c r="K33" s="424">
        <f>VLOOKUP($A$2,'Costs Summary'!$B$183:$R$205,COLUMNS('Costs Summary'!$B$183:K$205)+1,0)</f>
        <v>0</v>
      </c>
      <c r="L33" s="424">
        <f>VLOOKUP($A$2,'Costs Summary'!$B$183:$R$205,COLUMNS('Costs Summary'!$B$183:L$205)+1,0)</f>
        <v>0</v>
      </c>
      <c r="M33" s="424">
        <f>VLOOKUP($A$2,'Costs Summary'!$B$183:$R$205,COLUMNS('Costs Summary'!$B$183:M$205)+1,0)</f>
        <v>0</v>
      </c>
      <c r="N33" s="424">
        <f>VLOOKUP($A$2,'Costs Summary'!$B$183:$R$205,COLUMNS('Costs Summary'!$B$183:N$205)+1,0)</f>
        <v>0</v>
      </c>
      <c r="O33" s="424">
        <f>VLOOKUP($A$2,'Costs Summary'!$B$183:$R$205,COLUMNS('Costs Summary'!$B$183:O$205)+1,0)</f>
        <v>0</v>
      </c>
      <c r="P33" s="424">
        <f>VLOOKUP($A$2,'Costs Summary'!$B$183:$R$205,COLUMNS('Costs Summary'!$B$183:P$205)+1,0)</f>
        <v>0</v>
      </c>
      <c r="Q33" s="433">
        <f>SUM(G33:P33)</f>
        <v>0</v>
      </c>
      <c r="R33" s="366"/>
      <c r="S33" s="357"/>
      <c r="T33" s="8"/>
      <c r="U33" s="8"/>
    </row>
    <row r="34" spans="1:21" s="7" customFormat="1" ht="17.25" customHeight="1">
      <c r="A34" s="368" t="s">
        <v>284</v>
      </c>
      <c r="B34" s="368" t="s">
        <v>336</v>
      </c>
      <c r="H34" s="424">
        <f>VLOOKUP($A$2,'Costs Summary'!$B$241:$R$263,COLUMNS('Costs Summary'!$B$241:H263)+1,1)</f>
        <v>0</v>
      </c>
      <c r="I34" s="424">
        <f>VLOOKUP($A$2,'Costs Summary'!$B$241:$R$263,COLUMNS('Costs Summary'!$B$241:I263)+1,0)</f>
        <v>0</v>
      </c>
      <c r="J34" s="424">
        <f>VLOOKUP($A$2,'Costs Summary'!$B$241:$R$263,COLUMNS('Costs Summary'!$B$241:J263)+1,0)</f>
        <v>0</v>
      </c>
      <c r="K34" s="424">
        <f>VLOOKUP($A$2,'Costs Summary'!$B$241:$R$263,COLUMNS('Costs Summary'!$B$241:K263)+1,0)</f>
        <v>0</v>
      </c>
      <c r="L34" s="424">
        <f>VLOOKUP($A$2,'Costs Summary'!$B$241:$R$263,COLUMNS('Costs Summary'!$B$241:L263)+1,0)</f>
        <v>0</v>
      </c>
      <c r="M34" s="424">
        <f>VLOOKUP($A$2,'Costs Summary'!$B$241:$R$263,COLUMNS('Costs Summary'!$B$241:M263)+1,0)</f>
        <v>0</v>
      </c>
      <c r="N34" s="424">
        <f>VLOOKUP($A$2,'Costs Summary'!$B$241:$R$263,COLUMNS('Costs Summary'!$B$241:N263)+1,0)</f>
        <v>0</v>
      </c>
      <c r="O34" s="424">
        <f>VLOOKUP($A$2,'Costs Summary'!$B$241:$R$263,COLUMNS('Costs Summary'!$B$241:O263)+1,0)</f>
        <v>0</v>
      </c>
      <c r="P34" s="424">
        <f>VLOOKUP($A$2,'Costs Summary'!$B$241:$R$263,COLUMNS('Costs Summary'!$B$241:P263)+1,0)</f>
        <v>0</v>
      </c>
      <c r="Q34" s="433">
        <f>SUM(G34:P34)</f>
        <v>0</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7584.1737629210274</v>
      </c>
      <c r="I35" s="424">
        <f>VLOOKUP($A$2,'Costs Summary'!$B$212:$R$234,COLUMNS('Costs Summary'!$B$212:I$234)+1,0)</f>
        <v>6666.779546289451</v>
      </c>
      <c r="J35" s="424">
        <f>VLOOKUP($A$2,'Costs Summary'!$B$212:$R$234,COLUMNS('Costs Summary'!$B$212:J$234)+1,0)</f>
        <v>5749.3853296578754</v>
      </c>
      <c r="K35" s="424">
        <f>VLOOKUP($A$2,'Costs Summary'!$B$212:$R$234,COLUMNS('Costs Summary'!$B$212:K$234)+1,0)</f>
        <v>4831.991113026299</v>
      </c>
      <c r="L35" s="424">
        <f>VLOOKUP($A$2,'Costs Summary'!$B$212:$R$234,COLUMNS('Costs Summary'!$B$212:L$234)+1,0)</f>
        <v>3914.5968963947239</v>
      </c>
      <c r="M35" s="424">
        <f>VLOOKUP($A$2,'Costs Summary'!$B$212:$R$234,COLUMNS('Costs Summary'!$B$212:M$234)+1,0)</f>
        <v>2997.2026797631479</v>
      </c>
      <c r="N35" s="424">
        <f>VLOOKUP($A$2,'Costs Summary'!$B$212:$R$234,COLUMNS('Costs Summary'!$B$212:N$234)+1,0)</f>
        <v>2079.8084631315728</v>
      </c>
      <c r="O35" s="424">
        <f>VLOOKUP($A$2,'Costs Summary'!$B$212:$R$234,COLUMNS('Costs Summary'!$B$212:O$234)+1,0)</f>
        <v>1162.414246499997</v>
      </c>
      <c r="P35" s="424">
        <f>VLOOKUP($A$2,'Costs Summary'!$B$212:$R$234,COLUMNS('Costs Summary'!$B$212:P$234)+1,0)</f>
        <v>1162.4142465</v>
      </c>
      <c r="Q35" s="433">
        <f>SUM(G35:P35)</f>
        <v>36148.766284184094</v>
      </c>
      <c r="R35" s="366"/>
      <c r="S35" s="357"/>
      <c r="T35" s="8"/>
      <c r="U35" s="8"/>
    </row>
    <row r="36" spans="1:21" s="7" customFormat="1" ht="17.25" customHeight="1" thickBot="1">
      <c r="A36" s="437" t="s">
        <v>338</v>
      </c>
      <c r="C36" s="423"/>
      <c r="D36" s="423"/>
      <c r="E36" s="368" t="s">
        <v>669</v>
      </c>
      <c r="F36" s="461">
        <f t="shared" ref="F36:P36" si="9">SUM(F32:F35)</f>
        <v>297705.61000000004</v>
      </c>
      <c r="G36" s="461">
        <f t="shared" si="9"/>
        <v>394193.87325785292</v>
      </c>
      <c r="H36" s="461">
        <f t="shared" si="9"/>
        <v>415574.83258479874</v>
      </c>
      <c r="I36" s="461">
        <f t="shared" si="9"/>
        <v>428937.11142693285</v>
      </c>
      <c r="J36" s="461">
        <f t="shared" si="9"/>
        <v>442799.17882612377</v>
      </c>
      <c r="K36" s="461">
        <f t="shared" si="9"/>
        <v>457178.52738186845</v>
      </c>
      <c r="L36" s="461">
        <f t="shared" si="9"/>
        <v>472093.26193464635</v>
      </c>
      <c r="M36" s="461">
        <f t="shared" si="9"/>
        <v>487562.12099435355</v>
      </c>
      <c r="N36" s="461">
        <f t="shared" si="9"/>
        <v>583557.71044063999</v>
      </c>
      <c r="O36" s="461">
        <f t="shared" si="9"/>
        <v>602992.04279322119</v>
      </c>
      <c r="P36" s="461">
        <f t="shared" si="9"/>
        <v>624056.07979235635</v>
      </c>
      <c r="Q36" s="462">
        <f t="shared" ref="Q36" si="10">SUM(Q32:Q35)</f>
        <v>4908944.739432795</v>
      </c>
      <c r="R36" s="366"/>
      <c r="S36" s="357"/>
      <c r="T36" s="8"/>
      <c r="U36" s="8"/>
    </row>
    <row r="37" spans="1:21" s="7" customFormat="1" ht="17.25" customHeight="1" thickTop="1" thickBot="1">
      <c r="C37" s="423"/>
      <c r="D37" s="423"/>
      <c r="E37" s="368" t="s">
        <v>340</v>
      </c>
      <c r="F37" s="468">
        <f>F36/(VLOOKUP($A$2,'Asset Attributes'!$B$3:$D$25,3,0))</f>
        <v>12.026565807546257</v>
      </c>
      <c r="G37" s="468">
        <f>G36/(VLOOKUP($A$2,'Asset Attributes'!$B$3:$D$25,3,0))</f>
        <v>15.924451533402801</v>
      </c>
      <c r="H37" s="468">
        <f>H36/(VLOOKUP($A$2,'Asset Attributes'!$B$3:$D$25,3,0))</f>
        <v>16.788189083978295</v>
      </c>
      <c r="I37" s="468">
        <f>I36/(VLOOKUP($A$2,'Asset Attributes'!$B$3:$D$25,3,0))</f>
        <v>17.327991897347211</v>
      </c>
      <c r="J37" s="468">
        <f>J36/(VLOOKUP($A$2,'Asset Attributes'!$B$3:$D$25,3,0))</f>
        <v>17.887984924704039</v>
      </c>
      <c r="K37" s="468">
        <f>K36/(VLOOKUP($A$2,'Asset Attributes'!$B$3:$D$25,3,0))</f>
        <v>18.468874823538357</v>
      </c>
      <c r="L37" s="468">
        <f>L36/(VLOOKUP($A$2,'Asset Attributes'!$B$3:$D$25,3,0))</f>
        <v>19.071392984351878</v>
      </c>
      <c r="M37" s="468">
        <f>M36/(VLOOKUP($A$2,'Asset Attributes'!$B$3:$D$25,3,0))</f>
        <v>19.696296396313869</v>
      </c>
      <c r="N37" s="468">
        <f>N36/(VLOOKUP($A$2,'Asset Attributes'!$B$3:$D$25,3,0))</f>
        <v>23.574279326195363</v>
      </c>
      <c r="O37" s="468">
        <f>O36/(VLOOKUP($A$2,'Asset Attributes'!$B$3:$D$25,3,0))</f>
        <v>24.359377991161882</v>
      </c>
      <c r="P37" s="468">
        <f>P36/(VLOOKUP($A$2,'Asset Attributes'!$B$3:$D$25,3,0))</f>
        <v>25.210312668350827</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QLD2</v>
      </c>
      <c r="B39" s="368" t="s">
        <v>342</v>
      </c>
      <c r="C39" s="423"/>
      <c r="D39" s="423"/>
      <c r="E39" s="367"/>
      <c r="F39" s="424">
        <f>VLOOKUP($A$2,'Costs Summary'!$B$4:$R$26,COLUMNS('Costs Summary'!$B$4:F$26)+1,0)</f>
        <v>297705.61000000004</v>
      </c>
      <c r="G39" s="424">
        <f>VLOOKUP($A$2,'Costs Summary'!$B$4:$R$26,COLUMNS('Costs Summary'!$B$4:G$26)+1,0)</f>
        <v>394193.87325785292</v>
      </c>
      <c r="H39" s="424">
        <f>VLOOKUP($A$2,'Costs Summary'!$B$4:$R$26,COLUMNS('Costs Summary'!$B$4:H$26)+1,0)</f>
        <v>407990.65882187773</v>
      </c>
      <c r="I39" s="424">
        <f>VLOOKUP($A$2,'Costs Summary'!$B$4:$R$26,COLUMNS('Costs Summary'!$B$4:I$26)+1,0)</f>
        <v>422270.3296334584</v>
      </c>
      <c r="J39" s="424">
        <f>VLOOKUP($A$2,'Costs Summary'!$B$4:$R$26,COLUMNS('Costs Summary'!$B$4:J$26)+1,0)</f>
        <v>437049.79117062944</v>
      </c>
      <c r="K39" s="424">
        <f>VLOOKUP($A$2,'Costs Summary'!$B$4:$R$26,COLUMNS('Costs Summary'!$B$4:K$26)+1,0)</f>
        <v>409815.88563121419</v>
      </c>
      <c r="L39" s="424">
        <f>VLOOKUP($A$2,'Costs Summary'!$B$4:$R$26,COLUMNS('Costs Summary'!$B$4:L$26)+1,0)</f>
        <v>424159.44162830664</v>
      </c>
      <c r="M39" s="424">
        <f>VLOOKUP($A$2,'Costs Summary'!$B$4:$R$26,COLUMNS('Costs Summary'!$B$4:M$26)+1,0)</f>
        <v>439005.02208529733</v>
      </c>
      <c r="N39" s="424">
        <f>VLOOKUP($A$2,'Costs Summary'!$B$4:$R$26,COLUMNS('Costs Summary'!$B$4:N$26)+1,0)</f>
        <v>526806.02650235675</v>
      </c>
      <c r="O39" s="424">
        <f>VLOOKUP($A$2,'Costs Summary'!$B$4:$R$26,COLUMNS('Costs Summary'!$B$4:O$26)+1,0)</f>
        <v>506691.24231932737</v>
      </c>
      <c r="P39" s="424">
        <f>VLOOKUP($A$2,'Costs Summary'!$B$4:$R$26,COLUMNS('Costs Summary'!$B$4:P$26)+1,0)</f>
        <v>524425.43580050382</v>
      </c>
      <c r="Q39" s="433">
        <f>SUM(G39:P39)</f>
        <v>4492407.7068508249</v>
      </c>
      <c r="R39" s="366"/>
      <c r="S39" s="357"/>
      <c r="T39" s="8"/>
      <c r="U39" s="8"/>
    </row>
    <row r="40" spans="1:21" s="7" customFormat="1" ht="17.25" customHeight="1">
      <c r="A40" s="368" t="s">
        <v>284</v>
      </c>
      <c r="B40" s="368" t="s">
        <v>343</v>
      </c>
      <c r="C40" s="423"/>
      <c r="D40" s="423"/>
      <c r="E40" s="423"/>
      <c r="F40" s="424">
        <f>VLOOKUP($A$2,'Costs Summary'!$B$33:$R$55,COLUMNS('Costs Summary'!$B$33:F$55)+1,0)</f>
        <v>0</v>
      </c>
      <c r="G40" s="424">
        <f>VLOOKUP($A$2,'Costs Summary'!$B$33:$R$55,COLUMNS('Costs Summary'!$B$33:G$55)+1,0)</f>
        <v>0</v>
      </c>
      <c r="H40" s="424">
        <f>VLOOKUP($A$2,'Costs Summary'!$B$33:$R$55,COLUMNS('Costs Summary'!$B$33:H$55)+1,0)</f>
        <v>0</v>
      </c>
      <c r="I40" s="424">
        <f>VLOOKUP($A$2,'Costs Summary'!$B$33:$R$55,COLUMNS('Costs Summary'!$B$33:I$55)+1,0)</f>
        <v>0</v>
      </c>
      <c r="J40" s="424">
        <f>VLOOKUP($A$2,'Costs Summary'!$B$33:$R$55,COLUMNS('Costs Summary'!$B$33:J$55)+1,0)</f>
        <v>0</v>
      </c>
      <c r="K40" s="424">
        <f>VLOOKUP($A$2,'Costs Summary'!$B$33:$R$55,COLUMNS('Costs Summary'!$B$33:K$55)+1,0)</f>
        <v>0</v>
      </c>
      <c r="L40" s="424">
        <f>VLOOKUP($A$2,'Costs Summary'!$B$33:$R$55,COLUMNS('Costs Summary'!$B$33:L$55)+1,0)</f>
        <v>0</v>
      </c>
      <c r="M40" s="424">
        <f>VLOOKUP($A$2,'Costs Summary'!$B$33:$R$55,COLUMNS('Costs Summary'!$B$33:M$55)+1,0)</f>
        <v>0</v>
      </c>
      <c r="N40" s="424">
        <f>VLOOKUP($A$2,'Costs Summary'!$B$33:$R$55,COLUMNS('Costs Summary'!$B$33:N$55)+1,0)</f>
        <v>0</v>
      </c>
      <c r="O40" s="424">
        <f>VLOOKUP($A$2,'Costs Summary'!$B$33:$R$55,COLUMNS('Costs Summary'!$B$33:O$55)+1,0)</f>
        <v>0</v>
      </c>
      <c r="P40" s="424">
        <f>VLOOKUP($A$2,'Costs Summary'!$B$33:$R$55,COLUMNS('Costs Summary'!$B$33:P$55)+1,0)</f>
        <v>0</v>
      </c>
      <c r="Q40" s="433">
        <f>SUM(G40:P40)</f>
        <v>0</v>
      </c>
      <c r="R40" s="366"/>
      <c r="S40" s="357"/>
      <c r="T40" s="8"/>
      <c r="U40" s="8"/>
    </row>
    <row r="41" spans="1:21" s="7" customFormat="1" ht="17.25" customHeight="1">
      <c r="A41" s="368" t="s">
        <v>284</v>
      </c>
      <c r="B41" s="368" t="s">
        <v>336</v>
      </c>
      <c r="H41" s="424">
        <f>VLOOKUP($A$2,'Costs Summary'!$B$125:$R$147,COLUMNS('Costs Summary'!$B$125:H$147)+1,0)</f>
        <v>0</v>
      </c>
      <c r="I41" s="424">
        <f>VLOOKUP($A$2,'Costs Summary'!$B$125:$R$147,COLUMNS('Costs Summary'!$B$125:I$147)+1,0)</f>
        <v>0</v>
      </c>
      <c r="J41" s="424">
        <f>VLOOKUP($A$2,'Costs Summary'!$B$125:$R$147,COLUMNS('Costs Summary'!$B$125:J$147)+1,0)</f>
        <v>0</v>
      </c>
      <c r="K41" s="424">
        <f>VLOOKUP($A$2,'Costs Summary'!$B$125:$R$147,COLUMNS('Costs Summary'!$B$125:K$147)+1,0)</f>
        <v>0</v>
      </c>
      <c r="L41" s="424">
        <f>VLOOKUP($A$2,'Costs Summary'!$B$125:$R$147,COLUMNS('Costs Summary'!$B$125:L$147)+1,0)</f>
        <v>0</v>
      </c>
      <c r="M41" s="424">
        <f>VLOOKUP($A$2,'Costs Summary'!$B$125:$R$147,COLUMNS('Costs Summary'!$B$125:M$147)+1,0)</f>
        <v>0</v>
      </c>
      <c r="N41" s="424">
        <f>VLOOKUP($A$2,'Costs Summary'!$B$125:$R$147,COLUMNS('Costs Summary'!$B$125:N$147)+1,0)</f>
        <v>0</v>
      </c>
      <c r="O41" s="424">
        <f>VLOOKUP($A$2,'Costs Summary'!$B$125:$R$147,COLUMNS('Costs Summary'!$B$125:O$147)+1,0)</f>
        <v>0</v>
      </c>
      <c r="P41" s="424">
        <f>VLOOKUP($A$2,'Costs Summary'!$B$125:$R$147,COLUMNS('Costs Summary'!$B$125:P$147)+1,0)</f>
        <v>0</v>
      </c>
      <c r="Q41" s="433">
        <f t="shared" ref="Q41:Q42" si="11">SUM(G41:P41)</f>
        <v>0</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7584.1737629210274</v>
      </c>
      <c r="I42" s="424">
        <f>VLOOKUP($A$2,'Costs Summary'!$B$212:$R$234,COLUMNS('Costs Summary'!$B$212:I$234)+1,0)</f>
        <v>6666.779546289451</v>
      </c>
      <c r="J42" s="424">
        <f>VLOOKUP($A$2,'Costs Summary'!$B$212:$R$234,COLUMNS('Costs Summary'!$B$212:J$234)+1,0)</f>
        <v>5749.3853296578754</v>
      </c>
      <c r="K42" s="424">
        <f>VLOOKUP($A$2,'Costs Summary'!$B$212:$R$234,COLUMNS('Costs Summary'!$B$212:K$234)+1,0)</f>
        <v>4831.991113026299</v>
      </c>
      <c r="L42" s="424">
        <f>VLOOKUP($A$2,'Costs Summary'!$B$212:$R$234,COLUMNS('Costs Summary'!$B$212:L$234)+1,0)</f>
        <v>3914.5968963947239</v>
      </c>
      <c r="M42" s="424">
        <f>VLOOKUP($A$2,'Costs Summary'!$B$212:$R$234,COLUMNS('Costs Summary'!$B$212:M$234)+1,0)</f>
        <v>2997.2026797631479</v>
      </c>
      <c r="N42" s="424">
        <f>VLOOKUP($A$2,'Costs Summary'!$B$212:$R$234,COLUMNS('Costs Summary'!$B$212:N$234)+1,0)</f>
        <v>2079.8084631315728</v>
      </c>
      <c r="O42" s="424">
        <f>VLOOKUP($A$2,'Costs Summary'!$B$212:$R$234,COLUMNS('Costs Summary'!$B$212:O$234)+1,0)</f>
        <v>1162.414246499997</v>
      </c>
      <c r="P42" s="424">
        <f>VLOOKUP($A$2,'Costs Summary'!$B$212:$R$234,COLUMNS('Costs Summary'!$B$212:P$234)+1,0)</f>
        <v>1162.4142465</v>
      </c>
      <c r="Q42" s="433">
        <f t="shared" si="11"/>
        <v>36148.766284184094</v>
      </c>
      <c r="R42" s="366"/>
      <c r="S42" s="357"/>
      <c r="T42" s="8"/>
      <c r="U42" s="8"/>
    </row>
    <row r="43" spans="1:21" s="7" customFormat="1" ht="17.25" customHeight="1" thickBot="1">
      <c r="A43" s="437" t="s">
        <v>338</v>
      </c>
      <c r="E43" s="368" t="s">
        <v>669</v>
      </c>
      <c r="F43" s="461">
        <f t="shared" ref="F43:P43" si="12">SUM(F39:F42)</f>
        <v>297705.61000000004</v>
      </c>
      <c r="G43" s="461">
        <f t="shared" si="12"/>
        <v>394193.87325785292</v>
      </c>
      <c r="H43" s="461">
        <f t="shared" si="12"/>
        <v>415574.83258479874</v>
      </c>
      <c r="I43" s="461">
        <f t="shared" si="12"/>
        <v>428937.10917974787</v>
      </c>
      <c r="J43" s="461">
        <f t="shared" si="12"/>
        <v>442799.17650028731</v>
      </c>
      <c r="K43" s="461">
        <f t="shared" si="12"/>
        <v>414647.87674424046</v>
      </c>
      <c r="L43" s="461">
        <f t="shared" si="12"/>
        <v>428074.03852470138</v>
      </c>
      <c r="M43" s="461">
        <f t="shared" si="12"/>
        <v>442002.22476506047</v>
      </c>
      <c r="N43" s="461">
        <f t="shared" si="12"/>
        <v>528885.83496548829</v>
      </c>
      <c r="O43" s="461">
        <f t="shared" si="12"/>
        <v>507853.65656582738</v>
      </c>
      <c r="P43" s="461">
        <f t="shared" si="12"/>
        <v>525587.85004700383</v>
      </c>
      <c r="Q43" s="462">
        <f t="shared" ref="Q43" si="13">SUM(Q39:Q42)</f>
        <v>4528556.4731350094</v>
      </c>
      <c r="R43" s="366"/>
      <c r="S43" s="357"/>
      <c r="T43" s="8"/>
      <c r="U43" s="8"/>
    </row>
    <row r="44" spans="1:21" s="7" customFormat="1" ht="17.25" customHeight="1" thickTop="1" thickBot="1">
      <c r="E44" s="368" t="s">
        <v>340</v>
      </c>
      <c r="F44" s="468">
        <f>F43/(VLOOKUP($A$2,'Asset Attributes'!$B$3:$D$25,3,0))</f>
        <v>12.026565807546257</v>
      </c>
      <c r="G44" s="468">
        <f>G43/(VLOOKUP($A$2,'Asset Attributes'!$B$3:$D$25,3,0))</f>
        <v>15.924451533402801</v>
      </c>
      <c r="H44" s="468">
        <f>H43/(VLOOKUP($A$2,'Asset Attributes'!$B$3:$D$25,3,0))</f>
        <v>16.788189083978295</v>
      </c>
      <c r="I44" s="468">
        <f>I43/(VLOOKUP($A$2,'Asset Attributes'!$B$3:$D$25,3,0))</f>
        <v>17.32799180656653</v>
      </c>
      <c r="J44" s="468">
        <f>J43/(VLOOKUP($A$2,'Asset Attributes'!$B$3:$D$25,3,0))</f>
        <v>17.887984830746035</v>
      </c>
      <c r="K44" s="468">
        <f>K43/(VLOOKUP($A$2,'Asset Attributes'!$B$3:$D$25,3,0))</f>
        <v>16.75074237473703</v>
      </c>
      <c r="L44" s="468">
        <f>L43/(VLOOKUP($A$2,'Asset Attributes'!$B$3:$D$25,3,0))</f>
        <v>17.293125899842504</v>
      </c>
      <c r="M44" s="468">
        <f>M43/(VLOOKUP($A$2,'Asset Attributes'!$B$3:$D$25,3,0))</f>
        <v>17.855789963846671</v>
      </c>
      <c r="N44" s="468">
        <f>N43/(VLOOKUP($A$2,'Asset Attributes'!$B$3:$D$25,3,0))</f>
        <v>21.36567160723472</v>
      </c>
      <c r="O44" s="468">
        <f>O43/(VLOOKUP($A$2,'Asset Attributes'!$B$3:$D$25,3,0))</f>
        <v>20.516023938184833</v>
      </c>
      <c r="P44" s="468">
        <f>P43/(VLOOKUP($A$2,'Asset Attributes'!$B$3:$D$25,3,0))</f>
        <v>21.232441223519587</v>
      </c>
      <c r="Q44" s="460">
        <f>Q43/(VLOOKUP($A$2,'Asset Attributes'!$B$3:$D$25,3,0))</f>
        <v>182.94241226205904</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4">G43-G36</f>
        <v>0</v>
      </c>
      <c r="H46" s="461">
        <f t="shared" si="14"/>
        <v>0</v>
      </c>
      <c r="I46" s="461">
        <f t="shared" si="14"/>
        <v>-2.247184980660677E-3</v>
      </c>
      <c r="J46" s="461">
        <f t="shared" si="14"/>
        <v>-2.3258364526554942E-3</v>
      </c>
      <c r="K46" s="461">
        <f t="shared" si="14"/>
        <v>-42530.650637627987</v>
      </c>
      <c r="L46" s="461">
        <f t="shared" si="14"/>
        <v>-44019.223409944971</v>
      </c>
      <c r="M46" s="461">
        <f t="shared" si="14"/>
        <v>-45559.896229293081</v>
      </c>
      <c r="N46" s="461">
        <f t="shared" si="14"/>
        <v>-54671.875475151697</v>
      </c>
      <c r="O46" s="461">
        <f t="shared" si="14"/>
        <v>-95138.386227393814</v>
      </c>
      <c r="P46" s="461">
        <f t="shared" si="14"/>
        <v>-98468.229745352524</v>
      </c>
      <c r="Q46" s="462">
        <f>SUM(F46:P46)</f>
        <v>-380388.26629778551</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-9.0780681128733819E-8</v>
      </c>
      <c r="J47" s="468">
        <f>J46/(VLOOKUP($A$2,'Asset Attributes'!$B$3:$D$25,3,0))</f>
        <v>-9.3958004874181718E-8</v>
      </c>
      <c r="K47" s="468">
        <f>K46/(VLOOKUP($A$2,'Asset Attributes'!$B$3:$D$25,3,0))</f>
        <v>-1.7181324488013245</v>
      </c>
      <c r="L47" s="468">
        <f>L46/(VLOOKUP($A$2,'Asset Attributes'!$B$3:$D$25,3,0))</f>
        <v>-1.7782670845093711</v>
      </c>
      <c r="M47" s="468">
        <f>M46/(VLOOKUP($A$2,'Asset Attributes'!$B$3:$D$25,3,0))</f>
        <v>-1.8405064324672005</v>
      </c>
      <c r="N47" s="468">
        <f>N46/(VLOOKUP($A$2,'Asset Attributes'!$B$3:$D$25,3,0))</f>
        <v>-2.2086077189606406</v>
      </c>
      <c r="O47" s="468">
        <f>O46/(VLOOKUP($A$2,'Asset Attributes'!$B$3:$D$25,3,0))</f>
        <v>-3.8433540529770469</v>
      </c>
      <c r="P47" s="468">
        <f>P46/(VLOOKUP($A$2,'Asset Attributes'!$B$3:$D$25,3,0))</f>
        <v>-3.9778714448312402</v>
      </c>
      <c r="Q47" s="460">
        <f>Q46/(VLOOKUP($A$2,'Asset Attributes'!$B$3:$D$25,3,0))</f>
        <v>-15.366739367285509</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5">G115</f>
        <v>0</v>
      </c>
      <c r="H49" s="464">
        <f t="shared" si="15"/>
        <v>25000</v>
      </c>
      <c r="I49" s="464">
        <f t="shared" si="15"/>
        <v>0</v>
      </c>
      <c r="J49" s="464">
        <f t="shared" si="15"/>
        <v>180937.5</v>
      </c>
      <c r="K49" s="464">
        <f t="shared" si="15"/>
        <v>0</v>
      </c>
      <c r="L49" s="464">
        <f t="shared" si="15"/>
        <v>0</v>
      </c>
      <c r="M49" s="464">
        <f t="shared" si="15"/>
        <v>0</v>
      </c>
      <c r="N49" s="464">
        <f t="shared" si="15"/>
        <v>1603125</v>
      </c>
      <c r="O49" s="464">
        <f t="shared" si="15"/>
        <v>0</v>
      </c>
      <c r="P49" s="464">
        <f t="shared" si="15"/>
        <v>0</v>
      </c>
      <c r="Q49" s="465">
        <f>+SUM(F49:P49)</f>
        <v>1809062.5</v>
      </c>
      <c r="R49" s="366"/>
      <c r="S49" s="357"/>
      <c r="T49" s="8"/>
      <c r="U49" s="8"/>
      <c r="V49" s="8"/>
      <c r="W49" s="8"/>
      <c r="X49" s="8"/>
    </row>
    <row r="50" spans="1:24" s="7" customFormat="1" ht="17.25" customHeight="1">
      <c r="A50" s="9"/>
      <c r="B50" s="368"/>
      <c r="C50" s="2"/>
      <c r="D50" s="2"/>
      <c r="E50" s="459" t="s">
        <v>348</v>
      </c>
      <c r="F50" s="466">
        <f>F46</f>
        <v>0</v>
      </c>
      <c r="G50" s="466">
        <f t="shared" ref="G50:P50" si="16">G46</f>
        <v>0</v>
      </c>
      <c r="H50" s="466">
        <f t="shared" si="16"/>
        <v>0</v>
      </c>
      <c r="I50" s="466">
        <f t="shared" si="16"/>
        <v>-2.247184980660677E-3</v>
      </c>
      <c r="J50" s="466">
        <f t="shared" si="16"/>
        <v>-2.3258364526554942E-3</v>
      </c>
      <c r="K50" s="466">
        <f t="shared" si="16"/>
        <v>-42530.650637627987</v>
      </c>
      <c r="L50" s="466">
        <f t="shared" si="16"/>
        <v>-44019.223409944971</v>
      </c>
      <c r="M50" s="466">
        <f t="shared" si="16"/>
        <v>-45559.896229293081</v>
      </c>
      <c r="N50" s="466">
        <f t="shared" si="16"/>
        <v>-54671.875475151697</v>
      </c>
      <c r="O50" s="466">
        <f t="shared" si="16"/>
        <v>-95138.386227393814</v>
      </c>
      <c r="P50" s="466">
        <f t="shared" si="16"/>
        <v>-98468.229745352524</v>
      </c>
      <c r="Q50" s="467">
        <f>Q46</f>
        <v>-380388.26629778551</v>
      </c>
      <c r="R50" s="366"/>
      <c r="S50" s="357"/>
      <c r="T50" s="8"/>
      <c r="U50" s="8"/>
      <c r="V50" s="8"/>
      <c r="W50" s="8"/>
      <c r="X50" s="8"/>
    </row>
    <row r="51" spans="1:24" s="7" customFormat="1" ht="17.25" customHeight="1">
      <c r="A51" s="9"/>
      <c r="B51" s="368"/>
      <c r="C51" s="2"/>
      <c r="D51" s="2"/>
      <c r="E51" s="540" t="s">
        <v>717</v>
      </c>
      <c r="F51" s="653">
        <f>-1*F50</f>
        <v>0</v>
      </c>
      <c r="G51" s="653">
        <f>-1*G50/(VLOOKUP($A$2,'Asset Attributes'!$B$3:$D$25,3,0))</f>
        <v>0</v>
      </c>
      <c r="H51" s="653">
        <f>-1*H50/(VLOOKUP($A$2,'Asset Attributes'!$B$3:$D$25,3,0))</f>
        <v>0</v>
      </c>
      <c r="I51" s="653">
        <f>-1*I50/(VLOOKUP($A$2,'Asset Attributes'!$B$3:$D$25,3,0))</f>
        <v>9.0780681128733819E-8</v>
      </c>
      <c r="J51" s="653">
        <f>-1*J50/(VLOOKUP($A$2,'Asset Attributes'!$B$3:$D$25,3,0))</f>
        <v>9.3958004874181718E-8</v>
      </c>
      <c r="K51" s="653">
        <f>-1*K50/(VLOOKUP($A$2,'Asset Attributes'!$B$3:$D$25,3,0))</f>
        <v>1.7181324488013245</v>
      </c>
      <c r="L51" s="653">
        <f>-1*L50/(VLOOKUP($A$2,'Asset Attributes'!$B$3:$D$25,3,0))</f>
        <v>1.7782670845093711</v>
      </c>
      <c r="M51" s="653">
        <f>-1*M50/(VLOOKUP($A$2,'Asset Attributes'!$B$3:$D$25,3,0))</f>
        <v>1.8405064324672005</v>
      </c>
      <c r="N51" s="653">
        <f>-1*N50/(VLOOKUP($A$2,'Asset Attributes'!$B$3:$D$25,3,0))</f>
        <v>2.2086077189606406</v>
      </c>
      <c r="O51" s="653">
        <f>-1*O50/(VLOOKUP($A$2,'Asset Attributes'!$B$3:$D$25,3,0))</f>
        <v>3.8433540529770469</v>
      </c>
      <c r="P51" s="653">
        <f>-1*P50/(VLOOKUP($A$2,'Asset Attributes'!$B$3:$D$25,3,0))</f>
        <v>3.9778714448312402</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748</v>
      </c>
      <c r="D55" s="10"/>
      <c r="E55" s="441" t="s">
        <v>205</v>
      </c>
      <c r="F55" s="200" t="s">
        <v>188</v>
      </c>
      <c r="G55" s="200" t="str">
        <f>G67</f>
        <v>CURRENT</v>
      </c>
      <c r="H55" s="200" t="str">
        <f t="shared" ref="H55:P55" si="17">H67</f>
        <v>FY25</v>
      </c>
      <c r="I55" s="200" t="str">
        <f t="shared" si="17"/>
        <v>FY26</v>
      </c>
      <c r="J55" s="200" t="str">
        <f t="shared" si="17"/>
        <v>FY27</v>
      </c>
      <c r="K55" s="200" t="str">
        <f t="shared" si="17"/>
        <v>FY28</v>
      </c>
      <c r="L55" s="200" t="str">
        <f t="shared" si="17"/>
        <v>FY29</v>
      </c>
      <c r="M55" s="200" t="str">
        <f t="shared" si="17"/>
        <v>FY30</v>
      </c>
      <c r="N55" s="200" t="str">
        <f t="shared" si="17"/>
        <v>FY31</v>
      </c>
      <c r="O55" s="200" t="str">
        <f t="shared" si="17"/>
        <v>FY32</v>
      </c>
      <c r="P55" s="200" t="str">
        <f t="shared" si="17"/>
        <v>FY33</v>
      </c>
      <c r="Q55" s="200" t="s">
        <v>84</v>
      </c>
      <c r="R55" s="992" t="s">
        <v>354</v>
      </c>
      <c r="S55" s="992"/>
      <c r="T55" s="992" t="s">
        <v>355</v>
      </c>
      <c r="U55" s="992"/>
      <c r="V55" s="992" t="s">
        <v>356</v>
      </c>
      <c r="W55" s="992"/>
      <c r="X55" s="8"/>
    </row>
    <row r="56" spans="1:24" ht="25.5" customHeight="1" thickTop="1">
      <c r="A56" s="438" t="s">
        <v>357</v>
      </c>
      <c r="B56" s="11"/>
      <c r="C56" s="442">
        <v>45016</v>
      </c>
      <c r="D56" s="159"/>
      <c r="E56" s="487" t="str">
        <f>A2</f>
        <v>259 Queen Street</v>
      </c>
      <c r="F56" s="440">
        <f t="shared" ref="F56:P56" si="18">F272</f>
        <v>5.4825066741604607</v>
      </c>
      <c r="G56" s="440">
        <f t="shared" si="18"/>
        <v>5.4825066741604607</v>
      </c>
      <c r="H56" s="440">
        <f t="shared" si="18"/>
        <v>5.4825066741604607</v>
      </c>
      <c r="I56" s="440">
        <f t="shared" si="18"/>
        <v>5.4825066802171643</v>
      </c>
      <c r="J56" s="440">
        <f>J272</f>
        <v>5.4825066802171643</v>
      </c>
      <c r="K56" s="440">
        <f t="shared" si="18"/>
        <v>5.5895153057815321</v>
      </c>
      <c r="L56" s="440">
        <f t="shared" si="18"/>
        <v>5.5895153057815321</v>
      </c>
      <c r="M56" s="440">
        <f t="shared" si="18"/>
        <v>5.5895153057815321</v>
      </c>
      <c r="N56" s="440">
        <f t="shared" si="18"/>
        <v>5.5895153057815321</v>
      </c>
      <c r="O56" s="440">
        <f t="shared" si="18"/>
        <v>5.6624228737996827</v>
      </c>
      <c r="P56" s="440">
        <f t="shared" si="18"/>
        <v>5.6624228737996827</v>
      </c>
      <c r="Q56" s="470">
        <f>IF(E56="",0,P56-F56)</f>
        <v>0.17991619963922201</v>
      </c>
      <c r="R56" s="473" t="s">
        <v>358</v>
      </c>
      <c r="S56" s="478" t="s">
        <v>18</v>
      </c>
      <c r="T56" s="473" t="s">
        <v>358</v>
      </c>
      <c r="U56" s="478" t="s">
        <v>18</v>
      </c>
      <c r="V56" s="473" t="s">
        <v>358</v>
      </c>
      <c r="W56" s="479" t="s">
        <v>173</v>
      </c>
      <c r="X56" s="14"/>
    </row>
    <row r="57" spans="1:24" ht="25.5" customHeight="1">
      <c r="A57" s="438" t="s">
        <v>6</v>
      </c>
      <c r="C57" s="275" t="s">
        <v>150</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1759062.5</v>
      </c>
      <c r="T57" s="473" t="s">
        <v>669</v>
      </c>
      <c r="U57" s="479">
        <f>IF(U56="Underway","",S115)</f>
        <v>0</v>
      </c>
      <c r="V57" s="473" t="s">
        <v>361</v>
      </c>
      <c r="W57" s="478" t="s">
        <v>749</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35950.919033066093</v>
      </c>
      <c r="T58" s="473" t="s">
        <v>367</v>
      </c>
      <c r="U58" s="478" t="s">
        <v>18</v>
      </c>
      <c r="V58" s="473" t="s">
        <v>368</v>
      </c>
      <c r="W58" s="478">
        <v>0.38</v>
      </c>
      <c r="X58" s="14"/>
    </row>
    <row r="59" spans="1:24" ht="25.5" customHeight="1">
      <c r="A59" s="438" t="s">
        <v>369</v>
      </c>
      <c r="B59" s="14"/>
      <c r="C59" s="443">
        <v>4000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2.5442127695209045E-2</v>
      </c>
      <c r="T59" s="473" t="s">
        <v>371</v>
      </c>
      <c r="U59" s="483" t="s">
        <v>750</v>
      </c>
      <c r="V59" s="482" t="s">
        <v>372</v>
      </c>
      <c r="W59" s="479">
        <f>T115</f>
        <v>25000</v>
      </c>
      <c r="X59" s="14"/>
    </row>
    <row r="60" spans="1:24" ht="25.5" customHeight="1">
      <c r="A60" s="438" t="s">
        <v>373</v>
      </c>
      <c r="B60" s="14"/>
      <c r="C60" s="275">
        <v>23771</v>
      </c>
      <c r="D60" s="160"/>
      <c r="Q60" s="10"/>
      <c r="R60" s="473" t="s">
        <v>374</v>
      </c>
      <c r="S60" s="481">
        <f>IF(S56="Underway","",U115)</f>
        <v>0.35100427435097137</v>
      </c>
      <c r="T60" s="10"/>
      <c r="U60" s="10"/>
      <c r="V60" s="473" t="s">
        <v>375</v>
      </c>
      <c r="W60" s="483" t="e">
        <f ca="1">IF(IF(W58=1,"Complete",_xlfn.MAXIFS(E69:E114,T69:T114,"Yes"))=0,"",IF(W58=1,"Complete",_xlfn.MAXIFS(E69:E114,T69:T114,"Yes")))</f>
        <v>#NAME?</v>
      </c>
      <c r="X60" s="14"/>
    </row>
    <row r="61" spans="1:24" ht="25.5" customHeight="1">
      <c r="A61" s="438" t="s">
        <v>376</v>
      </c>
      <c r="B61" s="14"/>
      <c r="C61" s="444">
        <v>53.43</v>
      </c>
      <c r="D61" s="162"/>
      <c r="H61" s="13"/>
      <c r="J61" s="14"/>
      <c r="K61" s="14"/>
      <c r="L61" s="14"/>
      <c r="M61" s="10"/>
      <c r="N61" s="10"/>
      <c r="O61" s="10"/>
      <c r="P61" s="10"/>
      <c r="Q61" s="10"/>
      <c r="R61" s="482" t="s">
        <v>377</v>
      </c>
      <c r="S61" s="481">
        <f>P272</f>
        <v>5.6624228737996827</v>
      </c>
      <c r="T61" s="10"/>
      <c r="U61" s="10"/>
      <c r="V61" s="473" t="s">
        <v>378</v>
      </c>
      <c r="W61" s="478">
        <v>0</v>
      </c>
      <c r="X61" s="14"/>
    </row>
    <row r="62" spans="1:24" ht="25.5" customHeight="1">
      <c r="A62" s="438" t="s">
        <v>379</v>
      </c>
      <c r="B62" s="14"/>
      <c r="C62" s="275">
        <v>1879.1079999999999</v>
      </c>
      <c r="D62" s="536">
        <f>C115/C62</f>
        <v>-0.15808192504103014</v>
      </c>
      <c r="H62" s="13"/>
      <c r="J62" s="14"/>
      <c r="K62" s="14"/>
      <c r="L62" s="347"/>
      <c r="M62" s="10"/>
      <c r="N62" s="10"/>
      <c r="O62" s="10"/>
      <c r="P62" s="10"/>
      <c r="Q62" s="10"/>
      <c r="R62" s="482" t="s">
        <v>380</v>
      </c>
      <c r="S62" s="481">
        <f>Q272</f>
        <v>5.6624228737996827</v>
      </c>
      <c r="T62" s="10"/>
      <c r="U62" s="10"/>
      <c r="V62" s="10"/>
      <c r="W62" s="14"/>
      <c r="X62" s="14"/>
    </row>
    <row r="63" spans="1:24" ht="25.5" customHeight="1">
      <c r="A63" s="438" t="s">
        <v>382</v>
      </c>
      <c r="B63" s="14"/>
      <c r="C63" s="275">
        <v>0</v>
      </c>
      <c r="H63" s="13"/>
      <c r="J63" s="14"/>
      <c r="K63" s="14"/>
      <c r="L63" s="10"/>
      <c r="M63" s="10"/>
      <c r="N63" s="10"/>
      <c r="O63" s="10"/>
      <c r="P63" s="10"/>
      <c r="Q63" s="10"/>
      <c r="R63" s="476" t="s">
        <v>383</v>
      </c>
      <c r="S63" s="478">
        <f>C115/C62</f>
        <v>-0.15808192504103014</v>
      </c>
      <c r="T63" s="10"/>
      <c r="U63" s="10"/>
      <c r="V63" s="10"/>
      <c r="W63" s="14"/>
      <c r="X63" s="14"/>
    </row>
    <row r="64" spans="1:24" ht="25.5" customHeight="1">
      <c r="A64" s="446" t="s">
        <v>385</v>
      </c>
      <c r="B64" s="447"/>
      <c r="C64" s="445">
        <v>54</v>
      </c>
      <c r="D64" s="495">
        <f>(AJ215-C64)/C64</f>
        <v>-0.11856144378077255</v>
      </c>
      <c r="H64" s="13"/>
      <c r="J64" s="14"/>
      <c r="K64" s="14"/>
      <c r="L64" s="10"/>
      <c r="M64" s="10"/>
      <c r="N64" s="10"/>
      <c r="O64" s="10"/>
      <c r="P64" s="10"/>
      <c r="Q64" s="10"/>
      <c r="R64" s="476" t="s">
        <v>386</v>
      </c>
      <c r="S64" s="478" t="s">
        <v>79</v>
      </c>
      <c r="T64" s="10"/>
      <c r="U64" s="14"/>
      <c r="V64" s="10"/>
      <c r="W64" s="14"/>
      <c r="X64" s="14"/>
    </row>
    <row r="65" spans="1:24" ht="25.5" customHeight="1">
      <c r="B65" s="487" t="s">
        <v>387</v>
      </c>
      <c r="C65" s="489">
        <f>Z216</f>
        <v>5.4825066741604607</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19">DATE(YEAR(H66)+1,MONTH(H66),DAY(H66))</f>
        <v>46203</v>
      </c>
      <c r="J66" s="416">
        <f t="shared" si="19"/>
        <v>46568</v>
      </c>
      <c r="K66" s="416">
        <f t="shared" si="19"/>
        <v>46934</v>
      </c>
      <c r="L66" s="416">
        <f t="shared" si="19"/>
        <v>47299</v>
      </c>
      <c r="M66" s="416">
        <f t="shared" si="19"/>
        <v>47664</v>
      </c>
      <c r="N66" s="416">
        <f t="shared" si="19"/>
        <v>48029</v>
      </c>
      <c r="O66" s="416">
        <f t="shared" si="19"/>
        <v>48395</v>
      </c>
      <c r="P66" s="416">
        <f t="shared" si="19"/>
        <v>48760</v>
      </c>
      <c r="Q66" s="416">
        <f t="shared" si="19"/>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667</v>
      </c>
      <c r="R67" s="200" t="s">
        <v>397</v>
      </c>
      <c r="S67" s="200" t="s">
        <v>328</v>
      </c>
      <c r="T67" s="200" t="s">
        <v>398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t="s">
        <v>721</v>
      </c>
      <c r="C69" s="375">
        <v>-28.125</v>
      </c>
      <c r="D69" s="376"/>
      <c r="E69" s="654">
        <v>46477</v>
      </c>
      <c r="F69" s="378">
        <v>6250</v>
      </c>
      <c r="G69" s="403">
        <f>IF(E69&lt;G66,F69,0)</f>
        <v>0</v>
      </c>
      <c r="H69" s="404">
        <f t="shared" ref="H69:Q81" si="20">IF($E69&gt;H$66,0,IF($E69&gt;H$66-365,$F69,0))</f>
        <v>0</v>
      </c>
      <c r="I69" s="404">
        <f t="shared" si="20"/>
        <v>0</v>
      </c>
      <c r="J69" s="404">
        <f t="shared" si="20"/>
        <v>6250</v>
      </c>
      <c r="K69" s="404">
        <f t="shared" si="20"/>
        <v>0</v>
      </c>
      <c r="L69" s="404">
        <f t="shared" si="20"/>
        <v>0</v>
      </c>
      <c r="M69" s="404">
        <f t="shared" si="20"/>
        <v>0</v>
      </c>
      <c r="N69" s="404">
        <f t="shared" si="20"/>
        <v>0</v>
      </c>
      <c r="O69" s="404">
        <f t="shared" si="20"/>
        <v>0</v>
      </c>
      <c r="P69" s="404">
        <f t="shared" si="20"/>
        <v>0</v>
      </c>
      <c r="Q69" s="635">
        <f t="shared" si="20"/>
        <v>0</v>
      </c>
      <c r="R69" s="379" t="s">
        <v>32</v>
      </c>
      <c r="S69" s="379"/>
      <c r="T69" s="380"/>
      <c r="U69" s="411">
        <f t="shared" ref="U69:U88" si="21">-0.75*Y168</f>
        <v>3.3233109525202476E-2</v>
      </c>
      <c r="V69" s="412">
        <f t="shared" ref="V69:V88" si="22">IF(ISERROR(((-1*C69*1000*$D$6)+(-1*D69*$D$8))/F69),"",((-1*C69*1000*$D$6)+(-1*D69*$D$8))/F69)</f>
        <v>0.7261515855314733</v>
      </c>
      <c r="W69" s="450"/>
      <c r="X69" s="506"/>
    </row>
    <row r="70" spans="1:24" ht="15">
      <c r="A70" s="373"/>
      <c r="B70" s="374" t="s">
        <v>751</v>
      </c>
      <c r="C70" s="381">
        <v>-20.166</v>
      </c>
      <c r="D70" s="376"/>
      <c r="E70" s="654">
        <v>46477</v>
      </c>
      <c r="F70" s="378">
        <v>0</v>
      </c>
      <c r="G70" s="403">
        <f t="shared" ref="G70:G81" si="23">IF($E70&lt;G$66,$F70,0)</f>
        <v>0</v>
      </c>
      <c r="H70" s="404">
        <f t="shared" si="20"/>
        <v>0</v>
      </c>
      <c r="I70" s="404">
        <f t="shared" si="20"/>
        <v>0</v>
      </c>
      <c r="J70" s="405">
        <f t="shared" si="20"/>
        <v>0</v>
      </c>
      <c r="K70" s="405">
        <f t="shared" si="20"/>
        <v>0</v>
      </c>
      <c r="L70" s="405">
        <f t="shared" si="20"/>
        <v>0</v>
      </c>
      <c r="M70" s="405">
        <f t="shared" si="20"/>
        <v>0</v>
      </c>
      <c r="N70" s="405">
        <f t="shared" si="20"/>
        <v>0</v>
      </c>
      <c r="O70" s="405">
        <f t="shared" si="20"/>
        <v>0</v>
      </c>
      <c r="P70" s="406">
        <f t="shared" si="20"/>
        <v>0</v>
      </c>
      <c r="Q70" s="635">
        <f t="shared" si="20"/>
        <v>0</v>
      </c>
      <c r="R70" s="379" t="s">
        <v>32</v>
      </c>
      <c r="S70" s="379"/>
      <c r="T70" s="382"/>
      <c r="U70" s="411">
        <f t="shared" si="21"/>
        <v>2.3828582637697184E-2</v>
      </c>
      <c r="V70" s="414" t="str">
        <f t="shared" si="22"/>
        <v/>
      </c>
      <c r="W70" s="451"/>
      <c r="X70" s="506"/>
    </row>
    <row r="71" spans="1:24" ht="15">
      <c r="A71" s="373"/>
      <c r="B71" s="374" t="s">
        <v>752</v>
      </c>
      <c r="C71" s="383">
        <v>-39.526000000000003</v>
      </c>
      <c r="D71" s="376"/>
      <c r="E71" s="654">
        <v>46477</v>
      </c>
      <c r="F71" s="384">
        <v>31250</v>
      </c>
      <c r="G71" s="403">
        <f t="shared" si="23"/>
        <v>0</v>
      </c>
      <c r="H71" s="404">
        <f t="shared" si="20"/>
        <v>0</v>
      </c>
      <c r="I71" s="405">
        <f t="shared" si="20"/>
        <v>0</v>
      </c>
      <c r="J71" s="405">
        <f t="shared" si="20"/>
        <v>31250</v>
      </c>
      <c r="K71" s="405">
        <f t="shared" si="20"/>
        <v>0</v>
      </c>
      <c r="L71" s="405">
        <f t="shared" si="20"/>
        <v>0</v>
      </c>
      <c r="M71" s="405">
        <f t="shared" si="20"/>
        <v>0</v>
      </c>
      <c r="N71" s="405">
        <f t="shared" si="20"/>
        <v>0</v>
      </c>
      <c r="O71" s="405">
        <f t="shared" si="20"/>
        <v>0</v>
      </c>
      <c r="P71" s="406">
        <f t="shared" si="20"/>
        <v>0</v>
      </c>
      <c r="Q71" s="635">
        <f t="shared" si="20"/>
        <v>0</v>
      </c>
      <c r="R71" s="379" t="s">
        <v>32</v>
      </c>
      <c r="S71" s="379"/>
      <c r="T71" s="382"/>
      <c r="U71" s="411">
        <f t="shared" si="21"/>
        <v>4.6704778207756564E-2</v>
      </c>
      <c r="V71" s="414">
        <f t="shared" si="22"/>
        <v>0.20410216938465428</v>
      </c>
      <c r="W71" s="451"/>
      <c r="X71" s="506"/>
    </row>
    <row r="72" spans="1:24" ht="15">
      <c r="A72" s="373"/>
      <c r="B72" s="374" t="s">
        <v>722</v>
      </c>
      <c r="C72" s="375">
        <v>-20.821999999999999</v>
      </c>
      <c r="D72" s="376"/>
      <c r="E72" s="654">
        <v>46477</v>
      </c>
      <c r="F72" s="378">
        <v>12500</v>
      </c>
      <c r="G72" s="403">
        <f t="shared" si="23"/>
        <v>0</v>
      </c>
      <c r="H72" s="404">
        <f t="shared" si="20"/>
        <v>0</v>
      </c>
      <c r="I72" s="405">
        <f t="shared" si="20"/>
        <v>0</v>
      </c>
      <c r="J72" s="405">
        <f t="shared" si="20"/>
        <v>12500</v>
      </c>
      <c r="K72" s="405">
        <f t="shared" si="20"/>
        <v>0</v>
      </c>
      <c r="L72" s="405">
        <f t="shared" si="20"/>
        <v>0</v>
      </c>
      <c r="M72" s="405">
        <f t="shared" si="20"/>
        <v>0</v>
      </c>
      <c r="N72" s="405">
        <f t="shared" si="20"/>
        <v>0</v>
      </c>
      <c r="O72" s="405">
        <f t="shared" si="20"/>
        <v>0</v>
      </c>
      <c r="P72" s="406">
        <f t="shared" si="20"/>
        <v>0</v>
      </c>
      <c r="Q72" s="635">
        <f t="shared" si="20"/>
        <v>0</v>
      </c>
      <c r="R72" s="379" t="s">
        <v>32</v>
      </c>
      <c r="S72" s="379"/>
      <c r="T72" s="382"/>
      <c r="U72" s="411">
        <f t="shared" si="21"/>
        <v>2.4603726454533903E-2</v>
      </c>
      <c r="V72" s="414">
        <f t="shared" si="22"/>
        <v>0.26879872558109041</v>
      </c>
      <c r="W72" s="451"/>
      <c r="X72" s="506"/>
    </row>
    <row r="73" spans="1:24" ht="15">
      <c r="A73" s="373"/>
      <c r="B73" s="374" t="s">
        <v>723</v>
      </c>
      <c r="C73" s="381">
        <v>-12.023999999999999</v>
      </c>
      <c r="D73" s="376"/>
      <c r="E73" s="654">
        <v>46477</v>
      </c>
      <c r="F73" s="378">
        <v>25000</v>
      </c>
      <c r="G73" s="403">
        <f t="shared" si="23"/>
        <v>0</v>
      </c>
      <c r="H73" s="404">
        <f t="shared" si="20"/>
        <v>0</v>
      </c>
      <c r="I73" s="405">
        <f t="shared" si="20"/>
        <v>0</v>
      </c>
      <c r="J73" s="405">
        <f t="shared" si="20"/>
        <v>25000</v>
      </c>
      <c r="K73" s="405">
        <f t="shared" si="20"/>
        <v>0</v>
      </c>
      <c r="L73" s="405">
        <f t="shared" si="20"/>
        <v>0</v>
      </c>
      <c r="M73" s="405">
        <f t="shared" si="20"/>
        <v>0</v>
      </c>
      <c r="N73" s="405">
        <f t="shared" si="20"/>
        <v>0</v>
      </c>
      <c r="O73" s="405">
        <f t="shared" si="20"/>
        <v>0</v>
      </c>
      <c r="P73" s="406">
        <f t="shared" si="20"/>
        <v>0</v>
      </c>
      <c r="Q73" s="635">
        <f t="shared" si="20"/>
        <v>0</v>
      </c>
      <c r="R73" s="379" t="s">
        <v>32</v>
      </c>
      <c r="S73" s="379"/>
      <c r="T73" s="382"/>
      <c r="U73" s="411">
        <f t="shared" si="21"/>
        <v>1.4207818984214563E-2</v>
      </c>
      <c r="V73" s="414">
        <f t="shared" si="22"/>
        <v>7.7611081461603851E-2</v>
      </c>
      <c r="W73" s="451"/>
      <c r="X73" s="506"/>
    </row>
    <row r="74" spans="1:24" ht="15">
      <c r="A74" s="373"/>
      <c r="B74" s="374" t="s">
        <v>639</v>
      </c>
      <c r="C74" s="375">
        <v>-56.015000000000001</v>
      </c>
      <c r="D74" s="376"/>
      <c r="E74" s="654">
        <v>46477</v>
      </c>
      <c r="F74" s="378">
        <v>80937.5</v>
      </c>
      <c r="G74" s="403">
        <f t="shared" si="23"/>
        <v>0</v>
      </c>
      <c r="H74" s="404">
        <f t="shared" si="20"/>
        <v>0</v>
      </c>
      <c r="I74" s="405">
        <f t="shared" si="20"/>
        <v>0</v>
      </c>
      <c r="J74" s="405">
        <f t="shared" si="20"/>
        <v>80937.5</v>
      </c>
      <c r="K74" s="405">
        <f t="shared" si="20"/>
        <v>0</v>
      </c>
      <c r="L74" s="405">
        <f t="shared" si="20"/>
        <v>0</v>
      </c>
      <c r="M74" s="405">
        <f t="shared" si="20"/>
        <v>0</v>
      </c>
      <c r="N74" s="405">
        <f t="shared" si="20"/>
        <v>0</v>
      </c>
      <c r="O74" s="405">
        <f t="shared" si="20"/>
        <v>0</v>
      </c>
      <c r="P74" s="406">
        <f t="shared" si="20"/>
        <v>0</v>
      </c>
      <c r="Q74" s="635">
        <f t="shared" si="20"/>
        <v>0</v>
      </c>
      <c r="R74" s="379" t="s">
        <v>32</v>
      </c>
      <c r="S74" s="379"/>
      <c r="T74" s="382"/>
      <c r="U74" s="411">
        <f t="shared" si="21"/>
        <v>6.6188537957483279E-2</v>
      </c>
      <c r="V74" s="414">
        <f t="shared" si="22"/>
        <v>0.11167843792650838</v>
      </c>
      <c r="W74" s="451"/>
      <c r="X74" s="506"/>
    </row>
    <row r="75" spans="1:24" ht="15">
      <c r="A75" s="373"/>
      <c r="B75" s="374" t="s">
        <v>753</v>
      </c>
      <c r="C75" s="375">
        <v>-1.0000000000000001E-5</v>
      </c>
      <c r="D75" s="376"/>
      <c r="E75" s="654">
        <v>45747</v>
      </c>
      <c r="F75" s="378">
        <v>25000</v>
      </c>
      <c r="G75" s="403">
        <f t="shared" si="23"/>
        <v>0</v>
      </c>
      <c r="H75" s="404">
        <f t="shared" si="20"/>
        <v>25000</v>
      </c>
      <c r="I75" s="405">
        <f t="shared" si="20"/>
        <v>0</v>
      </c>
      <c r="J75" s="405">
        <f t="shared" si="20"/>
        <v>0</v>
      </c>
      <c r="K75" s="405">
        <f t="shared" si="20"/>
        <v>0</v>
      </c>
      <c r="L75" s="405">
        <f t="shared" si="20"/>
        <v>0</v>
      </c>
      <c r="M75" s="405">
        <f t="shared" si="20"/>
        <v>0</v>
      </c>
      <c r="N75" s="405">
        <f t="shared" si="20"/>
        <v>0</v>
      </c>
      <c r="O75" s="405">
        <f t="shared" si="20"/>
        <v>0</v>
      </c>
      <c r="P75" s="406">
        <f t="shared" si="20"/>
        <v>0</v>
      </c>
      <c r="Q75" s="635">
        <f t="shared" si="20"/>
        <v>0</v>
      </c>
      <c r="R75" s="379"/>
      <c r="S75" s="379"/>
      <c r="T75" s="382" t="s">
        <v>32</v>
      </c>
      <c r="U75" s="411">
        <f t="shared" si="21"/>
        <v>1.1816216720071997E-8</v>
      </c>
      <c r="V75" s="414">
        <f t="shared" si="22"/>
        <v>6.4546807602797618E-8</v>
      </c>
      <c r="W75" s="451"/>
      <c r="X75" s="506"/>
    </row>
    <row r="76" spans="1:24" ht="15">
      <c r="A76" s="373"/>
      <c r="B76" s="374" t="s">
        <v>724</v>
      </c>
      <c r="C76" s="375">
        <v>-23.527000000000001</v>
      </c>
      <c r="D76" s="376"/>
      <c r="E76" s="654">
        <v>47938</v>
      </c>
      <c r="F76" s="378">
        <v>28125</v>
      </c>
      <c r="G76" s="403">
        <f t="shared" si="23"/>
        <v>0</v>
      </c>
      <c r="H76" s="404">
        <f t="shared" si="20"/>
        <v>0</v>
      </c>
      <c r="I76" s="405">
        <f t="shared" si="20"/>
        <v>0</v>
      </c>
      <c r="J76" s="405">
        <f t="shared" si="20"/>
        <v>0</v>
      </c>
      <c r="K76" s="405">
        <f t="shared" si="20"/>
        <v>0</v>
      </c>
      <c r="L76" s="405">
        <f t="shared" si="20"/>
        <v>0</v>
      </c>
      <c r="M76" s="405">
        <f t="shared" si="20"/>
        <v>0</v>
      </c>
      <c r="N76" s="405">
        <f t="shared" si="20"/>
        <v>28125</v>
      </c>
      <c r="O76" s="405">
        <f t="shared" si="20"/>
        <v>0</v>
      </c>
      <c r="P76" s="406">
        <f t="shared" si="20"/>
        <v>0</v>
      </c>
      <c r="Q76" s="635">
        <f t="shared" si="20"/>
        <v>0</v>
      </c>
      <c r="R76" s="379" t="s">
        <v>32</v>
      </c>
      <c r="S76" s="379"/>
      <c r="T76" s="382"/>
      <c r="U76" s="411">
        <f t="shared" si="21"/>
        <v>2.7800013077313376E-2</v>
      </c>
      <c r="V76" s="414">
        <f t="shared" si="22"/>
        <v>0.13498602155297951</v>
      </c>
      <c r="W76" s="451"/>
      <c r="X76" s="506"/>
    </row>
    <row r="77" spans="1:24" ht="15">
      <c r="A77" s="373"/>
      <c r="B77" s="374" t="s">
        <v>725</v>
      </c>
      <c r="C77" s="375">
        <v>-96.847999999999999</v>
      </c>
      <c r="D77" s="376"/>
      <c r="E77" s="654">
        <v>47938</v>
      </c>
      <c r="F77" s="378">
        <v>1575000</v>
      </c>
      <c r="G77" s="403">
        <f t="shared" si="23"/>
        <v>0</v>
      </c>
      <c r="H77" s="404">
        <f t="shared" si="20"/>
        <v>0</v>
      </c>
      <c r="I77" s="405">
        <f t="shared" si="20"/>
        <v>0</v>
      </c>
      <c r="J77" s="405">
        <f t="shared" si="20"/>
        <v>0</v>
      </c>
      <c r="K77" s="405">
        <f t="shared" si="20"/>
        <v>0</v>
      </c>
      <c r="L77" s="405">
        <f t="shared" si="20"/>
        <v>0</v>
      </c>
      <c r="M77" s="405">
        <f t="shared" si="20"/>
        <v>0</v>
      </c>
      <c r="N77" s="405">
        <f t="shared" si="20"/>
        <v>1575000</v>
      </c>
      <c r="O77" s="405">
        <f t="shared" si="20"/>
        <v>0</v>
      </c>
      <c r="P77" s="406">
        <f t="shared" si="20"/>
        <v>0</v>
      </c>
      <c r="Q77" s="635">
        <f t="shared" si="20"/>
        <v>0</v>
      </c>
      <c r="R77" s="379" t="s">
        <v>32</v>
      </c>
      <c r="S77" s="379"/>
      <c r="T77" s="385"/>
      <c r="U77" s="411">
        <f t="shared" si="21"/>
        <v>0.11443769569055326</v>
      </c>
      <c r="V77" s="414">
        <f t="shared" si="22"/>
        <v>9.9225860678027675E-3</v>
      </c>
      <c r="W77" s="451"/>
      <c r="X77" s="506"/>
    </row>
    <row r="78" spans="1:24" ht="15">
      <c r="A78" s="373"/>
      <c r="B78" s="374" t="s">
        <v>726</v>
      </c>
      <c r="C78" s="375"/>
      <c r="D78" s="376"/>
      <c r="E78" s="654">
        <v>46477</v>
      </c>
      <c r="F78" s="378">
        <v>12500</v>
      </c>
      <c r="G78" s="403">
        <f t="shared" si="23"/>
        <v>0</v>
      </c>
      <c r="H78" s="404">
        <f t="shared" si="20"/>
        <v>0</v>
      </c>
      <c r="I78" s="405">
        <f t="shared" si="20"/>
        <v>0</v>
      </c>
      <c r="J78" s="405">
        <f t="shared" si="20"/>
        <v>12500</v>
      </c>
      <c r="K78" s="405">
        <f t="shared" si="20"/>
        <v>0</v>
      </c>
      <c r="L78" s="405">
        <f t="shared" si="20"/>
        <v>0</v>
      </c>
      <c r="M78" s="405">
        <f t="shared" si="20"/>
        <v>0</v>
      </c>
      <c r="N78" s="405">
        <f t="shared" si="20"/>
        <v>0</v>
      </c>
      <c r="O78" s="405">
        <f t="shared" si="20"/>
        <v>0</v>
      </c>
      <c r="P78" s="406">
        <f t="shared" si="20"/>
        <v>0</v>
      </c>
      <c r="Q78" s="635">
        <f t="shared" si="20"/>
        <v>0</v>
      </c>
      <c r="R78" s="379"/>
      <c r="S78" s="386"/>
      <c r="T78" s="387"/>
      <c r="U78" s="411">
        <f t="shared" si="21"/>
        <v>0</v>
      </c>
      <c r="V78" s="414">
        <f t="shared" si="22"/>
        <v>0</v>
      </c>
      <c r="W78" s="451"/>
      <c r="X78" s="506"/>
    </row>
    <row r="79" spans="1:24" ht="15">
      <c r="A79" s="373"/>
      <c r="B79" s="374" t="s">
        <v>728</v>
      </c>
      <c r="C79" s="375"/>
      <c r="D79" s="376"/>
      <c r="E79" s="654">
        <v>46477</v>
      </c>
      <c r="F79" s="378">
        <v>12500</v>
      </c>
      <c r="G79" s="403">
        <f t="shared" si="23"/>
        <v>0</v>
      </c>
      <c r="H79" s="404">
        <f t="shared" si="20"/>
        <v>0</v>
      </c>
      <c r="I79" s="405">
        <f t="shared" si="20"/>
        <v>0</v>
      </c>
      <c r="J79" s="405">
        <f t="shared" si="20"/>
        <v>12500</v>
      </c>
      <c r="K79" s="405">
        <f t="shared" si="20"/>
        <v>0</v>
      </c>
      <c r="L79" s="405">
        <f t="shared" si="20"/>
        <v>0</v>
      </c>
      <c r="M79" s="405">
        <f t="shared" si="20"/>
        <v>0</v>
      </c>
      <c r="N79" s="405">
        <f t="shared" si="20"/>
        <v>0</v>
      </c>
      <c r="O79" s="405">
        <f t="shared" si="20"/>
        <v>0</v>
      </c>
      <c r="P79" s="406">
        <f t="shared" si="20"/>
        <v>0</v>
      </c>
      <c r="Q79" s="635">
        <f t="shared" si="20"/>
        <v>0</v>
      </c>
      <c r="R79" s="379"/>
      <c r="S79" s="386"/>
      <c r="T79" s="387"/>
      <c r="U79" s="411">
        <f t="shared" si="21"/>
        <v>0</v>
      </c>
      <c r="V79" s="414">
        <f t="shared" si="22"/>
        <v>0</v>
      </c>
      <c r="W79" s="451"/>
      <c r="X79" s="506"/>
    </row>
    <row r="80" spans="1:24" ht="15">
      <c r="A80" s="373"/>
      <c r="B80" s="374" t="s">
        <v>729</v>
      </c>
      <c r="C80" s="375"/>
      <c r="D80" s="376"/>
      <c r="E80" s="654">
        <v>48669</v>
      </c>
      <c r="F80" s="378">
        <v>0</v>
      </c>
      <c r="G80" s="403">
        <f t="shared" si="23"/>
        <v>0</v>
      </c>
      <c r="H80" s="404">
        <f t="shared" si="20"/>
        <v>0</v>
      </c>
      <c r="I80" s="405">
        <f t="shared" si="20"/>
        <v>0</v>
      </c>
      <c r="J80" s="405">
        <f t="shared" si="20"/>
        <v>0</v>
      </c>
      <c r="K80" s="405">
        <f t="shared" si="20"/>
        <v>0</v>
      </c>
      <c r="L80" s="405">
        <f t="shared" si="20"/>
        <v>0</v>
      </c>
      <c r="M80" s="405">
        <f t="shared" si="20"/>
        <v>0</v>
      </c>
      <c r="N80" s="405">
        <f t="shared" si="20"/>
        <v>0</v>
      </c>
      <c r="O80" s="405">
        <f t="shared" si="20"/>
        <v>0</v>
      </c>
      <c r="P80" s="406">
        <f t="shared" si="20"/>
        <v>0</v>
      </c>
      <c r="Q80" s="635">
        <f t="shared" si="20"/>
        <v>0</v>
      </c>
      <c r="R80" s="379"/>
      <c r="S80" s="386"/>
      <c r="T80" s="387"/>
      <c r="U80" s="411">
        <f t="shared" si="21"/>
        <v>0</v>
      </c>
      <c r="V80" s="414" t="str">
        <f t="shared" si="22"/>
        <v/>
      </c>
      <c r="W80" s="451"/>
      <c r="X80" s="506"/>
    </row>
    <row r="81" spans="1:24" ht="15">
      <c r="A81" s="373"/>
      <c r="B81" s="457" t="s">
        <v>754</v>
      </c>
      <c r="C81" s="375"/>
      <c r="D81" s="376"/>
      <c r="E81" s="654">
        <v>49034</v>
      </c>
      <c r="F81" s="378">
        <v>75000</v>
      </c>
      <c r="G81" s="403">
        <f t="shared" si="23"/>
        <v>0</v>
      </c>
      <c r="H81" s="404">
        <f t="shared" si="20"/>
        <v>0</v>
      </c>
      <c r="I81" s="405">
        <f t="shared" si="20"/>
        <v>0</v>
      </c>
      <c r="J81" s="405">
        <f t="shared" si="20"/>
        <v>0</v>
      </c>
      <c r="K81" s="405">
        <f t="shared" si="20"/>
        <v>0</v>
      </c>
      <c r="L81" s="405">
        <f t="shared" si="20"/>
        <v>0</v>
      </c>
      <c r="M81" s="405">
        <f t="shared" si="20"/>
        <v>0</v>
      </c>
      <c r="N81" s="405">
        <f t="shared" si="20"/>
        <v>0</v>
      </c>
      <c r="O81" s="405">
        <f t="shared" si="20"/>
        <v>0</v>
      </c>
      <c r="P81" s="406">
        <f t="shared" si="20"/>
        <v>0</v>
      </c>
      <c r="Q81" s="635">
        <f t="shared" si="20"/>
        <v>75000</v>
      </c>
      <c r="R81" s="379"/>
      <c r="S81" s="386"/>
      <c r="T81" s="387"/>
      <c r="U81" s="411">
        <f t="shared" si="21"/>
        <v>0</v>
      </c>
      <c r="V81" s="414">
        <f t="shared" si="22"/>
        <v>0</v>
      </c>
      <c r="W81" s="451"/>
      <c r="X81" s="506"/>
    </row>
    <row r="82" spans="1:24" ht="15">
      <c r="A82" s="373"/>
      <c r="B82" s="457"/>
      <c r="C82" s="375"/>
      <c r="D82" s="375"/>
      <c r="E82" s="377"/>
      <c r="F82" s="378"/>
      <c r="G82" s="403"/>
      <c r="H82" s="404"/>
      <c r="I82" s="405"/>
      <c r="J82" s="405"/>
      <c r="K82" s="405"/>
      <c r="L82" s="405"/>
      <c r="M82" s="405"/>
      <c r="N82" s="405"/>
      <c r="O82" s="405"/>
      <c r="P82" s="406"/>
      <c r="Q82" s="635"/>
      <c r="R82" s="379"/>
      <c r="S82" s="386"/>
      <c r="T82" s="387"/>
      <c r="U82" s="411">
        <f t="shared" si="21"/>
        <v>0</v>
      </c>
      <c r="V82" s="414" t="str">
        <f t="shared" si="22"/>
        <v/>
      </c>
      <c r="W82" s="451"/>
      <c r="X82" s="506"/>
    </row>
    <row r="83" spans="1:24" ht="15">
      <c r="A83" s="373"/>
      <c r="B83" s="457"/>
      <c r="C83" s="375"/>
      <c r="D83" s="375"/>
      <c r="E83" s="377"/>
      <c r="F83" s="378"/>
      <c r="G83" s="403"/>
      <c r="H83" s="404"/>
      <c r="I83" s="405"/>
      <c r="J83" s="405"/>
      <c r="K83" s="405"/>
      <c r="L83" s="405"/>
      <c r="M83" s="405"/>
      <c r="N83" s="405"/>
      <c r="O83" s="405"/>
      <c r="P83" s="406"/>
      <c r="Q83" s="635"/>
      <c r="R83" s="379"/>
      <c r="S83" s="386"/>
      <c r="T83" s="387"/>
      <c r="U83" s="411">
        <f t="shared" si="21"/>
        <v>0</v>
      </c>
      <c r="V83" s="414" t="str">
        <f t="shared" si="22"/>
        <v/>
      </c>
      <c r="W83" s="451"/>
      <c r="X83" s="506"/>
    </row>
    <row r="84" spans="1:24" ht="15">
      <c r="A84" s="373"/>
      <c r="B84" s="457"/>
      <c r="C84" s="375"/>
      <c r="D84" s="375"/>
      <c r="E84" s="377"/>
      <c r="F84" s="378"/>
      <c r="G84" s="403"/>
      <c r="H84" s="404"/>
      <c r="I84" s="405"/>
      <c r="J84" s="405"/>
      <c r="K84" s="405"/>
      <c r="L84" s="405"/>
      <c r="M84" s="405"/>
      <c r="N84" s="405"/>
      <c r="O84" s="405"/>
      <c r="P84" s="406"/>
      <c r="Q84" s="635"/>
      <c r="R84" s="379"/>
      <c r="S84" s="386"/>
      <c r="T84" s="387"/>
      <c r="U84" s="411">
        <f t="shared" si="21"/>
        <v>0</v>
      </c>
      <c r="V84" s="414" t="str">
        <f t="shared" si="22"/>
        <v/>
      </c>
      <c r="W84" s="451"/>
      <c r="X84" s="506"/>
    </row>
    <row r="85" spans="1:24" ht="15">
      <c r="A85" s="373"/>
      <c r="B85" s="457"/>
      <c r="C85" s="375"/>
      <c r="D85" s="375"/>
      <c r="E85" s="377"/>
      <c r="F85" s="378"/>
      <c r="G85" s="403"/>
      <c r="H85" s="404"/>
      <c r="I85" s="405"/>
      <c r="J85" s="405"/>
      <c r="K85" s="405"/>
      <c r="L85" s="405"/>
      <c r="M85" s="405"/>
      <c r="N85" s="405"/>
      <c r="O85" s="405"/>
      <c r="P85" s="406"/>
      <c r="Q85" s="635"/>
      <c r="R85" s="379"/>
      <c r="S85" s="386"/>
      <c r="T85" s="387"/>
      <c r="U85" s="411">
        <f t="shared" si="21"/>
        <v>0</v>
      </c>
      <c r="V85" s="414" t="str">
        <f t="shared" si="22"/>
        <v/>
      </c>
      <c r="W85" s="451"/>
      <c r="X85" s="507"/>
    </row>
    <row r="86" spans="1:24" ht="15">
      <c r="A86" s="373"/>
      <c r="B86" s="457"/>
      <c r="C86" s="375"/>
      <c r="D86" s="375"/>
      <c r="E86" s="377"/>
      <c r="F86" s="378"/>
      <c r="G86" s="403"/>
      <c r="H86" s="404"/>
      <c r="I86" s="405"/>
      <c r="J86" s="405"/>
      <c r="K86" s="405"/>
      <c r="L86" s="405"/>
      <c r="M86" s="405"/>
      <c r="N86" s="405"/>
      <c r="O86" s="405"/>
      <c r="P86" s="406"/>
      <c r="Q86" s="635"/>
      <c r="R86" s="379"/>
      <c r="S86" s="386"/>
      <c r="T86" s="387"/>
      <c r="U86" s="411">
        <f t="shared" si="21"/>
        <v>0</v>
      </c>
      <c r="V86" s="414" t="str">
        <f t="shared" si="22"/>
        <v/>
      </c>
      <c r="W86" s="451"/>
      <c r="X86" s="507"/>
    </row>
    <row r="87" spans="1:24" ht="15">
      <c r="A87" s="373"/>
      <c r="B87" s="374"/>
      <c r="C87" s="375"/>
      <c r="D87" s="375"/>
      <c r="E87" s="377"/>
      <c r="F87" s="378"/>
      <c r="G87" s="403"/>
      <c r="H87" s="404"/>
      <c r="I87" s="405"/>
      <c r="J87" s="405"/>
      <c r="K87" s="405"/>
      <c r="L87" s="405"/>
      <c r="M87" s="405"/>
      <c r="N87" s="405"/>
      <c r="O87" s="405"/>
      <c r="P87" s="406"/>
      <c r="Q87" s="635"/>
      <c r="R87" s="379"/>
      <c r="S87" s="379"/>
      <c r="T87" s="387"/>
      <c r="U87" s="411">
        <f t="shared" si="21"/>
        <v>0</v>
      </c>
      <c r="V87" s="414" t="str">
        <f t="shared" si="22"/>
        <v/>
      </c>
      <c r="W87" s="451"/>
      <c r="X87" s="507"/>
    </row>
    <row r="88" spans="1:24" ht="15">
      <c r="A88" s="456"/>
      <c r="B88" s="397"/>
      <c r="C88" s="398"/>
      <c r="D88" s="398"/>
      <c r="E88" s="399"/>
      <c r="F88" s="400"/>
      <c r="G88" s="407"/>
      <c r="H88" s="408"/>
      <c r="I88" s="409"/>
      <c r="J88" s="409"/>
      <c r="K88" s="409"/>
      <c r="L88" s="409"/>
      <c r="M88" s="409"/>
      <c r="N88" s="409"/>
      <c r="O88" s="409"/>
      <c r="P88" s="410"/>
      <c r="Q88" s="636"/>
      <c r="R88" s="401"/>
      <c r="S88" s="401"/>
      <c r="T88" s="402"/>
      <c r="U88" s="411">
        <f t="shared" si="21"/>
        <v>0</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-297.05301000000003</v>
      </c>
      <c r="D115" s="354">
        <f>SUM(D69:D88)</f>
        <v>0</v>
      </c>
      <c r="E115" s="355"/>
      <c r="F115" s="333">
        <f>SUM(F69:F114)</f>
        <v>1884062.5</v>
      </c>
      <c r="G115" s="388">
        <f>SUM(G69:G114)</f>
        <v>0</v>
      </c>
      <c r="H115" s="388">
        <f t="shared" ref="H115:N115" si="25">SUM(H69:H114)</f>
        <v>25000</v>
      </c>
      <c r="I115" s="388">
        <f t="shared" si="25"/>
        <v>0</v>
      </c>
      <c r="J115" s="388">
        <f t="shared" si="25"/>
        <v>180937.5</v>
      </c>
      <c r="K115" s="388">
        <f t="shared" si="25"/>
        <v>0</v>
      </c>
      <c r="L115" s="388">
        <f t="shared" si="25"/>
        <v>0</v>
      </c>
      <c r="M115" s="388">
        <f t="shared" si="25"/>
        <v>0</v>
      </c>
      <c r="N115" s="388">
        <f t="shared" si="25"/>
        <v>1603125</v>
      </c>
      <c r="O115" s="388">
        <f>SUM(O69:O114)</f>
        <v>0</v>
      </c>
      <c r="P115" s="388">
        <f>SUM(P69:P114)</f>
        <v>0</v>
      </c>
      <c r="Q115" s="388">
        <f>SUM(Q69:Q114)</f>
        <v>75000</v>
      </c>
      <c r="R115" s="388">
        <f>SUMIFS(F69:F114,R69:R114,"Yes")-0.5*SUMIFS(F69:F114,R69:R114,"Yes",S69:S114,"Yes")</f>
        <v>1759062.5</v>
      </c>
      <c r="S115" s="388">
        <f>SUMIFS(F69:F114,S69:S114,"Yes")-0.5*SUMIFS(F69:F114,S69:S114,"Yes",R69:R114,"Yes")</f>
        <v>0</v>
      </c>
      <c r="T115" s="388">
        <f>SUMIFS(F69:F114,T69:T114,"Yes")</f>
        <v>25000</v>
      </c>
      <c r="U115" s="389">
        <f>SUM(U69:U88)</f>
        <v>0.35100427435097137</v>
      </c>
      <c r="V115" s="390">
        <f>IF(ISERROR(((-1*C115*1000*$D$6)+(-1*D115*$D$8))/F115),"",((-1*C115*1000*$D$6)+(-1*D115*$D$8))/F115)</f>
        <v>2.5442127695209045E-2</v>
      </c>
      <c r="W115" s="391">
        <f>SUMIFS(F69:F114,W69:W114,"Yes")</f>
        <v>0</v>
      </c>
      <c r="X115" s="516">
        <f>SUMIFS(F69:F114,X69:X114,"Yes")</f>
        <v>0</v>
      </c>
    </row>
    <row r="116" spans="1:31" ht="15">
      <c r="A116" s="13"/>
      <c r="B116" s="13"/>
      <c r="C116" s="13"/>
      <c r="D116" s="13"/>
      <c r="E116" s="13"/>
      <c r="F116" s="13"/>
      <c r="G116" s="13"/>
      <c r="H116" s="13"/>
      <c r="I116" s="13"/>
      <c r="J116" s="13"/>
      <c r="K116" s="13"/>
      <c r="L116" s="13"/>
      <c r="M116" s="13"/>
      <c r="N116" s="13"/>
      <c r="O116" s="13"/>
      <c r="P116" s="13"/>
      <c r="Q116" s="13"/>
      <c r="S116" s="655"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222.78975750000001</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5.9413377192982448</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5.4825066741604607</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5.4825066741604607</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5.4825066802171643</v>
      </c>
      <c r="AA126" s="22">
        <f t="shared" ref="AA126:AC126" si="26">AK216</f>
        <v>5.6624228737996827</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5.4825066802171643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5.5895153057815321</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5.5895153057815321</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5.5895153057815321</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5.5895153057815321</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5.6624228737996827</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5.6624228737996827</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603" t="s">
        <v>755</v>
      </c>
      <c r="BA154" s="604">
        <v>6</v>
      </c>
      <c r="BB154" s="599">
        <f t="shared" ref="BB154:BB155" si="30">IF($C$58="Base",BF154,BG154)</f>
        <v>35.585000000000001</v>
      </c>
      <c r="BC154" s="24" t="s">
        <v>436</v>
      </c>
      <c r="BD154" s="8"/>
      <c r="BE154" s="8"/>
      <c r="BF154" s="24">
        <f t="shared" ref="BF154:BF155" si="31">IF($C$59&gt;7000,"error",IF($C$59&gt;5999,AR154,IF($C$59&gt;4999,AQ154,IF($C$59&gt;3999,AP154,IF($C$59&gt;2999,AO154,IF($C$59&gt;1999,AN154,"Error"))))))</f>
        <v>35.585000000000001</v>
      </c>
      <c r="BG154" s="24">
        <f t="shared" ref="BG154:BG164" si="32">IF($C$59&gt;7000,"error",IF($C$59&gt;5999,AY154,IF($C$59&gt;4999,AX154,IF($C$59&gt;3999,AW154,IF($C$59&gt;2999,AV154,IF($C$59&gt;1999,AU154,"Error"))))))</f>
        <v>59.814999999999998</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598" t="s">
        <v>756</v>
      </c>
      <c r="BA155" s="602">
        <v>5.5</v>
      </c>
      <c r="BB155" s="598">
        <f t="shared" si="30"/>
        <v>53.377499999999998</v>
      </c>
      <c r="BC155" s="24" t="s">
        <v>436</v>
      </c>
      <c r="BE155" s="24"/>
      <c r="BF155" s="24">
        <f t="shared" si="31"/>
        <v>53.377499999999998</v>
      </c>
      <c r="BG155" s="24">
        <f t="shared" si="32"/>
        <v>89.722499999999997</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7" t="s">
        <v>757</v>
      </c>
      <c r="BA156" s="346">
        <v>5</v>
      </c>
      <c r="BB156" s="20">
        <f>IF($C$58="Base",BF156,BG156)</f>
        <v>71.17</v>
      </c>
      <c r="BC156" s="24" t="s">
        <v>436</v>
      </c>
      <c r="BD156" s="24">
        <f>IF(C58="base",BF156,BG156)</f>
        <v>71.17</v>
      </c>
      <c r="BE156" s="24"/>
      <c r="BF156" s="24">
        <f>IF($C$59&gt;7000,"error",IF($C$59&gt;5999,AR156,IF($C$59&gt;4999,AQ156,IF($C$59&gt;3999,AP156,IF($C$59&gt;2999,AO156,IF($C$59&gt;1999,AN156,"Error"))))))</f>
        <v>71.17</v>
      </c>
      <c r="BG156" s="24">
        <f t="shared" si="32"/>
        <v>119.63</v>
      </c>
      <c r="BH156" s="24"/>
      <c r="BI156" s="29" t="s">
        <v>142</v>
      </c>
      <c r="BJ156" s="29">
        <v>810</v>
      </c>
      <c r="BK156" s="29">
        <v>51.33</v>
      </c>
      <c r="BL156" s="24">
        <v>2060</v>
      </c>
      <c r="BM156" s="25"/>
      <c r="BN156" s="24"/>
      <c r="BO156" s="24"/>
      <c r="BP156" s="24"/>
      <c r="BQ156" s="29" t="s">
        <v>441</v>
      </c>
      <c r="BR156" s="29" t="s">
        <v>442</v>
      </c>
      <c r="BS156" s="29" t="s">
        <v>443</v>
      </c>
      <c r="BT156" s="14"/>
      <c r="BU156" s="30" t="s">
        <v>444</v>
      </c>
      <c r="BV156" s="31">
        <f>C60</f>
        <v>23771</v>
      </c>
      <c r="BW156" s="14" t="s">
        <v>445</v>
      </c>
      <c r="BX156" s="181" t="s">
        <v>13</v>
      </c>
      <c r="BY156" s="38">
        <f>BY157/BV156</f>
        <v>64.030856085145771</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605" t="s">
        <v>758</v>
      </c>
      <c r="BA157" s="606">
        <v>4.5</v>
      </c>
      <c r="BB157" s="605">
        <f t="shared" ref="BB157:BB164" si="35">IF($C$58="Base",BF157,BG157)</f>
        <v>80.290000000000006</v>
      </c>
      <c r="BC157" s="24" t="s">
        <v>436</v>
      </c>
      <c r="BD157" s="24">
        <f>BB157-BB156</f>
        <v>9.1200000000000045</v>
      </c>
      <c r="BE157" s="24"/>
      <c r="BF157" s="24">
        <f t="shared" ref="BF157:BF164" si="36">IF($C$59&gt;7000,"error",IF($C$59&gt;5999,AR157,IF($C$59&gt;4999,AQ157,IF($C$59&gt;3999,AP157,IF($C$59&gt;2999,AO157,IF($C$59&gt;1999,AN157,"Error"))))))</f>
        <v>80.290000000000006</v>
      </c>
      <c r="BG157" s="24">
        <f t="shared" si="32"/>
        <v>142.47</v>
      </c>
      <c r="BH157" s="24"/>
      <c r="BI157" s="29" t="s">
        <v>118</v>
      </c>
      <c r="BJ157" s="29">
        <v>810</v>
      </c>
      <c r="BK157" s="29">
        <v>51.33</v>
      </c>
      <c r="BL157" s="24">
        <v>2000</v>
      </c>
      <c r="BM157" s="25"/>
      <c r="BN157" s="24">
        <f>BV161/BV158</f>
        <v>34.798296296296293</v>
      </c>
      <c r="BO157" s="32" t="s">
        <v>447</v>
      </c>
      <c r="BP157" s="179">
        <f>$BY$158/SUM($BY$158:$BY$159)*C64</f>
        <v>54</v>
      </c>
      <c r="BQ157" s="29" t="s">
        <v>448</v>
      </c>
      <c r="BR157" s="29" t="s">
        <v>449</v>
      </c>
      <c r="BS157" s="29" t="s">
        <v>450</v>
      </c>
      <c r="BT157" s="14"/>
      <c r="BU157" s="30" t="s">
        <v>451</v>
      </c>
      <c r="BV157" s="33">
        <f xml:space="preserve"> 5 - 0.5*(BV158-BB156)/BH166</f>
        <v>5.9413377192982448</v>
      </c>
      <c r="BW157" s="14" t="s">
        <v>452</v>
      </c>
      <c r="BX157" s="181" t="s">
        <v>453</v>
      </c>
      <c r="BY157" s="180">
        <f>SUM(BY158:BY159)</f>
        <v>1522077.48</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8" t="s">
        <v>759</v>
      </c>
      <c r="BA158" s="25">
        <v>4</v>
      </c>
      <c r="BB158" s="24">
        <f t="shared" si="35"/>
        <v>89.42</v>
      </c>
      <c r="BC158" s="24" t="s">
        <v>436</v>
      </c>
      <c r="BD158" s="24">
        <f t="shared" ref="BD158:BD164" si="37">BB158-BB157</f>
        <v>9.1299999999999955</v>
      </c>
      <c r="BE158" s="24"/>
      <c r="BF158" s="24">
        <f t="shared" si="36"/>
        <v>89.42</v>
      </c>
      <c r="BG158" s="24">
        <f t="shared" si="32"/>
        <v>165.3</v>
      </c>
      <c r="BH158" s="24"/>
      <c r="BI158" s="29" t="s">
        <v>150</v>
      </c>
      <c r="BJ158" s="29">
        <v>810</v>
      </c>
      <c r="BK158" s="29">
        <v>51.33</v>
      </c>
      <c r="BL158" s="24">
        <v>4000</v>
      </c>
      <c r="BM158" s="25"/>
      <c r="BN158" s="179">
        <f>IF(C63=0,0,BV162/BV163)</f>
        <v>0</v>
      </c>
      <c r="BO158" s="24" t="s">
        <v>454</v>
      </c>
      <c r="BP158" s="179">
        <f>$BY$159/SUM($BY$158:$BY$159)*C64</f>
        <v>0</v>
      </c>
      <c r="BQ158" s="29" t="s">
        <v>455</v>
      </c>
      <c r="BR158" s="29" t="s">
        <v>456</v>
      </c>
      <c r="BS158" s="29" t="s">
        <v>457</v>
      </c>
      <c r="BT158" s="14"/>
      <c r="BU158" s="30" t="s">
        <v>458</v>
      </c>
      <c r="BV158" s="31">
        <f>BP157</f>
        <v>54</v>
      </c>
      <c r="BW158" s="14" t="s">
        <v>436</v>
      </c>
      <c r="BX158" s="181" t="s">
        <v>459</v>
      </c>
      <c r="BY158" s="178">
        <f>INDEX($BJ$156:$BJ$161,MATCH($C$57,$BI$156:$BI$161,0))*$C$62</f>
        <v>1522077.48</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t="s">
        <v>760</v>
      </c>
      <c r="BA159" s="25">
        <v>3.5</v>
      </c>
      <c r="BB159" s="24">
        <f t="shared" si="35"/>
        <v>98.54</v>
      </c>
      <c r="BC159" s="24" t="s">
        <v>436</v>
      </c>
      <c r="BD159" s="24">
        <f t="shared" si="37"/>
        <v>9.1200000000000045</v>
      </c>
      <c r="BE159" s="24"/>
      <c r="BF159" s="24">
        <f t="shared" si="36"/>
        <v>98.54</v>
      </c>
      <c r="BG159" s="24">
        <f t="shared" si="32"/>
        <v>188.13</v>
      </c>
      <c r="BH159" s="24"/>
      <c r="BI159" s="29" t="s">
        <v>460</v>
      </c>
      <c r="BJ159" s="29">
        <v>770</v>
      </c>
      <c r="BK159" s="29">
        <v>51.33</v>
      </c>
      <c r="BL159" s="24">
        <v>5000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0</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8" t="s">
        <v>761</v>
      </c>
      <c r="BA160" s="25">
        <v>3</v>
      </c>
      <c r="BB160" s="24">
        <f t="shared" si="35"/>
        <v>107.66</v>
      </c>
      <c r="BC160" s="24" t="s">
        <v>436</v>
      </c>
      <c r="BD160" s="24">
        <f t="shared" si="37"/>
        <v>9.1199999999999903</v>
      </c>
      <c r="BE160" s="24"/>
      <c r="BF160" s="24">
        <f t="shared" si="36"/>
        <v>107.66</v>
      </c>
      <c r="BG160" s="24">
        <f t="shared" si="32"/>
        <v>210.96</v>
      </c>
      <c r="BH160" s="24"/>
      <c r="BI160" s="29" t="s">
        <v>129</v>
      </c>
      <c r="BJ160" s="29">
        <v>980</v>
      </c>
      <c r="BK160" s="29">
        <v>51.33</v>
      </c>
      <c r="BL160" s="24">
        <v>3000</v>
      </c>
      <c r="BM160" s="25"/>
      <c r="BN160" s="24">
        <f>W162</f>
        <v>0.152</v>
      </c>
      <c r="BO160" s="24"/>
      <c r="BP160" s="24"/>
      <c r="BQ160" s="29" t="s">
        <v>466</v>
      </c>
      <c r="BR160" s="29" t="s">
        <v>467</v>
      </c>
      <c r="BS160" s="29"/>
      <c r="BT160" s="34"/>
      <c r="BU160" s="30" t="s">
        <v>468</v>
      </c>
      <c r="BV160" s="30" t="s">
        <v>469</v>
      </c>
      <c r="BW160" s="30" t="s">
        <v>433</v>
      </c>
      <c r="BX160" s="14"/>
      <c r="BY160" s="179">
        <f>((BY158+BY159)/$C$60)*(50/$C$61)</f>
        <v>59.920321996206034</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t="s">
        <v>762</v>
      </c>
      <c r="BA161" s="25">
        <v>2.5</v>
      </c>
      <c r="BB161" s="24">
        <f t="shared" si="35"/>
        <v>116.79</v>
      </c>
      <c r="BC161" s="24" t="s">
        <v>436</v>
      </c>
      <c r="BD161" s="24">
        <f t="shared" si="37"/>
        <v>9.1300000000000097</v>
      </c>
      <c r="BE161" s="24"/>
      <c r="BF161" s="24">
        <f t="shared" si="36"/>
        <v>116.79</v>
      </c>
      <c r="BG161" s="24">
        <f t="shared" si="32"/>
        <v>233.79</v>
      </c>
      <c r="BH161" s="24"/>
      <c r="BI161" s="29" t="s">
        <v>147</v>
      </c>
      <c r="BJ161" s="29">
        <v>680</v>
      </c>
      <c r="BK161" s="29">
        <v>51.33</v>
      </c>
      <c r="BL161" s="24">
        <v>6000</v>
      </c>
      <c r="BM161" s="37"/>
      <c r="BN161" s="37"/>
      <c r="BO161" s="37"/>
      <c r="BP161" s="37"/>
      <c r="BQ161" s="29" t="s">
        <v>470</v>
      </c>
      <c r="BR161" s="29" t="s">
        <v>18</v>
      </c>
      <c r="BS161" s="29"/>
      <c r="BT161" s="14"/>
      <c r="BU161" s="14" t="s">
        <v>471</v>
      </c>
      <c r="BV161" s="31">
        <f>C62</f>
        <v>1879.1079999999999</v>
      </c>
      <c r="BW161" s="14" t="s">
        <v>311</v>
      </c>
      <c r="BX161" s="14"/>
      <c r="BY161" s="14"/>
      <c r="BZ161" s="38">
        <f>5-(0.5*(C64-CE177)/(CE176-CE177))</f>
        <v>5.9413377192982448</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125.91</v>
      </c>
      <c r="BC162" s="24" t="s">
        <v>436</v>
      </c>
      <c r="BD162" s="24">
        <f t="shared" si="37"/>
        <v>9.1199999999999903</v>
      </c>
      <c r="BE162" s="24"/>
      <c r="BF162" s="24">
        <f t="shared" si="36"/>
        <v>125.91</v>
      </c>
      <c r="BG162" s="24">
        <f t="shared" si="32"/>
        <v>256.62</v>
      </c>
      <c r="BH162" s="24"/>
      <c r="BI162" s="24"/>
      <c r="BJ162" s="24"/>
      <c r="BK162" s="24"/>
      <c r="BL162" s="24"/>
      <c r="BM162" s="37"/>
      <c r="BN162" s="37"/>
      <c r="BO162" s="37"/>
      <c r="BP162" s="37"/>
      <c r="BQ162" s="29" t="s">
        <v>473</v>
      </c>
      <c r="BR162" s="24"/>
      <c r="BS162" s="24"/>
      <c r="BT162" s="14"/>
      <c r="BU162" s="14" t="s">
        <v>474</v>
      </c>
      <c r="BV162" s="31">
        <f>C63</f>
        <v>0</v>
      </c>
      <c r="BW162" s="14" t="s">
        <v>314</v>
      </c>
      <c r="BX162" s="14"/>
      <c r="BY162" s="38">
        <f>C63*BK156</f>
        <v>0</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135.04</v>
      </c>
      <c r="BC163" s="24" t="s">
        <v>436</v>
      </c>
      <c r="BD163" s="24">
        <f t="shared" si="37"/>
        <v>9.1299999999999955</v>
      </c>
      <c r="BE163" s="24"/>
      <c r="BF163" s="24">
        <f t="shared" si="36"/>
        <v>135.04</v>
      </c>
      <c r="BG163" s="24">
        <f t="shared" si="32"/>
        <v>279.45</v>
      </c>
      <c r="BH163" s="24"/>
      <c r="BI163" s="24"/>
      <c r="BJ163" s="24"/>
      <c r="BK163" s="24"/>
      <c r="BL163" s="24"/>
      <c r="BM163" s="37"/>
      <c r="BN163" s="37"/>
      <c r="BO163" s="37"/>
      <c r="BP163" s="37"/>
      <c r="BQ163" s="29" t="s">
        <v>475</v>
      </c>
      <c r="BR163" s="24"/>
      <c r="BS163" s="24"/>
      <c r="BT163" s="14"/>
      <c r="BU163" s="14" t="s">
        <v>476</v>
      </c>
      <c r="BV163" s="38">
        <f>BP158</f>
        <v>0</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144.16</v>
      </c>
      <c r="BC164" s="24" t="s">
        <v>436</v>
      </c>
      <c r="BD164" s="24">
        <f t="shared" si="37"/>
        <v>9.1200000000000045</v>
      </c>
      <c r="BE164" s="24"/>
      <c r="BF164" s="24">
        <f t="shared" si="36"/>
        <v>144.16</v>
      </c>
      <c r="BG164" s="24">
        <f t="shared" si="32"/>
        <v>302.27999999999997</v>
      </c>
      <c r="BH164" s="24"/>
      <c r="BI164" s="24"/>
      <c r="BJ164" s="24"/>
      <c r="BK164" s="24"/>
      <c r="BL164" s="24"/>
      <c r="BM164" s="37"/>
      <c r="BN164" s="37"/>
      <c r="BO164" s="37"/>
      <c r="BP164" s="37"/>
      <c r="BQ164" s="29" t="s">
        <v>478</v>
      </c>
      <c r="BR164" s="24"/>
      <c r="BS164" s="24"/>
      <c r="BT164" s="14"/>
      <c r="BU164" s="14"/>
      <c r="BV164" s="38">
        <f>BV163+BV158</f>
        <v>54</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f>G66</f>
        <v>45473</v>
      </c>
      <c r="H166" s="206">
        <f t="shared" ref="H166:Q166" si="38">H66</f>
        <v>45838</v>
      </c>
      <c r="I166" s="206">
        <f t="shared" si="38"/>
        <v>46203</v>
      </c>
      <c r="J166" s="206">
        <f t="shared" si="38"/>
        <v>46568</v>
      </c>
      <c r="K166" s="206">
        <f t="shared" si="38"/>
        <v>46934</v>
      </c>
      <c r="L166" s="206">
        <f t="shared" si="38"/>
        <v>47299</v>
      </c>
      <c r="M166" s="206">
        <f t="shared" si="38"/>
        <v>47664</v>
      </c>
      <c r="N166" s="206">
        <f t="shared" si="38"/>
        <v>48029</v>
      </c>
      <c r="O166" s="206">
        <f t="shared" si="38"/>
        <v>48395</v>
      </c>
      <c r="P166" s="206">
        <f t="shared" si="38"/>
        <v>48760</v>
      </c>
      <c r="Q166" s="206">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IF($C$58="base",INDEX($AN$157:$AR$157,MATCH($C$57,$AN$165:$AR$165,0)),INDEX($AU$157:$AY$157,MATCH($C$57,$AU$165:$AY$165,0)))</f>
        <v>80.290000000000006</v>
      </c>
      <c r="BF166" s="47" t="s">
        <v>388</v>
      </c>
      <c r="BG166" s="47">
        <f>BD156</f>
        <v>71.17</v>
      </c>
      <c r="BH166" s="47">
        <f>BD157</f>
        <v>9.1200000000000045</v>
      </c>
      <c r="BI166" s="47">
        <f>BD158</f>
        <v>9.1299999999999955</v>
      </c>
      <c r="BJ166" s="47">
        <f>BD159</f>
        <v>9.1200000000000045</v>
      </c>
      <c r="BK166" s="47">
        <f>BD160</f>
        <v>9.1199999999999903</v>
      </c>
      <c r="BL166" s="47">
        <f>BD161</f>
        <v>9.1300000000000097</v>
      </c>
      <c r="BM166" s="47">
        <f>BD162</f>
        <v>9.1199999999999903</v>
      </c>
      <c r="BN166" s="47">
        <f>BD163</f>
        <v>9.1299999999999955</v>
      </c>
      <c r="BO166" s="47">
        <f>BD164</f>
        <v>9.1200000000000045</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0">IF($E69&lt;G$66,$C69,0)</f>
        <v>0</v>
      </c>
      <c r="H167" s="12">
        <f t="shared" ref="H167:J186" si="41">IF($E69&gt;H$66,0,IF($E69&lt;H$66-365,$C69,0))</f>
        <v>0</v>
      </c>
      <c r="I167" s="12">
        <f t="shared" si="41"/>
        <v>0</v>
      </c>
      <c r="J167" s="12">
        <f t="shared" si="41"/>
        <v>0</v>
      </c>
      <c r="K167" s="12">
        <f t="shared" ref="K167:K209" si="42">IF($E69&lt;K$66,$C69,0)</f>
        <v>-28.125</v>
      </c>
      <c r="L167" s="12">
        <f t="shared" ref="L167:N186" si="43">IF($E69&gt;L$66,0,IF($E69&lt;L$66-365,$C69,0))</f>
        <v>-28.125</v>
      </c>
      <c r="M167" s="12">
        <f t="shared" si="43"/>
        <v>-28.125</v>
      </c>
      <c r="N167" s="12">
        <f t="shared" si="43"/>
        <v>-28.125</v>
      </c>
      <c r="O167" s="12">
        <f t="shared" ref="O167:O209" si="44">IF($E69&lt;O$66,$C69,0)</f>
        <v>-28.125</v>
      </c>
      <c r="P167" s="12">
        <f t="shared" ref="P167:Q186" si="45">IF($E69&gt;P$66,0,IF($E69&lt;P$66-365,$C69,0))</f>
        <v>-28.125</v>
      </c>
      <c r="Q167" s="12">
        <f t="shared" si="45"/>
        <v>-28.125</v>
      </c>
      <c r="T167" s="14"/>
      <c r="U167" s="14"/>
      <c r="V167" s="14"/>
      <c r="W167" s="53">
        <f t="shared" ref="W167:W211" si="46">C68*$BN$160*1000</f>
        <v>0</v>
      </c>
      <c r="X167" s="54" t="e">
        <f t="shared" ref="X167:X211" si="47">-1*F68/W167</f>
        <v>#DIV/0!</v>
      </c>
      <c r="Y167" s="25">
        <f t="shared" ref="Y167:Y193" si="48">Z167/(2*$BH$166)</f>
        <v>0</v>
      </c>
      <c r="Z167" s="25">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ref="BE167:BE176" si="55">IF($C$58="base",INDEX($AN$157:$AR$157,MATCH($C$57,$AN$165:$AR$165,0)),INDEX($AU$157:$AY$157,MATCH($C$57,$AU$165:$AY$165,0)))</f>
        <v>80.290000000000006</v>
      </c>
      <c r="BF167" s="24" t="s">
        <v>486</v>
      </c>
      <c r="BG167" s="56">
        <f>BV158+($C$64-$BV$158)</f>
        <v>54</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0"/>
        <v>0</v>
      </c>
      <c r="H168" s="12">
        <f t="shared" si="41"/>
        <v>0</v>
      </c>
      <c r="I168" s="12">
        <f t="shared" si="41"/>
        <v>0</v>
      </c>
      <c r="J168" s="12">
        <f t="shared" si="41"/>
        <v>0</v>
      </c>
      <c r="K168" s="12">
        <f t="shared" si="42"/>
        <v>-20.166</v>
      </c>
      <c r="L168" s="12">
        <f t="shared" si="43"/>
        <v>-20.166</v>
      </c>
      <c r="M168" s="12">
        <f t="shared" si="43"/>
        <v>-20.166</v>
      </c>
      <c r="N168" s="12">
        <f t="shared" si="43"/>
        <v>-20.166</v>
      </c>
      <c r="O168" s="12">
        <f t="shared" si="44"/>
        <v>-20.166</v>
      </c>
      <c r="P168" s="12">
        <f t="shared" si="45"/>
        <v>-20.166</v>
      </c>
      <c r="Q168" s="12">
        <f t="shared" si="45"/>
        <v>-20.166</v>
      </c>
      <c r="T168" s="57"/>
      <c r="U168" s="57"/>
      <c r="V168" s="57"/>
      <c r="W168" s="53">
        <f t="shared" si="46"/>
        <v>-4274.9999999999991</v>
      </c>
      <c r="X168" s="54">
        <f t="shared" si="47"/>
        <v>1.4619883040935675</v>
      </c>
      <c r="Y168" s="596">
        <f t="shared" si="48"/>
        <v>-4.4310812700269972E-2</v>
      </c>
      <c r="Z168" s="25">
        <f t="shared" ref="Z168:Z213" si="56">IF($C$63=0,($C69/$BN$157),($C69/$BN$157)+($D69/$BN$158))</f>
        <v>-0.80822922365292471</v>
      </c>
      <c r="AA168" s="54">
        <f t="shared" ref="AA168:AK168" si="57">IF($C$63=0,IF($E69+365&lt;$C$56,0,IF($E69&lt;$C$56,(($E69+365-$C$56)/365)*(($C69/$BN$157)),IF($E69&gt;AA$166,0,IF($E69+365&lt;AA$166,($C69/$BN$157),((AA$166-$E69)/365)*(($C69/$BN$157)))))),IF($E69+365&lt;$C$56,0,IF($E69&lt;$C$56,(($E69+365-$C$56)/365)*(($C69/$BN$157)+($D69/$BN$158)),IF($E69&gt;AA$166,0,IF($E69+365&lt;AA$166,($C69/$BN$157)+($D69/$BN$158),((AA$166-$E69)/365)*(($C69/$BN$157)+($D69/$BN$158)))))))</f>
        <v>0</v>
      </c>
      <c r="AB168" s="54">
        <f t="shared" si="57"/>
        <v>0</v>
      </c>
      <c r="AC168" s="54">
        <f t="shared" si="57"/>
        <v>0</v>
      </c>
      <c r="AD168" s="54">
        <f t="shared" si="57"/>
        <v>0</v>
      </c>
      <c r="AE168" s="54">
        <f t="shared" si="57"/>
        <v>-0.80822922365292471</v>
      </c>
      <c r="AF168" s="54">
        <f t="shared" si="57"/>
        <v>-0.80822922365292471</v>
      </c>
      <c r="AG168" s="54">
        <f t="shared" si="57"/>
        <v>-0.80822922365292471</v>
      </c>
      <c r="AH168" s="54">
        <f t="shared" si="57"/>
        <v>-0.80822922365292471</v>
      </c>
      <c r="AI168" s="54">
        <f t="shared" si="57"/>
        <v>-0.80822922365292471</v>
      </c>
      <c r="AJ168" s="54">
        <f t="shared" si="57"/>
        <v>-0.80822922365292471</v>
      </c>
      <c r="AK168" s="54">
        <f t="shared" si="57"/>
        <v>-0.80822922365292471</v>
      </c>
      <c r="AL168" s="24">
        <f t="shared" si="51"/>
        <v>-28.125</v>
      </c>
      <c r="AM168" s="24">
        <f t="shared" si="52"/>
        <v>0</v>
      </c>
      <c r="AN168" s="55">
        <f t="shared" si="53"/>
        <v>6250</v>
      </c>
      <c r="AO168" s="55">
        <f t="shared" si="54"/>
        <v>0</v>
      </c>
      <c r="AP168" s="24"/>
      <c r="AQ168" s="24"/>
      <c r="AR168" s="24"/>
      <c r="AS168" s="24"/>
      <c r="AT168" s="24"/>
      <c r="AU168" s="24"/>
      <c r="AV168" s="24"/>
      <c r="AW168" s="24"/>
      <c r="AX168" s="24"/>
      <c r="AY168" s="24"/>
      <c r="AZ168" s="24"/>
      <c r="BA168" s="24"/>
      <c r="BB168" s="24"/>
      <c r="BC168" s="24"/>
      <c r="BD168" s="24"/>
      <c r="BE168" s="24">
        <f t="shared" si="55"/>
        <v>80.290000000000006</v>
      </c>
      <c r="BF168" s="59">
        <f>AB166</f>
        <v>45747</v>
      </c>
      <c r="BG168" s="36">
        <f>(BV158+AB214)+($C$64-$BV$158)</f>
        <v>54</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QLD</v>
      </c>
      <c r="CF168" s="14" t="str">
        <f>C57</f>
        <v>QLD</v>
      </c>
      <c r="CG168" s="14"/>
      <c r="CH168" s="25" t="s">
        <v>388</v>
      </c>
      <c r="CI168" s="14" t="s">
        <v>488</v>
      </c>
      <c r="CJ168" s="14"/>
    </row>
    <row r="169" spans="7:88">
      <c r="G169" s="12">
        <f t="shared" si="40"/>
        <v>0</v>
      </c>
      <c r="H169" s="12">
        <f t="shared" si="41"/>
        <v>0</v>
      </c>
      <c r="I169" s="12">
        <f t="shared" si="41"/>
        <v>0</v>
      </c>
      <c r="J169" s="12">
        <f t="shared" si="41"/>
        <v>0</v>
      </c>
      <c r="K169" s="12">
        <f t="shared" si="42"/>
        <v>-39.526000000000003</v>
      </c>
      <c r="L169" s="12">
        <f t="shared" si="43"/>
        <v>-39.526000000000003</v>
      </c>
      <c r="M169" s="12">
        <f t="shared" si="43"/>
        <v>-39.526000000000003</v>
      </c>
      <c r="N169" s="12">
        <f t="shared" si="43"/>
        <v>-39.526000000000003</v>
      </c>
      <c r="O169" s="12">
        <f t="shared" si="44"/>
        <v>-39.526000000000003</v>
      </c>
      <c r="P169" s="12">
        <f t="shared" si="45"/>
        <v>-39.526000000000003</v>
      </c>
      <c r="Q169" s="12">
        <f t="shared" si="45"/>
        <v>-39.526000000000003</v>
      </c>
      <c r="T169" s="61"/>
      <c r="U169" s="61"/>
      <c r="V169" s="61"/>
      <c r="W169" s="53">
        <f t="shared" si="46"/>
        <v>-3065.232</v>
      </c>
      <c r="X169" s="54">
        <f t="shared" si="47"/>
        <v>0</v>
      </c>
      <c r="Y169" s="596">
        <f t="shared" si="48"/>
        <v>-3.1771443516929579E-2</v>
      </c>
      <c r="Z169" s="596">
        <f t="shared" si="56"/>
        <v>-0.57951112974879582</v>
      </c>
      <c r="AA169" s="54">
        <f t="shared" ref="AA169:AK169" si="58">IF($C$63=0,IF($E70+365&lt;$C$56,0,IF($E70&lt;$C$56,(($E70+365-$C$56)/365)*(($C70/$BN$157)),IF($E70&gt;AA$166,0,IF($E70+365&lt;AA$166,($C70/$BN$157),((AA$166-$E70)/365)*(($C70/$BN$157)))))),IF($E70+365&lt;$C$56,0,IF($E70&lt;$C$56,(($E70+365-$C$56)/365)*(($C70/$BN$157)+($D70/$BN$158)),IF($E70&gt;AA$166,0,IF($E70+365&lt;AA$166,($C70/$BN$157)+($D70/$BN$158),((AA$166-$E70)/365)*(($C70/$BN$157)+($D70/$BN$158)))))))</f>
        <v>0</v>
      </c>
      <c r="AB169" s="54">
        <f t="shared" si="58"/>
        <v>0</v>
      </c>
      <c r="AC169" s="54">
        <f t="shared" si="58"/>
        <v>0</v>
      </c>
      <c r="AD169" s="54">
        <f t="shared" si="58"/>
        <v>0</v>
      </c>
      <c r="AE169" s="54">
        <f t="shared" si="58"/>
        <v>-0.57951112974879582</v>
      </c>
      <c r="AF169" s="54">
        <f t="shared" si="58"/>
        <v>-0.57951112974879582</v>
      </c>
      <c r="AG169" s="54">
        <f t="shared" si="58"/>
        <v>-0.57951112974879582</v>
      </c>
      <c r="AH169" s="54">
        <f t="shared" si="58"/>
        <v>-0.57951112974879582</v>
      </c>
      <c r="AI169" s="54">
        <f t="shared" si="58"/>
        <v>-0.57951112974879582</v>
      </c>
      <c r="AJ169" s="54">
        <f t="shared" si="58"/>
        <v>-0.57951112974879582</v>
      </c>
      <c r="AK169" s="54">
        <f t="shared" si="58"/>
        <v>-0.57951112974879582</v>
      </c>
      <c r="AL169" s="24">
        <f t="shared" si="51"/>
        <v>-20.166</v>
      </c>
      <c r="AM169" s="24">
        <f t="shared" si="52"/>
        <v>0</v>
      </c>
      <c r="AN169" s="55">
        <f t="shared" si="53"/>
        <v>0</v>
      </c>
      <c r="AO169" s="55">
        <f t="shared" si="54"/>
        <v>0</v>
      </c>
      <c r="AP169" s="24"/>
      <c r="AQ169" s="24"/>
      <c r="AR169" s="24"/>
      <c r="AS169" s="24"/>
      <c r="AT169" s="24"/>
      <c r="AU169" s="24"/>
      <c r="AV169" s="24"/>
      <c r="AW169" s="24"/>
      <c r="AX169" s="24"/>
      <c r="AY169" s="24"/>
      <c r="AZ169" s="24"/>
      <c r="BA169" s="24"/>
      <c r="BB169" s="24"/>
      <c r="BC169" s="24"/>
      <c r="BD169" s="24"/>
      <c r="BE169" s="24">
        <f t="shared" si="55"/>
        <v>80.290000000000006</v>
      </c>
      <c r="BF169" s="59">
        <f>BF168+365</f>
        <v>46112</v>
      </c>
      <c r="BG169" s="36">
        <f>BV158+AC214+($C$64-$BV$158)</f>
        <v>53.999999784472209</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144.16</v>
      </c>
      <c r="CF169" s="14">
        <f>CJ177</f>
        <v>302.27999999999997</v>
      </c>
      <c r="CG169" s="14"/>
      <c r="CH169" s="25">
        <v>5</v>
      </c>
      <c r="CI169" s="14">
        <f t="shared" ref="CI169:CI177" si="59">INDEX(AN156:AR156,MATCH($CE$168,$AN$165:$AR$165,0))</f>
        <v>71.17</v>
      </c>
      <c r="CJ169" s="14">
        <f t="shared" ref="CJ169:CJ177" si="60">INDEX(AU156:AY156,MATCH($CE$168,$AN$165:$AR$165,0))</f>
        <v>119.63</v>
      </c>
    </row>
    <row r="170" spans="7:88">
      <c r="G170" s="12">
        <f t="shared" si="40"/>
        <v>0</v>
      </c>
      <c r="H170" s="12">
        <f t="shared" si="41"/>
        <v>0</v>
      </c>
      <c r="I170" s="12">
        <f t="shared" si="41"/>
        <v>0</v>
      </c>
      <c r="J170" s="12">
        <f t="shared" si="41"/>
        <v>0</v>
      </c>
      <c r="K170" s="12">
        <f t="shared" si="42"/>
        <v>-20.821999999999999</v>
      </c>
      <c r="L170" s="12">
        <f t="shared" si="43"/>
        <v>-20.821999999999999</v>
      </c>
      <c r="M170" s="12">
        <f t="shared" si="43"/>
        <v>-20.821999999999999</v>
      </c>
      <c r="N170" s="12">
        <f t="shared" si="43"/>
        <v>-20.821999999999999</v>
      </c>
      <c r="O170" s="12">
        <f t="shared" si="44"/>
        <v>-20.821999999999999</v>
      </c>
      <c r="P170" s="12">
        <f t="shared" si="45"/>
        <v>-20.821999999999999</v>
      </c>
      <c r="Q170" s="12">
        <f t="shared" si="45"/>
        <v>-20.821999999999999</v>
      </c>
      <c r="T170" s="61"/>
      <c r="U170" s="61"/>
      <c r="V170" s="61"/>
      <c r="W170" s="53">
        <f t="shared" si="46"/>
        <v>-6007.9520000000002</v>
      </c>
      <c r="X170" s="54">
        <f t="shared" si="47"/>
        <v>5.2014396919282975</v>
      </c>
      <c r="Y170" s="25">
        <f t="shared" si="48"/>
        <v>-6.2273037610342086E-2</v>
      </c>
      <c r="Z170" s="596">
        <f t="shared" si="56"/>
        <v>-1.1358602060126402</v>
      </c>
      <c r="AA170" s="54">
        <f t="shared" ref="AA170:AK170" si="61">IF($C$63=0,IF($E71+365&lt;$C$56,0,IF($E71&lt;$C$56,(($E71+365-$C$56)/365)*(($C71/$BN$157)),IF($E71&gt;AA$166,0,IF($E71+365&lt;AA$166,($C71/$BN$157),((AA$166-$E71)/365)*(($C71/$BN$157)))))),IF($E71+365&lt;$C$56,0,IF($E71&lt;$C$56,(($E71+365-$C$56)/365)*(($C71/$BN$157)+($D71/$BN$158)),IF($E71&gt;AA$166,0,IF($E71+365&lt;AA$166,($C71/$BN$157)+($D71/$BN$158),((AA$166-$E71)/365)*(($C71/$BN$157)+($D71/$BN$158)))))))</f>
        <v>0</v>
      </c>
      <c r="AB170" s="54">
        <f t="shared" si="61"/>
        <v>0</v>
      </c>
      <c r="AC170" s="54">
        <f t="shared" si="61"/>
        <v>0</v>
      </c>
      <c r="AD170" s="54">
        <f t="shared" si="61"/>
        <v>0</v>
      </c>
      <c r="AE170" s="54">
        <f t="shared" si="61"/>
        <v>-1.1358602060126402</v>
      </c>
      <c r="AF170" s="54">
        <f t="shared" si="61"/>
        <v>-1.1358602060126402</v>
      </c>
      <c r="AG170" s="54">
        <f t="shared" si="61"/>
        <v>-1.1358602060126402</v>
      </c>
      <c r="AH170" s="54">
        <f t="shared" si="61"/>
        <v>-1.1358602060126402</v>
      </c>
      <c r="AI170" s="54">
        <f t="shared" si="61"/>
        <v>-1.1358602060126402</v>
      </c>
      <c r="AJ170" s="54">
        <f t="shared" si="61"/>
        <v>-1.1358602060126402</v>
      </c>
      <c r="AK170" s="54">
        <f t="shared" si="61"/>
        <v>-1.1358602060126402</v>
      </c>
      <c r="AL170" s="24">
        <f t="shared" si="51"/>
        <v>-39.526000000000003</v>
      </c>
      <c r="AM170" s="24">
        <f t="shared" si="52"/>
        <v>0</v>
      </c>
      <c r="AN170" s="55">
        <f t="shared" si="53"/>
        <v>31250</v>
      </c>
      <c r="AO170" s="55">
        <f t="shared" si="54"/>
        <v>0</v>
      </c>
      <c r="AP170" s="24"/>
      <c r="AQ170" s="24"/>
      <c r="AR170" s="24"/>
      <c r="AS170" s="24"/>
      <c r="AT170" s="24"/>
      <c r="AU170" s="24"/>
      <c r="AV170" s="24"/>
      <c r="AW170" s="24"/>
      <c r="AX170" s="24"/>
      <c r="AY170" s="24"/>
      <c r="AZ170" s="24"/>
      <c r="BA170" s="24"/>
      <c r="BB170" s="24"/>
      <c r="BC170" s="24"/>
      <c r="BD170" s="24"/>
      <c r="BE170" s="24">
        <f t="shared" si="55"/>
        <v>80.290000000000006</v>
      </c>
      <c r="BF170" s="59">
        <f>BF169+365</f>
        <v>46477</v>
      </c>
      <c r="BG170" s="36">
        <f>$BV$158+AD214+($C$64-$BV$158)</f>
        <v>53.999999784472209</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135.04</v>
      </c>
      <c r="CF170" s="14">
        <f>CJ176</f>
        <v>279.45</v>
      </c>
      <c r="CG170" s="14"/>
      <c r="CH170" s="25">
        <v>4.5</v>
      </c>
      <c r="CI170" s="14">
        <f t="shared" si="59"/>
        <v>80.290000000000006</v>
      </c>
      <c r="CJ170" s="14">
        <f t="shared" si="60"/>
        <v>142.47</v>
      </c>
    </row>
    <row r="171" spans="7:88">
      <c r="G171" s="12">
        <f t="shared" si="40"/>
        <v>0</v>
      </c>
      <c r="H171" s="12">
        <f t="shared" si="41"/>
        <v>0</v>
      </c>
      <c r="I171" s="12">
        <f t="shared" si="41"/>
        <v>0</v>
      </c>
      <c r="J171" s="12">
        <f t="shared" si="41"/>
        <v>0</v>
      </c>
      <c r="K171" s="12">
        <f t="shared" si="42"/>
        <v>-12.023999999999999</v>
      </c>
      <c r="L171" s="12">
        <f t="shared" si="43"/>
        <v>-12.023999999999999</v>
      </c>
      <c r="M171" s="12">
        <f t="shared" si="43"/>
        <v>-12.023999999999999</v>
      </c>
      <c r="N171" s="12">
        <f t="shared" si="43"/>
        <v>-12.023999999999999</v>
      </c>
      <c r="O171" s="12">
        <f t="shared" si="44"/>
        <v>-12.023999999999999</v>
      </c>
      <c r="P171" s="12">
        <f t="shared" si="45"/>
        <v>-12.023999999999999</v>
      </c>
      <c r="Q171" s="12">
        <f t="shared" si="45"/>
        <v>-12.023999999999999</v>
      </c>
      <c r="T171" s="61"/>
      <c r="U171" s="61"/>
      <c r="V171" s="61"/>
      <c r="W171" s="53">
        <f t="shared" si="46"/>
        <v>-3164.944</v>
      </c>
      <c r="X171" s="54">
        <f t="shared" si="47"/>
        <v>3.9495169582779348</v>
      </c>
      <c r="Y171" s="596">
        <f t="shared" si="48"/>
        <v>-3.2804968606045204E-2</v>
      </c>
      <c r="Z171" s="596">
        <f t="shared" si="56"/>
        <v>-0.59836262737426482</v>
      </c>
      <c r="AA171" s="54">
        <f t="shared" ref="AA171:AK171" si="62">IF($C$63=0,IF($E72+365&lt;$C$56,0,IF($E72&lt;$C$56,(($E72+365-$C$56)/365)*(($C72/$BN$157)),IF($E72&gt;AA$166,0,IF($E72+365&lt;AA$166,($C72/$BN$157),((AA$166-$E72)/365)*(($C72/$BN$157)))))),IF($E72+365&lt;$C$56,0,IF($E72&lt;$C$56,(($E72+365-$C$56)/365)*(($C72/$BN$157)+($D72/$BN$158)),IF($E72&gt;AA$166,0,IF($E72+365&lt;AA$166,($C72/$BN$157)+($D72/$BN$158),((AA$166-$E72)/365)*(($C72/$BN$157)+($D72/$BN$158)))))))</f>
        <v>0</v>
      </c>
      <c r="AB171" s="54">
        <f t="shared" si="62"/>
        <v>0</v>
      </c>
      <c r="AC171" s="54">
        <f t="shared" si="62"/>
        <v>0</v>
      </c>
      <c r="AD171" s="54">
        <f t="shared" si="62"/>
        <v>0</v>
      </c>
      <c r="AE171" s="54">
        <f t="shared" si="62"/>
        <v>-0.59836262737426482</v>
      </c>
      <c r="AF171" s="54">
        <f t="shared" si="62"/>
        <v>-0.59836262737426482</v>
      </c>
      <c r="AG171" s="54">
        <f t="shared" si="62"/>
        <v>-0.59836262737426482</v>
      </c>
      <c r="AH171" s="54">
        <f t="shared" si="62"/>
        <v>-0.59836262737426482</v>
      </c>
      <c r="AI171" s="54">
        <f t="shared" si="62"/>
        <v>-0.59836262737426482</v>
      </c>
      <c r="AJ171" s="54">
        <f t="shared" si="62"/>
        <v>-0.59836262737426482</v>
      </c>
      <c r="AK171" s="54">
        <f t="shared" si="62"/>
        <v>-0.59836262737426482</v>
      </c>
      <c r="AL171" s="24">
        <f t="shared" si="51"/>
        <v>-20.821999999999999</v>
      </c>
      <c r="AM171" s="24">
        <f t="shared" si="52"/>
        <v>0</v>
      </c>
      <c r="AN171" s="55">
        <f t="shared" si="53"/>
        <v>12500</v>
      </c>
      <c r="AO171" s="55">
        <f t="shared" si="54"/>
        <v>0</v>
      </c>
      <c r="AP171" s="24"/>
      <c r="AQ171" s="24"/>
      <c r="AR171" s="24"/>
      <c r="AS171" s="24"/>
      <c r="AT171" s="24"/>
      <c r="AU171" s="24"/>
      <c r="AV171" s="24"/>
      <c r="AW171" s="24"/>
      <c r="AX171" s="24"/>
      <c r="AY171" s="24"/>
      <c r="AZ171" s="24"/>
      <c r="BA171" s="24"/>
      <c r="BB171" s="24"/>
      <c r="BC171" s="24"/>
      <c r="BD171" s="24"/>
      <c r="BE171" s="24">
        <f t="shared" si="55"/>
        <v>80.290000000000006</v>
      </c>
      <c r="BF171" s="59">
        <f t="shared" ref="BF171:BF176" si="63">BF170+365</f>
        <v>46842</v>
      </c>
      <c r="BG171" s="36">
        <f>$BV$158+AE214+($C$64-$BV$158)</f>
        <v>50.192097843764166</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125.91</v>
      </c>
      <c r="CF171" s="14">
        <f>CJ175</f>
        <v>256.62</v>
      </c>
      <c r="CG171" s="14"/>
      <c r="CH171" s="25">
        <v>4</v>
      </c>
      <c r="CI171" s="14">
        <f t="shared" si="59"/>
        <v>89.42</v>
      </c>
      <c r="CJ171" s="14">
        <f t="shared" si="60"/>
        <v>165.3</v>
      </c>
    </row>
    <row r="172" spans="7:88">
      <c r="G172" s="12">
        <f t="shared" si="40"/>
        <v>0</v>
      </c>
      <c r="H172" s="12">
        <f t="shared" si="41"/>
        <v>0</v>
      </c>
      <c r="I172" s="12">
        <f t="shared" si="41"/>
        <v>0</v>
      </c>
      <c r="J172" s="12">
        <f t="shared" si="41"/>
        <v>0</v>
      </c>
      <c r="K172" s="12">
        <f t="shared" si="42"/>
        <v>-56.015000000000001</v>
      </c>
      <c r="L172" s="12">
        <f t="shared" si="43"/>
        <v>-56.015000000000001</v>
      </c>
      <c r="M172" s="12">
        <f t="shared" si="43"/>
        <v>-56.015000000000001</v>
      </c>
      <c r="N172" s="12">
        <f t="shared" si="43"/>
        <v>-56.015000000000001</v>
      </c>
      <c r="O172" s="12">
        <f t="shared" si="44"/>
        <v>-56.015000000000001</v>
      </c>
      <c r="P172" s="12">
        <f t="shared" si="45"/>
        <v>-56.015000000000001</v>
      </c>
      <c r="Q172" s="12">
        <f t="shared" si="45"/>
        <v>-56.015000000000001</v>
      </c>
      <c r="T172" s="61"/>
      <c r="U172" s="61"/>
      <c r="V172" s="61"/>
      <c r="W172" s="53">
        <f t="shared" si="46"/>
        <v>-1827.6479999999997</v>
      </c>
      <c r="X172" s="54">
        <f t="shared" si="47"/>
        <v>13.678782785306582</v>
      </c>
      <c r="Y172" s="25">
        <f t="shared" si="48"/>
        <v>-1.8943758645619417E-2</v>
      </c>
      <c r="Z172" s="596">
        <f t="shared" si="56"/>
        <v>-0.34553415769609835</v>
      </c>
      <c r="AA172" s="54">
        <f t="shared" ref="AA172:AK172" si="64">IF($C$63=0,IF($E73+365&lt;$C$56,0,IF($E73&lt;$C$56,(($E73+365-$C$56)/365)*(($C73/$BN$157)),IF($E73&gt;AA$166,0,IF($E73+365&lt;AA$166,($C73/$BN$157),((AA$166-$E73)/365)*(($C73/$BN$157)))))),IF($E73+365&lt;$C$56,0,IF($E73&lt;$C$56,(($E73+365-$C$56)/365)*(($C73/$BN$157)+($D73/$BN$158)),IF($E73&gt;AA$166,0,IF($E73+365&lt;AA$166,($C73/$BN$157)+($D73/$BN$158),((AA$166-$E73)/365)*(($C73/$BN$157)+($D73/$BN$158)))))))</f>
        <v>0</v>
      </c>
      <c r="AB172" s="54">
        <f t="shared" si="64"/>
        <v>0</v>
      </c>
      <c r="AC172" s="54">
        <f t="shared" si="64"/>
        <v>0</v>
      </c>
      <c r="AD172" s="54">
        <f t="shared" si="64"/>
        <v>0</v>
      </c>
      <c r="AE172" s="54">
        <f t="shared" si="64"/>
        <v>-0.34553415769609835</v>
      </c>
      <c r="AF172" s="54">
        <f t="shared" si="64"/>
        <v>-0.34553415769609835</v>
      </c>
      <c r="AG172" s="54">
        <f t="shared" si="64"/>
        <v>-0.34553415769609835</v>
      </c>
      <c r="AH172" s="54">
        <f t="shared" si="64"/>
        <v>-0.34553415769609835</v>
      </c>
      <c r="AI172" s="54">
        <f t="shared" si="64"/>
        <v>-0.34553415769609835</v>
      </c>
      <c r="AJ172" s="54">
        <f t="shared" si="64"/>
        <v>-0.34553415769609835</v>
      </c>
      <c r="AK172" s="54">
        <f t="shared" si="64"/>
        <v>-0.34553415769609835</v>
      </c>
      <c r="AL172" s="24">
        <f t="shared" si="51"/>
        <v>-12.023999999999999</v>
      </c>
      <c r="AM172" s="24">
        <f t="shared" si="52"/>
        <v>0</v>
      </c>
      <c r="AN172" s="55">
        <f t="shared" si="53"/>
        <v>25000</v>
      </c>
      <c r="AO172" s="55">
        <f t="shared" si="54"/>
        <v>0</v>
      </c>
      <c r="AP172" s="24"/>
      <c r="AQ172" s="24"/>
      <c r="AR172" s="24"/>
      <c r="AS172" s="24"/>
      <c r="AT172" s="24"/>
      <c r="AU172" s="24"/>
      <c r="AV172" s="24"/>
      <c r="AW172" s="24"/>
      <c r="AX172" s="24"/>
      <c r="AY172" s="24"/>
      <c r="AZ172" s="24"/>
      <c r="BA172" s="24"/>
      <c r="BB172" s="24"/>
      <c r="BC172" s="24"/>
      <c r="BD172" s="24"/>
      <c r="BE172" s="24">
        <f t="shared" si="55"/>
        <v>80.290000000000006</v>
      </c>
      <c r="BF172" s="59">
        <f t="shared" si="63"/>
        <v>47207</v>
      </c>
      <c r="BG172" s="36">
        <f>$BV$158+AF214+($C$64-$BV$158)</f>
        <v>50.192097843764166</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116.79</v>
      </c>
      <c r="CF172" s="14">
        <f>CJ174</f>
        <v>233.79</v>
      </c>
      <c r="CG172" s="14"/>
      <c r="CH172" s="25">
        <v>3.5</v>
      </c>
      <c r="CI172" s="14">
        <f t="shared" si="59"/>
        <v>98.54</v>
      </c>
      <c r="CJ172" s="14">
        <f t="shared" si="60"/>
        <v>188.13</v>
      </c>
    </row>
    <row r="173" spans="7:88">
      <c r="G173" s="12">
        <f t="shared" si="40"/>
        <v>0</v>
      </c>
      <c r="H173" s="12">
        <f t="shared" si="41"/>
        <v>0</v>
      </c>
      <c r="I173" s="12">
        <f t="shared" si="41"/>
        <v>-1.0000000000000001E-5</v>
      </c>
      <c r="J173" s="12">
        <f t="shared" si="41"/>
        <v>-1.0000000000000001E-5</v>
      </c>
      <c r="K173" s="12">
        <f t="shared" si="42"/>
        <v>-1.0000000000000001E-5</v>
      </c>
      <c r="L173" s="12">
        <f t="shared" si="43"/>
        <v>-1.0000000000000001E-5</v>
      </c>
      <c r="M173" s="12">
        <f t="shared" si="43"/>
        <v>-1.0000000000000001E-5</v>
      </c>
      <c r="N173" s="12">
        <f t="shared" si="43"/>
        <v>-1.0000000000000001E-5</v>
      </c>
      <c r="O173" s="12">
        <f t="shared" si="44"/>
        <v>-1.0000000000000001E-5</v>
      </c>
      <c r="P173" s="12">
        <f t="shared" si="45"/>
        <v>-1.0000000000000001E-5</v>
      </c>
      <c r="Q173" s="12">
        <f t="shared" si="45"/>
        <v>-1.0000000000000001E-5</v>
      </c>
      <c r="T173" s="61"/>
      <c r="U173" s="61"/>
      <c r="V173" s="61"/>
      <c r="W173" s="53">
        <f t="shared" si="46"/>
        <v>-8514.2799999999988</v>
      </c>
      <c r="X173" s="54">
        <f t="shared" si="47"/>
        <v>9.5060885946903326</v>
      </c>
      <c r="Y173" s="25">
        <f t="shared" si="48"/>
        <v>-8.8251383943311029E-2</v>
      </c>
      <c r="Z173" s="596">
        <f t="shared" si="56"/>
        <v>-1.6097052431259939</v>
      </c>
      <c r="AA173" s="54">
        <f t="shared" ref="AA173:AK173" si="65">IF($C$63=0,IF($E74+365&lt;$C$56,0,IF($E74&lt;$C$56,(($E74+365-$C$56)/365)*(($C74/$BN$157)),IF($E74&gt;AA$166,0,IF($E74+365&lt;AA$166,($C74/$BN$157),((AA$166-$E74)/365)*(($C74/$BN$157)))))),IF($E74+365&lt;$C$56,0,IF($E74&lt;$C$56,(($E74+365-$C$56)/365)*(($C74/$BN$157)+($D74/$BN$158)),IF($E74&gt;AA$166,0,IF($E74+365&lt;AA$166,($C74/$BN$157)+($D74/$BN$158),((AA$166-$E74)/365)*(($C74/$BN$157)+($D74/$BN$158)))))))</f>
        <v>0</v>
      </c>
      <c r="AB173" s="54">
        <f t="shared" si="65"/>
        <v>0</v>
      </c>
      <c r="AC173" s="54">
        <f t="shared" si="65"/>
        <v>0</v>
      </c>
      <c r="AD173" s="54">
        <f t="shared" si="65"/>
        <v>0</v>
      </c>
      <c r="AE173" s="54">
        <f t="shared" si="65"/>
        <v>-1.6097052431259939</v>
      </c>
      <c r="AF173" s="54">
        <f t="shared" si="65"/>
        <v>-1.6097052431259939</v>
      </c>
      <c r="AG173" s="54">
        <f t="shared" si="65"/>
        <v>-1.6097052431259939</v>
      </c>
      <c r="AH173" s="54">
        <f t="shared" si="65"/>
        <v>-1.6097052431259939</v>
      </c>
      <c r="AI173" s="54">
        <f t="shared" si="65"/>
        <v>-1.6097052431259939</v>
      </c>
      <c r="AJ173" s="54">
        <f t="shared" si="65"/>
        <v>-1.6097052431259939</v>
      </c>
      <c r="AK173" s="54">
        <f t="shared" si="65"/>
        <v>-1.6097052431259939</v>
      </c>
      <c r="AL173" s="24">
        <f t="shared" si="51"/>
        <v>-56.015000000000001</v>
      </c>
      <c r="AM173" s="24">
        <f t="shared" si="52"/>
        <v>0</v>
      </c>
      <c r="AN173" s="55">
        <f t="shared" si="53"/>
        <v>80937.5</v>
      </c>
      <c r="AO173" s="55">
        <f t="shared" si="54"/>
        <v>0</v>
      </c>
      <c r="AP173" s="24"/>
      <c r="AQ173" s="24"/>
      <c r="AR173" s="24"/>
      <c r="AS173" s="24"/>
      <c r="AT173" s="24"/>
      <c r="AU173" s="24"/>
      <c r="AV173" s="24"/>
      <c r="AW173" s="24"/>
      <c r="AX173" s="24"/>
      <c r="AY173" s="24"/>
      <c r="AZ173" s="24"/>
      <c r="BA173" s="24"/>
      <c r="BB173" s="24"/>
      <c r="BC173" s="24"/>
      <c r="BD173" s="24"/>
      <c r="BE173" s="24">
        <f t="shared" si="55"/>
        <v>80.290000000000006</v>
      </c>
      <c r="BF173" s="59">
        <f t="shared" si="63"/>
        <v>47572</v>
      </c>
      <c r="BG173" s="36">
        <f>$BV$158+AG214+($C$64-$BV$158)</f>
        <v>50.192097843764166</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107.66</v>
      </c>
      <c r="CF173" s="14">
        <f>CJ173</f>
        <v>210.96</v>
      </c>
      <c r="CG173" s="14"/>
      <c r="CH173" s="25">
        <v>3</v>
      </c>
      <c r="CI173" s="14">
        <f t="shared" si="59"/>
        <v>107.66</v>
      </c>
      <c r="CJ173" s="14">
        <f t="shared" si="60"/>
        <v>210.96</v>
      </c>
    </row>
    <row r="174" spans="7:88">
      <c r="G174" s="12">
        <f t="shared" si="40"/>
        <v>0</v>
      </c>
      <c r="H174" s="12">
        <f t="shared" si="41"/>
        <v>0</v>
      </c>
      <c r="I174" s="12">
        <f t="shared" si="41"/>
        <v>0</v>
      </c>
      <c r="J174" s="12">
        <f t="shared" si="41"/>
        <v>0</v>
      </c>
      <c r="K174" s="12">
        <f t="shared" si="42"/>
        <v>0</v>
      </c>
      <c r="L174" s="12">
        <f t="shared" si="43"/>
        <v>0</v>
      </c>
      <c r="M174" s="12">
        <f t="shared" si="43"/>
        <v>0</v>
      </c>
      <c r="N174" s="12">
        <f t="shared" si="43"/>
        <v>0</v>
      </c>
      <c r="O174" s="12">
        <f t="shared" si="44"/>
        <v>-23.527000000000001</v>
      </c>
      <c r="P174" s="12">
        <f t="shared" si="45"/>
        <v>-23.527000000000001</v>
      </c>
      <c r="Q174" s="12">
        <f t="shared" si="45"/>
        <v>-23.527000000000001</v>
      </c>
      <c r="T174" s="61"/>
      <c r="U174" s="61"/>
      <c r="V174" s="61"/>
      <c r="W174" s="53">
        <f t="shared" si="46"/>
        <v>-1.5200000000000001E-3</v>
      </c>
      <c r="X174" s="54">
        <f>-1*F75/W174</f>
        <v>16447368.421052631</v>
      </c>
      <c r="Y174" s="25">
        <f t="shared" si="48"/>
        <v>-1.5754955626762661E-8</v>
      </c>
      <c r="Z174" s="596">
        <f t="shared" si="56"/>
        <v>-2.8737039063215106E-7</v>
      </c>
      <c r="AA174" s="54">
        <f t="shared" ref="AA174:AK174" si="66">IF($C$63=0,IF($E75+365&lt;$C$56,0,IF($E75&lt;$C$56,(($E75+365-$C$56)/365)*(($C75/$BN$157)),IF($E75&gt;AA$166,0,IF($E75+365&lt;AA$166,($C75/$BN$157),((AA$166-$E75)/365)*(($C75/$BN$157)))))),IF($E75+365&lt;$C$56,0,IF($E75&lt;$C$56,(($E75+365-$C$56)/365)*(($C75/$BN$157)+($D75/$BN$158)),IF($E75&gt;AA$166,0,IF($E75+365&lt;AA$166,($C75/$BN$157)+($D75/$BN$158),((AA$166-$E75)/365)*(($C75/$BN$157)+($D75/$BN$158)))))))</f>
        <v>0</v>
      </c>
      <c r="AB174" s="54">
        <f t="shared" si="66"/>
        <v>0</v>
      </c>
      <c r="AC174" s="54">
        <f t="shared" si="66"/>
        <v>-2.8737039063215106E-7</v>
      </c>
      <c r="AD174" s="54">
        <f t="shared" si="66"/>
        <v>-2.8737039063215106E-7</v>
      </c>
      <c r="AE174" s="54">
        <f t="shared" si="66"/>
        <v>-2.8737039063215106E-7</v>
      </c>
      <c r="AF174" s="54">
        <f t="shared" si="66"/>
        <v>-2.8737039063215106E-7</v>
      </c>
      <c r="AG174" s="54">
        <f t="shared" si="66"/>
        <v>-2.8737039063215106E-7</v>
      </c>
      <c r="AH174" s="54">
        <f t="shared" si="66"/>
        <v>-2.8737039063215106E-7</v>
      </c>
      <c r="AI174" s="54">
        <f t="shared" si="66"/>
        <v>-2.8737039063215106E-7</v>
      </c>
      <c r="AJ174" s="54">
        <f t="shared" si="66"/>
        <v>-2.8737039063215106E-7</v>
      </c>
      <c r="AK174" s="54">
        <f t="shared" si="66"/>
        <v>-2.8737039063215106E-7</v>
      </c>
      <c r="AL174" s="24">
        <f t="shared" si="51"/>
        <v>-1.0000000000000001E-5</v>
      </c>
      <c r="AM174" s="24">
        <f t="shared" si="52"/>
        <v>0</v>
      </c>
      <c r="AN174" s="55">
        <f t="shared" si="53"/>
        <v>25000</v>
      </c>
      <c r="AO174" s="55">
        <f t="shared" si="54"/>
        <v>0</v>
      </c>
      <c r="AP174" s="24"/>
      <c r="AQ174" s="24"/>
      <c r="AR174" s="24"/>
      <c r="AS174" s="24"/>
      <c r="AT174" s="24"/>
      <c r="AU174" s="24"/>
      <c r="AV174" s="24"/>
      <c r="AW174" s="24"/>
      <c r="AX174" s="24"/>
      <c r="AY174" s="24"/>
      <c r="AZ174" s="24"/>
      <c r="BA174" s="24"/>
      <c r="BB174" s="24"/>
      <c r="BC174" s="24"/>
      <c r="BD174" s="24"/>
      <c r="BE174" s="24">
        <f t="shared" si="55"/>
        <v>80.290000000000006</v>
      </c>
      <c r="BF174" s="59">
        <f t="shared" si="63"/>
        <v>47937</v>
      </c>
      <c r="BG174" s="36">
        <f>$BV$158+AH214+($C$64-$BV$158)</f>
        <v>50.192097843764166</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98.54</v>
      </c>
      <c r="CF174" s="14">
        <f>CJ172</f>
        <v>188.13</v>
      </c>
      <c r="CG174" s="14"/>
      <c r="CH174" s="25">
        <v>2.5</v>
      </c>
      <c r="CI174" s="14">
        <f t="shared" si="59"/>
        <v>116.79</v>
      </c>
      <c r="CJ174" s="14">
        <f t="shared" si="60"/>
        <v>233.79</v>
      </c>
    </row>
    <row r="175" spans="7:88">
      <c r="G175" s="12">
        <f t="shared" si="40"/>
        <v>0</v>
      </c>
      <c r="H175" s="12">
        <f t="shared" si="41"/>
        <v>0</v>
      </c>
      <c r="I175" s="12">
        <f t="shared" si="41"/>
        <v>0</v>
      </c>
      <c r="J175" s="12">
        <f t="shared" si="41"/>
        <v>0</v>
      </c>
      <c r="K175" s="12">
        <f t="shared" si="42"/>
        <v>0</v>
      </c>
      <c r="L175" s="12">
        <f t="shared" si="43"/>
        <v>0</v>
      </c>
      <c r="M175" s="12">
        <f t="shared" si="43"/>
        <v>0</v>
      </c>
      <c r="N175" s="12">
        <f t="shared" si="43"/>
        <v>0</v>
      </c>
      <c r="O175" s="12">
        <f t="shared" si="44"/>
        <v>-96.847999999999999</v>
      </c>
      <c r="P175" s="12">
        <f t="shared" si="45"/>
        <v>-96.847999999999999</v>
      </c>
      <c r="Q175" s="12">
        <f t="shared" si="45"/>
        <v>-96.847999999999999</v>
      </c>
      <c r="T175" s="61"/>
      <c r="U175" s="61"/>
      <c r="V175" s="61"/>
      <c r="W175" s="53">
        <f t="shared" si="46"/>
        <v>-3576.1039999999998</v>
      </c>
      <c r="X175" s="54">
        <f t="shared" si="47"/>
        <v>7.8647041584920352</v>
      </c>
      <c r="Y175" s="25">
        <f t="shared" si="48"/>
        <v>-3.7066684103084502E-2</v>
      </c>
      <c r="Z175" s="596">
        <f t="shared" si="56"/>
        <v>-0.67609631804026171</v>
      </c>
      <c r="AA175" s="54">
        <f t="shared" ref="AA175:AK175" si="67">IF($C$63=0,IF($E76+365&lt;$C$56,0,IF($E76&lt;$C$56,(($E76+365-$C$56)/365)*(($C76/$BN$157)),IF($E76&gt;AA$166,0,IF($E76+365&lt;AA$166,($C76/$BN$157),((AA$166-$E76)/365)*(($C76/$BN$157)))))),IF($E76+365&lt;$C$56,0,IF($E76&lt;$C$56,(($E76+365-$C$56)/365)*(($C76/$BN$157)+($D76/$BN$158)),IF($E76&gt;AA$166,0,IF($E76+365&lt;AA$166,($C76/$BN$157)+($D76/$BN$158),((AA$166-$E76)/365)*(($C76/$BN$157)+($D76/$BN$158)))))))</f>
        <v>0</v>
      </c>
      <c r="AB175" s="54">
        <f t="shared" si="67"/>
        <v>0</v>
      </c>
      <c r="AC175" s="54">
        <f t="shared" si="67"/>
        <v>0</v>
      </c>
      <c r="AD175" s="54">
        <f t="shared" si="67"/>
        <v>0</v>
      </c>
      <c r="AE175" s="54">
        <f t="shared" si="67"/>
        <v>0</v>
      </c>
      <c r="AF175" s="54">
        <f t="shared" si="67"/>
        <v>0</v>
      </c>
      <c r="AG175" s="54">
        <f t="shared" si="67"/>
        <v>0</v>
      </c>
      <c r="AH175" s="54">
        <f t="shared" si="67"/>
        <v>0</v>
      </c>
      <c r="AI175" s="54">
        <f t="shared" si="67"/>
        <v>-0.67609631804026171</v>
      </c>
      <c r="AJ175" s="54">
        <f t="shared" si="67"/>
        <v>-0.67609631804026171</v>
      </c>
      <c r="AK175" s="54">
        <f t="shared" si="67"/>
        <v>-0.67609631804026171</v>
      </c>
      <c r="AL175" s="24">
        <f t="shared" si="51"/>
        <v>-23.527000000000001</v>
      </c>
      <c r="AM175" s="24">
        <f t="shared" si="52"/>
        <v>0</v>
      </c>
      <c r="AN175" s="55">
        <f t="shared" si="53"/>
        <v>28125</v>
      </c>
      <c r="AO175" s="55">
        <f t="shared" si="54"/>
        <v>0</v>
      </c>
      <c r="AP175" s="24"/>
      <c r="AQ175" s="24"/>
      <c r="AR175" s="24"/>
      <c r="AS175" s="24"/>
      <c r="AT175" s="24"/>
      <c r="AU175" s="24"/>
      <c r="AV175" s="24"/>
      <c r="AW175" s="24"/>
      <c r="AX175" s="24"/>
      <c r="AY175" s="24"/>
      <c r="AZ175" s="24"/>
      <c r="BA175" s="24"/>
      <c r="BB175" s="24"/>
      <c r="BC175" s="24"/>
      <c r="BD175" s="24"/>
      <c r="BE175" s="24">
        <f t="shared" si="55"/>
        <v>80.290000000000006</v>
      </c>
      <c r="BF175" s="59">
        <f t="shared" si="63"/>
        <v>48302</v>
      </c>
      <c r="BG175" s="36">
        <f>$BV$158+AI214+($C$64-$BV$158)</f>
        <v>47.597682035838282</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89.42</v>
      </c>
      <c r="CF175" s="14">
        <f>CJ171</f>
        <v>165.3</v>
      </c>
      <c r="CG175" s="14"/>
      <c r="CH175" s="25">
        <v>2</v>
      </c>
      <c r="CI175" s="14">
        <f t="shared" si="59"/>
        <v>125.91</v>
      </c>
      <c r="CJ175" s="14">
        <f t="shared" si="60"/>
        <v>256.62</v>
      </c>
    </row>
    <row r="176" spans="7:88">
      <c r="G176" s="12">
        <f t="shared" si="40"/>
        <v>0</v>
      </c>
      <c r="H176" s="12">
        <f t="shared" si="41"/>
        <v>0</v>
      </c>
      <c r="I176" s="12">
        <f t="shared" si="41"/>
        <v>0</v>
      </c>
      <c r="J176" s="12">
        <f t="shared" si="41"/>
        <v>0</v>
      </c>
      <c r="K176" s="12">
        <f t="shared" si="42"/>
        <v>0</v>
      </c>
      <c r="L176" s="12">
        <f t="shared" si="43"/>
        <v>0</v>
      </c>
      <c r="M176" s="12">
        <f t="shared" si="43"/>
        <v>0</v>
      </c>
      <c r="N176" s="12">
        <f t="shared" si="43"/>
        <v>0</v>
      </c>
      <c r="O176" s="12">
        <f t="shared" si="44"/>
        <v>0</v>
      </c>
      <c r="P176" s="12">
        <f t="shared" si="45"/>
        <v>0</v>
      </c>
      <c r="Q176" s="12">
        <f t="shared" si="45"/>
        <v>0</v>
      </c>
      <c r="T176" s="61"/>
      <c r="U176" s="61"/>
      <c r="V176" s="61"/>
      <c r="W176" s="53">
        <f t="shared" si="46"/>
        <v>-14720.896000000001</v>
      </c>
      <c r="X176" s="54">
        <f t="shared" si="47"/>
        <v>106.99077012703574</v>
      </c>
      <c r="Y176" s="25">
        <f t="shared" si="48"/>
        <v>-0.152583594254071</v>
      </c>
      <c r="Z176" s="596">
        <f t="shared" si="56"/>
        <v>-2.7831247591942563</v>
      </c>
      <c r="AA176" s="54">
        <f t="shared" ref="AA176:AK176" si="68">IF($C$63=0,IF($E77+365&lt;$C$56,0,IF($E77&lt;$C$56,(($E77+365-$C$56)/365)*(($C77/$BN$157)),IF($E77&gt;AA$166,0,IF($E77+365&lt;AA$166,($C77/$BN$157),((AA$166-$E77)/365)*(($C77/$BN$157)))))),IF($E77+365&lt;$C$56,0,IF($E77&lt;$C$56,(($E77+365-$C$56)/365)*(($C77/$BN$157)+($D77/$BN$158)),IF($E77&gt;AA$166,0,IF($E77+365&lt;AA$166,($C77/$BN$157)+($D77/$BN$158),((AA$166-$E77)/365)*(($C77/$BN$157)+($D77/$BN$158)))))))</f>
        <v>0</v>
      </c>
      <c r="AB176" s="54">
        <f t="shared" si="68"/>
        <v>0</v>
      </c>
      <c r="AC176" s="54">
        <f t="shared" si="68"/>
        <v>0</v>
      </c>
      <c r="AD176" s="54">
        <f t="shared" si="68"/>
        <v>0</v>
      </c>
      <c r="AE176" s="54">
        <f t="shared" si="68"/>
        <v>0</v>
      </c>
      <c r="AF176" s="54">
        <f t="shared" si="68"/>
        <v>0</v>
      </c>
      <c r="AG176" s="54">
        <f t="shared" si="68"/>
        <v>0</v>
      </c>
      <c r="AH176" s="54">
        <f t="shared" si="68"/>
        <v>0</v>
      </c>
      <c r="AI176" s="54">
        <f t="shared" si="68"/>
        <v>-2.7831247591942563</v>
      </c>
      <c r="AJ176" s="54">
        <f t="shared" si="68"/>
        <v>-2.7831247591942563</v>
      </c>
      <c r="AK176" s="54">
        <f t="shared" si="68"/>
        <v>-2.7831247591942563</v>
      </c>
      <c r="AL176" s="24">
        <f t="shared" si="51"/>
        <v>-96.847999999999999</v>
      </c>
      <c r="AM176" s="24">
        <f t="shared" si="52"/>
        <v>0</v>
      </c>
      <c r="AN176" s="55">
        <f t="shared" si="53"/>
        <v>1575000</v>
      </c>
      <c r="AO176" s="55">
        <f t="shared" si="54"/>
        <v>0</v>
      </c>
      <c r="AP176" s="24"/>
      <c r="AQ176" s="24"/>
      <c r="AR176" s="24"/>
      <c r="AS176" s="24"/>
      <c r="AT176" s="24"/>
      <c r="AU176" s="24"/>
      <c r="AV176" s="24"/>
      <c r="AW176" s="24"/>
      <c r="AX176" s="24"/>
      <c r="AY176" s="24"/>
      <c r="AZ176" s="24"/>
      <c r="BA176" s="24"/>
      <c r="BB176" s="24"/>
      <c r="BC176" s="24"/>
      <c r="BD176" s="24"/>
      <c r="BE176" s="24">
        <f t="shared" si="55"/>
        <v>80.290000000000006</v>
      </c>
      <c r="BF176" s="59">
        <f t="shared" si="63"/>
        <v>48667</v>
      </c>
      <c r="BG176" s="36">
        <f>$BV$158+AJ214+($C$64-$BV$158)</f>
        <v>47.597682035838282</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80.290000000000006</v>
      </c>
      <c r="CF176" s="14">
        <f>CJ170</f>
        <v>142.47</v>
      </c>
      <c r="CG176" s="14"/>
      <c r="CH176" s="25">
        <v>1.5</v>
      </c>
      <c r="CI176" s="14">
        <f t="shared" si="59"/>
        <v>135.04</v>
      </c>
      <c r="CJ176" s="14">
        <f t="shared" si="60"/>
        <v>279.45</v>
      </c>
    </row>
    <row r="177" spans="7:88">
      <c r="G177" s="12">
        <f t="shared" si="40"/>
        <v>0</v>
      </c>
      <c r="H177" s="12">
        <f t="shared" si="41"/>
        <v>0</v>
      </c>
      <c r="I177" s="12">
        <f t="shared" si="41"/>
        <v>0</v>
      </c>
      <c r="J177" s="12">
        <f t="shared" si="41"/>
        <v>0</v>
      </c>
      <c r="K177" s="12">
        <f t="shared" si="42"/>
        <v>0</v>
      </c>
      <c r="L177" s="12">
        <f t="shared" si="43"/>
        <v>0</v>
      </c>
      <c r="M177" s="12">
        <f t="shared" si="43"/>
        <v>0</v>
      </c>
      <c r="N177" s="12">
        <f t="shared" si="43"/>
        <v>0</v>
      </c>
      <c r="O177" s="12">
        <f t="shared" si="44"/>
        <v>0</v>
      </c>
      <c r="P177" s="12">
        <f t="shared" si="45"/>
        <v>0</v>
      </c>
      <c r="Q177" s="12">
        <f t="shared" si="45"/>
        <v>0</v>
      </c>
      <c r="T177" s="61"/>
      <c r="U177" s="61"/>
      <c r="V177" s="61"/>
      <c r="W177" s="53">
        <f t="shared" si="46"/>
        <v>0</v>
      </c>
      <c r="X177" s="54" t="e">
        <f t="shared" si="47"/>
        <v>#DIV/0!</v>
      </c>
      <c r="Y177" s="25">
        <f t="shared" si="48"/>
        <v>0</v>
      </c>
      <c r="Z177" s="593">
        <f t="shared" si="56"/>
        <v>0</v>
      </c>
      <c r="AA177" s="54">
        <f t="shared" ref="AA177:AK177" si="69">IF($C$63=0,IF($E78+365&lt;$C$56,0,IF($E78&lt;$C$56,(($E78+365-$C$56)/365)*(($C78/$BN$157)),IF($E78&gt;AA$166,0,IF($E78+365&lt;AA$166,($C78/$BN$157),((AA$166-$E78)/365)*(($C78/$BN$157)))))),IF($E78+365&lt;$C$56,0,IF($E78&lt;$C$56,(($E78+365-$C$56)/365)*(($C78/$BN$157)+($D78/$BN$158)),IF($E78&gt;AA$166,0,IF($E78+365&lt;AA$166,($C78/$BN$157)+($D78/$BN$158),((AA$166-$E78)/365)*(($C78/$BN$157)+($D78/$BN$158)))))))</f>
        <v>0</v>
      </c>
      <c r="AB177" s="54">
        <f t="shared" si="69"/>
        <v>0</v>
      </c>
      <c r="AC177" s="54">
        <f t="shared" si="69"/>
        <v>0</v>
      </c>
      <c r="AD177" s="54">
        <f t="shared" si="69"/>
        <v>0</v>
      </c>
      <c r="AE177" s="54">
        <f t="shared" si="69"/>
        <v>0</v>
      </c>
      <c r="AF177" s="54">
        <f t="shared" si="69"/>
        <v>0</v>
      </c>
      <c r="AG177" s="54">
        <f t="shared" si="69"/>
        <v>0</v>
      </c>
      <c r="AH177" s="54">
        <f t="shared" si="69"/>
        <v>0</v>
      </c>
      <c r="AI177" s="54">
        <f t="shared" si="69"/>
        <v>0</v>
      </c>
      <c r="AJ177" s="54">
        <f t="shared" si="69"/>
        <v>0</v>
      </c>
      <c r="AK177" s="54">
        <f t="shared" si="69"/>
        <v>0</v>
      </c>
      <c r="AL177" s="24">
        <f t="shared" si="51"/>
        <v>0</v>
      </c>
      <c r="AM177" s="24">
        <f t="shared" si="52"/>
        <v>0</v>
      </c>
      <c r="AN177" s="55">
        <f t="shared" si="53"/>
        <v>12500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71.17</v>
      </c>
      <c r="CF177" s="14">
        <f>CJ169</f>
        <v>119.63</v>
      </c>
      <c r="CG177" s="14"/>
      <c r="CH177" s="25">
        <v>1</v>
      </c>
      <c r="CI177" s="14">
        <f t="shared" si="59"/>
        <v>144.16</v>
      </c>
      <c r="CJ177" s="14">
        <f t="shared" si="60"/>
        <v>302.27999999999997</v>
      </c>
    </row>
    <row r="178" spans="7:88">
      <c r="G178" s="12">
        <f t="shared" si="40"/>
        <v>0</v>
      </c>
      <c r="H178" s="12">
        <f t="shared" si="41"/>
        <v>0</v>
      </c>
      <c r="I178" s="12">
        <f t="shared" si="41"/>
        <v>0</v>
      </c>
      <c r="J178" s="12">
        <f t="shared" si="41"/>
        <v>0</v>
      </c>
      <c r="K178" s="12">
        <f t="shared" si="42"/>
        <v>0</v>
      </c>
      <c r="L178" s="12">
        <f t="shared" si="43"/>
        <v>0</v>
      </c>
      <c r="M178" s="12">
        <f t="shared" si="43"/>
        <v>0</v>
      </c>
      <c r="N178" s="12">
        <f t="shared" si="43"/>
        <v>0</v>
      </c>
      <c r="O178" s="12">
        <f t="shared" si="44"/>
        <v>0</v>
      </c>
      <c r="P178" s="12">
        <f t="shared" si="45"/>
        <v>0</v>
      </c>
      <c r="Q178" s="12">
        <f t="shared" si="45"/>
        <v>0</v>
      </c>
      <c r="T178" s="61"/>
      <c r="U178" s="61"/>
      <c r="V178" s="61"/>
      <c r="W178" s="53">
        <f t="shared" si="46"/>
        <v>0</v>
      </c>
      <c r="X178" s="54" t="e">
        <f t="shared" si="47"/>
        <v>#DIV/0!</v>
      </c>
      <c r="Y178" s="25">
        <f t="shared" si="48"/>
        <v>0</v>
      </c>
      <c r="Z178" s="593">
        <f t="shared" si="56"/>
        <v>0</v>
      </c>
      <c r="AA178" s="54">
        <f t="shared" ref="AA178:AK178" si="70">IF($C$63=0,IF($E79+365&lt;$C$56,0,IF($E79&lt;$C$56,(($E79+365-$C$56)/365)*(($C79/$BN$157)),IF($E79&gt;AA$166,0,IF($E79+365&lt;AA$166,($C79/$BN$157),((AA$166-$E79)/365)*(($C79/$BN$157)))))),IF($E79+365&lt;$C$56,0,IF($E79&lt;$C$56,(($E79+365-$C$56)/365)*(($C79/$BN$157)+($D79/$BN$158)),IF($E79&gt;AA$166,0,IF($E79+365&lt;AA$166,($C79/$BN$157)+($D79/$BN$158),((AA$166-$E79)/365)*(($C79/$BN$157)+($D79/$BN$158)))))))</f>
        <v>0</v>
      </c>
      <c r="AB178" s="54">
        <f t="shared" si="70"/>
        <v>0</v>
      </c>
      <c r="AC178" s="54">
        <f t="shared" si="70"/>
        <v>0</v>
      </c>
      <c r="AD178" s="54">
        <f t="shared" si="70"/>
        <v>0</v>
      </c>
      <c r="AE178" s="54">
        <f t="shared" si="70"/>
        <v>0</v>
      </c>
      <c r="AF178" s="54">
        <f t="shared" si="70"/>
        <v>0</v>
      </c>
      <c r="AG178" s="54">
        <f t="shared" si="70"/>
        <v>0</v>
      </c>
      <c r="AH178" s="54">
        <f t="shared" si="70"/>
        <v>0</v>
      </c>
      <c r="AI178" s="54">
        <f t="shared" si="70"/>
        <v>0</v>
      </c>
      <c r="AJ178" s="54">
        <f t="shared" si="70"/>
        <v>0</v>
      </c>
      <c r="AK178" s="54">
        <f t="shared" si="70"/>
        <v>0</v>
      </c>
      <c r="AL178" s="24">
        <f t="shared" si="51"/>
        <v>0</v>
      </c>
      <c r="AM178" s="24">
        <f t="shared" si="52"/>
        <v>0</v>
      </c>
      <c r="AN178" s="55">
        <f t="shared" si="53"/>
        <v>12500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0"/>
        <v>0</v>
      </c>
      <c r="H179" s="12">
        <f t="shared" si="41"/>
        <v>0</v>
      </c>
      <c r="I179" s="12">
        <f t="shared" si="41"/>
        <v>0</v>
      </c>
      <c r="J179" s="12">
        <f t="shared" si="41"/>
        <v>0</v>
      </c>
      <c r="K179" s="12">
        <f t="shared" si="42"/>
        <v>0</v>
      </c>
      <c r="L179" s="12">
        <f t="shared" si="43"/>
        <v>0</v>
      </c>
      <c r="M179" s="12">
        <f t="shared" si="43"/>
        <v>0</v>
      </c>
      <c r="N179" s="12">
        <f t="shared" si="43"/>
        <v>0</v>
      </c>
      <c r="O179" s="12">
        <f t="shared" si="44"/>
        <v>0</v>
      </c>
      <c r="P179" s="12">
        <f t="shared" si="45"/>
        <v>0</v>
      </c>
      <c r="Q179" s="12">
        <f t="shared" si="45"/>
        <v>0</v>
      </c>
      <c r="T179" s="61"/>
      <c r="U179" s="61"/>
      <c r="V179" s="61"/>
      <c r="W179" s="53">
        <f t="shared" si="46"/>
        <v>0</v>
      </c>
      <c r="X179" s="54" t="e">
        <f t="shared" si="47"/>
        <v>#DIV/0!</v>
      </c>
      <c r="Y179" s="25">
        <f t="shared" si="48"/>
        <v>0</v>
      </c>
      <c r="Z179" s="593">
        <f t="shared" si="56"/>
        <v>0</v>
      </c>
      <c r="AA179" s="54">
        <f t="shared" ref="AA179:AK179" si="71">IF($C$63=0,IF($E80+365&lt;$C$56,0,IF($E80&lt;$C$56,(($E80+365-$C$56)/365)*(($C80/$BN$157)),IF($E80&gt;AA$166,0,IF($E80+365&lt;AA$166,($C80/$BN$157),((AA$166-$E80)/365)*(($C80/$BN$157)))))),IF($E80+365&lt;$C$56,0,IF($E80&lt;$C$56,(($E80+365-$C$56)/365)*(($C80/$BN$157)+($D80/$BN$158)),IF($E80&gt;AA$166,0,IF($E80+365&lt;AA$166,($C80/$BN$157)+($D80/$BN$158),((AA$166-$E80)/365)*(($C80/$BN$157)+($D80/$BN$158)))))))</f>
        <v>0</v>
      </c>
      <c r="AB179" s="54">
        <f t="shared" si="71"/>
        <v>0</v>
      </c>
      <c r="AC179" s="54">
        <f t="shared" si="71"/>
        <v>0</v>
      </c>
      <c r="AD179" s="54">
        <f t="shared" si="71"/>
        <v>0</v>
      </c>
      <c r="AE179" s="54">
        <f t="shared" si="71"/>
        <v>0</v>
      </c>
      <c r="AF179" s="54">
        <f t="shared" si="71"/>
        <v>0</v>
      </c>
      <c r="AG179" s="54">
        <f t="shared" si="71"/>
        <v>0</v>
      </c>
      <c r="AH179" s="54">
        <f t="shared" si="71"/>
        <v>0</v>
      </c>
      <c r="AI179" s="54">
        <f t="shared" si="71"/>
        <v>0</v>
      </c>
      <c r="AJ179" s="54">
        <f t="shared" si="71"/>
        <v>0</v>
      </c>
      <c r="AK179" s="54">
        <f t="shared" si="71"/>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0"/>
        <v>0</v>
      </c>
      <c r="H180" s="12">
        <f t="shared" si="41"/>
        <v>0</v>
      </c>
      <c r="I180" s="12">
        <f t="shared" si="41"/>
        <v>0</v>
      </c>
      <c r="J180" s="12">
        <f t="shared" si="41"/>
        <v>0</v>
      </c>
      <c r="K180" s="12">
        <f t="shared" si="42"/>
        <v>0</v>
      </c>
      <c r="L180" s="12">
        <f t="shared" si="43"/>
        <v>0</v>
      </c>
      <c r="M180" s="12">
        <f t="shared" si="43"/>
        <v>0</v>
      </c>
      <c r="N180" s="12">
        <f t="shared" si="43"/>
        <v>0</v>
      </c>
      <c r="O180" s="12">
        <f t="shared" si="44"/>
        <v>0</v>
      </c>
      <c r="P180" s="12">
        <f t="shared" si="45"/>
        <v>0</v>
      </c>
      <c r="Q180" s="12">
        <f t="shared" si="45"/>
        <v>0</v>
      </c>
      <c r="T180" s="61"/>
      <c r="U180" s="61"/>
      <c r="V180" s="61"/>
      <c r="W180" s="53">
        <f t="shared" si="46"/>
        <v>0</v>
      </c>
      <c r="X180" s="54" t="e">
        <f t="shared" si="47"/>
        <v>#DIV/0!</v>
      </c>
      <c r="Y180" s="25">
        <f t="shared" si="48"/>
        <v>0</v>
      </c>
      <c r="Z180" s="593">
        <f t="shared" si="56"/>
        <v>0</v>
      </c>
      <c r="AA180" s="54">
        <f t="shared" ref="AA180:AK180" si="72">IF($C$63=0,IF($E81+365&lt;$C$56,0,IF($E81&lt;$C$56,(($E81+365-$C$56)/365)*(($C81/$BN$157)),IF($E81&gt;AA$166,0,IF($E81+365&lt;AA$166,($C81/$BN$157),((AA$166-$E81)/365)*(($C81/$BN$157)))))),IF($E81+365&lt;$C$56,0,IF($E81&lt;$C$56,(($E81+365-$C$56)/365)*(($C81/$BN$157)+($D81/$BN$158)),IF($E81&gt;AA$166,0,IF($E81+365&lt;AA$166,($C81/$BN$157)+($D81/$BN$158),((AA$166-$E81)/365)*(($C81/$BN$157)+($D81/$BN$158)))))))</f>
        <v>0</v>
      </c>
      <c r="AB180" s="54">
        <f t="shared" si="72"/>
        <v>0</v>
      </c>
      <c r="AC180" s="54">
        <f t="shared" si="72"/>
        <v>0</v>
      </c>
      <c r="AD180" s="54">
        <f t="shared" si="72"/>
        <v>0</v>
      </c>
      <c r="AE180" s="54">
        <f t="shared" si="72"/>
        <v>0</v>
      </c>
      <c r="AF180" s="54">
        <f t="shared" si="72"/>
        <v>0</v>
      </c>
      <c r="AG180" s="54">
        <f t="shared" si="72"/>
        <v>0</v>
      </c>
      <c r="AH180" s="54">
        <f t="shared" si="72"/>
        <v>0</v>
      </c>
      <c r="AI180" s="54">
        <f t="shared" si="72"/>
        <v>0</v>
      </c>
      <c r="AJ180" s="54">
        <f t="shared" si="72"/>
        <v>0</v>
      </c>
      <c r="AK180" s="54">
        <f t="shared" si="72"/>
        <v>0</v>
      </c>
      <c r="AL180" s="24">
        <f t="shared" si="51"/>
        <v>0</v>
      </c>
      <c r="AM180" s="24">
        <f t="shared" si="52"/>
        <v>0</v>
      </c>
      <c r="AN180" s="55">
        <f t="shared" si="53"/>
        <v>75000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0"/>
        <v>0</v>
      </c>
      <c r="H181" s="12">
        <f t="shared" si="41"/>
        <v>0</v>
      </c>
      <c r="I181" s="12">
        <f t="shared" si="41"/>
        <v>0</v>
      </c>
      <c r="J181" s="12">
        <f t="shared" si="41"/>
        <v>0</v>
      </c>
      <c r="K181" s="12">
        <f t="shared" si="42"/>
        <v>0</v>
      </c>
      <c r="L181" s="12">
        <f t="shared" si="43"/>
        <v>0</v>
      </c>
      <c r="M181" s="12">
        <f t="shared" si="43"/>
        <v>0</v>
      </c>
      <c r="N181" s="12">
        <f t="shared" si="43"/>
        <v>0</v>
      </c>
      <c r="O181" s="12">
        <f t="shared" si="44"/>
        <v>0</v>
      </c>
      <c r="P181" s="12">
        <f t="shared" si="45"/>
        <v>0</v>
      </c>
      <c r="Q181" s="12">
        <f t="shared" si="45"/>
        <v>0</v>
      </c>
      <c r="T181" s="61"/>
      <c r="U181" s="61"/>
      <c r="V181" s="61"/>
      <c r="W181" s="53">
        <f t="shared" si="46"/>
        <v>0</v>
      </c>
      <c r="X181" s="54" t="e">
        <f t="shared" si="47"/>
        <v>#DIV/0!</v>
      </c>
      <c r="Y181" s="25">
        <f t="shared" si="48"/>
        <v>0</v>
      </c>
      <c r="Z181" s="593">
        <f t="shared" si="56"/>
        <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0"/>
        <v>0</v>
      </c>
      <c r="H182" s="12">
        <f t="shared" si="41"/>
        <v>0</v>
      </c>
      <c r="I182" s="12">
        <f t="shared" si="41"/>
        <v>0</v>
      </c>
      <c r="J182" s="12">
        <f t="shared" si="41"/>
        <v>0</v>
      </c>
      <c r="K182" s="12">
        <f t="shared" si="42"/>
        <v>0</v>
      </c>
      <c r="L182" s="12">
        <f t="shared" si="43"/>
        <v>0</v>
      </c>
      <c r="M182" s="12">
        <f t="shared" si="43"/>
        <v>0</v>
      </c>
      <c r="N182" s="12">
        <f t="shared" si="43"/>
        <v>0</v>
      </c>
      <c r="O182" s="12">
        <f t="shared" si="44"/>
        <v>0</v>
      </c>
      <c r="P182" s="12">
        <f t="shared" si="45"/>
        <v>0</v>
      </c>
      <c r="Q182" s="12">
        <f t="shared" si="45"/>
        <v>0</v>
      </c>
      <c r="T182" s="61"/>
      <c r="U182" s="61"/>
      <c r="V182" s="61"/>
      <c r="W182" s="53">
        <f t="shared" si="46"/>
        <v>0</v>
      </c>
      <c r="X182" s="54" t="e">
        <f t="shared" si="47"/>
        <v>#DIV/0!</v>
      </c>
      <c r="Y182" s="25">
        <f t="shared" si="48"/>
        <v>0</v>
      </c>
      <c r="Z182" s="593">
        <f t="shared" si="56"/>
        <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0"/>
        <v>0</v>
      </c>
      <c r="H183" s="12">
        <f t="shared" si="41"/>
        <v>0</v>
      </c>
      <c r="I183" s="12">
        <f t="shared" si="41"/>
        <v>0</v>
      </c>
      <c r="J183" s="12">
        <f t="shared" si="41"/>
        <v>0</v>
      </c>
      <c r="K183" s="12">
        <f t="shared" si="42"/>
        <v>0</v>
      </c>
      <c r="L183" s="12">
        <f t="shared" si="43"/>
        <v>0</v>
      </c>
      <c r="M183" s="12">
        <f t="shared" si="43"/>
        <v>0</v>
      </c>
      <c r="N183" s="12">
        <f t="shared" si="43"/>
        <v>0</v>
      </c>
      <c r="O183" s="12">
        <f t="shared" si="44"/>
        <v>0</v>
      </c>
      <c r="P183" s="12">
        <f t="shared" si="45"/>
        <v>0</v>
      </c>
      <c r="Q183" s="12">
        <f t="shared" si="45"/>
        <v>0</v>
      </c>
      <c r="T183" s="61"/>
      <c r="U183" s="61"/>
      <c r="V183" s="61"/>
      <c r="W183" s="53">
        <f t="shared" si="46"/>
        <v>0</v>
      </c>
      <c r="X183" s="54" t="e">
        <f t="shared" si="47"/>
        <v>#DIV/0!</v>
      </c>
      <c r="Y183" s="25">
        <f t="shared" si="48"/>
        <v>0</v>
      </c>
      <c r="Z183" s="593">
        <f t="shared" si="56"/>
        <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0"/>
        <v>0</v>
      </c>
      <c r="H184" s="12">
        <f t="shared" si="41"/>
        <v>0</v>
      </c>
      <c r="I184" s="12">
        <f t="shared" si="41"/>
        <v>0</v>
      </c>
      <c r="J184" s="12">
        <f t="shared" si="41"/>
        <v>0</v>
      </c>
      <c r="K184" s="12">
        <f t="shared" si="42"/>
        <v>0</v>
      </c>
      <c r="L184" s="12">
        <f t="shared" si="43"/>
        <v>0</v>
      </c>
      <c r="M184" s="12">
        <f t="shared" si="43"/>
        <v>0</v>
      </c>
      <c r="N184" s="12">
        <f t="shared" si="43"/>
        <v>0</v>
      </c>
      <c r="O184" s="12">
        <f t="shared" si="44"/>
        <v>0</v>
      </c>
      <c r="P184" s="12">
        <f t="shared" si="45"/>
        <v>0</v>
      </c>
      <c r="Q184" s="12">
        <f t="shared" si="45"/>
        <v>0</v>
      </c>
      <c r="T184" s="61"/>
      <c r="U184" s="61"/>
      <c r="V184" s="61"/>
      <c r="W184" s="53">
        <f t="shared" si="46"/>
        <v>0</v>
      </c>
      <c r="X184" s="54" t="e">
        <f t="shared" si="47"/>
        <v>#DIV/0!</v>
      </c>
      <c r="Y184" s="25">
        <f t="shared" si="48"/>
        <v>0</v>
      </c>
      <c r="Z184" s="593">
        <f t="shared" si="56"/>
        <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v>16</v>
      </c>
      <c r="AT184" s="36">
        <v>6</v>
      </c>
      <c r="AU184" s="599" t="s">
        <v>763</v>
      </c>
      <c r="AV184" s="24">
        <f>IF(AS184&lt;$BB$154,(6+(1-AS184/$BB$154)))</f>
        <v>6.5503723478993958</v>
      </c>
      <c r="AW184" s="600" t="s">
        <v>764</v>
      </c>
      <c r="AX184" s="24"/>
      <c r="AY184" s="24"/>
      <c r="AZ184" s="24"/>
      <c r="BA184" s="24"/>
      <c r="BB184" s="24">
        <f>6+(1-16/35)</f>
        <v>6.5428571428571427</v>
      </c>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0"/>
        <v>0</v>
      </c>
      <c r="H185" s="12">
        <f t="shared" si="41"/>
        <v>0</v>
      </c>
      <c r="I185" s="12">
        <f t="shared" si="41"/>
        <v>0</v>
      </c>
      <c r="J185" s="12">
        <f t="shared" si="41"/>
        <v>0</v>
      </c>
      <c r="K185" s="12">
        <f t="shared" si="42"/>
        <v>0</v>
      </c>
      <c r="L185" s="12">
        <f t="shared" si="43"/>
        <v>0</v>
      </c>
      <c r="M185" s="12">
        <f t="shared" si="43"/>
        <v>0</v>
      </c>
      <c r="N185" s="12">
        <f t="shared" si="43"/>
        <v>0</v>
      </c>
      <c r="O185" s="12">
        <f t="shared" si="44"/>
        <v>0</v>
      </c>
      <c r="P185" s="12">
        <f t="shared" si="45"/>
        <v>0</v>
      </c>
      <c r="Q185" s="12">
        <f t="shared" si="45"/>
        <v>0</v>
      </c>
      <c r="T185" s="61"/>
      <c r="U185" s="61"/>
      <c r="V185" s="61"/>
      <c r="W185" s="53">
        <f t="shared" si="46"/>
        <v>0</v>
      </c>
      <c r="X185" s="54" t="e">
        <f t="shared" si="47"/>
        <v>#DIV/0!</v>
      </c>
      <c r="Y185" s="25">
        <f t="shared" si="48"/>
        <v>0</v>
      </c>
      <c r="Z185" s="593">
        <f t="shared" si="56"/>
        <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v>52.5</v>
      </c>
      <c r="AT185" s="36">
        <v>5.5</v>
      </c>
      <c r="AU185" s="598" t="s">
        <v>765</v>
      </c>
      <c r="AV185" s="24">
        <f>IF(AS185&lt;$BB$155,5.5+(0.5*(($BB$155-AS185)/($BB$155-$BB$154))))</f>
        <v>5.5246592665448926</v>
      </c>
      <c r="AW185" s="600" t="s">
        <v>766</v>
      </c>
      <c r="AX185" s="24"/>
      <c r="AY185" s="24"/>
      <c r="AZ185" s="24"/>
      <c r="BA185" s="24"/>
      <c r="BB185" s="24"/>
      <c r="BC185" s="24"/>
      <c r="BD185" s="24"/>
      <c r="BE185" s="24">
        <f>71-53</f>
        <v>18</v>
      </c>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0"/>
        <v>0</v>
      </c>
      <c r="H186" s="12">
        <f t="shared" si="41"/>
        <v>0</v>
      </c>
      <c r="I186" s="12">
        <f t="shared" si="41"/>
        <v>0</v>
      </c>
      <c r="J186" s="12">
        <f t="shared" si="41"/>
        <v>0</v>
      </c>
      <c r="K186" s="12">
        <f t="shared" si="42"/>
        <v>0</v>
      </c>
      <c r="L186" s="12">
        <f t="shared" si="43"/>
        <v>0</v>
      </c>
      <c r="M186" s="12">
        <f t="shared" si="43"/>
        <v>0</v>
      </c>
      <c r="N186" s="12">
        <f t="shared" si="43"/>
        <v>0</v>
      </c>
      <c r="O186" s="12">
        <f t="shared" si="44"/>
        <v>0</v>
      </c>
      <c r="P186" s="12">
        <f t="shared" si="45"/>
        <v>0</v>
      </c>
      <c r="Q186" s="12">
        <f t="shared" si="45"/>
        <v>0</v>
      </c>
      <c r="T186" s="61"/>
      <c r="U186" s="61"/>
      <c r="V186" s="61"/>
      <c r="W186" s="53">
        <f t="shared" si="46"/>
        <v>0</v>
      </c>
      <c r="X186" s="54" t="e">
        <f t="shared" si="47"/>
        <v>#DIV/0!</v>
      </c>
      <c r="Y186" s="25">
        <f t="shared" si="48"/>
        <v>0</v>
      </c>
      <c r="Z186" s="593">
        <f t="shared" si="56"/>
        <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v>69</v>
      </c>
      <c r="AT186" s="36">
        <v>5</v>
      </c>
      <c r="AU186" s="20" t="s">
        <v>767</v>
      </c>
      <c r="AV186" s="600">
        <f>IF(AS186&lt;$BB$156,(5-0.5*((AS186)-$BB$156)/($BB$156-$BB$155)))</f>
        <v>5.0609807503161441</v>
      </c>
      <c r="AW186" s="600" t="s">
        <v>768</v>
      </c>
      <c r="AX186" s="24"/>
      <c r="AY186" s="24"/>
      <c r="AZ186" s="24"/>
      <c r="BA186" s="24"/>
      <c r="BB186" s="24"/>
      <c r="BD186" s="24">
        <f>5 - 0.5*(55-9.12)/9.12</f>
        <v>2.4846491228070171</v>
      </c>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0"/>
        <v>0</v>
      </c>
      <c r="H187" s="12">
        <f t="shared" ref="H187:J206" si="80">IF($E89&gt;H$66,0,IF($E89&lt;H$66-365,$C89,0))</f>
        <v>0</v>
      </c>
      <c r="I187" s="12">
        <f t="shared" si="80"/>
        <v>0</v>
      </c>
      <c r="J187" s="12">
        <f t="shared" si="80"/>
        <v>0</v>
      </c>
      <c r="K187" s="12">
        <f t="shared" si="42"/>
        <v>0</v>
      </c>
      <c r="L187" s="12">
        <f t="shared" ref="L187:N206" si="81">IF($E89&gt;L$66,0,IF($E89&lt;L$66-365,$C89,0))</f>
        <v>0</v>
      </c>
      <c r="M187" s="12">
        <f t="shared" si="81"/>
        <v>0</v>
      </c>
      <c r="N187" s="12">
        <f t="shared" si="81"/>
        <v>0</v>
      </c>
      <c r="O187" s="12">
        <f t="shared" si="44"/>
        <v>0</v>
      </c>
      <c r="P187" s="12">
        <f t="shared" ref="P187:Q206" si="82">IF($E89&gt;P$66,0,IF($E89&lt;P$66-365,$C89,0))</f>
        <v>0</v>
      </c>
      <c r="Q187" s="12">
        <f t="shared" si="82"/>
        <v>0</v>
      </c>
      <c r="T187" s="61"/>
      <c r="U187" s="61"/>
      <c r="V187" s="61"/>
      <c r="W187" s="53">
        <f t="shared" si="46"/>
        <v>0</v>
      </c>
      <c r="X187" s="54" t="e">
        <f t="shared" si="47"/>
        <v>#DIV/0!</v>
      </c>
      <c r="Y187" s="25">
        <f t="shared" si="48"/>
        <v>0</v>
      </c>
      <c r="Z187" s="593">
        <f t="shared" si="56"/>
        <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T187" s="24">
        <v>4.5</v>
      </c>
      <c r="AU187" s="600" t="s">
        <v>769</v>
      </c>
      <c r="AV187" s="24" t="b">
        <f>IF(AS188&lt;$BB$157,(4.5-0.5*((AS188)-$BB$157)/($BB$157-$BB$156)))</f>
        <v>0</v>
      </c>
      <c r="AW187" s="600" t="s">
        <v>768</v>
      </c>
      <c r="AX187" s="24"/>
      <c r="AY187" s="24"/>
      <c r="AZ187" s="24"/>
      <c r="BA187" s="24"/>
      <c r="BB187" s="24">
        <f>(5-((AS186)-$BB$156)/($BB$156-$BB$155))</f>
        <v>5.1219615006322892</v>
      </c>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0"/>
        <v>0</v>
      </c>
      <c r="H188" s="12">
        <f t="shared" si="80"/>
        <v>0</v>
      </c>
      <c r="I188" s="12">
        <f t="shared" si="80"/>
        <v>0</v>
      </c>
      <c r="J188" s="12">
        <f t="shared" si="80"/>
        <v>0</v>
      </c>
      <c r="K188" s="12">
        <f t="shared" si="42"/>
        <v>0</v>
      </c>
      <c r="L188" s="12">
        <f t="shared" si="81"/>
        <v>0</v>
      </c>
      <c r="M188" s="12">
        <f t="shared" si="81"/>
        <v>0</v>
      </c>
      <c r="N188" s="12">
        <f t="shared" si="81"/>
        <v>0</v>
      </c>
      <c r="O188" s="12">
        <f t="shared" si="44"/>
        <v>0</v>
      </c>
      <c r="P188" s="12">
        <f t="shared" si="82"/>
        <v>0</v>
      </c>
      <c r="Q188" s="12">
        <f t="shared" si="82"/>
        <v>0</v>
      </c>
      <c r="T188" s="61"/>
      <c r="U188" s="61"/>
      <c r="V188" s="61"/>
      <c r="W188" s="53">
        <f t="shared" si="46"/>
        <v>0</v>
      </c>
      <c r="X188" s="54" t="e">
        <f t="shared" si="47"/>
        <v>#DIV/0!</v>
      </c>
      <c r="Y188" s="25">
        <f t="shared" si="48"/>
        <v>0</v>
      </c>
      <c r="Z188" s="593">
        <f t="shared" si="56"/>
        <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v>88</v>
      </c>
      <c r="AT188" s="24"/>
      <c r="AU188" s="24"/>
      <c r="AV188" s="24">
        <f>IF(AS188&lt;$BB$154,(6+(1-AS188/$BB$154)),IF(AS188&lt;$BB$155,5.5+(0.5*(($BB$155-AS188)/($BB$155-$BB$154))),IF(AS188&lt;$BB$156,5-0.5*((AS188)-$BB$156)/($BB$156-$BB$155),IF(AS188&lt;$BB$157,4.5-0.5*((AS188-$BB$157)/($BB$157-$BB$156)),5-0.5*((AS188-$BB$156)/$BH$166)))))</f>
        <v>4.0773026315789478</v>
      </c>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0"/>
        <v>0</v>
      </c>
      <c r="H189" s="12">
        <f t="shared" si="80"/>
        <v>0</v>
      </c>
      <c r="I189" s="12">
        <f t="shared" si="80"/>
        <v>0</v>
      </c>
      <c r="J189" s="12">
        <f t="shared" si="80"/>
        <v>0</v>
      </c>
      <c r="K189" s="12">
        <f t="shared" si="42"/>
        <v>0</v>
      </c>
      <c r="L189" s="12">
        <f t="shared" si="81"/>
        <v>0</v>
      </c>
      <c r="M189" s="12">
        <f t="shared" si="81"/>
        <v>0</v>
      </c>
      <c r="N189" s="12">
        <f t="shared" si="81"/>
        <v>0</v>
      </c>
      <c r="O189" s="12">
        <f t="shared" si="44"/>
        <v>0</v>
      </c>
      <c r="P189" s="12">
        <f t="shared" si="82"/>
        <v>0</v>
      </c>
      <c r="Q189" s="12">
        <f t="shared" si="82"/>
        <v>0</v>
      </c>
      <c r="T189" s="61"/>
      <c r="U189" s="61"/>
      <c r="V189" s="61"/>
      <c r="W189" s="53">
        <f t="shared" si="46"/>
        <v>0</v>
      </c>
      <c r="X189" s="54" t="e">
        <f t="shared" si="47"/>
        <v>#DIV/0!</v>
      </c>
      <c r="Y189" s="25">
        <f t="shared" si="48"/>
        <v>0</v>
      </c>
      <c r="Z189" s="593">
        <f t="shared" si="56"/>
        <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0"/>
        <v>0</v>
      </c>
      <c r="H190" s="12">
        <f t="shared" si="80"/>
        <v>0</v>
      </c>
      <c r="I190" s="12">
        <f t="shared" si="80"/>
        <v>0</v>
      </c>
      <c r="J190" s="12">
        <f t="shared" si="80"/>
        <v>0</v>
      </c>
      <c r="K190" s="12">
        <f t="shared" si="42"/>
        <v>0</v>
      </c>
      <c r="L190" s="12">
        <f t="shared" si="81"/>
        <v>0</v>
      </c>
      <c r="M190" s="12">
        <f t="shared" si="81"/>
        <v>0</v>
      </c>
      <c r="N190" s="12">
        <f t="shared" si="81"/>
        <v>0</v>
      </c>
      <c r="O190" s="12">
        <f t="shared" si="44"/>
        <v>0</v>
      </c>
      <c r="P190" s="12">
        <f t="shared" si="82"/>
        <v>0</v>
      </c>
      <c r="Q190" s="12">
        <f t="shared" si="82"/>
        <v>0</v>
      </c>
      <c r="T190" s="61"/>
      <c r="U190" s="61"/>
      <c r="V190" s="61"/>
      <c r="W190" s="53">
        <f t="shared" si="46"/>
        <v>0</v>
      </c>
      <c r="X190" s="54" t="e">
        <f t="shared" si="47"/>
        <v>#DIV/0!</v>
      </c>
      <c r="Y190" s="25">
        <f t="shared" si="48"/>
        <v>0</v>
      </c>
      <c r="Z190" s="593">
        <f t="shared" si="56"/>
        <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0"/>
        <v>0</v>
      </c>
      <c r="H191" s="12">
        <f t="shared" si="80"/>
        <v>0</v>
      </c>
      <c r="I191" s="12">
        <f t="shared" si="80"/>
        <v>0</v>
      </c>
      <c r="J191" s="12">
        <f t="shared" si="80"/>
        <v>0</v>
      </c>
      <c r="K191" s="12">
        <f t="shared" si="42"/>
        <v>0</v>
      </c>
      <c r="L191" s="12">
        <f t="shared" si="81"/>
        <v>0</v>
      </c>
      <c r="M191" s="12">
        <f t="shared" si="81"/>
        <v>0</v>
      </c>
      <c r="N191" s="12">
        <f t="shared" si="81"/>
        <v>0</v>
      </c>
      <c r="O191" s="12">
        <f t="shared" si="44"/>
        <v>0</v>
      </c>
      <c r="P191" s="12">
        <f t="shared" si="82"/>
        <v>0</v>
      </c>
      <c r="Q191" s="12">
        <f t="shared" si="82"/>
        <v>0</v>
      </c>
      <c r="T191" s="61"/>
      <c r="U191" s="61"/>
      <c r="V191" s="61"/>
      <c r="W191" s="53">
        <f t="shared" si="46"/>
        <v>0</v>
      </c>
      <c r="X191" s="54" t="e">
        <f t="shared" si="47"/>
        <v>#DIV/0!</v>
      </c>
      <c r="Y191" s="25">
        <f t="shared" si="48"/>
        <v>0</v>
      </c>
      <c r="Z191" s="593">
        <f t="shared" si="56"/>
        <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0"/>
        <v>0</v>
      </c>
      <c r="H192" s="12">
        <f t="shared" si="80"/>
        <v>0</v>
      </c>
      <c r="I192" s="12">
        <f t="shared" si="80"/>
        <v>0</v>
      </c>
      <c r="J192" s="12">
        <f t="shared" si="80"/>
        <v>0</v>
      </c>
      <c r="K192" s="12">
        <f t="shared" si="42"/>
        <v>0</v>
      </c>
      <c r="L192" s="12">
        <f t="shared" si="81"/>
        <v>0</v>
      </c>
      <c r="M192" s="12">
        <f t="shared" si="81"/>
        <v>0</v>
      </c>
      <c r="N192" s="12">
        <f t="shared" si="81"/>
        <v>0</v>
      </c>
      <c r="O192" s="12">
        <f t="shared" si="44"/>
        <v>0</v>
      </c>
      <c r="P192" s="12">
        <f t="shared" si="82"/>
        <v>0</v>
      </c>
      <c r="Q192" s="12">
        <f t="shared" si="82"/>
        <v>0</v>
      </c>
      <c r="T192" s="61"/>
      <c r="U192" s="61"/>
      <c r="V192" s="61"/>
      <c r="W192" s="53">
        <f t="shared" si="46"/>
        <v>0</v>
      </c>
      <c r="X192" s="54" t="e">
        <f t="shared" si="47"/>
        <v>#DIV/0!</v>
      </c>
      <c r="Y192" s="25">
        <f t="shared" si="48"/>
        <v>0</v>
      </c>
      <c r="Z192" s="593">
        <f t="shared" si="56"/>
        <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78">
      <c r="G193" s="12">
        <f t="shared" si="40"/>
        <v>0</v>
      </c>
      <c r="H193" s="12">
        <f t="shared" si="80"/>
        <v>0</v>
      </c>
      <c r="I193" s="12">
        <f t="shared" si="80"/>
        <v>0</v>
      </c>
      <c r="J193" s="12">
        <f t="shared" si="80"/>
        <v>0</v>
      </c>
      <c r="K193" s="12">
        <f t="shared" si="42"/>
        <v>0</v>
      </c>
      <c r="L193" s="12">
        <f t="shared" si="81"/>
        <v>0</v>
      </c>
      <c r="M193" s="12">
        <f t="shared" si="81"/>
        <v>0</v>
      </c>
      <c r="N193" s="12">
        <f t="shared" si="81"/>
        <v>0</v>
      </c>
      <c r="O193" s="12">
        <f t="shared" si="44"/>
        <v>0</v>
      </c>
      <c r="P193" s="12">
        <f t="shared" si="82"/>
        <v>0</v>
      </c>
      <c r="Q193" s="12">
        <f t="shared" si="82"/>
        <v>0</v>
      </c>
      <c r="T193" s="61"/>
      <c r="U193" s="61"/>
      <c r="V193" s="61"/>
      <c r="W193" s="53">
        <f t="shared" si="46"/>
        <v>0</v>
      </c>
      <c r="X193" s="54" t="e">
        <f t="shared" si="47"/>
        <v>#DIV/0!</v>
      </c>
      <c r="Y193" s="25">
        <f t="shared" si="48"/>
        <v>0</v>
      </c>
      <c r="Z193" s="593">
        <f t="shared" si="56"/>
        <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c r="AZ193" s="24"/>
      <c r="BA193" s="24"/>
      <c r="BB193" s="24"/>
      <c r="BC193" s="24"/>
      <c r="BD193" s="24"/>
      <c r="BE193" s="24"/>
      <c r="BF193" s="37"/>
      <c r="BG193" s="37"/>
      <c r="BH193" s="37"/>
      <c r="BI193" s="37"/>
      <c r="BJ193" s="37"/>
      <c r="BK193" s="37"/>
      <c r="BL193" s="24"/>
      <c r="BM193" s="24"/>
      <c r="BN193" s="24"/>
      <c r="BO193" s="24"/>
      <c r="BP193" s="24"/>
      <c r="BQ193" s="24"/>
      <c r="BR193" s="24"/>
      <c r="BS193" s="24"/>
      <c r="BT193" s="24"/>
      <c r="BU193" s="24"/>
      <c r="BV193" s="24"/>
      <c r="BW193" s="14"/>
      <c r="BX193" s="14"/>
      <c r="BY193" s="14"/>
      <c r="BZ193" s="14"/>
    </row>
    <row r="194" spans="7:78">
      <c r="G194" s="12">
        <f t="shared" si="40"/>
        <v>0</v>
      </c>
      <c r="H194" s="12">
        <f t="shared" si="80"/>
        <v>0</v>
      </c>
      <c r="I194" s="12">
        <f t="shared" si="80"/>
        <v>0</v>
      </c>
      <c r="J194" s="12">
        <f t="shared" si="80"/>
        <v>0</v>
      </c>
      <c r="K194" s="12">
        <f t="shared" si="42"/>
        <v>0</v>
      </c>
      <c r="L194" s="12">
        <f t="shared" si="81"/>
        <v>0</v>
      </c>
      <c r="M194" s="12">
        <f t="shared" si="81"/>
        <v>0</v>
      </c>
      <c r="N194" s="12">
        <f t="shared" si="81"/>
        <v>0</v>
      </c>
      <c r="O194" s="12">
        <f t="shared" si="44"/>
        <v>0</v>
      </c>
      <c r="P194" s="12">
        <f t="shared" si="82"/>
        <v>0</v>
      </c>
      <c r="Q194" s="12">
        <f t="shared" si="82"/>
        <v>0</v>
      </c>
      <c r="T194" s="61"/>
      <c r="U194" s="61"/>
      <c r="V194" s="61"/>
      <c r="W194" s="53">
        <f t="shared" si="46"/>
        <v>0</v>
      </c>
      <c r="X194" s="54" t="e">
        <f t="shared" si="47"/>
        <v>#DIV/0!</v>
      </c>
      <c r="Y194" s="25">
        <f t="shared" ref="Y194:Y213" si="90">Z194/$BH$166</f>
        <v>0</v>
      </c>
      <c r="Z194" s="593">
        <f t="shared" si="56"/>
        <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1">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c r="AZ194" s="24"/>
      <c r="BA194" s="24"/>
      <c r="BB194" s="24"/>
      <c r="BC194" s="24"/>
      <c r="BD194" s="24"/>
      <c r="BE194" s="24"/>
      <c r="BF194" s="37"/>
      <c r="BG194" s="37"/>
      <c r="BH194" s="37"/>
      <c r="BI194" s="37"/>
      <c r="BJ194" s="37"/>
      <c r="BK194" s="37"/>
      <c r="BL194" s="24"/>
      <c r="BM194" s="24"/>
      <c r="BN194" s="24"/>
      <c r="BO194" s="24"/>
      <c r="BP194" s="24"/>
      <c r="BQ194" s="24"/>
      <c r="BR194" s="24"/>
      <c r="BS194" s="24"/>
      <c r="BT194" s="24"/>
      <c r="BU194" s="24"/>
      <c r="BV194" s="24"/>
      <c r="BW194" s="14"/>
      <c r="BX194" s="14"/>
      <c r="BY194" s="14"/>
      <c r="BZ194" s="14"/>
    </row>
    <row r="195" spans="7:78">
      <c r="G195" s="12">
        <f t="shared" si="40"/>
        <v>0</v>
      </c>
      <c r="H195" s="12">
        <f t="shared" si="80"/>
        <v>0</v>
      </c>
      <c r="I195" s="12">
        <f t="shared" si="80"/>
        <v>0</v>
      </c>
      <c r="J195" s="12">
        <f t="shared" si="80"/>
        <v>0</v>
      </c>
      <c r="K195" s="12">
        <f t="shared" si="42"/>
        <v>0</v>
      </c>
      <c r="L195" s="12">
        <f t="shared" si="81"/>
        <v>0</v>
      </c>
      <c r="M195" s="12">
        <f t="shared" si="81"/>
        <v>0</v>
      </c>
      <c r="N195" s="12">
        <f t="shared" si="81"/>
        <v>0</v>
      </c>
      <c r="O195" s="12">
        <f t="shared" si="44"/>
        <v>0</v>
      </c>
      <c r="P195" s="12">
        <f t="shared" si="82"/>
        <v>0</v>
      </c>
      <c r="Q195" s="12">
        <f t="shared" si="82"/>
        <v>0</v>
      </c>
      <c r="T195" s="61"/>
      <c r="U195" s="61"/>
      <c r="V195" s="61"/>
      <c r="W195" s="53">
        <f t="shared" si="46"/>
        <v>0</v>
      </c>
      <c r="X195" s="54" t="e">
        <f t="shared" si="47"/>
        <v>#DIV/0!</v>
      </c>
      <c r="Y195" s="25">
        <f t="shared" si="90"/>
        <v>0</v>
      </c>
      <c r="Z195" s="593">
        <f t="shared" si="56"/>
        <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2">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c r="AZ195" s="24"/>
      <c r="BA195" s="24"/>
      <c r="BB195" s="24"/>
      <c r="BC195" s="24"/>
      <c r="BD195" s="24"/>
      <c r="BE195" s="24"/>
      <c r="BF195" s="37"/>
      <c r="BG195" s="37"/>
      <c r="BH195" s="37"/>
      <c r="BI195" s="37"/>
      <c r="BJ195" s="37"/>
      <c r="BK195" s="37"/>
      <c r="BL195" s="24"/>
      <c r="BM195" s="24"/>
      <c r="BN195" s="24"/>
      <c r="BO195" s="24"/>
      <c r="BP195" s="24"/>
      <c r="BQ195" s="24"/>
      <c r="BR195" s="24"/>
      <c r="BS195" s="24"/>
      <c r="BT195" s="24"/>
      <c r="BU195" s="24"/>
      <c r="BV195" s="24"/>
      <c r="BW195" s="14"/>
      <c r="BX195" s="14"/>
      <c r="BY195" s="14"/>
      <c r="BZ195" s="14"/>
    </row>
    <row r="196" spans="7:78">
      <c r="G196" s="12">
        <f t="shared" si="40"/>
        <v>0</v>
      </c>
      <c r="H196" s="12">
        <f t="shared" si="80"/>
        <v>0</v>
      </c>
      <c r="I196" s="12">
        <f t="shared" si="80"/>
        <v>0</v>
      </c>
      <c r="J196" s="12">
        <f t="shared" si="80"/>
        <v>0</v>
      </c>
      <c r="K196" s="12">
        <f t="shared" si="42"/>
        <v>0</v>
      </c>
      <c r="L196" s="12">
        <f t="shared" si="81"/>
        <v>0</v>
      </c>
      <c r="M196" s="12">
        <f t="shared" si="81"/>
        <v>0</v>
      </c>
      <c r="N196" s="12">
        <f t="shared" si="81"/>
        <v>0</v>
      </c>
      <c r="O196" s="12">
        <f t="shared" si="44"/>
        <v>0</v>
      </c>
      <c r="P196" s="12">
        <f t="shared" si="82"/>
        <v>0</v>
      </c>
      <c r="Q196" s="12">
        <f t="shared" si="82"/>
        <v>0</v>
      </c>
      <c r="T196" s="61"/>
      <c r="U196" s="61"/>
      <c r="V196" s="61"/>
      <c r="W196" s="53">
        <f t="shared" si="46"/>
        <v>0</v>
      </c>
      <c r="X196" s="54" t="e">
        <f t="shared" si="47"/>
        <v>#DIV/0!</v>
      </c>
      <c r="Y196" s="25">
        <f t="shared" si="90"/>
        <v>0</v>
      </c>
      <c r="Z196" s="593">
        <f t="shared" si="56"/>
        <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3">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c r="AZ196" s="24"/>
      <c r="BA196" s="24"/>
      <c r="BB196" s="24"/>
      <c r="BC196" s="24"/>
      <c r="BD196" s="24"/>
      <c r="BE196" s="24"/>
      <c r="BF196" s="37"/>
      <c r="BG196" s="37"/>
      <c r="BH196" s="37"/>
      <c r="BI196" s="37"/>
      <c r="BJ196" s="37"/>
      <c r="BK196" s="37"/>
      <c r="BL196" s="24"/>
      <c r="BM196" s="24"/>
      <c r="BN196" s="24"/>
      <c r="BO196" s="24"/>
      <c r="BP196" s="24"/>
      <c r="BQ196" s="24"/>
      <c r="BR196" s="24"/>
      <c r="BS196" s="24"/>
      <c r="BT196" s="24"/>
      <c r="BU196" s="24"/>
      <c r="BV196" s="24"/>
      <c r="BW196" s="14"/>
      <c r="BX196" s="14"/>
      <c r="BY196" s="14"/>
      <c r="BZ196" s="14"/>
    </row>
    <row r="197" spans="7:78">
      <c r="G197" s="12">
        <f t="shared" si="40"/>
        <v>0</v>
      </c>
      <c r="H197" s="12">
        <f t="shared" si="80"/>
        <v>0</v>
      </c>
      <c r="I197" s="12">
        <f t="shared" si="80"/>
        <v>0</v>
      </c>
      <c r="J197" s="12">
        <f t="shared" si="80"/>
        <v>0</v>
      </c>
      <c r="K197" s="12">
        <f t="shared" si="42"/>
        <v>0</v>
      </c>
      <c r="L197" s="12">
        <f t="shared" si="81"/>
        <v>0</v>
      </c>
      <c r="M197" s="12">
        <f t="shared" si="81"/>
        <v>0</v>
      </c>
      <c r="N197" s="12">
        <f t="shared" si="81"/>
        <v>0</v>
      </c>
      <c r="O197" s="12">
        <f t="shared" si="44"/>
        <v>0</v>
      </c>
      <c r="P197" s="12">
        <f t="shared" si="82"/>
        <v>0</v>
      </c>
      <c r="Q197" s="12">
        <f t="shared" si="82"/>
        <v>0</v>
      </c>
      <c r="T197" s="61"/>
      <c r="U197" s="61"/>
      <c r="V197" s="61"/>
      <c r="W197" s="53">
        <f t="shared" si="46"/>
        <v>0</v>
      </c>
      <c r="X197" s="54" t="e">
        <f t="shared" si="47"/>
        <v>#DIV/0!</v>
      </c>
      <c r="Y197" s="25">
        <f t="shared" si="90"/>
        <v>0</v>
      </c>
      <c r="Z197" s="593">
        <f t="shared" si="56"/>
        <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4">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c r="AZ197" s="24"/>
      <c r="BA197" s="24"/>
      <c r="BB197" s="24"/>
      <c r="BC197" s="24"/>
      <c r="BD197" s="24"/>
      <c r="BE197" s="24"/>
      <c r="BF197" s="37"/>
      <c r="BG197" s="37"/>
      <c r="BH197" s="37"/>
      <c r="BI197" s="37"/>
      <c r="BJ197" s="37"/>
      <c r="BK197" s="37"/>
      <c r="BL197" s="24"/>
      <c r="BM197" s="24"/>
      <c r="BN197" s="24"/>
      <c r="BO197" s="24"/>
      <c r="BP197" s="24"/>
      <c r="BQ197" s="24"/>
      <c r="BR197" s="24"/>
      <c r="BS197" s="24"/>
      <c r="BT197" s="24"/>
      <c r="BU197" s="24"/>
      <c r="BV197" s="24"/>
      <c r="BW197" s="14"/>
      <c r="BX197" s="14"/>
      <c r="BY197" s="14"/>
      <c r="BZ197" s="14"/>
    </row>
    <row r="198" spans="7:78">
      <c r="G198" s="12">
        <f t="shared" si="40"/>
        <v>0</v>
      </c>
      <c r="H198" s="12">
        <f t="shared" si="80"/>
        <v>0</v>
      </c>
      <c r="I198" s="12">
        <f t="shared" si="80"/>
        <v>0</v>
      </c>
      <c r="J198" s="12">
        <f t="shared" si="80"/>
        <v>0</v>
      </c>
      <c r="K198" s="12">
        <f t="shared" si="42"/>
        <v>0</v>
      </c>
      <c r="L198" s="12">
        <f t="shared" si="81"/>
        <v>0</v>
      </c>
      <c r="M198" s="12">
        <f t="shared" si="81"/>
        <v>0</v>
      </c>
      <c r="N198" s="12">
        <f t="shared" si="81"/>
        <v>0</v>
      </c>
      <c r="O198" s="12">
        <f t="shared" si="44"/>
        <v>0</v>
      </c>
      <c r="P198" s="12">
        <f t="shared" si="82"/>
        <v>0</v>
      </c>
      <c r="Q198" s="12">
        <f t="shared" si="82"/>
        <v>0</v>
      </c>
      <c r="T198" s="61"/>
      <c r="U198" s="61"/>
      <c r="V198" s="61"/>
      <c r="W198" s="53">
        <f t="shared" si="46"/>
        <v>0</v>
      </c>
      <c r="X198" s="54" t="e">
        <f t="shared" si="47"/>
        <v>#DIV/0!</v>
      </c>
      <c r="Y198" s="25">
        <f t="shared" si="90"/>
        <v>0</v>
      </c>
      <c r="Z198" s="593">
        <f t="shared" si="56"/>
        <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5">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c r="AZ198" s="24"/>
      <c r="BA198" s="24"/>
      <c r="BB198" s="24"/>
      <c r="BC198" s="24"/>
      <c r="BD198" s="24"/>
      <c r="BE198" s="24"/>
      <c r="BF198" s="37"/>
      <c r="BG198" s="37"/>
      <c r="BH198" s="37"/>
      <c r="BI198" s="37"/>
      <c r="BJ198" s="37"/>
      <c r="BK198" s="37"/>
      <c r="BL198" s="24"/>
      <c r="BM198" s="24"/>
      <c r="BN198" s="24"/>
      <c r="BO198" s="24"/>
      <c r="BP198" s="24"/>
      <c r="BQ198" s="24"/>
      <c r="BR198" s="24"/>
      <c r="BS198" s="24"/>
      <c r="BT198" s="24"/>
      <c r="BU198" s="24"/>
      <c r="BV198" s="24"/>
      <c r="BW198" s="14"/>
      <c r="BX198" s="14"/>
      <c r="BY198" s="14"/>
      <c r="BZ198" s="14"/>
    </row>
    <row r="199" spans="7:78">
      <c r="G199" s="12">
        <f t="shared" si="40"/>
        <v>0</v>
      </c>
      <c r="H199" s="12">
        <f t="shared" si="80"/>
        <v>0</v>
      </c>
      <c r="I199" s="12">
        <f t="shared" si="80"/>
        <v>0</v>
      </c>
      <c r="J199" s="12">
        <f t="shared" si="80"/>
        <v>0</v>
      </c>
      <c r="K199" s="12">
        <f t="shared" si="42"/>
        <v>0</v>
      </c>
      <c r="L199" s="12">
        <f t="shared" si="81"/>
        <v>0</v>
      </c>
      <c r="M199" s="12">
        <f t="shared" si="81"/>
        <v>0</v>
      </c>
      <c r="N199" s="12">
        <f t="shared" si="81"/>
        <v>0</v>
      </c>
      <c r="O199" s="12">
        <f t="shared" si="44"/>
        <v>0</v>
      </c>
      <c r="P199" s="12">
        <f t="shared" si="82"/>
        <v>0</v>
      </c>
      <c r="Q199" s="12">
        <f t="shared" si="82"/>
        <v>0</v>
      </c>
      <c r="T199" s="61"/>
      <c r="U199" s="61"/>
      <c r="V199" s="61"/>
      <c r="W199" s="53">
        <f t="shared" si="46"/>
        <v>0</v>
      </c>
      <c r="X199" s="54" t="e">
        <f t="shared" si="47"/>
        <v>#DIV/0!</v>
      </c>
      <c r="Y199" s="25">
        <f t="shared" si="90"/>
        <v>0</v>
      </c>
      <c r="Z199" s="593">
        <f t="shared" si="56"/>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c r="AU199" s="24"/>
      <c r="AV199" s="24"/>
      <c r="AW199" s="24"/>
      <c r="AX199" s="24"/>
      <c r="AY199" s="24"/>
      <c r="AZ199" s="24"/>
      <c r="BA199" s="24"/>
      <c r="BB199" s="24"/>
      <c r="BC199" s="24"/>
      <c r="BD199" s="24"/>
      <c r="BE199" s="24"/>
      <c r="BF199" s="37"/>
      <c r="BG199" s="37"/>
      <c r="BH199" s="37"/>
      <c r="BI199" s="37"/>
      <c r="BJ199" s="37"/>
      <c r="BK199" s="37"/>
      <c r="BL199" s="24"/>
      <c r="BM199" s="24"/>
      <c r="BN199" s="24"/>
      <c r="BO199" s="24"/>
      <c r="BP199" s="24"/>
      <c r="BQ199" s="24"/>
      <c r="BR199" s="24"/>
      <c r="BS199" s="24"/>
      <c r="BT199" s="24"/>
      <c r="BU199" s="24"/>
      <c r="BV199" s="24"/>
      <c r="BW199" s="14"/>
      <c r="BX199" s="14"/>
      <c r="BY199" s="14"/>
      <c r="BZ199" s="14"/>
    </row>
    <row r="200" spans="7:78">
      <c r="G200" s="12">
        <f t="shared" si="40"/>
        <v>0</v>
      </c>
      <c r="H200" s="12">
        <f t="shared" si="80"/>
        <v>0</v>
      </c>
      <c r="I200" s="12">
        <f t="shared" si="80"/>
        <v>0</v>
      </c>
      <c r="J200" s="12">
        <f t="shared" si="80"/>
        <v>0</v>
      </c>
      <c r="K200" s="12">
        <f t="shared" si="42"/>
        <v>0</v>
      </c>
      <c r="L200" s="12">
        <f t="shared" si="81"/>
        <v>0</v>
      </c>
      <c r="M200" s="12">
        <f t="shared" si="81"/>
        <v>0</v>
      </c>
      <c r="N200" s="12">
        <f t="shared" si="81"/>
        <v>0</v>
      </c>
      <c r="O200" s="12">
        <f t="shared" si="44"/>
        <v>0</v>
      </c>
      <c r="P200" s="12">
        <f t="shared" si="82"/>
        <v>0</v>
      </c>
      <c r="Q200" s="12">
        <f t="shared" si="82"/>
        <v>0</v>
      </c>
      <c r="T200" s="61"/>
      <c r="U200" s="61"/>
      <c r="V200" s="61"/>
      <c r="W200" s="53">
        <f t="shared" si="46"/>
        <v>0</v>
      </c>
      <c r="X200" s="54" t="e">
        <f t="shared" si="47"/>
        <v>#DIV/0!</v>
      </c>
      <c r="Y200" s="25">
        <f t="shared" si="90"/>
        <v>0</v>
      </c>
      <c r="Z200" s="593">
        <f t="shared" si="56"/>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c r="AT200" s="24"/>
      <c r="AU200" s="24"/>
      <c r="AV200" s="24"/>
      <c r="AW200" s="24"/>
      <c r="AX200" s="24"/>
      <c r="AY200" s="24"/>
      <c r="AZ200" s="24"/>
      <c r="BA200" s="24"/>
      <c r="BB200" s="24"/>
      <c r="BC200" s="24"/>
      <c r="BD200" s="24"/>
      <c r="BE200" s="24"/>
      <c r="BF200" s="37"/>
      <c r="BG200" s="37"/>
      <c r="BH200" s="37"/>
      <c r="BI200" s="37"/>
      <c r="BJ200" s="37"/>
      <c r="BK200" s="37"/>
      <c r="BL200" s="24"/>
      <c r="BM200" s="24"/>
      <c r="BN200" s="24"/>
      <c r="BO200" s="24"/>
      <c r="BP200" s="24"/>
      <c r="BQ200" s="24"/>
      <c r="BR200" s="24"/>
      <c r="BS200" s="24"/>
      <c r="BT200" s="24"/>
      <c r="BU200" s="24"/>
      <c r="BV200" s="24"/>
      <c r="BW200" s="14"/>
      <c r="BX200" s="14"/>
      <c r="BY200" s="14"/>
      <c r="BZ200" s="14"/>
    </row>
    <row r="201" spans="7:78">
      <c r="G201" s="12">
        <f t="shared" si="40"/>
        <v>0</v>
      </c>
      <c r="H201" s="12">
        <f t="shared" si="80"/>
        <v>0</v>
      </c>
      <c r="I201" s="12">
        <f t="shared" si="80"/>
        <v>0</v>
      </c>
      <c r="J201" s="12">
        <f t="shared" si="80"/>
        <v>0</v>
      </c>
      <c r="K201" s="12">
        <f t="shared" si="42"/>
        <v>0</v>
      </c>
      <c r="L201" s="12">
        <f t="shared" si="81"/>
        <v>0</v>
      </c>
      <c r="M201" s="12">
        <f t="shared" si="81"/>
        <v>0</v>
      </c>
      <c r="N201" s="12">
        <f t="shared" si="81"/>
        <v>0</v>
      </c>
      <c r="O201" s="12">
        <f t="shared" si="44"/>
        <v>0</v>
      </c>
      <c r="P201" s="12">
        <f t="shared" si="82"/>
        <v>0</v>
      </c>
      <c r="Q201" s="12">
        <f t="shared" si="82"/>
        <v>0</v>
      </c>
      <c r="T201" s="61"/>
      <c r="U201" s="61"/>
      <c r="V201" s="61"/>
      <c r="W201" s="53">
        <f t="shared" si="46"/>
        <v>0</v>
      </c>
      <c r="X201" s="54" t="e">
        <f t="shared" si="47"/>
        <v>#DIV/0!</v>
      </c>
      <c r="Y201" s="25">
        <f t="shared" si="90"/>
        <v>0</v>
      </c>
      <c r="Z201" s="593">
        <f t="shared" si="56"/>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c r="AU201" s="24"/>
      <c r="AV201" s="24"/>
      <c r="AW201" s="24"/>
      <c r="AX201" s="24"/>
      <c r="AY201" s="24"/>
      <c r="AZ201" s="24"/>
      <c r="BA201" s="24"/>
      <c r="BB201" s="24"/>
      <c r="BC201" s="24"/>
      <c r="BD201" s="24"/>
      <c r="BE201" s="24"/>
      <c r="BF201" s="37"/>
      <c r="BG201" s="37"/>
      <c r="BH201" s="37"/>
      <c r="BI201" s="37"/>
      <c r="BJ201" s="37"/>
      <c r="BK201" s="37"/>
      <c r="BL201" s="24"/>
      <c r="BM201" s="24"/>
      <c r="BN201" s="24"/>
      <c r="BO201" s="24"/>
      <c r="BP201" s="24"/>
      <c r="BQ201" s="24"/>
      <c r="BR201" s="24"/>
      <c r="BS201" s="24"/>
      <c r="BT201" s="24"/>
      <c r="BU201" s="24"/>
      <c r="BV201" s="24"/>
      <c r="BW201" s="14"/>
      <c r="BX201" s="14"/>
      <c r="BY201" s="14"/>
      <c r="BZ201" s="14"/>
    </row>
    <row r="202" spans="7:78">
      <c r="G202" s="12">
        <f t="shared" si="40"/>
        <v>0</v>
      </c>
      <c r="H202" s="12">
        <f t="shared" si="80"/>
        <v>0</v>
      </c>
      <c r="I202" s="12">
        <f t="shared" si="80"/>
        <v>0</v>
      </c>
      <c r="J202" s="12">
        <f t="shared" si="80"/>
        <v>0</v>
      </c>
      <c r="K202" s="12">
        <f t="shared" si="42"/>
        <v>0</v>
      </c>
      <c r="L202" s="12">
        <f t="shared" si="81"/>
        <v>0</v>
      </c>
      <c r="M202" s="12">
        <f t="shared" si="81"/>
        <v>0</v>
      </c>
      <c r="N202" s="12">
        <f t="shared" si="81"/>
        <v>0</v>
      </c>
      <c r="O202" s="12">
        <f t="shared" si="44"/>
        <v>0</v>
      </c>
      <c r="P202" s="12">
        <f t="shared" si="82"/>
        <v>0</v>
      </c>
      <c r="Q202" s="12">
        <f t="shared" si="82"/>
        <v>0</v>
      </c>
      <c r="T202" s="61"/>
      <c r="U202" s="61"/>
      <c r="V202" s="61"/>
      <c r="W202" s="53">
        <f t="shared" si="46"/>
        <v>0</v>
      </c>
      <c r="X202" s="54" t="e">
        <f t="shared" si="47"/>
        <v>#DIV/0!</v>
      </c>
      <c r="Y202" s="25">
        <f t="shared" si="90"/>
        <v>0</v>
      </c>
      <c r="Z202" s="593">
        <f t="shared" si="56"/>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c r="AZ202" s="24"/>
      <c r="BA202" s="24"/>
      <c r="BB202" s="24"/>
      <c r="BC202" s="24"/>
      <c r="BD202" s="24"/>
      <c r="BE202" s="24"/>
      <c r="BF202" s="37"/>
      <c r="BG202" s="37"/>
      <c r="BH202" s="37"/>
      <c r="BI202" s="37"/>
      <c r="BJ202" s="37"/>
      <c r="BK202" s="37"/>
      <c r="BL202" s="24"/>
      <c r="BM202" s="24"/>
      <c r="BN202" s="24"/>
      <c r="BO202" s="24"/>
      <c r="BP202" s="24"/>
      <c r="BQ202" s="24"/>
      <c r="BR202" s="24"/>
      <c r="BS202" s="24"/>
      <c r="BT202" s="24"/>
      <c r="BU202" s="24"/>
      <c r="BV202" s="24"/>
      <c r="BW202" s="14"/>
      <c r="BX202" s="14"/>
      <c r="BY202" s="14"/>
      <c r="BZ202" s="14"/>
    </row>
    <row r="203" spans="7:78">
      <c r="G203" s="12">
        <f t="shared" si="40"/>
        <v>0</v>
      </c>
      <c r="H203" s="12">
        <f t="shared" si="80"/>
        <v>0</v>
      </c>
      <c r="I203" s="12">
        <f t="shared" si="80"/>
        <v>0</v>
      </c>
      <c r="J203" s="12">
        <f t="shared" si="80"/>
        <v>0</v>
      </c>
      <c r="K203" s="12">
        <f t="shared" si="42"/>
        <v>0</v>
      </c>
      <c r="L203" s="12">
        <f t="shared" si="81"/>
        <v>0</v>
      </c>
      <c r="M203" s="12">
        <f t="shared" si="81"/>
        <v>0</v>
      </c>
      <c r="N203" s="12">
        <f t="shared" si="81"/>
        <v>0</v>
      </c>
      <c r="O203" s="12">
        <f t="shared" si="44"/>
        <v>0</v>
      </c>
      <c r="P203" s="12">
        <f t="shared" si="82"/>
        <v>0</v>
      </c>
      <c r="Q203" s="12">
        <f t="shared" si="82"/>
        <v>0</v>
      </c>
      <c r="T203" s="61"/>
      <c r="U203" s="61"/>
      <c r="V203" s="61"/>
      <c r="W203" s="53">
        <f t="shared" si="46"/>
        <v>0</v>
      </c>
      <c r="X203" s="54" t="e">
        <f t="shared" si="47"/>
        <v>#DIV/0!</v>
      </c>
      <c r="Y203" s="25">
        <f t="shared" si="90"/>
        <v>0</v>
      </c>
      <c r="Z203" s="593">
        <f t="shared" si="56"/>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c r="AZ203" s="24"/>
      <c r="BA203" s="24"/>
      <c r="BB203" s="24"/>
      <c r="BC203" s="24"/>
      <c r="BD203" s="24"/>
      <c r="BE203" s="24"/>
      <c r="BF203" s="37"/>
      <c r="BG203" s="37"/>
      <c r="BH203" s="37"/>
      <c r="BI203" s="37"/>
      <c r="BJ203" s="37"/>
      <c r="BK203" s="37"/>
      <c r="BL203" s="24"/>
      <c r="BM203" s="24"/>
      <c r="BN203" s="24"/>
      <c r="BO203" s="24"/>
      <c r="BP203" s="24"/>
      <c r="BQ203" s="24"/>
      <c r="BR203" s="24"/>
      <c r="BS203" s="24"/>
      <c r="BT203" s="24"/>
      <c r="BU203" s="24"/>
      <c r="BV203" s="24"/>
      <c r="BW203" s="14"/>
      <c r="BX203" s="14"/>
      <c r="BY203" s="14"/>
      <c r="BZ203" s="14"/>
    </row>
    <row r="204" spans="7:78">
      <c r="G204" s="12">
        <f t="shared" si="40"/>
        <v>0</v>
      </c>
      <c r="H204" s="12">
        <f t="shared" si="80"/>
        <v>0</v>
      </c>
      <c r="I204" s="12">
        <f t="shared" si="80"/>
        <v>0</v>
      </c>
      <c r="J204" s="12">
        <f t="shared" si="80"/>
        <v>0</v>
      </c>
      <c r="K204" s="12">
        <f t="shared" si="42"/>
        <v>0</v>
      </c>
      <c r="L204" s="12">
        <f t="shared" si="81"/>
        <v>0</v>
      </c>
      <c r="M204" s="12">
        <f t="shared" si="81"/>
        <v>0</v>
      </c>
      <c r="N204" s="12">
        <f t="shared" si="81"/>
        <v>0</v>
      </c>
      <c r="O204" s="12">
        <f t="shared" si="44"/>
        <v>0</v>
      </c>
      <c r="P204" s="12">
        <f t="shared" si="82"/>
        <v>0</v>
      </c>
      <c r="Q204" s="12">
        <f t="shared" si="82"/>
        <v>0</v>
      </c>
      <c r="T204" s="61"/>
      <c r="U204" s="61"/>
      <c r="V204" s="61"/>
      <c r="W204" s="53">
        <f t="shared" si="46"/>
        <v>0</v>
      </c>
      <c r="X204" s="54" t="e">
        <f t="shared" si="47"/>
        <v>#DIV/0!</v>
      </c>
      <c r="Y204" s="25">
        <f t="shared" si="90"/>
        <v>0</v>
      </c>
      <c r="Z204" s="593">
        <f t="shared" si="56"/>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c r="AZ204" s="24"/>
      <c r="BA204" s="24"/>
      <c r="BB204" s="24"/>
      <c r="BC204" s="24"/>
      <c r="BD204" s="24"/>
      <c r="BE204" s="24"/>
      <c r="BF204" s="37"/>
      <c r="BG204" s="37"/>
      <c r="BH204" s="37"/>
      <c r="BI204" s="37"/>
      <c r="BJ204" s="37"/>
      <c r="BK204" s="37"/>
      <c r="BL204" s="24"/>
      <c r="BM204" s="24"/>
      <c r="BN204" s="24"/>
      <c r="BO204" s="24"/>
      <c r="BP204" s="24"/>
      <c r="BQ204" s="24"/>
      <c r="BR204" s="24"/>
      <c r="BS204" s="24"/>
      <c r="BT204" s="24"/>
      <c r="BU204" s="24"/>
      <c r="BV204" s="24"/>
      <c r="BW204" s="14"/>
      <c r="BX204" s="14"/>
      <c r="BY204" s="14"/>
      <c r="BZ204" s="14"/>
    </row>
    <row r="205" spans="7:78">
      <c r="G205" s="12">
        <f t="shared" si="40"/>
        <v>0</v>
      </c>
      <c r="H205" s="12">
        <f t="shared" si="80"/>
        <v>0</v>
      </c>
      <c r="I205" s="12">
        <f t="shared" si="80"/>
        <v>0</v>
      </c>
      <c r="J205" s="12">
        <f t="shared" si="80"/>
        <v>0</v>
      </c>
      <c r="K205" s="12">
        <f t="shared" si="42"/>
        <v>0</v>
      </c>
      <c r="L205" s="12">
        <f t="shared" si="81"/>
        <v>0</v>
      </c>
      <c r="M205" s="12">
        <f t="shared" si="81"/>
        <v>0</v>
      </c>
      <c r="N205" s="12">
        <f t="shared" si="81"/>
        <v>0</v>
      </c>
      <c r="O205" s="12">
        <f t="shared" si="44"/>
        <v>0</v>
      </c>
      <c r="P205" s="12">
        <f t="shared" si="82"/>
        <v>0</v>
      </c>
      <c r="Q205" s="12">
        <f t="shared" si="82"/>
        <v>0</v>
      </c>
      <c r="T205" s="61"/>
      <c r="U205" s="61"/>
      <c r="V205" s="61"/>
      <c r="W205" s="53">
        <f t="shared" si="46"/>
        <v>0</v>
      </c>
      <c r="X205" s="54" t="e">
        <f t="shared" si="47"/>
        <v>#DIV/0!</v>
      </c>
      <c r="Y205" s="25">
        <f t="shared" si="90"/>
        <v>0</v>
      </c>
      <c r="Z205" s="593">
        <f t="shared" si="56"/>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c r="AZ205" s="24"/>
      <c r="BA205" s="24"/>
      <c r="BB205" s="24"/>
      <c r="BC205" s="24"/>
      <c r="BD205" s="24"/>
      <c r="BE205" s="24"/>
      <c r="BF205" s="37"/>
      <c r="BG205" s="37"/>
      <c r="BH205" s="37"/>
      <c r="BI205" s="37"/>
      <c r="BJ205" s="37"/>
      <c r="BK205" s="37"/>
      <c r="BL205" s="24"/>
      <c r="BM205" s="24"/>
      <c r="BN205" s="24"/>
      <c r="BO205" s="24"/>
      <c r="BP205" s="24"/>
      <c r="BQ205" s="24"/>
      <c r="BR205" s="24"/>
      <c r="BS205" s="24"/>
      <c r="BT205" s="24"/>
      <c r="BU205" s="24"/>
      <c r="BV205" s="24"/>
      <c r="BW205" s="14"/>
      <c r="BX205" s="14"/>
      <c r="BY205" s="14"/>
      <c r="BZ205" s="14"/>
    </row>
    <row r="206" spans="7:78">
      <c r="G206" s="12">
        <f t="shared" si="40"/>
        <v>0</v>
      </c>
      <c r="H206" s="12">
        <f t="shared" si="80"/>
        <v>0</v>
      </c>
      <c r="I206" s="12">
        <f t="shared" si="80"/>
        <v>0</v>
      </c>
      <c r="J206" s="12">
        <f t="shared" si="80"/>
        <v>0</v>
      </c>
      <c r="K206" s="12">
        <f t="shared" si="42"/>
        <v>0</v>
      </c>
      <c r="L206" s="12">
        <f t="shared" si="81"/>
        <v>0</v>
      </c>
      <c r="M206" s="12">
        <f t="shared" si="81"/>
        <v>0</v>
      </c>
      <c r="N206" s="12">
        <f t="shared" si="81"/>
        <v>0</v>
      </c>
      <c r="O206" s="12">
        <f t="shared" si="44"/>
        <v>0</v>
      </c>
      <c r="P206" s="12">
        <f t="shared" si="82"/>
        <v>0</v>
      </c>
      <c r="Q206" s="12">
        <f t="shared" si="82"/>
        <v>0</v>
      </c>
      <c r="T206" s="61"/>
      <c r="U206" s="61"/>
      <c r="V206" s="61"/>
      <c r="W206" s="53">
        <f t="shared" si="46"/>
        <v>0</v>
      </c>
      <c r="X206" s="54" t="e">
        <f t="shared" si="47"/>
        <v>#DIV/0!</v>
      </c>
      <c r="Y206" s="25">
        <f t="shared" si="90"/>
        <v>0</v>
      </c>
      <c r="Z206" s="593">
        <f t="shared" si="56"/>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c r="AZ206" s="24"/>
      <c r="BA206" s="24"/>
      <c r="BB206" s="24"/>
      <c r="BC206" s="24"/>
      <c r="BD206" s="24"/>
      <c r="BE206" s="24"/>
      <c r="BF206" s="37"/>
      <c r="BG206" s="37"/>
      <c r="BH206" s="37"/>
      <c r="BI206" s="37"/>
      <c r="BJ206" s="37"/>
      <c r="BK206" s="37"/>
      <c r="BL206" s="24"/>
      <c r="BM206" s="24"/>
      <c r="BN206" s="24"/>
      <c r="BO206" s="24"/>
      <c r="BP206" s="24"/>
      <c r="BQ206" s="24"/>
      <c r="BR206" s="24"/>
      <c r="BS206" s="24"/>
      <c r="BT206" s="24"/>
      <c r="BU206" s="24"/>
      <c r="BV206" s="24"/>
      <c r="BW206" s="14"/>
      <c r="BX206" s="14"/>
      <c r="BY206" s="14"/>
      <c r="BZ206" s="14"/>
    </row>
    <row r="207" spans="7:78">
      <c r="G207" s="12">
        <f t="shared" si="40"/>
        <v>0</v>
      </c>
      <c r="H207" s="12">
        <f t="shared" ref="H207:J209" si="105">IF($E109&gt;H$66,0,IF($E109&lt;H$66-365,$C109,0))</f>
        <v>0</v>
      </c>
      <c r="I207" s="12">
        <f t="shared" si="105"/>
        <v>0</v>
      </c>
      <c r="J207" s="12">
        <f t="shared" si="105"/>
        <v>0</v>
      </c>
      <c r="K207" s="12">
        <f t="shared" si="42"/>
        <v>0</v>
      </c>
      <c r="L207" s="12">
        <f t="shared" ref="L207:N209" si="106">IF($E109&gt;L$66,0,IF($E109&lt;L$66-365,$C109,0))</f>
        <v>0</v>
      </c>
      <c r="M207" s="12">
        <f t="shared" si="106"/>
        <v>0</v>
      </c>
      <c r="N207" s="12">
        <f t="shared" si="106"/>
        <v>0</v>
      </c>
      <c r="O207" s="12">
        <f t="shared" si="44"/>
        <v>0</v>
      </c>
      <c r="P207" s="12">
        <f t="shared" ref="P207:Q209" si="107">IF($E109&gt;P$66,0,IF($E109&lt;P$66-365,$C109,0))</f>
        <v>0</v>
      </c>
      <c r="Q207" s="12">
        <f t="shared" si="107"/>
        <v>0</v>
      </c>
      <c r="T207" s="61"/>
      <c r="U207" s="61"/>
      <c r="V207" s="61"/>
      <c r="W207" s="53">
        <f t="shared" si="46"/>
        <v>0</v>
      </c>
      <c r="X207" s="54" t="e">
        <f t="shared" si="47"/>
        <v>#DIV/0!</v>
      </c>
      <c r="Y207" s="25">
        <f t="shared" si="90"/>
        <v>0</v>
      </c>
      <c r="Z207" s="593">
        <f t="shared" si="56"/>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c r="AZ207" s="24"/>
      <c r="BA207" s="24"/>
      <c r="BB207" s="24"/>
      <c r="BC207" s="24"/>
      <c r="BD207" s="24"/>
      <c r="BE207" s="24"/>
      <c r="BF207" s="37"/>
      <c r="BG207" s="37"/>
      <c r="BH207" s="37"/>
      <c r="BI207" s="37"/>
      <c r="BJ207" s="37"/>
      <c r="BK207" s="37"/>
      <c r="BL207" s="24"/>
      <c r="BM207" s="24"/>
      <c r="BN207" s="24"/>
      <c r="BO207" s="24"/>
      <c r="BP207" s="24"/>
      <c r="BQ207" s="24"/>
      <c r="BR207" s="24"/>
      <c r="BS207" s="24"/>
      <c r="BT207" s="24"/>
      <c r="BU207" s="24"/>
      <c r="BV207" s="24"/>
      <c r="BW207" s="14"/>
      <c r="BX207" s="14"/>
      <c r="BY207" s="14"/>
      <c r="BZ207" s="14"/>
    </row>
    <row r="208" spans="7:78">
      <c r="G208" s="12">
        <f t="shared" si="40"/>
        <v>0</v>
      </c>
      <c r="H208" s="12">
        <f t="shared" si="105"/>
        <v>0</v>
      </c>
      <c r="I208" s="12">
        <f t="shared" si="105"/>
        <v>0</v>
      </c>
      <c r="J208" s="12">
        <f t="shared" si="105"/>
        <v>0</v>
      </c>
      <c r="K208" s="12">
        <f t="shared" si="42"/>
        <v>0</v>
      </c>
      <c r="L208" s="12">
        <f t="shared" si="106"/>
        <v>0</v>
      </c>
      <c r="M208" s="12">
        <f t="shared" si="106"/>
        <v>0</v>
      </c>
      <c r="N208" s="12">
        <f t="shared" si="106"/>
        <v>0</v>
      </c>
      <c r="O208" s="12">
        <f t="shared" si="44"/>
        <v>0</v>
      </c>
      <c r="P208" s="12">
        <f t="shared" si="107"/>
        <v>0</v>
      </c>
      <c r="Q208" s="12">
        <f t="shared" si="107"/>
        <v>0</v>
      </c>
      <c r="T208" s="61"/>
      <c r="U208" s="61"/>
      <c r="V208" s="61"/>
      <c r="W208" s="53">
        <f t="shared" si="46"/>
        <v>0</v>
      </c>
      <c r="X208" s="54" t="e">
        <f t="shared" si="47"/>
        <v>#DIV/0!</v>
      </c>
      <c r="Y208" s="25">
        <f t="shared" si="90"/>
        <v>0</v>
      </c>
      <c r="Z208" s="593">
        <f t="shared" si="56"/>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c r="AZ208" s="24"/>
      <c r="BA208" s="24"/>
      <c r="BB208" s="24"/>
      <c r="BC208" s="24"/>
      <c r="BD208" s="24"/>
      <c r="BE208" s="24"/>
      <c r="BF208" s="37"/>
      <c r="BG208" s="37"/>
      <c r="BH208" s="37"/>
      <c r="BI208" s="37"/>
      <c r="BJ208" s="37"/>
      <c r="BK208" s="37"/>
      <c r="BL208" s="24"/>
      <c r="BM208" s="24"/>
      <c r="BN208" s="24"/>
      <c r="BO208" s="24"/>
      <c r="BP208" s="24"/>
      <c r="BQ208" s="24"/>
      <c r="BR208" s="24"/>
      <c r="BS208" s="24"/>
      <c r="BT208" s="24"/>
      <c r="BU208" s="24"/>
      <c r="BV208" s="24"/>
      <c r="BW208" s="14"/>
      <c r="BX208" s="14"/>
      <c r="BY208" s="14"/>
      <c r="BZ208" s="14"/>
    </row>
    <row r="209" spans="6:78">
      <c r="G209" s="12">
        <f t="shared" si="40"/>
        <v>0</v>
      </c>
      <c r="H209" s="12">
        <f t="shared" si="105"/>
        <v>0</v>
      </c>
      <c r="I209" s="12">
        <f t="shared" si="105"/>
        <v>0</v>
      </c>
      <c r="J209" s="12">
        <f t="shared" si="105"/>
        <v>0</v>
      </c>
      <c r="K209" s="12">
        <f t="shared" si="42"/>
        <v>0</v>
      </c>
      <c r="L209" s="12">
        <f t="shared" si="106"/>
        <v>0</v>
      </c>
      <c r="M209" s="12">
        <f t="shared" si="106"/>
        <v>0</v>
      </c>
      <c r="N209" s="12">
        <f t="shared" si="106"/>
        <v>0</v>
      </c>
      <c r="O209" s="12">
        <f t="shared" si="44"/>
        <v>0</v>
      </c>
      <c r="P209" s="12">
        <f t="shared" si="107"/>
        <v>0</v>
      </c>
      <c r="Q209" s="12">
        <f t="shared" si="107"/>
        <v>0</v>
      </c>
      <c r="T209" s="61"/>
      <c r="U209" s="61"/>
      <c r="V209" s="61"/>
      <c r="W209" s="53">
        <f t="shared" si="46"/>
        <v>0</v>
      </c>
      <c r="X209" s="54" t="e">
        <f t="shared" si="47"/>
        <v>#DIV/0!</v>
      </c>
      <c r="Y209" s="25">
        <f t="shared" si="90"/>
        <v>0</v>
      </c>
      <c r="Z209" s="593">
        <f t="shared" si="56"/>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14"/>
      <c r="BX209" s="14"/>
      <c r="BY209" s="14"/>
      <c r="BZ209" s="14"/>
    </row>
    <row r="210" spans="6:78">
      <c r="T210" s="61"/>
      <c r="U210" s="61"/>
      <c r="V210" s="61"/>
      <c r="W210" s="53">
        <f t="shared" si="46"/>
        <v>0</v>
      </c>
      <c r="X210" s="54" t="e">
        <f t="shared" si="47"/>
        <v>#DIV/0!</v>
      </c>
      <c r="Y210" s="25">
        <f t="shared" si="90"/>
        <v>0</v>
      </c>
      <c r="Z210" s="593">
        <f t="shared" si="56"/>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14"/>
      <c r="BX210" s="14"/>
      <c r="BY210" s="14"/>
      <c r="BZ210" s="14"/>
    </row>
    <row r="211" spans="6:78">
      <c r="T211" s="61"/>
      <c r="U211" s="61"/>
      <c r="V211" s="61"/>
      <c r="W211" s="53">
        <f t="shared" si="46"/>
        <v>0</v>
      </c>
      <c r="X211" s="54" t="e">
        <f t="shared" si="47"/>
        <v>#DIV/0!</v>
      </c>
      <c r="Y211" s="25">
        <f t="shared" si="90"/>
        <v>0</v>
      </c>
      <c r="Z211" s="593">
        <f t="shared" si="56"/>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14"/>
      <c r="BX211" s="14"/>
      <c r="BY211" s="14"/>
      <c r="BZ211" s="14"/>
    </row>
    <row r="212" spans="6:78">
      <c r="T212" s="61"/>
      <c r="U212" s="61"/>
      <c r="V212" s="61"/>
      <c r="W212" s="53"/>
      <c r="X212" s="54"/>
      <c r="Y212" s="25">
        <f t="shared" si="90"/>
        <v>0</v>
      </c>
      <c r="Z212" s="593">
        <f t="shared" si="56"/>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14"/>
      <c r="BX212" s="14"/>
      <c r="BY212" s="14"/>
      <c r="BZ212" s="14"/>
    </row>
    <row r="213" spans="6:78">
      <c r="T213" s="61"/>
      <c r="U213" s="61"/>
      <c r="V213" s="61"/>
      <c r="W213" s="53"/>
      <c r="X213" s="54"/>
      <c r="Y213" s="25">
        <f t="shared" si="90"/>
        <v>0</v>
      </c>
      <c r="Z213" s="593">
        <f t="shared" si="56"/>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14"/>
      <c r="BX213" s="14"/>
      <c r="BY213" s="14"/>
      <c r="BZ213" s="14"/>
    </row>
    <row r="214" spans="6:78" ht="13">
      <c r="F214" s="187" t="s">
        <v>490</v>
      </c>
      <c r="G214" s="187">
        <f>SUM(G167:G213)</f>
        <v>0</v>
      </c>
      <c r="H214" s="187">
        <f t="shared" ref="H214:Q214" si="115">SUM(H167:H213)</f>
        <v>0</v>
      </c>
      <c r="I214" s="187">
        <f>SUM(I167:I213)</f>
        <v>-1.0000000000000001E-5</v>
      </c>
      <c r="J214" s="187">
        <f t="shared" si="115"/>
        <v>-1.0000000000000001E-5</v>
      </c>
      <c r="K214" s="187">
        <f>SUM(K167:K213)</f>
        <v>-176.67801</v>
      </c>
      <c r="L214" s="187">
        <f t="shared" si="115"/>
        <v>-176.67801</v>
      </c>
      <c r="M214" s="187">
        <f t="shared" si="115"/>
        <v>-176.67801</v>
      </c>
      <c r="N214" s="187">
        <f t="shared" si="115"/>
        <v>-176.67801</v>
      </c>
      <c r="O214" s="187">
        <f t="shared" si="115"/>
        <v>-297.05301000000003</v>
      </c>
      <c r="P214" s="187">
        <f t="shared" si="115"/>
        <v>-297.05301000000003</v>
      </c>
      <c r="Q214" s="187">
        <f t="shared" si="115"/>
        <v>-297.05301000000003</v>
      </c>
      <c r="T214" s="14"/>
      <c r="U214" s="14"/>
      <c r="V214" s="14"/>
      <c r="W214" s="24"/>
      <c r="X214" s="62" t="e">
        <f>SUM(X168:X213)</f>
        <v>#DIV/0!</v>
      </c>
      <c r="Y214" s="157" t="s">
        <v>84</v>
      </c>
      <c r="Z214" s="341">
        <f>SUM(Z167:Z213)</f>
        <v>-8.5364239522156264</v>
      </c>
      <c r="AA214" s="594">
        <f>VLOOKUP($A$2,Assumptions!$B$124:$G$147,6,0)*SUM(AA167:AA213)</f>
        <v>0</v>
      </c>
      <c r="AB214" s="594">
        <f>VLOOKUP($A$2,Assumptions!$B$124:$G$147,6,0)*SUM(AB167:AB213)</f>
        <v>0</v>
      </c>
      <c r="AC214" s="594">
        <f>VLOOKUP($A$2,Assumptions!$B$124:$G$147,6,0)*SUM(AC167:AC213)</f>
        <v>-2.1552779297411331E-7</v>
      </c>
      <c r="AD214" s="594">
        <f>VLOOKUP($A$2,Assumptions!$B$124:$G$147,6,0)*SUM(AD167:AD213)</f>
        <v>-2.1552779297411331E-7</v>
      </c>
      <c r="AE214" s="594">
        <f>VLOOKUP($A$2,Assumptions!$B$124:$G$147,6,0)*SUM(AE167:AE213)</f>
        <v>-3.8079021562358308</v>
      </c>
      <c r="AF214" s="594">
        <f>VLOOKUP($A$2,Assumptions!$B$124:$G$147,6,0)*SUM(AF167:AF213)</f>
        <v>-3.8079021562358308</v>
      </c>
      <c r="AG214" s="594">
        <f>VLOOKUP($A$2,Assumptions!$B$124:$G$147,6,0)*SUM(AG167:AG213)</f>
        <v>-3.8079021562358308</v>
      </c>
      <c r="AH214" s="594">
        <f>VLOOKUP($A$2,Assumptions!$B$124:$G$147,6,0)*SUM(AH167:AH213)</f>
        <v>-3.8079021562358308</v>
      </c>
      <c r="AI214" s="594">
        <f>VLOOKUP($A$2,Assumptions!$B$124:$G$147,6,0)*SUM(AI167:AI213)</f>
        <v>-6.4023179641617194</v>
      </c>
      <c r="AJ214" s="594">
        <f>VLOOKUP($A$2,Assumptions!$B$124:$G$147,6,0)*SUM(AJ167:AJ213)</f>
        <v>-6.4023179641617194</v>
      </c>
      <c r="AK214" s="594">
        <f>VLOOKUP($A$2,Assumptions!$B$124:$G$147,6,0)*SUM(AK167:AK213)</f>
        <v>-6.4023179641617194</v>
      </c>
      <c r="AL214" s="155">
        <f>VLOOKUP($A$2,Assumptions!$B$124:$G$147,6,0)*SUM(AL167:AL213)</f>
        <v>-222.78975750000001</v>
      </c>
      <c r="AM214" s="155">
        <f>VLOOKUP($A$2,Assumptions!$B$124:$G$147,6,0)*SUM(AM167:AM213)</f>
        <v>0</v>
      </c>
      <c r="AN214" s="55">
        <f>SUM(AN167:AN213)</f>
        <v>1884062.5</v>
      </c>
      <c r="AO214" s="55">
        <f>SUM(AO167:AO213)</f>
        <v>0</v>
      </c>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14"/>
      <c r="BX214" s="14"/>
      <c r="BY214" s="14"/>
      <c r="BZ214" s="14"/>
    </row>
    <row r="215" spans="6:78">
      <c r="T215" s="24"/>
      <c r="U215" s="24"/>
      <c r="V215" s="24"/>
      <c r="W215" s="24"/>
      <c r="X215" s="24"/>
      <c r="Y215" s="158" t="s">
        <v>491</v>
      </c>
      <c r="Z215" s="351">
        <f>C64</f>
        <v>54</v>
      </c>
      <c r="AA215" s="156">
        <f>$C$64+AA214</f>
        <v>54</v>
      </c>
      <c r="AB215" s="156">
        <f t="shared" ref="AB215:AD215" si="116">$C$64+AB214</f>
        <v>54</v>
      </c>
      <c r="AC215" s="156">
        <f t="shared" si="116"/>
        <v>53.999999784472209</v>
      </c>
      <c r="AD215" s="156">
        <f t="shared" si="116"/>
        <v>53.999999784472209</v>
      </c>
      <c r="AE215" s="156">
        <f>$C$64+AE214</f>
        <v>50.192097843764166</v>
      </c>
      <c r="AF215" s="156">
        <f>$C$64+AF214</f>
        <v>50.192097843764166</v>
      </c>
      <c r="AG215" s="156">
        <f t="shared" ref="AG215:AJ215" si="117">$C$64+AG214</f>
        <v>50.192097843764166</v>
      </c>
      <c r="AH215" s="156">
        <f>$C$64+AH214</f>
        <v>50.192097843764166</v>
      </c>
      <c r="AI215" s="156">
        <f t="shared" si="117"/>
        <v>47.597682035838282</v>
      </c>
      <c r="AJ215" s="156">
        <f t="shared" si="117"/>
        <v>47.597682035838282</v>
      </c>
      <c r="AK215" s="156">
        <f t="shared" ref="AK215" si="118">$C$64+AK214</f>
        <v>47.597682035838282</v>
      </c>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14"/>
      <c r="BU215" s="14"/>
      <c r="BV215" s="14"/>
      <c r="BW215" s="14"/>
      <c r="BX215" s="14"/>
      <c r="BY215" s="14"/>
      <c r="BZ215" s="14"/>
    </row>
    <row r="216" spans="6:78">
      <c r="T216" s="24"/>
      <c r="U216" s="24"/>
      <c r="V216" s="972"/>
      <c r="W216" s="972"/>
      <c r="X216" s="972"/>
      <c r="Y216" s="158" t="s">
        <v>492</v>
      </c>
      <c r="Z216" s="154">
        <f t="shared" ref="Z216" si="119">IF(Z215&lt;$BB$154,(6+(1-Z215/$BB$154)),IF(Z215&lt;$BB$155,5.5+(0.5*(($BB$155-Z215)/($BB$155-$BB$154))),IF(Z215&lt;$BB$156,5-0.5*((Z215)-$BB$156)/($BB$156-$BB$155),IF(Z215&lt;$BB$157,4.5-0.5*((Z215-$BB$157)/($BB$157-$BB$156)),5-0.5*((Z215-$BB$156)/$BH$166)))))</f>
        <v>5.4825066741604607</v>
      </c>
      <c r="AA216" s="154">
        <f t="shared" ref="AA216" si="120">IF(AA215&lt;$BB$154,(6+(1-AA215/$BB$154)),IF(AA215&lt;$BB$155,5.5+(0.5*(($BB$155-AA215)/($BB$155-$BB$154))),IF(AA215&lt;$BB$156,5-0.5*((AA215)-$BB$156)/($BB$156-$BB$155),IF(AA215&lt;$BB$157,4.5-0.5*((AA215-$BB$157)/($BB$157-$BB$156)),5-0.5*((AA215-$BB$156)/$BH$166)))))</f>
        <v>5.4825066741604607</v>
      </c>
      <c r="AB216" s="154">
        <f t="shared" ref="AB216" si="121">IF(AB215&lt;$BB$154,(6+(1-AB215/$BB$154)),IF(AB215&lt;$BB$155,5.5+(0.5*(($BB$155-AB215)/($BB$155-$BB$154))),IF(AB215&lt;$BB$156,5-0.5*((AB215)-$BB$156)/($BB$156-$BB$155),IF(AB215&lt;$BB$157,4.5-0.5*((AB215-$BB$157)/($BB$157-$BB$156)),5-0.5*((AB215-$BB$156)/$BH$166)))))</f>
        <v>5.4825066741604607</v>
      </c>
      <c r="AC216" s="154">
        <f t="shared" ref="AC216" si="122">IF(AC215&lt;$BB$154,(6+(1-AC215/$BB$154)),IF(AC215&lt;$BB$155,5.5+(0.5*(($BB$155-AC215)/($BB$155-$BB$154))),IF(AC215&lt;$BB$156,5-0.5*((AC215)-$BB$156)/($BB$156-$BB$155),IF(AC215&lt;$BB$157,4.5-0.5*((AC215-$BB$157)/($BB$157-$BB$156)),5-0.5*((AC215-$BB$156)/$BH$166)))))</f>
        <v>5.4825066802171643</v>
      </c>
      <c r="AD216" s="154">
        <f t="shared" ref="AD216" si="123">IF(AD215&lt;$BB$154,(6+(1-AD215/$BB$154)),IF(AD215&lt;$BB$155,5.5+(0.5*(($BB$155-AD215)/($BB$155-$BB$154))),IF(AD215&lt;$BB$156,5-0.5*((AD215)-$BB$156)/($BB$156-$BB$155),IF(AD215&lt;$BB$157,4.5-0.5*((AD215-$BB$157)/($BB$157-$BB$156)),5-0.5*((AD215-$BB$156)/$BH$166)))))</f>
        <v>5.4825066802171643</v>
      </c>
      <c r="AE216" s="154">
        <f t="shared" ref="AE216" si="124">IF(AE215&lt;$BB$154,(6+(1-AE215/$BB$154)),IF(AE215&lt;$BB$155,5.5+(0.5*(($BB$155-AE215)/($BB$155-$BB$154))),IF(AE215&lt;$BB$156,5-0.5*((AE215)-$BB$156)/($BB$156-$BB$155),IF(AE215&lt;$BB$157,4.5-0.5*((AE215-$BB$157)/($BB$157-$BB$156)),5-0.5*((AE215-$BB$156)/$BH$166)))))</f>
        <v>5.5895153057815321</v>
      </c>
      <c r="AF216" s="154">
        <f t="shared" ref="AF216" si="125">IF(AF215&lt;$BB$154,(6+(1-AF215/$BB$154)),IF(AF215&lt;$BB$155,5.5+(0.5*(($BB$155-AF215)/($BB$155-$BB$154))),IF(AF215&lt;$BB$156,5-0.5*((AF215)-$BB$156)/($BB$156-$BB$155),IF(AF215&lt;$BB$157,4.5-0.5*((AF215-$BB$157)/($BB$157-$BB$156)),5-0.5*((AF215-$BB$156)/$BH$166)))))</f>
        <v>5.5895153057815321</v>
      </c>
      <c r="AG216" s="154">
        <f t="shared" ref="AG216" si="126">IF(AG215&lt;$BB$154,(6+(1-AG215/$BB$154)),IF(AG215&lt;$BB$155,5.5+(0.5*(($BB$155-AG215)/($BB$155-$BB$154))),IF(AG215&lt;$BB$156,5-0.5*((AG215)-$BB$156)/($BB$156-$BB$155),IF(AG215&lt;$BB$157,4.5-0.5*((AG215-$BB$157)/($BB$157-$BB$156)),5-0.5*((AG215-$BB$156)/$BH$166)))))</f>
        <v>5.5895153057815321</v>
      </c>
      <c r="AH216" s="154">
        <f>IF(AH215&lt;$BB$154,(6+(1-AH215/$BB$154)),IF(AH215&lt;$BB$155,5.5+(0.5*(($BB$155-AH215)/($BB$155-$BB$154))),IF(AH215&lt;$BB$156,5-0.5*((AH215)-$BB$156)/($BB$156-$BB$155),IF(AH215&lt;$BB$157,4.5-0.5*((AH215-$BB$157)/($BB$157-$BB$156)),5-0.5*((AH215-$BB$156)/$BH$166)))))</f>
        <v>5.5895153057815321</v>
      </c>
      <c r="AI216" s="154">
        <f t="shared" ref="AI216:AJ216" si="127">IF(AI215&lt;$BB$154,(6+(1-AI215/$BB$154)),IF(AI215&lt;$BB$155,5.5+(0.5*(($BB$155-AI215)/($BB$155-$BB$154))),IF(AI215&lt;$BB$156,5-0.5*((AI215)-$BB$156)/($BB$156-$BB$155),IF(AI215&lt;$BB$157,4.5-0.5*((AI215-$BB$157)/($BB$157-$BB$156)),5-0.5*((AI215-$BB$156)/$BH$166)))))</f>
        <v>5.6624228737996827</v>
      </c>
      <c r="AJ216" s="154">
        <f t="shared" si="127"/>
        <v>5.6624228737996827</v>
      </c>
      <c r="AK216" s="154">
        <f>IF(AK215&lt;$BB$154,(6+(1-AK215/$BB$154)),IF(AK215&lt;$BB$155,5.5+(0.5*(($BB$155-AK215)/($BB$155-$BB$154))),IF(AK215&lt;$BB$156,5-0.5*((AK215)-$BB$156)/($BB$156-$BB$155),IF(AK215&lt;$BB$157,4.5-0.5*((AK215-$BB$157)/($BB$157-$BB$156)),5-0.5*((AK215-$BB$156)/$BH$166)))))</f>
        <v>5.6624228737996827</v>
      </c>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14"/>
      <c r="BU216" s="14"/>
      <c r="BV216" s="14"/>
      <c r="BW216" s="14"/>
      <c r="BX216" s="14"/>
      <c r="BY216" s="14"/>
      <c r="BZ216" s="14"/>
    </row>
    <row r="217" spans="6:78">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14"/>
      <c r="BU217" s="14"/>
      <c r="BV217" s="14"/>
      <c r="BW217" s="14"/>
      <c r="BX217" s="14"/>
      <c r="BY217" s="14"/>
      <c r="BZ217" s="14"/>
    </row>
    <row r="218" spans="6:78">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14"/>
      <c r="BU218" s="14"/>
      <c r="BV218" s="14"/>
      <c r="BW218" s="14"/>
      <c r="BX218" s="14"/>
      <c r="BY218" s="14"/>
      <c r="BZ218" s="14"/>
    </row>
    <row r="219" spans="6:78">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14"/>
      <c r="BU219" s="14"/>
      <c r="BV219" s="14"/>
      <c r="BW219" s="14"/>
      <c r="BX219" s="14"/>
      <c r="BY219" s="14"/>
      <c r="BZ219" s="14"/>
    </row>
    <row r="220" spans="6:78">
      <c r="G220" s="12">
        <f t="shared" ref="G220:G265" si="128">IF($E69&lt;G$66,$D69,0)</f>
        <v>0</v>
      </c>
      <c r="H220" s="12">
        <f t="shared" ref="H220:Q220" si="129">IF($E69&gt;H$66,0,IF($E69&lt;H$66-365,$D69,0))</f>
        <v>0</v>
      </c>
      <c r="I220" s="12">
        <f t="shared" si="129"/>
        <v>0</v>
      </c>
      <c r="J220" s="12">
        <f t="shared" si="129"/>
        <v>0</v>
      </c>
      <c r="K220" s="12">
        <f t="shared" si="129"/>
        <v>0</v>
      </c>
      <c r="L220" s="12">
        <f t="shared" si="129"/>
        <v>0</v>
      </c>
      <c r="M220" s="12">
        <f t="shared" si="129"/>
        <v>0</v>
      </c>
      <c r="N220" s="12">
        <f t="shared" si="129"/>
        <v>0</v>
      </c>
      <c r="O220" s="12">
        <f t="shared" si="129"/>
        <v>0</v>
      </c>
      <c r="P220" s="12">
        <f t="shared" si="129"/>
        <v>0</v>
      </c>
      <c r="Q220" s="12">
        <f t="shared" si="129"/>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14"/>
      <c r="BU220" s="14"/>
      <c r="BV220" s="14"/>
      <c r="BW220" s="14"/>
      <c r="BX220" s="14"/>
      <c r="BY220" s="14"/>
      <c r="BZ220" s="14"/>
    </row>
    <row r="221" spans="6:78">
      <c r="G221" s="12">
        <f t="shared" si="128"/>
        <v>0</v>
      </c>
      <c r="H221" s="12">
        <f t="shared" ref="H221:Q221" si="130">IF($E70&gt;H$66,0,IF($E70&lt;H$66-365,$D70,0))</f>
        <v>0</v>
      </c>
      <c r="I221" s="12">
        <f t="shared" si="130"/>
        <v>0</v>
      </c>
      <c r="J221" s="12">
        <f t="shared" si="130"/>
        <v>0</v>
      </c>
      <c r="K221" s="12">
        <f t="shared" si="130"/>
        <v>0</v>
      </c>
      <c r="L221" s="12">
        <f t="shared" si="130"/>
        <v>0</v>
      </c>
      <c r="M221" s="12">
        <f t="shared" si="130"/>
        <v>0</v>
      </c>
      <c r="N221" s="12">
        <f t="shared" si="130"/>
        <v>0</v>
      </c>
      <c r="O221" s="12">
        <f t="shared" si="130"/>
        <v>0</v>
      </c>
      <c r="P221" s="12">
        <f t="shared" si="130"/>
        <v>0</v>
      </c>
      <c r="Q221" s="12">
        <f t="shared" si="130"/>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14"/>
      <c r="BU221" s="14"/>
      <c r="BV221" s="14"/>
      <c r="BW221" s="14"/>
      <c r="BX221" s="14"/>
      <c r="BY221" s="14"/>
      <c r="BZ221" s="14"/>
    </row>
    <row r="222" spans="6:78">
      <c r="G222" s="12">
        <f t="shared" si="128"/>
        <v>0</v>
      </c>
      <c r="H222" s="12">
        <f t="shared" ref="H222:Q222" si="131">IF($E71&gt;H$66,0,IF($E71&lt;H$66-365,$D71,0))</f>
        <v>0</v>
      </c>
      <c r="I222" s="12">
        <f t="shared" si="131"/>
        <v>0</v>
      </c>
      <c r="J222" s="12">
        <f t="shared" si="131"/>
        <v>0</v>
      </c>
      <c r="K222" s="12">
        <f t="shared" si="131"/>
        <v>0</v>
      </c>
      <c r="L222" s="12">
        <f t="shared" si="131"/>
        <v>0</v>
      </c>
      <c r="M222" s="12">
        <f t="shared" si="131"/>
        <v>0</v>
      </c>
      <c r="N222" s="12">
        <f t="shared" si="131"/>
        <v>0</v>
      </c>
      <c r="O222" s="12">
        <f t="shared" si="131"/>
        <v>0</v>
      </c>
      <c r="P222" s="12">
        <f t="shared" si="131"/>
        <v>0</v>
      </c>
      <c r="Q222" s="12">
        <f t="shared" si="131"/>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14"/>
      <c r="BU222" s="14"/>
      <c r="BV222" s="14"/>
      <c r="BW222" s="14"/>
      <c r="BX222" s="14"/>
      <c r="BY222" s="14"/>
      <c r="BZ222" s="14"/>
    </row>
    <row r="223" spans="6:78">
      <c r="G223" s="12">
        <f t="shared" si="128"/>
        <v>0</v>
      </c>
      <c r="H223" s="12">
        <f t="shared" ref="H223:Q223" si="132">IF($E72&gt;H$66,0,IF($E72&lt;H$66-365,$D72,0))</f>
        <v>0</v>
      </c>
      <c r="I223" s="12">
        <f t="shared" si="132"/>
        <v>0</v>
      </c>
      <c r="J223" s="12">
        <f t="shared" si="132"/>
        <v>0</v>
      </c>
      <c r="K223" s="12">
        <f t="shared" si="132"/>
        <v>0</v>
      </c>
      <c r="L223" s="12">
        <f t="shared" si="132"/>
        <v>0</v>
      </c>
      <c r="M223" s="12">
        <f t="shared" si="132"/>
        <v>0</v>
      </c>
      <c r="N223" s="12">
        <f t="shared" si="132"/>
        <v>0</v>
      </c>
      <c r="O223" s="12">
        <f t="shared" si="132"/>
        <v>0</v>
      </c>
      <c r="P223" s="12">
        <f t="shared" si="132"/>
        <v>0</v>
      </c>
      <c r="Q223" s="12">
        <f t="shared" si="132"/>
        <v>0</v>
      </c>
      <c r="T223" s="20"/>
      <c r="U223" s="20"/>
      <c r="V223" s="20"/>
      <c r="BT223" s="12"/>
      <c r="BU223" s="12"/>
      <c r="BV223" s="12"/>
    </row>
    <row r="224" spans="6:78">
      <c r="G224" s="12">
        <f t="shared" si="128"/>
        <v>0</v>
      </c>
      <c r="H224" s="12">
        <f t="shared" ref="H224:Q224" si="133">IF($E73&gt;H$66,0,IF($E73&lt;H$66-365,$D73,0))</f>
        <v>0</v>
      </c>
      <c r="I224" s="12">
        <f t="shared" si="133"/>
        <v>0</v>
      </c>
      <c r="J224" s="12">
        <f t="shared" si="133"/>
        <v>0</v>
      </c>
      <c r="K224" s="12">
        <f t="shared" si="133"/>
        <v>0</v>
      </c>
      <c r="L224" s="12">
        <f t="shared" si="133"/>
        <v>0</v>
      </c>
      <c r="M224" s="12">
        <f t="shared" si="133"/>
        <v>0</v>
      </c>
      <c r="N224" s="12">
        <f t="shared" si="133"/>
        <v>0</v>
      </c>
      <c r="O224" s="12">
        <f t="shared" si="133"/>
        <v>0</v>
      </c>
      <c r="P224" s="12">
        <f t="shared" si="133"/>
        <v>0</v>
      </c>
      <c r="Q224" s="12">
        <f t="shared" si="133"/>
        <v>0</v>
      </c>
      <c r="T224" s="20"/>
      <c r="U224" s="20"/>
      <c r="V224" s="20"/>
      <c r="BT224" s="12"/>
      <c r="BU224" s="12"/>
      <c r="BV224" s="12"/>
    </row>
    <row r="225" spans="7:28">
      <c r="G225" s="12">
        <f t="shared" si="128"/>
        <v>0</v>
      </c>
      <c r="H225" s="12">
        <f t="shared" ref="H225:Q225" si="134">IF($E74&gt;H$66,0,IF($E74&lt;H$66-365,$D74,0))</f>
        <v>0</v>
      </c>
      <c r="I225" s="12">
        <f t="shared" si="134"/>
        <v>0</v>
      </c>
      <c r="J225" s="12">
        <f t="shared" si="134"/>
        <v>0</v>
      </c>
      <c r="K225" s="12">
        <f t="shared" si="134"/>
        <v>0</v>
      </c>
      <c r="L225" s="12">
        <f t="shared" si="134"/>
        <v>0</v>
      </c>
      <c r="M225" s="12">
        <f t="shared" si="134"/>
        <v>0</v>
      </c>
      <c r="N225" s="12">
        <f t="shared" si="134"/>
        <v>0</v>
      </c>
      <c r="O225" s="12">
        <f t="shared" si="134"/>
        <v>0</v>
      </c>
      <c r="P225" s="12">
        <f t="shared" si="134"/>
        <v>0</v>
      </c>
      <c r="Q225" s="12">
        <f t="shared" si="134"/>
        <v>0</v>
      </c>
      <c r="T225" s="20"/>
      <c r="U225" s="20"/>
      <c r="V225" s="20"/>
      <c r="AA225" s="55">
        <f>SUM(AN167:AN213)</f>
        <v>1884062.5</v>
      </c>
      <c r="AB225" s="24">
        <f>SUM(AO167:AO213)</f>
        <v>0</v>
      </c>
    </row>
    <row r="226" spans="7:28">
      <c r="G226" s="12">
        <f t="shared" si="128"/>
        <v>0</v>
      </c>
      <c r="H226" s="12">
        <f t="shared" ref="H226:Q226" si="135">IF($E75&gt;H$66,0,IF($E75&lt;H$66-365,$D75,0))</f>
        <v>0</v>
      </c>
      <c r="I226" s="12">
        <f t="shared" si="135"/>
        <v>0</v>
      </c>
      <c r="J226" s="12">
        <f t="shared" si="135"/>
        <v>0</v>
      </c>
      <c r="K226" s="12">
        <f t="shared" si="135"/>
        <v>0</v>
      </c>
      <c r="L226" s="12">
        <f t="shared" si="135"/>
        <v>0</v>
      </c>
      <c r="M226" s="12">
        <f t="shared" si="135"/>
        <v>0</v>
      </c>
      <c r="N226" s="12">
        <f t="shared" si="135"/>
        <v>0</v>
      </c>
      <c r="O226" s="12">
        <f t="shared" si="135"/>
        <v>0</v>
      </c>
      <c r="P226" s="12">
        <f t="shared" si="135"/>
        <v>0</v>
      </c>
      <c r="Q226" s="12">
        <f t="shared" si="135"/>
        <v>0</v>
      </c>
      <c r="T226" s="20"/>
      <c r="U226" s="20"/>
      <c r="V226" s="20"/>
      <c r="AA226" s="24">
        <f>AA225*1.35</f>
        <v>2543484.375</v>
      </c>
      <c r="AB226" s="24">
        <f>AB225*1.35</f>
        <v>0</v>
      </c>
    </row>
    <row r="227" spans="7:28">
      <c r="G227" s="12">
        <f t="shared" si="128"/>
        <v>0</v>
      </c>
      <c r="H227" s="12">
        <f t="shared" ref="H227:Q227" si="136">IF($E76&gt;H$66,0,IF($E76&lt;H$66-365,$D76,0))</f>
        <v>0</v>
      </c>
      <c r="I227" s="12">
        <f t="shared" si="136"/>
        <v>0</v>
      </c>
      <c r="J227" s="12">
        <f t="shared" si="136"/>
        <v>0</v>
      </c>
      <c r="K227" s="12">
        <f t="shared" si="136"/>
        <v>0</v>
      </c>
      <c r="L227" s="12">
        <f t="shared" si="136"/>
        <v>0</v>
      </c>
      <c r="M227" s="12">
        <f t="shared" si="136"/>
        <v>0</v>
      </c>
      <c r="N227" s="12">
        <f t="shared" si="136"/>
        <v>0</v>
      </c>
      <c r="O227" s="12">
        <f t="shared" si="136"/>
        <v>0</v>
      </c>
      <c r="P227" s="12">
        <f t="shared" si="136"/>
        <v>0</v>
      </c>
      <c r="Q227" s="12">
        <f t="shared" si="136"/>
        <v>0</v>
      </c>
    </row>
    <row r="228" spans="7:28">
      <c r="G228" s="12">
        <f t="shared" si="128"/>
        <v>0</v>
      </c>
      <c r="H228" s="12">
        <f t="shared" ref="H228:Q228" si="137">IF($E77&gt;H$66,0,IF($E77&lt;H$66-365,$D77,0))</f>
        <v>0</v>
      </c>
      <c r="I228" s="12">
        <f t="shared" si="137"/>
        <v>0</v>
      </c>
      <c r="J228" s="12">
        <f t="shared" si="137"/>
        <v>0</v>
      </c>
      <c r="K228" s="12">
        <f t="shared" si="137"/>
        <v>0</v>
      </c>
      <c r="L228" s="12">
        <f t="shared" si="137"/>
        <v>0</v>
      </c>
      <c r="M228" s="12">
        <f t="shared" si="137"/>
        <v>0</v>
      </c>
      <c r="N228" s="12">
        <f t="shared" si="137"/>
        <v>0</v>
      </c>
      <c r="O228" s="12">
        <f t="shared" si="137"/>
        <v>0</v>
      </c>
      <c r="P228" s="12">
        <f t="shared" si="137"/>
        <v>0</v>
      </c>
      <c r="Q228" s="12">
        <f t="shared" si="137"/>
        <v>0</v>
      </c>
    </row>
    <row r="229" spans="7:28">
      <c r="G229" s="12">
        <f t="shared" si="128"/>
        <v>0</v>
      </c>
      <c r="H229" s="12">
        <f t="shared" ref="H229:Q229" si="138">IF($E78&gt;H$66,0,IF($E78&lt;H$66-365,$D78,0))</f>
        <v>0</v>
      </c>
      <c r="I229" s="12">
        <f t="shared" si="138"/>
        <v>0</v>
      </c>
      <c r="J229" s="12">
        <f t="shared" si="138"/>
        <v>0</v>
      </c>
      <c r="K229" s="12">
        <f t="shared" si="138"/>
        <v>0</v>
      </c>
      <c r="L229" s="12">
        <f t="shared" si="138"/>
        <v>0</v>
      </c>
      <c r="M229" s="12">
        <f t="shared" si="138"/>
        <v>0</v>
      </c>
      <c r="N229" s="12">
        <f t="shared" si="138"/>
        <v>0</v>
      </c>
      <c r="O229" s="12">
        <f t="shared" si="138"/>
        <v>0</v>
      </c>
      <c r="P229" s="12">
        <f t="shared" si="138"/>
        <v>0</v>
      </c>
      <c r="Q229" s="12">
        <f t="shared" si="138"/>
        <v>0</v>
      </c>
    </row>
    <row r="230" spans="7:28">
      <c r="G230" s="12">
        <f t="shared" si="128"/>
        <v>0</v>
      </c>
      <c r="H230" s="12">
        <f t="shared" ref="H230:Q230" si="139">IF($E79&gt;H$66,0,IF($E79&lt;H$66-365,$D79,0))</f>
        <v>0</v>
      </c>
      <c r="I230" s="12">
        <f t="shared" si="139"/>
        <v>0</v>
      </c>
      <c r="J230" s="12">
        <f t="shared" si="139"/>
        <v>0</v>
      </c>
      <c r="K230" s="12">
        <f t="shared" si="139"/>
        <v>0</v>
      </c>
      <c r="L230" s="12">
        <f t="shared" si="139"/>
        <v>0</v>
      </c>
      <c r="M230" s="12">
        <f t="shared" si="139"/>
        <v>0</v>
      </c>
      <c r="N230" s="12">
        <f t="shared" si="139"/>
        <v>0</v>
      </c>
      <c r="O230" s="12">
        <f t="shared" si="139"/>
        <v>0</v>
      </c>
      <c r="P230" s="12">
        <f t="shared" si="139"/>
        <v>0</v>
      </c>
      <c r="Q230" s="12">
        <f t="shared" si="139"/>
        <v>0</v>
      </c>
    </row>
    <row r="231" spans="7:28">
      <c r="G231" s="12">
        <f t="shared" si="128"/>
        <v>0</v>
      </c>
      <c r="H231" s="12">
        <f t="shared" ref="H231:Q231" si="140">IF($E80&gt;H$66,0,IF($E80&lt;H$66-365,$D80,0))</f>
        <v>0</v>
      </c>
      <c r="I231" s="12">
        <f t="shared" si="140"/>
        <v>0</v>
      </c>
      <c r="J231" s="12">
        <f t="shared" si="140"/>
        <v>0</v>
      </c>
      <c r="K231" s="12">
        <f t="shared" si="140"/>
        <v>0</v>
      </c>
      <c r="L231" s="12">
        <f t="shared" si="140"/>
        <v>0</v>
      </c>
      <c r="M231" s="12">
        <f t="shared" si="140"/>
        <v>0</v>
      </c>
      <c r="N231" s="12">
        <f t="shared" si="140"/>
        <v>0</v>
      </c>
      <c r="O231" s="12">
        <f t="shared" si="140"/>
        <v>0</v>
      </c>
      <c r="P231" s="12">
        <f t="shared" si="140"/>
        <v>0</v>
      </c>
      <c r="Q231" s="12">
        <f t="shared" si="140"/>
        <v>0</v>
      </c>
    </row>
    <row r="232" spans="7:28">
      <c r="G232" s="12">
        <f t="shared" si="128"/>
        <v>0</v>
      </c>
      <c r="H232" s="12">
        <f t="shared" ref="H232:Q232" si="141">IF($E81&gt;H$66,0,IF($E81&lt;H$66-365,$D81,0))</f>
        <v>0</v>
      </c>
      <c r="I232" s="12">
        <f t="shared" si="141"/>
        <v>0</v>
      </c>
      <c r="J232" s="12">
        <f t="shared" si="141"/>
        <v>0</v>
      </c>
      <c r="K232" s="12">
        <f t="shared" si="141"/>
        <v>0</v>
      </c>
      <c r="L232" s="12">
        <f t="shared" si="141"/>
        <v>0</v>
      </c>
      <c r="M232" s="12">
        <f t="shared" si="141"/>
        <v>0</v>
      </c>
      <c r="N232" s="12">
        <f t="shared" si="141"/>
        <v>0</v>
      </c>
      <c r="O232" s="12">
        <f t="shared" si="141"/>
        <v>0</v>
      </c>
      <c r="P232" s="12">
        <f t="shared" si="141"/>
        <v>0</v>
      </c>
      <c r="Q232" s="12">
        <f t="shared" si="141"/>
        <v>0</v>
      </c>
    </row>
    <row r="233" spans="7:28">
      <c r="G233" s="12">
        <f t="shared" si="128"/>
        <v>0</v>
      </c>
      <c r="H233" s="12">
        <f t="shared" ref="H233:Q233" si="142">IF($E82&gt;H$66,0,IF($E82&lt;H$66-365,$D82,0))</f>
        <v>0</v>
      </c>
      <c r="I233" s="12">
        <f t="shared" si="142"/>
        <v>0</v>
      </c>
      <c r="J233" s="12">
        <f t="shared" si="142"/>
        <v>0</v>
      </c>
      <c r="K233" s="12">
        <f t="shared" si="142"/>
        <v>0</v>
      </c>
      <c r="L233" s="12">
        <f t="shared" si="142"/>
        <v>0</v>
      </c>
      <c r="M233" s="12">
        <f t="shared" si="142"/>
        <v>0</v>
      </c>
      <c r="N233" s="12">
        <f t="shared" si="142"/>
        <v>0</v>
      </c>
      <c r="O233" s="12">
        <f t="shared" si="142"/>
        <v>0</v>
      </c>
      <c r="P233" s="12">
        <f t="shared" si="142"/>
        <v>0</v>
      </c>
      <c r="Q233" s="12">
        <f t="shared" si="142"/>
        <v>0</v>
      </c>
    </row>
    <row r="234" spans="7:28">
      <c r="G234" s="12">
        <f t="shared" si="128"/>
        <v>0</v>
      </c>
      <c r="H234" s="12">
        <f t="shared" ref="H234:Q234" si="143">IF($E83&gt;H$66,0,IF($E83&lt;H$66-365,$D83,0))</f>
        <v>0</v>
      </c>
      <c r="I234" s="12">
        <f t="shared" si="143"/>
        <v>0</v>
      </c>
      <c r="J234" s="12">
        <f t="shared" si="143"/>
        <v>0</v>
      </c>
      <c r="K234" s="12">
        <f t="shared" si="143"/>
        <v>0</v>
      </c>
      <c r="L234" s="12">
        <f t="shared" si="143"/>
        <v>0</v>
      </c>
      <c r="M234" s="12">
        <f t="shared" si="143"/>
        <v>0</v>
      </c>
      <c r="N234" s="12">
        <f t="shared" si="143"/>
        <v>0</v>
      </c>
      <c r="O234" s="12">
        <f t="shared" si="143"/>
        <v>0</v>
      </c>
      <c r="P234" s="12">
        <f t="shared" si="143"/>
        <v>0</v>
      </c>
      <c r="Q234" s="12">
        <f t="shared" si="143"/>
        <v>0</v>
      </c>
    </row>
    <row r="235" spans="7:28">
      <c r="G235" s="12">
        <f t="shared" si="128"/>
        <v>0</v>
      </c>
      <c r="H235" s="12">
        <f t="shared" ref="H235:Q235" si="144">IF($E84&gt;H$66,0,IF($E84&lt;H$66-365,$D84,0))</f>
        <v>0</v>
      </c>
      <c r="I235" s="12">
        <f t="shared" si="144"/>
        <v>0</v>
      </c>
      <c r="J235" s="12">
        <f t="shared" si="144"/>
        <v>0</v>
      </c>
      <c r="K235" s="12">
        <f t="shared" si="144"/>
        <v>0</v>
      </c>
      <c r="L235" s="12">
        <f t="shared" si="144"/>
        <v>0</v>
      </c>
      <c r="M235" s="12">
        <f t="shared" si="144"/>
        <v>0</v>
      </c>
      <c r="N235" s="12">
        <f t="shared" si="144"/>
        <v>0</v>
      </c>
      <c r="O235" s="12">
        <f t="shared" si="144"/>
        <v>0</v>
      </c>
      <c r="P235" s="12">
        <f t="shared" si="144"/>
        <v>0</v>
      </c>
      <c r="Q235" s="12">
        <f t="shared" si="144"/>
        <v>0</v>
      </c>
    </row>
    <row r="236" spans="7:28">
      <c r="G236" s="12">
        <f t="shared" si="128"/>
        <v>0</v>
      </c>
      <c r="H236" s="12">
        <f t="shared" ref="H236:Q236" si="145">IF($E85&gt;H$66,0,IF($E85&lt;H$66-365,$D85,0))</f>
        <v>0</v>
      </c>
      <c r="I236" s="12">
        <f t="shared" si="145"/>
        <v>0</v>
      </c>
      <c r="J236" s="12">
        <f t="shared" si="145"/>
        <v>0</v>
      </c>
      <c r="K236" s="12">
        <f t="shared" si="145"/>
        <v>0</v>
      </c>
      <c r="L236" s="12">
        <f t="shared" si="145"/>
        <v>0</v>
      </c>
      <c r="M236" s="12">
        <f t="shared" si="145"/>
        <v>0</v>
      </c>
      <c r="N236" s="12">
        <f t="shared" si="145"/>
        <v>0</v>
      </c>
      <c r="O236" s="12">
        <f t="shared" si="145"/>
        <v>0</v>
      </c>
      <c r="P236" s="12">
        <f t="shared" si="145"/>
        <v>0</v>
      </c>
      <c r="Q236" s="12">
        <f t="shared" si="145"/>
        <v>0</v>
      </c>
    </row>
    <row r="237" spans="7:28">
      <c r="G237" s="12">
        <f t="shared" si="128"/>
        <v>0</v>
      </c>
      <c r="H237" s="12">
        <f t="shared" ref="H237:Q237" si="146">IF($E86&gt;H$66,0,IF($E86&lt;H$66-365,$D86,0))</f>
        <v>0</v>
      </c>
      <c r="I237" s="12">
        <f t="shared" si="146"/>
        <v>0</v>
      </c>
      <c r="J237" s="12">
        <f t="shared" si="146"/>
        <v>0</v>
      </c>
      <c r="K237" s="12">
        <f t="shared" si="146"/>
        <v>0</v>
      </c>
      <c r="L237" s="12">
        <f t="shared" si="146"/>
        <v>0</v>
      </c>
      <c r="M237" s="12">
        <f t="shared" si="146"/>
        <v>0</v>
      </c>
      <c r="N237" s="12">
        <f t="shared" si="146"/>
        <v>0</v>
      </c>
      <c r="O237" s="12">
        <f t="shared" si="146"/>
        <v>0</v>
      </c>
      <c r="P237" s="12">
        <f t="shared" si="146"/>
        <v>0</v>
      </c>
      <c r="Q237" s="12">
        <f t="shared" si="146"/>
        <v>0</v>
      </c>
    </row>
    <row r="238" spans="7:28">
      <c r="G238" s="12">
        <f t="shared" si="128"/>
        <v>0</v>
      </c>
      <c r="H238" s="12">
        <f t="shared" ref="H238:Q238" si="147">IF($E87&gt;H$66,0,IF($E87&lt;H$66-365,$D87,0))</f>
        <v>0</v>
      </c>
      <c r="I238" s="12">
        <f t="shared" si="147"/>
        <v>0</v>
      </c>
      <c r="J238" s="12">
        <f t="shared" si="147"/>
        <v>0</v>
      </c>
      <c r="K238" s="12">
        <f t="shared" si="147"/>
        <v>0</v>
      </c>
      <c r="L238" s="12">
        <f t="shared" si="147"/>
        <v>0</v>
      </c>
      <c r="M238" s="12">
        <f t="shared" si="147"/>
        <v>0</v>
      </c>
      <c r="N238" s="12">
        <f t="shared" si="147"/>
        <v>0</v>
      </c>
      <c r="O238" s="12">
        <f t="shared" si="147"/>
        <v>0</v>
      </c>
      <c r="P238" s="12">
        <f t="shared" si="147"/>
        <v>0</v>
      </c>
      <c r="Q238" s="12">
        <f t="shared" si="147"/>
        <v>0</v>
      </c>
    </row>
    <row r="239" spans="7:28">
      <c r="G239" s="12">
        <f t="shared" si="128"/>
        <v>0</v>
      </c>
      <c r="H239" s="12">
        <f t="shared" ref="H239:Q239" si="148">IF($E88&gt;H$66,0,IF($E88&lt;H$66-365,$D88,0))</f>
        <v>0</v>
      </c>
      <c r="I239" s="12">
        <f t="shared" si="148"/>
        <v>0</v>
      </c>
      <c r="J239" s="12">
        <f t="shared" si="148"/>
        <v>0</v>
      </c>
      <c r="K239" s="12">
        <f t="shared" si="148"/>
        <v>0</v>
      </c>
      <c r="L239" s="12">
        <f t="shared" si="148"/>
        <v>0</v>
      </c>
      <c r="M239" s="12">
        <f t="shared" si="148"/>
        <v>0</v>
      </c>
      <c r="N239" s="12">
        <f t="shared" si="148"/>
        <v>0</v>
      </c>
      <c r="O239" s="12">
        <f t="shared" si="148"/>
        <v>0</v>
      </c>
      <c r="P239" s="12">
        <f t="shared" si="148"/>
        <v>0</v>
      </c>
      <c r="Q239" s="12">
        <f t="shared" si="148"/>
        <v>0</v>
      </c>
    </row>
    <row r="240" spans="7:28">
      <c r="G240" s="12">
        <f t="shared" si="128"/>
        <v>0</v>
      </c>
      <c r="H240" s="12">
        <f t="shared" ref="H240:Q240" si="149">IF($E89&gt;H$66,0,IF($E89&lt;H$66-365,$D89,0))</f>
        <v>0</v>
      </c>
      <c r="I240" s="12">
        <f t="shared" si="149"/>
        <v>0</v>
      </c>
      <c r="J240" s="12">
        <f t="shared" si="149"/>
        <v>0</v>
      </c>
      <c r="K240" s="12">
        <f t="shared" si="149"/>
        <v>0</v>
      </c>
      <c r="L240" s="12">
        <f t="shared" si="149"/>
        <v>0</v>
      </c>
      <c r="M240" s="12">
        <f t="shared" si="149"/>
        <v>0</v>
      </c>
      <c r="N240" s="12">
        <f t="shared" si="149"/>
        <v>0</v>
      </c>
      <c r="O240" s="12">
        <f t="shared" si="149"/>
        <v>0</v>
      </c>
      <c r="P240" s="12">
        <f t="shared" si="149"/>
        <v>0</v>
      </c>
      <c r="Q240" s="12">
        <f t="shared" si="149"/>
        <v>0</v>
      </c>
    </row>
    <row r="241" spans="7:17">
      <c r="G241" s="12">
        <f t="shared" si="128"/>
        <v>0</v>
      </c>
      <c r="H241" s="12">
        <f t="shared" ref="H241:Q241" si="150">IF($E90&gt;H$66,0,IF($E90&lt;H$66-365,$D90,0))</f>
        <v>0</v>
      </c>
      <c r="I241" s="12">
        <f t="shared" si="150"/>
        <v>0</v>
      </c>
      <c r="J241" s="12">
        <f t="shared" si="150"/>
        <v>0</v>
      </c>
      <c r="K241" s="12">
        <f t="shared" si="150"/>
        <v>0</v>
      </c>
      <c r="L241" s="12">
        <f t="shared" si="150"/>
        <v>0</v>
      </c>
      <c r="M241" s="12">
        <f t="shared" si="150"/>
        <v>0</v>
      </c>
      <c r="N241" s="12">
        <f t="shared" si="150"/>
        <v>0</v>
      </c>
      <c r="O241" s="12">
        <f t="shared" si="150"/>
        <v>0</v>
      </c>
      <c r="P241" s="12">
        <f t="shared" si="150"/>
        <v>0</v>
      </c>
      <c r="Q241" s="12">
        <f t="shared" si="150"/>
        <v>0</v>
      </c>
    </row>
    <row r="242" spans="7:17">
      <c r="G242" s="12">
        <f t="shared" si="128"/>
        <v>0</v>
      </c>
      <c r="H242" s="12">
        <f t="shared" ref="H242:Q242" si="151">IF($E91&gt;H$66,0,IF($E91&lt;H$66-365,$D91,0))</f>
        <v>0</v>
      </c>
      <c r="I242" s="12">
        <f t="shared" si="151"/>
        <v>0</v>
      </c>
      <c r="J242" s="12">
        <f t="shared" si="151"/>
        <v>0</v>
      </c>
      <c r="K242" s="12">
        <f t="shared" si="151"/>
        <v>0</v>
      </c>
      <c r="L242" s="12">
        <f t="shared" si="151"/>
        <v>0</v>
      </c>
      <c r="M242" s="12">
        <f t="shared" si="151"/>
        <v>0</v>
      </c>
      <c r="N242" s="12">
        <f t="shared" si="151"/>
        <v>0</v>
      </c>
      <c r="O242" s="12">
        <f t="shared" si="151"/>
        <v>0</v>
      </c>
      <c r="P242" s="12">
        <f t="shared" si="151"/>
        <v>0</v>
      </c>
      <c r="Q242" s="12">
        <f t="shared" si="151"/>
        <v>0</v>
      </c>
    </row>
    <row r="243" spans="7:17">
      <c r="G243" s="12">
        <f t="shared" si="128"/>
        <v>0</v>
      </c>
      <c r="H243" s="12">
        <f t="shared" ref="H243:Q243" si="152">IF($E92&gt;H$66,0,IF($E92&lt;H$66-365,$D92,0))</f>
        <v>0</v>
      </c>
      <c r="I243" s="12">
        <f t="shared" si="152"/>
        <v>0</v>
      </c>
      <c r="J243" s="12">
        <f t="shared" si="152"/>
        <v>0</v>
      </c>
      <c r="K243" s="12">
        <f t="shared" si="152"/>
        <v>0</v>
      </c>
      <c r="L243" s="12">
        <f t="shared" si="152"/>
        <v>0</v>
      </c>
      <c r="M243" s="12">
        <f t="shared" si="152"/>
        <v>0</v>
      </c>
      <c r="N243" s="12">
        <f t="shared" si="152"/>
        <v>0</v>
      </c>
      <c r="O243" s="12">
        <f t="shared" si="152"/>
        <v>0</v>
      </c>
      <c r="P243" s="12">
        <f t="shared" si="152"/>
        <v>0</v>
      </c>
      <c r="Q243" s="12">
        <f t="shared" si="152"/>
        <v>0</v>
      </c>
    </row>
    <row r="244" spans="7:17">
      <c r="G244" s="12">
        <f t="shared" si="128"/>
        <v>0</v>
      </c>
      <c r="H244" s="12">
        <f t="shared" ref="H244:Q244" si="153">IF($E93&gt;H$66,0,IF($E93&lt;H$66-365,$D93,0))</f>
        <v>0</v>
      </c>
      <c r="I244" s="12">
        <f t="shared" si="153"/>
        <v>0</v>
      </c>
      <c r="J244" s="12">
        <f t="shared" si="153"/>
        <v>0</v>
      </c>
      <c r="K244" s="12">
        <f t="shared" si="153"/>
        <v>0</v>
      </c>
      <c r="L244" s="12">
        <f t="shared" si="153"/>
        <v>0</v>
      </c>
      <c r="M244" s="12">
        <f t="shared" si="153"/>
        <v>0</v>
      </c>
      <c r="N244" s="12">
        <f t="shared" si="153"/>
        <v>0</v>
      </c>
      <c r="O244" s="12">
        <f t="shared" si="153"/>
        <v>0</v>
      </c>
      <c r="P244" s="12">
        <f t="shared" si="153"/>
        <v>0</v>
      </c>
      <c r="Q244" s="12">
        <f t="shared" si="153"/>
        <v>0</v>
      </c>
    </row>
    <row r="245" spans="7:17">
      <c r="G245" s="12">
        <f t="shared" si="128"/>
        <v>0</v>
      </c>
      <c r="H245" s="12">
        <f t="shared" ref="H245:Q245" si="154">IF($E94&gt;H$66,0,IF($E94&lt;H$66-365,$D94,0))</f>
        <v>0</v>
      </c>
      <c r="I245" s="12">
        <f t="shared" si="154"/>
        <v>0</v>
      </c>
      <c r="J245" s="12">
        <f t="shared" si="154"/>
        <v>0</v>
      </c>
      <c r="K245" s="12">
        <f t="shared" si="154"/>
        <v>0</v>
      </c>
      <c r="L245" s="12">
        <f t="shared" si="154"/>
        <v>0</v>
      </c>
      <c r="M245" s="12">
        <f t="shared" si="154"/>
        <v>0</v>
      </c>
      <c r="N245" s="12">
        <f t="shared" si="154"/>
        <v>0</v>
      </c>
      <c r="O245" s="12">
        <f t="shared" si="154"/>
        <v>0</v>
      </c>
      <c r="P245" s="12">
        <f t="shared" si="154"/>
        <v>0</v>
      </c>
      <c r="Q245" s="12">
        <f t="shared" si="154"/>
        <v>0</v>
      </c>
    </row>
    <row r="246" spans="7:17">
      <c r="G246" s="12">
        <f t="shared" si="128"/>
        <v>0</v>
      </c>
      <c r="H246" s="12">
        <f t="shared" ref="H246:Q246" si="155">IF($E95&gt;H$66,0,IF($E95&lt;H$66-365,$D95,0))</f>
        <v>0</v>
      </c>
      <c r="I246" s="12">
        <f t="shared" si="155"/>
        <v>0</v>
      </c>
      <c r="J246" s="12">
        <f t="shared" si="155"/>
        <v>0</v>
      </c>
      <c r="K246" s="12">
        <f t="shared" si="155"/>
        <v>0</v>
      </c>
      <c r="L246" s="12">
        <f t="shared" si="155"/>
        <v>0</v>
      </c>
      <c r="M246" s="12">
        <f t="shared" si="155"/>
        <v>0</v>
      </c>
      <c r="N246" s="12">
        <f t="shared" si="155"/>
        <v>0</v>
      </c>
      <c r="O246" s="12">
        <f t="shared" si="155"/>
        <v>0</v>
      </c>
      <c r="P246" s="12">
        <f t="shared" si="155"/>
        <v>0</v>
      </c>
      <c r="Q246" s="12">
        <f t="shared" si="155"/>
        <v>0</v>
      </c>
    </row>
    <row r="247" spans="7:17">
      <c r="G247" s="12">
        <f t="shared" si="128"/>
        <v>0</v>
      </c>
      <c r="H247" s="12">
        <f t="shared" ref="H247:Q247" si="156">IF($E96&gt;H$66,0,IF($E96&lt;H$66-365,$D96,0))</f>
        <v>0</v>
      </c>
      <c r="I247" s="12">
        <f t="shared" si="156"/>
        <v>0</v>
      </c>
      <c r="J247" s="12">
        <f t="shared" si="156"/>
        <v>0</v>
      </c>
      <c r="K247" s="12">
        <f t="shared" si="156"/>
        <v>0</v>
      </c>
      <c r="L247" s="12">
        <f t="shared" si="156"/>
        <v>0</v>
      </c>
      <c r="M247" s="12">
        <f t="shared" si="156"/>
        <v>0</v>
      </c>
      <c r="N247" s="12">
        <f t="shared" si="156"/>
        <v>0</v>
      </c>
      <c r="O247" s="12">
        <f t="shared" si="156"/>
        <v>0</v>
      </c>
      <c r="P247" s="12">
        <f t="shared" si="156"/>
        <v>0</v>
      </c>
      <c r="Q247" s="12">
        <f t="shared" si="156"/>
        <v>0</v>
      </c>
    </row>
    <row r="248" spans="7:17">
      <c r="G248" s="12">
        <f t="shared" si="128"/>
        <v>0</v>
      </c>
      <c r="H248" s="12">
        <f t="shared" ref="H248:Q248" si="157">IF($E97&gt;H$66,0,IF($E97&lt;H$66-365,$D97,0))</f>
        <v>0</v>
      </c>
      <c r="I248" s="12">
        <f t="shared" si="157"/>
        <v>0</v>
      </c>
      <c r="J248" s="12">
        <f t="shared" si="157"/>
        <v>0</v>
      </c>
      <c r="K248" s="12">
        <f t="shared" si="157"/>
        <v>0</v>
      </c>
      <c r="L248" s="12">
        <f t="shared" si="157"/>
        <v>0</v>
      </c>
      <c r="M248" s="12">
        <f t="shared" si="157"/>
        <v>0</v>
      </c>
      <c r="N248" s="12">
        <f t="shared" si="157"/>
        <v>0</v>
      </c>
      <c r="O248" s="12">
        <f t="shared" si="157"/>
        <v>0</v>
      </c>
      <c r="P248" s="12">
        <f t="shared" si="157"/>
        <v>0</v>
      </c>
      <c r="Q248" s="12">
        <f t="shared" si="157"/>
        <v>0</v>
      </c>
    </row>
    <row r="249" spans="7:17">
      <c r="G249" s="12">
        <f t="shared" si="128"/>
        <v>0</v>
      </c>
      <c r="H249" s="12">
        <f t="shared" ref="H249:Q249" si="158">IF($E98&gt;H$66,0,IF($E98&lt;H$66-365,$D98,0))</f>
        <v>0</v>
      </c>
      <c r="I249" s="12">
        <f t="shared" si="158"/>
        <v>0</v>
      </c>
      <c r="J249" s="12">
        <f t="shared" si="158"/>
        <v>0</v>
      </c>
      <c r="K249" s="12">
        <f t="shared" si="158"/>
        <v>0</v>
      </c>
      <c r="L249" s="12">
        <f t="shared" si="158"/>
        <v>0</v>
      </c>
      <c r="M249" s="12">
        <f t="shared" si="158"/>
        <v>0</v>
      </c>
      <c r="N249" s="12">
        <f t="shared" si="158"/>
        <v>0</v>
      </c>
      <c r="O249" s="12">
        <f t="shared" si="158"/>
        <v>0</v>
      </c>
      <c r="P249" s="12">
        <f t="shared" si="158"/>
        <v>0</v>
      </c>
      <c r="Q249" s="12">
        <f t="shared" si="158"/>
        <v>0</v>
      </c>
    </row>
    <row r="250" spans="7:17">
      <c r="G250" s="12">
        <f t="shared" si="128"/>
        <v>0</v>
      </c>
      <c r="H250" s="12">
        <f t="shared" ref="H250:Q250" si="159">IF($E99&gt;H$66,0,IF($E99&lt;H$66-365,$D99,0))</f>
        <v>0</v>
      </c>
      <c r="I250" s="12">
        <f t="shared" si="159"/>
        <v>0</v>
      </c>
      <c r="J250" s="12">
        <f t="shared" si="159"/>
        <v>0</v>
      </c>
      <c r="K250" s="12">
        <f t="shared" si="159"/>
        <v>0</v>
      </c>
      <c r="L250" s="12">
        <f t="shared" si="159"/>
        <v>0</v>
      </c>
      <c r="M250" s="12">
        <f t="shared" si="159"/>
        <v>0</v>
      </c>
      <c r="N250" s="12">
        <f t="shared" si="159"/>
        <v>0</v>
      </c>
      <c r="O250" s="12">
        <f t="shared" si="159"/>
        <v>0</v>
      </c>
      <c r="P250" s="12">
        <f t="shared" si="159"/>
        <v>0</v>
      </c>
      <c r="Q250" s="12">
        <f t="shared" si="159"/>
        <v>0</v>
      </c>
    </row>
    <row r="251" spans="7:17">
      <c r="G251" s="12">
        <f t="shared" si="128"/>
        <v>0</v>
      </c>
      <c r="H251" s="12">
        <f t="shared" ref="H251:Q251" si="160">IF($E100&gt;H$66,0,IF($E100&lt;H$66-365,$D100,0))</f>
        <v>0</v>
      </c>
      <c r="I251" s="12">
        <f t="shared" si="160"/>
        <v>0</v>
      </c>
      <c r="J251" s="12">
        <f t="shared" si="160"/>
        <v>0</v>
      </c>
      <c r="K251" s="12">
        <f t="shared" si="160"/>
        <v>0</v>
      </c>
      <c r="L251" s="12">
        <f t="shared" si="160"/>
        <v>0</v>
      </c>
      <c r="M251" s="12">
        <f t="shared" si="160"/>
        <v>0</v>
      </c>
      <c r="N251" s="12">
        <f t="shared" si="160"/>
        <v>0</v>
      </c>
      <c r="O251" s="12">
        <f t="shared" si="160"/>
        <v>0</v>
      </c>
      <c r="P251" s="12">
        <f t="shared" si="160"/>
        <v>0</v>
      </c>
      <c r="Q251" s="12">
        <f t="shared" si="160"/>
        <v>0</v>
      </c>
    </row>
    <row r="252" spans="7:17">
      <c r="G252" s="12">
        <f t="shared" si="128"/>
        <v>0</v>
      </c>
      <c r="H252" s="12">
        <f t="shared" ref="H252:Q252" si="161">IF($E101&gt;H$66,0,IF($E101&lt;H$66-365,$D101,0))</f>
        <v>0</v>
      </c>
      <c r="I252" s="12">
        <f t="shared" si="161"/>
        <v>0</v>
      </c>
      <c r="J252" s="12">
        <f t="shared" si="161"/>
        <v>0</v>
      </c>
      <c r="K252" s="12">
        <f t="shared" si="161"/>
        <v>0</v>
      </c>
      <c r="L252" s="12">
        <f t="shared" si="161"/>
        <v>0</v>
      </c>
      <c r="M252" s="12">
        <f t="shared" si="161"/>
        <v>0</v>
      </c>
      <c r="N252" s="12">
        <f t="shared" si="161"/>
        <v>0</v>
      </c>
      <c r="O252" s="12">
        <f t="shared" si="161"/>
        <v>0</v>
      </c>
      <c r="P252" s="12">
        <f t="shared" si="161"/>
        <v>0</v>
      </c>
      <c r="Q252" s="12">
        <f t="shared" si="161"/>
        <v>0</v>
      </c>
    </row>
    <row r="253" spans="7:17">
      <c r="G253" s="12">
        <f t="shared" si="128"/>
        <v>0</v>
      </c>
      <c r="H253" s="12">
        <f t="shared" ref="H253:Q253" si="162">IF($E102&gt;H$66,0,IF($E102&lt;H$66-365,$D102,0))</f>
        <v>0</v>
      </c>
      <c r="I253" s="12">
        <f t="shared" si="162"/>
        <v>0</v>
      </c>
      <c r="J253" s="12">
        <f t="shared" si="162"/>
        <v>0</v>
      </c>
      <c r="K253" s="12">
        <f t="shared" si="162"/>
        <v>0</v>
      </c>
      <c r="L253" s="12">
        <f t="shared" si="162"/>
        <v>0</v>
      </c>
      <c r="M253" s="12">
        <f t="shared" si="162"/>
        <v>0</v>
      </c>
      <c r="N253" s="12">
        <f t="shared" si="162"/>
        <v>0</v>
      </c>
      <c r="O253" s="12">
        <f t="shared" si="162"/>
        <v>0</v>
      </c>
      <c r="P253" s="12">
        <f t="shared" si="162"/>
        <v>0</v>
      </c>
      <c r="Q253" s="12">
        <f t="shared" si="162"/>
        <v>0</v>
      </c>
    </row>
    <row r="254" spans="7:17">
      <c r="G254" s="12">
        <f t="shared" si="128"/>
        <v>0</v>
      </c>
      <c r="H254" s="12">
        <f t="shared" ref="H254:Q254" si="163">IF($E103&gt;H$66,0,IF($E103&lt;H$66-365,$D103,0))</f>
        <v>0</v>
      </c>
      <c r="I254" s="12">
        <f t="shared" si="163"/>
        <v>0</v>
      </c>
      <c r="J254" s="12">
        <f t="shared" si="163"/>
        <v>0</v>
      </c>
      <c r="K254" s="12">
        <f t="shared" si="163"/>
        <v>0</v>
      </c>
      <c r="L254" s="12">
        <f t="shared" si="163"/>
        <v>0</v>
      </c>
      <c r="M254" s="12">
        <f t="shared" si="163"/>
        <v>0</v>
      </c>
      <c r="N254" s="12">
        <f t="shared" si="163"/>
        <v>0</v>
      </c>
      <c r="O254" s="12">
        <f t="shared" si="163"/>
        <v>0</v>
      </c>
      <c r="P254" s="12">
        <f t="shared" si="163"/>
        <v>0</v>
      </c>
      <c r="Q254" s="12">
        <f t="shared" si="163"/>
        <v>0</v>
      </c>
    </row>
    <row r="255" spans="7:17">
      <c r="G255" s="12">
        <f t="shared" si="128"/>
        <v>0</v>
      </c>
      <c r="H255" s="12">
        <f t="shared" ref="H255:Q255" si="164">IF($E104&gt;H$66,0,IF($E104&lt;H$66-365,$D104,0))</f>
        <v>0</v>
      </c>
      <c r="I255" s="12">
        <f t="shared" si="164"/>
        <v>0</v>
      </c>
      <c r="J255" s="12">
        <f t="shared" si="164"/>
        <v>0</v>
      </c>
      <c r="K255" s="12">
        <f t="shared" si="164"/>
        <v>0</v>
      </c>
      <c r="L255" s="12">
        <f t="shared" si="164"/>
        <v>0</v>
      </c>
      <c r="M255" s="12">
        <f t="shared" si="164"/>
        <v>0</v>
      </c>
      <c r="N255" s="12">
        <f t="shared" si="164"/>
        <v>0</v>
      </c>
      <c r="O255" s="12">
        <f t="shared" si="164"/>
        <v>0</v>
      </c>
      <c r="P255" s="12">
        <f t="shared" si="164"/>
        <v>0</v>
      </c>
      <c r="Q255" s="12">
        <f t="shared" si="164"/>
        <v>0</v>
      </c>
    </row>
    <row r="256" spans="7:17">
      <c r="G256" s="12">
        <f t="shared" si="128"/>
        <v>0</v>
      </c>
      <c r="H256" s="12">
        <f t="shared" ref="H256:Q256" si="165">IF($E105&gt;H$66,0,IF($E105&lt;H$66-365,$D105,0))</f>
        <v>0</v>
      </c>
      <c r="I256" s="12">
        <f t="shared" si="165"/>
        <v>0</v>
      </c>
      <c r="J256" s="12">
        <f t="shared" si="165"/>
        <v>0</v>
      </c>
      <c r="K256" s="12">
        <f t="shared" si="165"/>
        <v>0</v>
      </c>
      <c r="L256" s="12">
        <f t="shared" si="165"/>
        <v>0</v>
      </c>
      <c r="M256" s="12">
        <f t="shared" si="165"/>
        <v>0</v>
      </c>
      <c r="N256" s="12">
        <f t="shared" si="165"/>
        <v>0</v>
      </c>
      <c r="O256" s="12">
        <f t="shared" si="165"/>
        <v>0</v>
      </c>
      <c r="P256" s="12">
        <f t="shared" si="165"/>
        <v>0</v>
      </c>
      <c r="Q256" s="12">
        <f t="shared" si="165"/>
        <v>0</v>
      </c>
    </row>
    <row r="257" spans="5:18">
      <c r="G257" s="12">
        <f t="shared" si="128"/>
        <v>0</v>
      </c>
      <c r="H257" s="12">
        <f t="shared" ref="H257:Q257" si="166">IF($E106&gt;H$66,0,IF($E106&lt;H$66-365,$D106,0))</f>
        <v>0</v>
      </c>
      <c r="I257" s="12">
        <f t="shared" si="166"/>
        <v>0</v>
      </c>
      <c r="J257" s="12">
        <f t="shared" si="166"/>
        <v>0</v>
      </c>
      <c r="K257" s="12">
        <f t="shared" si="166"/>
        <v>0</v>
      </c>
      <c r="L257" s="12">
        <f t="shared" si="166"/>
        <v>0</v>
      </c>
      <c r="M257" s="12">
        <f t="shared" si="166"/>
        <v>0</v>
      </c>
      <c r="N257" s="12">
        <f t="shared" si="166"/>
        <v>0</v>
      </c>
      <c r="O257" s="12">
        <f t="shared" si="166"/>
        <v>0</v>
      </c>
      <c r="P257" s="12">
        <f t="shared" si="166"/>
        <v>0</v>
      </c>
      <c r="Q257" s="12">
        <f t="shared" si="166"/>
        <v>0</v>
      </c>
    </row>
    <row r="258" spans="5:18">
      <c r="G258" s="12">
        <f t="shared" si="128"/>
        <v>0</v>
      </c>
      <c r="H258" s="12">
        <f t="shared" ref="H258:Q258" si="167">IF($E107&gt;H$66,0,IF($E107&lt;H$66-365,$D107,0))</f>
        <v>0</v>
      </c>
      <c r="I258" s="12">
        <f t="shared" si="167"/>
        <v>0</v>
      </c>
      <c r="J258" s="12">
        <f t="shared" si="167"/>
        <v>0</v>
      </c>
      <c r="K258" s="12">
        <f t="shared" si="167"/>
        <v>0</v>
      </c>
      <c r="L258" s="12">
        <f t="shared" si="167"/>
        <v>0</v>
      </c>
      <c r="M258" s="12">
        <f t="shared" si="167"/>
        <v>0</v>
      </c>
      <c r="N258" s="12">
        <f t="shared" si="167"/>
        <v>0</v>
      </c>
      <c r="O258" s="12">
        <f t="shared" si="167"/>
        <v>0</v>
      </c>
      <c r="P258" s="12">
        <f t="shared" si="167"/>
        <v>0</v>
      </c>
      <c r="Q258" s="12">
        <f t="shared" si="167"/>
        <v>0</v>
      </c>
    </row>
    <row r="259" spans="5:18">
      <c r="G259" s="12">
        <f t="shared" si="128"/>
        <v>0</v>
      </c>
      <c r="H259" s="12">
        <f t="shared" ref="H259:Q259" si="168">IF($E108&gt;H$66,0,IF($E108&lt;H$66-365,$D108,0))</f>
        <v>0</v>
      </c>
      <c r="I259" s="12">
        <f t="shared" si="168"/>
        <v>0</v>
      </c>
      <c r="J259" s="12">
        <f t="shared" si="168"/>
        <v>0</v>
      </c>
      <c r="K259" s="12">
        <f t="shared" si="168"/>
        <v>0</v>
      </c>
      <c r="L259" s="12">
        <f t="shared" si="168"/>
        <v>0</v>
      </c>
      <c r="M259" s="12">
        <f t="shared" si="168"/>
        <v>0</v>
      </c>
      <c r="N259" s="12">
        <f t="shared" si="168"/>
        <v>0</v>
      </c>
      <c r="O259" s="12">
        <f t="shared" si="168"/>
        <v>0</v>
      </c>
      <c r="P259" s="12">
        <f t="shared" si="168"/>
        <v>0</v>
      </c>
      <c r="Q259" s="12">
        <f t="shared" si="168"/>
        <v>0</v>
      </c>
    </row>
    <row r="260" spans="5:18">
      <c r="G260" s="12">
        <f t="shared" si="128"/>
        <v>0</v>
      </c>
      <c r="H260" s="12">
        <f t="shared" ref="H260:Q260" si="169">IF($E109&gt;H$66,0,IF($E109&lt;H$66-365,$D109,0))</f>
        <v>0</v>
      </c>
      <c r="I260" s="12">
        <f t="shared" si="169"/>
        <v>0</v>
      </c>
      <c r="J260" s="12">
        <f t="shared" si="169"/>
        <v>0</v>
      </c>
      <c r="K260" s="12">
        <f t="shared" si="169"/>
        <v>0</v>
      </c>
      <c r="L260" s="12">
        <f t="shared" si="169"/>
        <v>0</v>
      </c>
      <c r="M260" s="12">
        <f t="shared" si="169"/>
        <v>0</v>
      </c>
      <c r="N260" s="12">
        <f t="shared" si="169"/>
        <v>0</v>
      </c>
      <c r="O260" s="12">
        <f t="shared" si="169"/>
        <v>0</v>
      </c>
      <c r="P260" s="12">
        <f t="shared" si="169"/>
        <v>0</v>
      </c>
      <c r="Q260" s="12">
        <f t="shared" si="169"/>
        <v>0</v>
      </c>
    </row>
    <row r="261" spans="5:18">
      <c r="G261" s="12">
        <f t="shared" si="128"/>
        <v>0</v>
      </c>
      <c r="H261" s="12">
        <f t="shared" ref="H261:Q261" si="170">IF($E110&gt;H$66,0,IF($E110&lt;H$66-365,$D110,0))</f>
        <v>0</v>
      </c>
      <c r="I261" s="12">
        <f t="shared" si="170"/>
        <v>0</v>
      </c>
      <c r="J261" s="12">
        <f t="shared" si="170"/>
        <v>0</v>
      </c>
      <c r="K261" s="12">
        <f t="shared" si="170"/>
        <v>0</v>
      </c>
      <c r="L261" s="12">
        <f t="shared" si="170"/>
        <v>0</v>
      </c>
      <c r="M261" s="12">
        <f t="shared" si="170"/>
        <v>0</v>
      </c>
      <c r="N261" s="12">
        <f t="shared" si="170"/>
        <v>0</v>
      </c>
      <c r="O261" s="12">
        <f t="shared" si="170"/>
        <v>0</v>
      </c>
      <c r="P261" s="12">
        <f t="shared" si="170"/>
        <v>0</v>
      </c>
      <c r="Q261" s="12">
        <f t="shared" si="170"/>
        <v>0</v>
      </c>
    </row>
    <row r="262" spans="5:18">
      <c r="G262" s="12">
        <f t="shared" si="128"/>
        <v>0</v>
      </c>
      <c r="H262" s="12">
        <f t="shared" ref="H262:Q262" si="171">IF($E111&gt;H$66,0,IF($E111&lt;H$66-365,$D111,0))</f>
        <v>0</v>
      </c>
      <c r="I262" s="12">
        <f t="shared" si="171"/>
        <v>0</v>
      </c>
      <c r="J262" s="12">
        <f t="shared" si="171"/>
        <v>0</v>
      </c>
      <c r="K262" s="12">
        <f t="shared" si="171"/>
        <v>0</v>
      </c>
      <c r="L262" s="12">
        <f t="shared" si="171"/>
        <v>0</v>
      </c>
      <c r="M262" s="12">
        <f t="shared" si="171"/>
        <v>0</v>
      </c>
      <c r="N262" s="12">
        <f t="shared" si="171"/>
        <v>0</v>
      </c>
      <c r="O262" s="12">
        <f t="shared" si="171"/>
        <v>0</v>
      </c>
      <c r="P262" s="12">
        <f t="shared" si="171"/>
        <v>0</v>
      </c>
      <c r="Q262" s="12">
        <f t="shared" si="171"/>
        <v>0</v>
      </c>
    </row>
    <row r="263" spans="5:18">
      <c r="G263" s="12">
        <f t="shared" si="128"/>
        <v>0</v>
      </c>
      <c r="H263" s="12">
        <f t="shared" ref="H263:Q263" si="172">IF($E112&gt;H$66,0,IF($E112&lt;H$66-365,$D112,0))</f>
        <v>0</v>
      </c>
      <c r="I263" s="12">
        <f t="shared" si="172"/>
        <v>0</v>
      </c>
      <c r="J263" s="12">
        <f t="shared" si="172"/>
        <v>0</v>
      </c>
      <c r="K263" s="12">
        <f t="shared" si="172"/>
        <v>0</v>
      </c>
      <c r="L263" s="12">
        <f t="shared" si="172"/>
        <v>0</v>
      </c>
      <c r="M263" s="12">
        <f t="shared" si="172"/>
        <v>0</v>
      </c>
      <c r="N263" s="12">
        <f t="shared" si="172"/>
        <v>0</v>
      </c>
      <c r="O263" s="12">
        <f t="shared" si="172"/>
        <v>0</v>
      </c>
      <c r="P263" s="12">
        <f t="shared" si="172"/>
        <v>0</v>
      </c>
      <c r="Q263" s="12">
        <f t="shared" si="172"/>
        <v>0</v>
      </c>
    </row>
    <row r="264" spans="5:18">
      <c r="G264" s="12">
        <f t="shared" si="128"/>
        <v>0</v>
      </c>
      <c r="H264" s="12">
        <f t="shared" ref="H264:Q264" si="173">IF($E113&gt;H$66,0,IF($E113&lt;H$66-365,$D113,0))</f>
        <v>0</v>
      </c>
      <c r="I264" s="12">
        <f t="shared" si="173"/>
        <v>0</v>
      </c>
      <c r="J264" s="12">
        <f t="shared" si="173"/>
        <v>0</v>
      </c>
      <c r="K264" s="12">
        <f t="shared" si="173"/>
        <v>0</v>
      </c>
      <c r="L264" s="12">
        <f t="shared" si="173"/>
        <v>0</v>
      </c>
      <c r="M264" s="12">
        <f t="shared" si="173"/>
        <v>0</v>
      </c>
      <c r="N264" s="12">
        <f t="shared" si="173"/>
        <v>0</v>
      </c>
      <c r="O264" s="12">
        <f t="shared" si="173"/>
        <v>0</v>
      </c>
      <c r="P264" s="12">
        <f t="shared" si="173"/>
        <v>0</v>
      </c>
      <c r="Q264" s="12">
        <f t="shared" si="173"/>
        <v>0</v>
      </c>
    </row>
    <row r="265" spans="5:18">
      <c r="G265" s="12">
        <f t="shared" si="128"/>
        <v>0</v>
      </c>
      <c r="H265" s="12">
        <f t="shared" ref="H265:Q265" si="174">IF($E114&gt;H$66,0,IF($E114&lt;H$66-365,$D114,0))</f>
        <v>0</v>
      </c>
      <c r="I265" s="12">
        <f t="shared" si="174"/>
        <v>0</v>
      </c>
      <c r="J265" s="12">
        <f t="shared" si="174"/>
        <v>0</v>
      </c>
      <c r="K265" s="12">
        <f t="shared" si="174"/>
        <v>0</v>
      </c>
      <c r="L265" s="12">
        <f t="shared" si="174"/>
        <v>0</v>
      </c>
      <c r="M265" s="12">
        <f t="shared" si="174"/>
        <v>0</v>
      </c>
      <c r="N265" s="12">
        <f t="shared" si="174"/>
        <v>0</v>
      </c>
      <c r="O265" s="12">
        <f t="shared" si="174"/>
        <v>0</v>
      </c>
      <c r="P265" s="12">
        <f t="shared" si="174"/>
        <v>0</v>
      </c>
      <c r="Q265" s="12">
        <f t="shared" si="174"/>
        <v>0</v>
      </c>
    </row>
    <row r="267" spans="5:18">
      <c r="F267" s="187" t="s">
        <v>493</v>
      </c>
      <c r="G267" s="187">
        <f>SUM(G220:G265)</f>
        <v>0</v>
      </c>
      <c r="H267" s="187">
        <f t="shared" ref="H267:Q267" si="175">SUM(H220:H265)</f>
        <v>0</v>
      </c>
      <c r="I267" s="187">
        <f t="shared" si="175"/>
        <v>0</v>
      </c>
      <c r="J267" s="187">
        <f t="shared" si="175"/>
        <v>0</v>
      </c>
      <c r="K267" s="187">
        <f t="shared" si="175"/>
        <v>0</v>
      </c>
      <c r="L267" s="187">
        <f t="shared" si="175"/>
        <v>0</v>
      </c>
      <c r="M267" s="187">
        <f t="shared" si="175"/>
        <v>0</v>
      </c>
      <c r="N267" s="187">
        <f t="shared" si="175"/>
        <v>0</v>
      </c>
      <c r="O267" s="187">
        <f t="shared" si="175"/>
        <v>0</v>
      </c>
      <c r="P267" s="187">
        <f t="shared" si="175"/>
        <v>0</v>
      </c>
      <c r="Q267" s="187">
        <f t="shared" si="175"/>
        <v>0</v>
      </c>
    </row>
    <row r="271" spans="5:18">
      <c r="F271" s="207" t="s">
        <v>486</v>
      </c>
      <c r="G271" s="206">
        <f>G66</f>
        <v>45473</v>
      </c>
      <c r="H271" s="206">
        <f t="shared" ref="H271:Q271" si="176">H66</f>
        <v>45838</v>
      </c>
      <c r="I271" s="206">
        <f t="shared" si="176"/>
        <v>46203</v>
      </c>
      <c r="J271" s="206">
        <f t="shared" si="176"/>
        <v>46568</v>
      </c>
      <c r="K271" s="206">
        <f t="shared" si="176"/>
        <v>46934</v>
      </c>
      <c r="L271" s="206">
        <f t="shared" si="176"/>
        <v>47299</v>
      </c>
      <c r="M271" s="206">
        <f t="shared" si="176"/>
        <v>47664</v>
      </c>
      <c r="N271" s="206">
        <f t="shared" si="176"/>
        <v>48029</v>
      </c>
      <c r="O271" s="206">
        <f t="shared" si="176"/>
        <v>48395</v>
      </c>
      <c r="P271" s="206">
        <f t="shared" si="176"/>
        <v>48760</v>
      </c>
      <c r="Q271" s="206">
        <f t="shared" si="176"/>
        <v>49125</v>
      </c>
      <c r="R271" s="206">
        <f t="shared" ref="R271" si="177">Q271+365</f>
        <v>49490</v>
      </c>
    </row>
    <row r="272" spans="5:18">
      <c r="E272" s="12" t="s">
        <v>399</v>
      </c>
      <c r="F272" s="348">
        <f t="shared" ref="F272:P272" si="178">Z216</f>
        <v>5.4825066741604607</v>
      </c>
      <c r="G272" s="348">
        <f t="shared" si="178"/>
        <v>5.4825066741604607</v>
      </c>
      <c r="H272" s="348">
        <f t="shared" si="178"/>
        <v>5.4825066741604607</v>
      </c>
      <c r="I272" s="348">
        <f t="shared" si="178"/>
        <v>5.4825066802171643</v>
      </c>
      <c r="J272" s="348">
        <f t="shared" si="178"/>
        <v>5.4825066802171643</v>
      </c>
      <c r="K272" s="348">
        <f t="shared" si="178"/>
        <v>5.5895153057815321</v>
      </c>
      <c r="L272" s="348">
        <f t="shared" si="178"/>
        <v>5.5895153057815321</v>
      </c>
      <c r="M272" s="348">
        <f t="shared" si="178"/>
        <v>5.5895153057815321</v>
      </c>
      <c r="N272" s="348">
        <f t="shared" si="178"/>
        <v>5.5895153057815321</v>
      </c>
      <c r="O272" s="348">
        <f t="shared" si="178"/>
        <v>5.6624228737996827</v>
      </c>
      <c r="P272" s="348">
        <f t="shared" si="178"/>
        <v>5.6624228737996827</v>
      </c>
      <c r="Q272" s="348">
        <f>AK216</f>
        <v>5.6624228737996827</v>
      </c>
    </row>
  </sheetData>
  <sheetProtection formatCells="0" formatColumns="0" formatRows="0" selectLockedCells="1"/>
  <customSheetViews>
    <customSheetView guid="{0FAFE012-8D9E-4ED0-86A4-A997E430971B}" scale="85" showGridLines="0" fitToPage="1" hiddenRows="1" topLeftCell="E15">
      <selection activeCell="Y168" sqref="Y168"/>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38" priority="1" operator="lessThan">
      <formula>0</formula>
    </cfRule>
  </conditionalFormatting>
  <conditionalFormatting sqref="F46:Q47">
    <cfRule type="cellIs" dxfId="37" priority="3" operator="lessThan">
      <formula>0</formula>
    </cfRule>
  </conditionalFormatting>
  <conditionalFormatting sqref="F50:Q50">
    <cfRule type="cellIs" dxfId="36" priority="2" operator="lessThan">
      <formula>0</formula>
    </cfRule>
  </conditionalFormatting>
  <dataValidations disablePrompts="1" count="3">
    <dataValidation type="list" allowBlank="1" showInputMessage="1" showErrorMessage="1" sqref="O114:Q114" xr:uid="{683C41B4-CAE4-4B5B-BC45-B0E03AD55732}">
      <formula1>$BS$156:$BS$159</formula1>
    </dataValidation>
    <dataValidation type="list" allowBlank="1" showInputMessage="1" showErrorMessage="1" sqref="E114" xr:uid="{504CC9E5-E8D1-4452-904D-ECFF0D5753FB}">
      <formula1>$BQ$155:$BQ$169</formula1>
    </dataValidation>
    <dataValidation type="list" allowBlank="1" showInputMessage="1" showErrorMessage="1" sqref="F141:G141" xr:uid="{8F26992C-B56C-4BFE-8350-25436E6DBEFC}">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CD5E4-DF73-412F-94A8-CD270C728F9F}">
  <sheetPr codeName="Sheet25">
    <tabColor theme="5"/>
    <pageSetUpPr fitToPage="1"/>
  </sheetPr>
  <dimension ref="A1:CJ272"/>
  <sheetViews>
    <sheetView showGridLines="0" topLeftCell="K1" zoomScale="85" zoomScaleNormal="85" workbookViewId="0">
      <selection activeCell="W13" sqref="W13"/>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30.4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92</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0.22566356995374295</v>
      </c>
      <c r="E6" s="367" t="s">
        <v>311</v>
      </c>
      <c r="F6" s="517">
        <f>VLOOKUP($A$2,'Footprint Summary'!$B$4:$R$26,COLUMNS('Footprint Summary'!$B$4:F$26)+1,0)</f>
        <v>1483.8040000000001</v>
      </c>
      <c r="G6" s="517">
        <f>VLOOKUP($A$2,'Footprint Summary'!$B$4:$R$26,COLUMNS('Footprint Summary'!$B$4:G$26)+1,0)</f>
        <v>1483.8040000000001</v>
      </c>
      <c r="H6" s="517">
        <f>VLOOKUP($A$2,'Footprint Summary'!$B$4:$R$26,COLUMNS('Footprint Summary'!$B$4:H$26)+1,0)</f>
        <v>1483.8040000000001</v>
      </c>
      <c r="I6" s="517">
        <f>VLOOKUP($A$2,'Footprint Summary'!$B$4:$R$26,COLUMNS('Footprint Summary'!$B$4:I$26)+1,0)</f>
        <v>1503.8040000000001</v>
      </c>
      <c r="J6" s="517">
        <f>VLOOKUP($A$2,'Footprint Summary'!$B$4:$R$26,COLUMNS('Footprint Summary'!$B$4:J$26)+1,0)</f>
        <v>1293.8040000000001</v>
      </c>
      <c r="K6" s="517">
        <f>VLOOKUP($A$2,'Footprint Summary'!$B$4:$R$26,COLUMNS('Footprint Summary'!$B$4:K$26)+1,0)</f>
        <v>1293.8040000000001</v>
      </c>
      <c r="L6" s="517">
        <f>VLOOKUP($A$2,'Footprint Summary'!$B$4:$R$26,COLUMNS('Footprint Summary'!$B$4:L$26)+1,0)</f>
        <v>1293.8040000000001</v>
      </c>
      <c r="M6" s="517">
        <f>VLOOKUP($A$2,'Footprint Summary'!$B$4:$R$26,COLUMNS('Footprint Summary'!$B$4:M$26)+1,0)</f>
        <v>1293.8040000000001</v>
      </c>
      <c r="N6" s="517">
        <f>VLOOKUP($A$2,'Footprint Summary'!$B$4:$R$26,COLUMNS('Footprint Summary'!$B$4:N$26)+1,0)</f>
        <v>1313.8040000000001</v>
      </c>
      <c r="O6" s="517">
        <f>VLOOKUP($A$2,'Footprint Summary'!$B$4:$R$26,COLUMNS('Footprint Summary'!$B$4:O$26)+1,0)</f>
        <v>1313.8040000000001</v>
      </c>
      <c r="P6" s="517">
        <f>VLOOKUP($A$2,'Footprint Summary'!$B$4:$R$26,COLUMNS('Footprint Summary'!$B$4:P$26)+1,0)</f>
        <v>1313.8040000000001</v>
      </c>
      <c r="Q6" s="429">
        <f>(P6-F6)/F6</f>
        <v>-0.11457038800272812</v>
      </c>
      <c r="R6" s="366"/>
      <c r="S6" s="357"/>
      <c r="T6" s="8"/>
      <c r="U6" s="8"/>
    </row>
    <row r="7" spans="1:21" s="7" customFormat="1" ht="17.25" customHeight="1">
      <c r="A7" s="368" t="str">
        <f>VLOOKUP($A$2,'Asset Attributes'!$B$3:$D$25,2,0)</f>
        <v>NSW2</v>
      </c>
      <c r="B7" s="368" t="s">
        <v>312</v>
      </c>
      <c r="E7" s="367" t="s">
        <v>311</v>
      </c>
      <c r="F7" s="518">
        <f>F6-$F$6</f>
        <v>0</v>
      </c>
      <c r="G7" s="518">
        <f t="shared" ref="G7:P7" si="1">G6-$F$6</f>
        <v>0</v>
      </c>
      <c r="H7" s="518">
        <f t="shared" si="1"/>
        <v>0</v>
      </c>
      <c r="I7" s="518">
        <f t="shared" si="1"/>
        <v>20</v>
      </c>
      <c r="J7" s="518">
        <f t="shared" si="1"/>
        <v>-190</v>
      </c>
      <c r="K7" s="518">
        <f t="shared" si="1"/>
        <v>-190</v>
      </c>
      <c r="L7" s="518">
        <f t="shared" si="1"/>
        <v>-190</v>
      </c>
      <c r="M7" s="518">
        <f t="shared" si="1"/>
        <v>-190</v>
      </c>
      <c r="N7" s="518">
        <f t="shared" si="1"/>
        <v>-170</v>
      </c>
      <c r="O7" s="518">
        <f t="shared" si="1"/>
        <v>-170</v>
      </c>
      <c r="P7" s="518">
        <f t="shared" si="1"/>
        <v>-170</v>
      </c>
      <c r="Q7" s="490">
        <f>SUM(F7:P7)</f>
        <v>-1250</v>
      </c>
      <c r="R7" s="366"/>
      <c r="S7" s="357"/>
      <c r="T7" s="8"/>
      <c r="U7" s="8"/>
    </row>
    <row r="8" spans="1:21" s="7" customFormat="1" ht="17.25" customHeight="1">
      <c r="A8" s="419" t="s">
        <v>284</v>
      </c>
      <c r="B8" s="368" t="s">
        <v>313</v>
      </c>
      <c r="C8" s="2"/>
      <c r="D8" s="486">
        <f>(VLOOKUP($A$2,Assumptions!$B$69:$C$91,2,0))</f>
        <v>24.643582466971644</v>
      </c>
      <c r="E8" s="422" t="s">
        <v>314</v>
      </c>
      <c r="F8" s="519">
        <f>VLOOKUP($A$2,'Footprint Summary'!$B$33:$R$55,COLUMNS('Footprint Summary'!$B$33:F$55)+1,0)</f>
        <v>1177.8979999999999</v>
      </c>
      <c r="G8" s="519">
        <f>VLOOKUP($A$2,'Footprint Summary'!$B$33:$R$55,COLUMNS('Footprint Summary'!$B$33:G$55)+1,0)</f>
        <v>1177.8979999999999</v>
      </c>
      <c r="H8" s="519">
        <f>VLOOKUP($A$2,'Footprint Summary'!$B$33:$R$55,COLUMNS('Footprint Summary'!$B$33:H$55)+1,0)</f>
        <v>1177.8979999999999</v>
      </c>
      <c r="I8" s="519">
        <f>VLOOKUP($A$2,'Footprint Summary'!$B$33:$R$55,COLUMNS('Footprint Summary'!$B$33:I$55)+1,0)</f>
        <v>651.49703381642507</v>
      </c>
      <c r="J8" s="519">
        <f>VLOOKUP($A$2,'Footprint Summary'!$B$33:$R$55,COLUMNS('Footprint Summary'!$B$33:J$55)+1,0)</f>
        <v>651.49703381642507</v>
      </c>
      <c r="K8" s="519">
        <f>VLOOKUP($A$2,'Footprint Summary'!$B$33:$R$55,COLUMNS('Footprint Summary'!$B$33:K$55)+1,0)</f>
        <v>651.49703381642507</v>
      </c>
      <c r="L8" s="519">
        <f>VLOOKUP($A$2,'Footprint Summary'!$B$33:$R$55,COLUMNS('Footprint Summary'!$B$33:L$55)+1,0)</f>
        <v>651.49703381642507</v>
      </c>
      <c r="M8" s="519">
        <f>VLOOKUP($A$2,'Footprint Summary'!$B$33:$R$55,COLUMNS('Footprint Summary'!$B$33:M$55)+1,0)</f>
        <v>651.49703381642507</v>
      </c>
      <c r="N8" s="519">
        <f>VLOOKUP($A$2,'Footprint Summary'!$B$33:$R$55,COLUMNS('Footprint Summary'!$B$33:N$55)+1,0)</f>
        <v>576.56788727858293</v>
      </c>
      <c r="O8" s="519">
        <f>VLOOKUP($A$2,'Footprint Summary'!$B$33:$R$55,COLUMNS('Footprint Summary'!$B$33:O$55)+1,0)</f>
        <v>576.56788727858293</v>
      </c>
      <c r="P8" s="519">
        <f>VLOOKUP($A$2,'Footprint Summary'!$B$33:$R$55,COLUMNS('Footprint Summary'!$B$33:P$55)+1,0)</f>
        <v>576.56788727858293</v>
      </c>
      <c r="Q8" s="429">
        <f>(P8-F8)/F8</f>
        <v>-0.51051119258324318</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-526.40096618357484</v>
      </c>
      <c r="J9" s="518">
        <f t="shared" si="2"/>
        <v>-526.40096618357484</v>
      </c>
      <c r="K9" s="518">
        <f t="shared" si="2"/>
        <v>-526.40096618357484</v>
      </c>
      <c r="L9" s="518">
        <f t="shared" si="2"/>
        <v>-526.40096618357484</v>
      </c>
      <c r="M9" s="518">
        <f t="shared" si="2"/>
        <v>-526.40096618357484</v>
      </c>
      <c r="N9" s="518">
        <f t="shared" si="2"/>
        <v>-601.33011272141698</v>
      </c>
      <c r="O9" s="518">
        <f t="shared" si="2"/>
        <v>-601.33011272141698</v>
      </c>
      <c r="P9" s="518">
        <f t="shared" si="2"/>
        <v>-601.33011272141698</v>
      </c>
      <c r="Q9" s="490">
        <f>SUM(F9:P9)</f>
        <v>-4435.9951690821254</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1172.2051600000002</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60.697083939999999</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37.491256923622053</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1270.3935008636224</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47.369159956136414</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-13.24</v>
      </c>
      <c r="J20" s="499">
        <f>-1*(VLOOKUP($A$2,'Footprint Summary'!$B$244:V$266,COLUMNS('Footprint Summary'!$B$244:J$266)+1,0))</f>
        <v>118.56</v>
      </c>
      <c r="K20" s="499">
        <f>-1*(VLOOKUP($A$2,'Footprint Summary'!$B$244:W$266,COLUMNS('Footprint Summary'!$B$244:K$266)+1,0))</f>
        <v>103.93</v>
      </c>
      <c r="L20" s="499">
        <f>-1*(VLOOKUP($A$2,'Footprint Summary'!$B$244:X$266,COLUMNS('Footprint Summary'!$B$244:L$266)+1,0))</f>
        <v>87.4</v>
      </c>
      <c r="M20" s="499">
        <f>-1*(VLOOKUP($A$2,'Footprint Summary'!$B$244:Y$266,COLUMNS('Footprint Summary'!$B$244:M$266)+1,0))</f>
        <v>72.77</v>
      </c>
      <c r="N20" s="499">
        <f>-1*(VLOOKUP($A$2,'Footprint Summary'!$B$244:Z$266,COLUMNS('Footprint Summary'!$B$244:N$266)+1,0))</f>
        <v>55.25</v>
      </c>
      <c r="O20" s="499">
        <f>-1*(VLOOKUP($A$2,'Footprint Summary'!$B$244:AA$266,COLUMNS('Footprint Summary'!$B$244:O$266)+1,0))</f>
        <v>48.959999999999994</v>
      </c>
      <c r="P20" s="499">
        <f>-1*(VLOOKUP($A$2,'Footprint Summary'!$B$244:AB$266,COLUMNS('Footprint Summary'!$B$244:P$266)+1,0))</f>
        <v>44.88</v>
      </c>
      <c r="Q20" s="499">
        <f>SUM(G20:P20)</f>
        <v>518.51</v>
      </c>
      <c r="R20" s="366"/>
      <c r="S20" s="357"/>
      <c r="T20" s="8"/>
      <c r="U20" s="8"/>
    </row>
    <row r="21" spans="1:21"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1100.9825680000001</v>
      </c>
      <c r="H21" s="499">
        <f>-1*(VLOOKUP($A$2,'Footprint Summary'!$B$302:$R$324,COLUMNS('Footprint Summary'!$B$302:H324)+1,0))</f>
        <v>1083.1769200000001</v>
      </c>
      <c r="I21" s="499">
        <f>-1*(VLOOKUP($A$2,'Footprint Summary'!$B$302:$R$324,COLUMNS('Footprint Summary'!$B$302:I324)+1,0))</f>
        <v>995.51824800000009</v>
      </c>
      <c r="J21" s="499">
        <f>-1*(VLOOKUP($A$2,'Footprint Summary'!$B$302:$R$324,COLUMNS('Footprint Summary'!$B$302:J324)+1,0))</f>
        <v>807.33369600000003</v>
      </c>
      <c r="K21" s="499">
        <f>-1*(VLOOKUP($A$2,'Footprint Summary'!$B$302:$R$324,COLUMNS('Footprint Summary'!$B$302:K324)+1,0))</f>
        <v>707.71078800000009</v>
      </c>
      <c r="L21" s="499">
        <f>-1*(VLOOKUP($A$2,'Footprint Summary'!$B$302:$R$324,COLUMNS('Footprint Summary'!$B$302:L324)+1,0))</f>
        <v>595.14984000000004</v>
      </c>
      <c r="M21" s="499">
        <f>-1*(VLOOKUP($A$2,'Footprint Summary'!$B$302:$R$324,COLUMNS('Footprint Summary'!$B$302:M324)+1,0))</f>
        <v>495.52693200000004</v>
      </c>
      <c r="N21" s="499">
        <f>-1*(VLOOKUP($A$2,'Footprint Summary'!$B$302:$R$324,COLUMNS('Footprint Summary'!$B$302:N324)+1,0))</f>
        <v>426.98630000000003</v>
      </c>
      <c r="O21" s="499">
        <f>-1*(VLOOKUP($A$2,'Footprint Summary'!$B$302:$R$324,COLUMNS('Footprint Summary'!$B$302:O324)+1,0))</f>
        <v>378.37555199999997</v>
      </c>
      <c r="P21" s="499">
        <f>-1*(VLOOKUP($A$2,'Footprint Summary'!$B$302:$R$324,COLUMNS('Footprint Summary'!$B$302:P324)+1,0))</f>
        <v>346.84425600000003</v>
      </c>
      <c r="Q21" s="499">
        <f t="shared" ref="Q21:Q27" si="6">SUM(G21:P21)</f>
        <v>6937.6051000000007</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60.697083939999999</v>
      </c>
      <c r="H22" s="499">
        <f>(VLOOKUP($A$2,'Footprint Summary'!$B$33:$R$55,COLUMNS('Footprint Summary'!$B$33:H$55)+1,0)*VLOOKUP($B$14,Assumptions!$B$17:$N$29,COLUMNS(Assumptions!$B$18:D$29)+1,0)/1000)</f>
        <v>60.697083939999999</v>
      </c>
      <c r="I22" s="499">
        <f>(VLOOKUP($A$2,'Footprint Summary'!$B$33:$R$55,COLUMNS('Footprint Summary'!$B$33:I$55)+1,0)*VLOOKUP($B$14,Assumptions!$B$17:$N$29,COLUMNS(Assumptions!$B$18:E$29)+1,0)/1000)</f>
        <v>33.571642152560386</v>
      </c>
      <c r="J22" s="499">
        <f>(VLOOKUP($A$2,'Footprint Summary'!$B$33:$R$55,COLUMNS('Footprint Summary'!$B$33:J$55)+1,0)*VLOOKUP($B$14,Assumptions!$B$17:$N$29,COLUMNS(Assumptions!$B$18:F$29)+1,0)/1000)</f>
        <v>33.571642152560386</v>
      </c>
      <c r="K22" s="499">
        <f>(VLOOKUP($A$2,'Footprint Summary'!$B$33:$R$55,COLUMNS('Footprint Summary'!$B$33:K$55)+1,0)*VLOOKUP($B$14,Assumptions!$B$17:$N$29,COLUMNS(Assumptions!$B$18:G$29)+1,0)/1000)</f>
        <v>33.571642152560386</v>
      </c>
      <c r="L22" s="499">
        <f>(VLOOKUP($A$2,'Footprint Summary'!$B$33:$R$55,COLUMNS('Footprint Summary'!$B$33:L$55)+1,0)*VLOOKUP($B$14,Assumptions!$B$17:$N$29,COLUMNS(Assumptions!$B$18:H$29)+1,0)/1000)</f>
        <v>33.571642152560386</v>
      </c>
      <c r="M22" s="499">
        <f>(VLOOKUP($A$2,'Footprint Summary'!$B$33:$R$55,COLUMNS('Footprint Summary'!$B$33:M$55)+1,0)*VLOOKUP($B$14,Assumptions!$B$17:$N$29,COLUMNS(Assumptions!$B$18:I$29)+1,0)/1000)</f>
        <v>33.571642152560386</v>
      </c>
      <c r="N22" s="499">
        <f>(VLOOKUP($A$2,'Footprint Summary'!$B$33:$R$55,COLUMNS('Footprint Summary'!$B$33:N$55)+1,0)*VLOOKUP($B$14,Assumptions!$B$17:$N$29,COLUMNS(Assumptions!$B$18:J$29)+1,0)/1000)</f>
        <v>29.71054323146538</v>
      </c>
      <c r="O22" s="499">
        <f>(VLOOKUP($A$2,'Footprint Summary'!$B$33:$R$55,COLUMNS('Footprint Summary'!$B$33:O$55)+1,0)*VLOOKUP($B$14,Assumptions!$B$17:$N$29,COLUMNS(Assumptions!$B$18:K$29)+1,0)/1000)</f>
        <v>29.71054323146538</v>
      </c>
      <c r="P22" s="499">
        <f>(VLOOKUP($A$2,'Footprint Summary'!$B$33:$R$55,COLUMNS('Footprint Summary'!$B$33:P$55)+1,0)*VLOOKUP($B$14,Assumptions!$B$17:$N$29,COLUMNS(Assumptions!$B$18:L$29)+1,0)/1000)</f>
        <v>29.71054323146538</v>
      </c>
      <c r="Q22" s="499">
        <f t="shared" si="6"/>
        <v>378.38400833719822</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27.125441787439613</v>
      </c>
      <c r="J23" s="499">
        <f>-1*(VLOOKUP($A$2,'Footprint Summary'!$B$273:V$295,COLUMNS('Footprint Summary'!$B$273:J$295)+1,0))</f>
        <v>27.125441787439613</v>
      </c>
      <c r="K23" s="499">
        <f>-1*(VLOOKUP($A$2,'Footprint Summary'!$B$273:W$295,COLUMNS('Footprint Summary'!$B$273:K$295)+1,0))</f>
        <v>27.125441787439613</v>
      </c>
      <c r="L23" s="499">
        <f>-1*(VLOOKUP($A$2,'Footprint Summary'!$B$273:X$295,COLUMNS('Footprint Summary'!$B$273:L$295)+1,0))</f>
        <v>27.125441787439613</v>
      </c>
      <c r="M23" s="499">
        <f>-1*(VLOOKUP($A$2,'Footprint Summary'!$B$273:Y$295,COLUMNS('Footprint Summary'!$B$273:M$295)+1,0))</f>
        <v>27.125441787439613</v>
      </c>
      <c r="N23" s="499">
        <f>-1*(VLOOKUP($A$2,'Footprint Summary'!$B$273:Z$295,COLUMNS('Footprint Summary'!$B$273:N$295)+1,0))</f>
        <v>30.986540708534616</v>
      </c>
      <c r="O23" s="499">
        <f>-1*(VLOOKUP($A$2,'Footprint Summary'!$B$273:AA$295,COLUMNS('Footprint Summary'!$B$273:O$295)+1,0))</f>
        <v>30.986540708534616</v>
      </c>
      <c r="P23" s="499">
        <f>-1*(VLOOKUP($A$2,'Footprint Summary'!$B$273:AB$295,COLUMNS('Footprint Summary'!$B$273:P$295)+1,0))</f>
        <v>30.986540708534616</v>
      </c>
      <c r="Q23" s="499">
        <f t="shared" si="6"/>
        <v>228.58683106280193</v>
      </c>
      <c r="R23" s="366"/>
      <c r="S23" s="357"/>
      <c r="T23" s="8"/>
      <c r="U23" s="8"/>
    </row>
    <row r="24" spans="1:21" s="7" customFormat="1" ht="19.5" customHeight="1">
      <c r="A24" s="419" t="s">
        <v>319</v>
      </c>
      <c r="B24" s="419" t="s">
        <v>329</v>
      </c>
      <c r="E24" s="425" t="s">
        <v>321</v>
      </c>
      <c r="F24" s="499">
        <v>0</v>
      </c>
      <c r="G24" s="499">
        <f>VLOOKUP($A$2,'Footprint Summary'!$B$216:$R$238,COLUMNS('Footprint Summary'!$B$216:G238)+1,0)</f>
        <v>35.0550034832196</v>
      </c>
      <c r="H24" s="499">
        <f>VLOOKUP($A$2,'Footprint Summary'!$B$216:$R$238,COLUMNS('Footprint Summary'!$B$216:H238)+1,0)</f>
        <v>32.618750042817148</v>
      </c>
      <c r="I24" s="499">
        <f>VLOOKUP($A$2,'Footprint Summary'!$B$216:$R$238,COLUMNS('Footprint Summary'!$B$216:I238)+1,0)</f>
        <v>30.182496602414698</v>
      </c>
      <c r="J24" s="499">
        <f>VLOOKUP($A$2,'Footprint Summary'!$B$216:$R$238,COLUMNS('Footprint Summary'!$B$216:J238)+1,0)</f>
        <v>27.746243162012249</v>
      </c>
      <c r="K24" s="499">
        <f>VLOOKUP($A$2,'Footprint Summary'!$B$216:$R$238,COLUMNS('Footprint Summary'!$B$216:K238)+1,0)</f>
        <v>25.309989721609796</v>
      </c>
      <c r="L24" s="499">
        <f>VLOOKUP($A$2,'Footprint Summary'!$B$216:$R$238,COLUMNS('Footprint Summary'!$B$216:L238)+1,0)</f>
        <v>22.873736281207343</v>
      </c>
      <c r="M24" s="499">
        <f>VLOOKUP($A$2,'Footprint Summary'!$B$216:$R$238,COLUMNS('Footprint Summary'!$B$216:M238)+1,0)</f>
        <v>20.437482840804893</v>
      </c>
      <c r="N24" s="499">
        <f>VLOOKUP($A$2,'Footprint Summary'!$B$216:$R$238,COLUMNS('Footprint Summary'!$B$216:N238)+1,0)</f>
        <v>18.001229400402444</v>
      </c>
      <c r="O24" s="499">
        <f>VLOOKUP($A$2,'Footprint Summary'!$B$216:$R$238,COLUMNS('Footprint Summary'!$B$216:O238)+1,0)</f>
        <v>15.564975959999991</v>
      </c>
      <c r="P24" s="499">
        <f>VLOOKUP($A$2,'Footprint Summary'!$B$216:$R$238,COLUMNS('Footprint Summary'!$B$216:P238)+1,0)</f>
        <v>15.56497596</v>
      </c>
      <c r="Q24" s="499">
        <f t="shared" si="6"/>
        <v>243.3548834544882</v>
      </c>
      <c r="R24" s="366"/>
      <c r="S24" s="357"/>
      <c r="T24" s="8"/>
      <c r="U24" s="8"/>
    </row>
    <row r="25" spans="1:21" s="7" customFormat="1" ht="19.5" customHeight="1">
      <c r="A25" s="419" t="s">
        <v>319</v>
      </c>
      <c r="B25" s="419" t="s">
        <v>319</v>
      </c>
      <c r="E25" s="425" t="s">
        <v>321</v>
      </c>
      <c r="F25" s="499">
        <f>VLOOKUP($A$2,'Footprint Summary'!$B$216:$R$238,COLUMNS('Footprint Summary'!$B$216:F238)+1,0)-F24</f>
        <v>37.491256923622053</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60.697083939999999</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NSW2</v>
      </c>
      <c r="B27" s="368" t="s">
        <v>330</v>
      </c>
      <c r="E27" s="425" t="s">
        <v>321</v>
      </c>
      <c r="F27" s="367">
        <f>VLOOKUP($A$2,'Footprint Summary'!$B$4:$R$26,COLUMNS('Footprint Summary'!$B$4:F$26)+1,0)*VLOOKUP($A$13,Assumptions!$A$4:$N$14,COLUMNS(Assumptions!$A$4:B$14)+1,0)</f>
        <v>1172.2051600000002</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row>
    <row r="28" spans="1:21" s="7" customFormat="1" ht="19.5" customHeight="1" thickBot="1">
      <c r="E28" s="425" t="s">
        <v>321</v>
      </c>
      <c r="F28" s="434">
        <f>SUM(F20:F23)</f>
        <v>0</v>
      </c>
      <c r="G28" s="434">
        <f t="shared" ref="G28:P28" si="7">SUM(G20:G23)</f>
        <v>1161.6796519400002</v>
      </c>
      <c r="H28" s="434">
        <f t="shared" si="7"/>
        <v>1143.8740039400002</v>
      </c>
      <c r="I28" s="434">
        <f t="shared" si="7"/>
        <v>1042.9753319399999</v>
      </c>
      <c r="J28" s="434">
        <f t="shared" si="7"/>
        <v>986.59077994000006</v>
      </c>
      <c r="K28" s="434">
        <f t="shared" si="7"/>
        <v>872.33787194000013</v>
      </c>
      <c r="L28" s="434">
        <f t="shared" si="7"/>
        <v>743.24692393999999</v>
      </c>
      <c r="M28" s="434">
        <f t="shared" si="7"/>
        <v>628.99401594000005</v>
      </c>
      <c r="N28" s="434">
        <f t="shared" si="7"/>
        <v>542.93338394</v>
      </c>
      <c r="O28" s="434">
        <f t="shared" si="7"/>
        <v>488.03263593999992</v>
      </c>
      <c r="P28" s="434">
        <f t="shared" si="7"/>
        <v>452.42133994</v>
      </c>
      <c r="Q28" s="434">
        <f t="shared" ref="Q28" si="8">SUM(Q20:Q24)</f>
        <v>8306.4408228544889</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340263.13999999996</v>
      </c>
      <c r="G32" s="424">
        <f>VLOOKUP($A$2,'Costs Summary'!$B$154:$R$176,COLUMNS('Costs Summary'!$B$154:G$176)+1,0)</f>
        <v>435292.66007713677</v>
      </c>
      <c r="H32" s="424">
        <f>VLOOKUP($A$2,'Costs Summary'!$B$154:$R$176,COLUMNS('Costs Summary'!$B$154:H$176)+1,0)</f>
        <v>450527.90317983646</v>
      </c>
      <c r="I32" s="424">
        <f>VLOOKUP($A$2,'Costs Summary'!$B$154:$R$176,COLUMNS('Costs Summary'!$B$154:I$176)+1,0)</f>
        <v>466296.37979113072</v>
      </c>
      <c r="J32" s="424">
        <f>VLOOKUP($A$2,'Costs Summary'!$B$154:$R$176,COLUMNS('Costs Summary'!$B$154:J$176)+1,0)</f>
        <v>482616.75308382022</v>
      </c>
      <c r="K32" s="424">
        <f>VLOOKUP($A$2,'Costs Summary'!$B$154:$R$176,COLUMNS('Costs Summary'!$B$154:K$176)+1,0)</f>
        <v>499508.33944175392</v>
      </c>
      <c r="L32" s="424">
        <f>VLOOKUP($A$2,'Costs Summary'!$B$154:$R$176,COLUMNS('Costs Summary'!$B$154:L$176)+1,0)</f>
        <v>516991.13132221525</v>
      </c>
      <c r="M32" s="424">
        <f>VLOOKUP($A$2,'Costs Summary'!$B$154:$R$176,COLUMNS('Costs Summary'!$B$154:M$176)+1,0)</f>
        <v>535085.82091849274</v>
      </c>
      <c r="N32" s="424">
        <f>VLOOKUP($A$2,'Costs Summary'!$B$154:$R$176,COLUMNS('Costs Summary'!$B$154:N$176)+1,0)</f>
        <v>642102.98510219133</v>
      </c>
      <c r="O32" s="424">
        <f>VLOOKUP($A$2,'Costs Summary'!$B$154:$R$176,COLUMNS('Costs Summary'!$B$154:O$176)+1,0)</f>
        <v>664576.5895807679</v>
      </c>
      <c r="P32" s="424">
        <f>VLOOKUP($A$2,'Costs Summary'!$B$154:$R$176,COLUMNS('Costs Summary'!$B$154:P$176)+1,0)</f>
        <v>687836.7702160948</v>
      </c>
      <c r="Q32" s="433">
        <f>SUM(G32:P32)</f>
        <v>5380835.3327134401</v>
      </c>
      <c r="R32" s="366"/>
      <c r="S32" s="357"/>
      <c r="T32" s="8"/>
      <c r="U32" s="8"/>
    </row>
    <row r="33" spans="1:21" s="7" customFormat="1" ht="17.25" customHeight="1">
      <c r="A33" s="368" t="s">
        <v>284</v>
      </c>
      <c r="B33" s="368" t="s">
        <v>335</v>
      </c>
      <c r="C33" s="423"/>
      <c r="D33" s="423"/>
      <c r="E33" s="423"/>
      <c r="F33" s="424">
        <f>VLOOKUP($A$2,'Costs Summary'!$B$183:$R$205,COLUMNS('Costs Summary'!$B$183:F$205)+1,0)</f>
        <v>24102.018800000005</v>
      </c>
      <c r="G33" s="424">
        <f>VLOOKUP($A$2,'Costs Summary'!$B$183:$R$205,COLUMNS('Costs Summary'!$B$183:G$205)+1,0)</f>
        <v>29898.455295701391</v>
      </c>
      <c r="H33" s="424">
        <f>VLOOKUP($A$2,'Costs Summary'!$B$183:$R$205,COLUMNS('Costs Summary'!$B$183:H$205)+1,0)</f>
        <v>30795.408954572435</v>
      </c>
      <c r="I33" s="424">
        <f>VLOOKUP($A$2,'Costs Summary'!$B$183:$R$205,COLUMNS('Costs Summary'!$B$183:I$205)+1,0)</f>
        <v>31719.271223209609</v>
      </c>
      <c r="J33" s="424">
        <f>VLOOKUP($A$2,'Costs Summary'!$B$183:$R$205,COLUMNS('Costs Summary'!$B$183:J$205)+1,0)</f>
        <v>32670.8493599059</v>
      </c>
      <c r="K33" s="424">
        <f>VLOOKUP($A$2,'Costs Summary'!$B$183:$R$205,COLUMNS('Costs Summary'!$B$183:K$205)+1,0)</f>
        <v>33650.974840703078</v>
      </c>
      <c r="L33" s="424">
        <f>VLOOKUP($A$2,'Costs Summary'!$B$183:$R$205,COLUMNS('Costs Summary'!$B$183:L$205)+1,0)</f>
        <v>34660.504085924171</v>
      </c>
      <c r="M33" s="424">
        <f>VLOOKUP($A$2,'Costs Summary'!$B$183:$R$205,COLUMNS('Costs Summary'!$B$183:M$205)+1,0)</f>
        <v>35700.319208501896</v>
      </c>
      <c r="N33" s="424">
        <f>VLOOKUP($A$2,'Costs Summary'!$B$183:$R$205,COLUMNS('Costs Summary'!$B$183:N$205)+1,0)</f>
        <v>36771.328784756952</v>
      </c>
      <c r="O33" s="424">
        <f>VLOOKUP($A$2,'Costs Summary'!$B$183:$R$205,COLUMNS('Costs Summary'!$B$183:O$205)+1,0)</f>
        <v>37874.468648299662</v>
      </c>
      <c r="P33" s="424">
        <f>VLOOKUP($A$2,'Costs Summary'!$B$183:$R$205,COLUMNS('Costs Summary'!$B$183:P$205)+1,0)</f>
        <v>39010.702707748649</v>
      </c>
      <c r="Q33" s="433">
        <f>SUM(G33:P33)</f>
        <v>342752.2831093237</v>
      </c>
      <c r="R33" s="366"/>
      <c r="S33" s="357"/>
      <c r="T33" s="8"/>
      <c r="U33" s="8"/>
    </row>
    <row r="34" spans="1:21" s="7" customFormat="1" ht="17.25" customHeight="1">
      <c r="A34" s="368" t="s">
        <v>284</v>
      </c>
      <c r="B34" s="368" t="s">
        <v>336</v>
      </c>
      <c r="H34" s="424">
        <f>VLOOKUP($A$2,'Costs Summary'!$B$241:$R$263,COLUMNS('Costs Summary'!$B$241:H263)+1,0)</f>
        <v>3641.8250364</v>
      </c>
      <c r="I34" s="424">
        <f>VLOOKUP($A$2,'Costs Summary'!$B$241:$R$263,COLUMNS('Costs Summary'!$B$241:I263)+1,0)</f>
        <v>3641.8250364</v>
      </c>
      <c r="J34" s="424">
        <f>VLOOKUP($A$2,'Costs Summary'!$B$241:$R$263,COLUMNS('Costs Summary'!$B$241:J263)+1,0)</f>
        <v>3641.8250364</v>
      </c>
      <c r="K34" s="424">
        <f>VLOOKUP($A$2,'Costs Summary'!$B$241:$R$263,COLUMNS('Costs Summary'!$B$241:K263)+1,0)</f>
        <v>3641.8250364</v>
      </c>
      <c r="L34" s="424">
        <f>VLOOKUP($A$2,'Costs Summary'!$B$241:$R$263,COLUMNS('Costs Summary'!$B$241:L263)+1,0)</f>
        <v>3641.8250364</v>
      </c>
      <c r="M34" s="424">
        <f>VLOOKUP($A$2,'Costs Summary'!$B$241:$R$263,COLUMNS('Costs Summary'!$B$241:M263)+1,0)</f>
        <v>3641.8250364</v>
      </c>
      <c r="N34" s="424">
        <f>VLOOKUP($A$2,'Costs Summary'!$B$241:$R$263,COLUMNS('Costs Summary'!$B$241:N263)+1,0)</f>
        <v>3641.8250364</v>
      </c>
      <c r="O34" s="424">
        <f>VLOOKUP($A$2,'Costs Summary'!$B$241:$R$263,COLUMNS('Costs Summary'!$B$241:O263)+1,0)</f>
        <v>3641.8250364</v>
      </c>
      <c r="P34" s="424">
        <f>VLOOKUP($A$2,'Costs Summary'!$B$241:$R$263,COLUMNS('Costs Summary'!$B$241:P263)+1,0)</f>
        <v>3641.8250364</v>
      </c>
      <c r="Q34" s="433">
        <f>SUM(G34:P34)</f>
        <v>32776.425327600002</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1957.1250025690288</v>
      </c>
      <c r="I35" s="424">
        <f>VLOOKUP($A$2,'Costs Summary'!$B$212:$R$234,COLUMNS('Costs Summary'!$B$212:I$234)+1,0)</f>
        <v>1810.9497961448819</v>
      </c>
      <c r="J35" s="424">
        <f>VLOOKUP($A$2,'Costs Summary'!$B$212:$R$234,COLUMNS('Costs Summary'!$B$212:J$234)+1,0)</f>
        <v>1664.7745897207349</v>
      </c>
      <c r="K35" s="424">
        <f>VLOOKUP($A$2,'Costs Summary'!$B$212:$R$234,COLUMNS('Costs Summary'!$B$212:K$234)+1,0)</f>
        <v>1518.5993832965878</v>
      </c>
      <c r="L35" s="424">
        <f>VLOOKUP($A$2,'Costs Summary'!$B$212:$R$234,COLUMNS('Costs Summary'!$B$212:L$234)+1,0)</f>
        <v>1372.4241768724405</v>
      </c>
      <c r="M35" s="424">
        <f>VLOOKUP($A$2,'Costs Summary'!$B$212:$R$234,COLUMNS('Costs Summary'!$B$212:M$234)+1,0)</f>
        <v>1226.2489704482937</v>
      </c>
      <c r="N35" s="424">
        <f>VLOOKUP($A$2,'Costs Summary'!$B$212:$R$234,COLUMNS('Costs Summary'!$B$212:N$234)+1,0)</f>
        <v>1080.0737640241466</v>
      </c>
      <c r="O35" s="424">
        <f>VLOOKUP($A$2,'Costs Summary'!$B$212:$R$234,COLUMNS('Costs Summary'!$B$212:O$234)+1,0)</f>
        <v>933.89855759999944</v>
      </c>
      <c r="P35" s="424">
        <f>VLOOKUP($A$2,'Costs Summary'!$B$212:$R$234,COLUMNS('Costs Summary'!$B$212:P$234)+1,0)</f>
        <v>933.8985576</v>
      </c>
      <c r="Q35" s="433">
        <f>SUM(G35:P35)</f>
        <v>12497.992798276113</v>
      </c>
      <c r="R35" s="366"/>
      <c r="S35" s="357"/>
      <c r="T35" s="8"/>
      <c r="U35" s="8"/>
    </row>
    <row r="36" spans="1:21" s="7" customFormat="1" ht="17.25" customHeight="1" thickBot="1">
      <c r="A36" s="437" t="s">
        <v>338</v>
      </c>
      <c r="C36" s="423"/>
      <c r="D36" s="423"/>
      <c r="E36" s="368" t="s">
        <v>669</v>
      </c>
      <c r="F36" s="461">
        <f t="shared" ref="F36:P36" si="10">SUM(F32:F35)</f>
        <v>364365.15879999998</v>
      </c>
      <c r="G36" s="461">
        <f t="shared" si="10"/>
        <v>465191.11537283816</v>
      </c>
      <c r="H36" s="461">
        <f t="shared" si="10"/>
        <v>486922.26217337797</v>
      </c>
      <c r="I36" s="461">
        <f t="shared" si="10"/>
        <v>503468.42584688525</v>
      </c>
      <c r="J36" s="461">
        <f t="shared" si="10"/>
        <v>520594.20206984686</v>
      </c>
      <c r="K36" s="461">
        <f t="shared" si="10"/>
        <v>538319.73870215355</v>
      </c>
      <c r="L36" s="461">
        <f t="shared" si="10"/>
        <v>556665.88462141191</v>
      </c>
      <c r="M36" s="461">
        <f t="shared" si="10"/>
        <v>575654.21413384285</v>
      </c>
      <c r="N36" s="461">
        <f t="shared" si="10"/>
        <v>683596.21268737246</v>
      </c>
      <c r="O36" s="461">
        <f t="shared" si="10"/>
        <v>707026.78182306758</v>
      </c>
      <c r="P36" s="461">
        <f t="shared" si="10"/>
        <v>731423.1965178434</v>
      </c>
      <c r="Q36" s="462">
        <f t="shared" ref="Q36" si="11">SUM(Q32:Q35)</f>
        <v>5768862.0339486403</v>
      </c>
      <c r="R36" s="366"/>
      <c r="S36" s="357"/>
      <c r="T36" s="8"/>
      <c r="U36" s="8"/>
    </row>
    <row r="37" spans="1:21" s="7" customFormat="1" ht="17.25" customHeight="1" thickTop="1" thickBot="1">
      <c r="C37" s="423"/>
      <c r="D37" s="423"/>
      <c r="E37" s="368" t="s">
        <v>340</v>
      </c>
      <c r="F37" s="468">
        <f>F36/(VLOOKUP($A$2,'Asset Attributes'!$B$3:$D$25,3,0))</f>
        <v>13.586082956113202</v>
      </c>
      <c r="G37" s="468">
        <f>G36/(VLOOKUP($A$2,'Asset Attributes'!$B$3:$D$25,3,0))</f>
        <v>17.345580199591264</v>
      </c>
      <c r="H37" s="468">
        <f>H36/(VLOOKUP($A$2,'Asset Attributes'!$B$3:$D$25,3,0))</f>
        <v>18.155869427397665</v>
      </c>
      <c r="I37" s="468">
        <f>I36/(VLOOKUP($A$2,'Asset Attributes'!$B$3:$D$25,3,0))</f>
        <v>18.772826199593023</v>
      </c>
      <c r="J37" s="468">
        <f>J36/(VLOOKUP($A$2,'Asset Attributes'!$B$3:$D$25,3,0))</f>
        <v>19.411394983774446</v>
      </c>
      <c r="K37" s="468">
        <f>K36/(VLOOKUP($A$2,'Asset Attributes'!$B$3:$D$25,3,0))</f>
        <v>20.072327033153869</v>
      </c>
      <c r="L37" s="468">
        <f>L36/(VLOOKUP($A$2,'Asset Attributes'!$B$3:$D$25,3,0))</f>
        <v>20.756399739789401</v>
      </c>
      <c r="M37" s="468">
        <f>M36/(VLOOKUP($A$2,'Asset Attributes'!$B$3:$D$25,3,0))</f>
        <v>21.464417544794468</v>
      </c>
      <c r="N37" s="468">
        <f>N36/(VLOOKUP($A$2,'Asset Attributes'!$B$3:$D$25,3,0))</f>
        <v>25.489250631543772</v>
      </c>
      <c r="O37" s="468">
        <f>O36/(VLOOKUP($A$2,'Asset Attributes'!$B$3:$D$25,3,0))</f>
        <v>26.362906216602692</v>
      </c>
      <c r="P37" s="468">
        <f>P36/(VLOOKUP($A$2,'Asset Attributes'!$B$3:$D$25,3,0))</f>
        <v>27.272575283114335</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340263.13999999996</v>
      </c>
      <c r="G39" s="424">
        <f>VLOOKUP($A$2,'Costs Summary'!$B$4:$R$26,COLUMNS('Costs Summary'!$B$4:G$26)+1,0)</f>
        <v>435292.66007713677</v>
      </c>
      <c r="H39" s="424">
        <f>VLOOKUP($A$2,'Costs Summary'!$B$4:$R$26,COLUMNS('Costs Summary'!$B$4:H$26)+1,0)</f>
        <v>450527.90317983646</v>
      </c>
      <c r="I39" s="424">
        <f>VLOOKUP($A$2,'Costs Summary'!$B$4:$R$26,COLUMNS('Costs Summary'!$B$4:I$26)+1,0)</f>
        <v>472581.52769194689</v>
      </c>
      <c r="J39" s="424">
        <f>VLOOKUP($A$2,'Costs Summary'!$B$4:$R$26,COLUMNS('Costs Summary'!$B$4:J$26)+1,0)</f>
        <v>420818.0363490454</v>
      </c>
      <c r="K39" s="424">
        <f>VLOOKUP($A$2,'Costs Summary'!$B$4:$R$26,COLUMNS('Costs Summary'!$B$4:K$26)+1,0)</f>
        <v>435546.66762126196</v>
      </c>
      <c r="L39" s="424">
        <f>VLOOKUP($A$2,'Costs Summary'!$B$4:$R$26,COLUMNS('Costs Summary'!$B$4:L$26)+1,0)</f>
        <v>450790.80098800606</v>
      </c>
      <c r="M39" s="424">
        <f>VLOOKUP($A$2,'Costs Summary'!$B$4:$R$26,COLUMNS('Costs Summary'!$B$4:M$26)+1,0)</f>
        <v>466568.47902258625</v>
      </c>
      <c r="N39" s="424">
        <f>VLOOKUP($A$2,'Costs Summary'!$B$4:$R$26,COLUMNS('Costs Summary'!$B$4:N$26)+1,0)</f>
        <v>568536.99696132331</v>
      </c>
      <c r="O39" s="424">
        <f>VLOOKUP($A$2,'Costs Summary'!$B$4:$R$26,COLUMNS('Costs Summary'!$B$4:O$26)+1,0)</f>
        <v>588435.79185496958</v>
      </c>
      <c r="P39" s="424">
        <f>VLOOKUP($A$2,'Costs Summary'!$B$4:$R$26,COLUMNS('Costs Summary'!$B$4:P$26)+1,0)</f>
        <v>609031.04456989339</v>
      </c>
      <c r="Q39" s="433">
        <f>SUM(G39:P39)</f>
        <v>4898129.908316006</v>
      </c>
      <c r="R39" s="366"/>
      <c r="S39" s="357"/>
      <c r="T39" s="8"/>
      <c r="U39" s="8"/>
    </row>
    <row r="40" spans="1:21" s="7" customFormat="1" ht="17.25" customHeight="1">
      <c r="A40" s="368" t="s">
        <v>284</v>
      </c>
      <c r="B40" s="368" t="s">
        <v>343</v>
      </c>
      <c r="C40" s="423"/>
      <c r="D40" s="423"/>
      <c r="E40" s="423"/>
      <c r="F40" s="424">
        <f>VLOOKUP($A$2,'Costs Summary'!$B$33:$R$55,COLUMNS('Costs Summary'!$B$33:F$55)+1,0)</f>
        <v>24102.018800000005</v>
      </c>
      <c r="G40" s="424">
        <f>VLOOKUP($A$2,'Costs Summary'!$B$33:$R$55,COLUMNS('Costs Summary'!$B$33:G$55)+1,0)</f>
        <v>29898.455295701391</v>
      </c>
      <c r="H40" s="424">
        <f>VLOOKUP($A$2,'Costs Summary'!$B$33:$R$55,COLUMNS('Costs Summary'!$B$33:H$55)+1,0)</f>
        <v>30795.408954572435</v>
      </c>
      <c r="I40" s="424">
        <f>VLOOKUP($A$2,'Costs Summary'!$B$33:$R$55,COLUMNS('Costs Summary'!$B$33:I$55)+1,0)</f>
        <v>17543.973346367642</v>
      </c>
      <c r="J40" s="424">
        <f>VLOOKUP($A$2,'Costs Summary'!$B$33:$R$55,COLUMNS('Costs Summary'!$B$33:J$55)+1,0)</f>
        <v>18070.292546758672</v>
      </c>
      <c r="K40" s="424">
        <f>VLOOKUP($A$2,'Costs Summary'!$B$33:$R$55,COLUMNS('Costs Summary'!$B$33:K$55)+1,0)</f>
        <v>18612.40132316143</v>
      </c>
      <c r="L40" s="424">
        <f>VLOOKUP($A$2,'Costs Summary'!$B$33:$R$55,COLUMNS('Costs Summary'!$B$33:L$55)+1,0)</f>
        <v>19170.773362856275</v>
      </c>
      <c r="M40" s="424">
        <f>VLOOKUP($A$2,'Costs Summary'!$B$33:$R$55,COLUMNS('Costs Summary'!$B$33:M$55)+1,0)</f>
        <v>19745.896563741961</v>
      </c>
      <c r="N40" s="424">
        <f>VLOOKUP($A$2,'Costs Summary'!$B$33:$R$55,COLUMNS('Costs Summary'!$B$33:N$55)+1,0)</f>
        <v>17999.15387398014</v>
      </c>
      <c r="O40" s="424">
        <f>VLOOKUP($A$2,'Costs Summary'!$B$33:$R$55,COLUMNS('Costs Summary'!$B$33:O$55)+1,0)</f>
        <v>18539.128490199546</v>
      </c>
      <c r="P40" s="424">
        <f>VLOOKUP($A$2,'Costs Summary'!$B$33:$R$55,COLUMNS('Costs Summary'!$B$33:P$55)+1,0)</f>
        <v>19095.302344905529</v>
      </c>
      <c r="Q40" s="433">
        <f>SUM(G40:P40)</f>
        <v>209470.78610224501</v>
      </c>
      <c r="R40" s="366"/>
      <c r="S40" s="357"/>
      <c r="T40" s="8"/>
      <c r="U40" s="8"/>
    </row>
    <row r="41" spans="1:21" s="7" customFormat="1" ht="17.25" customHeight="1">
      <c r="A41" s="368" t="s">
        <v>284</v>
      </c>
      <c r="B41" s="368" t="s">
        <v>336</v>
      </c>
      <c r="H41" s="424">
        <f>VLOOKUP($A$2,'Costs Summary'!$B$125:$R$147,COLUMNS('Costs Summary'!$B$125:H$147)+1,0)</f>
        <v>3641.8250364</v>
      </c>
      <c r="I41" s="424">
        <f>VLOOKUP($A$2,'Costs Summary'!$B$125:$R$147,COLUMNS('Costs Summary'!$B$125:I$147)+1,0)</f>
        <v>2014.2985291536231</v>
      </c>
      <c r="J41" s="424">
        <f>VLOOKUP($A$2,'Costs Summary'!$B$125:$R$147,COLUMNS('Costs Summary'!$B$125:J$147)+1,0)</f>
        <v>2014.2985291536231</v>
      </c>
      <c r="K41" s="424">
        <f>VLOOKUP($A$2,'Costs Summary'!$B$125:$R$147,COLUMNS('Costs Summary'!$B$125:K$147)+1,0)</f>
        <v>2014.2985291536231</v>
      </c>
      <c r="L41" s="424">
        <f>VLOOKUP($A$2,'Costs Summary'!$B$125:$R$147,COLUMNS('Costs Summary'!$B$125:L$147)+1,0)</f>
        <v>2014.2985291536231</v>
      </c>
      <c r="M41" s="424">
        <f>VLOOKUP($A$2,'Costs Summary'!$B$125:$R$147,COLUMNS('Costs Summary'!$B$125:M$147)+1,0)</f>
        <v>2014.2985291536231</v>
      </c>
      <c r="N41" s="424">
        <f>VLOOKUP($A$2,'Costs Summary'!$B$125:$R$147,COLUMNS('Costs Summary'!$B$125:N$147)+1,0)</f>
        <v>1782.6325938879227</v>
      </c>
      <c r="O41" s="424">
        <f>VLOOKUP($A$2,'Costs Summary'!$B$125:$R$147,COLUMNS('Costs Summary'!$B$125:O$147)+1,0)</f>
        <v>1782.6325938879227</v>
      </c>
      <c r="P41" s="424">
        <f>VLOOKUP($A$2,'Costs Summary'!$B$125:$R$147,COLUMNS('Costs Summary'!$B$125:P$147)+1,0)</f>
        <v>1782.6325938879227</v>
      </c>
      <c r="Q41" s="433">
        <f t="shared" ref="Q41:Q42" si="12">SUM(G41:P41)</f>
        <v>19061.215463831883</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1957.1250025690288</v>
      </c>
      <c r="I42" s="424">
        <f>VLOOKUP($A$2,'Costs Summary'!$B$212:$R$234,COLUMNS('Costs Summary'!$B$212:I$234)+1,0)</f>
        <v>1810.9497961448819</v>
      </c>
      <c r="J42" s="424">
        <f>VLOOKUP($A$2,'Costs Summary'!$B$212:$R$234,COLUMNS('Costs Summary'!$B$212:J$234)+1,0)</f>
        <v>1664.7745897207349</v>
      </c>
      <c r="K42" s="424">
        <f>VLOOKUP($A$2,'Costs Summary'!$B$212:$R$234,COLUMNS('Costs Summary'!$B$212:K$234)+1,0)</f>
        <v>1518.5993832965878</v>
      </c>
      <c r="L42" s="424">
        <f>VLOOKUP($A$2,'Costs Summary'!$B$212:$R$234,COLUMNS('Costs Summary'!$B$212:L$234)+1,0)</f>
        <v>1372.4241768724405</v>
      </c>
      <c r="M42" s="424">
        <f>VLOOKUP($A$2,'Costs Summary'!$B$212:$R$234,COLUMNS('Costs Summary'!$B$212:M$234)+1,0)</f>
        <v>1226.2489704482937</v>
      </c>
      <c r="N42" s="424">
        <f>VLOOKUP($A$2,'Costs Summary'!$B$212:$R$234,COLUMNS('Costs Summary'!$B$212:N$234)+1,0)</f>
        <v>1080.0737640241466</v>
      </c>
      <c r="O42" s="424">
        <f>VLOOKUP($A$2,'Costs Summary'!$B$212:$R$234,COLUMNS('Costs Summary'!$B$212:O$234)+1,0)</f>
        <v>933.89855759999944</v>
      </c>
      <c r="P42" s="424">
        <f>VLOOKUP($A$2,'Costs Summary'!$B$212:$R$234,COLUMNS('Costs Summary'!$B$212:P$234)+1,0)</f>
        <v>933.8985576</v>
      </c>
      <c r="Q42" s="433">
        <f t="shared" si="12"/>
        <v>12497.992798276113</v>
      </c>
      <c r="R42" s="366"/>
      <c r="S42" s="357"/>
      <c r="T42" s="8"/>
      <c r="U42" s="8"/>
    </row>
    <row r="43" spans="1:21" s="7" customFormat="1" ht="17.25" customHeight="1" thickBot="1">
      <c r="A43" s="437" t="s">
        <v>338</v>
      </c>
      <c r="E43" s="368" t="s">
        <v>669</v>
      </c>
      <c r="F43" s="461">
        <f t="shared" ref="F43:P43" si="13">SUM(F39:F42)</f>
        <v>364365.15879999998</v>
      </c>
      <c r="G43" s="461">
        <f t="shared" si="13"/>
        <v>465191.11537283816</v>
      </c>
      <c r="H43" s="461">
        <f t="shared" si="13"/>
        <v>486922.26217337797</v>
      </c>
      <c r="I43" s="461">
        <f t="shared" si="13"/>
        <v>493950.74936361308</v>
      </c>
      <c r="J43" s="461">
        <f t="shared" si="13"/>
        <v>442567.4020146784</v>
      </c>
      <c r="K43" s="461">
        <f t="shared" si="13"/>
        <v>457691.96685687359</v>
      </c>
      <c r="L43" s="461">
        <f t="shared" si="13"/>
        <v>473348.2970568884</v>
      </c>
      <c r="M43" s="461">
        <f t="shared" si="13"/>
        <v>489554.92308593012</v>
      </c>
      <c r="N43" s="461">
        <f t="shared" si="13"/>
        <v>589398.85719321563</v>
      </c>
      <c r="O43" s="461">
        <f t="shared" si="13"/>
        <v>609691.4514966571</v>
      </c>
      <c r="P43" s="461">
        <f t="shared" si="13"/>
        <v>630842.87806628691</v>
      </c>
      <c r="Q43" s="462">
        <f t="shared" ref="Q43" si="14">SUM(Q39:Q42)</f>
        <v>5139159.9026803588</v>
      </c>
      <c r="R43" s="366"/>
      <c r="S43" s="357"/>
      <c r="T43" s="8"/>
      <c r="U43" s="8"/>
    </row>
    <row r="44" spans="1:21" s="7" customFormat="1" ht="17.25" customHeight="1" thickTop="1" thickBot="1">
      <c r="E44" s="368" t="s">
        <v>340</v>
      </c>
      <c r="F44" s="468">
        <f>F43/(VLOOKUP($A$2,'Asset Attributes'!$B$3:$D$25,3,0))</f>
        <v>13.586082956113202</v>
      </c>
      <c r="G44" s="468">
        <f>G43/(VLOOKUP($A$2,'Asset Attributes'!$B$3:$D$25,3,0))</f>
        <v>17.345580199591264</v>
      </c>
      <c r="H44" s="468">
        <f>H43/(VLOOKUP($A$2,'Asset Attributes'!$B$3:$D$25,3,0))</f>
        <v>18.155869427397665</v>
      </c>
      <c r="I44" s="468">
        <f>I43/(VLOOKUP($A$2,'Asset Attributes'!$B$3:$D$25,3,0))</f>
        <v>18.417940615370188</v>
      </c>
      <c r="J44" s="468">
        <f>J43/(VLOOKUP($A$2,'Asset Attributes'!$B$3:$D$25,3,0))</f>
        <v>16.502009844314792</v>
      </c>
      <c r="K44" s="468">
        <f>K43/(VLOOKUP($A$2,'Asset Attributes'!$B$3:$D$25,3,0))</f>
        <v>17.065959463696394</v>
      </c>
      <c r="L44" s="468">
        <f>L43/(VLOOKUP($A$2,'Asset Attributes'!$B$3:$D$25,3,0))</f>
        <v>17.649737016924135</v>
      </c>
      <c r="M44" s="468">
        <f>M43/(VLOOKUP($A$2,'Asset Attributes'!$B$3:$D$25,3,0))</f>
        <v>18.254033449641302</v>
      </c>
      <c r="N44" s="468">
        <f>N43/(VLOOKUP($A$2,'Asset Attributes'!$B$3:$D$25,3,0))</f>
        <v>21.976914023386989</v>
      </c>
      <c r="O44" s="468">
        <f>O43/(VLOOKUP($A$2,'Asset Attributes'!$B$3:$D$25,3,0))</f>
        <v>22.733563947076963</v>
      </c>
      <c r="P44" s="468">
        <f>P43/(VLOOKUP($A$2,'Asset Attributes'!$B$3:$D$25,3,0))</f>
        <v>23.522237147779069</v>
      </c>
      <c r="Q44" s="460">
        <f>Q43/(VLOOKUP($A$2,'Asset Attributes'!$B$3:$D$25,3,0))</f>
        <v>191.62384513517875</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-9517.6764832721674</v>
      </c>
      <c r="J46" s="461">
        <f t="shared" si="15"/>
        <v>-78026.800055168453</v>
      </c>
      <c r="K46" s="461">
        <f t="shared" si="15"/>
        <v>-80627.77184527996</v>
      </c>
      <c r="L46" s="461">
        <f t="shared" si="15"/>
        <v>-83317.587564523506</v>
      </c>
      <c r="M46" s="461">
        <f t="shared" si="15"/>
        <v>-86099.291047912731</v>
      </c>
      <c r="N46" s="461">
        <f t="shared" si="15"/>
        <v>-94197.355494156829</v>
      </c>
      <c r="O46" s="461">
        <f t="shared" si="15"/>
        <v>-97335.330326410476</v>
      </c>
      <c r="P46" s="461">
        <f t="shared" si="15"/>
        <v>-100580.31845155649</v>
      </c>
      <c r="Q46" s="462">
        <f>SUM(F46:P46)</f>
        <v>-629702.13126828067</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-0.35488558422283334</v>
      </c>
      <c r="J47" s="468">
        <f>J46/(VLOOKUP($A$2,'Asset Attributes'!$B$3:$D$25,3,0))</f>
        <v>-2.9093851394596535</v>
      </c>
      <c r="K47" s="468">
        <f>K46/(VLOOKUP($A$2,'Asset Attributes'!$B$3:$D$25,3,0))</f>
        <v>-3.0063675694574727</v>
      </c>
      <c r="L47" s="468">
        <f>L46/(VLOOKUP($A$2,'Asset Attributes'!$B$3:$D$25,3,0))</f>
        <v>-3.1066627228652637</v>
      </c>
      <c r="M47" s="468">
        <f>M46/(VLOOKUP($A$2,'Asset Attributes'!$B$3:$D$25,3,0))</f>
        <v>-3.2103840951531648</v>
      </c>
      <c r="N47" s="468">
        <f>N46/(VLOOKUP($A$2,'Asset Attributes'!$B$3:$D$25,3,0))</f>
        <v>-3.5123366081567853</v>
      </c>
      <c r="O47" s="468">
        <f>O46/(VLOOKUP($A$2,'Asset Attributes'!$B$3:$D$25,3,0))</f>
        <v>-3.6293422695257269</v>
      </c>
      <c r="P47" s="468">
        <f>P46/(VLOOKUP($A$2,'Asset Attributes'!$B$3:$D$25,3,0))</f>
        <v>-3.7503381353352658</v>
      </c>
      <c r="Q47" s="460">
        <f>Q46/(VLOOKUP($A$2,'Asset Attributes'!$B$3:$D$25,3,0))</f>
        <v>-23.479702124176168</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0</v>
      </c>
      <c r="H49" s="464">
        <f t="shared" si="16"/>
        <v>601335</v>
      </c>
      <c r="I49" s="464">
        <f t="shared" si="16"/>
        <v>1807053.4</v>
      </c>
      <c r="J49" s="464">
        <f t="shared" si="16"/>
        <v>0</v>
      </c>
      <c r="K49" s="464">
        <f t="shared" si="16"/>
        <v>0</v>
      </c>
      <c r="L49" s="464">
        <f t="shared" si="16"/>
        <v>0</v>
      </c>
      <c r="M49" s="464">
        <f t="shared" si="16"/>
        <v>483314</v>
      </c>
      <c r="N49" s="464">
        <f t="shared" si="16"/>
        <v>0</v>
      </c>
      <c r="O49" s="464">
        <f t="shared" si="16"/>
        <v>0</v>
      </c>
      <c r="P49" s="464">
        <f t="shared" si="16"/>
        <v>1876001</v>
      </c>
      <c r="Q49" s="465">
        <f>+SUM(F49:P49)</f>
        <v>4767703.4000000004</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-9517.6764832721674</v>
      </c>
      <c r="J50" s="466">
        <f t="shared" si="17"/>
        <v>-78026.800055168453</v>
      </c>
      <c r="K50" s="466">
        <f t="shared" si="17"/>
        <v>-80627.77184527996</v>
      </c>
      <c r="L50" s="466">
        <f t="shared" si="17"/>
        <v>-83317.587564523506</v>
      </c>
      <c r="M50" s="466">
        <f t="shared" si="17"/>
        <v>-86099.291047912731</v>
      </c>
      <c r="N50" s="466">
        <f t="shared" si="17"/>
        <v>-94197.355494156829</v>
      </c>
      <c r="O50" s="466">
        <f t="shared" si="17"/>
        <v>-97335.330326410476</v>
      </c>
      <c r="P50" s="466">
        <f t="shared" si="17"/>
        <v>-100580.31845155649</v>
      </c>
      <c r="Q50" s="467">
        <f>Q46</f>
        <v>-629702.13126828067</v>
      </c>
      <c r="R50" s="366"/>
      <c r="S50" s="357"/>
      <c r="T50" s="8"/>
      <c r="U50" s="8"/>
      <c r="V50" s="8"/>
      <c r="W50" s="8"/>
      <c r="X50" s="8"/>
    </row>
    <row r="51" spans="1:24" s="7" customFormat="1" ht="17.25" customHeight="1">
      <c r="A51" s="9"/>
      <c r="B51" s="368"/>
      <c r="C51" s="2"/>
      <c r="D51" s="2"/>
      <c r="E51" s="540" t="s">
        <v>670</v>
      </c>
      <c r="F51" s="541">
        <f>-1*F50</f>
        <v>0</v>
      </c>
      <c r="G51" s="541">
        <f t="shared" ref="G51:O51" si="18">-1*G50</f>
        <v>0</v>
      </c>
      <c r="H51" s="541">
        <f t="shared" si="18"/>
        <v>0</v>
      </c>
      <c r="I51" s="541">
        <f t="shared" si="18"/>
        <v>9517.6764832721674</v>
      </c>
      <c r="J51" s="541">
        <f t="shared" si="18"/>
        <v>78026.800055168453</v>
      </c>
      <c r="K51" s="541">
        <f t="shared" si="18"/>
        <v>80627.77184527996</v>
      </c>
      <c r="L51" s="541">
        <f t="shared" si="18"/>
        <v>83317.587564523506</v>
      </c>
      <c r="M51" s="541">
        <f t="shared" si="18"/>
        <v>86099.291047912731</v>
      </c>
      <c r="N51" s="541">
        <f t="shared" si="18"/>
        <v>94197.355494156829</v>
      </c>
      <c r="O51" s="541">
        <f t="shared" si="18"/>
        <v>97335.330326410476</v>
      </c>
      <c r="P51" s="541">
        <f>-1*P50</f>
        <v>100580.31845155649</v>
      </c>
      <c r="Q51" s="537">
        <f>Q50/((VLOOKUP($A$2,'Asset Attributes'!$B$3:$D$25,3,0))*10)</f>
        <v>-2.3479702124176169</v>
      </c>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620</v>
      </c>
      <c r="D55" s="10"/>
      <c r="E55" s="441" t="s">
        <v>205</v>
      </c>
      <c r="F55" s="200" t="s">
        <v>188</v>
      </c>
      <c r="G55" s="200" t="str">
        <f>G67</f>
        <v>CURRENT</v>
      </c>
      <c r="H55" s="200" t="str">
        <f t="shared" ref="H55:P55" si="19">H67</f>
        <v>FY25</v>
      </c>
      <c r="I55" s="200" t="str">
        <f t="shared" si="19"/>
        <v>FY26</v>
      </c>
      <c r="J55" s="200" t="str">
        <f t="shared" si="19"/>
        <v>FY27</v>
      </c>
      <c r="K55" s="200" t="str">
        <f t="shared" si="19"/>
        <v>FY28</v>
      </c>
      <c r="L55" s="200" t="str">
        <f t="shared" si="19"/>
        <v>FY29</v>
      </c>
      <c r="M55" s="200" t="str">
        <f t="shared" si="19"/>
        <v>FY30</v>
      </c>
      <c r="N55" s="200" t="str">
        <f t="shared" si="19"/>
        <v>FY31</v>
      </c>
      <c r="O55" s="200" t="str">
        <f t="shared" si="19"/>
        <v>FY32</v>
      </c>
      <c r="P55" s="200" t="str">
        <f t="shared" si="19"/>
        <v>FY33</v>
      </c>
      <c r="Q55" s="200" t="s">
        <v>84</v>
      </c>
      <c r="R55" s="992" t="s">
        <v>354</v>
      </c>
      <c r="S55" s="992"/>
      <c r="T55" s="992" t="s">
        <v>355</v>
      </c>
      <c r="U55" s="992"/>
      <c r="V55" s="992" t="s">
        <v>356</v>
      </c>
      <c r="W55" s="992"/>
      <c r="X55" s="8"/>
    </row>
    <row r="56" spans="1:24" ht="25.5" customHeight="1" thickTop="1">
      <c r="A56" s="438" t="s">
        <v>357</v>
      </c>
      <c r="B56" s="11"/>
      <c r="C56" s="442">
        <v>45016</v>
      </c>
      <c r="D56" s="159"/>
      <c r="E56" s="487" t="str">
        <f>A2</f>
        <v>347 Kent Street</v>
      </c>
      <c r="F56" s="440">
        <f t="shared" ref="F56:P56" si="20">F272</f>
        <v>5.1319155051013077</v>
      </c>
      <c r="G56" s="440">
        <f t="shared" si="20"/>
        <v>5.1319155051013077</v>
      </c>
      <c r="H56" s="440">
        <f t="shared" si="20"/>
        <v>5.1319155051013077</v>
      </c>
      <c r="I56" s="440">
        <f t="shared" si="20"/>
        <v>5.1439247095331417</v>
      </c>
      <c r="J56" s="440">
        <f t="shared" si="20"/>
        <v>5.3327172387454072</v>
      </c>
      <c r="K56" s="440">
        <f t="shared" si="20"/>
        <v>5.3327172387454072</v>
      </c>
      <c r="L56" s="440">
        <f t="shared" si="20"/>
        <v>5.3327172387454072</v>
      </c>
      <c r="M56" s="440">
        <f t="shared" si="20"/>
        <v>5.3327172387454072</v>
      </c>
      <c r="N56" s="440">
        <f t="shared" si="20"/>
        <v>5.3190057657589067</v>
      </c>
      <c r="O56" s="440">
        <f t="shared" si="20"/>
        <v>5.3190057657589067</v>
      </c>
      <c r="P56" s="440">
        <f t="shared" si="20"/>
        <v>5.3190057657589067</v>
      </c>
      <c r="Q56" s="470">
        <f>IF(E56="",0,P56-F56)</f>
        <v>0.18709026065759904</v>
      </c>
      <c r="R56" s="473" t="s">
        <v>358</v>
      </c>
      <c r="S56" s="478" t="s">
        <v>18</v>
      </c>
      <c r="T56" s="473" t="s">
        <v>358</v>
      </c>
      <c r="U56" s="478" t="s">
        <v>18</v>
      </c>
      <c r="V56" s="473" t="s">
        <v>358</v>
      </c>
      <c r="W56" s="479" t="str">
        <f>IF(W58=1,"Complete",IF(W60&lt;&gt;0,"Complete","Outstanding"))</f>
        <v>Complete</v>
      </c>
      <c r="X56" s="14"/>
    </row>
    <row r="57" spans="1:24" ht="25.5" customHeight="1">
      <c r="A57" s="438" t="s">
        <v>6</v>
      </c>
      <c r="C57" s="275" t="s">
        <v>118</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3414726.9</v>
      </c>
      <c r="T57" s="473" t="s">
        <v>669</v>
      </c>
      <c r="U57" s="479">
        <f>IF(U56="Underway","",S115)</f>
        <v>1352976.5</v>
      </c>
      <c r="V57" s="473" t="s">
        <v>361</v>
      </c>
      <c r="W57" s="478" t="s">
        <v>680</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87779.199321039254</v>
      </c>
      <c r="T58" s="473" t="s">
        <v>367</v>
      </c>
      <c r="U58" s="478">
        <f>IF(U56="Underway","",-1*S64)</f>
        <v>1.0000865949343662</v>
      </c>
      <c r="V58" s="473" t="s">
        <v>368</v>
      </c>
      <c r="W58" s="478">
        <v>1</v>
      </c>
      <c r="X58" s="14"/>
    </row>
    <row r="59" spans="1:24" ht="25.5" customHeight="1">
      <c r="A59" s="438" t="s">
        <v>369</v>
      </c>
      <c r="B59" s="14"/>
      <c r="C59" s="443">
        <v>2000</v>
      </c>
      <c r="D59" s="161"/>
      <c r="E59" s="488" t="str">
        <f>IF(VLOOKUP($A$2,'Asset Attributes'!B3:G25,5,0)&gt;0.001,"IGO","")</f>
        <v>IGO</v>
      </c>
      <c r="F59" s="439">
        <f>IF($E$59="IGO",SUMPRODUCT('Footprint Summary'!G153:G175,'Footprint Summary'!$C153:$C175,'Footprint Summary'!$E153:$E175)/SUMPRODUCT('Footprint Summary'!$C153:$C175,'Footprint Summary'!$E153:$E175),"")</f>
        <v>5.3773163530915085</v>
      </c>
      <c r="G59" s="439">
        <f>IF($E$59="IGO",SUMPRODUCT('Footprint Summary'!H153:H175,'Footprint Summary'!$C153:$C175,'Footprint Summary'!$E153:$E175)/SUMPRODUCT('Footprint Summary'!$C153:$C175,'Footprint Summary'!$E153:$E175),"")</f>
        <v>5.3897415030978291</v>
      </c>
      <c r="H59" s="439">
        <f>IF($E$59="IGO",SUMPRODUCT('Footprint Summary'!I153:I175,'Footprint Summary'!$C153:$C175,'Footprint Summary'!$E153:$E175)/SUMPRODUCT('Footprint Summary'!$C153:$C175,'Footprint Summary'!$E153:$E175),"")</f>
        <v>5.3989086851726711</v>
      </c>
      <c r="I59" s="439">
        <f>IF($E$59="IGO",SUMPRODUCT('Footprint Summary'!J153:J175,'Footprint Summary'!$C153:$C175,'Footprint Summary'!$E153:$E175)/SUMPRODUCT('Footprint Summary'!$C153:$C175,'Footprint Summary'!$E153:$E175),"")</f>
        <v>5.4212093179158183</v>
      </c>
      <c r="J59" s="439">
        <f>IF($E$59="IGO",SUMPRODUCT('Footprint Summary'!K153:K175,'Footprint Summary'!$C153:$C175,'Footprint Summary'!$E153:$E175)/SUMPRODUCT('Footprint Summary'!$C153:$C175,'Footprint Summary'!$E153:$E175),"")</f>
        <v>5.4717936463248549</v>
      </c>
      <c r="K59" s="439">
        <f>IF($E$59="IGO",SUMPRODUCT('Footprint Summary'!L153:L175,'Footprint Summary'!$C153:$C175,'Footprint Summary'!$E153:$E175)/SUMPRODUCT('Footprint Summary'!$C153:$C175,'Footprint Summary'!$E153:$E175),"")</f>
        <v>5.4936944742974081</v>
      </c>
      <c r="L59" s="439">
        <f>IF($E$59="IGO",SUMPRODUCT('Footprint Summary'!M153:M175,'Footprint Summary'!$C153:$C175,'Footprint Summary'!$E153:$E175)/SUMPRODUCT('Footprint Summary'!$C153:$C175,'Footprint Summary'!$E153:$E175),"")</f>
        <v>5.5096998051417883</v>
      </c>
      <c r="M59" s="439">
        <f>IF($E$59="IGO",SUMPRODUCT('Footprint Summary'!N153:N175,'Footprint Summary'!$C153:$C175,'Footprint Summary'!$E153:$E175)/SUMPRODUCT('Footprint Summary'!$C153:$C175,'Footprint Summary'!$E153:$E175),"")</f>
        <v>5.5139146402024437</v>
      </c>
      <c r="N59" s="439">
        <f>IF($E$59="IGO",SUMPRODUCT('Footprint Summary'!O153:O175,'Footprint Summary'!$C153:$C175,'Footprint Summary'!$E153:$E175)/SUMPRODUCT('Footprint Summary'!$C153:$C175,'Footprint Summary'!$E153:$E175),"")</f>
        <v>5.5351632663682917</v>
      </c>
      <c r="O59" s="439">
        <f>IF($E$59="IGO",SUMPRODUCT('Footprint Summary'!P153:P175,'Footprint Summary'!$C153:$C175,'Footprint Summary'!$E153:$E175)/SUMPRODUCT('Footprint Summary'!$C153:$C175,'Footprint Summary'!$E153:$E175),"")</f>
        <v>5.5351632663682917</v>
      </c>
      <c r="P59" s="439">
        <f>IF($E$59="IGO",SUMPRODUCT('Footprint Summary'!Q153:Q175,'Footprint Summary'!$C153:$C175,'Footprint Summary'!$E153:$E175)/SUMPRODUCT('Footprint Summary'!$C153:$C175,'Footprint Summary'!$E153:$E175),"")</f>
        <v>5.5316015265321372</v>
      </c>
      <c r="Q59" s="470">
        <f>IF(E59="","",P59-G59)</f>
        <v>0.14186002343430815</v>
      </c>
      <c r="R59" s="473" t="s">
        <v>370</v>
      </c>
      <c r="S59" s="538">
        <f>V115</f>
        <v>2.4548283021979166E-2</v>
      </c>
      <c r="T59" s="473" t="s">
        <v>371</v>
      </c>
      <c r="U59" s="483" t="e">
        <f ca="1">IF(U56="Underway","",_xlfn.MAXIFS(E69:E88,S69:S88,"Yes"))</f>
        <v>#NAME?</v>
      </c>
      <c r="V59" s="482" t="s">
        <v>372</v>
      </c>
      <c r="W59" s="479">
        <f>T115</f>
        <v>0</v>
      </c>
      <c r="X59" s="14"/>
    </row>
    <row r="60" spans="1:24" ht="25.5" customHeight="1">
      <c r="A60" s="438" t="s">
        <v>373</v>
      </c>
      <c r="B60" s="14"/>
      <c r="C60" s="275">
        <v>19999</v>
      </c>
      <c r="D60" s="160"/>
      <c r="Q60" s="10"/>
      <c r="R60" s="473" t="s">
        <v>374</v>
      </c>
      <c r="S60" s="481">
        <f>IF(S56="Underway","",U115)</f>
        <v>0.66963880218742822</v>
      </c>
      <c r="T60" s="10"/>
      <c r="U60" s="10"/>
      <c r="V60" s="473" t="s">
        <v>375</v>
      </c>
      <c r="W60" s="483" t="str">
        <f>IF(IF(W58=1,"Complete",_xlfn.MAXIFS(E69:E114,T69:T114,"Yes"))=0,"",IF(W58=1,"Complete",_xlfn.MAXIFS(E69:E114,T69:T114,"Yes")))</f>
        <v>Complete</v>
      </c>
      <c r="X60" s="14"/>
    </row>
    <row r="61" spans="1:24" ht="25.5" customHeight="1">
      <c r="A61" s="438" t="s">
        <v>376</v>
      </c>
      <c r="B61" s="14"/>
      <c r="C61" s="444">
        <v>51.2</v>
      </c>
      <c r="D61" s="162"/>
      <c r="H61" s="13"/>
      <c r="J61" s="14"/>
      <c r="K61" s="14"/>
      <c r="L61" s="14"/>
      <c r="M61" s="10"/>
      <c r="N61" s="10"/>
      <c r="O61" s="10"/>
      <c r="P61" s="10"/>
      <c r="Q61" s="10"/>
      <c r="R61" s="482" t="s">
        <v>377</v>
      </c>
      <c r="S61" s="481">
        <f>P272</f>
        <v>5.3190057657589067</v>
      </c>
      <c r="T61" s="10"/>
      <c r="U61" s="10"/>
      <c r="V61" s="473" t="s">
        <v>378</v>
      </c>
      <c r="W61" s="478">
        <v>1</v>
      </c>
      <c r="X61" s="14"/>
    </row>
    <row r="62" spans="1:24" ht="25.5" customHeight="1">
      <c r="A62" s="438" t="s">
        <v>379</v>
      </c>
      <c r="B62" s="14"/>
      <c r="C62" s="275">
        <v>1483.8040000000001</v>
      </c>
      <c r="H62" s="13"/>
      <c r="J62" s="14"/>
      <c r="K62" s="14"/>
      <c r="L62" s="347"/>
      <c r="M62" s="10"/>
      <c r="N62" s="10"/>
      <c r="O62" s="10"/>
      <c r="P62" s="10"/>
      <c r="Q62" s="10"/>
      <c r="R62" s="482" t="s">
        <v>380</v>
      </c>
      <c r="S62" s="481">
        <f>Q272</f>
        <v>5.5496417176584805</v>
      </c>
      <c r="T62" s="10"/>
      <c r="U62" s="10"/>
      <c r="V62" s="10"/>
      <c r="W62" s="14"/>
      <c r="X62" s="14"/>
    </row>
    <row r="63" spans="1:24" ht="25.5" customHeight="1">
      <c r="A63" s="438" t="s">
        <v>382</v>
      </c>
      <c r="B63" s="14"/>
      <c r="C63" s="275">
        <v>1177.8979999999999</v>
      </c>
      <c r="H63" s="13"/>
      <c r="J63" s="14"/>
      <c r="K63" s="14"/>
      <c r="L63" s="10"/>
      <c r="M63" s="10"/>
      <c r="N63" s="10"/>
      <c r="O63" s="10"/>
      <c r="P63" s="10"/>
      <c r="Q63" s="10"/>
      <c r="R63" s="476" t="s">
        <v>383</v>
      </c>
      <c r="S63" s="478">
        <f>C115/C62</f>
        <v>-0.26283794894743506</v>
      </c>
      <c r="T63" s="10"/>
      <c r="U63" s="10"/>
      <c r="V63" s="10"/>
      <c r="W63" s="14"/>
      <c r="X63" s="14"/>
    </row>
    <row r="64" spans="1:24" ht="25.5" customHeight="1">
      <c r="A64" s="446" t="s">
        <v>385</v>
      </c>
      <c r="B64" s="447"/>
      <c r="C64" s="445">
        <v>65</v>
      </c>
      <c r="D64" s="495">
        <f>(AJ215-C64)/C64</f>
        <v>-0.10015085568586397</v>
      </c>
      <c r="H64" s="13"/>
      <c r="J64" s="14"/>
      <c r="K64" s="14"/>
      <c r="L64" s="10"/>
      <c r="M64" s="10"/>
      <c r="N64" s="10"/>
      <c r="O64" s="10"/>
      <c r="P64" s="10"/>
      <c r="Q64" s="10"/>
      <c r="R64" s="476" t="s">
        <v>386</v>
      </c>
      <c r="S64" s="478">
        <f>D115/C63</f>
        <v>-1.0000865949343662</v>
      </c>
      <c r="T64" s="10"/>
      <c r="U64" s="14"/>
      <c r="V64" s="10"/>
      <c r="W64" s="14"/>
      <c r="X64" s="14"/>
    </row>
    <row r="65" spans="1:24" ht="25.5" customHeight="1">
      <c r="B65" s="487" t="s">
        <v>387</v>
      </c>
      <c r="C65" s="489">
        <f>Z216</f>
        <v>5.1319155051013077</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1">DATE(YEAR(H66)+1,MONTH(H66),DAY(H66))</f>
        <v>46203</v>
      </c>
      <c r="J66" s="416">
        <f t="shared" si="21"/>
        <v>46568</v>
      </c>
      <c r="K66" s="416">
        <f t="shared" si="21"/>
        <v>46934</v>
      </c>
      <c r="L66" s="416">
        <f t="shared" si="21"/>
        <v>47299</v>
      </c>
      <c r="M66" s="416">
        <f t="shared" si="21"/>
        <v>47664</v>
      </c>
      <c r="N66" s="416">
        <f t="shared" si="21"/>
        <v>48029</v>
      </c>
      <c r="O66" s="416">
        <f t="shared" si="21"/>
        <v>48395</v>
      </c>
      <c r="P66" s="416">
        <f t="shared" si="21"/>
        <v>48760</v>
      </c>
      <c r="Q66" s="416">
        <f t="shared" si="21"/>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770</v>
      </c>
      <c r="R67" s="200" t="s">
        <v>397</v>
      </c>
      <c r="S67" s="200" t="s">
        <v>328</v>
      </c>
      <c r="T67" s="200" t="s">
        <v>771</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30.5" thickTop="1">
      <c r="A69" s="373"/>
      <c r="B69" s="374" t="s">
        <v>621</v>
      </c>
      <c r="C69" s="375"/>
      <c r="D69" s="376"/>
      <c r="E69" s="377">
        <v>45016</v>
      </c>
      <c r="F69" s="378"/>
      <c r="G69" s="403">
        <f>IF(E69&lt;G66,F69,0)</f>
        <v>0</v>
      </c>
      <c r="H69" s="404">
        <f t="shared" ref="H69:Q78" si="22">IF($E69&gt;H$66,0,IF($E69&gt;H$66-365,$F69,0))</f>
        <v>0</v>
      </c>
      <c r="I69" s="404">
        <f t="shared" si="22"/>
        <v>0</v>
      </c>
      <c r="J69" s="404">
        <f t="shared" si="22"/>
        <v>0</v>
      </c>
      <c r="K69" s="404">
        <f t="shared" si="22"/>
        <v>0</v>
      </c>
      <c r="L69" s="404">
        <f t="shared" si="22"/>
        <v>0</v>
      </c>
      <c r="M69" s="404">
        <f t="shared" si="22"/>
        <v>0</v>
      </c>
      <c r="N69" s="404">
        <f t="shared" si="22"/>
        <v>0</v>
      </c>
      <c r="O69" s="404">
        <f t="shared" si="22"/>
        <v>0</v>
      </c>
      <c r="P69" s="404">
        <f t="shared" si="22"/>
        <v>0</v>
      </c>
      <c r="Q69" s="635">
        <f t="shared" si="22"/>
        <v>0</v>
      </c>
      <c r="R69" s="379" t="s">
        <v>32</v>
      </c>
      <c r="S69" s="379"/>
      <c r="T69" s="380"/>
      <c r="U69" s="411" t="str">
        <f>IF(-0.75*((C69/(VLOOKUP($A$2,Assumptions!$B$124:$G$147,2,0)))+D69/(VLOOKUP($A$2,Assumptions!$B$124:$G$147,5,0)))=0,"",-0.75*((C69/(VLOOKUP($A$2,Assumptions!$B$124:$G$147,2,0)))+D69/(VLOOKUP($A$2,Assumptions!$B$124:$G$147,5,0))))</f>
        <v/>
      </c>
      <c r="V69" s="412" t="str">
        <f t="shared" ref="V69:V88" si="23">IF(ISERROR(((-1*C69*1000*$D$6)+(-1*D69*$D$8))/F69),"",((-1*C69*1000*$D$6)+(-1*D69*$D$8))/F69)</f>
        <v/>
      </c>
      <c r="W69" s="450"/>
      <c r="X69" s="506"/>
    </row>
    <row r="70" spans="1:24" ht="15">
      <c r="A70" s="373"/>
      <c r="B70" s="374" t="s">
        <v>622</v>
      </c>
      <c r="C70" s="381"/>
      <c r="D70" s="381"/>
      <c r="E70" s="377">
        <v>45016</v>
      </c>
      <c r="F70" s="378"/>
      <c r="G70" s="403">
        <f t="shared" ref="G70:G84" si="24">IF($E70&lt;G$66,$F70,0)</f>
        <v>0</v>
      </c>
      <c r="H70" s="404">
        <f t="shared" si="22"/>
        <v>0</v>
      </c>
      <c r="I70" s="404">
        <f t="shared" si="22"/>
        <v>0</v>
      </c>
      <c r="J70" s="405">
        <f t="shared" si="22"/>
        <v>0</v>
      </c>
      <c r="K70" s="405">
        <f t="shared" si="22"/>
        <v>0</v>
      </c>
      <c r="L70" s="405">
        <f t="shared" si="22"/>
        <v>0</v>
      </c>
      <c r="M70" s="405">
        <f t="shared" si="22"/>
        <v>0</v>
      </c>
      <c r="N70" s="405">
        <f t="shared" si="22"/>
        <v>0</v>
      </c>
      <c r="O70" s="405">
        <f t="shared" si="22"/>
        <v>0</v>
      </c>
      <c r="P70" s="406">
        <f t="shared" si="22"/>
        <v>0</v>
      </c>
      <c r="Q70" s="635">
        <f t="shared" si="22"/>
        <v>0</v>
      </c>
      <c r="R70" s="379" t="s">
        <v>32</v>
      </c>
      <c r="S70" s="379"/>
      <c r="T70" s="382"/>
      <c r="U70" s="413" t="str">
        <f>IF(-0.75*((C70/(VLOOKUP($A$2,Assumptions!$B$124:$G$147,2,0)))+D70/(VLOOKUP($A$2,Assumptions!$B$124:$G$147,5,0)))=0,"",-0.75*((C70/(VLOOKUP($A$2,Assumptions!$B$124:$G$147,2,0)))+D70/(VLOOKUP($A$2,Assumptions!$B$124:$G$147,5,0))))</f>
        <v/>
      </c>
      <c r="V70" s="414" t="str">
        <f t="shared" si="23"/>
        <v/>
      </c>
      <c r="W70" s="451"/>
      <c r="X70" s="506"/>
    </row>
    <row r="71" spans="1:24" ht="30">
      <c r="A71" s="373" t="s">
        <v>772</v>
      </c>
      <c r="B71" s="457" t="s">
        <v>623</v>
      </c>
      <c r="C71" s="383">
        <v>-20</v>
      </c>
      <c r="D71" s="383"/>
      <c r="E71" s="377">
        <v>45747</v>
      </c>
      <c r="F71" s="384">
        <v>52039</v>
      </c>
      <c r="G71" s="403">
        <f t="shared" si="24"/>
        <v>0</v>
      </c>
      <c r="H71" s="404">
        <f t="shared" si="22"/>
        <v>52039</v>
      </c>
      <c r="I71" s="405">
        <f t="shared" si="22"/>
        <v>0</v>
      </c>
      <c r="J71" s="405">
        <f t="shared" si="22"/>
        <v>0</v>
      </c>
      <c r="K71" s="405">
        <f t="shared" si="22"/>
        <v>0</v>
      </c>
      <c r="L71" s="405">
        <f t="shared" si="22"/>
        <v>0</v>
      </c>
      <c r="M71" s="405">
        <f t="shared" si="22"/>
        <v>0</v>
      </c>
      <c r="N71" s="405">
        <f t="shared" si="22"/>
        <v>0</v>
      </c>
      <c r="O71" s="405">
        <f t="shared" si="22"/>
        <v>0</v>
      </c>
      <c r="P71" s="406">
        <f t="shared" si="22"/>
        <v>0</v>
      </c>
      <c r="Q71" s="635">
        <f t="shared" si="22"/>
        <v>0</v>
      </c>
      <c r="R71" s="379" t="s">
        <v>32</v>
      </c>
      <c r="S71" s="379" t="s">
        <v>32</v>
      </c>
      <c r="T71" s="382"/>
      <c r="U71" s="413">
        <f>IF(-0.75*((C71/(VLOOKUP($A$2,Assumptions!$B$124:$G$147,2,0)))+D71/(VLOOKUP($A$2,Assumptions!$B$124:$G$147,5,0)))=0,"",-0.75*((C71/(VLOOKUP($A$2,Assumptions!$B$124:$G$147,2,0)))+D71/(VLOOKUP($A$2,Assumptions!$B$124:$G$147,5,0))))</f>
        <v>1.95822454308094E-2</v>
      </c>
      <c r="V71" s="414">
        <f t="shared" si="23"/>
        <v>8.6728634275732797E-2</v>
      </c>
      <c r="W71" s="451"/>
      <c r="X71" s="506"/>
    </row>
    <row r="72" spans="1:24" ht="15">
      <c r="A72" s="373"/>
      <c r="B72" s="457"/>
      <c r="C72" s="375"/>
      <c r="D72" s="375"/>
      <c r="E72" s="377"/>
      <c r="F72" s="378"/>
      <c r="G72" s="403">
        <f t="shared" si="24"/>
        <v>0</v>
      </c>
      <c r="H72" s="404">
        <f t="shared" si="22"/>
        <v>0</v>
      </c>
      <c r="I72" s="405">
        <f t="shared" si="22"/>
        <v>0</v>
      </c>
      <c r="J72" s="405">
        <f t="shared" si="22"/>
        <v>0</v>
      </c>
      <c r="K72" s="405">
        <f t="shared" si="22"/>
        <v>0</v>
      </c>
      <c r="L72" s="405">
        <f t="shared" si="22"/>
        <v>0</v>
      </c>
      <c r="M72" s="405">
        <f t="shared" si="22"/>
        <v>0</v>
      </c>
      <c r="N72" s="405">
        <f t="shared" si="22"/>
        <v>0</v>
      </c>
      <c r="O72" s="405">
        <f t="shared" si="22"/>
        <v>0</v>
      </c>
      <c r="P72" s="406">
        <f t="shared" si="22"/>
        <v>0</v>
      </c>
      <c r="Q72" s="635">
        <f t="shared" si="22"/>
        <v>0</v>
      </c>
      <c r="R72" s="379" t="s">
        <v>32</v>
      </c>
      <c r="S72" s="379"/>
      <c r="T72" s="382"/>
      <c r="U72" s="413" t="str">
        <f>IF(-0.75*((C72/(VLOOKUP($A$2,Assumptions!$B$124:$G$147,2,0)))+D72/(VLOOKUP($A$2,Assumptions!$B$124:$G$147,5,0)))=0,"",-0.75*((C72/(VLOOKUP($A$2,Assumptions!$B$124:$G$147,2,0)))+D72/(VLOOKUP($A$2,Assumptions!$B$124:$G$147,5,0))))</f>
        <v/>
      </c>
      <c r="V72" s="414" t="str">
        <f t="shared" si="23"/>
        <v/>
      </c>
      <c r="W72" s="451"/>
      <c r="X72" s="506"/>
    </row>
    <row r="73" spans="1:24" ht="45">
      <c r="A73" s="373"/>
      <c r="B73" s="457" t="s">
        <v>624</v>
      </c>
      <c r="C73" s="381">
        <v>40</v>
      </c>
      <c r="D73" s="381">
        <f>-555*($D$118/$D$117)</f>
        <v>-526.40096618357484</v>
      </c>
      <c r="E73" s="377">
        <v>45747</v>
      </c>
      <c r="F73" s="378">
        <v>549296</v>
      </c>
      <c r="G73" s="403">
        <f t="shared" si="24"/>
        <v>0</v>
      </c>
      <c r="H73" s="404">
        <f t="shared" si="22"/>
        <v>549296</v>
      </c>
      <c r="I73" s="405">
        <f t="shared" si="22"/>
        <v>0</v>
      </c>
      <c r="J73" s="405">
        <f t="shared" si="22"/>
        <v>0</v>
      </c>
      <c r="K73" s="405">
        <f t="shared" si="22"/>
        <v>0</v>
      </c>
      <c r="L73" s="405">
        <f t="shared" si="22"/>
        <v>0</v>
      </c>
      <c r="M73" s="405">
        <f t="shared" si="22"/>
        <v>0</v>
      </c>
      <c r="N73" s="405">
        <f t="shared" si="22"/>
        <v>0</v>
      </c>
      <c r="O73" s="405">
        <f t="shared" si="22"/>
        <v>0</v>
      </c>
      <c r="P73" s="406">
        <f t="shared" si="22"/>
        <v>0</v>
      </c>
      <c r="Q73" s="635">
        <f t="shared" si="22"/>
        <v>0</v>
      </c>
      <c r="R73" s="379"/>
      <c r="S73" s="379" t="s">
        <v>32</v>
      </c>
      <c r="T73" s="382"/>
      <c r="U73" s="413">
        <f>IF(-0.75*((C73/(VLOOKUP($A$2,Assumptions!$B$124:$G$147,2,0)))+D73/(VLOOKUP($A$2,Assumptions!$B$124:$G$147,5,0)))=0,"",-0.75*((C73/(VLOOKUP($A$2,Assumptions!$B$124:$G$147,2,0)))+D73/(VLOOKUP($A$2,Assumptions!$B$124:$G$147,5,0))))</f>
        <v>8.9435093710915764E-2</v>
      </c>
      <c r="V73" s="414">
        <f t="shared" si="23"/>
        <v>7.1834909096165989E-3</v>
      </c>
      <c r="W73" s="451"/>
      <c r="X73" s="506" t="s">
        <v>32</v>
      </c>
    </row>
    <row r="74" spans="1:24" ht="45">
      <c r="A74" s="373" t="s">
        <v>773</v>
      </c>
      <c r="B74" s="457" t="s">
        <v>625</v>
      </c>
      <c r="C74" s="375">
        <v>-160</v>
      </c>
      <c r="D74" s="375"/>
      <c r="E74" s="377">
        <v>46112</v>
      </c>
      <c r="F74" s="378">
        <v>1115400</v>
      </c>
      <c r="G74" s="403">
        <f t="shared" si="24"/>
        <v>0</v>
      </c>
      <c r="H74" s="404">
        <f t="shared" si="22"/>
        <v>0</v>
      </c>
      <c r="I74" s="405">
        <f t="shared" si="22"/>
        <v>1115400</v>
      </c>
      <c r="J74" s="405">
        <f t="shared" si="22"/>
        <v>0</v>
      </c>
      <c r="K74" s="405">
        <f t="shared" si="22"/>
        <v>0</v>
      </c>
      <c r="L74" s="405">
        <f t="shared" si="22"/>
        <v>0</v>
      </c>
      <c r="M74" s="405">
        <f t="shared" si="22"/>
        <v>0</v>
      </c>
      <c r="N74" s="405">
        <f t="shared" si="22"/>
        <v>0</v>
      </c>
      <c r="O74" s="405">
        <f t="shared" si="22"/>
        <v>0</v>
      </c>
      <c r="P74" s="406">
        <f t="shared" si="22"/>
        <v>0</v>
      </c>
      <c r="Q74" s="635">
        <f t="shared" si="22"/>
        <v>0</v>
      </c>
      <c r="R74" s="379" t="s">
        <v>32</v>
      </c>
      <c r="S74" s="379"/>
      <c r="T74" s="382"/>
      <c r="U74" s="413">
        <f>IF(-0.75*((C74/(VLOOKUP($A$2,Assumptions!$B$124:$G$147,2,0)))+D74/(VLOOKUP($A$2,Assumptions!$B$124:$G$147,5,0)))=0,"",-0.75*((C74/(VLOOKUP($A$2,Assumptions!$B$124:$G$147,2,0)))+D74/(VLOOKUP($A$2,Assumptions!$B$124:$G$147,5,0))))</f>
        <v>0.1566579634464752</v>
      </c>
      <c r="V74" s="414">
        <f t="shared" si="23"/>
        <v>3.2370603543660455E-2</v>
      </c>
      <c r="W74" s="451"/>
      <c r="X74" s="506" t="s">
        <v>32</v>
      </c>
    </row>
    <row r="75" spans="1:24" ht="30">
      <c r="A75" s="373" t="s">
        <v>774</v>
      </c>
      <c r="B75" s="457" t="s">
        <v>626</v>
      </c>
      <c r="C75" s="375">
        <v>-40</v>
      </c>
      <c r="D75" s="375"/>
      <c r="E75" s="377">
        <v>46112</v>
      </c>
      <c r="F75" s="378">
        <v>366614</v>
      </c>
      <c r="G75" s="403">
        <f t="shared" si="24"/>
        <v>0</v>
      </c>
      <c r="H75" s="404">
        <f t="shared" si="22"/>
        <v>0</v>
      </c>
      <c r="I75" s="405">
        <f t="shared" si="22"/>
        <v>366614</v>
      </c>
      <c r="J75" s="405">
        <f t="shared" si="22"/>
        <v>0</v>
      </c>
      <c r="K75" s="405">
        <f t="shared" si="22"/>
        <v>0</v>
      </c>
      <c r="L75" s="405">
        <f t="shared" si="22"/>
        <v>0</v>
      </c>
      <c r="M75" s="405">
        <f t="shared" si="22"/>
        <v>0</v>
      </c>
      <c r="N75" s="405">
        <f t="shared" si="22"/>
        <v>0</v>
      </c>
      <c r="O75" s="405">
        <f t="shared" si="22"/>
        <v>0</v>
      </c>
      <c r="P75" s="406">
        <f t="shared" si="22"/>
        <v>0</v>
      </c>
      <c r="Q75" s="635">
        <f t="shared" si="22"/>
        <v>0</v>
      </c>
      <c r="R75" s="379" t="s">
        <v>32</v>
      </c>
      <c r="S75" s="379"/>
      <c r="T75" s="382"/>
      <c r="U75" s="413">
        <f>IF(-0.75*((C75/(VLOOKUP($A$2,Assumptions!$B$124:$G$147,2,0)))+D75/(VLOOKUP($A$2,Assumptions!$B$124:$G$147,5,0)))=0,"",-0.75*((C75/(VLOOKUP($A$2,Assumptions!$B$124:$G$147,2,0)))+D75/(VLOOKUP($A$2,Assumptions!$B$124:$G$147,5,0))))</f>
        <v>3.91644908616188E-2</v>
      </c>
      <c r="V75" s="414">
        <f t="shared" si="23"/>
        <v>2.4621380520519449E-2</v>
      </c>
      <c r="W75" s="451"/>
      <c r="X75" s="506" t="s">
        <v>32</v>
      </c>
    </row>
    <row r="76" spans="1:24" ht="15">
      <c r="A76" s="373" t="s">
        <v>775</v>
      </c>
      <c r="B76" s="457" t="s">
        <v>627</v>
      </c>
      <c r="C76" s="375">
        <v>0</v>
      </c>
      <c r="D76" s="375"/>
      <c r="E76" s="377">
        <v>46112</v>
      </c>
      <c r="F76" s="378">
        <v>104014</v>
      </c>
      <c r="G76" s="403">
        <f t="shared" si="24"/>
        <v>0</v>
      </c>
      <c r="H76" s="404">
        <f t="shared" si="22"/>
        <v>0</v>
      </c>
      <c r="I76" s="405">
        <f t="shared" si="22"/>
        <v>104014</v>
      </c>
      <c r="J76" s="405">
        <f t="shared" si="22"/>
        <v>0</v>
      </c>
      <c r="K76" s="405">
        <f t="shared" si="22"/>
        <v>0</v>
      </c>
      <c r="L76" s="405">
        <f t="shared" si="22"/>
        <v>0</v>
      </c>
      <c r="M76" s="405">
        <f t="shared" si="22"/>
        <v>0</v>
      </c>
      <c r="N76" s="405">
        <f t="shared" si="22"/>
        <v>0</v>
      </c>
      <c r="O76" s="405">
        <f t="shared" si="22"/>
        <v>0</v>
      </c>
      <c r="P76" s="406">
        <f t="shared" si="22"/>
        <v>0</v>
      </c>
      <c r="Q76" s="635">
        <f t="shared" si="22"/>
        <v>0</v>
      </c>
      <c r="R76" s="379" t="s">
        <v>32</v>
      </c>
      <c r="S76" s="379"/>
      <c r="T76" s="382"/>
      <c r="U76" s="413" t="str">
        <f>IF(-0.75*((C76/(VLOOKUP($A$2,Assumptions!$B$124:$G$147,2,0)))+D76/(VLOOKUP($A$2,Assumptions!$B$124:$G$147,5,0)))=0,"",-0.75*((C76/(VLOOKUP($A$2,Assumptions!$B$124:$G$147,2,0)))+D76/(VLOOKUP($A$2,Assumptions!$B$124:$G$147,5,0))))</f>
        <v/>
      </c>
      <c r="V76" s="414">
        <f t="shared" si="23"/>
        <v>0</v>
      </c>
      <c r="W76" s="451"/>
      <c r="X76" s="506" t="s">
        <v>32</v>
      </c>
    </row>
    <row r="77" spans="1:24" ht="30">
      <c r="A77" s="562" t="s">
        <v>776</v>
      </c>
      <c r="B77" s="457" t="s">
        <v>628</v>
      </c>
      <c r="C77" s="375">
        <v>-10</v>
      </c>
      <c r="D77" s="375"/>
      <c r="E77" s="377">
        <v>46112</v>
      </c>
      <c r="F77" s="378">
        <v>117014.39999999999</v>
      </c>
      <c r="G77" s="403">
        <f t="shared" si="24"/>
        <v>0</v>
      </c>
      <c r="H77" s="404">
        <f t="shared" si="22"/>
        <v>0</v>
      </c>
      <c r="I77" s="405">
        <f t="shared" si="22"/>
        <v>117014.39999999999</v>
      </c>
      <c r="J77" s="405">
        <f t="shared" si="22"/>
        <v>0</v>
      </c>
      <c r="K77" s="405">
        <f t="shared" si="22"/>
        <v>0</v>
      </c>
      <c r="L77" s="405">
        <f t="shared" si="22"/>
        <v>0</v>
      </c>
      <c r="M77" s="405">
        <f t="shared" si="22"/>
        <v>0</v>
      </c>
      <c r="N77" s="405">
        <f t="shared" si="22"/>
        <v>0</v>
      </c>
      <c r="O77" s="405">
        <f t="shared" si="22"/>
        <v>0</v>
      </c>
      <c r="P77" s="406">
        <f t="shared" si="22"/>
        <v>0</v>
      </c>
      <c r="Q77" s="635">
        <f t="shared" si="22"/>
        <v>0</v>
      </c>
      <c r="R77" s="379" t="s">
        <v>32</v>
      </c>
      <c r="S77" s="379"/>
      <c r="T77" s="385"/>
      <c r="U77" s="413">
        <f>IF(-0.75*((C77/(VLOOKUP($A$2,Assumptions!$B$124:$G$147,2,0)))+D77/(VLOOKUP($A$2,Assumptions!$B$124:$G$147,5,0)))=0,"",-0.75*((C77/(VLOOKUP($A$2,Assumptions!$B$124:$G$147,2,0)))+D77/(VLOOKUP($A$2,Assumptions!$B$124:$G$147,5,0))))</f>
        <v>9.7911227154047001E-3</v>
      </c>
      <c r="V77" s="414">
        <f t="shared" si="23"/>
        <v>1.9285111059300645E-2</v>
      </c>
      <c r="W77" s="451"/>
      <c r="X77" s="506" t="s">
        <v>32</v>
      </c>
    </row>
    <row r="78" spans="1:24" ht="15">
      <c r="A78" s="373" t="s">
        <v>777</v>
      </c>
      <c r="B78" s="457" t="s">
        <v>629</v>
      </c>
      <c r="C78" s="375"/>
      <c r="D78" s="375"/>
      <c r="E78" s="377">
        <v>46112</v>
      </c>
      <c r="F78" s="378">
        <v>104011</v>
      </c>
      <c r="G78" s="403">
        <f t="shared" si="24"/>
        <v>0</v>
      </c>
      <c r="H78" s="404">
        <f t="shared" si="22"/>
        <v>0</v>
      </c>
      <c r="I78" s="405">
        <f t="shared" si="22"/>
        <v>104011</v>
      </c>
      <c r="J78" s="405">
        <f t="shared" si="22"/>
        <v>0</v>
      </c>
      <c r="K78" s="405">
        <f t="shared" si="22"/>
        <v>0</v>
      </c>
      <c r="L78" s="405">
        <f t="shared" si="22"/>
        <v>0</v>
      </c>
      <c r="M78" s="405">
        <f t="shared" si="22"/>
        <v>0</v>
      </c>
      <c r="N78" s="405">
        <f t="shared" si="22"/>
        <v>0</v>
      </c>
      <c r="O78" s="405">
        <f t="shared" si="22"/>
        <v>0</v>
      </c>
      <c r="P78" s="406">
        <f t="shared" si="22"/>
        <v>0</v>
      </c>
      <c r="Q78" s="635">
        <f t="shared" si="22"/>
        <v>0</v>
      </c>
      <c r="R78" s="379" t="s">
        <v>32</v>
      </c>
      <c r="S78" s="386"/>
      <c r="T78" s="387"/>
      <c r="U78" s="413" t="str">
        <f>IF(-0.75*((C78/(VLOOKUP($A$2,Assumptions!$B$124:$G$147,2,0)))+D78/(VLOOKUP($A$2,Assumptions!$B$124:$G$147,5,0)))=0,"",-0.75*((C78/(VLOOKUP($A$2,Assumptions!$B$124:$G$147,2,0)))+D78/(VLOOKUP($A$2,Assumptions!$B$124:$G$147,5,0))))</f>
        <v/>
      </c>
      <c r="V78" s="414">
        <f t="shared" si="23"/>
        <v>0</v>
      </c>
      <c r="W78" s="451"/>
      <c r="X78" s="506" t="s">
        <v>32</v>
      </c>
    </row>
    <row r="79" spans="1:24" ht="15">
      <c r="A79" s="373" t="s">
        <v>778</v>
      </c>
      <c r="B79" s="457" t="s">
        <v>630</v>
      </c>
      <c r="C79" s="375"/>
      <c r="D79" s="375"/>
      <c r="E79" s="377">
        <v>47573</v>
      </c>
      <c r="F79" s="378">
        <v>52032</v>
      </c>
      <c r="G79" s="403">
        <f t="shared" si="24"/>
        <v>0</v>
      </c>
      <c r="H79" s="404">
        <f t="shared" ref="H79:Q84" si="25">IF($E79&gt;H$66,0,IF($E79&gt;H$66-365,$F79,0))</f>
        <v>0</v>
      </c>
      <c r="I79" s="405">
        <f t="shared" si="25"/>
        <v>0</v>
      </c>
      <c r="J79" s="405">
        <f t="shared" si="25"/>
        <v>0</v>
      </c>
      <c r="K79" s="405">
        <f t="shared" si="25"/>
        <v>0</v>
      </c>
      <c r="L79" s="405">
        <f t="shared" si="25"/>
        <v>0</v>
      </c>
      <c r="M79" s="405">
        <f t="shared" si="25"/>
        <v>52032</v>
      </c>
      <c r="N79" s="405">
        <f t="shared" si="25"/>
        <v>0</v>
      </c>
      <c r="O79" s="405">
        <f t="shared" si="25"/>
        <v>0</v>
      </c>
      <c r="P79" s="406">
        <f t="shared" si="25"/>
        <v>0</v>
      </c>
      <c r="Q79" s="635">
        <f t="shared" si="25"/>
        <v>0</v>
      </c>
      <c r="R79" s="379" t="s">
        <v>32</v>
      </c>
      <c r="S79" s="386"/>
      <c r="T79" s="387"/>
      <c r="U79" s="413" t="str">
        <f>IF(-0.75*((C79/(VLOOKUP($A$2,Assumptions!$B$124:$G$147,2,0)))+D79/(VLOOKUP($A$2,Assumptions!$B$124:$G$147,5,0)))=0,"",-0.75*((C79/(VLOOKUP($A$2,Assumptions!$B$124:$G$147,2,0)))+D79/(VLOOKUP($A$2,Assumptions!$B$124:$G$147,5,0))))</f>
        <v/>
      </c>
      <c r="V79" s="414">
        <f t="shared" si="23"/>
        <v>0</v>
      </c>
      <c r="W79" s="451"/>
      <c r="X79" s="506" t="s">
        <v>32</v>
      </c>
    </row>
    <row r="80" spans="1:24" ht="30">
      <c r="A80" s="373" t="s">
        <v>779</v>
      </c>
      <c r="B80" s="457" t="s">
        <v>619</v>
      </c>
      <c r="C80" s="375">
        <v>20</v>
      </c>
      <c r="D80" s="375">
        <f>-79*($D$118/$D$117)</f>
        <v>-74.929146537842186</v>
      </c>
      <c r="E80" s="377">
        <v>47573</v>
      </c>
      <c r="F80" s="378">
        <v>431282</v>
      </c>
      <c r="G80" s="403">
        <f t="shared" si="24"/>
        <v>0</v>
      </c>
      <c r="H80" s="404">
        <f t="shared" si="25"/>
        <v>0</v>
      </c>
      <c r="I80" s="405">
        <f t="shared" si="25"/>
        <v>0</v>
      </c>
      <c r="J80" s="405">
        <f t="shared" si="25"/>
        <v>0</v>
      </c>
      <c r="K80" s="405">
        <f t="shared" si="25"/>
        <v>0</v>
      </c>
      <c r="L80" s="405">
        <f t="shared" si="25"/>
        <v>0</v>
      </c>
      <c r="M80" s="405">
        <f t="shared" si="25"/>
        <v>431282</v>
      </c>
      <c r="N80" s="405">
        <f t="shared" si="25"/>
        <v>0</v>
      </c>
      <c r="O80" s="405">
        <f t="shared" si="25"/>
        <v>0</v>
      </c>
      <c r="P80" s="406">
        <f t="shared" si="25"/>
        <v>0</v>
      </c>
      <c r="Q80" s="635">
        <f t="shared" si="25"/>
        <v>0</v>
      </c>
      <c r="R80" s="379" t="s">
        <v>32</v>
      </c>
      <c r="S80" s="386"/>
      <c r="T80" s="387"/>
      <c r="U80" s="413">
        <f>IF(-0.75*((C80/(VLOOKUP($A$2,Assumptions!$B$124:$G$147,2,0)))+D80/(VLOOKUP($A$2,Assumptions!$B$124:$G$147,5,0)))=0,"",-0.75*((C80/(VLOOKUP($A$2,Assumptions!$B$124:$G$147,2,0)))+D80/(VLOOKUP($A$2,Assumptions!$B$124:$G$147,5,0))))</f>
        <v>-1.2770793385026751E-3</v>
      </c>
      <c r="V80" s="414">
        <f t="shared" si="23"/>
        <v>-6.1833065075513052E-3</v>
      </c>
      <c r="W80" s="451"/>
      <c r="X80" s="506" t="s">
        <v>32</v>
      </c>
    </row>
    <row r="81" spans="1:24" ht="15">
      <c r="A81" s="373"/>
      <c r="B81" s="520" t="s">
        <v>613</v>
      </c>
      <c r="C81" s="521">
        <v>-150</v>
      </c>
      <c r="D81" s="521"/>
      <c r="E81" s="522">
        <v>48669</v>
      </c>
      <c r="F81" s="523">
        <v>740629</v>
      </c>
      <c r="G81" s="403">
        <f t="shared" si="24"/>
        <v>0</v>
      </c>
      <c r="H81" s="404">
        <f t="shared" si="25"/>
        <v>0</v>
      </c>
      <c r="I81" s="405">
        <f t="shared" si="25"/>
        <v>0</v>
      </c>
      <c r="J81" s="405">
        <f t="shared" si="25"/>
        <v>0</v>
      </c>
      <c r="K81" s="405">
        <f t="shared" si="25"/>
        <v>0</v>
      </c>
      <c r="L81" s="405">
        <f t="shared" si="25"/>
        <v>0</v>
      </c>
      <c r="M81" s="405">
        <f t="shared" si="25"/>
        <v>0</v>
      </c>
      <c r="N81" s="405">
        <f t="shared" si="25"/>
        <v>0</v>
      </c>
      <c r="O81" s="405">
        <f t="shared" si="25"/>
        <v>0</v>
      </c>
      <c r="P81" s="406">
        <f t="shared" si="25"/>
        <v>740629</v>
      </c>
      <c r="Q81" s="635">
        <f t="shared" si="25"/>
        <v>0</v>
      </c>
      <c r="R81" s="379" t="s">
        <v>32</v>
      </c>
      <c r="S81" s="176"/>
      <c r="T81" s="275"/>
      <c r="U81" s="413">
        <f>IF(-0.75*((C81/(VLOOKUP($A$2,Assumptions!$B$124:$G$147,2,0)))+D81/(VLOOKUP($A$2,Assumptions!$B$124:$G$147,5,0)))=0,"",-0.75*((C81/(VLOOKUP($A$2,Assumptions!$B$124:$G$147,2,0)))+D81/(VLOOKUP($A$2,Assumptions!$B$124:$G$147,5,0))))</f>
        <v>0.14686684073107051</v>
      </c>
      <c r="V81" s="414">
        <f t="shared" si="23"/>
        <v>4.5703767328934518E-2</v>
      </c>
      <c r="W81" s="534"/>
      <c r="X81" s="506" t="s">
        <v>32</v>
      </c>
    </row>
    <row r="82" spans="1:24" ht="30">
      <c r="A82" s="373"/>
      <c r="B82" s="520" t="s">
        <v>631</v>
      </c>
      <c r="C82" s="521">
        <v>60</v>
      </c>
      <c r="D82" s="521">
        <f>-608*($D$118/$D$117)</f>
        <v>-576.66988727858291</v>
      </c>
      <c r="E82" s="522">
        <v>48669</v>
      </c>
      <c r="F82" s="523">
        <v>777661</v>
      </c>
      <c r="G82" s="403">
        <f t="shared" si="24"/>
        <v>0</v>
      </c>
      <c r="H82" s="404">
        <f t="shared" si="25"/>
        <v>0</v>
      </c>
      <c r="I82" s="405">
        <f t="shared" si="25"/>
        <v>0</v>
      </c>
      <c r="J82" s="405">
        <f t="shared" si="25"/>
        <v>0</v>
      </c>
      <c r="K82" s="405">
        <f t="shared" si="25"/>
        <v>0</v>
      </c>
      <c r="L82" s="405">
        <f t="shared" si="25"/>
        <v>0</v>
      </c>
      <c r="M82" s="405">
        <f t="shared" si="25"/>
        <v>0</v>
      </c>
      <c r="N82" s="405">
        <f t="shared" si="25"/>
        <v>0</v>
      </c>
      <c r="O82" s="405">
        <f t="shared" si="25"/>
        <v>0</v>
      </c>
      <c r="P82" s="406">
        <f t="shared" si="25"/>
        <v>777661</v>
      </c>
      <c r="Q82" s="635">
        <f t="shared" si="25"/>
        <v>0</v>
      </c>
      <c r="R82" s="533"/>
      <c r="S82" s="379" t="s">
        <v>32</v>
      </c>
      <c r="T82" s="275"/>
      <c r="U82" s="413">
        <f>IF(-0.75*((C82/(VLOOKUP($A$2,Assumptions!$B$124:$G$147,2,0)))+D82/(VLOOKUP($A$2,Assumptions!$B$124:$G$147,5,0)))=0,"",-0.75*((C82/(VLOOKUP($A$2,Assumptions!$B$124:$G$147,2,0)))+D82/(VLOOKUP($A$2,Assumptions!$B$124:$G$147,5,0))))</f>
        <v>8.213352932937544E-2</v>
      </c>
      <c r="V82" s="414">
        <f t="shared" si="23"/>
        <v>8.6335527452761744E-4</v>
      </c>
      <c r="W82" s="534"/>
      <c r="X82" s="506" t="s">
        <v>32</v>
      </c>
    </row>
    <row r="83" spans="1:24" ht="30">
      <c r="A83" s="373"/>
      <c r="B83" s="520" t="s">
        <v>632</v>
      </c>
      <c r="C83" s="521"/>
      <c r="D83" s="521"/>
      <c r="E83" s="522"/>
      <c r="F83" s="523"/>
      <c r="G83" s="403">
        <f t="shared" si="24"/>
        <v>0</v>
      </c>
      <c r="H83" s="404">
        <f t="shared" si="25"/>
        <v>0</v>
      </c>
      <c r="I83" s="405">
        <f t="shared" si="25"/>
        <v>0</v>
      </c>
      <c r="J83" s="405">
        <f t="shared" si="25"/>
        <v>0</v>
      </c>
      <c r="K83" s="405">
        <f t="shared" si="25"/>
        <v>0</v>
      </c>
      <c r="L83" s="405">
        <f t="shared" si="25"/>
        <v>0</v>
      </c>
      <c r="M83" s="405">
        <f t="shared" si="25"/>
        <v>0</v>
      </c>
      <c r="N83" s="405">
        <f t="shared" si="25"/>
        <v>0</v>
      </c>
      <c r="O83" s="405">
        <f t="shared" si="25"/>
        <v>0</v>
      </c>
      <c r="P83" s="406">
        <f t="shared" si="25"/>
        <v>0</v>
      </c>
      <c r="Q83" s="635">
        <f t="shared" si="25"/>
        <v>0</v>
      </c>
      <c r="R83" s="379" t="s">
        <v>32</v>
      </c>
      <c r="S83" s="176"/>
      <c r="T83" s="275"/>
      <c r="U83" s="413" t="str">
        <f>IF(-0.75*((C83/(VLOOKUP($A$2,Assumptions!$B$124:$G$147,2,0)))+D83/(VLOOKUP($A$2,Assumptions!$B$124:$G$147,5,0)))=0,"",-0.75*((C83/(VLOOKUP($A$2,Assumptions!$B$124:$G$147,2,0)))+D83/(VLOOKUP($A$2,Assumptions!$B$124:$G$147,5,0))))</f>
        <v/>
      </c>
      <c r="V83" s="414" t="str">
        <f t="shared" si="23"/>
        <v/>
      </c>
      <c r="W83" s="534"/>
      <c r="X83" s="506" t="s">
        <v>32</v>
      </c>
    </row>
    <row r="84" spans="1:24" ht="15">
      <c r="A84" s="373"/>
      <c r="B84" s="520" t="s">
        <v>598</v>
      </c>
      <c r="C84" s="521">
        <v>-130</v>
      </c>
      <c r="D84" s="521"/>
      <c r="E84" s="522">
        <v>48669</v>
      </c>
      <c r="F84" s="523">
        <v>357711</v>
      </c>
      <c r="G84" s="403">
        <f t="shared" si="24"/>
        <v>0</v>
      </c>
      <c r="H84" s="404">
        <f t="shared" si="25"/>
        <v>0</v>
      </c>
      <c r="I84" s="405">
        <f t="shared" si="25"/>
        <v>0</v>
      </c>
      <c r="J84" s="405">
        <f t="shared" si="25"/>
        <v>0</v>
      </c>
      <c r="K84" s="405">
        <f t="shared" si="25"/>
        <v>0</v>
      </c>
      <c r="L84" s="405">
        <f t="shared" si="25"/>
        <v>0</v>
      </c>
      <c r="M84" s="405">
        <f t="shared" si="25"/>
        <v>0</v>
      </c>
      <c r="N84" s="405">
        <f t="shared" si="25"/>
        <v>0</v>
      </c>
      <c r="O84" s="405">
        <f t="shared" si="25"/>
        <v>0</v>
      </c>
      <c r="P84" s="406">
        <f t="shared" si="25"/>
        <v>357711</v>
      </c>
      <c r="Q84" s="635">
        <f t="shared" si="25"/>
        <v>0</v>
      </c>
      <c r="R84" s="379" t="s">
        <v>32</v>
      </c>
      <c r="S84" s="176"/>
      <c r="T84" s="275"/>
      <c r="U84" s="413">
        <f>IF(-0.75*((C84/(VLOOKUP($A$2,Assumptions!$B$124:$G$147,2,0)))+D84/(VLOOKUP($A$2,Assumptions!$B$124:$G$147,5,0)))=0,"",-0.75*((C84/(VLOOKUP($A$2,Assumptions!$B$124:$G$147,2,0)))+D84/(VLOOKUP($A$2,Assumptions!$B$124:$G$147,5,0))))</f>
        <v>0.12728459530026109</v>
      </c>
      <c r="V84" s="414">
        <f t="shared" si="23"/>
        <v>8.2011076243074951E-2</v>
      </c>
      <c r="W84" s="451"/>
      <c r="X84" s="506" t="s">
        <v>32</v>
      </c>
    </row>
    <row r="85" spans="1:24" ht="15">
      <c r="A85" s="373"/>
      <c r="B85" s="457"/>
      <c r="C85" s="375"/>
      <c r="D85" s="375"/>
      <c r="E85" s="377"/>
      <c r="F85" s="378"/>
      <c r="G85" s="403"/>
      <c r="H85" s="404"/>
      <c r="I85" s="405"/>
      <c r="J85" s="405"/>
      <c r="K85" s="405"/>
      <c r="L85" s="405"/>
      <c r="M85" s="405"/>
      <c r="N85" s="405"/>
      <c r="O85" s="405"/>
      <c r="P85" s="406"/>
      <c r="Q85" s="635"/>
      <c r="R85" s="379"/>
      <c r="S85" s="386"/>
      <c r="T85" s="387"/>
      <c r="U85" s="413" t="str">
        <f>IF(-0.75*((C85/(VLOOKUP($A$2,Assumptions!$B$124:$G$147,2,0)))+D85/(VLOOKUP($A$2,Assumptions!$B$124:$G$147,5,0)))=0,"",-0.75*((C85/(VLOOKUP($A$2,Assumptions!$B$124:$G$147,2,0)))+D85/(VLOOKUP($A$2,Assumptions!$B$124:$G$147,5,0))))</f>
        <v/>
      </c>
      <c r="V85" s="414" t="str">
        <f t="shared" si="23"/>
        <v/>
      </c>
      <c r="W85" s="451"/>
      <c r="X85" s="507"/>
    </row>
    <row r="86" spans="1:24" ht="15">
      <c r="A86" s="373"/>
      <c r="B86" s="457"/>
      <c r="C86" s="375"/>
      <c r="D86" s="375"/>
      <c r="E86" s="377"/>
      <c r="F86" s="378"/>
      <c r="G86" s="403"/>
      <c r="H86" s="404"/>
      <c r="I86" s="405"/>
      <c r="J86" s="405"/>
      <c r="K86" s="405"/>
      <c r="L86" s="405"/>
      <c r="M86" s="405"/>
      <c r="N86" s="405"/>
      <c r="O86" s="405"/>
      <c r="P86" s="406"/>
      <c r="Q86" s="635"/>
      <c r="R86" s="379"/>
      <c r="S86" s="386"/>
      <c r="T86" s="387"/>
      <c r="U86" s="413" t="str">
        <f>IF(-0.75*((C86/(VLOOKUP($A$2,Assumptions!$B$124:$G$147,2,0)))+D86/(VLOOKUP($A$2,Assumptions!$B$124:$G$147,5,0)))=0,"",-0.75*((C86/(VLOOKUP($A$2,Assumptions!$B$124:$G$147,2,0)))+D86/(VLOOKUP($A$2,Assumptions!$B$124:$G$147,5,0))))</f>
        <v/>
      </c>
      <c r="V86" s="414" t="str">
        <f t="shared" si="23"/>
        <v/>
      </c>
      <c r="W86" s="451"/>
      <c r="X86" s="507"/>
    </row>
    <row r="87" spans="1:24" ht="15">
      <c r="A87" s="373"/>
      <c r="B87" s="374"/>
      <c r="C87" s="375"/>
      <c r="D87" s="375"/>
      <c r="E87" s="377"/>
      <c r="F87" s="378"/>
      <c r="G87" s="403"/>
      <c r="H87" s="404"/>
      <c r="I87" s="405"/>
      <c r="J87" s="405"/>
      <c r="K87" s="405"/>
      <c r="L87" s="405"/>
      <c r="M87" s="405"/>
      <c r="N87" s="405"/>
      <c r="O87" s="405"/>
      <c r="P87" s="406"/>
      <c r="Q87" s="635"/>
      <c r="R87" s="379"/>
      <c r="S87" s="379"/>
      <c r="T87" s="387"/>
      <c r="U87" s="413" t="str">
        <f>IF(-0.75*((C87/(VLOOKUP($A$2,Assumptions!$B$124:$G$147,2,0)))+D87/(VLOOKUP($A$2,Assumptions!$B$124:$G$147,5,0)))=0,"",-0.75*((C87/(VLOOKUP($A$2,Assumptions!$B$124:$G$147,2,0)))+D87/(VLOOKUP($A$2,Assumptions!$B$124:$G$147,5,0))))</f>
        <v/>
      </c>
      <c r="V87" s="414" t="str">
        <f t="shared" si="23"/>
        <v/>
      </c>
      <c r="W87" s="451"/>
      <c r="X87" s="507"/>
    </row>
    <row r="88" spans="1:24" ht="15">
      <c r="A88" s="456"/>
      <c r="B88" s="397"/>
      <c r="C88" s="398"/>
      <c r="D88" s="398"/>
      <c r="E88" s="399"/>
      <c r="F88" s="400"/>
      <c r="G88" s="407"/>
      <c r="H88" s="408"/>
      <c r="I88" s="409"/>
      <c r="J88" s="409"/>
      <c r="K88" s="409"/>
      <c r="L88" s="409"/>
      <c r="M88" s="409"/>
      <c r="N88" s="409"/>
      <c r="O88" s="409"/>
      <c r="P88" s="410"/>
      <c r="Q88" s="636"/>
      <c r="R88" s="401"/>
      <c r="S88" s="401"/>
      <c r="T88" s="402"/>
      <c r="U88" s="413" t="str">
        <f>IF(-0.75*((C88/(VLOOKUP($A$2,Assumptions!$B$124:$G$147,2,0)))+D88/(VLOOKUP($A$2,Assumptions!$B$124:$G$147,5,0)))=0,"",-0.75*((C88/(VLOOKUP($A$2,Assumptions!$B$124:$G$147,2,0)))+D88/(VLOOKUP($A$2,Assumptions!$B$124:$G$147,5,0))))</f>
        <v/>
      </c>
      <c r="V88" s="415" t="str">
        <f t="shared" si="23"/>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6">IF(ISERROR(((-C89*1000*$W$162)/F89)),"",((-C89*1000*$W$162)/F89))</f>
        <v/>
      </c>
      <c r="W89" s="304" t="str">
        <f t="shared" si="26"/>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6"/>
        <v/>
      </c>
      <c r="W90" s="170" t="str">
        <f t="shared" si="26"/>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6"/>
        <v/>
      </c>
      <c r="W91" s="170" t="str">
        <f t="shared" si="26"/>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6"/>
        <v/>
      </c>
      <c r="W92" s="170" t="str">
        <f t="shared" si="26"/>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6"/>
        <v/>
      </c>
      <c r="W93" s="170" t="str">
        <f t="shared" si="26"/>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6"/>
        <v/>
      </c>
      <c r="W94" s="170" t="str">
        <f t="shared" si="26"/>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6"/>
        <v/>
      </c>
      <c r="W95" s="170" t="str">
        <f t="shared" si="26"/>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6"/>
        <v/>
      </c>
      <c r="W96" s="170" t="str">
        <f t="shared" si="26"/>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6"/>
        <v/>
      </c>
      <c r="W97" s="170" t="str">
        <f t="shared" si="26"/>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6"/>
        <v/>
      </c>
      <c r="W98" s="170" t="str">
        <f t="shared" si="26"/>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6"/>
        <v/>
      </c>
      <c r="W99" s="170" t="str">
        <f t="shared" si="26"/>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6"/>
        <v/>
      </c>
      <c r="W100" s="170" t="str">
        <f t="shared" si="26"/>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6"/>
        <v/>
      </c>
      <c r="W101" s="170" t="str">
        <f t="shared" si="26"/>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6"/>
        <v/>
      </c>
      <c r="W102" s="170" t="str">
        <f t="shared" si="26"/>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6"/>
        <v/>
      </c>
      <c r="W103" s="170" t="str">
        <f t="shared" si="26"/>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6"/>
        <v/>
      </c>
      <c r="W104" s="170" t="str">
        <f t="shared" si="26"/>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6"/>
        <v/>
      </c>
      <c r="W105" s="170" t="str">
        <f t="shared" si="26"/>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6"/>
        <v/>
      </c>
      <c r="W106" s="170" t="str">
        <f t="shared" si="26"/>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6"/>
        <v/>
      </c>
      <c r="W107" s="170" t="str">
        <f t="shared" si="26"/>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6"/>
        <v/>
      </c>
      <c r="W108" s="170" t="str">
        <f t="shared" si="26"/>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6"/>
        <v/>
      </c>
      <c r="W109" s="170" t="str">
        <f t="shared" si="26"/>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6"/>
        <v/>
      </c>
      <c r="W110" s="170" t="str">
        <f t="shared" si="26"/>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6"/>
        <v/>
      </c>
      <c r="W111" s="170" t="str">
        <f t="shared" si="26"/>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6"/>
        <v/>
      </c>
      <c r="W112" s="170" t="str">
        <f t="shared" si="26"/>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6"/>
        <v/>
      </c>
      <c r="W113" s="170" t="str">
        <f t="shared" si="26"/>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6"/>
        <v/>
      </c>
      <c r="W114" s="173" t="str">
        <f t="shared" si="26"/>
        <v/>
      </c>
      <c r="X114" s="173"/>
    </row>
    <row r="115" spans="1:31" ht="15">
      <c r="A115" s="13"/>
      <c r="B115" s="353"/>
      <c r="C115" s="354">
        <f>SUM(C69:C88)</f>
        <v>-390</v>
      </c>
      <c r="D115" s="354">
        <f>SUM(D69:D88)</f>
        <v>-1178</v>
      </c>
      <c r="E115" s="355"/>
      <c r="F115" s="333">
        <f>SUM(F69:F114)</f>
        <v>4767703.4000000004</v>
      </c>
      <c r="G115" s="388">
        <f>SUM(G69:G114)</f>
        <v>0</v>
      </c>
      <c r="H115" s="388">
        <f t="shared" ref="H115:N115" si="27">SUM(H69:H114)</f>
        <v>601335</v>
      </c>
      <c r="I115" s="388">
        <f t="shared" si="27"/>
        <v>1807053.4</v>
      </c>
      <c r="J115" s="388">
        <f t="shared" si="27"/>
        <v>0</v>
      </c>
      <c r="K115" s="388">
        <f t="shared" si="27"/>
        <v>0</v>
      </c>
      <c r="L115" s="388">
        <f t="shared" si="27"/>
        <v>0</v>
      </c>
      <c r="M115" s="388">
        <f t="shared" si="27"/>
        <v>483314</v>
      </c>
      <c r="N115" s="388">
        <f t="shared" si="27"/>
        <v>0</v>
      </c>
      <c r="O115" s="388">
        <f>SUM(O69:O114)</f>
        <v>0</v>
      </c>
      <c r="P115" s="388">
        <f>SUM(P69:P114)</f>
        <v>1876001</v>
      </c>
      <c r="Q115" s="388">
        <f>SUM(Q69:Q114)</f>
        <v>0</v>
      </c>
      <c r="R115" s="388">
        <f>SUMIFS(F69:F114,R69:R114,"Yes")-0.5*SUMIFS(F69:F114,R69:R114,"Yes",S69:S114,"Yes")</f>
        <v>3414726.9</v>
      </c>
      <c r="S115" s="388">
        <f>SUMIFS(F69:F114,S69:S114,"Yes")-0.5*SUMIFS(F69:F114,S69:S114,"Yes",R69:R114,"Yes")</f>
        <v>1352976.5</v>
      </c>
      <c r="T115" s="388">
        <f>SUMIFS(F69:F114,T69:T114,"Yes")</f>
        <v>0</v>
      </c>
      <c r="U115" s="389">
        <f>SUM(U69:U84)</f>
        <v>0.66963880218742822</v>
      </c>
      <c r="V115" s="390">
        <f>IF(ISERROR(((-1*C115*1000*$D$6)+(-1*D115*$D$8))/F115),"",((-1*C115*1000*$D$6)+(-1*D115*$D$8))/F115)</f>
        <v>2.4548283021979166E-2</v>
      </c>
      <c r="W115" s="391">
        <f>SUMIFS(F69:F114,W69:W114,"Yes")</f>
        <v>0</v>
      </c>
      <c r="X115" s="516">
        <f>SUMIFS(F69:F114,X69:X114,"Yes")</f>
        <v>4715664.4000000004</v>
      </c>
    </row>
    <row r="116" spans="1:31" ht="15">
      <c r="A116" s="13"/>
      <c r="B116" s="13"/>
      <c r="C116" s="535">
        <f>SUM(C69:C80)</f>
        <v>-170</v>
      </c>
      <c r="D116" s="535">
        <f>SUM(D69:D80)</f>
        <v>-601.33011272141698</v>
      </c>
      <c r="E116" s="13"/>
      <c r="F116" s="535">
        <f>SUM(F69:F80)</f>
        <v>2891702.4</v>
      </c>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v>1242</v>
      </c>
      <c r="E117" s="13"/>
      <c r="F117" s="13"/>
      <c r="G117" s="13"/>
      <c r="H117" s="13"/>
      <c r="I117" s="13"/>
      <c r="J117" s="13"/>
      <c r="K117" s="13"/>
      <c r="L117" s="13"/>
      <c r="M117" s="13"/>
      <c r="N117" s="13"/>
      <c r="O117" s="13"/>
      <c r="P117" s="13"/>
      <c r="Q117" s="13"/>
      <c r="R117" s="13"/>
      <c r="S117" s="13"/>
      <c r="T117" s="13"/>
      <c r="U117" s="13"/>
    </row>
    <row r="118" spans="1:31">
      <c r="A118" s="13"/>
      <c r="B118" s="13"/>
      <c r="C118" s="13"/>
      <c r="D118" s="13">
        <v>1178</v>
      </c>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292.5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5.1497064579256362</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5.1319155051013077</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5.1319155051013077</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5.1439247095331417</v>
      </c>
      <c r="AA126" s="22">
        <f t="shared" ref="AA126:AC126" si="28">AK216</f>
        <v>5.5496417176584805</v>
      </c>
      <c r="AB126" s="22">
        <f t="shared" si="28"/>
        <v>0</v>
      </c>
      <c r="AC126" s="22">
        <f t="shared" si="28"/>
        <v>0</v>
      </c>
      <c r="AD126" s="22">
        <f t="shared" ref="AD126:AE126" si="29">AI217</f>
        <v>0</v>
      </c>
      <c r="AE126" s="22">
        <f t="shared" si="29"/>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5.3327172387454072</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5.3327172387454072</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5.3327172387454072</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5.3327172387454072</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5.3190057657589067</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5.3190057657589067</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5.3190057657589067</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30">AQ156*0.5</f>
        <v>20.914999999999999</v>
      </c>
      <c r="AR154" s="338">
        <f t="shared" si="30"/>
        <v>26.98</v>
      </c>
      <c r="AS154" s="8"/>
      <c r="AT154" s="25">
        <v>6</v>
      </c>
      <c r="AU154" s="339">
        <f>AU156*0.5</f>
        <v>64.760000000000005</v>
      </c>
      <c r="AV154" s="339">
        <f t="shared" ref="AV154:AY154" si="31">AV156*0.5</f>
        <v>69.5</v>
      </c>
      <c r="AW154" s="339">
        <f t="shared" si="31"/>
        <v>59.814999999999998</v>
      </c>
      <c r="AX154" s="339">
        <f t="shared" si="31"/>
        <v>33.69</v>
      </c>
      <c r="AY154" s="339">
        <f t="shared" si="31"/>
        <v>44.87</v>
      </c>
      <c r="AZ154" s="8"/>
      <c r="BA154" s="25">
        <v>6</v>
      </c>
      <c r="BB154" s="24">
        <f t="shared" ref="BB154:BB155" si="32">IF($C$58="Base",BF154,BG154)</f>
        <v>34.795000000000002</v>
      </c>
      <c r="BC154" s="24" t="s">
        <v>436</v>
      </c>
      <c r="BD154" s="8"/>
      <c r="BE154" s="8"/>
      <c r="BF154" s="24">
        <f t="shared" ref="BF154:BF155" si="33">IF($C$59&gt;7000,"error",IF($C$59&gt;5999,AR154,IF($C$59&gt;4999,AQ154,IF($C$59&gt;3999,AP154,IF($C$59&gt;2999,AO154,IF($C$59&gt;1999,AN154,"Error"))))))</f>
        <v>34.795000000000002</v>
      </c>
      <c r="BG154" s="24">
        <f t="shared" ref="BG154:BG164" si="34">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5">AQ156*0.75</f>
        <v>31.372499999999999</v>
      </c>
      <c r="AR155" s="338">
        <f t="shared" si="35"/>
        <v>40.47</v>
      </c>
      <c r="AS155" s="24"/>
      <c r="AT155" s="25">
        <v>5.5</v>
      </c>
      <c r="AU155" s="339">
        <f>AU156*0.75</f>
        <v>97.140000000000015</v>
      </c>
      <c r="AV155" s="339">
        <f t="shared" ref="AV155:AY155" si="36">AV156*0.75</f>
        <v>104.25</v>
      </c>
      <c r="AW155" s="339">
        <f t="shared" si="36"/>
        <v>89.722499999999997</v>
      </c>
      <c r="AX155" s="339">
        <f t="shared" si="36"/>
        <v>50.534999999999997</v>
      </c>
      <c r="AY155" s="339">
        <f t="shared" si="36"/>
        <v>67.304999999999993</v>
      </c>
      <c r="AZ155" s="24"/>
      <c r="BA155" s="25">
        <v>5.5</v>
      </c>
      <c r="BB155" s="24">
        <f t="shared" si="32"/>
        <v>52.192500000000003</v>
      </c>
      <c r="BC155" s="24" t="s">
        <v>436</v>
      </c>
      <c r="BE155" s="24"/>
      <c r="BF155" s="24">
        <f t="shared" si="33"/>
        <v>52.192500000000003</v>
      </c>
      <c r="BG155" s="24">
        <f t="shared" si="34"/>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4"/>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19999</v>
      </c>
      <c r="BW156" s="14" t="s">
        <v>445</v>
      </c>
      <c r="BX156" s="14" t="s">
        <v>13</v>
      </c>
      <c r="BY156" s="14">
        <f>BY157/BV156</f>
        <v>63.120293231661584</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7">IF($C$58="Base",BF157,BG157)</f>
        <v>84.92</v>
      </c>
      <c r="BC157" s="24" t="s">
        <v>436</v>
      </c>
      <c r="BD157" s="24">
        <f>BB157-BB156</f>
        <v>15.329999999999998</v>
      </c>
      <c r="BE157" s="24"/>
      <c r="BF157" s="24">
        <f t="shared" ref="BF157:BF164" si="38">IF($C$59&gt;7000,"error",IF($C$59&gt;5999,AR157,IF($C$59&gt;4999,AQ157,IF($C$59&gt;3999,AP157,IF($C$59&gt;2999,AO157,IF($C$59&gt;1999,AN157,"Error"))))))</f>
        <v>84.92</v>
      </c>
      <c r="BG157" s="24">
        <f t="shared" si="34"/>
        <v>158.69</v>
      </c>
      <c r="BH157" s="24"/>
      <c r="BI157" s="29" t="s">
        <v>118</v>
      </c>
      <c r="BJ157" s="29">
        <v>810</v>
      </c>
      <c r="BK157" s="29">
        <v>51.33</v>
      </c>
      <c r="BL157" s="24">
        <v>2000</v>
      </c>
      <c r="BM157" s="25"/>
      <c r="BN157" s="24">
        <f>BV161/BV158</f>
        <v>23.976120500284903</v>
      </c>
      <c r="BO157" s="32" t="s">
        <v>447</v>
      </c>
      <c r="BP157" s="179">
        <f>$BY$158/SUM($BY$158:$BY$159)*C64</f>
        <v>61.886742685597049</v>
      </c>
      <c r="BQ157" s="29" t="s">
        <v>448</v>
      </c>
      <c r="BR157" s="29" t="s">
        <v>449</v>
      </c>
      <c r="BS157" s="29" t="s">
        <v>450</v>
      </c>
      <c r="BT157" s="14"/>
      <c r="BU157" s="30" t="s">
        <v>451</v>
      </c>
      <c r="BV157" s="33">
        <f xml:space="preserve"> 5 - 0.5*(BV158-BB156)/BH166</f>
        <v>5.251247792381049</v>
      </c>
      <c r="BW157" s="14" t="s">
        <v>452</v>
      </c>
      <c r="BX157" s="14" t="s">
        <v>453</v>
      </c>
      <c r="BY157" s="14">
        <f>SUM(BY158:BY159)</f>
        <v>1262342.74434</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7"/>
        <v>100.25</v>
      </c>
      <c r="BC158" s="24" t="s">
        <v>436</v>
      </c>
      <c r="BD158" s="24">
        <f t="shared" ref="BD158:BD164" si="39">BB158-BB157</f>
        <v>15.329999999999998</v>
      </c>
      <c r="BE158" s="24"/>
      <c r="BF158" s="24">
        <f t="shared" si="38"/>
        <v>100.25</v>
      </c>
      <c r="BG158" s="24">
        <f t="shared" si="34"/>
        <v>187.86</v>
      </c>
      <c r="BH158" s="24"/>
      <c r="BI158" s="29" t="s">
        <v>150</v>
      </c>
      <c r="BJ158" s="29">
        <v>810</v>
      </c>
      <c r="BK158" s="29">
        <v>51.33</v>
      </c>
      <c r="BL158" s="24">
        <v>3000</v>
      </c>
      <c r="BM158" s="25"/>
      <c r="BN158" s="24">
        <f>BV162/BV163</f>
        <v>378.3490669244257</v>
      </c>
      <c r="BO158" s="24" t="s">
        <v>454</v>
      </c>
      <c r="BP158" s="179">
        <f>$BY$159/SUM($BY$158:$BY$159)*C64</f>
        <v>3.1132573144029512</v>
      </c>
      <c r="BQ158" s="29" t="s">
        <v>455</v>
      </c>
      <c r="BR158" s="29" t="s">
        <v>456</v>
      </c>
      <c r="BS158" s="29" t="s">
        <v>457</v>
      </c>
      <c r="BT158" s="14"/>
      <c r="BU158" s="30" t="s">
        <v>458</v>
      </c>
      <c r="BV158" s="31">
        <f>BP157</f>
        <v>61.886742685597049</v>
      </c>
      <c r="BW158" s="14" t="s">
        <v>436</v>
      </c>
      <c r="BX158" s="14" t="s">
        <v>459</v>
      </c>
      <c r="BY158" s="24">
        <f>INDEX($BJ$156:$BJ$161,MATCH($C$57,$BI$156:$BI$161,0))*$C$62</f>
        <v>1201881.24</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7"/>
        <v>115.57</v>
      </c>
      <c r="BC159" s="24" t="s">
        <v>436</v>
      </c>
      <c r="BD159" s="24">
        <f t="shared" si="39"/>
        <v>15.319999999999993</v>
      </c>
      <c r="BE159" s="24"/>
      <c r="BF159" s="24">
        <f t="shared" si="38"/>
        <v>115.57</v>
      </c>
      <c r="BG159" s="24">
        <f t="shared" si="34"/>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179">
        <f>INDEX($BK$156:$BK$161,MATCH($C$57,$BI$156:$BI$161,0))*$C$63</f>
        <v>60461.504339999992</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7"/>
        <v>130.9</v>
      </c>
      <c r="BC160" s="24" t="s">
        <v>436</v>
      </c>
      <c r="BD160" s="24">
        <f t="shared" si="39"/>
        <v>15.330000000000013</v>
      </c>
      <c r="BE160" s="24"/>
      <c r="BF160" s="24">
        <f t="shared" si="38"/>
        <v>130.9</v>
      </c>
      <c r="BG160" s="24">
        <f t="shared" si="34"/>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24">
        <f>((BY158+BY159)/$C$60)*(50/$C$61)</f>
        <v>61.640911359044516</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7"/>
        <v>146.22999999999999</v>
      </c>
      <c r="BC161" s="24" t="s">
        <v>436</v>
      </c>
      <c r="BD161" s="24">
        <f t="shared" si="39"/>
        <v>15.329999999999984</v>
      </c>
      <c r="BE161" s="24"/>
      <c r="BF161" s="24">
        <f t="shared" si="38"/>
        <v>146.22999999999999</v>
      </c>
      <c r="BG161" s="24">
        <f t="shared" si="34"/>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1483.8040000000001</v>
      </c>
      <c r="BW161" s="14" t="s">
        <v>311</v>
      </c>
      <c r="BX161" s="14"/>
      <c r="BY161" s="14"/>
      <c r="BZ161" s="38">
        <f>5-(0.5*(C64-CE177)/(CE176-CE177))</f>
        <v>5.1497064579256362</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7"/>
        <v>161.56</v>
      </c>
      <c r="BC162" s="24" t="s">
        <v>436</v>
      </c>
      <c r="BD162" s="24">
        <f t="shared" si="39"/>
        <v>15.330000000000013</v>
      </c>
      <c r="BE162" s="24"/>
      <c r="BF162" s="24">
        <f t="shared" si="38"/>
        <v>161.56</v>
      </c>
      <c r="BG162" s="24">
        <f t="shared" si="34"/>
        <v>304.55</v>
      </c>
      <c r="BH162" s="24"/>
      <c r="BI162" s="24"/>
      <c r="BJ162" s="24"/>
      <c r="BK162" s="24"/>
      <c r="BL162" s="24"/>
      <c r="BM162" s="37"/>
      <c r="BN162" s="37"/>
      <c r="BO162" s="37"/>
      <c r="BP162" s="37"/>
      <c r="BQ162" s="29" t="s">
        <v>473</v>
      </c>
      <c r="BR162" s="24"/>
      <c r="BS162" s="24"/>
      <c r="BT162" s="14"/>
      <c r="BU162" s="14" t="s">
        <v>474</v>
      </c>
      <c r="BV162" s="31">
        <f>C63</f>
        <v>1177.8979999999999</v>
      </c>
      <c r="BW162" s="14" t="s">
        <v>314</v>
      </c>
      <c r="BX162" s="14"/>
      <c r="BY162" s="14">
        <f>C63*BK156</f>
        <v>60461.504339999992</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7"/>
        <v>176.89</v>
      </c>
      <c r="BC163" s="24" t="s">
        <v>436</v>
      </c>
      <c r="BD163" s="24">
        <f t="shared" si="39"/>
        <v>15.329999999999984</v>
      </c>
      <c r="BE163" s="24"/>
      <c r="BF163" s="24">
        <f t="shared" si="38"/>
        <v>176.89</v>
      </c>
      <c r="BG163" s="24">
        <f t="shared" si="34"/>
        <v>333.72</v>
      </c>
      <c r="BH163" s="24"/>
      <c r="BI163" s="24"/>
      <c r="BJ163" s="24"/>
      <c r="BK163" s="24"/>
      <c r="BL163" s="24"/>
      <c r="BM163" s="37"/>
      <c r="BN163" s="37"/>
      <c r="BO163" s="37"/>
      <c r="BP163" s="37"/>
      <c r="BQ163" s="29" t="s">
        <v>475</v>
      </c>
      <c r="BR163" s="24"/>
      <c r="BS163" s="24"/>
      <c r="BT163" s="14"/>
      <c r="BU163" s="14" t="s">
        <v>476</v>
      </c>
      <c r="BV163" s="38">
        <f>BP158</f>
        <v>3.1132573144029512</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7"/>
        <v>192.21</v>
      </c>
      <c r="BC164" s="24" t="s">
        <v>436</v>
      </c>
      <c r="BD164" s="24">
        <f t="shared" si="39"/>
        <v>15.320000000000022</v>
      </c>
      <c r="BE164" s="24"/>
      <c r="BF164" s="24">
        <f t="shared" si="38"/>
        <v>192.21</v>
      </c>
      <c r="BG164" s="24">
        <f t="shared" si="34"/>
        <v>362.89</v>
      </c>
      <c r="BH164" s="24"/>
      <c r="BI164" s="24"/>
      <c r="BJ164" s="24"/>
      <c r="BK164" s="24"/>
      <c r="BL164" s="24"/>
      <c r="BM164" s="37"/>
      <c r="BN164" s="37"/>
      <c r="BO164" s="37"/>
      <c r="BP164" s="37"/>
      <c r="BQ164" s="29" t="s">
        <v>478</v>
      </c>
      <c r="BR164" s="24"/>
      <c r="BS164" s="24"/>
      <c r="BT164" s="14"/>
      <c r="BU164" s="14"/>
      <c r="BV164" s="14">
        <f>BV163+BV158</f>
        <v>65</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40">H66</f>
        <v>45838</v>
      </c>
      <c r="I166" s="177">
        <f t="shared" si="40"/>
        <v>46203</v>
      </c>
      <c r="J166" s="177">
        <f t="shared" si="40"/>
        <v>46568</v>
      </c>
      <c r="K166" s="177">
        <f t="shared" si="40"/>
        <v>46934</v>
      </c>
      <c r="L166" s="177">
        <f t="shared" si="40"/>
        <v>47299</v>
      </c>
      <c r="M166" s="177">
        <f t="shared" si="40"/>
        <v>47664</v>
      </c>
      <c r="N166" s="177">
        <f t="shared" si="40"/>
        <v>48029</v>
      </c>
      <c r="O166" s="177">
        <f t="shared" si="40"/>
        <v>48395</v>
      </c>
      <c r="P166" s="177">
        <f t="shared" si="40"/>
        <v>48760</v>
      </c>
      <c r="Q166" s="177">
        <f t="shared" si="40"/>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1">DATE(YEAR(AB166)+1,MONTH(AB166),DAY(AB166))</f>
        <v>46112</v>
      </c>
      <c r="AD166" s="46">
        <f t="shared" si="41"/>
        <v>46477</v>
      </c>
      <c r="AE166" s="46">
        <f t="shared" si="41"/>
        <v>46843</v>
      </c>
      <c r="AF166" s="46">
        <f t="shared" si="41"/>
        <v>47208</v>
      </c>
      <c r="AG166" s="46">
        <f t="shared" si="41"/>
        <v>47573</v>
      </c>
      <c r="AH166" s="46">
        <f t="shared" si="41"/>
        <v>47938</v>
      </c>
      <c r="AI166" s="46">
        <f t="shared" si="41"/>
        <v>48304</v>
      </c>
      <c r="AJ166" s="46">
        <f t="shared" si="41"/>
        <v>48669</v>
      </c>
      <c r="AK166" s="46">
        <f t="shared" si="41"/>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2">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3">IF($E69&lt;G$66,$C69,0)</f>
        <v>0</v>
      </c>
      <c r="H167" s="12">
        <f t="shared" ref="H167:J186" si="44">IF($E69&gt;H$66,0,IF($E69&lt;H$66-365,$C69,0))</f>
        <v>0</v>
      </c>
      <c r="I167" s="12">
        <f t="shared" si="44"/>
        <v>0</v>
      </c>
      <c r="J167" s="12">
        <f t="shared" si="44"/>
        <v>0</v>
      </c>
      <c r="K167" s="12">
        <f t="shared" ref="K167:K209" si="45">IF($E69&lt;K$66,$C69,0)</f>
        <v>0</v>
      </c>
      <c r="L167" s="12">
        <f t="shared" ref="L167:N186" si="46">IF($E69&gt;L$66,0,IF($E69&lt;L$66-365,$C69,0))</f>
        <v>0</v>
      </c>
      <c r="M167" s="12">
        <f t="shared" si="46"/>
        <v>0</v>
      </c>
      <c r="N167" s="12">
        <f t="shared" si="46"/>
        <v>0</v>
      </c>
      <c r="O167" s="12">
        <f t="shared" ref="O167:O209" si="47">IF($E69&lt;O$66,$C69,0)</f>
        <v>0</v>
      </c>
      <c r="P167" s="12">
        <f t="shared" ref="P167:Q186" si="48">IF($E69&gt;P$66,0,IF($E69&lt;P$66-365,$C69,0))</f>
        <v>0</v>
      </c>
      <c r="Q167" s="12">
        <f t="shared" si="48"/>
        <v>0</v>
      </c>
      <c r="T167" s="14"/>
      <c r="U167" s="14"/>
      <c r="V167" s="14"/>
      <c r="W167" s="53">
        <f t="shared" ref="W167:W211" si="49">C68*$BN$160*1000</f>
        <v>0</v>
      </c>
      <c r="X167" s="54" t="e">
        <f t="shared" ref="X167:X211" si="50">-1*F68/W167</f>
        <v>#DIV/0!</v>
      </c>
      <c r="Y167" s="25">
        <f>Z167/$BH$166</f>
        <v>0</v>
      </c>
      <c r="Z167" s="54">
        <f>C68/$BN$157</f>
        <v>0</v>
      </c>
      <c r="AA167" s="54">
        <f t="shared" ref="AA167:AJ182" si="51">IF($E68+365&lt;$C$56,0,IF($E68&lt;$C$56,(($E68+365-$C$56)/365)*(($C68/$BN$157)+($D68/$BN$158)),IF($E68&gt;AA$166,0,IF($E68+365&lt;AA$166,($C68/$BN$157)+($D68/$BN$158),((AA$166-$E68)/365)*(($C68/$BN$157)+($D68/$BN$158))))))</f>
        <v>0</v>
      </c>
      <c r="AB167" s="54">
        <f t="shared" si="51"/>
        <v>0</v>
      </c>
      <c r="AC167" s="54">
        <f>IF($E68+365&lt;$C$56,0,IF($E68&lt;$C$56,(($E68+365-$C$56)/365)*(($C68/$BN$157)+($D68/$BN$158)),IF($E68&gt;AC$166,0,IF($E68+365&lt;AC$166,($C68/$BN$157)+($D68/$BN$158),((AC$166-$E68)/365)*(($C68/$BN$157)+($D68/$BN$158))))))</f>
        <v>0</v>
      </c>
      <c r="AD167" s="54">
        <f t="shared" si="51"/>
        <v>0</v>
      </c>
      <c r="AE167" s="54">
        <f t="shared" si="51"/>
        <v>0</v>
      </c>
      <c r="AF167" s="54">
        <f>IF($E68+365&lt;$C$56,0,IF($E68&lt;$C$56,(($E68+365-$C$56)/365)*(($C68/$BN$157)+($D68/$BN$158)),IF($E68&gt;AF$166,0,IF($E68+365&lt;AF$166,($C68/$BN$157)+($D68/$BN$158),((AF$166-$E68)/365)*(($C68/$BN$157)+($D68/$BN$158))))))</f>
        <v>0</v>
      </c>
      <c r="AG167" s="54">
        <f t="shared" si="51"/>
        <v>0</v>
      </c>
      <c r="AH167" s="54">
        <f t="shared" si="51"/>
        <v>0</v>
      </c>
      <c r="AI167" s="54">
        <f t="shared" si="51"/>
        <v>0</v>
      </c>
      <c r="AJ167" s="54">
        <f t="shared" si="51"/>
        <v>0</v>
      </c>
      <c r="AK167" s="54">
        <f t="shared" ref="AK167" si="52">IF($E68+365&lt;$C$56,0,IF($E68&lt;$C$56,(($E68+365-$C$56)/365)*(($C68/$BN$157)+($D68/$BN$158)),IF($E68&gt;AK$166,0,IF($E68+365&lt;AK$166,($C68/$BN$157)+($D68/$BN$158),((AK$166-$E68)/365)*(($C68/$BN$157)+($D68/$BN$158))))))</f>
        <v>0</v>
      </c>
      <c r="AL167" s="24">
        <f t="shared" ref="AL167:AL213" si="53">IF(G68&lt;&gt;"",C68,0)</f>
        <v>0</v>
      </c>
      <c r="AM167" s="24">
        <f t="shared" ref="AM167:AM213" si="54">IF(G68&lt;&gt;"",D68,0)</f>
        <v>0</v>
      </c>
      <c r="AN167" s="55">
        <f t="shared" ref="AN167:AN213" si="55">IF(W68="Yes",0,F68)</f>
        <v>0</v>
      </c>
      <c r="AO167" s="55">
        <f t="shared" ref="AO167:AO213" si="56">IF(W68="Yes",F68,0)</f>
        <v>0</v>
      </c>
      <c r="AP167" s="24"/>
      <c r="AQ167" s="24"/>
      <c r="AR167" s="24"/>
      <c r="AS167" s="24"/>
      <c r="AT167" s="24"/>
      <c r="AU167" s="24"/>
      <c r="AV167" s="24"/>
      <c r="AW167" s="24"/>
      <c r="AX167" s="24"/>
      <c r="AY167" s="24"/>
      <c r="AZ167" s="24"/>
      <c r="BA167" s="24"/>
      <c r="BB167" s="25"/>
      <c r="BC167" s="24"/>
      <c r="BD167" s="24"/>
      <c r="BE167" s="24">
        <f t="shared" si="42"/>
        <v>84.92</v>
      </c>
      <c r="BF167" s="24" t="s">
        <v>486</v>
      </c>
      <c r="BG167" s="56">
        <f>BV158+($C$64-$BV$158)</f>
        <v>65</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3"/>
        <v>0</v>
      </c>
      <c r="H168" s="12">
        <f t="shared" si="44"/>
        <v>0</v>
      </c>
      <c r="I168" s="12">
        <f t="shared" si="44"/>
        <v>0</v>
      </c>
      <c r="J168" s="12">
        <f t="shared" si="44"/>
        <v>0</v>
      </c>
      <c r="K168" s="12">
        <f t="shared" si="45"/>
        <v>0</v>
      </c>
      <c r="L168" s="12">
        <f t="shared" si="46"/>
        <v>0</v>
      </c>
      <c r="M168" s="12">
        <f t="shared" si="46"/>
        <v>0</v>
      </c>
      <c r="N168" s="12">
        <f t="shared" si="46"/>
        <v>0</v>
      </c>
      <c r="O168" s="12">
        <f t="shared" si="47"/>
        <v>0</v>
      </c>
      <c r="P168" s="12">
        <f t="shared" si="48"/>
        <v>0</v>
      </c>
      <c r="Q168" s="12">
        <f t="shared" si="48"/>
        <v>0</v>
      </c>
      <c r="T168" s="57"/>
      <c r="U168" s="57"/>
      <c r="V168" s="57"/>
      <c r="W168" s="53">
        <f t="shared" si="49"/>
        <v>0</v>
      </c>
      <c r="X168" s="54" t="e">
        <f t="shared" si="50"/>
        <v>#DIV/0!</v>
      </c>
      <c r="Y168" s="54">
        <f t="shared" ref="Y168:Y213" si="57">Z168/$BH$166</f>
        <v>0</v>
      </c>
      <c r="Z168" s="54">
        <f>($C69/$BN$157)+($D69/$BN$158)</f>
        <v>0</v>
      </c>
      <c r="AA168" s="54">
        <f t="shared" si="51"/>
        <v>0</v>
      </c>
      <c r="AB168" s="54">
        <f t="shared" si="51"/>
        <v>0</v>
      </c>
      <c r="AC168" s="54">
        <f t="shared" si="51"/>
        <v>0</v>
      </c>
      <c r="AD168" s="54">
        <f>IF($E69+365&lt;$C$56,0,IF($E69&lt;$C$56,(($E69+365-$C$56)/365)*(($C69/$BN$157)+($D69/$BN$158)),IF($E69&gt;AD$166,0,IF($E69+365&lt;AD$166,($C69/$BN$157)+($D69/$BN$158),((AD$166-$E69)/365)*(($C69/$BN$157)+($D69/$BN$158))))))</f>
        <v>0</v>
      </c>
      <c r="AE168" s="54">
        <f t="shared" si="51"/>
        <v>0</v>
      </c>
      <c r="AF168" s="54">
        <f t="shared" si="51"/>
        <v>0</v>
      </c>
      <c r="AG168" s="54">
        <f t="shared" si="51"/>
        <v>0</v>
      </c>
      <c r="AH168" s="54">
        <f t="shared" si="51"/>
        <v>0</v>
      </c>
      <c r="AI168" s="54">
        <f t="shared" si="51"/>
        <v>0</v>
      </c>
      <c r="AJ168" s="54">
        <f t="shared" si="51"/>
        <v>0</v>
      </c>
      <c r="AK168" s="54">
        <f t="shared" ref="AK168" si="58">IF($E69+365&lt;$C$56,0,IF($E69&lt;$C$56,(($E69+365-$C$56)/365)*(($C69/$BN$157)+($D69/$BN$158)),IF($E69&gt;AK$166,0,IF($E69+365&lt;AK$166,($C69/$BN$157)+($D69/$BN$158),((AK$166-$E69)/365)*(($C69/$BN$157)+($D69/$BN$158))))))</f>
        <v>0</v>
      </c>
      <c r="AL168" s="24">
        <f t="shared" si="53"/>
        <v>0</v>
      </c>
      <c r="AM168" s="24">
        <f t="shared" si="54"/>
        <v>0</v>
      </c>
      <c r="AN168" s="55">
        <f t="shared" si="55"/>
        <v>0</v>
      </c>
      <c r="AO168" s="55">
        <f t="shared" si="56"/>
        <v>0</v>
      </c>
      <c r="AP168" s="24"/>
      <c r="AQ168" s="24"/>
      <c r="AR168" s="24"/>
      <c r="AS168" s="24"/>
      <c r="AT168" s="24"/>
      <c r="AU168" s="24"/>
      <c r="AV168" s="24"/>
      <c r="AW168" s="24"/>
      <c r="AX168" s="24"/>
      <c r="AY168" s="24"/>
      <c r="AZ168" s="24"/>
      <c r="BA168" s="24"/>
      <c r="BB168" s="24"/>
      <c r="BC168" s="24"/>
      <c r="BD168" s="24"/>
      <c r="BE168" s="24">
        <f t="shared" si="42"/>
        <v>84.92</v>
      </c>
      <c r="BF168" s="59">
        <f>AB166</f>
        <v>45747</v>
      </c>
      <c r="BG168" s="36">
        <f>(BV158+AB214)+($C$64-$BV$158)</f>
        <v>65</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3"/>
        <v>0</v>
      </c>
      <c r="H169" s="12">
        <f t="shared" si="44"/>
        <v>0</v>
      </c>
      <c r="I169" s="12">
        <f t="shared" si="44"/>
        <v>-20</v>
      </c>
      <c r="J169" s="12">
        <f t="shared" si="44"/>
        <v>-20</v>
      </c>
      <c r="K169" s="12">
        <f t="shared" si="45"/>
        <v>-20</v>
      </c>
      <c r="L169" s="12">
        <f t="shared" si="46"/>
        <v>-20</v>
      </c>
      <c r="M169" s="12">
        <f t="shared" si="46"/>
        <v>-20</v>
      </c>
      <c r="N169" s="12">
        <f t="shared" si="46"/>
        <v>-20</v>
      </c>
      <c r="O169" s="12">
        <f t="shared" si="47"/>
        <v>-20</v>
      </c>
      <c r="P169" s="12">
        <f t="shared" si="48"/>
        <v>-20</v>
      </c>
      <c r="Q169" s="12">
        <f t="shared" si="48"/>
        <v>-20</v>
      </c>
      <c r="T169" s="61"/>
      <c r="U169" s="61"/>
      <c r="V169" s="61"/>
      <c r="W169" s="53">
        <f t="shared" si="49"/>
        <v>0</v>
      </c>
      <c r="X169" s="54" t="e">
        <f t="shared" si="50"/>
        <v>#DIV/0!</v>
      </c>
      <c r="Y169" s="343">
        <f>Z169/$BH$166</f>
        <v>0</v>
      </c>
      <c r="Z169" s="54">
        <f>($C70/$BN$157)+($D70/$BN$158)</f>
        <v>0</v>
      </c>
      <c r="AA169" s="54">
        <f t="shared" si="51"/>
        <v>0</v>
      </c>
      <c r="AB169" s="54">
        <f t="shared" si="51"/>
        <v>0</v>
      </c>
      <c r="AC169" s="54">
        <f t="shared" si="51"/>
        <v>0</v>
      </c>
      <c r="AD169" s="54">
        <f>IF($E70+365&lt;$C$56,0,IF($E70&lt;$C$56,(($E70+365-$C$56)/365)*(($C70/$BN$157)+($D70/$BN$158)),IF($E70&gt;AD$166,0,IF($E70+365&lt;AD$166,($C70/$BN$157)+($D70/$BN$158),((AD$166-$E70)/365)*(($C70/$BN$157)+($D70/$BN$158))))))</f>
        <v>0</v>
      </c>
      <c r="AE169" s="54">
        <f t="shared" si="51"/>
        <v>0</v>
      </c>
      <c r="AF169" s="54">
        <f t="shared" si="51"/>
        <v>0</v>
      </c>
      <c r="AG169" s="54">
        <f t="shared" si="51"/>
        <v>0</v>
      </c>
      <c r="AH169" s="54">
        <f t="shared" si="51"/>
        <v>0</v>
      </c>
      <c r="AI169" s="54">
        <f t="shared" si="51"/>
        <v>0</v>
      </c>
      <c r="AJ169" s="54">
        <f t="shared" si="51"/>
        <v>0</v>
      </c>
      <c r="AK169" s="54">
        <f t="shared" ref="AK169" si="59">IF($E70+365&lt;$C$56,0,IF($E70&lt;$C$56,(($E70+365-$C$56)/365)*(($C70/$BN$157)+($D70/$BN$158)),IF($E70&gt;AK$166,0,IF($E70+365&lt;AK$166,($C70/$BN$157)+($D70/$BN$158),((AK$166-$E70)/365)*(($C70/$BN$157)+($D70/$BN$158))))))</f>
        <v>0</v>
      </c>
      <c r="AL169" s="24">
        <f t="shared" si="53"/>
        <v>0</v>
      </c>
      <c r="AM169" s="24">
        <f t="shared" si="54"/>
        <v>0</v>
      </c>
      <c r="AN169" s="55">
        <f t="shared" si="55"/>
        <v>0</v>
      </c>
      <c r="AO169" s="55">
        <f t="shared" si="56"/>
        <v>0</v>
      </c>
      <c r="AP169" s="24"/>
      <c r="AQ169" s="24"/>
      <c r="AR169" s="24"/>
      <c r="AS169" s="24"/>
      <c r="AT169" s="24"/>
      <c r="AU169" s="24"/>
      <c r="AV169" s="24"/>
      <c r="AW169" s="24"/>
      <c r="AX169" s="24"/>
      <c r="AY169" s="24"/>
      <c r="AZ169" s="24"/>
      <c r="BA169" s="24"/>
      <c r="BB169" s="24"/>
      <c r="BC169" s="24"/>
      <c r="BD169" s="24"/>
      <c r="BE169" s="24">
        <f t="shared" si="42"/>
        <v>84.92</v>
      </c>
      <c r="BF169" s="59">
        <f>BF168+365</f>
        <v>46112</v>
      </c>
      <c r="BG169" s="36">
        <f>BV158+AC214+($C$64-$BV$158)</f>
        <v>64.582139731794342</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60">INDEX(AN156:AR156,MATCH($CE$168,$AN$165:$AR$165,0))</f>
        <v>69.59</v>
      </c>
      <c r="CJ169" s="14">
        <f t="shared" ref="CJ169:CJ177" si="61">INDEX(AU156:AY156,MATCH($CE$168,$AN$165:$AR$165,0))</f>
        <v>129.52000000000001</v>
      </c>
    </row>
    <row r="170" spans="7:88">
      <c r="G170" s="12">
        <f t="shared" si="43"/>
        <v>0</v>
      </c>
      <c r="H170" s="12">
        <f t="shared" si="44"/>
        <v>0</v>
      </c>
      <c r="I170" s="12">
        <f t="shared" si="44"/>
        <v>0</v>
      </c>
      <c r="J170" s="12">
        <f t="shared" si="44"/>
        <v>0</v>
      </c>
      <c r="K170" s="12">
        <f t="shared" si="45"/>
        <v>0</v>
      </c>
      <c r="L170" s="12">
        <f t="shared" si="46"/>
        <v>0</v>
      </c>
      <c r="M170" s="12">
        <f t="shared" si="46"/>
        <v>0</v>
      </c>
      <c r="N170" s="12">
        <f t="shared" si="46"/>
        <v>0</v>
      </c>
      <c r="O170" s="12">
        <f t="shared" si="47"/>
        <v>0</v>
      </c>
      <c r="P170" s="12">
        <f t="shared" si="48"/>
        <v>0</v>
      </c>
      <c r="Q170" s="12">
        <f t="shared" si="48"/>
        <v>0</v>
      </c>
      <c r="T170" s="61"/>
      <c r="U170" s="61"/>
      <c r="V170" s="61"/>
      <c r="W170" s="53">
        <f t="shared" si="49"/>
        <v>-3040</v>
      </c>
      <c r="X170" s="54">
        <f t="shared" si="50"/>
        <v>17.118092105263159</v>
      </c>
      <c r="Y170" s="25">
        <f t="shared" si="57"/>
        <v>-5.4413783981534486E-2</v>
      </c>
      <c r="Z170" s="54">
        <f t="shared" ref="Z170:Z213" si="62">($C71/$BN$157)+($D71/$BN$158)</f>
        <v>-0.83416330843692355</v>
      </c>
      <c r="AA170" s="54">
        <f t="shared" si="51"/>
        <v>0</v>
      </c>
      <c r="AB170" s="54">
        <f t="shared" si="51"/>
        <v>0</v>
      </c>
      <c r="AC170" s="54">
        <f t="shared" si="51"/>
        <v>-0.83416330843692355</v>
      </c>
      <c r="AD170" s="54">
        <f t="shared" si="51"/>
        <v>-0.83416330843692355</v>
      </c>
      <c r="AE170" s="54">
        <f t="shared" si="51"/>
        <v>-0.83416330843692355</v>
      </c>
      <c r="AF170" s="54">
        <f t="shared" si="51"/>
        <v>-0.83416330843692355</v>
      </c>
      <c r="AG170" s="54">
        <f t="shared" si="51"/>
        <v>-0.83416330843692355</v>
      </c>
      <c r="AH170" s="54">
        <f t="shared" si="51"/>
        <v>-0.83416330843692355</v>
      </c>
      <c r="AI170" s="54">
        <f t="shared" si="51"/>
        <v>-0.83416330843692355</v>
      </c>
      <c r="AJ170" s="54">
        <f t="shared" si="51"/>
        <v>-0.83416330843692355</v>
      </c>
      <c r="AK170" s="54">
        <f t="shared" ref="AK170" si="63">IF($E71+365&lt;$C$56,0,IF($E71&lt;$C$56,(($E71+365-$C$56)/365)*(($C71/$BN$157)+($D71/$BN$158)),IF($E71&gt;AK$166,0,IF($E71+365&lt;AK$166,($C71/$BN$157)+($D71/$BN$158),((AK$166-$E71)/365)*(($C71/$BN$157)+($D71/$BN$158))))))</f>
        <v>-0.83416330843692355</v>
      </c>
      <c r="AL170" s="24">
        <f t="shared" si="53"/>
        <v>-20</v>
      </c>
      <c r="AM170" s="24">
        <f t="shared" si="54"/>
        <v>0</v>
      </c>
      <c r="AN170" s="55">
        <f t="shared" si="55"/>
        <v>52039</v>
      </c>
      <c r="AO170" s="55">
        <f t="shared" si="56"/>
        <v>0</v>
      </c>
      <c r="AP170" s="24"/>
      <c r="AQ170" s="24"/>
      <c r="AR170" s="24"/>
      <c r="AS170" s="24"/>
      <c r="AT170" s="24"/>
      <c r="AU170" s="24"/>
      <c r="AV170" s="24"/>
      <c r="AW170" s="24"/>
      <c r="AX170" s="24"/>
      <c r="AY170" s="24"/>
      <c r="AZ170" s="24"/>
      <c r="BA170" s="24"/>
      <c r="BB170" s="24"/>
      <c r="BC170" s="24"/>
      <c r="BD170" s="24"/>
      <c r="BE170" s="24">
        <f t="shared" si="42"/>
        <v>84.92</v>
      </c>
      <c r="BF170" s="59">
        <f>BF169+365</f>
        <v>46477</v>
      </c>
      <c r="BG170" s="36">
        <f>$BV$158+AD214+($C$64-$BV$158)</f>
        <v>58.013103677853557</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60"/>
        <v>84.92</v>
      </c>
      <c r="CJ170" s="14">
        <f t="shared" si="61"/>
        <v>158.69</v>
      </c>
    </row>
    <row r="171" spans="7:88">
      <c r="G171" s="12">
        <f t="shared" si="43"/>
        <v>0</v>
      </c>
      <c r="H171" s="12">
        <f t="shared" si="44"/>
        <v>0</v>
      </c>
      <c r="I171" s="12">
        <f t="shared" si="44"/>
        <v>40</v>
      </c>
      <c r="J171" s="12">
        <f t="shared" si="44"/>
        <v>40</v>
      </c>
      <c r="K171" s="12">
        <f t="shared" si="45"/>
        <v>40</v>
      </c>
      <c r="L171" s="12">
        <f t="shared" si="46"/>
        <v>40</v>
      </c>
      <c r="M171" s="12">
        <f t="shared" si="46"/>
        <v>40</v>
      </c>
      <c r="N171" s="12">
        <f t="shared" si="46"/>
        <v>40</v>
      </c>
      <c r="O171" s="12">
        <f t="shared" si="47"/>
        <v>40</v>
      </c>
      <c r="P171" s="12">
        <f t="shared" si="48"/>
        <v>40</v>
      </c>
      <c r="Q171" s="12">
        <f t="shared" si="48"/>
        <v>40</v>
      </c>
      <c r="T171" s="61"/>
      <c r="U171" s="61"/>
      <c r="V171" s="61"/>
      <c r="W171" s="53">
        <f t="shared" si="49"/>
        <v>0</v>
      </c>
      <c r="X171" s="54" t="e">
        <f t="shared" si="50"/>
        <v>#DIV/0!</v>
      </c>
      <c r="Y171" s="54">
        <f t="shared" si="57"/>
        <v>0</v>
      </c>
      <c r="Z171" s="54">
        <f>($C72/$BN$157)+($D72/$BN$158)</f>
        <v>0</v>
      </c>
      <c r="AA171" s="54">
        <f t="shared" si="51"/>
        <v>0</v>
      </c>
      <c r="AB171" s="54">
        <f t="shared" si="51"/>
        <v>0</v>
      </c>
      <c r="AC171" s="54">
        <f t="shared" si="51"/>
        <v>0</v>
      </c>
      <c r="AD171" s="54">
        <f t="shared" si="51"/>
        <v>0</v>
      </c>
      <c r="AE171" s="54">
        <f t="shared" si="51"/>
        <v>0</v>
      </c>
      <c r="AF171" s="54">
        <f>IF($E72+365&lt;$C$56,0,IF($E72&lt;$C$56,(($E72+365-$C$56)/365)*(($C72/$BN$157)+($D72/$BN$158)),IF($E72&gt;AF$166,0,IF($E72+365&lt;AF$166,($C72/$BN$157)+($D72/$BN$158),((AF$166-$E72)/365)*(($C72/$BN$157)+($D72/$BN$158))))))</f>
        <v>0</v>
      </c>
      <c r="AG171" s="54">
        <f t="shared" si="51"/>
        <v>0</v>
      </c>
      <c r="AH171" s="54">
        <f t="shared" si="51"/>
        <v>0</v>
      </c>
      <c r="AI171" s="54">
        <f t="shared" si="51"/>
        <v>0</v>
      </c>
      <c r="AJ171" s="54">
        <f t="shared" si="51"/>
        <v>0</v>
      </c>
      <c r="AK171" s="54">
        <f t="shared" ref="AK171" si="64">IF($E72+365&lt;$C$56,0,IF($E72&lt;$C$56,(($E72+365-$C$56)/365)*(($C72/$BN$157)+($D72/$BN$158)),IF($E72&gt;AK$166,0,IF($E72+365&lt;AK$166,($C72/$BN$157)+($D72/$BN$158),((AK$166-$E72)/365)*(($C72/$BN$157)+($D72/$BN$158))))))</f>
        <v>0</v>
      </c>
      <c r="AL171" s="24">
        <f t="shared" si="53"/>
        <v>0</v>
      </c>
      <c r="AM171" s="24">
        <f t="shared" si="54"/>
        <v>0</v>
      </c>
      <c r="AN171" s="55">
        <f t="shared" si="55"/>
        <v>0</v>
      </c>
      <c r="AO171" s="55">
        <f t="shared" si="56"/>
        <v>0</v>
      </c>
      <c r="AP171" s="24"/>
      <c r="AQ171" s="24"/>
      <c r="AR171" s="24"/>
      <c r="AS171" s="24"/>
      <c r="AT171" s="24"/>
      <c r="AU171" s="24"/>
      <c r="AV171" s="24"/>
      <c r="AW171" s="24"/>
      <c r="AX171" s="24"/>
      <c r="AY171" s="24"/>
      <c r="AZ171" s="24"/>
      <c r="BA171" s="24"/>
      <c r="BB171" s="24"/>
      <c r="BC171" s="24"/>
      <c r="BD171" s="24"/>
      <c r="BE171" s="24">
        <f t="shared" si="42"/>
        <v>84.92</v>
      </c>
      <c r="BF171" s="59">
        <f t="shared" ref="BF171:BF176" si="65">BF170+365</f>
        <v>46842</v>
      </c>
      <c r="BG171" s="36">
        <f>$BV$158+AE214+($C$64-$BV$158)</f>
        <v>58.013103677853557</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60"/>
        <v>100.25</v>
      </c>
      <c r="CJ171" s="14">
        <f t="shared" si="61"/>
        <v>187.86</v>
      </c>
    </row>
    <row r="172" spans="7:88">
      <c r="G172" s="12">
        <f t="shared" si="43"/>
        <v>0</v>
      </c>
      <c r="H172" s="12">
        <f t="shared" si="44"/>
        <v>0</v>
      </c>
      <c r="I172" s="12">
        <f t="shared" si="44"/>
        <v>0</v>
      </c>
      <c r="J172" s="12">
        <f t="shared" si="44"/>
        <v>-160</v>
      </c>
      <c r="K172" s="12">
        <f t="shared" si="45"/>
        <v>-160</v>
      </c>
      <c r="L172" s="12">
        <f t="shared" si="46"/>
        <v>-160</v>
      </c>
      <c r="M172" s="12">
        <f t="shared" si="46"/>
        <v>-160</v>
      </c>
      <c r="N172" s="12">
        <f t="shared" si="46"/>
        <v>-160</v>
      </c>
      <c r="O172" s="12">
        <f t="shared" si="47"/>
        <v>-160</v>
      </c>
      <c r="P172" s="12">
        <f t="shared" si="48"/>
        <v>-160</v>
      </c>
      <c r="Q172" s="12">
        <f t="shared" si="48"/>
        <v>-160</v>
      </c>
      <c r="T172" s="61"/>
      <c r="U172" s="61"/>
      <c r="V172" s="61"/>
      <c r="W172" s="53">
        <f t="shared" si="49"/>
        <v>6080</v>
      </c>
      <c r="X172" s="54">
        <f t="shared" si="50"/>
        <v>-90.344736842105263</v>
      </c>
      <c r="Y172" s="25">
        <f>Z172/$BH$166</f>
        <v>1.8070207707938667E-2</v>
      </c>
      <c r="Z172" s="54">
        <f t="shared" si="62"/>
        <v>0.27701628416269974</v>
      </c>
      <c r="AA172" s="54">
        <f t="shared" si="51"/>
        <v>0</v>
      </c>
      <c r="AB172" s="54">
        <f t="shared" si="51"/>
        <v>0</v>
      </c>
      <c r="AC172" s="54">
        <f t="shared" si="51"/>
        <v>0.27701628416269974</v>
      </c>
      <c r="AD172" s="54">
        <f t="shared" si="51"/>
        <v>0.27701628416269974</v>
      </c>
      <c r="AE172" s="54">
        <f t="shared" si="51"/>
        <v>0.27701628416269974</v>
      </c>
      <c r="AF172" s="54">
        <f t="shared" si="51"/>
        <v>0.27701628416269974</v>
      </c>
      <c r="AG172" s="54">
        <f t="shared" si="51"/>
        <v>0.27701628416269974</v>
      </c>
      <c r="AH172" s="54">
        <f t="shared" si="51"/>
        <v>0.27701628416269974</v>
      </c>
      <c r="AI172" s="54">
        <f t="shared" si="51"/>
        <v>0.27701628416269974</v>
      </c>
      <c r="AJ172" s="54">
        <f t="shared" si="51"/>
        <v>0.27701628416269974</v>
      </c>
      <c r="AK172" s="54">
        <f t="shared" ref="AK172" si="66">IF($E73+365&lt;$C$56,0,IF($E73&lt;$C$56,(($E73+365-$C$56)/365)*(($C73/$BN$157)+($D73/$BN$158)),IF($E73&gt;AK$166,0,IF($E73+365&lt;AK$166,($C73/$BN$157)+($D73/$BN$158),((AK$166-$E73)/365)*(($C73/$BN$157)+($D73/$BN$158))))))</f>
        <v>0.27701628416269974</v>
      </c>
      <c r="AL172" s="24">
        <f t="shared" si="53"/>
        <v>40</v>
      </c>
      <c r="AM172" s="24">
        <f t="shared" si="54"/>
        <v>-526.40096618357484</v>
      </c>
      <c r="AN172" s="55">
        <f t="shared" si="55"/>
        <v>549296</v>
      </c>
      <c r="AO172" s="55">
        <f t="shared" si="56"/>
        <v>0</v>
      </c>
      <c r="AP172" s="24"/>
      <c r="AQ172" s="24"/>
      <c r="AR172" s="24"/>
      <c r="AS172" s="24"/>
      <c r="AT172" s="24"/>
      <c r="AU172" s="24"/>
      <c r="AV172" s="24"/>
      <c r="AW172" s="24"/>
      <c r="AX172" s="24"/>
      <c r="AY172" s="24"/>
      <c r="AZ172" s="24"/>
      <c r="BA172" s="24"/>
      <c r="BB172" s="24"/>
      <c r="BC172" s="24"/>
      <c r="BD172" s="24"/>
      <c r="BE172" s="24">
        <f t="shared" si="42"/>
        <v>84.92</v>
      </c>
      <c r="BF172" s="59">
        <f t="shared" si="65"/>
        <v>47207</v>
      </c>
      <c r="BG172" s="36">
        <f>$BV$158+AF214+($C$64-$BV$158)</f>
        <v>58.013103677853557</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60"/>
        <v>115.57</v>
      </c>
      <c r="CJ172" s="14">
        <f t="shared" si="61"/>
        <v>217.04</v>
      </c>
    </row>
    <row r="173" spans="7:88">
      <c r="G173" s="12">
        <f t="shared" si="43"/>
        <v>0</v>
      </c>
      <c r="H173" s="12">
        <f t="shared" si="44"/>
        <v>0</v>
      </c>
      <c r="I173" s="12">
        <f t="shared" si="44"/>
        <v>0</v>
      </c>
      <c r="J173" s="12">
        <f t="shared" si="44"/>
        <v>-40</v>
      </c>
      <c r="K173" s="12">
        <f t="shared" si="45"/>
        <v>-40</v>
      </c>
      <c r="L173" s="12">
        <f t="shared" si="46"/>
        <v>-40</v>
      </c>
      <c r="M173" s="12">
        <f t="shared" si="46"/>
        <v>-40</v>
      </c>
      <c r="N173" s="12">
        <f t="shared" si="46"/>
        <v>-40</v>
      </c>
      <c r="O173" s="12">
        <f t="shared" si="47"/>
        <v>-40</v>
      </c>
      <c r="P173" s="12">
        <f t="shared" si="48"/>
        <v>-40</v>
      </c>
      <c r="Q173" s="12">
        <f t="shared" si="48"/>
        <v>-40</v>
      </c>
      <c r="T173" s="61"/>
      <c r="U173" s="61"/>
      <c r="V173" s="61"/>
      <c r="W173" s="53">
        <f t="shared" si="49"/>
        <v>-24320</v>
      </c>
      <c r="X173" s="54">
        <f t="shared" si="50"/>
        <v>45.86348684210526</v>
      </c>
      <c r="Y173" s="25">
        <f t="shared" si="57"/>
        <v>-0.43531027185227589</v>
      </c>
      <c r="Z173" s="54">
        <f t="shared" si="62"/>
        <v>-6.6733064674953884</v>
      </c>
      <c r="AA173" s="54">
        <f t="shared" si="51"/>
        <v>0</v>
      </c>
      <c r="AB173" s="54">
        <f t="shared" si="51"/>
        <v>0</v>
      </c>
      <c r="AC173" s="54">
        <f t="shared" si="51"/>
        <v>0</v>
      </c>
      <c r="AD173" s="54">
        <f t="shared" si="51"/>
        <v>-6.6733064674953884</v>
      </c>
      <c r="AE173" s="54">
        <f t="shared" si="51"/>
        <v>-6.6733064674953884</v>
      </c>
      <c r="AF173" s="54">
        <f t="shared" si="51"/>
        <v>-6.6733064674953884</v>
      </c>
      <c r="AG173" s="54">
        <f t="shared" si="51"/>
        <v>-6.6733064674953884</v>
      </c>
      <c r="AH173" s="54">
        <f t="shared" si="51"/>
        <v>-6.6733064674953884</v>
      </c>
      <c r="AI173" s="54">
        <f t="shared" si="51"/>
        <v>-6.6733064674953884</v>
      </c>
      <c r="AJ173" s="54">
        <f t="shared" si="51"/>
        <v>-6.6733064674953884</v>
      </c>
      <c r="AK173" s="54">
        <f t="shared" ref="AK173" si="67">IF($E74+365&lt;$C$56,0,IF($E74&lt;$C$56,(($E74+365-$C$56)/365)*(($C74/$BN$157)+($D74/$BN$158)),IF($E74&gt;AK$166,0,IF($E74+365&lt;AK$166,($C74/$BN$157)+($D74/$BN$158),((AK$166-$E74)/365)*(($C74/$BN$157)+($D74/$BN$158))))))</f>
        <v>-6.6733064674953884</v>
      </c>
      <c r="AL173" s="24">
        <f t="shared" si="53"/>
        <v>-160</v>
      </c>
      <c r="AM173" s="24">
        <f t="shared" si="54"/>
        <v>0</v>
      </c>
      <c r="AN173" s="55">
        <f t="shared" si="55"/>
        <v>1115400</v>
      </c>
      <c r="AO173" s="55">
        <f t="shared" si="56"/>
        <v>0</v>
      </c>
      <c r="AP173" s="24"/>
      <c r="AQ173" s="24"/>
      <c r="AR173" s="24"/>
      <c r="AS173" s="24"/>
      <c r="AT173" s="24"/>
      <c r="AU173" s="24"/>
      <c r="AV173" s="24"/>
      <c r="AW173" s="24"/>
      <c r="AX173" s="24"/>
      <c r="AY173" s="24"/>
      <c r="AZ173" s="24"/>
      <c r="BA173" s="24"/>
      <c r="BB173" s="24"/>
      <c r="BC173" s="24"/>
      <c r="BD173" s="24"/>
      <c r="BE173" s="24">
        <f t="shared" si="42"/>
        <v>84.92</v>
      </c>
      <c r="BF173" s="59">
        <f t="shared" si="65"/>
        <v>47572</v>
      </c>
      <c r="BG173" s="36">
        <f>$BV$158+AG214+($C$64-$BV$158)</f>
        <v>58.013103677853557</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60"/>
        <v>130.9</v>
      </c>
      <c r="CJ173" s="14">
        <f t="shared" si="61"/>
        <v>246.21</v>
      </c>
    </row>
    <row r="174" spans="7:88">
      <c r="G174" s="12">
        <f t="shared" si="43"/>
        <v>0</v>
      </c>
      <c r="H174" s="12">
        <f t="shared" si="44"/>
        <v>0</v>
      </c>
      <c r="I174" s="12">
        <f t="shared" si="44"/>
        <v>0</v>
      </c>
      <c r="J174" s="12">
        <f t="shared" si="44"/>
        <v>0</v>
      </c>
      <c r="K174" s="12">
        <f t="shared" si="45"/>
        <v>0</v>
      </c>
      <c r="L174" s="12">
        <f t="shared" si="46"/>
        <v>0</v>
      </c>
      <c r="M174" s="12">
        <f t="shared" si="46"/>
        <v>0</v>
      </c>
      <c r="N174" s="12">
        <f t="shared" si="46"/>
        <v>0</v>
      </c>
      <c r="O174" s="12">
        <f t="shared" si="47"/>
        <v>0</v>
      </c>
      <c r="P174" s="12">
        <f t="shared" si="48"/>
        <v>0</v>
      </c>
      <c r="Q174" s="12">
        <f t="shared" si="48"/>
        <v>0</v>
      </c>
      <c r="T174" s="61"/>
      <c r="U174" s="61"/>
      <c r="V174" s="61"/>
      <c r="W174" s="53">
        <f t="shared" si="49"/>
        <v>-6080</v>
      </c>
      <c r="X174" s="54">
        <f t="shared" si="50"/>
        <v>60.298355263157895</v>
      </c>
      <c r="Y174" s="25">
        <f t="shared" si="57"/>
        <v>-0.10882756796306897</v>
      </c>
      <c r="Z174" s="54">
        <f t="shared" si="62"/>
        <v>-1.6683266168738471</v>
      </c>
      <c r="AA174" s="54">
        <f t="shared" si="51"/>
        <v>0</v>
      </c>
      <c r="AB174" s="54">
        <f t="shared" si="51"/>
        <v>0</v>
      </c>
      <c r="AC174" s="54">
        <f t="shared" si="51"/>
        <v>0</v>
      </c>
      <c r="AD174" s="54">
        <f t="shared" si="51"/>
        <v>-1.6683266168738471</v>
      </c>
      <c r="AE174" s="54">
        <f t="shared" si="51"/>
        <v>-1.6683266168738471</v>
      </c>
      <c r="AF174" s="54">
        <f t="shared" si="51"/>
        <v>-1.6683266168738471</v>
      </c>
      <c r="AG174" s="54">
        <f t="shared" si="51"/>
        <v>-1.6683266168738471</v>
      </c>
      <c r="AH174" s="54">
        <f t="shared" si="51"/>
        <v>-1.6683266168738471</v>
      </c>
      <c r="AI174" s="54">
        <f t="shared" si="51"/>
        <v>-1.6683266168738471</v>
      </c>
      <c r="AJ174" s="54">
        <f t="shared" si="51"/>
        <v>-1.6683266168738471</v>
      </c>
      <c r="AK174" s="54">
        <f t="shared" ref="AK174" si="68">IF($E75+365&lt;$C$56,0,IF($E75&lt;$C$56,(($E75+365-$C$56)/365)*(($C75/$BN$157)+($D75/$BN$158)),IF($E75&gt;AK$166,0,IF($E75+365&lt;AK$166,($C75/$BN$157)+($D75/$BN$158),((AK$166-$E75)/365)*(($C75/$BN$157)+($D75/$BN$158))))))</f>
        <v>-1.6683266168738471</v>
      </c>
      <c r="AL174" s="24">
        <f t="shared" si="53"/>
        <v>-40</v>
      </c>
      <c r="AM174" s="24">
        <f t="shared" si="54"/>
        <v>0</v>
      </c>
      <c r="AN174" s="55">
        <f t="shared" si="55"/>
        <v>366614</v>
      </c>
      <c r="AO174" s="55">
        <f t="shared" si="56"/>
        <v>0</v>
      </c>
      <c r="AP174" s="24"/>
      <c r="AQ174" s="24"/>
      <c r="AR174" s="24"/>
      <c r="AS174" s="24"/>
      <c r="AT174" s="24"/>
      <c r="AU174" s="24"/>
      <c r="AV174" s="24"/>
      <c r="AW174" s="24"/>
      <c r="AX174" s="24"/>
      <c r="AY174" s="24"/>
      <c r="AZ174" s="24"/>
      <c r="BA174" s="24"/>
      <c r="BB174" s="24"/>
      <c r="BC174" s="24"/>
      <c r="BD174" s="24"/>
      <c r="BE174" s="24">
        <f t="shared" si="42"/>
        <v>84.92</v>
      </c>
      <c r="BF174" s="59">
        <f t="shared" si="65"/>
        <v>47937</v>
      </c>
      <c r="BG174" s="36">
        <f>$BV$158+AH214+($C$64-$BV$158)</f>
        <v>58.490194380418849</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60"/>
        <v>146.22999999999999</v>
      </c>
      <c r="CJ174" s="14">
        <f t="shared" si="61"/>
        <v>275.38</v>
      </c>
    </row>
    <row r="175" spans="7:88">
      <c r="G175" s="12">
        <f t="shared" si="43"/>
        <v>0</v>
      </c>
      <c r="H175" s="12">
        <f t="shared" si="44"/>
        <v>0</v>
      </c>
      <c r="I175" s="12">
        <f t="shared" si="44"/>
        <v>0</v>
      </c>
      <c r="J175" s="12">
        <f t="shared" si="44"/>
        <v>-10</v>
      </c>
      <c r="K175" s="12">
        <f t="shared" si="45"/>
        <v>-10</v>
      </c>
      <c r="L175" s="12">
        <f t="shared" si="46"/>
        <v>-10</v>
      </c>
      <c r="M175" s="12">
        <f t="shared" si="46"/>
        <v>-10</v>
      </c>
      <c r="N175" s="12">
        <f t="shared" si="46"/>
        <v>-10</v>
      </c>
      <c r="O175" s="12">
        <f t="shared" si="47"/>
        <v>-10</v>
      </c>
      <c r="P175" s="12">
        <f t="shared" si="48"/>
        <v>-10</v>
      </c>
      <c r="Q175" s="12">
        <f t="shared" si="48"/>
        <v>-10</v>
      </c>
      <c r="T175" s="61"/>
      <c r="U175" s="61"/>
      <c r="V175" s="61"/>
      <c r="W175" s="53">
        <f t="shared" si="49"/>
        <v>0</v>
      </c>
      <c r="X175" s="54" t="e">
        <f t="shared" si="50"/>
        <v>#DIV/0!</v>
      </c>
      <c r="Y175" s="25">
        <f t="shared" si="57"/>
        <v>0</v>
      </c>
      <c r="Z175" s="54">
        <f t="shared" si="62"/>
        <v>0</v>
      </c>
      <c r="AA175" s="54">
        <f t="shared" si="51"/>
        <v>0</v>
      </c>
      <c r="AB175" s="54">
        <f t="shared" si="51"/>
        <v>0</v>
      </c>
      <c r="AC175" s="54">
        <f t="shared" si="51"/>
        <v>0</v>
      </c>
      <c r="AD175" s="54">
        <f t="shared" si="51"/>
        <v>0</v>
      </c>
      <c r="AE175" s="54">
        <f t="shared" si="51"/>
        <v>0</v>
      </c>
      <c r="AF175" s="54">
        <f t="shared" si="51"/>
        <v>0</v>
      </c>
      <c r="AG175" s="54">
        <f t="shared" si="51"/>
        <v>0</v>
      </c>
      <c r="AH175" s="54">
        <f t="shared" si="51"/>
        <v>0</v>
      </c>
      <c r="AI175" s="54">
        <f t="shared" si="51"/>
        <v>0</v>
      </c>
      <c r="AJ175" s="54">
        <f t="shared" si="51"/>
        <v>0</v>
      </c>
      <c r="AK175" s="54">
        <f t="shared" ref="AK175" si="69">IF($E76+365&lt;$C$56,0,IF($E76&lt;$C$56,(($E76+365-$C$56)/365)*(($C76/$BN$157)+($D76/$BN$158)),IF($E76&gt;AK$166,0,IF($E76+365&lt;AK$166,($C76/$BN$157)+($D76/$BN$158),((AK$166-$E76)/365)*(($C76/$BN$157)+($D76/$BN$158))))))</f>
        <v>0</v>
      </c>
      <c r="AL175" s="24">
        <f t="shared" si="53"/>
        <v>0</v>
      </c>
      <c r="AM175" s="24">
        <f t="shared" si="54"/>
        <v>0</v>
      </c>
      <c r="AN175" s="55">
        <f t="shared" si="55"/>
        <v>104014</v>
      </c>
      <c r="AO175" s="55">
        <f t="shared" si="56"/>
        <v>0</v>
      </c>
      <c r="AP175" s="24"/>
      <c r="AQ175" s="24"/>
      <c r="AR175" s="24"/>
      <c r="AS175" s="24"/>
      <c r="AT175" s="24"/>
      <c r="AU175" s="24"/>
      <c r="AV175" s="24"/>
      <c r="AW175" s="24"/>
      <c r="AX175" s="24"/>
      <c r="AY175" s="24"/>
      <c r="AZ175" s="24"/>
      <c r="BA175" s="24"/>
      <c r="BB175" s="24"/>
      <c r="BC175" s="24"/>
      <c r="BD175" s="24"/>
      <c r="BE175" s="24">
        <f t="shared" si="42"/>
        <v>84.92</v>
      </c>
      <c r="BF175" s="59">
        <f t="shared" si="65"/>
        <v>48302</v>
      </c>
      <c r="BG175" s="36">
        <f>$BV$158+AI214+($C$64-$BV$158)</f>
        <v>58.490194380418849</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60"/>
        <v>161.56</v>
      </c>
      <c r="CJ175" s="14">
        <f t="shared" si="61"/>
        <v>304.55</v>
      </c>
    </row>
    <row r="176" spans="7:88">
      <c r="G176" s="12">
        <f t="shared" si="43"/>
        <v>0</v>
      </c>
      <c r="H176" s="12">
        <f t="shared" si="44"/>
        <v>0</v>
      </c>
      <c r="I176" s="12">
        <f t="shared" si="44"/>
        <v>0</v>
      </c>
      <c r="J176" s="12">
        <f t="shared" si="44"/>
        <v>0</v>
      </c>
      <c r="K176" s="12">
        <f t="shared" si="45"/>
        <v>0</v>
      </c>
      <c r="L176" s="12">
        <f t="shared" si="46"/>
        <v>0</v>
      </c>
      <c r="M176" s="12">
        <f t="shared" si="46"/>
        <v>0</v>
      </c>
      <c r="N176" s="12">
        <f t="shared" si="46"/>
        <v>0</v>
      </c>
      <c r="O176" s="12">
        <f t="shared" si="47"/>
        <v>0</v>
      </c>
      <c r="P176" s="12">
        <f t="shared" si="48"/>
        <v>0</v>
      </c>
      <c r="Q176" s="12">
        <f t="shared" si="48"/>
        <v>0</v>
      </c>
      <c r="T176" s="61"/>
      <c r="U176" s="61"/>
      <c r="V176" s="61"/>
      <c r="W176" s="53">
        <f t="shared" si="49"/>
        <v>-1520</v>
      </c>
      <c r="X176" s="54">
        <f t="shared" si="50"/>
        <v>76.983157894736834</v>
      </c>
      <c r="Y176" s="25">
        <f t="shared" si="57"/>
        <v>-2.7206891990767243E-2</v>
      </c>
      <c r="Z176" s="54">
        <f t="shared" si="62"/>
        <v>-0.41708165421846177</v>
      </c>
      <c r="AA176" s="54">
        <f t="shared" si="51"/>
        <v>0</v>
      </c>
      <c r="AB176" s="54">
        <f t="shared" si="51"/>
        <v>0</v>
      </c>
      <c r="AC176" s="54">
        <f t="shared" si="51"/>
        <v>0</v>
      </c>
      <c r="AD176" s="54">
        <f t="shared" si="51"/>
        <v>-0.41708165421846177</v>
      </c>
      <c r="AE176" s="54">
        <f t="shared" si="51"/>
        <v>-0.41708165421846177</v>
      </c>
      <c r="AF176" s="54">
        <f t="shared" si="51"/>
        <v>-0.41708165421846177</v>
      </c>
      <c r="AG176" s="54">
        <f t="shared" si="51"/>
        <v>-0.41708165421846177</v>
      </c>
      <c r="AH176" s="54">
        <f t="shared" si="51"/>
        <v>-0.41708165421846177</v>
      </c>
      <c r="AI176" s="54">
        <f t="shared" si="51"/>
        <v>-0.41708165421846177</v>
      </c>
      <c r="AJ176" s="54">
        <f t="shared" si="51"/>
        <v>-0.41708165421846177</v>
      </c>
      <c r="AK176" s="54">
        <f t="shared" ref="AK176" si="70">IF($E77+365&lt;$C$56,0,IF($E77&lt;$C$56,(($E77+365-$C$56)/365)*(($C77/$BN$157)+($D77/$BN$158)),IF($E77&gt;AK$166,0,IF($E77+365&lt;AK$166,($C77/$BN$157)+($D77/$BN$158),((AK$166-$E77)/365)*(($C77/$BN$157)+($D77/$BN$158))))))</f>
        <v>-0.41708165421846177</v>
      </c>
      <c r="AL176" s="24">
        <f t="shared" si="53"/>
        <v>-10</v>
      </c>
      <c r="AM176" s="24">
        <f t="shared" si="54"/>
        <v>0</v>
      </c>
      <c r="AN176" s="55">
        <f t="shared" si="55"/>
        <v>117014.39999999999</v>
      </c>
      <c r="AO176" s="55">
        <f t="shared" si="56"/>
        <v>0</v>
      </c>
      <c r="AP176" s="24"/>
      <c r="AQ176" s="24"/>
      <c r="AR176" s="24"/>
      <c r="AS176" s="24"/>
      <c r="AT176" s="24"/>
      <c r="AU176" s="24"/>
      <c r="AV176" s="24"/>
      <c r="AW176" s="24"/>
      <c r="AX176" s="24"/>
      <c r="AY176" s="24"/>
      <c r="AZ176" s="24"/>
      <c r="BA176" s="24"/>
      <c r="BB176" s="24"/>
      <c r="BC176" s="24"/>
      <c r="BD176" s="24"/>
      <c r="BE176" s="24">
        <f t="shared" si="42"/>
        <v>84.92</v>
      </c>
      <c r="BF176" s="59">
        <f t="shared" si="65"/>
        <v>48667</v>
      </c>
      <c r="BG176" s="36">
        <f>$BV$158+AJ214+($C$64-$BV$158)</f>
        <v>58.490194380418849</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60"/>
        <v>176.89</v>
      </c>
      <c r="CJ176" s="14">
        <f t="shared" si="61"/>
        <v>333.72</v>
      </c>
    </row>
    <row r="177" spans="7:88">
      <c r="G177" s="12">
        <f t="shared" si="43"/>
        <v>0</v>
      </c>
      <c r="H177" s="12">
        <f t="shared" si="44"/>
        <v>0</v>
      </c>
      <c r="I177" s="12">
        <f t="shared" si="44"/>
        <v>0</v>
      </c>
      <c r="J177" s="12">
        <f t="shared" si="44"/>
        <v>0</v>
      </c>
      <c r="K177" s="12">
        <f t="shared" si="45"/>
        <v>0</v>
      </c>
      <c r="L177" s="12">
        <f t="shared" si="46"/>
        <v>0</v>
      </c>
      <c r="M177" s="12">
        <f t="shared" si="46"/>
        <v>0</v>
      </c>
      <c r="N177" s="12">
        <f t="shared" si="46"/>
        <v>0</v>
      </c>
      <c r="O177" s="12">
        <f t="shared" si="47"/>
        <v>0</v>
      </c>
      <c r="P177" s="12">
        <f t="shared" si="48"/>
        <v>0</v>
      </c>
      <c r="Q177" s="12">
        <f t="shared" si="48"/>
        <v>0</v>
      </c>
      <c r="T177" s="61"/>
      <c r="U177" s="61"/>
      <c r="V177" s="61"/>
      <c r="W177" s="53">
        <f t="shared" si="49"/>
        <v>0</v>
      </c>
      <c r="X177" s="54" t="e">
        <f t="shared" si="50"/>
        <v>#DIV/0!</v>
      </c>
      <c r="Y177" s="25">
        <f t="shared" si="57"/>
        <v>0</v>
      </c>
      <c r="Z177" s="54">
        <f t="shared" si="62"/>
        <v>0</v>
      </c>
      <c r="AA177" s="54">
        <f t="shared" si="51"/>
        <v>0</v>
      </c>
      <c r="AB177" s="54">
        <f t="shared" si="51"/>
        <v>0</v>
      </c>
      <c r="AC177" s="54">
        <f t="shared" si="51"/>
        <v>0</v>
      </c>
      <c r="AD177" s="54">
        <f t="shared" si="51"/>
        <v>0</v>
      </c>
      <c r="AE177" s="54">
        <f t="shared" si="51"/>
        <v>0</v>
      </c>
      <c r="AF177" s="54">
        <f t="shared" si="51"/>
        <v>0</v>
      </c>
      <c r="AG177" s="54">
        <f t="shared" si="51"/>
        <v>0</v>
      </c>
      <c r="AH177" s="54">
        <f t="shared" si="51"/>
        <v>0</v>
      </c>
      <c r="AI177" s="54">
        <f t="shared" si="51"/>
        <v>0</v>
      </c>
      <c r="AJ177" s="54">
        <f t="shared" si="51"/>
        <v>0</v>
      </c>
      <c r="AK177" s="54">
        <f t="shared" ref="AK177" si="71">IF($E78+365&lt;$C$56,0,IF($E78&lt;$C$56,(($E78+365-$C$56)/365)*(($C78/$BN$157)+($D78/$BN$158)),IF($E78&gt;AK$166,0,IF($E78+365&lt;AK$166,($C78/$BN$157)+($D78/$BN$158),((AK$166-$E78)/365)*(($C78/$BN$157)+($D78/$BN$158))))))</f>
        <v>0</v>
      </c>
      <c r="AL177" s="24">
        <f t="shared" si="53"/>
        <v>0</v>
      </c>
      <c r="AM177" s="24">
        <f t="shared" si="54"/>
        <v>0</v>
      </c>
      <c r="AN177" s="55">
        <f t="shared" si="55"/>
        <v>104011</v>
      </c>
      <c r="AO177" s="55">
        <f t="shared" si="56"/>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60"/>
        <v>192.21</v>
      </c>
      <c r="CJ177" s="14">
        <f t="shared" si="61"/>
        <v>362.89</v>
      </c>
    </row>
    <row r="178" spans="7:88">
      <c r="G178" s="12">
        <f t="shared" si="43"/>
        <v>0</v>
      </c>
      <c r="H178" s="12">
        <f t="shared" si="44"/>
        <v>0</v>
      </c>
      <c r="I178" s="12">
        <f t="shared" si="44"/>
        <v>0</v>
      </c>
      <c r="J178" s="12">
        <f t="shared" si="44"/>
        <v>0</v>
      </c>
      <c r="K178" s="12">
        <f t="shared" si="45"/>
        <v>0</v>
      </c>
      <c r="L178" s="12">
        <f t="shared" si="46"/>
        <v>0</v>
      </c>
      <c r="M178" s="12">
        <f t="shared" si="46"/>
        <v>0</v>
      </c>
      <c r="N178" s="12">
        <f t="shared" si="46"/>
        <v>20</v>
      </c>
      <c r="O178" s="12">
        <f t="shared" si="47"/>
        <v>20</v>
      </c>
      <c r="P178" s="12">
        <f t="shared" si="48"/>
        <v>20</v>
      </c>
      <c r="Q178" s="12">
        <f t="shared" si="48"/>
        <v>20</v>
      </c>
      <c r="T178" s="61"/>
      <c r="U178" s="61"/>
      <c r="V178" s="61"/>
      <c r="W178" s="53">
        <f t="shared" si="49"/>
        <v>0</v>
      </c>
      <c r="X178" s="54" t="e">
        <f t="shared" si="50"/>
        <v>#DIV/0!</v>
      </c>
      <c r="Y178" s="25">
        <f t="shared" si="57"/>
        <v>0</v>
      </c>
      <c r="Z178" s="54">
        <f t="shared" si="62"/>
        <v>0</v>
      </c>
      <c r="AA178" s="54">
        <f t="shared" si="51"/>
        <v>0</v>
      </c>
      <c r="AB178" s="54">
        <f t="shared" si="51"/>
        <v>0</v>
      </c>
      <c r="AC178" s="54">
        <f>IF($E79+365&lt;$C$56,0,IF($E79&lt;$C$56,(($E79+365-$C$56)/365)*(($C79/$BN$157)+($D79/$BN$158)),IF($E79&gt;AC$166,0,IF($E79+365&lt;AC$166,($C79/$BN$157)+($D79/$BN$158),((AC$166-$E79)/365)*(($C79/$BN$157)+($D79/$BN$158))))))</f>
        <v>0</v>
      </c>
      <c r="AD178" s="54">
        <f t="shared" si="51"/>
        <v>0</v>
      </c>
      <c r="AE178" s="54">
        <f t="shared" si="51"/>
        <v>0</v>
      </c>
      <c r="AF178" s="54">
        <f t="shared" si="51"/>
        <v>0</v>
      </c>
      <c r="AG178" s="54">
        <f t="shared" si="51"/>
        <v>0</v>
      </c>
      <c r="AH178" s="54">
        <f t="shared" si="51"/>
        <v>0</v>
      </c>
      <c r="AI178" s="54">
        <f t="shared" si="51"/>
        <v>0</v>
      </c>
      <c r="AJ178" s="54">
        <f t="shared" si="51"/>
        <v>0</v>
      </c>
      <c r="AK178" s="54">
        <f t="shared" ref="AK178" si="72">IF($E79+365&lt;$C$56,0,IF($E79&lt;$C$56,(($E79+365-$C$56)/365)*(($C79/$BN$157)+($D79/$BN$158)),IF($E79&gt;AK$166,0,IF($E79+365&lt;AK$166,($C79/$BN$157)+($D79/$BN$158),((AK$166-$E79)/365)*(($C79/$BN$157)+($D79/$BN$158))))))</f>
        <v>0</v>
      </c>
      <c r="AL178" s="24">
        <f t="shared" si="53"/>
        <v>0</v>
      </c>
      <c r="AM178" s="24">
        <f t="shared" si="54"/>
        <v>0</v>
      </c>
      <c r="AN178" s="55">
        <f t="shared" si="55"/>
        <v>52032</v>
      </c>
      <c r="AO178" s="55">
        <f t="shared" si="56"/>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3"/>
        <v>0</v>
      </c>
      <c r="H179" s="12">
        <f t="shared" si="44"/>
        <v>0</v>
      </c>
      <c r="I179" s="12">
        <f t="shared" si="44"/>
        <v>0</v>
      </c>
      <c r="J179" s="12">
        <f t="shared" si="44"/>
        <v>0</v>
      </c>
      <c r="K179" s="12">
        <f t="shared" si="45"/>
        <v>0</v>
      </c>
      <c r="L179" s="12">
        <f t="shared" si="46"/>
        <v>0</v>
      </c>
      <c r="M179" s="12">
        <f t="shared" si="46"/>
        <v>0</v>
      </c>
      <c r="N179" s="12">
        <f t="shared" si="46"/>
        <v>0</v>
      </c>
      <c r="O179" s="12">
        <f t="shared" si="47"/>
        <v>0</v>
      </c>
      <c r="P179" s="12">
        <f t="shared" si="48"/>
        <v>0</v>
      </c>
      <c r="Q179" s="12">
        <f t="shared" si="48"/>
        <v>-150</v>
      </c>
      <c r="T179" s="61"/>
      <c r="U179" s="61"/>
      <c r="V179" s="61"/>
      <c r="W179" s="53">
        <f t="shared" si="49"/>
        <v>3040</v>
      </c>
      <c r="X179" s="54">
        <f t="shared" si="50"/>
        <v>-141.86907894736842</v>
      </c>
      <c r="Y179" s="25">
        <f t="shared" si="57"/>
        <v>4.1495168738011429E-2</v>
      </c>
      <c r="Z179" s="54">
        <f t="shared" si="62"/>
        <v>0.63612093675371517</v>
      </c>
      <c r="AA179" s="54">
        <f t="shared" si="51"/>
        <v>0</v>
      </c>
      <c r="AB179" s="54">
        <f t="shared" si="51"/>
        <v>0</v>
      </c>
      <c r="AC179" s="54">
        <f t="shared" si="51"/>
        <v>0</v>
      </c>
      <c r="AD179" s="54">
        <f t="shared" si="51"/>
        <v>0</v>
      </c>
      <c r="AE179" s="54">
        <f t="shared" si="51"/>
        <v>0</v>
      </c>
      <c r="AF179" s="54">
        <f t="shared" si="51"/>
        <v>0</v>
      </c>
      <c r="AG179" s="54">
        <f t="shared" si="51"/>
        <v>0</v>
      </c>
      <c r="AH179" s="54">
        <f t="shared" si="51"/>
        <v>0.63612093675371517</v>
      </c>
      <c r="AI179" s="54">
        <f t="shared" si="51"/>
        <v>0.63612093675371517</v>
      </c>
      <c r="AJ179" s="54">
        <f t="shared" si="51"/>
        <v>0.63612093675371517</v>
      </c>
      <c r="AK179" s="54">
        <f t="shared" ref="AK179" si="73">IF($E80+365&lt;$C$56,0,IF($E80&lt;$C$56,(($E80+365-$C$56)/365)*(($C80/$BN$157)+($D80/$BN$158)),IF($E80&gt;AK$166,0,IF($E80+365&lt;AK$166,($C80/$BN$157)+($D80/$BN$158),((AK$166-$E80)/365)*(($C80/$BN$157)+($D80/$BN$158))))))</f>
        <v>0.63612093675371517</v>
      </c>
      <c r="AL179" s="24">
        <f t="shared" si="53"/>
        <v>20</v>
      </c>
      <c r="AM179" s="24">
        <f t="shared" si="54"/>
        <v>-74.929146537842186</v>
      </c>
      <c r="AN179" s="55">
        <f t="shared" si="55"/>
        <v>431282</v>
      </c>
      <c r="AO179" s="55">
        <f t="shared" si="56"/>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3"/>
        <v>0</v>
      </c>
      <c r="H180" s="12">
        <f t="shared" si="44"/>
        <v>0</v>
      </c>
      <c r="I180" s="12">
        <f t="shared" si="44"/>
        <v>0</v>
      </c>
      <c r="J180" s="12">
        <f t="shared" si="44"/>
        <v>0</v>
      </c>
      <c r="K180" s="12">
        <f t="shared" si="45"/>
        <v>0</v>
      </c>
      <c r="L180" s="12">
        <f t="shared" si="46"/>
        <v>0</v>
      </c>
      <c r="M180" s="12">
        <f t="shared" si="46"/>
        <v>0</v>
      </c>
      <c r="N180" s="12">
        <f t="shared" si="46"/>
        <v>0</v>
      </c>
      <c r="O180" s="12">
        <f t="shared" si="47"/>
        <v>0</v>
      </c>
      <c r="P180" s="12">
        <f t="shared" si="48"/>
        <v>0</v>
      </c>
      <c r="Q180" s="12">
        <f t="shared" si="48"/>
        <v>60</v>
      </c>
      <c r="T180" s="61"/>
      <c r="U180" s="61"/>
      <c r="V180" s="61"/>
      <c r="W180" s="53">
        <f t="shared" si="49"/>
        <v>-22800</v>
      </c>
      <c r="X180" s="54">
        <f t="shared" si="50"/>
        <v>32.483728070175438</v>
      </c>
      <c r="Y180" s="25">
        <f t="shared" si="57"/>
        <v>-0.40810337986150863</v>
      </c>
      <c r="Z180" s="54">
        <f t="shared" si="62"/>
        <v>-6.2562248132769263</v>
      </c>
      <c r="AA180" s="54">
        <f t="shared" si="51"/>
        <v>0</v>
      </c>
      <c r="AB180" s="54">
        <f t="shared" si="51"/>
        <v>0</v>
      </c>
      <c r="AC180" s="54">
        <f t="shared" si="51"/>
        <v>0</v>
      </c>
      <c r="AD180" s="54">
        <f t="shared" si="51"/>
        <v>0</v>
      </c>
      <c r="AE180" s="54">
        <f t="shared" si="51"/>
        <v>0</v>
      </c>
      <c r="AF180" s="54">
        <f t="shared" si="51"/>
        <v>0</v>
      </c>
      <c r="AG180" s="54">
        <f t="shared" si="51"/>
        <v>0</v>
      </c>
      <c r="AH180" s="54">
        <f t="shared" si="51"/>
        <v>0</v>
      </c>
      <c r="AI180" s="54">
        <f t="shared" si="51"/>
        <v>0</v>
      </c>
      <c r="AJ180" s="54">
        <f t="shared" si="51"/>
        <v>0</v>
      </c>
      <c r="AK180" s="54">
        <f t="shared" ref="AK180" si="74">IF($E81+365&lt;$C$56,0,IF($E81&lt;$C$56,(($E81+365-$C$56)/365)*(($C81/$BN$157)+($D81/$BN$158)),IF($E81&gt;AK$166,0,IF($E81+365&lt;AK$166,($C81/$BN$157)+($D81/$BN$158),((AK$166-$E81)/365)*(($C81/$BN$157)+($D81/$BN$158))))))</f>
        <v>-6.2562248132769263</v>
      </c>
      <c r="AL180" s="24">
        <f t="shared" si="53"/>
        <v>-150</v>
      </c>
      <c r="AM180" s="24">
        <f t="shared" si="54"/>
        <v>0</v>
      </c>
      <c r="AN180" s="55">
        <f t="shared" si="55"/>
        <v>740629</v>
      </c>
      <c r="AO180" s="55">
        <f t="shared" si="56"/>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3"/>
        <v>0</v>
      </c>
      <c r="H181" s="12">
        <f t="shared" si="44"/>
        <v>0</v>
      </c>
      <c r="I181" s="12">
        <f t="shared" si="44"/>
        <v>0</v>
      </c>
      <c r="J181" s="12">
        <f t="shared" si="44"/>
        <v>0</v>
      </c>
      <c r="K181" s="12">
        <f t="shared" si="45"/>
        <v>0</v>
      </c>
      <c r="L181" s="12">
        <f t="shared" si="46"/>
        <v>0</v>
      </c>
      <c r="M181" s="12">
        <f t="shared" si="46"/>
        <v>0</v>
      </c>
      <c r="N181" s="12">
        <f t="shared" si="46"/>
        <v>0</v>
      </c>
      <c r="O181" s="12">
        <f t="shared" si="47"/>
        <v>0</v>
      </c>
      <c r="P181" s="12">
        <f t="shared" si="48"/>
        <v>0</v>
      </c>
      <c r="Q181" s="12">
        <f t="shared" si="48"/>
        <v>0</v>
      </c>
      <c r="T181" s="61"/>
      <c r="U181" s="61"/>
      <c r="V181" s="61"/>
      <c r="W181" s="53">
        <f t="shared" si="49"/>
        <v>9120</v>
      </c>
      <c r="X181" s="54">
        <f t="shared" si="50"/>
        <v>-85.269846491228066</v>
      </c>
      <c r="Y181" s="25">
        <f t="shared" si="57"/>
        <v>6.3817072602046276E-2</v>
      </c>
      <c r="Z181" s="54">
        <f t="shared" si="62"/>
        <v>0.97831572298936931</v>
      </c>
      <c r="AA181" s="54">
        <f t="shared" si="51"/>
        <v>0</v>
      </c>
      <c r="AB181" s="54">
        <f t="shared" si="51"/>
        <v>0</v>
      </c>
      <c r="AC181" s="54">
        <f t="shared" si="51"/>
        <v>0</v>
      </c>
      <c r="AD181" s="54">
        <f t="shared" si="51"/>
        <v>0</v>
      </c>
      <c r="AE181" s="54">
        <f t="shared" si="51"/>
        <v>0</v>
      </c>
      <c r="AF181" s="54">
        <f t="shared" si="51"/>
        <v>0</v>
      </c>
      <c r="AG181" s="54">
        <f t="shared" si="51"/>
        <v>0</v>
      </c>
      <c r="AH181" s="54">
        <f t="shared" si="51"/>
        <v>0</v>
      </c>
      <c r="AI181" s="54">
        <f t="shared" si="51"/>
        <v>0</v>
      </c>
      <c r="AJ181" s="54">
        <f t="shared" si="51"/>
        <v>0</v>
      </c>
      <c r="AK181" s="54">
        <f t="shared" ref="AK181" si="75">IF($E82+365&lt;$C$56,0,IF($E82&lt;$C$56,(($E82+365-$C$56)/365)*(($C82/$BN$157)+($D82/$BN$158)),IF($E82&gt;AK$166,0,IF($E82+365&lt;AK$166,($C82/$BN$157)+($D82/$BN$158),((AK$166-$E82)/365)*(($C82/$BN$157)+($D82/$BN$158))))))</f>
        <v>0.97831572298936931</v>
      </c>
      <c r="AL181" s="24">
        <f t="shared" si="53"/>
        <v>60</v>
      </c>
      <c r="AM181" s="24">
        <f t="shared" si="54"/>
        <v>-576.66988727858291</v>
      </c>
      <c r="AN181" s="55">
        <f t="shared" si="55"/>
        <v>777661</v>
      </c>
      <c r="AO181" s="55">
        <f t="shared" si="56"/>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3"/>
        <v>0</v>
      </c>
      <c r="H182" s="12">
        <f t="shared" si="44"/>
        <v>0</v>
      </c>
      <c r="I182" s="12">
        <f t="shared" si="44"/>
        <v>0</v>
      </c>
      <c r="J182" s="12">
        <f t="shared" si="44"/>
        <v>0</v>
      </c>
      <c r="K182" s="12">
        <f t="shared" si="45"/>
        <v>0</v>
      </c>
      <c r="L182" s="12">
        <f t="shared" si="46"/>
        <v>0</v>
      </c>
      <c r="M182" s="12">
        <f t="shared" si="46"/>
        <v>0</v>
      </c>
      <c r="N182" s="12">
        <f t="shared" si="46"/>
        <v>0</v>
      </c>
      <c r="O182" s="12">
        <f t="shared" si="47"/>
        <v>0</v>
      </c>
      <c r="P182" s="12">
        <f t="shared" si="48"/>
        <v>0</v>
      </c>
      <c r="Q182" s="12">
        <f t="shared" si="48"/>
        <v>-130</v>
      </c>
      <c r="T182" s="61"/>
      <c r="U182" s="61"/>
      <c r="V182" s="61"/>
      <c r="W182" s="53">
        <f t="shared" si="49"/>
        <v>0</v>
      </c>
      <c r="X182" s="54" t="e">
        <f t="shared" si="50"/>
        <v>#DIV/0!</v>
      </c>
      <c r="Y182" s="25">
        <f t="shared" si="57"/>
        <v>0</v>
      </c>
      <c r="Z182" s="54">
        <f t="shared" si="62"/>
        <v>0</v>
      </c>
      <c r="AA182" s="54">
        <f t="shared" si="51"/>
        <v>0</v>
      </c>
      <c r="AB182" s="54">
        <f t="shared" si="51"/>
        <v>0</v>
      </c>
      <c r="AC182" s="54">
        <f t="shared" si="51"/>
        <v>0</v>
      </c>
      <c r="AD182" s="54">
        <f t="shared" si="51"/>
        <v>0</v>
      </c>
      <c r="AE182" s="54">
        <f t="shared" si="51"/>
        <v>0</v>
      </c>
      <c r="AF182" s="54">
        <f t="shared" si="51"/>
        <v>0</v>
      </c>
      <c r="AG182" s="54">
        <f t="shared" si="51"/>
        <v>0</v>
      </c>
      <c r="AH182" s="54">
        <f t="shared" si="51"/>
        <v>0</v>
      </c>
      <c r="AI182" s="54">
        <f t="shared" si="51"/>
        <v>0</v>
      </c>
      <c r="AJ182" s="54">
        <f t="shared" si="51"/>
        <v>0</v>
      </c>
      <c r="AK182" s="54">
        <f t="shared" ref="AK182" si="76">IF($E83+365&lt;$C$56,0,IF($E83&lt;$C$56,(($E83+365-$C$56)/365)*(($C83/$BN$157)+($D83/$BN$158)),IF($E83&gt;AK$166,0,IF($E83+365&lt;AK$166,($C83/$BN$157)+($D83/$BN$158),((AK$166-$E83)/365)*(($C83/$BN$157)+($D83/$BN$158))))))</f>
        <v>0</v>
      </c>
      <c r="AL182" s="24">
        <f t="shared" si="53"/>
        <v>0</v>
      </c>
      <c r="AM182" s="24">
        <f t="shared" si="54"/>
        <v>0</v>
      </c>
      <c r="AN182" s="55">
        <f t="shared" si="55"/>
        <v>0</v>
      </c>
      <c r="AO182" s="55">
        <f t="shared" si="56"/>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3"/>
        <v>0</v>
      </c>
      <c r="H183" s="12">
        <f t="shared" si="44"/>
        <v>0</v>
      </c>
      <c r="I183" s="12">
        <f t="shared" si="44"/>
        <v>0</v>
      </c>
      <c r="J183" s="12">
        <f t="shared" si="44"/>
        <v>0</v>
      </c>
      <c r="K183" s="12">
        <f t="shared" si="45"/>
        <v>0</v>
      </c>
      <c r="L183" s="12">
        <f t="shared" si="46"/>
        <v>0</v>
      </c>
      <c r="M183" s="12">
        <f t="shared" si="46"/>
        <v>0</v>
      </c>
      <c r="N183" s="12">
        <f t="shared" si="46"/>
        <v>0</v>
      </c>
      <c r="O183" s="12">
        <f t="shared" si="47"/>
        <v>0</v>
      </c>
      <c r="P183" s="12">
        <f t="shared" si="48"/>
        <v>0</v>
      </c>
      <c r="Q183" s="12">
        <f t="shared" si="48"/>
        <v>0</v>
      </c>
      <c r="T183" s="61"/>
      <c r="U183" s="61"/>
      <c r="V183" s="61"/>
      <c r="W183" s="53">
        <f t="shared" si="49"/>
        <v>-19759.999999999996</v>
      </c>
      <c r="X183" s="54">
        <f t="shared" si="50"/>
        <v>18.10278340080972</v>
      </c>
      <c r="Y183" s="25">
        <f t="shared" si="57"/>
        <v>-0.35368959587997412</v>
      </c>
      <c r="Z183" s="54">
        <f t="shared" si="62"/>
        <v>-5.4220615048400029</v>
      </c>
      <c r="AA183" s="54">
        <f t="shared" ref="AA183:AJ198" si="77">IF($E84+365&lt;$C$56,0,IF($E84&lt;$C$56,(($E84+365-$C$56)/365)*(($C84/$BN$157)+($D84/$BN$158)),IF($E84&gt;AA$166,0,IF($E84+365&lt;AA$166,($C84/$BN$157)+($D84/$BN$158),((AA$166-$E84)/365)*(($C84/$BN$157)+($D84/$BN$158))))))</f>
        <v>0</v>
      </c>
      <c r="AB183" s="54">
        <f t="shared" si="77"/>
        <v>0</v>
      </c>
      <c r="AC183" s="54">
        <f t="shared" si="77"/>
        <v>0</v>
      </c>
      <c r="AD183" s="54">
        <f t="shared" si="77"/>
        <v>0</v>
      </c>
      <c r="AE183" s="54">
        <f t="shared" si="77"/>
        <v>0</v>
      </c>
      <c r="AF183" s="54">
        <f t="shared" si="77"/>
        <v>0</v>
      </c>
      <c r="AG183" s="54">
        <f t="shared" si="77"/>
        <v>0</v>
      </c>
      <c r="AH183" s="54">
        <f t="shared" si="77"/>
        <v>0</v>
      </c>
      <c r="AI183" s="54">
        <f t="shared" si="77"/>
        <v>0</v>
      </c>
      <c r="AJ183" s="54">
        <f t="shared" si="77"/>
        <v>0</v>
      </c>
      <c r="AK183" s="54">
        <f t="shared" ref="AK183" si="78">IF($E84+365&lt;$C$56,0,IF($E84&lt;$C$56,(($E84+365-$C$56)/365)*(($C84/$BN$157)+($D84/$BN$158)),IF($E84&gt;AK$166,0,IF($E84+365&lt;AK$166,($C84/$BN$157)+($D84/$BN$158),((AK$166-$E84)/365)*(($C84/$BN$157)+($D84/$BN$158))))))</f>
        <v>-5.4220615048400029</v>
      </c>
      <c r="AL183" s="24">
        <f t="shared" si="53"/>
        <v>-130</v>
      </c>
      <c r="AM183" s="24">
        <f t="shared" si="54"/>
        <v>0</v>
      </c>
      <c r="AN183" s="55">
        <f t="shared" si="55"/>
        <v>357711</v>
      </c>
      <c r="AO183" s="55">
        <f t="shared" si="56"/>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3"/>
        <v>0</v>
      </c>
      <c r="H184" s="12">
        <f t="shared" si="44"/>
        <v>0</v>
      </c>
      <c r="I184" s="12">
        <f t="shared" si="44"/>
        <v>0</v>
      </c>
      <c r="J184" s="12">
        <f t="shared" si="44"/>
        <v>0</v>
      </c>
      <c r="K184" s="12">
        <f t="shared" si="45"/>
        <v>0</v>
      </c>
      <c r="L184" s="12">
        <f t="shared" si="46"/>
        <v>0</v>
      </c>
      <c r="M184" s="12">
        <f t="shared" si="46"/>
        <v>0</v>
      </c>
      <c r="N184" s="12">
        <f t="shared" si="46"/>
        <v>0</v>
      </c>
      <c r="O184" s="12">
        <f t="shared" si="47"/>
        <v>0</v>
      </c>
      <c r="P184" s="12">
        <f t="shared" si="48"/>
        <v>0</v>
      </c>
      <c r="Q184" s="12">
        <f t="shared" si="48"/>
        <v>0</v>
      </c>
      <c r="T184" s="61"/>
      <c r="U184" s="61"/>
      <c r="V184" s="61"/>
      <c r="W184" s="53">
        <f t="shared" si="49"/>
        <v>0</v>
      </c>
      <c r="X184" s="54" t="e">
        <f t="shared" si="50"/>
        <v>#DIV/0!</v>
      </c>
      <c r="Y184" s="25">
        <f t="shared" si="57"/>
        <v>0</v>
      </c>
      <c r="Z184" s="54">
        <f t="shared" si="62"/>
        <v>0</v>
      </c>
      <c r="AA184" s="54">
        <f t="shared" si="77"/>
        <v>0</v>
      </c>
      <c r="AB184" s="54">
        <f t="shared" si="77"/>
        <v>0</v>
      </c>
      <c r="AC184" s="54">
        <f t="shared" si="77"/>
        <v>0</v>
      </c>
      <c r="AD184" s="54">
        <f t="shared" si="77"/>
        <v>0</v>
      </c>
      <c r="AE184" s="54">
        <f t="shared" si="77"/>
        <v>0</v>
      </c>
      <c r="AF184" s="54">
        <f t="shared" si="77"/>
        <v>0</v>
      </c>
      <c r="AG184" s="54">
        <f t="shared" si="77"/>
        <v>0</v>
      </c>
      <c r="AH184" s="54">
        <f t="shared" si="77"/>
        <v>0</v>
      </c>
      <c r="AI184" s="54">
        <f t="shared" si="77"/>
        <v>0</v>
      </c>
      <c r="AJ184" s="54">
        <f t="shared" si="77"/>
        <v>0</v>
      </c>
      <c r="AK184" s="54">
        <f t="shared" ref="AK184" si="79">IF($E85+365&lt;$C$56,0,IF($E85&lt;$C$56,(($E85+365-$C$56)/365)*(($C85/$BN$157)+($D85/$BN$158)),IF($E85&gt;AK$166,0,IF($E85+365&lt;AK$166,($C85/$BN$157)+($D85/$BN$158),((AK$166-$E85)/365)*(($C85/$BN$157)+($D85/$BN$158))))))</f>
        <v>0</v>
      </c>
      <c r="AL184" s="24">
        <f t="shared" si="53"/>
        <v>0</v>
      </c>
      <c r="AM184" s="24">
        <f t="shared" si="54"/>
        <v>0</v>
      </c>
      <c r="AN184" s="55">
        <f t="shared" si="55"/>
        <v>0</v>
      </c>
      <c r="AO184" s="55">
        <f t="shared" si="56"/>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3"/>
        <v>0</v>
      </c>
      <c r="H185" s="12">
        <f t="shared" si="44"/>
        <v>0</v>
      </c>
      <c r="I185" s="12">
        <f t="shared" si="44"/>
        <v>0</v>
      </c>
      <c r="J185" s="12">
        <f t="shared" si="44"/>
        <v>0</v>
      </c>
      <c r="K185" s="12">
        <f t="shared" si="45"/>
        <v>0</v>
      </c>
      <c r="L185" s="12">
        <f t="shared" si="46"/>
        <v>0</v>
      </c>
      <c r="M185" s="12">
        <f t="shared" si="46"/>
        <v>0</v>
      </c>
      <c r="N185" s="12">
        <f t="shared" si="46"/>
        <v>0</v>
      </c>
      <c r="O185" s="12">
        <f t="shared" si="47"/>
        <v>0</v>
      </c>
      <c r="P185" s="12">
        <f t="shared" si="48"/>
        <v>0</v>
      </c>
      <c r="Q185" s="12">
        <f t="shared" si="48"/>
        <v>0</v>
      </c>
      <c r="T185" s="61"/>
      <c r="U185" s="61"/>
      <c r="V185" s="61"/>
      <c r="W185" s="53">
        <f t="shared" si="49"/>
        <v>0</v>
      </c>
      <c r="X185" s="54" t="e">
        <f t="shared" si="50"/>
        <v>#DIV/0!</v>
      </c>
      <c r="Y185" s="25">
        <f t="shared" si="57"/>
        <v>0</v>
      </c>
      <c r="Z185" s="54">
        <f t="shared" si="62"/>
        <v>0</v>
      </c>
      <c r="AA185" s="54">
        <f t="shared" si="77"/>
        <v>0</v>
      </c>
      <c r="AB185" s="54">
        <f t="shared" si="77"/>
        <v>0</v>
      </c>
      <c r="AC185" s="54">
        <f t="shared" si="77"/>
        <v>0</v>
      </c>
      <c r="AD185" s="54">
        <f t="shared" si="77"/>
        <v>0</v>
      </c>
      <c r="AE185" s="54">
        <f t="shared" si="77"/>
        <v>0</v>
      </c>
      <c r="AF185" s="54">
        <f t="shared" si="77"/>
        <v>0</v>
      </c>
      <c r="AG185" s="54">
        <f t="shared" si="77"/>
        <v>0</v>
      </c>
      <c r="AH185" s="54">
        <f t="shared" si="77"/>
        <v>0</v>
      </c>
      <c r="AI185" s="54">
        <f t="shared" si="77"/>
        <v>0</v>
      </c>
      <c r="AJ185" s="54">
        <f t="shared" si="77"/>
        <v>0</v>
      </c>
      <c r="AK185" s="54">
        <f t="shared" ref="AK185" si="80">IF($E86+365&lt;$C$56,0,IF($E86&lt;$C$56,(($E86+365-$C$56)/365)*(($C86/$BN$157)+($D86/$BN$158)),IF($E86&gt;AK$166,0,IF($E86+365&lt;AK$166,($C86/$BN$157)+($D86/$BN$158),((AK$166-$E86)/365)*(($C86/$BN$157)+($D86/$BN$158))))))</f>
        <v>0</v>
      </c>
      <c r="AL185" s="24">
        <f t="shared" si="53"/>
        <v>0</v>
      </c>
      <c r="AM185" s="24">
        <f t="shared" si="54"/>
        <v>0</v>
      </c>
      <c r="AN185" s="55">
        <f t="shared" si="55"/>
        <v>0</v>
      </c>
      <c r="AO185" s="55">
        <f t="shared" si="56"/>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3"/>
        <v>0</v>
      </c>
      <c r="H186" s="12">
        <f t="shared" si="44"/>
        <v>0</v>
      </c>
      <c r="I186" s="12">
        <f t="shared" si="44"/>
        <v>0</v>
      </c>
      <c r="J186" s="12">
        <f t="shared" si="44"/>
        <v>0</v>
      </c>
      <c r="K186" s="12">
        <f t="shared" si="45"/>
        <v>0</v>
      </c>
      <c r="L186" s="12">
        <f t="shared" si="46"/>
        <v>0</v>
      </c>
      <c r="M186" s="12">
        <f t="shared" si="46"/>
        <v>0</v>
      </c>
      <c r="N186" s="12">
        <f t="shared" si="46"/>
        <v>0</v>
      </c>
      <c r="O186" s="12">
        <f t="shared" si="47"/>
        <v>0</v>
      </c>
      <c r="P186" s="12">
        <f t="shared" si="48"/>
        <v>0</v>
      </c>
      <c r="Q186" s="12">
        <f t="shared" si="48"/>
        <v>0</v>
      </c>
      <c r="T186" s="61"/>
      <c r="U186" s="61"/>
      <c r="V186" s="61"/>
      <c r="W186" s="53">
        <f t="shared" si="49"/>
        <v>0</v>
      </c>
      <c r="X186" s="54" t="e">
        <f t="shared" si="50"/>
        <v>#DIV/0!</v>
      </c>
      <c r="Y186" s="25">
        <f t="shared" si="57"/>
        <v>0</v>
      </c>
      <c r="Z186" s="54">
        <f t="shared" si="62"/>
        <v>0</v>
      </c>
      <c r="AA186" s="54">
        <f t="shared" si="77"/>
        <v>0</v>
      </c>
      <c r="AB186" s="54">
        <f t="shared" si="77"/>
        <v>0</v>
      </c>
      <c r="AC186" s="54">
        <f t="shared" si="77"/>
        <v>0</v>
      </c>
      <c r="AD186" s="54">
        <f t="shared" si="77"/>
        <v>0</v>
      </c>
      <c r="AE186" s="54">
        <f t="shared" si="77"/>
        <v>0</v>
      </c>
      <c r="AF186" s="54">
        <f t="shared" si="77"/>
        <v>0</v>
      </c>
      <c r="AG186" s="54">
        <f t="shared" si="77"/>
        <v>0</v>
      </c>
      <c r="AH186" s="54">
        <f t="shared" si="77"/>
        <v>0</v>
      </c>
      <c r="AI186" s="54">
        <f t="shared" si="77"/>
        <v>0</v>
      </c>
      <c r="AJ186" s="54">
        <f t="shared" si="77"/>
        <v>0</v>
      </c>
      <c r="AK186" s="54">
        <f t="shared" ref="AK186" si="81">IF($E87+365&lt;$C$56,0,IF($E87&lt;$C$56,(($E87+365-$C$56)/365)*(($C87/$BN$157)+($D87/$BN$158)),IF($E87&gt;AK$166,0,IF($E87+365&lt;AK$166,($C87/$BN$157)+($D87/$BN$158),((AK$166-$E87)/365)*(($C87/$BN$157)+($D87/$BN$158))))))</f>
        <v>0</v>
      </c>
      <c r="AL186" s="24">
        <f t="shared" si="53"/>
        <v>0</v>
      </c>
      <c r="AM186" s="24">
        <f t="shared" si="54"/>
        <v>0</v>
      </c>
      <c r="AN186" s="55">
        <f t="shared" si="55"/>
        <v>0</v>
      </c>
      <c r="AO186" s="55">
        <f t="shared" si="56"/>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3"/>
        <v>0</v>
      </c>
      <c r="H187" s="12">
        <f t="shared" ref="H187:J206" si="82">IF($E89&gt;H$66,0,IF($E89&lt;H$66-365,$C89,0))</f>
        <v>0</v>
      </c>
      <c r="I187" s="12">
        <f t="shared" si="82"/>
        <v>0</v>
      </c>
      <c r="J187" s="12">
        <f t="shared" si="82"/>
        <v>0</v>
      </c>
      <c r="K187" s="12">
        <f t="shared" si="45"/>
        <v>0</v>
      </c>
      <c r="L187" s="12">
        <f t="shared" ref="L187:N206" si="83">IF($E89&gt;L$66,0,IF($E89&lt;L$66-365,$C89,0))</f>
        <v>0</v>
      </c>
      <c r="M187" s="12">
        <f t="shared" si="83"/>
        <v>0</v>
      </c>
      <c r="N187" s="12">
        <f t="shared" si="83"/>
        <v>0</v>
      </c>
      <c r="O187" s="12">
        <f t="shared" si="47"/>
        <v>0</v>
      </c>
      <c r="P187" s="12">
        <f t="shared" ref="P187:Q206" si="84">IF($E89&gt;P$66,0,IF($E89&lt;P$66-365,$C89,0))</f>
        <v>0</v>
      </c>
      <c r="Q187" s="12">
        <f t="shared" si="84"/>
        <v>0</v>
      </c>
      <c r="T187" s="61"/>
      <c r="U187" s="61"/>
      <c r="V187" s="61"/>
      <c r="W187" s="53">
        <f t="shared" si="49"/>
        <v>0</v>
      </c>
      <c r="X187" s="54" t="e">
        <f t="shared" si="50"/>
        <v>#DIV/0!</v>
      </c>
      <c r="Y187" s="25">
        <f t="shared" si="57"/>
        <v>0</v>
      </c>
      <c r="Z187" s="54">
        <f t="shared" si="62"/>
        <v>0</v>
      </c>
      <c r="AA187" s="54">
        <f t="shared" si="77"/>
        <v>0</v>
      </c>
      <c r="AB187" s="54">
        <f t="shared" si="77"/>
        <v>0</v>
      </c>
      <c r="AC187" s="54">
        <f t="shared" si="77"/>
        <v>0</v>
      </c>
      <c r="AD187" s="54">
        <f t="shared" si="77"/>
        <v>0</v>
      </c>
      <c r="AE187" s="54">
        <f t="shared" si="77"/>
        <v>0</v>
      </c>
      <c r="AF187" s="54">
        <f t="shared" si="77"/>
        <v>0</v>
      </c>
      <c r="AG187" s="54">
        <f t="shared" si="77"/>
        <v>0</v>
      </c>
      <c r="AH187" s="54">
        <f t="shared" si="77"/>
        <v>0</v>
      </c>
      <c r="AI187" s="54">
        <f t="shared" si="77"/>
        <v>0</v>
      </c>
      <c r="AJ187" s="54">
        <f t="shared" si="77"/>
        <v>0</v>
      </c>
      <c r="AK187" s="54">
        <f t="shared" ref="AK187" si="85">IF($E88+365&lt;$C$56,0,IF($E88&lt;$C$56,(($E88+365-$C$56)/365)*(($C88/$BN$157)+($D88/$BN$158)),IF($E88&gt;AK$166,0,IF($E88+365&lt;AK$166,($C88/$BN$157)+($D88/$BN$158),((AK$166-$E88)/365)*(($C88/$BN$157)+($D88/$BN$158))))))</f>
        <v>0</v>
      </c>
      <c r="AL187" s="24">
        <f t="shared" si="53"/>
        <v>0</v>
      </c>
      <c r="AM187" s="24">
        <f t="shared" si="54"/>
        <v>0</v>
      </c>
      <c r="AN187" s="55">
        <f t="shared" si="55"/>
        <v>0</v>
      </c>
      <c r="AO187" s="55">
        <f t="shared" si="56"/>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3"/>
        <v>0</v>
      </c>
      <c r="H188" s="12">
        <f t="shared" si="82"/>
        <v>0</v>
      </c>
      <c r="I188" s="12">
        <f t="shared" si="82"/>
        <v>0</v>
      </c>
      <c r="J188" s="12">
        <f t="shared" si="82"/>
        <v>0</v>
      </c>
      <c r="K188" s="12">
        <f t="shared" si="45"/>
        <v>0</v>
      </c>
      <c r="L188" s="12">
        <f t="shared" si="83"/>
        <v>0</v>
      </c>
      <c r="M188" s="12">
        <f t="shared" si="83"/>
        <v>0</v>
      </c>
      <c r="N188" s="12">
        <f t="shared" si="83"/>
        <v>0</v>
      </c>
      <c r="O188" s="12">
        <f t="shared" si="47"/>
        <v>0</v>
      </c>
      <c r="P188" s="12">
        <f t="shared" si="84"/>
        <v>0</v>
      </c>
      <c r="Q188" s="12">
        <f t="shared" si="84"/>
        <v>0</v>
      </c>
      <c r="T188" s="61"/>
      <c r="U188" s="61"/>
      <c r="V188" s="61"/>
      <c r="W188" s="53">
        <f t="shared" si="49"/>
        <v>0</v>
      </c>
      <c r="X188" s="54" t="e">
        <f t="shared" si="50"/>
        <v>#DIV/0!</v>
      </c>
      <c r="Y188" s="25">
        <f t="shared" si="57"/>
        <v>0</v>
      </c>
      <c r="Z188" s="54">
        <f t="shared" si="62"/>
        <v>0</v>
      </c>
      <c r="AA188" s="54">
        <f t="shared" si="77"/>
        <v>0</v>
      </c>
      <c r="AB188" s="54">
        <f t="shared" si="77"/>
        <v>0</v>
      </c>
      <c r="AC188" s="54">
        <f t="shared" si="77"/>
        <v>0</v>
      </c>
      <c r="AD188" s="54">
        <f t="shared" si="77"/>
        <v>0</v>
      </c>
      <c r="AE188" s="54">
        <f t="shared" si="77"/>
        <v>0</v>
      </c>
      <c r="AF188" s="54">
        <f t="shared" si="77"/>
        <v>0</v>
      </c>
      <c r="AG188" s="54">
        <f t="shared" si="77"/>
        <v>0</v>
      </c>
      <c r="AH188" s="54">
        <f t="shared" si="77"/>
        <v>0</v>
      </c>
      <c r="AI188" s="54">
        <f t="shared" si="77"/>
        <v>0</v>
      </c>
      <c r="AJ188" s="54">
        <f t="shared" si="77"/>
        <v>0</v>
      </c>
      <c r="AK188" s="54">
        <f t="shared" ref="AK188" si="86">IF($E89+365&lt;$C$56,0,IF($E89&lt;$C$56,(($E89+365-$C$56)/365)*(($C89/$BN$157)+($D89/$BN$158)),IF($E89&gt;AK$166,0,IF($E89+365&lt;AK$166,($C89/$BN$157)+($D89/$BN$158),((AK$166-$E89)/365)*(($C89/$BN$157)+($D89/$BN$158))))))</f>
        <v>0</v>
      </c>
      <c r="AL188" s="24">
        <f t="shared" si="53"/>
        <v>0</v>
      </c>
      <c r="AM188" s="24">
        <f t="shared" si="54"/>
        <v>0</v>
      </c>
      <c r="AN188" s="55">
        <f t="shared" si="55"/>
        <v>0</v>
      </c>
      <c r="AO188" s="55">
        <f t="shared" si="56"/>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3"/>
        <v>0</v>
      </c>
      <c r="H189" s="12">
        <f t="shared" si="82"/>
        <v>0</v>
      </c>
      <c r="I189" s="12">
        <f t="shared" si="82"/>
        <v>0</v>
      </c>
      <c r="J189" s="12">
        <f t="shared" si="82"/>
        <v>0</v>
      </c>
      <c r="K189" s="12">
        <f t="shared" si="45"/>
        <v>0</v>
      </c>
      <c r="L189" s="12">
        <f t="shared" si="83"/>
        <v>0</v>
      </c>
      <c r="M189" s="12">
        <f t="shared" si="83"/>
        <v>0</v>
      </c>
      <c r="N189" s="12">
        <f t="shared" si="83"/>
        <v>0</v>
      </c>
      <c r="O189" s="12">
        <f t="shared" si="47"/>
        <v>0</v>
      </c>
      <c r="P189" s="12">
        <f t="shared" si="84"/>
        <v>0</v>
      </c>
      <c r="Q189" s="12">
        <f t="shared" si="84"/>
        <v>0</v>
      </c>
      <c r="T189" s="61"/>
      <c r="U189" s="61"/>
      <c r="V189" s="61"/>
      <c r="W189" s="53">
        <f t="shared" si="49"/>
        <v>0</v>
      </c>
      <c r="X189" s="54" t="e">
        <f t="shared" si="50"/>
        <v>#DIV/0!</v>
      </c>
      <c r="Y189" s="25">
        <f t="shared" si="57"/>
        <v>0</v>
      </c>
      <c r="Z189" s="54">
        <f t="shared" si="62"/>
        <v>0</v>
      </c>
      <c r="AA189" s="54">
        <f t="shared" si="77"/>
        <v>0</v>
      </c>
      <c r="AB189" s="54">
        <f t="shared" si="77"/>
        <v>0</v>
      </c>
      <c r="AC189" s="54">
        <f t="shared" si="77"/>
        <v>0</v>
      </c>
      <c r="AD189" s="54">
        <f t="shared" si="77"/>
        <v>0</v>
      </c>
      <c r="AE189" s="54">
        <f t="shared" si="77"/>
        <v>0</v>
      </c>
      <c r="AF189" s="54">
        <f t="shared" si="77"/>
        <v>0</v>
      </c>
      <c r="AG189" s="54">
        <f t="shared" si="77"/>
        <v>0</v>
      </c>
      <c r="AH189" s="54">
        <f t="shared" si="77"/>
        <v>0</v>
      </c>
      <c r="AI189" s="54">
        <f t="shared" si="77"/>
        <v>0</v>
      </c>
      <c r="AJ189" s="54">
        <f t="shared" si="77"/>
        <v>0</v>
      </c>
      <c r="AK189" s="54">
        <f t="shared" ref="AK189" si="87">IF($E90+365&lt;$C$56,0,IF($E90&lt;$C$56,(($E90+365-$C$56)/365)*(($C90/$BN$157)+($D90/$BN$158)),IF($E90&gt;AK$166,0,IF($E90+365&lt;AK$166,($C90/$BN$157)+($D90/$BN$158),((AK$166-$E90)/365)*(($C90/$BN$157)+($D90/$BN$158))))))</f>
        <v>0</v>
      </c>
      <c r="AL189" s="24">
        <f t="shared" si="53"/>
        <v>0</v>
      </c>
      <c r="AM189" s="24">
        <f t="shared" si="54"/>
        <v>0</v>
      </c>
      <c r="AN189" s="55">
        <f t="shared" si="55"/>
        <v>0</v>
      </c>
      <c r="AO189" s="55">
        <f t="shared" si="56"/>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3"/>
        <v>0</v>
      </c>
      <c r="H190" s="12">
        <f t="shared" si="82"/>
        <v>0</v>
      </c>
      <c r="I190" s="12">
        <f t="shared" si="82"/>
        <v>0</v>
      </c>
      <c r="J190" s="12">
        <f t="shared" si="82"/>
        <v>0</v>
      </c>
      <c r="K190" s="12">
        <f t="shared" si="45"/>
        <v>0</v>
      </c>
      <c r="L190" s="12">
        <f t="shared" si="83"/>
        <v>0</v>
      </c>
      <c r="M190" s="12">
        <f t="shared" si="83"/>
        <v>0</v>
      </c>
      <c r="N190" s="12">
        <f t="shared" si="83"/>
        <v>0</v>
      </c>
      <c r="O190" s="12">
        <f t="shared" si="47"/>
        <v>0</v>
      </c>
      <c r="P190" s="12">
        <f t="shared" si="84"/>
        <v>0</v>
      </c>
      <c r="Q190" s="12">
        <f t="shared" si="84"/>
        <v>0</v>
      </c>
      <c r="T190" s="61"/>
      <c r="U190" s="61"/>
      <c r="V190" s="61"/>
      <c r="W190" s="53">
        <f t="shared" si="49"/>
        <v>0</v>
      </c>
      <c r="X190" s="54" t="e">
        <f t="shared" si="50"/>
        <v>#DIV/0!</v>
      </c>
      <c r="Y190" s="25">
        <f t="shared" si="57"/>
        <v>0</v>
      </c>
      <c r="Z190" s="54">
        <f t="shared" si="62"/>
        <v>0</v>
      </c>
      <c r="AA190" s="54">
        <f t="shared" si="77"/>
        <v>0</v>
      </c>
      <c r="AB190" s="54">
        <f t="shared" si="77"/>
        <v>0</v>
      </c>
      <c r="AC190" s="54">
        <f t="shared" si="77"/>
        <v>0</v>
      </c>
      <c r="AD190" s="54">
        <f t="shared" si="77"/>
        <v>0</v>
      </c>
      <c r="AE190" s="54">
        <f t="shared" si="77"/>
        <v>0</v>
      </c>
      <c r="AF190" s="54">
        <f t="shared" si="77"/>
        <v>0</v>
      </c>
      <c r="AG190" s="54">
        <f t="shared" si="77"/>
        <v>0</v>
      </c>
      <c r="AH190" s="54">
        <f t="shared" si="77"/>
        <v>0</v>
      </c>
      <c r="AI190" s="54">
        <f t="shared" si="77"/>
        <v>0</v>
      </c>
      <c r="AJ190" s="54">
        <f t="shared" si="77"/>
        <v>0</v>
      </c>
      <c r="AK190" s="54">
        <f t="shared" ref="AK190" si="88">IF($E91+365&lt;$C$56,0,IF($E91&lt;$C$56,(($E91+365-$C$56)/365)*(($C91/$BN$157)+($D91/$BN$158)),IF($E91&gt;AK$166,0,IF($E91+365&lt;AK$166,($C91/$BN$157)+($D91/$BN$158),((AK$166-$E91)/365)*(($C91/$BN$157)+($D91/$BN$158))))))</f>
        <v>0</v>
      </c>
      <c r="AL190" s="24">
        <f t="shared" si="53"/>
        <v>0</v>
      </c>
      <c r="AM190" s="24">
        <f t="shared" si="54"/>
        <v>0</v>
      </c>
      <c r="AN190" s="55">
        <f t="shared" si="55"/>
        <v>0</v>
      </c>
      <c r="AO190" s="55">
        <f t="shared" si="56"/>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3"/>
        <v>0</v>
      </c>
      <c r="H191" s="12">
        <f t="shared" si="82"/>
        <v>0</v>
      </c>
      <c r="I191" s="12">
        <f t="shared" si="82"/>
        <v>0</v>
      </c>
      <c r="J191" s="12">
        <f t="shared" si="82"/>
        <v>0</v>
      </c>
      <c r="K191" s="12">
        <f t="shared" si="45"/>
        <v>0</v>
      </c>
      <c r="L191" s="12">
        <f t="shared" si="83"/>
        <v>0</v>
      </c>
      <c r="M191" s="12">
        <f t="shared" si="83"/>
        <v>0</v>
      </c>
      <c r="N191" s="12">
        <f t="shared" si="83"/>
        <v>0</v>
      </c>
      <c r="O191" s="12">
        <f t="shared" si="47"/>
        <v>0</v>
      </c>
      <c r="P191" s="12">
        <f t="shared" si="84"/>
        <v>0</v>
      </c>
      <c r="Q191" s="12">
        <f t="shared" si="84"/>
        <v>0</v>
      </c>
      <c r="T191" s="61"/>
      <c r="U191" s="61"/>
      <c r="V191" s="61"/>
      <c r="W191" s="53">
        <f t="shared" si="49"/>
        <v>0</v>
      </c>
      <c r="X191" s="54" t="e">
        <f t="shared" si="50"/>
        <v>#DIV/0!</v>
      </c>
      <c r="Y191" s="25">
        <f t="shared" si="57"/>
        <v>0</v>
      </c>
      <c r="Z191" s="54">
        <f t="shared" si="62"/>
        <v>0</v>
      </c>
      <c r="AA191" s="54">
        <f t="shared" si="77"/>
        <v>0</v>
      </c>
      <c r="AB191" s="54">
        <f t="shared" si="77"/>
        <v>0</v>
      </c>
      <c r="AC191" s="54">
        <f t="shared" si="77"/>
        <v>0</v>
      </c>
      <c r="AD191" s="54">
        <f t="shared" si="77"/>
        <v>0</v>
      </c>
      <c r="AE191" s="54">
        <f t="shared" si="77"/>
        <v>0</v>
      </c>
      <c r="AF191" s="54">
        <f t="shared" si="77"/>
        <v>0</v>
      </c>
      <c r="AG191" s="54">
        <f t="shared" si="77"/>
        <v>0</v>
      </c>
      <c r="AH191" s="54">
        <f t="shared" si="77"/>
        <v>0</v>
      </c>
      <c r="AI191" s="54">
        <f t="shared" si="77"/>
        <v>0</v>
      </c>
      <c r="AJ191" s="54">
        <f t="shared" si="77"/>
        <v>0</v>
      </c>
      <c r="AK191" s="54">
        <f t="shared" ref="AK191" si="89">IF($E92+365&lt;$C$56,0,IF($E92&lt;$C$56,(($E92+365-$C$56)/365)*(($C92/$BN$157)+($D92/$BN$158)),IF($E92&gt;AK$166,0,IF($E92+365&lt;AK$166,($C92/$BN$157)+($D92/$BN$158),((AK$166-$E92)/365)*(($C92/$BN$157)+($D92/$BN$158))))))</f>
        <v>0</v>
      </c>
      <c r="AL191" s="24">
        <f t="shared" si="53"/>
        <v>0</v>
      </c>
      <c r="AM191" s="24">
        <f t="shared" si="54"/>
        <v>0</v>
      </c>
      <c r="AN191" s="55">
        <f t="shared" si="55"/>
        <v>0</v>
      </c>
      <c r="AO191" s="55">
        <f t="shared" si="56"/>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3"/>
        <v>0</v>
      </c>
      <c r="H192" s="12">
        <f t="shared" si="82"/>
        <v>0</v>
      </c>
      <c r="I192" s="12">
        <f t="shared" si="82"/>
        <v>0</v>
      </c>
      <c r="J192" s="12">
        <f t="shared" si="82"/>
        <v>0</v>
      </c>
      <c r="K192" s="12">
        <f t="shared" si="45"/>
        <v>0</v>
      </c>
      <c r="L192" s="12">
        <f t="shared" si="83"/>
        <v>0</v>
      </c>
      <c r="M192" s="12">
        <f t="shared" si="83"/>
        <v>0</v>
      </c>
      <c r="N192" s="12">
        <f t="shared" si="83"/>
        <v>0</v>
      </c>
      <c r="O192" s="12">
        <f t="shared" si="47"/>
        <v>0</v>
      </c>
      <c r="P192" s="12">
        <f t="shared" si="84"/>
        <v>0</v>
      </c>
      <c r="Q192" s="12">
        <f t="shared" si="84"/>
        <v>0</v>
      </c>
      <c r="T192" s="61"/>
      <c r="U192" s="61"/>
      <c r="V192" s="61"/>
      <c r="W192" s="53">
        <f t="shared" si="49"/>
        <v>0</v>
      </c>
      <c r="X192" s="54" t="e">
        <f t="shared" si="50"/>
        <v>#DIV/0!</v>
      </c>
      <c r="Y192" s="25">
        <f t="shared" si="57"/>
        <v>0</v>
      </c>
      <c r="Z192" s="54">
        <f t="shared" si="62"/>
        <v>0</v>
      </c>
      <c r="AA192" s="54">
        <f t="shared" si="77"/>
        <v>0</v>
      </c>
      <c r="AB192" s="54">
        <f t="shared" si="77"/>
        <v>0</v>
      </c>
      <c r="AC192" s="54">
        <f t="shared" si="77"/>
        <v>0</v>
      </c>
      <c r="AD192" s="54">
        <f t="shared" si="77"/>
        <v>0</v>
      </c>
      <c r="AE192" s="54">
        <f t="shared" si="77"/>
        <v>0</v>
      </c>
      <c r="AF192" s="54">
        <f t="shared" si="77"/>
        <v>0</v>
      </c>
      <c r="AG192" s="54">
        <f t="shared" si="77"/>
        <v>0</v>
      </c>
      <c r="AH192" s="54">
        <f t="shared" si="77"/>
        <v>0</v>
      </c>
      <c r="AI192" s="54">
        <f t="shared" si="77"/>
        <v>0</v>
      </c>
      <c r="AJ192" s="54">
        <f t="shared" si="77"/>
        <v>0</v>
      </c>
      <c r="AK192" s="54">
        <f t="shared" ref="AK192" si="90">IF($E93+365&lt;$C$56,0,IF($E93&lt;$C$56,(($E93+365-$C$56)/365)*(($C93/$BN$157)+($D93/$BN$158)),IF($E93&gt;AK$166,0,IF($E93+365&lt;AK$166,($C93/$BN$157)+($D93/$BN$158),((AK$166-$E93)/365)*(($C93/$BN$157)+($D93/$BN$158))))))</f>
        <v>0</v>
      </c>
      <c r="AL192" s="24">
        <f t="shared" si="53"/>
        <v>0</v>
      </c>
      <c r="AM192" s="24">
        <f t="shared" si="54"/>
        <v>0</v>
      </c>
      <c r="AN192" s="55">
        <f t="shared" si="55"/>
        <v>0</v>
      </c>
      <c r="AO192" s="55">
        <f t="shared" si="56"/>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3"/>
        <v>0</v>
      </c>
      <c r="H193" s="12">
        <f t="shared" si="82"/>
        <v>0</v>
      </c>
      <c r="I193" s="12">
        <f t="shared" si="82"/>
        <v>0</v>
      </c>
      <c r="J193" s="12">
        <f t="shared" si="82"/>
        <v>0</v>
      </c>
      <c r="K193" s="12">
        <f t="shared" si="45"/>
        <v>0</v>
      </c>
      <c r="L193" s="12">
        <f t="shared" si="83"/>
        <v>0</v>
      </c>
      <c r="M193" s="12">
        <f t="shared" si="83"/>
        <v>0</v>
      </c>
      <c r="N193" s="12">
        <f t="shared" si="83"/>
        <v>0</v>
      </c>
      <c r="O193" s="12">
        <f t="shared" si="47"/>
        <v>0</v>
      </c>
      <c r="P193" s="12">
        <f t="shared" si="84"/>
        <v>0</v>
      </c>
      <c r="Q193" s="12">
        <f t="shared" si="84"/>
        <v>0</v>
      </c>
      <c r="T193" s="61"/>
      <c r="U193" s="61"/>
      <c r="V193" s="61"/>
      <c r="W193" s="53">
        <f t="shared" si="49"/>
        <v>0</v>
      </c>
      <c r="X193" s="54" t="e">
        <f t="shared" si="50"/>
        <v>#DIV/0!</v>
      </c>
      <c r="Y193" s="25">
        <f t="shared" si="57"/>
        <v>0</v>
      </c>
      <c r="Z193" s="54">
        <f t="shared" si="62"/>
        <v>0</v>
      </c>
      <c r="AA193" s="54">
        <f t="shared" si="77"/>
        <v>0</v>
      </c>
      <c r="AB193" s="54">
        <f t="shared" si="77"/>
        <v>0</v>
      </c>
      <c r="AC193" s="54">
        <f t="shared" si="77"/>
        <v>0</v>
      </c>
      <c r="AD193" s="54">
        <f t="shared" si="77"/>
        <v>0</v>
      </c>
      <c r="AE193" s="54">
        <f t="shared" si="77"/>
        <v>0</v>
      </c>
      <c r="AF193" s="54">
        <f t="shared" si="77"/>
        <v>0</v>
      </c>
      <c r="AG193" s="54">
        <f t="shared" si="77"/>
        <v>0</v>
      </c>
      <c r="AH193" s="54">
        <f t="shared" si="77"/>
        <v>0</v>
      </c>
      <c r="AI193" s="54">
        <f t="shared" si="77"/>
        <v>0</v>
      </c>
      <c r="AJ193" s="54">
        <f t="shared" si="77"/>
        <v>0</v>
      </c>
      <c r="AK193" s="54">
        <f t="shared" ref="AK193" si="91">IF($E94+365&lt;$C$56,0,IF($E94&lt;$C$56,(($E94+365-$C$56)/365)*(($C94/$BN$157)+($D94/$BN$158)),IF($E94&gt;AK$166,0,IF($E94+365&lt;AK$166,($C94/$BN$157)+($D94/$BN$158),((AK$166-$E94)/365)*(($C94/$BN$157)+($D94/$BN$158))))))</f>
        <v>0</v>
      </c>
      <c r="AL193" s="24">
        <f t="shared" si="53"/>
        <v>0</v>
      </c>
      <c r="AM193" s="24">
        <f t="shared" si="54"/>
        <v>0</v>
      </c>
      <c r="AN193" s="55">
        <f t="shared" si="55"/>
        <v>0</v>
      </c>
      <c r="AO193" s="55">
        <f t="shared" si="56"/>
        <v>0</v>
      </c>
      <c r="AP193" s="24"/>
      <c r="AQ193" s="24"/>
      <c r="AR193" s="24"/>
      <c r="AS193" s="24"/>
      <c r="AT193" s="24"/>
      <c r="AU193" s="24"/>
      <c r="AV193" s="24"/>
      <c r="AW193" s="24"/>
      <c r="AX193" s="24"/>
      <c r="AY193" s="24"/>
    </row>
    <row r="194" spans="7:51">
      <c r="G194" s="12">
        <f t="shared" si="43"/>
        <v>0</v>
      </c>
      <c r="H194" s="12">
        <f t="shared" si="82"/>
        <v>0</v>
      </c>
      <c r="I194" s="12">
        <f t="shared" si="82"/>
        <v>0</v>
      </c>
      <c r="J194" s="12">
        <f t="shared" si="82"/>
        <v>0</v>
      </c>
      <c r="K194" s="12">
        <f t="shared" si="45"/>
        <v>0</v>
      </c>
      <c r="L194" s="12">
        <f t="shared" si="83"/>
        <v>0</v>
      </c>
      <c r="M194" s="12">
        <f t="shared" si="83"/>
        <v>0</v>
      </c>
      <c r="N194" s="12">
        <f t="shared" si="83"/>
        <v>0</v>
      </c>
      <c r="O194" s="12">
        <f t="shared" si="47"/>
        <v>0</v>
      </c>
      <c r="P194" s="12">
        <f t="shared" si="84"/>
        <v>0</v>
      </c>
      <c r="Q194" s="12">
        <f t="shared" si="84"/>
        <v>0</v>
      </c>
      <c r="T194" s="61"/>
      <c r="U194" s="61"/>
      <c r="V194" s="61"/>
      <c r="W194" s="53">
        <f t="shared" si="49"/>
        <v>0</v>
      </c>
      <c r="X194" s="54" t="e">
        <f t="shared" si="50"/>
        <v>#DIV/0!</v>
      </c>
      <c r="Y194" s="25">
        <f t="shared" si="57"/>
        <v>0</v>
      </c>
      <c r="Z194" s="54">
        <f t="shared" si="62"/>
        <v>0</v>
      </c>
      <c r="AA194" s="54">
        <f t="shared" si="77"/>
        <v>0</v>
      </c>
      <c r="AB194" s="54">
        <f t="shared" si="77"/>
        <v>0</v>
      </c>
      <c r="AC194" s="54">
        <f t="shared" si="77"/>
        <v>0</v>
      </c>
      <c r="AD194" s="54">
        <f t="shared" si="77"/>
        <v>0</v>
      </c>
      <c r="AE194" s="54">
        <f t="shared" si="77"/>
        <v>0</v>
      </c>
      <c r="AF194" s="54">
        <f t="shared" si="77"/>
        <v>0</v>
      </c>
      <c r="AG194" s="54">
        <f t="shared" si="77"/>
        <v>0</v>
      </c>
      <c r="AH194" s="54">
        <f t="shared" si="77"/>
        <v>0</v>
      </c>
      <c r="AI194" s="54">
        <f t="shared" si="77"/>
        <v>0</v>
      </c>
      <c r="AJ194" s="54">
        <f t="shared" si="77"/>
        <v>0</v>
      </c>
      <c r="AK194" s="54">
        <f t="shared" ref="AK194" si="92">IF($E95+365&lt;$C$56,0,IF($E95&lt;$C$56,(($E95+365-$C$56)/365)*(($C95/$BN$157)+($D95/$BN$158)),IF($E95&gt;AK$166,0,IF($E95+365&lt;AK$166,($C95/$BN$157)+($D95/$BN$158),((AK$166-$E95)/365)*(($C95/$BN$157)+($D95/$BN$158))))))</f>
        <v>0</v>
      </c>
      <c r="AL194" s="24">
        <f t="shared" si="53"/>
        <v>0</v>
      </c>
      <c r="AM194" s="24">
        <f t="shared" si="54"/>
        <v>0</v>
      </c>
      <c r="AN194" s="55">
        <f t="shared" si="55"/>
        <v>0</v>
      </c>
      <c r="AO194" s="55">
        <f t="shared" si="56"/>
        <v>0</v>
      </c>
      <c r="AP194" s="24"/>
      <c r="AQ194" s="24"/>
      <c r="AR194" s="24"/>
      <c r="AS194" s="24"/>
      <c r="AT194" s="24"/>
      <c r="AU194" s="24"/>
      <c r="AV194" s="24"/>
      <c r="AW194" s="24"/>
      <c r="AX194" s="24"/>
      <c r="AY194" s="24"/>
    </row>
    <row r="195" spans="7:51">
      <c r="G195" s="12">
        <f t="shared" si="43"/>
        <v>0</v>
      </c>
      <c r="H195" s="12">
        <f t="shared" si="82"/>
        <v>0</v>
      </c>
      <c r="I195" s="12">
        <f t="shared" si="82"/>
        <v>0</v>
      </c>
      <c r="J195" s="12">
        <f t="shared" si="82"/>
        <v>0</v>
      </c>
      <c r="K195" s="12">
        <f t="shared" si="45"/>
        <v>0</v>
      </c>
      <c r="L195" s="12">
        <f t="shared" si="83"/>
        <v>0</v>
      </c>
      <c r="M195" s="12">
        <f t="shared" si="83"/>
        <v>0</v>
      </c>
      <c r="N195" s="12">
        <f t="shared" si="83"/>
        <v>0</v>
      </c>
      <c r="O195" s="12">
        <f t="shared" si="47"/>
        <v>0</v>
      </c>
      <c r="P195" s="12">
        <f t="shared" si="84"/>
        <v>0</v>
      </c>
      <c r="Q195" s="12">
        <f t="shared" si="84"/>
        <v>0</v>
      </c>
      <c r="T195" s="61"/>
      <c r="U195" s="61"/>
      <c r="V195" s="61"/>
      <c r="W195" s="53">
        <f t="shared" si="49"/>
        <v>0</v>
      </c>
      <c r="X195" s="54" t="e">
        <f t="shared" si="50"/>
        <v>#DIV/0!</v>
      </c>
      <c r="Y195" s="25">
        <f t="shared" si="57"/>
        <v>0</v>
      </c>
      <c r="Z195" s="54">
        <f t="shared" si="62"/>
        <v>0</v>
      </c>
      <c r="AA195" s="54">
        <f t="shared" si="77"/>
        <v>0</v>
      </c>
      <c r="AB195" s="54">
        <f t="shared" si="77"/>
        <v>0</v>
      </c>
      <c r="AC195" s="54">
        <f t="shared" si="77"/>
        <v>0</v>
      </c>
      <c r="AD195" s="54">
        <f t="shared" si="77"/>
        <v>0</v>
      </c>
      <c r="AE195" s="54">
        <f t="shared" si="77"/>
        <v>0</v>
      </c>
      <c r="AF195" s="54">
        <f t="shared" si="77"/>
        <v>0</v>
      </c>
      <c r="AG195" s="54">
        <f t="shared" si="77"/>
        <v>0</v>
      </c>
      <c r="AH195" s="54">
        <f t="shared" si="77"/>
        <v>0</v>
      </c>
      <c r="AI195" s="54">
        <f t="shared" si="77"/>
        <v>0</v>
      </c>
      <c r="AJ195" s="54">
        <f t="shared" si="77"/>
        <v>0</v>
      </c>
      <c r="AK195" s="54">
        <f t="shared" ref="AK195" si="93">IF($E96+365&lt;$C$56,0,IF($E96&lt;$C$56,(($E96+365-$C$56)/365)*(($C96/$BN$157)+($D96/$BN$158)),IF($E96&gt;AK$166,0,IF($E96+365&lt;AK$166,($C96/$BN$157)+($D96/$BN$158),((AK$166-$E96)/365)*(($C96/$BN$157)+($D96/$BN$158))))))</f>
        <v>0</v>
      </c>
      <c r="AL195" s="24">
        <f t="shared" si="53"/>
        <v>0</v>
      </c>
      <c r="AM195" s="24">
        <f t="shared" si="54"/>
        <v>0</v>
      </c>
      <c r="AN195" s="55">
        <f t="shared" si="55"/>
        <v>0</v>
      </c>
      <c r="AO195" s="55">
        <f t="shared" si="56"/>
        <v>0</v>
      </c>
      <c r="AP195" s="24"/>
      <c r="AQ195" s="24"/>
      <c r="AR195" s="24"/>
      <c r="AS195" s="24"/>
      <c r="AT195" s="24"/>
      <c r="AU195" s="24"/>
      <c r="AV195" s="24"/>
      <c r="AW195" s="24"/>
      <c r="AX195" s="24"/>
      <c r="AY195" s="24"/>
    </row>
    <row r="196" spans="7:51">
      <c r="G196" s="12">
        <f t="shared" si="43"/>
        <v>0</v>
      </c>
      <c r="H196" s="12">
        <f t="shared" si="82"/>
        <v>0</v>
      </c>
      <c r="I196" s="12">
        <f t="shared" si="82"/>
        <v>0</v>
      </c>
      <c r="J196" s="12">
        <f t="shared" si="82"/>
        <v>0</v>
      </c>
      <c r="K196" s="12">
        <f t="shared" si="45"/>
        <v>0</v>
      </c>
      <c r="L196" s="12">
        <f t="shared" si="83"/>
        <v>0</v>
      </c>
      <c r="M196" s="12">
        <f t="shared" si="83"/>
        <v>0</v>
      </c>
      <c r="N196" s="12">
        <f t="shared" si="83"/>
        <v>0</v>
      </c>
      <c r="O196" s="12">
        <f t="shared" si="47"/>
        <v>0</v>
      </c>
      <c r="P196" s="12">
        <f t="shared" si="84"/>
        <v>0</v>
      </c>
      <c r="Q196" s="12">
        <f t="shared" si="84"/>
        <v>0</v>
      </c>
      <c r="T196" s="61"/>
      <c r="U196" s="61"/>
      <c r="V196" s="61"/>
      <c r="W196" s="53">
        <f t="shared" si="49"/>
        <v>0</v>
      </c>
      <c r="X196" s="54" t="e">
        <f t="shared" si="50"/>
        <v>#DIV/0!</v>
      </c>
      <c r="Y196" s="25">
        <f t="shared" si="57"/>
        <v>0</v>
      </c>
      <c r="Z196" s="54">
        <f t="shared" si="62"/>
        <v>0</v>
      </c>
      <c r="AA196" s="54">
        <f t="shared" si="77"/>
        <v>0</v>
      </c>
      <c r="AB196" s="54">
        <f t="shared" si="77"/>
        <v>0</v>
      </c>
      <c r="AC196" s="54">
        <f t="shared" si="77"/>
        <v>0</v>
      </c>
      <c r="AD196" s="54">
        <f t="shared" si="77"/>
        <v>0</v>
      </c>
      <c r="AE196" s="54">
        <f t="shared" si="77"/>
        <v>0</v>
      </c>
      <c r="AF196" s="54">
        <f t="shared" si="77"/>
        <v>0</v>
      </c>
      <c r="AG196" s="54">
        <f t="shared" si="77"/>
        <v>0</v>
      </c>
      <c r="AH196" s="54">
        <f t="shared" si="77"/>
        <v>0</v>
      </c>
      <c r="AI196" s="54">
        <f t="shared" si="77"/>
        <v>0</v>
      </c>
      <c r="AJ196" s="54">
        <f t="shared" si="77"/>
        <v>0</v>
      </c>
      <c r="AK196" s="54">
        <f t="shared" ref="AK196" si="94">IF($E97+365&lt;$C$56,0,IF($E97&lt;$C$56,(($E97+365-$C$56)/365)*(($C97/$BN$157)+($D97/$BN$158)),IF($E97&gt;AK$166,0,IF($E97+365&lt;AK$166,($C97/$BN$157)+($D97/$BN$158),((AK$166-$E97)/365)*(($C97/$BN$157)+($D97/$BN$158))))))</f>
        <v>0</v>
      </c>
      <c r="AL196" s="24">
        <f t="shared" si="53"/>
        <v>0</v>
      </c>
      <c r="AM196" s="24">
        <f t="shared" si="54"/>
        <v>0</v>
      </c>
      <c r="AN196" s="55">
        <f t="shared" si="55"/>
        <v>0</v>
      </c>
      <c r="AO196" s="55">
        <f t="shared" si="56"/>
        <v>0</v>
      </c>
      <c r="AP196" s="24"/>
      <c r="AQ196" s="24"/>
      <c r="AR196" s="24"/>
      <c r="AS196" s="24"/>
      <c r="AT196" s="24"/>
      <c r="AU196" s="24"/>
      <c r="AV196" s="24"/>
      <c r="AW196" s="24"/>
      <c r="AX196" s="24"/>
      <c r="AY196" s="24"/>
    </row>
    <row r="197" spans="7:51">
      <c r="G197" s="12">
        <f t="shared" si="43"/>
        <v>0</v>
      </c>
      <c r="H197" s="12">
        <f t="shared" si="82"/>
        <v>0</v>
      </c>
      <c r="I197" s="12">
        <f t="shared" si="82"/>
        <v>0</v>
      </c>
      <c r="J197" s="12">
        <f t="shared" si="82"/>
        <v>0</v>
      </c>
      <c r="K197" s="12">
        <f t="shared" si="45"/>
        <v>0</v>
      </c>
      <c r="L197" s="12">
        <f t="shared" si="83"/>
        <v>0</v>
      </c>
      <c r="M197" s="12">
        <f t="shared" si="83"/>
        <v>0</v>
      </c>
      <c r="N197" s="12">
        <f t="shared" si="83"/>
        <v>0</v>
      </c>
      <c r="O197" s="12">
        <f t="shared" si="47"/>
        <v>0</v>
      </c>
      <c r="P197" s="12">
        <f t="shared" si="84"/>
        <v>0</v>
      </c>
      <c r="Q197" s="12">
        <f t="shared" si="84"/>
        <v>0</v>
      </c>
      <c r="T197" s="61"/>
      <c r="U197" s="61"/>
      <c r="V197" s="61"/>
      <c r="W197" s="53">
        <f t="shared" si="49"/>
        <v>0</v>
      </c>
      <c r="X197" s="54" t="e">
        <f t="shared" si="50"/>
        <v>#DIV/0!</v>
      </c>
      <c r="Y197" s="25">
        <f t="shared" si="57"/>
        <v>0</v>
      </c>
      <c r="Z197" s="54">
        <f t="shared" si="62"/>
        <v>0</v>
      </c>
      <c r="AA197" s="54">
        <f t="shared" si="77"/>
        <v>0</v>
      </c>
      <c r="AB197" s="54">
        <f t="shared" si="77"/>
        <v>0</v>
      </c>
      <c r="AC197" s="54">
        <f t="shared" si="77"/>
        <v>0</v>
      </c>
      <c r="AD197" s="54">
        <f t="shared" si="77"/>
        <v>0</v>
      </c>
      <c r="AE197" s="54">
        <f t="shared" si="77"/>
        <v>0</v>
      </c>
      <c r="AF197" s="54">
        <f t="shared" si="77"/>
        <v>0</v>
      </c>
      <c r="AG197" s="54">
        <f t="shared" si="77"/>
        <v>0</v>
      </c>
      <c r="AH197" s="54">
        <f t="shared" si="77"/>
        <v>0</v>
      </c>
      <c r="AI197" s="54">
        <f t="shared" si="77"/>
        <v>0</v>
      </c>
      <c r="AJ197" s="54">
        <f t="shared" si="77"/>
        <v>0</v>
      </c>
      <c r="AK197" s="54">
        <f t="shared" ref="AK197" si="95">IF($E98+365&lt;$C$56,0,IF($E98&lt;$C$56,(($E98+365-$C$56)/365)*(($C98/$BN$157)+($D98/$BN$158)),IF($E98&gt;AK$166,0,IF($E98+365&lt;AK$166,($C98/$BN$157)+($D98/$BN$158),((AK$166-$E98)/365)*(($C98/$BN$157)+($D98/$BN$158))))))</f>
        <v>0</v>
      </c>
      <c r="AL197" s="24">
        <f t="shared" si="53"/>
        <v>0</v>
      </c>
      <c r="AM197" s="24">
        <f t="shared" si="54"/>
        <v>0</v>
      </c>
      <c r="AN197" s="55">
        <f t="shared" si="55"/>
        <v>0</v>
      </c>
      <c r="AO197" s="55">
        <f t="shared" si="56"/>
        <v>0</v>
      </c>
      <c r="AP197" s="24"/>
      <c r="AQ197" s="24"/>
      <c r="AR197" s="24"/>
      <c r="AS197" s="24"/>
      <c r="AT197" s="24"/>
      <c r="AU197" s="24"/>
      <c r="AV197" s="24"/>
      <c r="AW197" s="24"/>
      <c r="AX197" s="24"/>
      <c r="AY197" s="24"/>
    </row>
    <row r="198" spans="7:51">
      <c r="G198" s="12">
        <f t="shared" si="43"/>
        <v>0</v>
      </c>
      <c r="H198" s="12">
        <f t="shared" si="82"/>
        <v>0</v>
      </c>
      <c r="I198" s="12">
        <f t="shared" si="82"/>
        <v>0</v>
      </c>
      <c r="J198" s="12">
        <f t="shared" si="82"/>
        <v>0</v>
      </c>
      <c r="K198" s="12">
        <f t="shared" si="45"/>
        <v>0</v>
      </c>
      <c r="L198" s="12">
        <f t="shared" si="83"/>
        <v>0</v>
      </c>
      <c r="M198" s="12">
        <f t="shared" si="83"/>
        <v>0</v>
      </c>
      <c r="N198" s="12">
        <f t="shared" si="83"/>
        <v>0</v>
      </c>
      <c r="O198" s="12">
        <f t="shared" si="47"/>
        <v>0</v>
      </c>
      <c r="P198" s="12">
        <f t="shared" si="84"/>
        <v>0</v>
      </c>
      <c r="Q198" s="12">
        <f t="shared" si="84"/>
        <v>0</v>
      </c>
      <c r="T198" s="61"/>
      <c r="U198" s="61"/>
      <c r="V198" s="61"/>
      <c r="W198" s="53">
        <f t="shared" si="49"/>
        <v>0</v>
      </c>
      <c r="X198" s="54" t="e">
        <f t="shared" si="50"/>
        <v>#DIV/0!</v>
      </c>
      <c r="Y198" s="25">
        <f t="shared" si="57"/>
        <v>0</v>
      </c>
      <c r="Z198" s="54">
        <f t="shared" si="62"/>
        <v>0</v>
      </c>
      <c r="AA198" s="54">
        <f t="shared" si="77"/>
        <v>0</v>
      </c>
      <c r="AB198" s="54">
        <f t="shared" si="77"/>
        <v>0</v>
      </c>
      <c r="AC198" s="54">
        <f t="shared" si="77"/>
        <v>0</v>
      </c>
      <c r="AD198" s="54">
        <f t="shared" si="77"/>
        <v>0</v>
      </c>
      <c r="AE198" s="54">
        <f t="shared" si="77"/>
        <v>0</v>
      </c>
      <c r="AF198" s="54">
        <f t="shared" si="77"/>
        <v>0</v>
      </c>
      <c r="AG198" s="54">
        <f t="shared" si="77"/>
        <v>0</v>
      </c>
      <c r="AH198" s="54">
        <f t="shared" si="77"/>
        <v>0</v>
      </c>
      <c r="AI198" s="54">
        <f t="shared" si="77"/>
        <v>0</v>
      </c>
      <c r="AJ198" s="54">
        <f t="shared" si="77"/>
        <v>0</v>
      </c>
      <c r="AK198" s="54">
        <f t="shared" ref="AK198" si="96">IF($E99+365&lt;$C$56,0,IF($E99&lt;$C$56,(($E99+365-$C$56)/365)*(($C99/$BN$157)+($D99/$BN$158)),IF($E99&gt;AK$166,0,IF($E99+365&lt;AK$166,($C99/$BN$157)+($D99/$BN$158),((AK$166-$E99)/365)*(($C99/$BN$157)+($D99/$BN$158))))))</f>
        <v>0</v>
      </c>
      <c r="AL198" s="24">
        <f t="shared" si="53"/>
        <v>0</v>
      </c>
      <c r="AM198" s="24">
        <f t="shared" si="54"/>
        <v>0</v>
      </c>
      <c r="AN198" s="55">
        <f t="shared" si="55"/>
        <v>0</v>
      </c>
      <c r="AO198" s="55">
        <f t="shared" si="56"/>
        <v>0</v>
      </c>
      <c r="AP198" s="24"/>
      <c r="AQ198" s="24"/>
      <c r="AR198" s="24"/>
      <c r="AS198" s="24"/>
      <c r="AT198" s="24"/>
      <c r="AU198" s="24"/>
      <c r="AV198" s="24"/>
      <c r="AW198" s="24"/>
      <c r="AX198" s="24"/>
      <c r="AY198" s="24"/>
    </row>
    <row r="199" spans="7:51">
      <c r="G199" s="12">
        <f t="shared" si="43"/>
        <v>0</v>
      </c>
      <c r="H199" s="12">
        <f t="shared" si="82"/>
        <v>0</v>
      </c>
      <c r="I199" s="12">
        <f t="shared" si="82"/>
        <v>0</v>
      </c>
      <c r="J199" s="12">
        <f t="shared" si="82"/>
        <v>0</v>
      </c>
      <c r="K199" s="12">
        <f t="shared" si="45"/>
        <v>0</v>
      </c>
      <c r="L199" s="12">
        <f t="shared" si="83"/>
        <v>0</v>
      </c>
      <c r="M199" s="12">
        <f t="shared" si="83"/>
        <v>0</v>
      </c>
      <c r="N199" s="12">
        <f t="shared" si="83"/>
        <v>0</v>
      </c>
      <c r="O199" s="12">
        <f t="shared" si="47"/>
        <v>0</v>
      </c>
      <c r="P199" s="12">
        <f t="shared" si="84"/>
        <v>0</v>
      </c>
      <c r="Q199" s="12">
        <f t="shared" si="84"/>
        <v>0</v>
      </c>
      <c r="T199" s="61"/>
      <c r="U199" s="61"/>
      <c r="V199" s="61"/>
      <c r="W199" s="53">
        <f t="shared" si="49"/>
        <v>0</v>
      </c>
      <c r="X199" s="54" t="e">
        <f t="shared" si="50"/>
        <v>#DIV/0!</v>
      </c>
      <c r="Y199" s="25">
        <f t="shared" si="57"/>
        <v>0</v>
      </c>
      <c r="Z199" s="54">
        <f t="shared" si="62"/>
        <v>0</v>
      </c>
      <c r="AA199" s="54">
        <f t="shared" ref="AA199:AJ213" si="97">IF($E100+365&lt;$C$56,0,IF($E100&lt;$C$56,(($E100+365-$C$56)/365)*(($C100/$BN$157)+($D100/$BN$158)),IF($E100&gt;AA$166,0,IF($E100+365&lt;AA$166,($C100/$BN$157)+($D100/$BN$158),((AA$166-$E100)/365)*(($C100/$BN$157)+($D100/$BN$158))))))</f>
        <v>0</v>
      </c>
      <c r="AB199" s="54">
        <f t="shared" si="97"/>
        <v>0</v>
      </c>
      <c r="AC199" s="54">
        <f t="shared" si="97"/>
        <v>0</v>
      </c>
      <c r="AD199" s="54">
        <f t="shared" si="97"/>
        <v>0</v>
      </c>
      <c r="AE199" s="54">
        <f t="shared" si="97"/>
        <v>0</v>
      </c>
      <c r="AF199" s="54">
        <f t="shared" si="97"/>
        <v>0</v>
      </c>
      <c r="AG199" s="54">
        <f t="shared" si="97"/>
        <v>0</v>
      </c>
      <c r="AH199" s="54">
        <f t="shared" si="97"/>
        <v>0</v>
      </c>
      <c r="AI199" s="54">
        <f t="shared" si="97"/>
        <v>0</v>
      </c>
      <c r="AJ199" s="54">
        <f t="shared" si="97"/>
        <v>0</v>
      </c>
      <c r="AK199" s="54">
        <f t="shared" ref="AK199" si="98">IF($E100+365&lt;$C$56,0,IF($E100&lt;$C$56,(($E100+365-$C$56)/365)*(($C100/$BN$157)+($D100/$BN$158)),IF($E100&gt;AK$166,0,IF($E100+365&lt;AK$166,($C100/$BN$157)+($D100/$BN$158),((AK$166-$E100)/365)*(($C100/$BN$157)+($D100/$BN$158))))))</f>
        <v>0</v>
      </c>
      <c r="AL199" s="24">
        <f t="shared" si="53"/>
        <v>0</v>
      </c>
      <c r="AM199" s="24">
        <f t="shared" si="54"/>
        <v>0</v>
      </c>
      <c r="AN199" s="55">
        <f t="shared" si="55"/>
        <v>0</v>
      </c>
      <c r="AO199" s="55">
        <f t="shared" si="56"/>
        <v>0</v>
      </c>
      <c r="AP199" s="24"/>
      <c r="AQ199" s="24"/>
      <c r="AR199" s="24"/>
      <c r="AS199" s="24"/>
      <c r="AT199" s="24"/>
      <c r="AU199" s="24"/>
      <c r="AV199" s="24"/>
      <c r="AW199" s="24"/>
      <c r="AX199" s="24"/>
      <c r="AY199" s="24"/>
    </row>
    <row r="200" spans="7:51">
      <c r="G200" s="12">
        <f t="shared" si="43"/>
        <v>0</v>
      </c>
      <c r="H200" s="12">
        <f t="shared" si="82"/>
        <v>0</v>
      </c>
      <c r="I200" s="12">
        <f t="shared" si="82"/>
        <v>0</v>
      </c>
      <c r="J200" s="12">
        <f t="shared" si="82"/>
        <v>0</v>
      </c>
      <c r="K200" s="12">
        <f t="shared" si="45"/>
        <v>0</v>
      </c>
      <c r="L200" s="12">
        <f t="shared" si="83"/>
        <v>0</v>
      </c>
      <c r="M200" s="12">
        <f t="shared" si="83"/>
        <v>0</v>
      </c>
      <c r="N200" s="12">
        <f t="shared" si="83"/>
        <v>0</v>
      </c>
      <c r="O200" s="12">
        <f t="shared" si="47"/>
        <v>0</v>
      </c>
      <c r="P200" s="12">
        <f t="shared" si="84"/>
        <v>0</v>
      </c>
      <c r="Q200" s="12">
        <f t="shared" si="84"/>
        <v>0</v>
      </c>
      <c r="T200" s="61"/>
      <c r="U200" s="61"/>
      <c r="V200" s="61"/>
      <c r="W200" s="53">
        <f t="shared" si="49"/>
        <v>0</v>
      </c>
      <c r="X200" s="54" t="e">
        <f t="shared" si="50"/>
        <v>#DIV/0!</v>
      </c>
      <c r="Y200" s="25">
        <f t="shared" si="57"/>
        <v>0</v>
      </c>
      <c r="Z200" s="54">
        <f t="shared" si="62"/>
        <v>0</v>
      </c>
      <c r="AA200" s="54">
        <f t="shared" si="97"/>
        <v>0</v>
      </c>
      <c r="AB200" s="54">
        <f t="shared" si="97"/>
        <v>0</v>
      </c>
      <c r="AC200" s="54">
        <f t="shared" si="97"/>
        <v>0</v>
      </c>
      <c r="AD200" s="54">
        <f t="shared" si="97"/>
        <v>0</v>
      </c>
      <c r="AE200" s="54">
        <f t="shared" si="97"/>
        <v>0</v>
      </c>
      <c r="AF200" s="54">
        <f t="shared" si="97"/>
        <v>0</v>
      </c>
      <c r="AG200" s="54">
        <f t="shared" si="97"/>
        <v>0</v>
      </c>
      <c r="AH200" s="54">
        <f t="shared" si="97"/>
        <v>0</v>
      </c>
      <c r="AI200" s="54">
        <f t="shared" si="97"/>
        <v>0</v>
      </c>
      <c r="AJ200" s="54">
        <f t="shared" si="97"/>
        <v>0</v>
      </c>
      <c r="AK200" s="54">
        <f t="shared" ref="AK200" si="99">IF($E101+365&lt;$C$56,0,IF($E101&lt;$C$56,(($E101+365-$C$56)/365)*(($C101/$BN$157)+($D101/$BN$158)),IF($E101&gt;AK$166,0,IF($E101+365&lt;AK$166,($C101/$BN$157)+($D101/$BN$158),((AK$166-$E101)/365)*(($C101/$BN$157)+($D101/$BN$158))))))</f>
        <v>0</v>
      </c>
      <c r="AL200" s="24">
        <f t="shared" si="53"/>
        <v>0</v>
      </c>
      <c r="AM200" s="24">
        <f t="shared" si="54"/>
        <v>0</v>
      </c>
      <c r="AN200" s="55">
        <f t="shared" si="55"/>
        <v>0</v>
      </c>
      <c r="AO200" s="55">
        <f t="shared" si="56"/>
        <v>0</v>
      </c>
      <c r="AP200" s="24"/>
      <c r="AQ200" s="24"/>
      <c r="AR200" s="24"/>
      <c r="AS200" s="24"/>
      <c r="AT200" s="24"/>
      <c r="AU200" s="24"/>
      <c r="AV200" s="24"/>
      <c r="AW200" s="24"/>
      <c r="AX200" s="24"/>
      <c r="AY200" s="24"/>
    </row>
    <row r="201" spans="7:51">
      <c r="G201" s="12">
        <f t="shared" si="43"/>
        <v>0</v>
      </c>
      <c r="H201" s="12">
        <f t="shared" si="82"/>
        <v>0</v>
      </c>
      <c r="I201" s="12">
        <f t="shared" si="82"/>
        <v>0</v>
      </c>
      <c r="J201" s="12">
        <f t="shared" si="82"/>
        <v>0</v>
      </c>
      <c r="K201" s="12">
        <f t="shared" si="45"/>
        <v>0</v>
      </c>
      <c r="L201" s="12">
        <f t="shared" si="83"/>
        <v>0</v>
      </c>
      <c r="M201" s="12">
        <f t="shared" si="83"/>
        <v>0</v>
      </c>
      <c r="N201" s="12">
        <f t="shared" si="83"/>
        <v>0</v>
      </c>
      <c r="O201" s="12">
        <f t="shared" si="47"/>
        <v>0</v>
      </c>
      <c r="P201" s="12">
        <f t="shared" si="84"/>
        <v>0</v>
      </c>
      <c r="Q201" s="12">
        <f t="shared" si="84"/>
        <v>0</v>
      </c>
      <c r="T201" s="61"/>
      <c r="U201" s="61"/>
      <c r="V201" s="61"/>
      <c r="W201" s="53">
        <f t="shared" si="49"/>
        <v>0</v>
      </c>
      <c r="X201" s="54" t="e">
        <f t="shared" si="50"/>
        <v>#DIV/0!</v>
      </c>
      <c r="Y201" s="25">
        <f t="shared" si="57"/>
        <v>0</v>
      </c>
      <c r="Z201" s="54">
        <f t="shared" si="62"/>
        <v>0</v>
      </c>
      <c r="AA201" s="54">
        <f t="shared" si="97"/>
        <v>0</v>
      </c>
      <c r="AB201" s="54">
        <f t="shared" si="97"/>
        <v>0</v>
      </c>
      <c r="AC201" s="54">
        <f t="shared" si="97"/>
        <v>0</v>
      </c>
      <c r="AD201" s="54">
        <f t="shared" si="97"/>
        <v>0</v>
      </c>
      <c r="AE201" s="54">
        <f t="shared" si="97"/>
        <v>0</v>
      </c>
      <c r="AF201" s="54">
        <f t="shared" si="97"/>
        <v>0</v>
      </c>
      <c r="AG201" s="54">
        <f t="shared" si="97"/>
        <v>0</v>
      </c>
      <c r="AH201" s="54">
        <f t="shared" si="97"/>
        <v>0</v>
      </c>
      <c r="AI201" s="54">
        <f t="shared" si="97"/>
        <v>0</v>
      </c>
      <c r="AJ201" s="54">
        <f t="shared" si="97"/>
        <v>0</v>
      </c>
      <c r="AK201" s="54">
        <f t="shared" ref="AK201" si="100">IF($E102+365&lt;$C$56,0,IF($E102&lt;$C$56,(($E102+365-$C$56)/365)*(($C102/$BN$157)+($D102/$BN$158)),IF($E102&gt;AK$166,0,IF($E102+365&lt;AK$166,($C102/$BN$157)+($D102/$BN$158),((AK$166-$E102)/365)*(($C102/$BN$157)+($D102/$BN$158))))))</f>
        <v>0</v>
      </c>
      <c r="AL201" s="24">
        <f t="shared" si="53"/>
        <v>0</v>
      </c>
      <c r="AM201" s="24">
        <f t="shared" si="54"/>
        <v>0</v>
      </c>
      <c r="AN201" s="55">
        <f t="shared" si="55"/>
        <v>0</v>
      </c>
      <c r="AO201" s="55">
        <f t="shared" si="56"/>
        <v>0</v>
      </c>
      <c r="AP201" s="24"/>
      <c r="AQ201" s="24"/>
      <c r="AR201" s="24"/>
      <c r="AS201" s="24"/>
      <c r="AT201" s="24"/>
      <c r="AU201" s="24"/>
      <c r="AV201" s="24"/>
      <c r="AW201" s="24"/>
      <c r="AX201" s="24"/>
      <c r="AY201" s="24"/>
    </row>
    <row r="202" spans="7:51">
      <c r="G202" s="12">
        <f t="shared" si="43"/>
        <v>0</v>
      </c>
      <c r="H202" s="12">
        <f t="shared" si="82"/>
        <v>0</v>
      </c>
      <c r="I202" s="12">
        <f t="shared" si="82"/>
        <v>0</v>
      </c>
      <c r="J202" s="12">
        <f t="shared" si="82"/>
        <v>0</v>
      </c>
      <c r="K202" s="12">
        <f t="shared" si="45"/>
        <v>0</v>
      </c>
      <c r="L202" s="12">
        <f t="shared" si="83"/>
        <v>0</v>
      </c>
      <c r="M202" s="12">
        <f t="shared" si="83"/>
        <v>0</v>
      </c>
      <c r="N202" s="12">
        <f t="shared" si="83"/>
        <v>0</v>
      </c>
      <c r="O202" s="12">
        <f t="shared" si="47"/>
        <v>0</v>
      </c>
      <c r="P202" s="12">
        <f t="shared" si="84"/>
        <v>0</v>
      </c>
      <c r="Q202" s="12">
        <f t="shared" si="84"/>
        <v>0</v>
      </c>
      <c r="T202" s="61"/>
      <c r="U202" s="61"/>
      <c r="V202" s="61"/>
      <c r="W202" s="53">
        <f t="shared" si="49"/>
        <v>0</v>
      </c>
      <c r="X202" s="54" t="e">
        <f t="shared" si="50"/>
        <v>#DIV/0!</v>
      </c>
      <c r="Y202" s="25">
        <f t="shared" si="57"/>
        <v>0</v>
      </c>
      <c r="Z202" s="54">
        <f t="shared" si="62"/>
        <v>0</v>
      </c>
      <c r="AA202" s="54">
        <f t="shared" si="97"/>
        <v>0</v>
      </c>
      <c r="AB202" s="54">
        <f t="shared" si="97"/>
        <v>0</v>
      </c>
      <c r="AC202" s="54">
        <f t="shared" si="97"/>
        <v>0</v>
      </c>
      <c r="AD202" s="54">
        <f t="shared" si="97"/>
        <v>0</v>
      </c>
      <c r="AE202" s="54">
        <f t="shared" si="97"/>
        <v>0</v>
      </c>
      <c r="AF202" s="54">
        <f t="shared" si="97"/>
        <v>0</v>
      </c>
      <c r="AG202" s="54">
        <f t="shared" si="97"/>
        <v>0</v>
      </c>
      <c r="AH202" s="54">
        <f t="shared" si="97"/>
        <v>0</v>
      </c>
      <c r="AI202" s="54">
        <f t="shared" si="97"/>
        <v>0</v>
      </c>
      <c r="AJ202" s="54">
        <f t="shared" si="97"/>
        <v>0</v>
      </c>
      <c r="AK202" s="54">
        <f t="shared" ref="AK202" si="101">IF($E103+365&lt;$C$56,0,IF($E103&lt;$C$56,(($E103+365-$C$56)/365)*(($C103/$BN$157)+($D103/$BN$158)),IF($E103&gt;AK$166,0,IF($E103+365&lt;AK$166,($C103/$BN$157)+($D103/$BN$158),((AK$166-$E103)/365)*(($C103/$BN$157)+($D103/$BN$158))))))</f>
        <v>0</v>
      </c>
      <c r="AL202" s="24">
        <f t="shared" si="53"/>
        <v>0</v>
      </c>
      <c r="AM202" s="24">
        <f t="shared" si="54"/>
        <v>0</v>
      </c>
      <c r="AN202" s="55">
        <f t="shared" si="55"/>
        <v>0</v>
      </c>
      <c r="AO202" s="55">
        <f t="shared" si="56"/>
        <v>0</v>
      </c>
      <c r="AP202" s="24"/>
      <c r="AQ202" s="24"/>
      <c r="AR202" s="24"/>
      <c r="AS202" s="24"/>
      <c r="AT202" s="24"/>
      <c r="AU202" s="24"/>
      <c r="AV202" s="24"/>
      <c r="AW202" s="24"/>
      <c r="AX202" s="24"/>
      <c r="AY202" s="24"/>
    </row>
    <row r="203" spans="7:51">
      <c r="G203" s="12">
        <f t="shared" si="43"/>
        <v>0</v>
      </c>
      <c r="H203" s="12">
        <f t="shared" si="82"/>
        <v>0</v>
      </c>
      <c r="I203" s="12">
        <f t="shared" si="82"/>
        <v>0</v>
      </c>
      <c r="J203" s="12">
        <f t="shared" si="82"/>
        <v>0</v>
      </c>
      <c r="K203" s="12">
        <f t="shared" si="45"/>
        <v>0</v>
      </c>
      <c r="L203" s="12">
        <f t="shared" si="83"/>
        <v>0</v>
      </c>
      <c r="M203" s="12">
        <f t="shared" si="83"/>
        <v>0</v>
      </c>
      <c r="N203" s="12">
        <f t="shared" si="83"/>
        <v>0</v>
      </c>
      <c r="O203" s="12">
        <f t="shared" si="47"/>
        <v>0</v>
      </c>
      <c r="P203" s="12">
        <f t="shared" si="84"/>
        <v>0</v>
      </c>
      <c r="Q203" s="12">
        <f t="shared" si="84"/>
        <v>0</v>
      </c>
      <c r="T203" s="61"/>
      <c r="U203" s="61"/>
      <c r="V203" s="61"/>
      <c r="W203" s="53">
        <f t="shared" si="49"/>
        <v>0</v>
      </c>
      <c r="X203" s="54" t="e">
        <f t="shared" si="50"/>
        <v>#DIV/0!</v>
      </c>
      <c r="Y203" s="25">
        <f t="shared" si="57"/>
        <v>0</v>
      </c>
      <c r="Z203" s="54">
        <f t="shared" si="62"/>
        <v>0</v>
      </c>
      <c r="AA203" s="54">
        <f t="shared" si="97"/>
        <v>0</v>
      </c>
      <c r="AB203" s="54">
        <f t="shared" si="97"/>
        <v>0</v>
      </c>
      <c r="AC203" s="54">
        <f t="shared" si="97"/>
        <v>0</v>
      </c>
      <c r="AD203" s="54">
        <f t="shared" si="97"/>
        <v>0</v>
      </c>
      <c r="AE203" s="54">
        <f t="shared" si="97"/>
        <v>0</v>
      </c>
      <c r="AF203" s="54">
        <f t="shared" si="97"/>
        <v>0</v>
      </c>
      <c r="AG203" s="54">
        <f t="shared" si="97"/>
        <v>0</v>
      </c>
      <c r="AH203" s="54">
        <f t="shared" si="97"/>
        <v>0</v>
      </c>
      <c r="AI203" s="54">
        <f t="shared" si="97"/>
        <v>0</v>
      </c>
      <c r="AJ203" s="54">
        <f t="shared" si="97"/>
        <v>0</v>
      </c>
      <c r="AK203" s="54">
        <f t="shared" ref="AK203" si="102">IF($E104+365&lt;$C$56,0,IF($E104&lt;$C$56,(($E104+365-$C$56)/365)*(($C104/$BN$157)+($D104/$BN$158)),IF($E104&gt;AK$166,0,IF($E104+365&lt;AK$166,($C104/$BN$157)+($D104/$BN$158),((AK$166-$E104)/365)*(($C104/$BN$157)+($D104/$BN$158))))))</f>
        <v>0</v>
      </c>
      <c r="AL203" s="24">
        <f t="shared" si="53"/>
        <v>0</v>
      </c>
      <c r="AM203" s="24">
        <f t="shared" si="54"/>
        <v>0</v>
      </c>
      <c r="AN203" s="55">
        <f t="shared" si="55"/>
        <v>0</v>
      </c>
      <c r="AO203" s="55">
        <f t="shared" si="56"/>
        <v>0</v>
      </c>
      <c r="AP203" s="24"/>
      <c r="AQ203" s="24"/>
      <c r="AR203" s="24"/>
      <c r="AS203" s="24"/>
      <c r="AT203" s="24"/>
      <c r="AU203" s="24"/>
      <c r="AV203" s="24"/>
      <c r="AW203" s="24"/>
      <c r="AX203" s="24"/>
      <c r="AY203" s="24"/>
    </row>
    <row r="204" spans="7:51">
      <c r="G204" s="12">
        <f t="shared" si="43"/>
        <v>0</v>
      </c>
      <c r="H204" s="12">
        <f t="shared" si="82"/>
        <v>0</v>
      </c>
      <c r="I204" s="12">
        <f t="shared" si="82"/>
        <v>0</v>
      </c>
      <c r="J204" s="12">
        <f t="shared" si="82"/>
        <v>0</v>
      </c>
      <c r="K204" s="12">
        <f t="shared" si="45"/>
        <v>0</v>
      </c>
      <c r="L204" s="12">
        <f t="shared" si="83"/>
        <v>0</v>
      </c>
      <c r="M204" s="12">
        <f t="shared" si="83"/>
        <v>0</v>
      </c>
      <c r="N204" s="12">
        <f t="shared" si="83"/>
        <v>0</v>
      </c>
      <c r="O204" s="12">
        <f t="shared" si="47"/>
        <v>0</v>
      </c>
      <c r="P204" s="12">
        <f t="shared" si="84"/>
        <v>0</v>
      </c>
      <c r="Q204" s="12">
        <f t="shared" si="84"/>
        <v>0</v>
      </c>
      <c r="T204" s="61"/>
      <c r="U204" s="61"/>
      <c r="V204" s="61"/>
      <c r="W204" s="53">
        <f t="shared" si="49"/>
        <v>0</v>
      </c>
      <c r="X204" s="54" t="e">
        <f t="shared" si="50"/>
        <v>#DIV/0!</v>
      </c>
      <c r="Y204" s="25">
        <f t="shared" si="57"/>
        <v>0</v>
      </c>
      <c r="Z204" s="54">
        <f t="shared" si="62"/>
        <v>0</v>
      </c>
      <c r="AA204" s="54">
        <f t="shared" si="97"/>
        <v>0</v>
      </c>
      <c r="AB204" s="54">
        <f t="shared" si="97"/>
        <v>0</v>
      </c>
      <c r="AC204" s="54">
        <f t="shared" si="97"/>
        <v>0</v>
      </c>
      <c r="AD204" s="54">
        <f t="shared" si="97"/>
        <v>0</v>
      </c>
      <c r="AE204" s="54">
        <f t="shared" si="97"/>
        <v>0</v>
      </c>
      <c r="AF204" s="54">
        <f t="shared" si="97"/>
        <v>0</v>
      </c>
      <c r="AG204" s="54">
        <f t="shared" si="97"/>
        <v>0</v>
      </c>
      <c r="AH204" s="54">
        <f t="shared" si="97"/>
        <v>0</v>
      </c>
      <c r="AI204" s="54">
        <f t="shared" si="97"/>
        <v>0</v>
      </c>
      <c r="AJ204" s="54">
        <f t="shared" si="97"/>
        <v>0</v>
      </c>
      <c r="AK204" s="54">
        <f t="shared" ref="AK204" si="103">IF($E105+365&lt;$C$56,0,IF($E105&lt;$C$56,(($E105+365-$C$56)/365)*(($C105/$BN$157)+($D105/$BN$158)),IF($E105&gt;AK$166,0,IF($E105+365&lt;AK$166,($C105/$BN$157)+($D105/$BN$158),((AK$166-$E105)/365)*(($C105/$BN$157)+($D105/$BN$158))))))</f>
        <v>0</v>
      </c>
      <c r="AL204" s="24">
        <f t="shared" si="53"/>
        <v>0</v>
      </c>
      <c r="AM204" s="24">
        <f t="shared" si="54"/>
        <v>0</v>
      </c>
      <c r="AN204" s="55">
        <f t="shared" si="55"/>
        <v>0</v>
      </c>
      <c r="AO204" s="55">
        <f t="shared" si="56"/>
        <v>0</v>
      </c>
      <c r="AP204" s="24"/>
      <c r="AQ204" s="24"/>
      <c r="AR204" s="24"/>
      <c r="AS204" s="24"/>
      <c r="AT204" s="24"/>
      <c r="AU204" s="24"/>
      <c r="AV204" s="24"/>
      <c r="AW204" s="24"/>
      <c r="AX204" s="24"/>
      <c r="AY204" s="24"/>
    </row>
    <row r="205" spans="7:51">
      <c r="G205" s="12">
        <f t="shared" si="43"/>
        <v>0</v>
      </c>
      <c r="H205" s="12">
        <f t="shared" si="82"/>
        <v>0</v>
      </c>
      <c r="I205" s="12">
        <f t="shared" si="82"/>
        <v>0</v>
      </c>
      <c r="J205" s="12">
        <f t="shared" si="82"/>
        <v>0</v>
      </c>
      <c r="K205" s="12">
        <f t="shared" si="45"/>
        <v>0</v>
      </c>
      <c r="L205" s="12">
        <f t="shared" si="83"/>
        <v>0</v>
      </c>
      <c r="M205" s="12">
        <f t="shared" si="83"/>
        <v>0</v>
      </c>
      <c r="N205" s="12">
        <f t="shared" si="83"/>
        <v>0</v>
      </c>
      <c r="O205" s="12">
        <f t="shared" si="47"/>
        <v>0</v>
      </c>
      <c r="P205" s="12">
        <f t="shared" si="84"/>
        <v>0</v>
      </c>
      <c r="Q205" s="12">
        <f t="shared" si="84"/>
        <v>0</v>
      </c>
      <c r="T205" s="61"/>
      <c r="U205" s="61"/>
      <c r="V205" s="61"/>
      <c r="W205" s="53">
        <f t="shared" si="49"/>
        <v>0</v>
      </c>
      <c r="X205" s="54" t="e">
        <f t="shared" si="50"/>
        <v>#DIV/0!</v>
      </c>
      <c r="Y205" s="25">
        <f t="shared" si="57"/>
        <v>0</v>
      </c>
      <c r="Z205" s="54">
        <f t="shared" si="62"/>
        <v>0</v>
      </c>
      <c r="AA205" s="54">
        <f t="shared" si="97"/>
        <v>0</v>
      </c>
      <c r="AB205" s="54">
        <f t="shared" si="97"/>
        <v>0</v>
      </c>
      <c r="AC205" s="54">
        <f t="shared" si="97"/>
        <v>0</v>
      </c>
      <c r="AD205" s="54">
        <f t="shared" si="97"/>
        <v>0</v>
      </c>
      <c r="AE205" s="54">
        <f t="shared" si="97"/>
        <v>0</v>
      </c>
      <c r="AF205" s="54">
        <f t="shared" si="97"/>
        <v>0</v>
      </c>
      <c r="AG205" s="54">
        <f t="shared" si="97"/>
        <v>0</v>
      </c>
      <c r="AH205" s="54">
        <f t="shared" si="97"/>
        <v>0</v>
      </c>
      <c r="AI205" s="54">
        <f t="shared" si="97"/>
        <v>0</v>
      </c>
      <c r="AJ205" s="54">
        <f t="shared" si="97"/>
        <v>0</v>
      </c>
      <c r="AK205" s="54">
        <f t="shared" ref="AK205" si="104">IF($E106+365&lt;$C$56,0,IF($E106&lt;$C$56,(($E106+365-$C$56)/365)*(($C106/$BN$157)+($D106/$BN$158)),IF($E106&gt;AK$166,0,IF($E106+365&lt;AK$166,($C106/$BN$157)+($D106/$BN$158),((AK$166-$E106)/365)*(($C106/$BN$157)+($D106/$BN$158))))))</f>
        <v>0</v>
      </c>
      <c r="AL205" s="24">
        <f t="shared" si="53"/>
        <v>0</v>
      </c>
      <c r="AM205" s="24">
        <f t="shared" si="54"/>
        <v>0</v>
      </c>
      <c r="AN205" s="55">
        <f t="shared" si="55"/>
        <v>0</v>
      </c>
      <c r="AO205" s="55">
        <f t="shared" si="56"/>
        <v>0</v>
      </c>
      <c r="AP205" s="24"/>
      <c r="AQ205" s="24"/>
      <c r="AR205" s="24"/>
      <c r="AS205" s="24"/>
      <c r="AT205" s="24"/>
      <c r="AU205" s="24"/>
      <c r="AV205" s="24"/>
      <c r="AW205" s="24"/>
      <c r="AX205" s="24"/>
      <c r="AY205" s="24"/>
    </row>
    <row r="206" spans="7:51">
      <c r="G206" s="12">
        <f t="shared" si="43"/>
        <v>0</v>
      </c>
      <c r="H206" s="12">
        <f t="shared" si="82"/>
        <v>0</v>
      </c>
      <c r="I206" s="12">
        <f t="shared" si="82"/>
        <v>0</v>
      </c>
      <c r="J206" s="12">
        <f t="shared" si="82"/>
        <v>0</v>
      </c>
      <c r="K206" s="12">
        <f t="shared" si="45"/>
        <v>0</v>
      </c>
      <c r="L206" s="12">
        <f t="shared" si="83"/>
        <v>0</v>
      </c>
      <c r="M206" s="12">
        <f t="shared" si="83"/>
        <v>0</v>
      </c>
      <c r="N206" s="12">
        <f t="shared" si="83"/>
        <v>0</v>
      </c>
      <c r="O206" s="12">
        <f t="shared" si="47"/>
        <v>0</v>
      </c>
      <c r="P206" s="12">
        <f t="shared" si="84"/>
        <v>0</v>
      </c>
      <c r="Q206" s="12">
        <f t="shared" si="84"/>
        <v>0</v>
      </c>
      <c r="T206" s="61"/>
      <c r="U206" s="61"/>
      <c r="V206" s="61"/>
      <c r="W206" s="53">
        <f t="shared" si="49"/>
        <v>0</v>
      </c>
      <c r="X206" s="54" t="e">
        <f t="shared" si="50"/>
        <v>#DIV/0!</v>
      </c>
      <c r="Y206" s="25">
        <f t="shared" si="57"/>
        <v>0</v>
      </c>
      <c r="Z206" s="54">
        <f t="shared" si="62"/>
        <v>0</v>
      </c>
      <c r="AA206" s="54">
        <f t="shared" si="97"/>
        <v>0</v>
      </c>
      <c r="AB206" s="54">
        <f t="shared" si="97"/>
        <v>0</v>
      </c>
      <c r="AC206" s="54">
        <f t="shared" si="97"/>
        <v>0</v>
      </c>
      <c r="AD206" s="54">
        <f t="shared" si="97"/>
        <v>0</v>
      </c>
      <c r="AE206" s="54">
        <f t="shared" si="97"/>
        <v>0</v>
      </c>
      <c r="AF206" s="54">
        <f t="shared" si="97"/>
        <v>0</v>
      </c>
      <c r="AG206" s="54">
        <f t="shared" si="97"/>
        <v>0</v>
      </c>
      <c r="AH206" s="54">
        <f t="shared" si="97"/>
        <v>0</v>
      </c>
      <c r="AI206" s="54">
        <f t="shared" si="97"/>
        <v>0</v>
      </c>
      <c r="AJ206" s="54">
        <f t="shared" si="97"/>
        <v>0</v>
      </c>
      <c r="AK206" s="54">
        <f t="shared" ref="AK206" si="105">IF($E107+365&lt;$C$56,0,IF($E107&lt;$C$56,(($E107+365-$C$56)/365)*(($C107/$BN$157)+($D107/$BN$158)),IF($E107&gt;AK$166,0,IF($E107+365&lt;AK$166,($C107/$BN$157)+($D107/$BN$158),((AK$166-$E107)/365)*(($C107/$BN$157)+($D107/$BN$158))))))</f>
        <v>0</v>
      </c>
      <c r="AL206" s="24">
        <f t="shared" si="53"/>
        <v>0</v>
      </c>
      <c r="AM206" s="24">
        <f t="shared" si="54"/>
        <v>0</v>
      </c>
      <c r="AN206" s="55">
        <f t="shared" si="55"/>
        <v>0</v>
      </c>
      <c r="AO206" s="55">
        <f t="shared" si="56"/>
        <v>0</v>
      </c>
      <c r="AP206" s="24"/>
      <c r="AQ206" s="24"/>
      <c r="AR206" s="24"/>
      <c r="AS206" s="24"/>
      <c r="AT206" s="24"/>
      <c r="AU206" s="24"/>
      <c r="AV206" s="24"/>
      <c r="AW206" s="24"/>
      <c r="AX206" s="24"/>
      <c r="AY206" s="24"/>
    </row>
    <row r="207" spans="7:51">
      <c r="G207" s="12">
        <f t="shared" si="43"/>
        <v>0</v>
      </c>
      <c r="H207" s="12">
        <f t="shared" ref="H207:J209" si="106">IF($E109&gt;H$66,0,IF($E109&lt;H$66-365,$C109,0))</f>
        <v>0</v>
      </c>
      <c r="I207" s="12">
        <f t="shared" si="106"/>
        <v>0</v>
      </c>
      <c r="J207" s="12">
        <f t="shared" si="106"/>
        <v>0</v>
      </c>
      <c r="K207" s="12">
        <f t="shared" si="45"/>
        <v>0</v>
      </c>
      <c r="L207" s="12">
        <f t="shared" ref="L207:N209" si="107">IF($E109&gt;L$66,0,IF($E109&lt;L$66-365,$C109,0))</f>
        <v>0</v>
      </c>
      <c r="M207" s="12">
        <f t="shared" si="107"/>
        <v>0</v>
      </c>
      <c r="N207" s="12">
        <f t="shared" si="107"/>
        <v>0</v>
      </c>
      <c r="O207" s="12">
        <f t="shared" si="47"/>
        <v>0</v>
      </c>
      <c r="P207" s="12">
        <f t="shared" ref="P207:Q209" si="108">IF($E109&gt;P$66,0,IF($E109&lt;P$66-365,$C109,0))</f>
        <v>0</v>
      </c>
      <c r="Q207" s="12">
        <f t="shared" si="108"/>
        <v>0</v>
      </c>
      <c r="T207" s="61"/>
      <c r="U207" s="61"/>
      <c r="V207" s="61"/>
      <c r="W207" s="53">
        <f t="shared" si="49"/>
        <v>0</v>
      </c>
      <c r="X207" s="54" t="e">
        <f t="shared" si="50"/>
        <v>#DIV/0!</v>
      </c>
      <c r="Y207" s="25">
        <f t="shared" si="57"/>
        <v>0</v>
      </c>
      <c r="Z207" s="54">
        <f t="shared" si="62"/>
        <v>0</v>
      </c>
      <c r="AA207" s="54">
        <f t="shared" si="97"/>
        <v>0</v>
      </c>
      <c r="AB207" s="54">
        <f t="shared" si="97"/>
        <v>0</v>
      </c>
      <c r="AC207" s="54">
        <f t="shared" si="97"/>
        <v>0</v>
      </c>
      <c r="AD207" s="54">
        <f t="shared" si="97"/>
        <v>0</v>
      </c>
      <c r="AE207" s="54">
        <f t="shared" si="97"/>
        <v>0</v>
      </c>
      <c r="AF207" s="54">
        <f t="shared" si="97"/>
        <v>0</v>
      </c>
      <c r="AG207" s="54">
        <f t="shared" si="97"/>
        <v>0</v>
      </c>
      <c r="AH207" s="54">
        <f t="shared" si="97"/>
        <v>0</v>
      </c>
      <c r="AI207" s="54">
        <f t="shared" si="97"/>
        <v>0</v>
      </c>
      <c r="AJ207" s="54">
        <f t="shared" si="97"/>
        <v>0</v>
      </c>
      <c r="AK207" s="54">
        <f t="shared" ref="AK207" si="109">IF($E108+365&lt;$C$56,0,IF($E108&lt;$C$56,(($E108+365-$C$56)/365)*(($C108/$BN$157)+($D108/$BN$158)),IF($E108&gt;AK$166,0,IF($E108+365&lt;AK$166,($C108/$BN$157)+($D108/$BN$158),((AK$166-$E108)/365)*(($C108/$BN$157)+($D108/$BN$158))))))</f>
        <v>0</v>
      </c>
      <c r="AL207" s="24">
        <f t="shared" si="53"/>
        <v>0</v>
      </c>
      <c r="AM207" s="24">
        <f t="shared" si="54"/>
        <v>0</v>
      </c>
      <c r="AN207" s="55">
        <f t="shared" si="55"/>
        <v>0</v>
      </c>
      <c r="AO207" s="55">
        <f t="shared" si="56"/>
        <v>0</v>
      </c>
      <c r="AP207" s="24"/>
      <c r="AQ207" s="24"/>
      <c r="AR207" s="24"/>
      <c r="AS207" s="24"/>
      <c r="AT207" s="24"/>
      <c r="AU207" s="24"/>
      <c r="AV207" s="24"/>
      <c r="AW207" s="24"/>
      <c r="AX207" s="24"/>
      <c r="AY207" s="24"/>
    </row>
    <row r="208" spans="7:51">
      <c r="G208" s="12">
        <f t="shared" si="43"/>
        <v>0</v>
      </c>
      <c r="H208" s="12">
        <f t="shared" si="106"/>
        <v>0</v>
      </c>
      <c r="I208" s="12">
        <f t="shared" si="106"/>
        <v>0</v>
      </c>
      <c r="J208" s="12">
        <f t="shared" si="106"/>
        <v>0</v>
      </c>
      <c r="K208" s="12">
        <f t="shared" si="45"/>
        <v>0</v>
      </c>
      <c r="L208" s="12">
        <f t="shared" si="107"/>
        <v>0</v>
      </c>
      <c r="M208" s="12">
        <f t="shared" si="107"/>
        <v>0</v>
      </c>
      <c r="N208" s="12">
        <f t="shared" si="107"/>
        <v>0</v>
      </c>
      <c r="O208" s="12">
        <f t="shared" si="47"/>
        <v>0</v>
      </c>
      <c r="P208" s="12">
        <f t="shared" si="108"/>
        <v>0</v>
      </c>
      <c r="Q208" s="12">
        <f t="shared" si="108"/>
        <v>0</v>
      </c>
      <c r="T208" s="61"/>
      <c r="U208" s="61"/>
      <c r="V208" s="61"/>
      <c r="W208" s="53">
        <f t="shared" si="49"/>
        <v>0</v>
      </c>
      <c r="X208" s="54" t="e">
        <f t="shared" si="50"/>
        <v>#DIV/0!</v>
      </c>
      <c r="Y208" s="25">
        <f t="shared" si="57"/>
        <v>0</v>
      </c>
      <c r="Z208" s="54">
        <f t="shared" si="62"/>
        <v>0</v>
      </c>
      <c r="AA208" s="54">
        <f t="shared" si="97"/>
        <v>0</v>
      </c>
      <c r="AB208" s="54">
        <f t="shared" si="97"/>
        <v>0</v>
      </c>
      <c r="AC208" s="54">
        <f t="shared" si="97"/>
        <v>0</v>
      </c>
      <c r="AD208" s="54">
        <f t="shared" si="97"/>
        <v>0</v>
      </c>
      <c r="AE208" s="54">
        <f t="shared" si="97"/>
        <v>0</v>
      </c>
      <c r="AF208" s="54">
        <f t="shared" si="97"/>
        <v>0</v>
      </c>
      <c r="AG208" s="54">
        <f t="shared" si="97"/>
        <v>0</v>
      </c>
      <c r="AH208" s="54">
        <f t="shared" si="97"/>
        <v>0</v>
      </c>
      <c r="AI208" s="54">
        <f t="shared" si="97"/>
        <v>0</v>
      </c>
      <c r="AJ208" s="54">
        <f t="shared" si="97"/>
        <v>0</v>
      </c>
      <c r="AK208" s="54">
        <f t="shared" ref="AK208" si="110">IF($E109+365&lt;$C$56,0,IF($E109&lt;$C$56,(($E109+365-$C$56)/365)*(($C109/$BN$157)+($D109/$BN$158)),IF($E109&gt;AK$166,0,IF($E109+365&lt;AK$166,($C109/$BN$157)+($D109/$BN$158),((AK$166-$E109)/365)*(($C109/$BN$157)+($D109/$BN$158))))))</f>
        <v>0</v>
      </c>
      <c r="AL208" s="24">
        <f t="shared" si="53"/>
        <v>0</v>
      </c>
      <c r="AM208" s="24">
        <f t="shared" si="54"/>
        <v>0</v>
      </c>
      <c r="AN208" s="55">
        <f t="shared" si="55"/>
        <v>0</v>
      </c>
      <c r="AO208" s="55">
        <f t="shared" si="56"/>
        <v>0</v>
      </c>
      <c r="AP208" s="24"/>
      <c r="AQ208" s="24"/>
      <c r="AR208" s="24"/>
      <c r="AS208" s="24"/>
      <c r="AT208" s="24"/>
      <c r="AU208" s="24"/>
      <c r="AV208" s="24"/>
      <c r="AW208" s="24"/>
      <c r="AX208" s="24"/>
      <c r="AY208" s="24"/>
    </row>
    <row r="209" spans="6:51">
      <c r="G209" s="12">
        <f t="shared" si="43"/>
        <v>0</v>
      </c>
      <c r="H209" s="12">
        <f t="shared" si="106"/>
        <v>0</v>
      </c>
      <c r="I209" s="12">
        <f t="shared" si="106"/>
        <v>0</v>
      </c>
      <c r="J209" s="12">
        <f t="shared" si="106"/>
        <v>0</v>
      </c>
      <c r="K209" s="12">
        <f t="shared" si="45"/>
        <v>0</v>
      </c>
      <c r="L209" s="12">
        <f t="shared" si="107"/>
        <v>0</v>
      </c>
      <c r="M209" s="12">
        <f t="shared" si="107"/>
        <v>0</v>
      </c>
      <c r="N209" s="12">
        <f t="shared" si="107"/>
        <v>0</v>
      </c>
      <c r="O209" s="12">
        <f t="shared" si="47"/>
        <v>0</v>
      </c>
      <c r="P209" s="12">
        <f t="shared" si="108"/>
        <v>0</v>
      </c>
      <c r="Q209" s="12">
        <f t="shared" si="108"/>
        <v>0</v>
      </c>
      <c r="T209" s="61"/>
      <c r="U209" s="61"/>
      <c r="V209" s="61"/>
      <c r="W209" s="53">
        <f t="shared" si="49"/>
        <v>0</v>
      </c>
      <c r="X209" s="54" t="e">
        <f t="shared" si="50"/>
        <v>#DIV/0!</v>
      </c>
      <c r="Y209" s="25">
        <f t="shared" si="57"/>
        <v>0</v>
      </c>
      <c r="Z209" s="54">
        <f t="shared" si="62"/>
        <v>0</v>
      </c>
      <c r="AA209" s="54">
        <f t="shared" si="97"/>
        <v>0</v>
      </c>
      <c r="AB209" s="54">
        <f t="shared" si="97"/>
        <v>0</v>
      </c>
      <c r="AC209" s="54">
        <f t="shared" si="97"/>
        <v>0</v>
      </c>
      <c r="AD209" s="54">
        <f t="shared" si="97"/>
        <v>0</v>
      </c>
      <c r="AE209" s="54">
        <f t="shared" si="97"/>
        <v>0</v>
      </c>
      <c r="AF209" s="54">
        <f t="shared" si="97"/>
        <v>0</v>
      </c>
      <c r="AG209" s="54">
        <f t="shared" si="97"/>
        <v>0</v>
      </c>
      <c r="AH209" s="54">
        <f t="shared" si="97"/>
        <v>0</v>
      </c>
      <c r="AI209" s="54">
        <f t="shared" si="97"/>
        <v>0</v>
      </c>
      <c r="AJ209" s="54">
        <f t="shared" si="97"/>
        <v>0</v>
      </c>
      <c r="AK209" s="54">
        <f t="shared" ref="AK209" si="111">IF($E110+365&lt;$C$56,0,IF($E110&lt;$C$56,(($E110+365-$C$56)/365)*(($C110/$BN$157)+($D110/$BN$158)),IF($E110&gt;AK$166,0,IF($E110+365&lt;AK$166,($C110/$BN$157)+($D110/$BN$158),((AK$166-$E110)/365)*(($C110/$BN$157)+($D110/$BN$158))))))</f>
        <v>0</v>
      </c>
      <c r="AL209" s="24">
        <f t="shared" si="53"/>
        <v>0</v>
      </c>
      <c r="AM209" s="24">
        <f t="shared" si="54"/>
        <v>0</v>
      </c>
      <c r="AN209" s="55">
        <f t="shared" si="55"/>
        <v>0</v>
      </c>
      <c r="AO209" s="55">
        <f t="shared" si="56"/>
        <v>0</v>
      </c>
      <c r="AP209" s="24"/>
      <c r="AQ209" s="24"/>
      <c r="AR209" s="24"/>
      <c r="AS209" s="24"/>
      <c r="AT209" s="24"/>
      <c r="AU209" s="24"/>
      <c r="AV209" s="24"/>
      <c r="AW209" s="24"/>
      <c r="AX209" s="24"/>
      <c r="AY209" s="24"/>
    </row>
    <row r="210" spans="6:51">
      <c r="T210" s="61"/>
      <c r="U210" s="61"/>
      <c r="V210" s="61"/>
      <c r="W210" s="53">
        <f t="shared" si="49"/>
        <v>0</v>
      </c>
      <c r="X210" s="54" t="e">
        <f t="shared" si="50"/>
        <v>#DIV/0!</v>
      </c>
      <c r="Y210" s="25">
        <f t="shared" si="57"/>
        <v>0</v>
      </c>
      <c r="Z210" s="54">
        <f t="shared" si="62"/>
        <v>0</v>
      </c>
      <c r="AA210" s="54">
        <f t="shared" si="97"/>
        <v>0</v>
      </c>
      <c r="AB210" s="54">
        <f t="shared" si="97"/>
        <v>0</v>
      </c>
      <c r="AC210" s="54">
        <f t="shared" si="97"/>
        <v>0</v>
      </c>
      <c r="AD210" s="54">
        <f t="shared" si="97"/>
        <v>0</v>
      </c>
      <c r="AE210" s="54">
        <f t="shared" si="97"/>
        <v>0</v>
      </c>
      <c r="AF210" s="54">
        <f t="shared" si="97"/>
        <v>0</v>
      </c>
      <c r="AG210" s="54">
        <f t="shared" si="97"/>
        <v>0</v>
      </c>
      <c r="AH210" s="54">
        <f t="shared" si="97"/>
        <v>0</v>
      </c>
      <c r="AI210" s="54">
        <f t="shared" si="97"/>
        <v>0</v>
      </c>
      <c r="AJ210" s="54">
        <f t="shared" si="97"/>
        <v>0</v>
      </c>
      <c r="AK210" s="54">
        <f t="shared" ref="AK210" si="112">IF($E111+365&lt;$C$56,0,IF($E111&lt;$C$56,(($E111+365-$C$56)/365)*(($C111/$BN$157)+($D111/$BN$158)),IF($E111&gt;AK$166,0,IF($E111+365&lt;AK$166,($C111/$BN$157)+($D111/$BN$158),((AK$166-$E111)/365)*(($C111/$BN$157)+($D111/$BN$158))))))</f>
        <v>0</v>
      </c>
      <c r="AL210" s="24">
        <f t="shared" si="53"/>
        <v>0</v>
      </c>
      <c r="AM210" s="24">
        <f t="shared" si="54"/>
        <v>0</v>
      </c>
      <c r="AN210" s="55">
        <f t="shared" si="55"/>
        <v>0</v>
      </c>
      <c r="AO210" s="55">
        <f t="shared" si="56"/>
        <v>0</v>
      </c>
      <c r="AP210" s="24"/>
      <c r="AQ210" s="24"/>
      <c r="AR210" s="24"/>
      <c r="AS210" s="24"/>
      <c r="AT210" s="24"/>
      <c r="AU210" s="24"/>
      <c r="AV210" s="24"/>
      <c r="AW210" s="24"/>
      <c r="AX210" s="24"/>
      <c r="AY210" s="24"/>
    </row>
    <row r="211" spans="6:51">
      <c r="T211" s="61"/>
      <c r="U211" s="61"/>
      <c r="V211" s="61"/>
      <c r="W211" s="53">
        <f t="shared" si="49"/>
        <v>0</v>
      </c>
      <c r="X211" s="54" t="e">
        <f t="shared" si="50"/>
        <v>#DIV/0!</v>
      </c>
      <c r="Y211" s="25">
        <f t="shared" si="57"/>
        <v>0</v>
      </c>
      <c r="Z211" s="54">
        <f t="shared" si="62"/>
        <v>0</v>
      </c>
      <c r="AA211" s="54">
        <f t="shared" si="97"/>
        <v>0</v>
      </c>
      <c r="AB211" s="54">
        <f t="shared" si="97"/>
        <v>0</v>
      </c>
      <c r="AC211" s="54">
        <f t="shared" si="97"/>
        <v>0</v>
      </c>
      <c r="AD211" s="54">
        <f t="shared" si="97"/>
        <v>0</v>
      </c>
      <c r="AE211" s="54">
        <f t="shared" si="97"/>
        <v>0</v>
      </c>
      <c r="AF211" s="54">
        <f t="shared" si="97"/>
        <v>0</v>
      </c>
      <c r="AG211" s="54">
        <f t="shared" si="97"/>
        <v>0</v>
      </c>
      <c r="AH211" s="54">
        <f t="shared" si="97"/>
        <v>0</v>
      </c>
      <c r="AI211" s="54">
        <f t="shared" si="97"/>
        <v>0</v>
      </c>
      <c r="AJ211" s="54">
        <f t="shared" si="97"/>
        <v>0</v>
      </c>
      <c r="AK211" s="54">
        <f t="shared" ref="AK211" si="113">IF($E112+365&lt;$C$56,0,IF($E112&lt;$C$56,(($E112+365-$C$56)/365)*(($C112/$BN$157)+($D112/$BN$158)),IF($E112&gt;AK$166,0,IF($E112+365&lt;AK$166,($C112/$BN$157)+($D112/$BN$158),((AK$166-$E112)/365)*(($C112/$BN$157)+($D112/$BN$158))))))</f>
        <v>0</v>
      </c>
      <c r="AL211" s="24">
        <f t="shared" si="53"/>
        <v>0</v>
      </c>
      <c r="AM211" s="24">
        <f t="shared" si="54"/>
        <v>0</v>
      </c>
      <c r="AN211" s="55">
        <f t="shared" si="55"/>
        <v>0</v>
      </c>
      <c r="AO211" s="55">
        <f t="shared" si="56"/>
        <v>0</v>
      </c>
      <c r="AP211" s="25"/>
      <c r="AQ211" s="24"/>
      <c r="AR211" s="24"/>
      <c r="AS211" s="24"/>
      <c r="AT211" s="24"/>
      <c r="AU211" s="24"/>
      <c r="AV211" s="24"/>
      <c r="AW211" s="24"/>
      <c r="AX211" s="24"/>
      <c r="AY211" s="24"/>
    </row>
    <row r="212" spans="6:51">
      <c r="T212" s="61"/>
      <c r="U212" s="61"/>
      <c r="V212" s="61"/>
      <c r="W212" s="53"/>
      <c r="X212" s="54"/>
      <c r="Y212" s="25">
        <f t="shared" si="57"/>
        <v>0</v>
      </c>
      <c r="Z212" s="54">
        <f t="shared" si="62"/>
        <v>0</v>
      </c>
      <c r="AA212" s="54">
        <f t="shared" si="97"/>
        <v>0</v>
      </c>
      <c r="AB212" s="54">
        <f t="shared" si="97"/>
        <v>0</v>
      </c>
      <c r="AC212" s="54">
        <f t="shared" si="97"/>
        <v>0</v>
      </c>
      <c r="AD212" s="54">
        <f t="shared" si="97"/>
        <v>0</v>
      </c>
      <c r="AE212" s="54">
        <f t="shared" si="97"/>
        <v>0</v>
      </c>
      <c r="AF212" s="54">
        <f t="shared" si="97"/>
        <v>0</v>
      </c>
      <c r="AG212" s="54">
        <f t="shared" si="97"/>
        <v>0</v>
      </c>
      <c r="AH212" s="54">
        <f t="shared" si="97"/>
        <v>0</v>
      </c>
      <c r="AI212" s="54">
        <f t="shared" si="97"/>
        <v>0</v>
      </c>
      <c r="AJ212" s="54">
        <f t="shared" si="97"/>
        <v>0</v>
      </c>
      <c r="AK212" s="54">
        <f t="shared" ref="AK212" si="114">IF($E113+365&lt;$C$56,0,IF($E113&lt;$C$56,(($E113+365-$C$56)/365)*(($C113/$BN$157)+($D113/$BN$158)),IF($E113&gt;AK$166,0,IF($E113+365&lt;AK$166,($C113/$BN$157)+($D113/$BN$158),((AK$166-$E113)/365)*(($C113/$BN$157)+($D113/$BN$158))))))</f>
        <v>0</v>
      </c>
      <c r="AL212" s="24">
        <f t="shared" si="53"/>
        <v>0</v>
      </c>
      <c r="AM212" s="24">
        <f t="shared" si="54"/>
        <v>0</v>
      </c>
      <c r="AN212" s="55">
        <f t="shared" si="55"/>
        <v>0</v>
      </c>
      <c r="AO212" s="55">
        <f t="shared" si="56"/>
        <v>0</v>
      </c>
      <c r="AP212" s="24"/>
      <c r="AQ212" s="24"/>
      <c r="AR212" s="24"/>
      <c r="AS212" s="24"/>
      <c r="AT212" s="24"/>
      <c r="AU212" s="24"/>
      <c r="AV212" s="24"/>
      <c r="AW212" s="24"/>
      <c r="AX212" s="24"/>
      <c r="AY212" s="24"/>
    </row>
    <row r="213" spans="6:51">
      <c r="T213" s="61"/>
      <c r="U213" s="61"/>
      <c r="V213" s="61"/>
      <c r="W213" s="53"/>
      <c r="X213" s="54"/>
      <c r="Y213" s="25">
        <f t="shared" si="57"/>
        <v>0</v>
      </c>
      <c r="Z213" s="54">
        <f t="shared" si="62"/>
        <v>0</v>
      </c>
      <c r="AA213" s="54">
        <f t="shared" si="97"/>
        <v>0</v>
      </c>
      <c r="AB213" s="54">
        <f t="shared" si="97"/>
        <v>0</v>
      </c>
      <c r="AC213" s="54">
        <f t="shared" si="97"/>
        <v>0</v>
      </c>
      <c r="AD213" s="54">
        <f t="shared" si="97"/>
        <v>0</v>
      </c>
      <c r="AE213" s="54">
        <f t="shared" si="97"/>
        <v>0</v>
      </c>
      <c r="AF213" s="54">
        <f t="shared" si="97"/>
        <v>0</v>
      </c>
      <c r="AG213" s="54">
        <f t="shared" si="97"/>
        <v>0</v>
      </c>
      <c r="AH213" s="54">
        <f t="shared" si="97"/>
        <v>0</v>
      </c>
      <c r="AI213" s="54">
        <f t="shared" si="97"/>
        <v>0</v>
      </c>
      <c r="AJ213" s="54">
        <f t="shared" si="97"/>
        <v>0</v>
      </c>
      <c r="AK213" s="54">
        <f t="shared" ref="AK213" si="115">IF($E114+365&lt;$C$56,0,IF($E114&lt;$C$56,(($E114+365-$C$56)/365)*(($C114/$BN$157)+($D114/$BN$158)),IF($E114&gt;AK$166,0,IF($E114+365&lt;AK$166,($C114/$BN$157)+($D114/$BN$158),((AK$166-$E114)/365)*(($C114/$BN$157)+($D114/$BN$158))))))</f>
        <v>0</v>
      </c>
      <c r="AL213" s="24">
        <f t="shared" si="53"/>
        <v>0</v>
      </c>
      <c r="AM213" s="24">
        <f t="shared" si="54"/>
        <v>0</v>
      </c>
      <c r="AN213" s="55">
        <f t="shared" si="55"/>
        <v>0</v>
      </c>
      <c r="AO213" s="55">
        <f t="shared" si="56"/>
        <v>0</v>
      </c>
      <c r="AP213" s="24"/>
      <c r="AQ213" s="24"/>
      <c r="AR213" s="24"/>
      <c r="AS213" s="24"/>
      <c r="AT213" s="24"/>
      <c r="AU213" s="24"/>
      <c r="AV213" s="24"/>
      <c r="AW213" s="24"/>
      <c r="AX213" s="24"/>
      <c r="AY213" s="24"/>
    </row>
    <row r="214" spans="6:51" ht="13">
      <c r="F214" s="187" t="s">
        <v>490</v>
      </c>
      <c r="G214" s="187">
        <f>SUM(G167:G213)</f>
        <v>0</v>
      </c>
      <c r="H214" s="187">
        <f t="shared" ref="H214:Q214" si="116">SUM(H167:H213)</f>
        <v>0</v>
      </c>
      <c r="I214" s="187">
        <f t="shared" si="116"/>
        <v>20</v>
      </c>
      <c r="J214" s="187">
        <f t="shared" si="116"/>
        <v>-190</v>
      </c>
      <c r="K214" s="187">
        <f t="shared" si="116"/>
        <v>-190</v>
      </c>
      <c r="L214" s="187">
        <f t="shared" si="116"/>
        <v>-190</v>
      </c>
      <c r="M214" s="187">
        <f t="shared" si="116"/>
        <v>-190</v>
      </c>
      <c r="N214" s="187">
        <f t="shared" si="116"/>
        <v>-170</v>
      </c>
      <c r="O214" s="187">
        <f t="shared" si="116"/>
        <v>-170</v>
      </c>
      <c r="P214" s="187">
        <f t="shared" si="116"/>
        <v>-170</v>
      </c>
      <c r="Q214" s="187">
        <f t="shared" si="116"/>
        <v>-390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-0.41786026820566785</v>
      </c>
      <c r="AD214" s="155">
        <f>VLOOKUP($A$2,Assumptions!$B$124:$G$147,6,0)*SUM(AD167:AD213)</f>
        <v>-6.9868963221464409</v>
      </c>
      <c r="AE214" s="155">
        <f>VLOOKUP($A$2,Assumptions!$B$124:$G$147,6,0)*SUM(AE167:AE213)</f>
        <v>-6.9868963221464409</v>
      </c>
      <c r="AF214" s="155">
        <f>VLOOKUP($A$2,Assumptions!$B$124:$G$147,6,0)*SUM(AF167:AF213)</f>
        <v>-6.9868963221464409</v>
      </c>
      <c r="AG214" s="155">
        <f>VLOOKUP($A$2,Assumptions!$B$124:$G$147,6,0)*SUM(AG167:AG213)</f>
        <v>-6.9868963221464409</v>
      </c>
      <c r="AH214" s="155">
        <f>VLOOKUP($A$2,Assumptions!$B$124:$G$147,6,0)*SUM(AH167:AH213)</f>
        <v>-6.5098056195811544</v>
      </c>
      <c r="AI214" s="155">
        <f>VLOOKUP($A$2,Assumptions!$B$124:$G$147,6,0)*SUM(AI167:AI213)</f>
        <v>-6.5098056195811544</v>
      </c>
      <c r="AJ214" s="155">
        <f>VLOOKUP($A$2,Assumptions!$B$124:$G$147,6,0)*SUM(AJ167:AJ213)</f>
        <v>-6.5098056195811544</v>
      </c>
      <c r="AK214" s="155">
        <f>VLOOKUP($A$2,Assumptions!$B$124:$G$147,6,0)*SUM(AK167:AK213)</f>
        <v>-14.534783565926823</v>
      </c>
      <c r="AL214" s="155">
        <f>VLOOKUP($A$2,Assumptions!$B$124:$G$147,6,0)*SUM(AL167:AL213)</f>
        <v>-292.5</v>
      </c>
      <c r="AM214" s="155">
        <f>VLOOKUP($A$2,Assumptions!$B$124:$G$147,6,0)*SUM(AM167:AM213)</f>
        <v>-883.5</v>
      </c>
      <c r="AN214" s="55">
        <f>SUM(AN167:AN213)</f>
        <v>4767703.4000000004</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65</v>
      </c>
      <c r="AA215" s="156">
        <f>$C$64+AA214</f>
        <v>65</v>
      </c>
      <c r="AB215" s="156">
        <f t="shared" ref="AB215:AE215" si="117">$C$64+AB214</f>
        <v>65</v>
      </c>
      <c r="AC215" s="156">
        <f t="shared" si="117"/>
        <v>64.582139731794328</v>
      </c>
      <c r="AD215" s="156">
        <f t="shared" si="117"/>
        <v>58.013103677853557</v>
      </c>
      <c r="AE215" s="156">
        <f t="shared" si="117"/>
        <v>58.013103677853557</v>
      </c>
      <c r="AF215" s="156">
        <f>$C$64+AF214</f>
        <v>58.013103677853557</v>
      </c>
      <c r="AG215" s="156">
        <f t="shared" ref="AG215:AJ215" si="118">$C$64+AG214</f>
        <v>58.013103677853557</v>
      </c>
      <c r="AH215" s="156">
        <f>$C$64+AH214</f>
        <v>58.490194380418842</v>
      </c>
      <c r="AI215" s="156">
        <f t="shared" si="118"/>
        <v>58.490194380418842</v>
      </c>
      <c r="AJ215" s="156">
        <f t="shared" si="118"/>
        <v>58.490194380418842</v>
      </c>
      <c r="AK215" s="156">
        <f t="shared" ref="AK215" si="119">$C$64+AK214</f>
        <v>50.465216434073177</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I216" si="120">IF(Z215&lt;$BB$154,(6+(1-Z215/$BB$154)),IF(Z215&lt;$BB$155,5.5+(0.5*(($BB$155-Z215)/($BB$155-$BB$154))),IF(Z215&lt;$BB$156,5-0.5*((Z215)-$BB$156)/($BB$156-$BB$155),IF(Z215&lt;$BB$157,4.5-0.5*((Z215-$BB$157)/($BB$157-$BB$156)),5-0.5*((Z215-$BB$156)/$BH$166)))))</f>
        <v>5.1319155051013077</v>
      </c>
      <c r="AA216" s="154">
        <f t="shared" si="120"/>
        <v>5.1319155051013077</v>
      </c>
      <c r="AB216" s="154">
        <f t="shared" si="120"/>
        <v>5.1319155051013077</v>
      </c>
      <c r="AC216" s="154">
        <f t="shared" si="120"/>
        <v>5.1439247095331417</v>
      </c>
      <c r="AD216" s="154">
        <f t="shared" si="120"/>
        <v>5.3327172387454072</v>
      </c>
      <c r="AE216" s="154">
        <f t="shared" si="120"/>
        <v>5.3327172387454072</v>
      </c>
      <c r="AF216" s="154">
        <f t="shared" si="120"/>
        <v>5.3327172387454072</v>
      </c>
      <c r="AG216" s="154">
        <f t="shared" si="120"/>
        <v>5.3327172387454072</v>
      </c>
      <c r="AH216" s="154">
        <f t="shared" si="120"/>
        <v>5.3190057657589067</v>
      </c>
      <c r="AI216" s="154">
        <f t="shared" si="120"/>
        <v>5.3190057657589067</v>
      </c>
      <c r="AJ216" s="154">
        <f>IF(AJ215&lt;$BB$154,(6+(1-AJ215/$BB$154)),IF(AJ215&lt;$BB$155,5.5+(0.5*(($BB$155-AJ215)/($BB$155-$BB$154))),IF(AJ215&lt;$BB$156,5-0.5*((AJ215)-$BB$156)/($BB$156-$BB$155),IF(AJ215&lt;$BB$157,4.5-0.5*((AJ215-$BB$157)/($BB$157-$BB$156)),5-0.5*((AJ215-$BB$156)/$BH$166)))))</f>
        <v>5.3190057657589067</v>
      </c>
      <c r="AK216" s="154">
        <f>IF(AK215&lt;$BB$154,(6+(1-AK215/$BB$154)),IF(AK215&lt;$BB$155,5.5+(0.5*(($BB$155-AK215)/($BB$155-$BB$154))),IF(AK215&lt;$BB$156,5-0.5*((AK215)-$BB$156)/($BB$156-$BB$155),IF(AK215&lt;$BB$157,4.5-0.5*((AK215-$BB$157)/($BB$157-$BB$156)),5-0.5*((AK215-$BB$156)/$BH$166)))))</f>
        <v>5.5496417176584805</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1">IF($E69&lt;G$66,$D69,0)</f>
        <v>0</v>
      </c>
      <c r="H220" s="12">
        <f t="shared" ref="H220:Q220" si="122">IF($E69&gt;H$66,0,IF($E69&lt;H$66-365,$D69,0))</f>
        <v>0</v>
      </c>
      <c r="I220" s="12">
        <f t="shared" si="122"/>
        <v>0</v>
      </c>
      <c r="J220" s="12">
        <f t="shared" si="122"/>
        <v>0</v>
      </c>
      <c r="K220" s="12">
        <f t="shared" si="122"/>
        <v>0</v>
      </c>
      <c r="L220" s="12">
        <f t="shared" si="122"/>
        <v>0</v>
      </c>
      <c r="M220" s="12">
        <f t="shared" si="122"/>
        <v>0</v>
      </c>
      <c r="N220" s="12">
        <f t="shared" si="122"/>
        <v>0</v>
      </c>
      <c r="O220" s="12">
        <f t="shared" si="122"/>
        <v>0</v>
      </c>
      <c r="P220" s="12">
        <f t="shared" si="122"/>
        <v>0</v>
      </c>
      <c r="Q220" s="12">
        <f t="shared" si="122"/>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1"/>
        <v>0</v>
      </c>
      <c r="H221" s="12">
        <f t="shared" ref="H221:Q221" si="123">IF($E70&gt;H$66,0,IF($E70&lt;H$66-365,$D70,0))</f>
        <v>0</v>
      </c>
      <c r="I221" s="12">
        <f t="shared" si="123"/>
        <v>0</v>
      </c>
      <c r="J221" s="12">
        <f t="shared" si="123"/>
        <v>0</v>
      </c>
      <c r="K221" s="12">
        <f t="shared" si="123"/>
        <v>0</v>
      </c>
      <c r="L221" s="12">
        <f t="shared" si="123"/>
        <v>0</v>
      </c>
      <c r="M221" s="12">
        <f t="shared" si="123"/>
        <v>0</v>
      </c>
      <c r="N221" s="12">
        <f t="shared" si="123"/>
        <v>0</v>
      </c>
      <c r="O221" s="12">
        <f t="shared" si="123"/>
        <v>0</v>
      </c>
      <c r="P221" s="12">
        <f t="shared" si="123"/>
        <v>0</v>
      </c>
      <c r="Q221" s="12">
        <f t="shared" si="123"/>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1"/>
        <v>0</v>
      </c>
      <c r="H222" s="12">
        <f t="shared" ref="H222:Q222" si="124">IF($E71&gt;H$66,0,IF($E71&lt;H$66-365,$D71,0))</f>
        <v>0</v>
      </c>
      <c r="I222" s="12">
        <f t="shared" si="124"/>
        <v>0</v>
      </c>
      <c r="J222" s="12">
        <f t="shared" si="124"/>
        <v>0</v>
      </c>
      <c r="K222" s="12">
        <f t="shared" si="124"/>
        <v>0</v>
      </c>
      <c r="L222" s="12">
        <f t="shared" si="124"/>
        <v>0</v>
      </c>
      <c r="M222" s="12">
        <f t="shared" si="124"/>
        <v>0</v>
      </c>
      <c r="N222" s="12">
        <f t="shared" si="124"/>
        <v>0</v>
      </c>
      <c r="O222" s="12">
        <f t="shared" si="124"/>
        <v>0</v>
      </c>
      <c r="P222" s="12">
        <f t="shared" si="124"/>
        <v>0</v>
      </c>
      <c r="Q222" s="12">
        <f t="shared" si="124"/>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1"/>
        <v>0</v>
      </c>
      <c r="H223" s="12">
        <f t="shared" ref="H223:Q223" si="125">IF($E72&gt;H$66,0,IF($E72&lt;H$66-365,$D72,0))</f>
        <v>0</v>
      </c>
      <c r="I223" s="12">
        <f t="shared" si="125"/>
        <v>0</v>
      </c>
      <c r="J223" s="12">
        <f t="shared" si="125"/>
        <v>0</v>
      </c>
      <c r="K223" s="12">
        <f t="shared" si="125"/>
        <v>0</v>
      </c>
      <c r="L223" s="12">
        <f t="shared" si="125"/>
        <v>0</v>
      </c>
      <c r="M223" s="12">
        <f t="shared" si="125"/>
        <v>0</v>
      </c>
      <c r="N223" s="12">
        <f t="shared" si="125"/>
        <v>0</v>
      </c>
      <c r="O223" s="12">
        <f t="shared" si="125"/>
        <v>0</v>
      </c>
      <c r="P223" s="12">
        <f t="shared" si="125"/>
        <v>0</v>
      </c>
      <c r="Q223" s="12">
        <f t="shared" si="125"/>
        <v>0</v>
      </c>
      <c r="T223" s="20"/>
      <c r="U223" s="20"/>
      <c r="V223" s="20"/>
    </row>
    <row r="224" spans="6:51">
      <c r="G224" s="12">
        <f t="shared" si="121"/>
        <v>0</v>
      </c>
      <c r="H224" s="12">
        <f t="shared" ref="H224:Q224" si="126">IF($E73&gt;H$66,0,IF($E73&lt;H$66-365,$D73,0))</f>
        <v>0</v>
      </c>
      <c r="I224" s="12">
        <f t="shared" si="126"/>
        <v>-526.40096618357484</v>
      </c>
      <c r="J224" s="12">
        <f t="shared" si="126"/>
        <v>-526.40096618357484</v>
      </c>
      <c r="K224" s="12">
        <f t="shared" si="126"/>
        <v>-526.40096618357484</v>
      </c>
      <c r="L224" s="12">
        <f t="shared" si="126"/>
        <v>-526.40096618357484</v>
      </c>
      <c r="M224" s="12">
        <f t="shared" si="126"/>
        <v>-526.40096618357484</v>
      </c>
      <c r="N224" s="12">
        <f t="shared" si="126"/>
        <v>-526.40096618357484</v>
      </c>
      <c r="O224" s="12">
        <f t="shared" si="126"/>
        <v>-526.40096618357484</v>
      </c>
      <c r="P224" s="12">
        <f t="shared" si="126"/>
        <v>-526.40096618357484</v>
      </c>
      <c r="Q224" s="12">
        <f t="shared" si="126"/>
        <v>-526.40096618357484</v>
      </c>
      <c r="T224" s="20"/>
      <c r="U224" s="20"/>
      <c r="V224" s="20"/>
    </row>
    <row r="225" spans="7:28">
      <c r="G225" s="12">
        <f t="shared" si="121"/>
        <v>0</v>
      </c>
      <c r="H225" s="12">
        <f t="shared" ref="H225:Q225" si="127">IF($E74&gt;H$66,0,IF($E74&lt;H$66-365,$D74,0))</f>
        <v>0</v>
      </c>
      <c r="I225" s="12">
        <f t="shared" si="127"/>
        <v>0</v>
      </c>
      <c r="J225" s="12">
        <f t="shared" si="127"/>
        <v>0</v>
      </c>
      <c r="K225" s="12">
        <f t="shared" si="127"/>
        <v>0</v>
      </c>
      <c r="L225" s="12">
        <f t="shared" si="127"/>
        <v>0</v>
      </c>
      <c r="M225" s="12">
        <f t="shared" si="127"/>
        <v>0</v>
      </c>
      <c r="N225" s="12">
        <f t="shared" si="127"/>
        <v>0</v>
      </c>
      <c r="O225" s="12">
        <f t="shared" si="127"/>
        <v>0</v>
      </c>
      <c r="P225" s="12">
        <f t="shared" si="127"/>
        <v>0</v>
      </c>
      <c r="Q225" s="12">
        <f t="shared" si="127"/>
        <v>0</v>
      </c>
      <c r="T225" s="20"/>
      <c r="U225" s="20"/>
      <c r="V225" s="20"/>
      <c r="AA225" s="55">
        <f>SUM(AN167:AN213)</f>
        <v>4767703.4000000004</v>
      </c>
      <c r="AB225" s="24">
        <f>SUM(AO167:AO213)</f>
        <v>0</v>
      </c>
    </row>
    <row r="226" spans="7:28">
      <c r="G226" s="12">
        <f t="shared" si="121"/>
        <v>0</v>
      </c>
      <c r="H226" s="12">
        <f t="shared" ref="H226:Q226" si="128">IF($E75&gt;H$66,0,IF($E75&lt;H$66-365,$D75,0))</f>
        <v>0</v>
      </c>
      <c r="I226" s="12">
        <f t="shared" si="128"/>
        <v>0</v>
      </c>
      <c r="J226" s="12">
        <f t="shared" si="128"/>
        <v>0</v>
      </c>
      <c r="K226" s="12">
        <f t="shared" si="128"/>
        <v>0</v>
      </c>
      <c r="L226" s="12">
        <f t="shared" si="128"/>
        <v>0</v>
      </c>
      <c r="M226" s="12">
        <f t="shared" si="128"/>
        <v>0</v>
      </c>
      <c r="N226" s="12">
        <f t="shared" si="128"/>
        <v>0</v>
      </c>
      <c r="O226" s="12">
        <f t="shared" si="128"/>
        <v>0</v>
      </c>
      <c r="P226" s="12">
        <f t="shared" si="128"/>
        <v>0</v>
      </c>
      <c r="Q226" s="12">
        <f t="shared" si="128"/>
        <v>0</v>
      </c>
      <c r="T226" s="20"/>
      <c r="U226" s="20"/>
      <c r="V226" s="20"/>
      <c r="AA226" s="24">
        <f>AA225*1.35</f>
        <v>6436399.5900000008</v>
      </c>
      <c r="AB226" s="24">
        <f>AB225*1.35</f>
        <v>0</v>
      </c>
    </row>
    <row r="227" spans="7:28">
      <c r="G227" s="12">
        <f t="shared" si="121"/>
        <v>0</v>
      </c>
      <c r="H227" s="12">
        <f t="shared" ref="H227:Q227" si="129">IF($E76&gt;H$66,0,IF($E76&lt;H$66-365,$D76,0))</f>
        <v>0</v>
      </c>
      <c r="I227" s="12">
        <f t="shared" si="129"/>
        <v>0</v>
      </c>
      <c r="J227" s="12">
        <f t="shared" si="129"/>
        <v>0</v>
      </c>
      <c r="K227" s="12">
        <f t="shared" si="129"/>
        <v>0</v>
      </c>
      <c r="L227" s="12">
        <f t="shared" si="129"/>
        <v>0</v>
      </c>
      <c r="M227" s="12">
        <f t="shared" si="129"/>
        <v>0</v>
      </c>
      <c r="N227" s="12">
        <f t="shared" si="129"/>
        <v>0</v>
      </c>
      <c r="O227" s="12">
        <f t="shared" si="129"/>
        <v>0</v>
      </c>
      <c r="P227" s="12">
        <f t="shared" si="129"/>
        <v>0</v>
      </c>
      <c r="Q227" s="12">
        <f t="shared" si="129"/>
        <v>0</v>
      </c>
    </row>
    <row r="228" spans="7:28">
      <c r="G228" s="12">
        <f t="shared" si="121"/>
        <v>0</v>
      </c>
      <c r="H228" s="12">
        <f t="shared" ref="H228:Q228" si="130">IF($E77&gt;H$66,0,IF($E77&lt;H$66-365,$D77,0))</f>
        <v>0</v>
      </c>
      <c r="I228" s="12">
        <f t="shared" si="130"/>
        <v>0</v>
      </c>
      <c r="J228" s="12">
        <f t="shared" si="130"/>
        <v>0</v>
      </c>
      <c r="K228" s="12">
        <f t="shared" si="130"/>
        <v>0</v>
      </c>
      <c r="L228" s="12">
        <f t="shared" si="130"/>
        <v>0</v>
      </c>
      <c r="M228" s="12">
        <f t="shared" si="130"/>
        <v>0</v>
      </c>
      <c r="N228" s="12">
        <f t="shared" si="130"/>
        <v>0</v>
      </c>
      <c r="O228" s="12">
        <f t="shared" si="130"/>
        <v>0</v>
      </c>
      <c r="P228" s="12">
        <f t="shared" si="130"/>
        <v>0</v>
      </c>
      <c r="Q228" s="12">
        <f t="shared" si="130"/>
        <v>0</v>
      </c>
    </row>
    <row r="229" spans="7:28">
      <c r="G229" s="12">
        <f t="shared" si="121"/>
        <v>0</v>
      </c>
      <c r="H229" s="12">
        <f t="shared" ref="H229:Q229" si="131">IF($E78&gt;H$66,0,IF($E78&lt;H$66-365,$D78,0))</f>
        <v>0</v>
      </c>
      <c r="I229" s="12">
        <f t="shared" si="131"/>
        <v>0</v>
      </c>
      <c r="J229" s="12">
        <f t="shared" si="131"/>
        <v>0</v>
      </c>
      <c r="K229" s="12">
        <f t="shared" si="131"/>
        <v>0</v>
      </c>
      <c r="L229" s="12">
        <f t="shared" si="131"/>
        <v>0</v>
      </c>
      <c r="M229" s="12">
        <f t="shared" si="131"/>
        <v>0</v>
      </c>
      <c r="N229" s="12">
        <f t="shared" si="131"/>
        <v>0</v>
      </c>
      <c r="O229" s="12">
        <f t="shared" si="131"/>
        <v>0</v>
      </c>
      <c r="P229" s="12">
        <f t="shared" si="131"/>
        <v>0</v>
      </c>
      <c r="Q229" s="12">
        <f t="shared" si="131"/>
        <v>0</v>
      </c>
    </row>
    <row r="230" spans="7:28">
      <c r="G230" s="12">
        <f t="shared" si="121"/>
        <v>0</v>
      </c>
      <c r="H230" s="12">
        <f t="shared" ref="H230:Q230" si="132">IF($E79&gt;H$66,0,IF($E79&lt;H$66-365,$D79,0))</f>
        <v>0</v>
      </c>
      <c r="I230" s="12">
        <f t="shared" si="132"/>
        <v>0</v>
      </c>
      <c r="J230" s="12">
        <f t="shared" si="132"/>
        <v>0</v>
      </c>
      <c r="K230" s="12">
        <f t="shared" si="132"/>
        <v>0</v>
      </c>
      <c r="L230" s="12">
        <f t="shared" si="132"/>
        <v>0</v>
      </c>
      <c r="M230" s="12">
        <f t="shared" si="132"/>
        <v>0</v>
      </c>
      <c r="N230" s="12">
        <f t="shared" si="132"/>
        <v>0</v>
      </c>
      <c r="O230" s="12">
        <f t="shared" si="132"/>
        <v>0</v>
      </c>
      <c r="P230" s="12">
        <f t="shared" si="132"/>
        <v>0</v>
      </c>
      <c r="Q230" s="12">
        <f t="shared" si="132"/>
        <v>0</v>
      </c>
    </row>
    <row r="231" spans="7:28">
      <c r="G231" s="12">
        <f t="shared" si="121"/>
        <v>0</v>
      </c>
      <c r="H231" s="12">
        <f t="shared" ref="H231:Q231" si="133">IF($E80&gt;H$66,0,IF($E80&lt;H$66-365,$D80,0))</f>
        <v>0</v>
      </c>
      <c r="I231" s="12">
        <f t="shared" si="133"/>
        <v>0</v>
      </c>
      <c r="J231" s="12">
        <f t="shared" si="133"/>
        <v>0</v>
      </c>
      <c r="K231" s="12">
        <f t="shared" si="133"/>
        <v>0</v>
      </c>
      <c r="L231" s="12">
        <f t="shared" si="133"/>
        <v>0</v>
      </c>
      <c r="M231" s="12">
        <f t="shared" si="133"/>
        <v>0</v>
      </c>
      <c r="N231" s="12">
        <f t="shared" si="133"/>
        <v>-74.929146537842186</v>
      </c>
      <c r="O231" s="12">
        <f t="shared" si="133"/>
        <v>-74.929146537842186</v>
      </c>
      <c r="P231" s="12">
        <f t="shared" si="133"/>
        <v>-74.929146537842186</v>
      </c>
      <c r="Q231" s="12">
        <f t="shared" si="133"/>
        <v>-74.929146537842186</v>
      </c>
    </row>
    <row r="232" spans="7:28">
      <c r="G232" s="12">
        <f t="shared" si="121"/>
        <v>0</v>
      </c>
      <c r="H232" s="12">
        <f t="shared" ref="H232:Q232" si="134">IF($E81&gt;H$66,0,IF($E81&lt;H$66-365,$D81,0))</f>
        <v>0</v>
      </c>
      <c r="I232" s="12">
        <f t="shared" si="134"/>
        <v>0</v>
      </c>
      <c r="J232" s="12">
        <f t="shared" si="134"/>
        <v>0</v>
      </c>
      <c r="K232" s="12">
        <f t="shared" si="134"/>
        <v>0</v>
      </c>
      <c r="L232" s="12">
        <f t="shared" si="134"/>
        <v>0</v>
      </c>
      <c r="M232" s="12">
        <f t="shared" si="134"/>
        <v>0</v>
      </c>
      <c r="N232" s="12">
        <f t="shared" si="134"/>
        <v>0</v>
      </c>
      <c r="O232" s="12">
        <f t="shared" si="134"/>
        <v>0</v>
      </c>
      <c r="P232" s="12">
        <f t="shared" si="134"/>
        <v>0</v>
      </c>
      <c r="Q232" s="12">
        <f t="shared" si="134"/>
        <v>0</v>
      </c>
    </row>
    <row r="233" spans="7:28">
      <c r="G233" s="12">
        <f t="shared" si="121"/>
        <v>0</v>
      </c>
      <c r="H233" s="12">
        <f t="shared" ref="H233:Q233" si="135">IF($E82&gt;H$66,0,IF($E82&lt;H$66-365,$D82,0))</f>
        <v>0</v>
      </c>
      <c r="I233" s="12">
        <f t="shared" si="135"/>
        <v>0</v>
      </c>
      <c r="J233" s="12">
        <f t="shared" si="135"/>
        <v>0</v>
      </c>
      <c r="K233" s="12">
        <f t="shared" si="135"/>
        <v>0</v>
      </c>
      <c r="L233" s="12">
        <f t="shared" si="135"/>
        <v>0</v>
      </c>
      <c r="M233" s="12">
        <f t="shared" si="135"/>
        <v>0</v>
      </c>
      <c r="N233" s="12">
        <f t="shared" si="135"/>
        <v>0</v>
      </c>
      <c r="O233" s="12">
        <f t="shared" si="135"/>
        <v>0</v>
      </c>
      <c r="P233" s="12">
        <f t="shared" si="135"/>
        <v>0</v>
      </c>
      <c r="Q233" s="12">
        <f t="shared" si="135"/>
        <v>-576.66988727858291</v>
      </c>
    </row>
    <row r="234" spans="7:28">
      <c r="G234" s="12">
        <f t="shared" si="121"/>
        <v>0</v>
      </c>
      <c r="H234" s="12">
        <f t="shared" ref="H234:Q234" si="136">IF($E83&gt;H$66,0,IF($E83&lt;H$66-365,$D83,0))</f>
        <v>0</v>
      </c>
      <c r="I234" s="12">
        <f t="shared" si="136"/>
        <v>0</v>
      </c>
      <c r="J234" s="12">
        <f t="shared" si="136"/>
        <v>0</v>
      </c>
      <c r="K234" s="12">
        <f t="shared" si="136"/>
        <v>0</v>
      </c>
      <c r="L234" s="12">
        <f t="shared" si="136"/>
        <v>0</v>
      </c>
      <c r="M234" s="12">
        <f t="shared" si="136"/>
        <v>0</v>
      </c>
      <c r="N234" s="12">
        <f t="shared" si="136"/>
        <v>0</v>
      </c>
      <c r="O234" s="12">
        <f t="shared" si="136"/>
        <v>0</v>
      </c>
      <c r="P234" s="12">
        <f t="shared" si="136"/>
        <v>0</v>
      </c>
      <c r="Q234" s="12">
        <f t="shared" si="136"/>
        <v>0</v>
      </c>
    </row>
    <row r="235" spans="7:28">
      <c r="G235" s="12">
        <f t="shared" si="121"/>
        <v>0</v>
      </c>
      <c r="H235" s="12">
        <f t="shared" ref="H235:Q235" si="137">IF($E84&gt;H$66,0,IF($E84&lt;H$66-365,$D84,0))</f>
        <v>0</v>
      </c>
      <c r="I235" s="12">
        <f t="shared" si="137"/>
        <v>0</v>
      </c>
      <c r="J235" s="12">
        <f t="shared" si="137"/>
        <v>0</v>
      </c>
      <c r="K235" s="12">
        <f t="shared" si="137"/>
        <v>0</v>
      </c>
      <c r="L235" s="12">
        <f t="shared" si="137"/>
        <v>0</v>
      </c>
      <c r="M235" s="12">
        <f t="shared" si="137"/>
        <v>0</v>
      </c>
      <c r="N235" s="12">
        <f t="shared" si="137"/>
        <v>0</v>
      </c>
      <c r="O235" s="12">
        <f t="shared" si="137"/>
        <v>0</v>
      </c>
      <c r="P235" s="12">
        <f t="shared" si="137"/>
        <v>0</v>
      </c>
      <c r="Q235" s="12">
        <f t="shared" si="137"/>
        <v>0</v>
      </c>
    </row>
    <row r="236" spans="7:28">
      <c r="G236" s="12">
        <f t="shared" si="121"/>
        <v>0</v>
      </c>
      <c r="H236" s="12">
        <f t="shared" ref="H236:Q236" si="138">IF($E85&gt;H$66,0,IF($E85&lt;H$66-365,$D85,0))</f>
        <v>0</v>
      </c>
      <c r="I236" s="12">
        <f t="shared" si="138"/>
        <v>0</v>
      </c>
      <c r="J236" s="12">
        <f t="shared" si="138"/>
        <v>0</v>
      </c>
      <c r="K236" s="12">
        <f t="shared" si="138"/>
        <v>0</v>
      </c>
      <c r="L236" s="12">
        <f t="shared" si="138"/>
        <v>0</v>
      </c>
      <c r="M236" s="12">
        <f t="shared" si="138"/>
        <v>0</v>
      </c>
      <c r="N236" s="12">
        <f t="shared" si="138"/>
        <v>0</v>
      </c>
      <c r="O236" s="12">
        <f t="shared" si="138"/>
        <v>0</v>
      </c>
      <c r="P236" s="12">
        <f t="shared" si="138"/>
        <v>0</v>
      </c>
      <c r="Q236" s="12">
        <f t="shared" si="138"/>
        <v>0</v>
      </c>
    </row>
    <row r="237" spans="7:28">
      <c r="G237" s="12">
        <f t="shared" si="121"/>
        <v>0</v>
      </c>
      <c r="H237" s="12">
        <f t="shared" ref="H237:Q237" si="139">IF($E86&gt;H$66,0,IF($E86&lt;H$66-365,$D86,0))</f>
        <v>0</v>
      </c>
      <c r="I237" s="12">
        <f t="shared" si="139"/>
        <v>0</v>
      </c>
      <c r="J237" s="12">
        <f t="shared" si="139"/>
        <v>0</v>
      </c>
      <c r="K237" s="12">
        <f t="shared" si="139"/>
        <v>0</v>
      </c>
      <c r="L237" s="12">
        <f t="shared" si="139"/>
        <v>0</v>
      </c>
      <c r="M237" s="12">
        <f t="shared" si="139"/>
        <v>0</v>
      </c>
      <c r="N237" s="12">
        <f t="shared" si="139"/>
        <v>0</v>
      </c>
      <c r="O237" s="12">
        <f t="shared" si="139"/>
        <v>0</v>
      </c>
      <c r="P237" s="12">
        <f t="shared" si="139"/>
        <v>0</v>
      </c>
      <c r="Q237" s="12">
        <f t="shared" si="139"/>
        <v>0</v>
      </c>
    </row>
    <row r="238" spans="7:28">
      <c r="G238" s="12">
        <f t="shared" si="121"/>
        <v>0</v>
      </c>
      <c r="H238" s="12">
        <f t="shared" ref="H238:Q238" si="140">IF($E87&gt;H$66,0,IF($E87&lt;H$66-365,$D87,0))</f>
        <v>0</v>
      </c>
      <c r="I238" s="12">
        <f t="shared" si="140"/>
        <v>0</v>
      </c>
      <c r="J238" s="12">
        <f t="shared" si="140"/>
        <v>0</v>
      </c>
      <c r="K238" s="12">
        <f t="shared" si="140"/>
        <v>0</v>
      </c>
      <c r="L238" s="12">
        <f t="shared" si="140"/>
        <v>0</v>
      </c>
      <c r="M238" s="12">
        <f t="shared" si="140"/>
        <v>0</v>
      </c>
      <c r="N238" s="12">
        <f t="shared" si="140"/>
        <v>0</v>
      </c>
      <c r="O238" s="12">
        <f t="shared" si="140"/>
        <v>0</v>
      </c>
      <c r="P238" s="12">
        <f t="shared" si="140"/>
        <v>0</v>
      </c>
      <c r="Q238" s="12">
        <f t="shared" si="140"/>
        <v>0</v>
      </c>
    </row>
    <row r="239" spans="7:28">
      <c r="G239" s="12">
        <f t="shared" si="121"/>
        <v>0</v>
      </c>
      <c r="H239" s="12">
        <f t="shared" ref="H239:Q239" si="141">IF($E88&gt;H$66,0,IF($E88&lt;H$66-365,$D88,0))</f>
        <v>0</v>
      </c>
      <c r="I239" s="12">
        <f t="shared" si="141"/>
        <v>0</v>
      </c>
      <c r="J239" s="12">
        <f t="shared" si="141"/>
        <v>0</v>
      </c>
      <c r="K239" s="12">
        <f t="shared" si="141"/>
        <v>0</v>
      </c>
      <c r="L239" s="12">
        <f t="shared" si="141"/>
        <v>0</v>
      </c>
      <c r="M239" s="12">
        <f t="shared" si="141"/>
        <v>0</v>
      </c>
      <c r="N239" s="12">
        <f t="shared" si="141"/>
        <v>0</v>
      </c>
      <c r="O239" s="12">
        <f t="shared" si="141"/>
        <v>0</v>
      </c>
      <c r="P239" s="12">
        <f t="shared" si="141"/>
        <v>0</v>
      </c>
      <c r="Q239" s="12">
        <f t="shared" si="141"/>
        <v>0</v>
      </c>
    </row>
    <row r="240" spans="7:28">
      <c r="G240" s="12">
        <f t="shared" si="121"/>
        <v>0</v>
      </c>
      <c r="H240" s="12">
        <f t="shared" ref="H240:Q240" si="142">IF($E89&gt;H$66,0,IF($E89&lt;H$66-365,$D89,0))</f>
        <v>0</v>
      </c>
      <c r="I240" s="12">
        <f t="shared" si="142"/>
        <v>0</v>
      </c>
      <c r="J240" s="12">
        <f t="shared" si="142"/>
        <v>0</v>
      </c>
      <c r="K240" s="12">
        <f t="shared" si="142"/>
        <v>0</v>
      </c>
      <c r="L240" s="12">
        <f t="shared" si="142"/>
        <v>0</v>
      </c>
      <c r="M240" s="12">
        <f t="shared" si="142"/>
        <v>0</v>
      </c>
      <c r="N240" s="12">
        <f t="shared" si="142"/>
        <v>0</v>
      </c>
      <c r="O240" s="12">
        <f t="shared" si="142"/>
        <v>0</v>
      </c>
      <c r="P240" s="12">
        <f t="shared" si="142"/>
        <v>0</v>
      </c>
      <c r="Q240" s="12">
        <f t="shared" si="142"/>
        <v>0</v>
      </c>
    </row>
    <row r="241" spans="7:17">
      <c r="G241" s="12">
        <f t="shared" si="121"/>
        <v>0</v>
      </c>
      <c r="H241" s="12">
        <f t="shared" ref="H241:Q241" si="143">IF($E90&gt;H$66,0,IF($E90&lt;H$66-365,$D90,0))</f>
        <v>0</v>
      </c>
      <c r="I241" s="12">
        <f t="shared" si="143"/>
        <v>0</v>
      </c>
      <c r="J241" s="12">
        <f t="shared" si="143"/>
        <v>0</v>
      </c>
      <c r="K241" s="12">
        <f t="shared" si="143"/>
        <v>0</v>
      </c>
      <c r="L241" s="12">
        <f t="shared" si="143"/>
        <v>0</v>
      </c>
      <c r="M241" s="12">
        <f t="shared" si="143"/>
        <v>0</v>
      </c>
      <c r="N241" s="12">
        <f t="shared" si="143"/>
        <v>0</v>
      </c>
      <c r="O241" s="12">
        <f t="shared" si="143"/>
        <v>0</v>
      </c>
      <c r="P241" s="12">
        <f t="shared" si="143"/>
        <v>0</v>
      </c>
      <c r="Q241" s="12">
        <f t="shared" si="143"/>
        <v>0</v>
      </c>
    </row>
    <row r="242" spans="7:17">
      <c r="G242" s="12">
        <f t="shared" si="121"/>
        <v>0</v>
      </c>
      <c r="H242" s="12">
        <f t="shared" ref="H242:Q242" si="144">IF($E91&gt;H$66,0,IF($E91&lt;H$66-365,$D91,0))</f>
        <v>0</v>
      </c>
      <c r="I242" s="12">
        <f t="shared" si="144"/>
        <v>0</v>
      </c>
      <c r="J242" s="12">
        <f t="shared" si="144"/>
        <v>0</v>
      </c>
      <c r="K242" s="12">
        <f t="shared" si="144"/>
        <v>0</v>
      </c>
      <c r="L242" s="12">
        <f t="shared" si="144"/>
        <v>0</v>
      </c>
      <c r="M242" s="12">
        <f t="shared" si="144"/>
        <v>0</v>
      </c>
      <c r="N242" s="12">
        <f t="shared" si="144"/>
        <v>0</v>
      </c>
      <c r="O242" s="12">
        <f t="shared" si="144"/>
        <v>0</v>
      </c>
      <c r="P242" s="12">
        <f t="shared" si="144"/>
        <v>0</v>
      </c>
      <c r="Q242" s="12">
        <f t="shared" si="144"/>
        <v>0</v>
      </c>
    </row>
    <row r="243" spans="7:17">
      <c r="G243" s="12">
        <f t="shared" si="121"/>
        <v>0</v>
      </c>
      <c r="H243" s="12">
        <f t="shared" ref="H243:Q243" si="145">IF($E92&gt;H$66,0,IF($E92&lt;H$66-365,$D92,0))</f>
        <v>0</v>
      </c>
      <c r="I243" s="12">
        <f t="shared" si="145"/>
        <v>0</v>
      </c>
      <c r="J243" s="12">
        <f t="shared" si="145"/>
        <v>0</v>
      </c>
      <c r="K243" s="12">
        <f t="shared" si="145"/>
        <v>0</v>
      </c>
      <c r="L243" s="12">
        <f t="shared" si="145"/>
        <v>0</v>
      </c>
      <c r="M243" s="12">
        <f t="shared" si="145"/>
        <v>0</v>
      </c>
      <c r="N243" s="12">
        <f t="shared" si="145"/>
        <v>0</v>
      </c>
      <c r="O243" s="12">
        <f t="shared" si="145"/>
        <v>0</v>
      </c>
      <c r="P243" s="12">
        <f t="shared" si="145"/>
        <v>0</v>
      </c>
      <c r="Q243" s="12">
        <f t="shared" si="145"/>
        <v>0</v>
      </c>
    </row>
    <row r="244" spans="7:17">
      <c r="G244" s="12">
        <f t="shared" si="121"/>
        <v>0</v>
      </c>
      <c r="H244" s="12">
        <f t="shared" ref="H244:Q244" si="146">IF($E93&gt;H$66,0,IF($E93&lt;H$66-365,$D93,0))</f>
        <v>0</v>
      </c>
      <c r="I244" s="12">
        <f t="shared" si="146"/>
        <v>0</v>
      </c>
      <c r="J244" s="12">
        <f t="shared" si="146"/>
        <v>0</v>
      </c>
      <c r="K244" s="12">
        <f t="shared" si="146"/>
        <v>0</v>
      </c>
      <c r="L244" s="12">
        <f t="shared" si="146"/>
        <v>0</v>
      </c>
      <c r="M244" s="12">
        <f t="shared" si="146"/>
        <v>0</v>
      </c>
      <c r="N244" s="12">
        <f t="shared" si="146"/>
        <v>0</v>
      </c>
      <c r="O244" s="12">
        <f t="shared" si="146"/>
        <v>0</v>
      </c>
      <c r="P244" s="12">
        <f t="shared" si="146"/>
        <v>0</v>
      </c>
      <c r="Q244" s="12">
        <f t="shared" si="146"/>
        <v>0</v>
      </c>
    </row>
    <row r="245" spans="7:17">
      <c r="G245" s="12">
        <f t="shared" si="121"/>
        <v>0</v>
      </c>
      <c r="H245" s="12">
        <f t="shared" ref="H245:Q245" si="147">IF($E94&gt;H$66,0,IF($E94&lt;H$66-365,$D94,0))</f>
        <v>0</v>
      </c>
      <c r="I245" s="12">
        <f t="shared" si="147"/>
        <v>0</v>
      </c>
      <c r="J245" s="12">
        <f t="shared" si="147"/>
        <v>0</v>
      </c>
      <c r="K245" s="12">
        <f t="shared" si="147"/>
        <v>0</v>
      </c>
      <c r="L245" s="12">
        <f t="shared" si="147"/>
        <v>0</v>
      </c>
      <c r="M245" s="12">
        <f t="shared" si="147"/>
        <v>0</v>
      </c>
      <c r="N245" s="12">
        <f t="shared" si="147"/>
        <v>0</v>
      </c>
      <c r="O245" s="12">
        <f t="shared" si="147"/>
        <v>0</v>
      </c>
      <c r="P245" s="12">
        <f t="shared" si="147"/>
        <v>0</v>
      </c>
      <c r="Q245" s="12">
        <f t="shared" si="147"/>
        <v>0</v>
      </c>
    </row>
    <row r="246" spans="7:17">
      <c r="G246" s="12">
        <f t="shared" si="121"/>
        <v>0</v>
      </c>
      <c r="H246" s="12">
        <f t="shared" ref="H246:Q246" si="148">IF($E95&gt;H$66,0,IF($E95&lt;H$66-365,$D95,0))</f>
        <v>0</v>
      </c>
      <c r="I246" s="12">
        <f t="shared" si="148"/>
        <v>0</v>
      </c>
      <c r="J246" s="12">
        <f t="shared" si="148"/>
        <v>0</v>
      </c>
      <c r="K246" s="12">
        <f t="shared" si="148"/>
        <v>0</v>
      </c>
      <c r="L246" s="12">
        <f t="shared" si="148"/>
        <v>0</v>
      </c>
      <c r="M246" s="12">
        <f t="shared" si="148"/>
        <v>0</v>
      </c>
      <c r="N246" s="12">
        <f t="shared" si="148"/>
        <v>0</v>
      </c>
      <c r="O246" s="12">
        <f t="shared" si="148"/>
        <v>0</v>
      </c>
      <c r="P246" s="12">
        <f t="shared" si="148"/>
        <v>0</v>
      </c>
      <c r="Q246" s="12">
        <f t="shared" si="148"/>
        <v>0</v>
      </c>
    </row>
    <row r="247" spans="7:17">
      <c r="G247" s="12">
        <f t="shared" si="121"/>
        <v>0</v>
      </c>
      <c r="H247" s="12">
        <f t="shared" ref="H247:Q247" si="149">IF($E96&gt;H$66,0,IF($E96&lt;H$66-365,$D96,0))</f>
        <v>0</v>
      </c>
      <c r="I247" s="12">
        <f t="shared" si="149"/>
        <v>0</v>
      </c>
      <c r="J247" s="12">
        <f t="shared" si="149"/>
        <v>0</v>
      </c>
      <c r="K247" s="12">
        <f t="shared" si="149"/>
        <v>0</v>
      </c>
      <c r="L247" s="12">
        <f t="shared" si="149"/>
        <v>0</v>
      </c>
      <c r="M247" s="12">
        <f t="shared" si="149"/>
        <v>0</v>
      </c>
      <c r="N247" s="12">
        <f t="shared" si="149"/>
        <v>0</v>
      </c>
      <c r="O247" s="12">
        <f t="shared" si="149"/>
        <v>0</v>
      </c>
      <c r="P247" s="12">
        <f t="shared" si="149"/>
        <v>0</v>
      </c>
      <c r="Q247" s="12">
        <f t="shared" si="149"/>
        <v>0</v>
      </c>
    </row>
    <row r="248" spans="7:17">
      <c r="G248" s="12">
        <f t="shared" si="121"/>
        <v>0</v>
      </c>
      <c r="H248" s="12">
        <f t="shared" ref="H248:Q248" si="150">IF($E97&gt;H$66,0,IF($E97&lt;H$66-365,$D97,0))</f>
        <v>0</v>
      </c>
      <c r="I248" s="12">
        <f t="shared" si="150"/>
        <v>0</v>
      </c>
      <c r="J248" s="12">
        <f t="shared" si="150"/>
        <v>0</v>
      </c>
      <c r="K248" s="12">
        <f t="shared" si="150"/>
        <v>0</v>
      </c>
      <c r="L248" s="12">
        <f t="shared" si="150"/>
        <v>0</v>
      </c>
      <c r="M248" s="12">
        <f t="shared" si="150"/>
        <v>0</v>
      </c>
      <c r="N248" s="12">
        <f t="shared" si="150"/>
        <v>0</v>
      </c>
      <c r="O248" s="12">
        <f t="shared" si="150"/>
        <v>0</v>
      </c>
      <c r="P248" s="12">
        <f t="shared" si="150"/>
        <v>0</v>
      </c>
      <c r="Q248" s="12">
        <f t="shared" si="150"/>
        <v>0</v>
      </c>
    </row>
    <row r="249" spans="7:17">
      <c r="G249" s="12">
        <f t="shared" si="121"/>
        <v>0</v>
      </c>
      <c r="H249" s="12">
        <f t="shared" ref="H249:Q249" si="151">IF($E98&gt;H$66,0,IF($E98&lt;H$66-365,$D98,0))</f>
        <v>0</v>
      </c>
      <c r="I249" s="12">
        <f t="shared" si="151"/>
        <v>0</v>
      </c>
      <c r="J249" s="12">
        <f t="shared" si="151"/>
        <v>0</v>
      </c>
      <c r="K249" s="12">
        <f t="shared" si="151"/>
        <v>0</v>
      </c>
      <c r="L249" s="12">
        <f t="shared" si="151"/>
        <v>0</v>
      </c>
      <c r="M249" s="12">
        <f t="shared" si="151"/>
        <v>0</v>
      </c>
      <c r="N249" s="12">
        <f t="shared" si="151"/>
        <v>0</v>
      </c>
      <c r="O249" s="12">
        <f t="shared" si="151"/>
        <v>0</v>
      </c>
      <c r="P249" s="12">
        <f t="shared" si="151"/>
        <v>0</v>
      </c>
      <c r="Q249" s="12">
        <f t="shared" si="151"/>
        <v>0</v>
      </c>
    </row>
    <row r="250" spans="7:17">
      <c r="G250" s="12">
        <f t="shared" si="121"/>
        <v>0</v>
      </c>
      <c r="H250" s="12">
        <f t="shared" ref="H250:Q250" si="152">IF($E99&gt;H$66,0,IF($E99&lt;H$66-365,$D99,0))</f>
        <v>0</v>
      </c>
      <c r="I250" s="12">
        <f t="shared" si="152"/>
        <v>0</v>
      </c>
      <c r="J250" s="12">
        <f t="shared" si="152"/>
        <v>0</v>
      </c>
      <c r="K250" s="12">
        <f t="shared" si="152"/>
        <v>0</v>
      </c>
      <c r="L250" s="12">
        <f t="shared" si="152"/>
        <v>0</v>
      </c>
      <c r="M250" s="12">
        <f t="shared" si="152"/>
        <v>0</v>
      </c>
      <c r="N250" s="12">
        <f t="shared" si="152"/>
        <v>0</v>
      </c>
      <c r="O250" s="12">
        <f t="shared" si="152"/>
        <v>0</v>
      </c>
      <c r="P250" s="12">
        <f t="shared" si="152"/>
        <v>0</v>
      </c>
      <c r="Q250" s="12">
        <f t="shared" si="152"/>
        <v>0</v>
      </c>
    </row>
    <row r="251" spans="7:17">
      <c r="G251" s="12">
        <f t="shared" si="121"/>
        <v>0</v>
      </c>
      <c r="H251" s="12">
        <f t="shared" ref="H251:Q251" si="153">IF($E100&gt;H$66,0,IF($E100&lt;H$66-365,$D100,0))</f>
        <v>0</v>
      </c>
      <c r="I251" s="12">
        <f t="shared" si="153"/>
        <v>0</v>
      </c>
      <c r="J251" s="12">
        <f t="shared" si="153"/>
        <v>0</v>
      </c>
      <c r="K251" s="12">
        <f t="shared" si="153"/>
        <v>0</v>
      </c>
      <c r="L251" s="12">
        <f t="shared" si="153"/>
        <v>0</v>
      </c>
      <c r="M251" s="12">
        <f t="shared" si="153"/>
        <v>0</v>
      </c>
      <c r="N251" s="12">
        <f t="shared" si="153"/>
        <v>0</v>
      </c>
      <c r="O251" s="12">
        <f t="shared" si="153"/>
        <v>0</v>
      </c>
      <c r="P251" s="12">
        <f t="shared" si="153"/>
        <v>0</v>
      </c>
      <c r="Q251" s="12">
        <f t="shared" si="153"/>
        <v>0</v>
      </c>
    </row>
    <row r="252" spans="7:17">
      <c r="G252" s="12">
        <f t="shared" si="121"/>
        <v>0</v>
      </c>
      <c r="H252" s="12">
        <f t="shared" ref="H252:Q252" si="154">IF($E101&gt;H$66,0,IF($E101&lt;H$66-365,$D101,0))</f>
        <v>0</v>
      </c>
      <c r="I252" s="12">
        <f t="shared" si="154"/>
        <v>0</v>
      </c>
      <c r="J252" s="12">
        <f t="shared" si="154"/>
        <v>0</v>
      </c>
      <c r="K252" s="12">
        <f t="shared" si="154"/>
        <v>0</v>
      </c>
      <c r="L252" s="12">
        <f t="shared" si="154"/>
        <v>0</v>
      </c>
      <c r="M252" s="12">
        <f t="shared" si="154"/>
        <v>0</v>
      </c>
      <c r="N252" s="12">
        <f t="shared" si="154"/>
        <v>0</v>
      </c>
      <c r="O252" s="12">
        <f t="shared" si="154"/>
        <v>0</v>
      </c>
      <c r="P252" s="12">
        <f t="shared" si="154"/>
        <v>0</v>
      </c>
      <c r="Q252" s="12">
        <f t="shared" si="154"/>
        <v>0</v>
      </c>
    </row>
    <row r="253" spans="7:17">
      <c r="G253" s="12">
        <f t="shared" si="121"/>
        <v>0</v>
      </c>
      <c r="H253" s="12">
        <f t="shared" ref="H253:Q253" si="155">IF($E102&gt;H$66,0,IF($E102&lt;H$66-365,$D102,0))</f>
        <v>0</v>
      </c>
      <c r="I253" s="12">
        <f t="shared" si="155"/>
        <v>0</v>
      </c>
      <c r="J253" s="12">
        <f t="shared" si="155"/>
        <v>0</v>
      </c>
      <c r="K253" s="12">
        <f t="shared" si="155"/>
        <v>0</v>
      </c>
      <c r="L253" s="12">
        <f t="shared" si="155"/>
        <v>0</v>
      </c>
      <c r="M253" s="12">
        <f t="shared" si="155"/>
        <v>0</v>
      </c>
      <c r="N253" s="12">
        <f t="shared" si="155"/>
        <v>0</v>
      </c>
      <c r="O253" s="12">
        <f t="shared" si="155"/>
        <v>0</v>
      </c>
      <c r="P253" s="12">
        <f t="shared" si="155"/>
        <v>0</v>
      </c>
      <c r="Q253" s="12">
        <f t="shared" si="155"/>
        <v>0</v>
      </c>
    </row>
    <row r="254" spans="7:17">
      <c r="G254" s="12">
        <f t="shared" si="121"/>
        <v>0</v>
      </c>
      <c r="H254" s="12">
        <f t="shared" ref="H254:Q254" si="156">IF($E103&gt;H$66,0,IF($E103&lt;H$66-365,$D103,0))</f>
        <v>0</v>
      </c>
      <c r="I254" s="12">
        <f t="shared" si="156"/>
        <v>0</v>
      </c>
      <c r="J254" s="12">
        <f t="shared" si="156"/>
        <v>0</v>
      </c>
      <c r="K254" s="12">
        <f t="shared" si="156"/>
        <v>0</v>
      </c>
      <c r="L254" s="12">
        <f t="shared" si="156"/>
        <v>0</v>
      </c>
      <c r="M254" s="12">
        <f t="shared" si="156"/>
        <v>0</v>
      </c>
      <c r="N254" s="12">
        <f t="shared" si="156"/>
        <v>0</v>
      </c>
      <c r="O254" s="12">
        <f t="shared" si="156"/>
        <v>0</v>
      </c>
      <c r="P254" s="12">
        <f t="shared" si="156"/>
        <v>0</v>
      </c>
      <c r="Q254" s="12">
        <f t="shared" si="156"/>
        <v>0</v>
      </c>
    </row>
    <row r="255" spans="7:17">
      <c r="G255" s="12">
        <f t="shared" si="121"/>
        <v>0</v>
      </c>
      <c r="H255" s="12">
        <f t="shared" ref="H255:Q255" si="157">IF($E104&gt;H$66,0,IF($E104&lt;H$66-365,$D104,0))</f>
        <v>0</v>
      </c>
      <c r="I255" s="12">
        <f t="shared" si="157"/>
        <v>0</v>
      </c>
      <c r="J255" s="12">
        <f t="shared" si="157"/>
        <v>0</v>
      </c>
      <c r="K255" s="12">
        <f t="shared" si="157"/>
        <v>0</v>
      </c>
      <c r="L255" s="12">
        <f t="shared" si="157"/>
        <v>0</v>
      </c>
      <c r="M255" s="12">
        <f t="shared" si="157"/>
        <v>0</v>
      </c>
      <c r="N255" s="12">
        <f t="shared" si="157"/>
        <v>0</v>
      </c>
      <c r="O255" s="12">
        <f t="shared" si="157"/>
        <v>0</v>
      </c>
      <c r="P255" s="12">
        <f t="shared" si="157"/>
        <v>0</v>
      </c>
      <c r="Q255" s="12">
        <f t="shared" si="157"/>
        <v>0</v>
      </c>
    </row>
    <row r="256" spans="7:17">
      <c r="G256" s="12">
        <f t="shared" si="121"/>
        <v>0</v>
      </c>
      <c r="H256" s="12">
        <f t="shared" ref="H256:Q256" si="158">IF($E105&gt;H$66,0,IF($E105&lt;H$66-365,$D105,0))</f>
        <v>0</v>
      </c>
      <c r="I256" s="12">
        <f t="shared" si="158"/>
        <v>0</v>
      </c>
      <c r="J256" s="12">
        <f t="shared" si="158"/>
        <v>0</v>
      </c>
      <c r="K256" s="12">
        <f t="shared" si="158"/>
        <v>0</v>
      </c>
      <c r="L256" s="12">
        <f t="shared" si="158"/>
        <v>0</v>
      </c>
      <c r="M256" s="12">
        <f t="shared" si="158"/>
        <v>0</v>
      </c>
      <c r="N256" s="12">
        <f t="shared" si="158"/>
        <v>0</v>
      </c>
      <c r="O256" s="12">
        <f t="shared" si="158"/>
        <v>0</v>
      </c>
      <c r="P256" s="12">
        <f t="shared" si="158"/>
        <v>0</v>
      </c>
      <c r="Q256" s="12">
        <f t="shared" si="158"/>
        <v>0</v>
      </c>
    </row>
    <row r="257" spans="5:18">
      <c r="G257" s="12">
        <f t="shared" si="121"/>
        <v>0</v>
      </c>
      <c r="H257" s="12">
        <f t="shared" ref="H257:Q257" si="159">IF($E106&gt;H$66,0,IF($E106&lt;H$66-365,$D106,0))</f>
        <v>0</v>
      </c>
      <c r="I257" s="12">
        <f t="shared" si="159"/>
        <v>0</v>
      </c>
      <c r="J257" s="12">
        <f t="shared" si="159"/>
        <v>0</v>
      </c>
      <c r="K257" s="12">
        <f t="shared" si="159"/>
        <v>0</v>
      </c>
      <c r="L257" s="12">
        <f t="shared" si="159"/>
        <v>0</v>
      </c>
      <c r="M257" s="12">
        <f t="shared" si="159"/>
        <v>0</v>
      </c>
      <c r="N257" s="12">
        <f t="shared" si="159"/>
        <v>0</v>
      </c>
      <c r="O257" s="12">
        <f t="shared" si="159"/>
        <v>0</v>
      </c>
      <c r="P257" s="12">
        <f t="shared" si="159"/>
        <v>0</v>
      </c>
      <c r="Q257" s="12">
        <f t="shared" si="159"/>
        <v>0</v>
      </c>
    </row>
    <row r="258" spans="5:18">
      <c r="G258" s="12">
        <f t="shared" si="121"/>
        <v>0</v>
      </c>
      <c r="H258" s="12">
        <f t="shared" ref="H258:Q258" si="160">IF($E107&gt;H$66,0,IF($E107&lt;H$66-365,$D107,0))</f>
        <v>0</v>
      </c>
      <c r="I258" s="12">
        <f t="shared" si="160"/>
        <v>0</v>
      </c>
      <c r="J258" s="12">
        <f t="shared" si="160"/>
        <v>0</v>
      </c>
      <c r="K258" s="12">
        <f t="shared" si="160"/>
        <v>0</v>
      </c>
      <c r="L258" s="12">
        <f t="shared" si="160"/>
        <v>0</v>
      </c>
      <c r="M258" s="12">
        <f t="shared" si="160"/>
        <v>0</v>
      </c>
      <c r="N258" s="12">
        <f t="shared" si="160"/>
        <v>0</v>
      </c>
      <c r="O258" s="12">
        <f t="shared" si="160"/>
        <v>0</v>
      </c>
      <c r="P258" s="12">
        <f t="shared" si="160"/>
        <v>0</v>
      </c>
      <c r="Q258" s="12">
        <f t="shared" si="160"/>
        <v>0</v>
      </c>
    </row>
    <row r="259" spans="5:18">
      <c r="G259" s="12">
        <f t="shared" si="121"/>
        <v>0</v>
      </c>
      <c r="H259" s="12">
        <f t="shared" ref="H259:Q259" si="161">IF($E108&gt;H$66,0,IF($E108&lt;H$66-365,$D108,0))</f>
        <v>0</v>
      </c>
      <c r="I259" s="12">
        <f t="shared" si="161"/>
        <v>0</v>
      </c>
      <c r="J259" s="12">
        <f t="shared" si="161"/>
        <v>0</v>
      </c>
      <c r="K259" s="12">
        <f t="shared" si="161"/>
        <v>0</v>
      </c>
      <c r="L259" s="12">
        <f t="shared" si="161"/>
        <v>0</v>
      </c>
      <c r="M259" s="12">
        <f t="shared" si="161"/>
        <v>0</v>
      </c>
      <c r="N259" s="12">
        <f t="shared" si="161"/>
        <v>0</v>
      </c>
      <c r="O259" s="12">
        <f t="shared" si="161"/>
        <v>0</v>
      </c>
      <c r="P259" s="12">
        <f t="shared" si="161"/>
        <v>0</v>
      </c>
      <c r="Q259" s="12">
        <f t="shared" si="161"/>
        <v>0</v>
      </c>
    </row>
    <row r="260" spans="5:18">
      <c r="G260" s="12">
        <f t="shared" si="121"/>
        <v>0</v>
      </c>
      <c r="H260" s="12">
        <f t="shared" ref="H260:Q260" si="162">IF($E109&gt;H$66,0,IF($E109&lt;H$66-365,$D109,0))</f>
        <v>0</v>
      </c>
      <c r="I260" s="12">
        <f t="shared" si="162"/>
        <v>0</v>
      </c>
      <c r="J260" s="12">
        <f t="shared" si="162"/>
        <v>0</v>
      </c>
      <c r="K260" s="12">
        <f t="shared" si="162"/>
        <v>0</v>
      </c>
      <c r="L260" s="12">
        <f t="shared" si="162"/>
        <v>0</v>
      </c>
      <c r="M260" s="12">
        <f t="shared" si="162"/>
        <v>0</v>
      </c>
      <c r="N260" s="12">
        <f t="shared" si="162"/>
        <v>0</v>
      </c>
      <c r="O260" s="12">
        <f t="shared" si="162"/>
        <v>0</v>
      </c>
      <c r="P260" s="12">
        <f t="shared" si="162"/>
        <v>0</v>
      </c>
      <c r="Q260" s="12">
        <f t="shared" si="162"/>
        <v>0</v>
      </c>
    </row>
    <row r="261" spans="5:18">
      <c r="G261" s="12">
        <f t="shared" si="121"/>
        <v>0</v>
      </c>
      <c r="H261" s="12">
        <f t="shared" ref="H261:Q261" si="163">IF($E110&gt;H$66,0,IF($E110&lt;H$66-365,$D110,0))</f>
        <v>0</v>
      </c>
      <c r="I261" s="12">
        <f t="shared" si="163"/>
        <v>0</v>
      </c>
      <c r="J261" s="12">
        <f t="shared" si="163"/>
        <v>0</v>
      </c>
      <c r="K261" s="12">
        <f t="shared" si="163"/>
        <v>0</v>
      </c>
      <c r="L261" s="12">
        <f t="shared" si="163"/>
        <v>0</v>
      </c>
      <c r="M261" s="12">
        <f t="shared" si="163"/>
        <v>0</v>
      </c>
      <c r="N261" s="12">
        <f t="shared" si="163"/>
        <v>0</v>
      </c>
      <c r="O261" s="12">
        <f t="shared" si="163"/>
        <v>0</v>
      </c>
      <c r="P261" s="12">
        <f t="shared" si="163"/>
        <v>0</v>
      </c>
      <c r="Q261" s="12">
        <f t="shared" si="163"/>
        <v>0</v>
      </c>
    </row>
    <row r="262" spans="5:18">
      <c r="G262" s="12">
        <f t="shared" si="121"/>
        <v>0</v>
      </c>
      <c r="H262" s="12">
        <f t="shared" ref="H262:Q262" si="164">IF($E111&gt;H$66,0,IF($E111&lt;H$66-365,$D111,0))</f>
        <v>0</v>
      </c>
      <c r="I262" s="12">
        <f t="shared" si="164"/>
        <v>0</v>
      </c>
      <c r="J262" s="12">
        <f t="shared" si="164"/>
        <v>0</v>
      </c>
      <c r="K262" s="12">
        <f t="shared" si="164"/>
        <v>0</v>
      </c>
      <c r="L262" s="12">
        <f t="shared" si="164"/>
        <v>0</v>
      </c>
      <c r="M262" s="12">
        <f t="shared" si="164"/>
        <v>0</v>
      </c>
      <c r="N262" s="12">
        <f t="shared" si="164"/>
        <v>0</v>
      </c>
      <c r="O262" s="12">
        <f t="shared" si="164"/>
        <v>0</v>
      </c>
      <c r="P262" s="12">
        <f t="shared" si="164"/>
        <v>0</v>
      </c>
      <c r="Q262" s="12">
        <f t="shared" si="164"/>
        <v>0</v>
      </c>
    </row>
    <row r="263" spans="5:18">
      <c r="G263" s="12">
        <f t="shared" si="121"/>
        <v>0</v>
      </c>
      <c r="H263" s="12">
        <f t="shared" ref="H263:Q263" si="165">IF($E112&gt;H$66,0,IF($E112&lt;H$66-365,$D112,0))</f>
        <v>0</v>
      </c>
      <c r="I263" s="12">
        <f t="shared" si="165"/>
        <v>0</v>
      </c>
      <c r="J263" s="12">
        <f t="shared" si="165"/>
        <v>0</v>
      </c>
      <c r="K263" s="12">
        <f t="shared" si="165"/>
        <v>0</v>
      </c>
      <c r="L263" s="12">
        <f t="shared" si="165"/>
        <v>0</v>
      </c>
      <c r="M263" s="12">
        <f t="shared" si="165"/>
        <v>0</v>
      </c>
      <c r="N263" s="12">
        <f t="shared" si="165"/>
        <v>0</v>
      </c>
      <c r="O263" s="12">
        <f t="shared" si="165"/>
        <v>0</v>
      </c>
      <c r="P263" s="12">
        <f t="shared" si="165"/>
        <v>0</v>
      </c>
      <c r="Q263" s="12">
        <f t="shared" si="165"/>
        <v>0</v>
      </c>
    </row>
    <row r="264" spans="5:18">
      <c r="G264" s="12">
        <f t="shared" si="121"/>
        <v>0</v>
      </c>
      <c r="H264" s="12">
        <f t="shared" ref="H264:Q264" si="166">IF($E113&gt;H$66,0,IF($E113&lt;H$66-365,$D113,0))</f>
        <v>0</v>
      </c>
      <c r="I264" s="12">
        <f t="shared" si="166"/>
        <v>0</v>
      </c>
      <c r="J264" s="12">
        <f t="shared" si="166"/>
        <v>0</v>
      </c>
      <c r="K264" s="12">
        <f t="shared" si="166"/>
        <v>0</v>
      </c>
      <c r="L264" s="12">
        <f t="shared" si="166"/>
        <v>0</v>
      </c>
      <c r="M264" s="12">
        <f t="shared" si="166"/>
        <v>0</v>
      </c>
      <c r="N264" s="12">
        <f t="shared" si="166"/>
        <v>0</v>
      </c>
      <c r="O264" s="12">
        <f t="shared" si="166"/>
        <v>0</v>
      </c>
      <c r="P264" s="12">
        <f t="shared" si="166"/>
        <v>0</v>
      </c>
      <c r="Q264" s="12">
        <f t="shared" si="166"/>
        <v>0</v>
      </c>
    </row>
    <row r="265" spans="5:18">
      <c r="G265" s="12">
        <f t="shared" si="121"/>
        <v>0</v>
      </c>
      <c r="H265" s="12">
        <f t="shared" ref="H265:Q265" si="167">IF($E114&gt;H$66,0,IF($E114&lt;H$66-365,$D114,0))</f>
        <v>0</v>
      </c>
      <c r="I265" s="12">
        <f t="shared" si="167"/>
        <v>0</v>
      </c>
      <c r="J265" s="12">
        <f t="shared" si="167"/>
        <v>0</v>
      </c>
      <c r="K265" s="12">
        <f t="shared" si="167"/>
        <v>0</v>
      </c>
      <c r="L265" s="12">
        <f t="shared" si="167"/>
        <v>0</v>
      </c>
      <c r="M265" s="12">
        <f t="shared" si="167"/>
        <v>0</v>
      </c>
      <c r="N265" s="12">
        <f t="shared" si="167"/>
        <v>0</v>
      </c>
      <c r="O265" s="12">
        <f t="shared" si="167"/>
        <v>0</v>
      </c>
      <c r="P265" s="12">
        <f t="shared" si="167"/>
        <v>0</v>
      </c>
      <c r="Q265" s="12">
        <f t="shared" si="167"/>
        <v>0</v>
      </c>
    </row>
    <row r="267" spans="5:18">
      <c r="F267" s="187" t="s">
        <v>493</v>
      </c>
      <c r="G267" s="187">
        <f>SUM(G220:G265)</f>
        <v>0</v>
      </c>
      <c r="H267" s="187">
        <f t="shared" ref="H267:Q267" si="168">SUM(H220:H265)</f>
        <v>0</v>
      </c>
      <c r="I267" s="187">
        <f t="shared" si="168"/>
        <v>-526.40096618357484</v>
      </c>
      <c r="J267" s="187">
        <f t="shared" si="168"/>
        <v>-526.40096618357484</v>
      </c>
      <c r="K267" s="187">
        <f t="shared" si="168"/>
        <v>-526.40096618357484</v>
      </c>
      <c r="L267" s="187">
        <f t="shared" si="168"/>
        <v>-526.40096618357484</v>
      </c>
      <c r="M267" s="187">
        <f t="shared" si="168"/>
        <v>-526.40096618357484</v>
      </c>
      <c r="N267" s="187">
        <f t="shared" si="168"/>
        <v>-601.33011272141698</v>
      </c>
      <c r="O267" s="187">
        <f t="shared" si="168"/>
        <v>-601.33011272141698</v>
      </c>
      <c r="P267" s="187">
        <f t="shared" si="168"/>
        <v>-601.33011272141698</v>
      </c>
      <c r="Q267" s="187">
        <f t="shared" si="168"/>
        <v>-1178</v>
      </c>
    </row>
    <row r="271" spans="5:18">
      <c r="F271" s="207" t="s">
        <v>486</v>
      </c>
      <c r="G271" s="206">
        <f>G66</f>
        <v>45473</v>
      </c>
      <c r="H271" s="206">
        <f t="shared" ref="H271:Q271" si="169">H66</f>
        <v>45838</v>
      </c>
      <c r="I271" s="206">
        <f t="shared" si="169"/>
        <v>46203</v>
      </c>
      <c r="J271" s="206">
        <f t="shared" si="169"/>
        <v>46568</v>
      </c>
      <c r="K271" s="206">
        <f t="shared" si="169"/>
        <v>46934</v>
      </c>
      <c r="L271" s="206">
        <f t="shared" si="169"/>
        <v>47299</v>
      </c>
      <c r="M271" s="206">
        <f t="shared" si="169"/>
        <v>47664</v>
      </c>
      <c r="N271" s="206">
        <f t="shared" si="169"/>
        <v>48029</v>
      </c>
      <c r="O271" s="206">
        <f t="shared" si="169"/>
        <v>48395</v>
      </c>
      <c r="P271" s="206">
        <f t="shared" si="169"/>
        <v>48760</v>
      </c>
      <c r="Q271" s="206">
        <f t="shared" si="169"/>
        <v>49125</v>
      </c>
      <c r="R271" s="206">
        <f t="shared" ref="R271" si="170">Q271+365</f>
        <v>49490</v>
      </c>
    </row>
    <row r="272" spans="5:18">
      <c r="E272" s="12" t="s">
        <v>399</v>
      </c>
      <c r="F272" s="348">
        <f t="shared" ref="F272:P272" si="171">Z216</f>
        <v>5.1319155051013077</v>
      </c>
      <c r="G272" s="348">
        <f t="shared" si="171"/>
        <v>5.1319155051013077</v>
      </c>
      <c r="H272" s="348">
        <f t="shared" si="171"/>
        <v>5.1319155051013077</v>
      </c>
      <c r="I272" s="348">
        <f t="shared" si="171"/>
        <v>5.1439247095331417</v>
      </c>
      <c r="J272" s="348">
        <f t="shared" si="171"/>
        <v>5.3327172387454072</v>
      </c>
      <c r="K272" s="348">
        <f t="shared" si="171"/>
        <v>5.3327172387454072</v>
      </c>
      <c r="L272" s="348">
        <f t="shared" si="171"/>
        <v>5.3327172387454072</v>
      </c>
      <c r="M272" s="348">
        <f t="shared" si="171"/>
        <v>5.3327172387454072</v>
      </c>
      <c r="N272" s="348">
        <f t="shared" si="171"/>
        <v>5.3190057657589067</v>
      </c>
      <c r="O272" s="348">
        <f t="shared" si="171"/>
        <v>5.3190057657589067</v>
      </c>
      <c r="P272" s="348">
        <f t="shared" si="171"/>
        <v>5.3190057657589067</v>
      </c>
      <c r="Q272" s="348">
        <f>AK216</f>
        <v>5.5496417176584805</v>
      </c>
    </row>
  </sheetData>
  <sheetProtection formatCells="0" formatColumns="0" formatRows="0" selectLockedCells="1"/>
  <customSheetViews>
    <customSheetView guid="{0FAFE012-8D9E-4ED0-86A4-A997E430971B}" scale="85" showGridLines="0" fitToPage="1" hiddenRows="1" topLeftCell="E12">
      <selection activeCell="W13" sqref="W13"/>
      <pageMargins left="0.74803149606299213" right="0.74803149606299213" top="0.51181102362204722" bottom="0.62992125984251968" header="0.51181102362204722" footer="0.51181102362204722"/>
      <pageSetup paperSize="9" scale="22"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35" priority="1" operator="lessThan">
      <formula>0</formula>
    </cfRule>
  </conditionalFormatting>
  <conditionalFormatting sqref="F46:Q47">
    <cfRule type="cellIs" dxfId="34" priority="3" operator="lessThan">
      <formula>0</formula>
    </cfRule>
  </conditionalFormatting>
  <conditionalFormatting sqref="F50:Q50">
    <cfRule type="cellIs" dxfId="33" priority="2" operator="lessThan">
      <formula>0</formula>
    </cfRule>
  </conditionalFormatting>
  <dataValidations disablePrompts="1" count="3">
    <dataValidation type="list" allowBlank="1" showInputMessage="1" showErrorMessage="1" sqref="O114:Q114" xr:uid="{0754B0FF-A542-40FA-921F-FDD3AAF8B610}">
      <formula1>$BS$156:$BS$159</formula1>
    </dataValidation>
    <dataValidation type="list" allowBlank="1" showInputMessage="1" showErrorMessage="1" sqref="E114" xr:uid="{9CCC301F-9786-4272-978F-534F690829F6}">
      <formula1>$BQ$155:$BQ$169</formula1>
    </dataValidation>
    <dataValidation type="list" allowBlank="1" showInputMessage="1" showErrorMessage="1" sqref="F141:G141" xr:uid="{4FEA022C-9639-40AA-B7AE-1EED296FE9E1}">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1" orientation="landscape" r:id="rId2"/>
  <headerFooter alignWithMargins="0"/>
  <drawing r:id="rId3"/>
  <legacy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9DD05-3122-4243-9DCE-2C02D4DBD301}">
  <sheetPr>
    <tabColor theme="5"/>
    <pageSetUpPr fitToPage="1"/>
  </sheetPr>
  <dimension ref="A1:CJ272"/>
  <sheetViews>
    <sheetView showGridLines="0" topLeftCell="A13" zoomScale="55" zoomScaleNormal="55" workbookViewId="0">
      <selection activeCell="C56" sqref="C56"/>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30.4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95</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NSW3</v>
      </c>
      <c r="B6" s="368" t="s">
        <v>309</v>
      </c>
      <c r="C6" s="484" t="s">
        <v>310</v>
      </c>
      <c r="D6" s="485">
        <f>(VLOOKUP($A$2,Assumptions!$B$41:$C$63,2,0))/1000</f>
        <v>8.3475068718722734E-2</v>
      </c>
      <c r="E6" s="367" t="s">
        <v>311</v>
      </c>
      <c r="F6" s="517">
        <f>VLOOKUP($A$2,'Footprint Summary'!$B$4:$R$26,COLUMNS('Footprint Summary'!$B$4:F$26)+1,0)</f>
        <v>2372.8890000000001</v>
      </c>
      <c r="G6" s="517">
        <f>VLOOKUP($A$2,'Footprint Summary'!$B$4:$R$26,COLUMNS('Footprint Summary'!$B$4:G$26)+1,0)</f>
        <v>2372.8890000000001</v>
      </c>
      <c r="H6" s="517">
        <f>VLOOKUP($A$2,'Footprint Summary'!$B$4:$R$26,COLUMNS('Footprint Summary'!$B$4:H$26)+1,0)</f>
        <v>2372.8890000000001</v>
      </c>
      <c r="I6" s="517">
        <f>VLOOKUP($A$2,'Footprint Summary'!$B$4:$R$26,COLUMNS('Footprint Summary'!$B$4:I$26)+1,0)</f>
        <v>2372.8890000000001</v>
      </c>
      <c r="J6" s="517">
        <f>VLOOKUP($A$2,'Footprint Summary'!$B$4:$R$26,COLUMNS('Footprint Summary'!$B$4:J$26)+1,0)</f>
        <v>2372.8890000000001</v>
      </c>
      <c r="K6" s="517">
        <f>VLOOKUP($A$2,'Footprint Summary'!$B$4:$R$26,COLUMNS('Footprint Summary'!$B$4:K$26)+1,0)</f>
        <v>2372.8890000000001</v>
      </c>
      <c r="L6" s="517">
        <f>VLOOKUP($A$2,'Footprint Summary'!$B$4:$R$26,COLUMNS('Footprint Summary'!$B$4:L$26)+1,0)</f>
        <v>2372.8890000000001</v>
      </c>
      <c r="M6" s="517">
        <f>VLOOKUP($A$2,'Footprint Summary'!$B$4:$R$26,COLUMNS('Footprint Summary'!$B$4:M$26)+1,0)</f>
        <v>2372.8890000000001</v>
      </c>
      <c r="N6" s="517">
        <f>VLOOKUP($A$2,'Footprint Summary'!$B$4:$R$26,COLUMNS('Footprint Summary'!$B$4:N$26)+1,0)</f>
        <v>2372.8890000000001</v>
      </c>
      <c r="O6" s="517">
        <f>VLOOKUP($A$2,'Footprint Summary'!$B$4:$R$26,COLUMNS('Footprint Summary'!$B$4:O$26)+1,0)</f>
        <v>2372.8890000000001</v>
      </c>
      <c r="P6" s="517">
        <f>VLOOKUP($A$2,'Footprint Summary'!$B$4:$R$26,COLUMNS('Footprint Summary'!$B$4:P$26)+1,0)</f>
        <v>2372.8890000000001</v>
      </c>
      <c r="Q6" s="429">
        <f>(P6-F6)/F6</f>
        <v>0</v>
      </c>
      <c r="R6" s="366"/>
      <c r="S6" s="357"/>
      <c r="T6" s="8"/>
      <c r="U6" s="8"/>
    </row>
    <row r="7" spans="1:21" s="7" customFormat="1" ht="17.25" customHeight="1">
      <c r="A7" s="368" t="str">
        <f>VLOOKUP($A$2,'Asset Attributes'!$B$3:$D$25,2,0)</f>
        <v>NSW3</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21.960594677455386</v>
      </c>
      <c r="E8" s="422" t="s">
        <v>314</v>
      </c>
      <c r="F8" s="519">
        <f>VLOOKUP($A$2,'Footprint Summary'!$B$33:$R$55,COLUMNS('Footprint Summary'!$B$33:F$55)+1,0)</f>
        <v>3817</v>
      </c>
      <c r="G8" s="519">
        <f>VLOOKUP($A$2,'Footprint Summary'!$B$33:$R$55,COLUMNS('Footprint Summary'!$B$33:G$55)+1,0)</f>
        <v>3817</v>
      </c>
      <c r="H8" s="519">
        <f>VLOOKUP($A$2,'Footprint Summary'!$B$33:$R$55,COLUMNS('Footprint Summary'!$B$33:H$55)+1,0)</f>
        <v>3817</v>
      </c>
      <c r="I8" s="519">
        <f>VLOOKUP($A$2,'Footprint Summary'!$B$33:$R$55,COLUMNS('Footprint Summary'!$B$33:I$55)+1,0)</f>
        <v>3817</v>
      </c>
      <c r="J8" s="519">
        <f>VLOOKUP($A$2,'Footprint Summary'!$B$33:$R$55,COLUMNS('Footprint Summary'!$B$33:J$55)+1,0)</f>
        <v>3817</v>
      </c>
      <c r="K8" s="519">
        <f>VLOOKUP($A$2,'Footprint Summary'!$B$33:$R$55,COLUMNS('Footprint Summary'!$B$33:K$55)+1,0)</f>
        <v>3817</v>
      </c>
      <c r="L8" s="519">
        <f>VLOOKUP($A$2,'Footprint Summary'!$B$33:$R$55,COLUMNS('Footprint Summary'!$B$33:L$55)+1,0)</f>
        <v>3817</v>
      </c>
      <c r="M8" s="519">
        <f>VLOOKUP($A$2,'Footprint Summary'!$B$33:$R$55,COLUMNS('Footprint Summary'!$B$33:M$55)+1,0)</f>
        <v>3817</v>
      </c>
      <c r="N8" s="519">
        <f>VLOOKUP($A$2,'Footprint Summary'!$B$33:$R$55,COLUMNS('Footprint Summary'!$B$33:N$55)+1,0)</f>
        <v>3817</v>
      </c>
      <c r="O8" s="519">
        <f>VLOOKUP($A$2,'Footprint Summary'!$B$33:$R$55,COLUMNS('Footprint Summary'!$B$33:O$55)+1,0)</f>
        <v>3817</v>
      </c>
      <c r="P8" s="519">
        <f>VLOOKUP($A$2,'Footprint Summary'!$B$33:$R$55,COLUMNS('Footprint Summary'!$B$33:P$55)+1,0)</f>
        <v>3817</v>
      </c>
      <c r="Q8" s="429">
        <f>(P8-F8)/F8</f>
        <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NSW3</v>
      </c>
      <c r="B13" s="368" t="s">
        <v>317</v>
      </c>
      <c r="C13" s="367"/>
      <c r="D13" s="2"/>
      <c r="E13" s="367" t="s">
        <v>321</v>
      </c>
      <c r="F13" s="367">
        <f>VLOOKUP($A$2,'Footprint Summary'!$B$4:$R$26,COLUMNS('Footprint Summary'!$B$4:F$26)+1,0)*VLOOKUP($A$13,Assumptions!$A$4:$N$14,COLUMNS(Assumptions!$A$4:B$14)+1,0)</f>
        <v>1874.5823100000002</v>
      </c>
      <c r="G13" s="367">
        <f>VLOOKUP($A$2,'Footprint Summary'!$B$4:$R$26,COLUMNS('Footprint Summary'!$B$4:G$26)+1,0)*VLOOKUP($A$13,Assumptions!$A$4:$N$14,COLUMNS(Assumptions!$A$4:C$14)+1,0)</f>
        <v>880.34181899999999</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196.69001</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86.791927762814993</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2158.0642477628148</v>
      </c>
      <c r="G16" s="434">
        <f t="shared" ref="G16:P16" si="4">SUM(G13:G15)</f>
        <v>880.34181899999999</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52.312904461804344</v>
      </c>
      <c r="G17" s="428">
        <f>1000*G16/(VLOOKUP($A$2,'Asset Attributes'!$B$3:$D$25,3,0))</f>
        <v>21.340067849610939</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0</v>
      </c>
      <c r="P20" s="499">
        <f>-1*(VLOOKUP($A$2,'Footprint Summary'!$B$244:AB$266,COLUMNS('Footprint Summary'!$B$244:P$266)+1,0))</f>
        <v>0</v>
      </c>
      <c r="Q20" s="499">
        <f>SUM(G20:P20)</f>
        <v>0</v>
      </c>
      <c r="R20" s="366"/>
      <c r="S20" s="357"/>
      <c r="T20" s="8"/>
      <c r="U20" s="8"/>
    </row>
    <row r="21" spans="1:21" s="7" customFormat="1" ht="19.5" customHeight="1">
      <c r="A21" s="368" t="str">
        <f>VLOOKUP($A$2,'Asset Attributes'!$B$3:$D$25,2,0)</f>
        <v>NSW3</v>
      </c>
      <c r="B21" s="368" t="s">
        <v>326</v>
      </c>
      <c r="E21" s="367" t="s">
        <v>321</v>
      </c>
      <c r="F21" s="499">
        <f>-1*(VLOOKUP($A$2,'Footprint Summary'!$B$302:$R$324,COLUMNS('Footprint Summary'!$B$302:F324)+1,0))</f>
        <v>0</v>
      </c>
      <c r="G21" s="499">
        <f>-1*(VLOOKUP($A$2,'Footprint Summary'!$B$302:$R$324,COLUMNS('Footprint Summary'!$B$302:G324)+1,0))</f>
        <v>880.34181899999999</v>
      </c>
      <c r="H21" s="499">
        <f>-1*(VLOOKUP($A$2,'Footprint Summary'!$B$302:$R$324,COLUMNS('Footprint Summary'!$B$302:H324)+1,0))</f>
        <v>1732.2089700000001</v>
      </c>
      <c r="I21" s="499">
        <f>-1*(VLOOKUP($A$2,'Footprint Summary'!$B$302:$R$324,COLUMNS('Footprint Summary'!$B$302:I324)+1,0))</f>
        <v>1570.8525180000001</v>
      </c>
      <c r="J21" s="499">
        <f>-1*(VLOOKUP($A$2,'Footprint Summary'!$B$302:$R$324,COLUMNS('Footprint Summary'!$B$302:J324)+1,0))</f>
        <v>1480.682736</v>
      </c>
      <c r="K21" s="499">
        <f>-1*(VLOOKUP($A$2,'Footprint Summary'!$B$302:$R$324,COLUMNS('Footprint Summary'!$B$302:K324)+1,0))</f>
        <v>1297.9702830000001</v>
      </c>
      <c r="L21" s="499">
        <f>-1*(VLOOKUP($A$2,'Footprint Summary'!$B$302:$R$324,COLUMNS('Footprint Summary'!$B$302:L324)+1,0))</f>
        <v>1091.5289400000001</v>
      </c>
      <c r="M21" s="499">
        <f>-1*(VLOOKUP($A$2,'Footprint Summary'!$B$302:$R$324,COLUMNS('Footprint Summary'!$B$302:M324)+1,0))</f>
        <v>908.81648700000005</v>
      </c>
      <c r="N21" s="499">
        <f>-1*(VLOOKUP($A$2,'Footprint Summary'!$B$302:$R$324,COLUMNS('Footprint Summary'!$B$302:N324)+1,0))</f>
        <v>771.18892500000004</v>
      </c>
      <c r="O21" s="499">
        <f>-1*(VLOOKUP($A$2,'Footprint Summary'!$B$302:$R$324,COLUMNS('Footprint Summary'!$B$302:O324)+1,0))</f>
        <v>683.39203199999997</v>
      </c>
      <c r="P21" s="499">
        <f>-1*(VLOOKUP($A$2,'Footprint Summary'!$B$302:$R$324,COLUMNS('Footprint Summary'!$B$302:P324)+1,0))</f>
        <v>626.44269600000007</v>
      </c>
      <c r="Q21" s="499">
        <f t="shared" ref="Q21:Q27" si="6">SUM(G21:P21)</f>
        <v>11043.425406</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196.69001</v>
      </c>
      <c r="H22" s="499">
        <f>(VLOOKUP($A$2,'Footprint Summary'!$B$33:$R$55,COLUMNS('Footprint Summary'!$B$33:H$55)+1,0)*VLOOKUP($B$14,Assumptions!$B$17:$N$29,COLUMNS(Assumptions!$B$18:D$29)+1,0)/1000)</f>
        <v>196.69001</v>
      </c>
      <c r="I22" s="499">
        <f>(VLOOKUP($A$2,'Footprint Summary'!$B$33:$R$55,COLUMNS('Footprint Summary'!$B$33:I$55)+1,0)*VLOOKUP($B$14,Assumptions!$B$17:$N$29,COLUMNS(Assumptions!$B$18:E$29)+1,0)/1000)</f>
        <v>196.69001</v>
      </c>
      <c r="J22" s="499">
        <f>(VLOOKUP($A$2,'Footprint Summary'!$B$33:$R$55,COLUMNS('Footprint Summary'!$B$33:J$55)+1,0)*VLOOKUP($B$14,Assumptions!$B$17:$N$29,COLUMNS(Assumptions!$B$18:F$29)+1,0)/1000)</f>
        <v>196.69001</v>
      </c>
      <c r="K22" s="499">
        <f>(VLOOKUP($A$2,'Footprint Summary'!$B$33:$R$55,COLUMNS('Footprint Summary'!$B$33:K$55)+1,0)*VLOOKUP($B$14,Assumptions!$B$17:$N$29,COLUMNS(Assumptions!$B$18:G$29)+1,0)/1000)</f>
        <v>196.69001</v>
      </c>
      <c r="L22" s="499">
        <f>(VLOOKUP($A$2,'Footprint Summary'!$B$33:$R$55,COLUMNS('Footprint Summary'!$B$33:L$55)+1,0)*VLOOKUP($B$14,Assumptions!$B$17:$N$29,COLUMNS(Assumptions!$B$18:H$29)+1,0)/1000)</f>
        <v>196.69001</v>
      </c>
      <c r="M22" s="499">
        <f>(VLOOKUP($A$2,'Footprint Summary'!$B$33:$R$55,COLUMNS('Footprint Summary'!$B$33:M$55)+1,0)*VLOOKUP($B$14,Assumptions!$B$17:$N$29,COLUMNS(Assumptions!$B$18:I$29)+1,0)/1000)</f>
        <v>196.69001</v>
      </c>
      <c r="N22" s="499">
        <f>(VLOOKUP($A$2,'Footprint Summary'!$B$33:$R$55,COLUMNS('Footprint Summary'!$B$33:N$55)+1,0)*VLOOKUP($B$14,Assumptions!$B$17:$N$29,COLUMNS(Assumptions!$B$18:J$29)+1,0)/1000)</f>
        <v>196.69001</v>
      </c>
      <c r="O22" s="499">
        <f>(VLOOKUP($A$2,'Footprint Summary'!$B$33:$R$55,COLUMNS('Footprint Summary'!$B$33:O$55)+1,0)*VLOOKUP($B$14,Assumptions!$B$17:$N$29,COLUMNS(Assumptions!$B$18:K$29)+1,0)/1000)</f>
        <v>196.69001</v>
      </c>
      <c r="P22" s="499">
        <f>(VLOOKUP($A$2,'Footprint Summary'!$B$33:$R$55,COLUMNS('Footprint Summary'!$B$33:P$55)+1,0)*VLOOKUP($B$14,Assumptions!$B$17:$N$29,COLUMNS(Assumptions!$B$18:L$29)+1,0)/1000)</f>
        <v>196.69001</v>
      </c>
      <c r="Q22" s="499">
        <f t="shared" si="6"/>
        <v>1966.9001000000001</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79.60561430528</v>
      </c>
      <c r="H24" s="499">
        <f>VLOOKUP($A$2,'Footprint Summary'!$B$216:$R$238,COLUMNS('Footprint Summary'!$B$216:H238)+1,0)</f>
        <v>72.419300847744992</v>
      </c>
      <c r="I24" s="499">
        <f>VLOOKUP($A$2,'Footprint Summary'!$B$216:$R$238,COLUMNS('Footprint Summary'!$B$216:I238)+1,0)</f>
        <v>65.232987390209999</v>
      </c>
      <c r="J24" s="499">
        <f>VLOOKUP($A$2,'Footprint Summary'!$B$216:$R$238,COLUMNS('Footprint Summary'!$B$216:J238)+1,0)</f>
        <v>58.046673932674992</v>
      </c>
      <c r="K24" s="499">
        <f>VLOOKUP($A$2,'Footprint Summary'!$B$216:$R$238,COLUMNS('Footprint Summary'!$B$216:K238)+1,0)</f>
        <v>50.860360475139998</v>
      </c>
      <c r="L24" s="499">
        <f>VLOOKUP($A$2,'Footprint Summary'!$B$216:$R$238,COLUMNS('Footprint Summary'!$B$216:L238)+1,0)</f>
        <v>43.674047017604991</v>
      </c>
      <c r="M24" s="499">
        <f>VLOOKUP($A$2,'Footprint Summary'!$B$216:$R$238,COLUMNS('Footprint Summary'!$B$216:M238)+1,0)</f>
        <v>36.487733560069998</v>
      </c>
      <c r="N24" s="499">
        <f>VLOOKUP($A$2,'Footprint Summary'!$B$216:$R$238,COLUMNS('Footprint Summary'!$B$216:N238)+1,0)</f>
        <v>29.301420102534994</v>
      </c>
      <c r="O24" s="499">
        <f>VLOOKUP($A$2,'Footprint Summary'!$B$216:$R$238,COLUMNS('Footprint Summary'!$B$216:O238)+1,0)</f>
        <v>22.115106644999994</v>
      </c>
      <c r="P24" s="499">
        <f>VLOOKUP($A$2,'Footprint Summary'!$B$216:$R$238,COLUMNS('Footprint Summary'!$B$216:P238)+1,0)</f>
        <v>22.115106645000001</v>
      </c>
      <c r="Q24" s="499">
        <f t="shared" si="6"/>
        <v>479.85835092126001</v>
      </c>
      <c r="R24" s="366"/>
      <c r="S24" s="357"/>
      <c r="T24" s="8"/>
      <c r="U24" s="8"/>
    </row>
    <row r="25" spans="1:21" s="7" customFormat="1" ht="19.5" customHeight="1">
      <c r="A25" s="419" t="s">
        <v>319</v>
      </c>
      <c r="B25" s="419" t="s">
        <v>319</v>
      </c>
      <c r="E25" s="425" t="s">
        <v>321</v>
      </c>
      <c r="F25" s="499">
        <f>VLOOKUP($A$2,'Footprint Summary'!$B$216:$R$238,COLUMNS('Footprint Summary'!$B$216:F238)+1,0)-F24</f>
        <v>86.791927762814993</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196.69001</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NSW3</v>
      </c>
      <c r="B27" s="368" t="s">
        <v>330</v>
      </c>
      <c r="E27" s="425" t="s">
        <v>321</v>
      </c>
      <c r="F27" s="367">
        <f>VLOOKUP($A$2,'Footprint Summary'!$B$4:$R$26,COLUMNS('Footprint Summary'!$B$4:F$26)+1,0)*VLOOKUP($A$13,Assumptions!$A$4:$N$14,COLUMNS(Assumptions!$A$4:B$14)+1,0)</f>
        <v>1874.5823100000002</v>
      </c>
      <c r="G27" s="499">
        <f>VLOOKUP($A$2,'Footprint Summary'!$B$4:$R$26,COLUMNS('Footprint Summary'!$B$4:G$26)+1,0)*VLOOKUP($A$13,Assumptions!$A$4:$N$14,COLUMNS(Assumptions!$A$4:C$14)+1,0)</f>
        <v>880.34181899999999</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880.34181899999999</v>
      </c>
      <c r="R27" s="366"/>
      <c r="S27" s="357"/>
      <c r="T27" s="8"/>
      <c r="U27" s="8"/>
    </row>
    <row r="28" spans="1:21" s="7" customFormat="1" ht="19.5" customHeight="1" thickBot="1">
      <c r="E28" s="425" t="s">
        <v>321</v>
      </c>
      <c r="F28" s="434">
        <f>SUM(F20:F23)</f>
        <v>0</v>
      </c>
      <c r="G28" s="434">
        <f t="shared" ref="G28:P28" si="7">SUM(G20:G23)</f>
        <v>1077.031829</v>
      </c>
      <c r="H28" s="434">
        <f t="shared" si="7"/>
        <v>1928.8989800000002</v>
      </c>
      <c r="I28" s="434">
        <f t="shared" si="7"/>
        <v>1767.5425280000002</v>
      </c>
      <c r="J28" s="434">
        <f t="shared" si="7"/>
        <v>1677.372746</v>
      </c>
      <c r="K28" s="434">
        <f t="shared" si="7"/>
        <v>1494.6602930000001</v>
      </c>
      <c r="L28" s="434">
        <f t="shared" si="7"/>
        <v>1288.2189500000002</v>
      </c>
      <c r="M28" s="434">
        <f t="shared" si="7"/>
        <v>1105.5064970000001</v>
      </c>
      <c r="N28" s="434">
        <f t="shared" si="7"/>
        <v>967.87893500000007</v>
      </c>
      <c r="O28" s="434">
        <f t="shared" si="7"/>
        <v>880.082042</v>
      </c>
      <c r="P28" s="434">
        <f t="shared" si="7"/>
        <v>823.1327060000001</v>
      </c>
      <c r="Q28" s="434">
        <f t="shared" ref="Q28" si="8">SUM(Q20:Q24)</f>
        <v>13490.183856921261</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432699.87000000005</v>
      </c>
      <c r="G32" s="424">
        <f>VLOOKUP($A$2,'Costs Summary'!$B$154:$R$176,COLUMNS('Costs Summary'!$B$154:G$176)+1,0)</f>
        <v>257500.19403797167</v>
      </c>
      <c r="H32" s="424">
        <f>VLOOKUP($A$2,'Costs Summary'!$B$154:$R$176,COLUMNS('Costs Summary'!$B$154:H$176)+1,0)</f>
        <v>266512.70082930068</v>
      </c>
      <c r="I32" s="424">
        <f>VLOOKUP($A$2,'Costs Summary'!$B$154:$R$176,COLUMNS('Costs Summary'!$B$154:I$176)+1,0)</f>
        <v>275840.64535832615</v>
      </c>
      <c r="J32" s="424">
        <f>VLOOKUP($A$2,'Costs Summary'!$B$154:$R$176,COLUMNS('Costs Summary'!$B$154:J$176)+1,0)</f>
        <v>285495.06794586754</v>
      </c>
      <c r="K32" s="424">
        <f>VLOOKUP($A$2,'Costs Summary'!$B$154:$R$176,COLUMNS('Costs Summary'!$B$154:K$176)+1,0)</f>
        <v>295487.39532397292</v>
      </c>
      <c r="L32" s="424">
        <f>VLOOKUP($A$2,'Costs Summary'!$B$154:$R$176,COLUMNS('Costs Summary'!$B$154:L$176)+1,0)</f>
        <v>305829.45416031196</v>
      </c>
      <c r="M32" s="424">
        <f>VLOOKUP($A$2,'Costs Summary'!$B$154:$R$176,COLUMNS('Costs Summary'!$B$154:M$176)+1,0)</f>
        <v>316533.48505592288</v>
      </c>
      <c r="N32" s="424">
        <f>VLOOKUP($A$2,'Costs Summary'!$B$154:$R$176,COLUMNS('Costs Summary'!$B$154:N$176)+1,0)</f>
        <v>379840.18206710741</v>
      </c>
      <c r="O32" s="424">
        <f>VLOOKUP($A$2,'Costs Summary'!$B$154:$R$176,COLUMNS('Costs Summary'!$B$154:O$176)+1,0)</f>
        <v>393134.58843945619</v>
      </c>
      <c r="P32" s="424">
        <f>VLOOKUP($A$2,'Costs Summary'!$B$154:$R$176,COLUMNS('Costs Summary'!$B$154:P$176)+1,0)</f>
        <v>406894.29903483711</v>
      </c>
      <c r="Q32" s="433">
        <f>SUM(G32:P32)</f>
        <v>3183068.0122530744</v>
      </c>
      <c r="R32" s="366"/>
      <c r="S32" s="357"/>
      <c r="T32" s="8"/>
      <c r="U32" s="8"/>
    </row>
    <row r="33" spans="1:21" s="7" customFormat="1" ht="17.25" customHeight="1">
      <c r="A33" s="368" t="s">
        <v>284</v>
      </c>
      <c r="B33" s="368" t="s">
        <v>335</v>
      </c>
      <c r="C33" s="423"/>
      <c r="D33" s="423"/>
      <c r="E33" s="423"/>
      <c r="F33" s="424">
        <f>VLOOKUP($A$2,'Costs Summary'!$B$183:$R$205,COLUMNS('Costs Summary'!$B$183:F$205)+1,0)</f>
        <v>64459.194799999997</v>
      </c>
      <c r="G33" s="424">
        <f>VLOOKUP($A$2,'Costs Summary'!$B$183:$R$205,COLUMNS('Costs Summary'!$B$183:G$205)+1,0)</f>
        <v>86338.297580362618</v>
      </c>
      <c r="H33" s="424">
        <f>VLOOKUP($A$2,'Costs Summary'!$B$183:$R$205,COLUMNS('Costs Summary'!$B$183:H$205)+1,0)</f>
        <v>88928.446507773508</v>
      </c>
      <c r="I33" s="424">
        <f>VLOOKUP($A$2,'Costs Summary'!$B$183:$R$205,COLUMNS('Costs Summary'!$B$183:I$205)+1,0)</f>
        <v>91596.299903006715</v>
      </c>
      <c r="J33" s="424">
        <f>VLOOKUP($A$2,'Costs Summary'!$B$183:$R$205,COLUMNS('Costs Summary'!$B$183:J$205)+1,0)</f>
        <v>94344.188900096924</v>
      </c>
      <c r="K33" s="424">
        <f>VLOOKUP($A$2,'Costs Summary'!$B$183:$R$205,COLUMNS('Costs Summary'!$B$183:K$205)+1,0)</f>
        <v>97174.514567099832</v>
      </c>
      <c r="L33" s="424">
        <f>VLOOKUP($A$2,'Costs Summary'!$B$183:$R$205,COLUMNS('Costs Summary'!$B$183:L$205)+1,0)</f>
        <v>100089.75000411282</v>
      </c>
      <c r="M33" s="424">
        <f>VLOOKUP($A$2,'Costs Summary'!$B$183:$R$205,COLUMNS('Costs Summary'!$B$183:M$205)+1,0)</f>
        <v>103092.44250423621</v>
      </c>
      <c r="N33" s="424">
        <f>VLOOKUP($A$2,'Costs Summary'!$B$183:$R$205,COLUMNS('Costs Summary'!$B$183:N$205)+1,0)</f>
        <v>106185.21577936331</v>
      </c>
      <c r="O33" s="424">
        <f>VLOOKUP($A$2,'Costs Summary'!$B$183:$R$205,COLUMNS('Costs Summary'!$B$183:O$205)+1,0)</f>
        <v>109370.77225274421</v>
      </c>
      <c r="P33" s="424">
        <f>VLOOKUP($A$2,'Costs Summary'!$B$183:$R$205,COLUMNS('Costs Summary'!$B$183:P$205)+1,0)</f>
        <v>112651.89542032653</v>
      </c>
      <c r="Q33" s="433">
        <f>SUM(G33:P33)</f>
        <v>989771.82341912261</v>
      </c>
      <c r="R33" s="366"/>
      <c r="S33" s="357"/>
      <c r="T33" s="8"/>
      <c r="U33" s="8"/>
    </row>
    <row r="34" spans="1:21" s="7" customFormat="1" ht="17.25" customHeight="1">
      <c r="A34" s="368" t="s">
        <v>284</v>
      </c>
      <c r="B34" s="368" t="s">
        <v>336</v>
      </c>
      <c r="H34" s="424">
        <f>VLOOKUP($A$2,'Costs Summary'!$B$241:$R$263,COLUMNS('Costs Summary'!$B$241:H263)+1,0)</f>
        <v>11801.400600000001</v>
      </c>
      <c r="I34" s="424">
        <f>VLOOKUP($A$2,'Costs Summary'!$B$241:$R$263,COLUMNS('Costs Summary'!$B$241:I263)+1,0)</f>
        <v>11801.400600000001</v>
      </c>
      <c r="J34" s="424">
        <f>VLOOKUP($A$2,'Costs Summary'!$B$241:$R$263,COLUMNS('Costs Summary'!$B$241:J263)+1,0)</f>
        <v>11801.400600000001</v>
      </c>
      <c r="K34" s="424">
        <f>VLOOKUP($A$2,'Costs Summary'!$B$241:$R$263,COLUMNS('Costs Summary'!$B$241:K263)+1,0)</f>
        <v>11801.400600000001</v>
      </c>
      <c r="L34" s="424">
        <f>VLOOKUP($A$2,'Costs Summary'!$B$241:$R$263,COLUMNS('Costs Summary'!$B$241:L263)+1,0)</f>
        <v>11801.400600000001</v>
      </c>
      <c r="M34" s="424">
        <f>VLOOKUP($A$2,'Costs Summary'!$B$241:$R$263,COLUMNS('Costs Summary'!$B$241:M263)+1,0)</f>
        <v>11801.400600000001</v>
      </c>
      <c r="N34" s="424">
        <f>VLOOKUP($A$2,'Costs Summary'!$B$241:$R$263,COLUMNS('Costs Summary'!$B$241:N263)+1,0)</f>
        <v>11801.400600000001</v>
      </c>
      <c r="O34" s="424">
        <f>VLOOKUP($A$2,'Costs Summary'!$B$241:$R$263,COLUMNS('Costs Summary'!$B$241:O263)+1,0)</f>
        <v>11801.400600000001</v>
      </c>
      <c r="P34" s="424">
        <f>VLOOKUP($A$2,'Costs Summary'!$B$241:$R$263,COLUMNS('Costs Summary'!$B$241:P263)+1,0)</f>
        <v>11801.400600000001</v>
      </c>
      <c r="Q34" s="433">
        <f>SUM(G34:P34)</f>
        <v>106212.6054</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4345.1580508646994</v>
      </c>
      <c r="I35" s="424">
        <f>VLOOKUP($A$2,'Costs Summary'!$B$212:$R$234,COLUMNS('Costs Summary'!$B$212:I$234)+1,0)</f>
        <v>3913.9792434125998</v>
      </c>
      <c r="J35" s="424">
        <f>VLOOKUP($A$2,'Costs Summary'!$B$212:$R$234,COLUMNS('Costs Summary'!$B$212:J$234)+1,0)</f>
        <v>3482.8004359604993</v>
      </c>
      <c r="K35" s="424">
        <f>VLOOKUP($A$2,'Costs Summary'!$B$212:$R$234,COLUMNS('Costs Summary'!$B$212:K$234)+1,0)</f>
        <v>3051.6216285084001</v>
      </c>
      <c r="L35" s="424">
        <f>VLOOKUP($A$2,'Costs Summary'!$B$212:$R$234,COLUMNS('Costs Summary'!$B$212:L$234)+1,0)</f>
        <v>2620.4428210562996</v>
      </c>
      <c r="M35" s="424">
        <f>VLOOKUP($A$2,'Costs Summary'!$B$212:$R$234,COLUMNS('Costs Summary'!$B$212:M$234)+1,0)</f>
        <v>2189.2640136042</v>
      </c>
      <c r="N35" s="424">
        <f>VLOOKUP($A$2,'Costs Summary'!$B$212:$R$234,COLUMNS('Costs Summary'!$B$212:N$234)+1,0)</f>
        <v>1758.0852061520995</v>
      </c>
      <c r="O35" s="424">
        <f>VLOOKUP($A$2,'Costs Summary'!$B$212:$R$234,COLUMNS('Costs Summary'!$B$212:O$234)+1,0)</f>
        <v>1326.9063986999997</v>
      </c>
      <c r="P35" s="424">
        <f>VLOOKUP($A$2,'Costs Summary'!$B$212:$R$234,COLUMNS('Costs Summary'!$B$212:P$234)+1,0)</f>
        <v>1326.9063987</v>
      </c>
      <c r="Q35" s="433">
        <f>SUM(G35:P35)</f>
        <v>24015.164196958798</v>
      </c>
      <c r="R35" s="366"/>
      <c r="S35" s="357"/>
      <c r="T35" s="8"/>
      <c r="U35" s="8"/>
    </row>
    <row r="36" spans="1:21" s="7" customFormat="1" ht="17.25" customHeight="1" thickBot="1">
      <c r="A36" s="437" t="s">
        <v>338</v>
      </c>
      <c r="C36" s="423"/>
      <c r="D36" s="423"/>
      <c r="E36" s="368" t="s">
        <v>669</v>
      </c>
      <c r="F36" s="461">
        <f t="shared" ref="F36:Q36" si="10">SUM(F32:F35)</f>
        <v>497159.06480000005</v>
      </c>
      <c r="G36" s="461">
        <f t="shared" si="10"/>
        <v>343838.49161833432</v>
      </c>
      <c r="H36" s="461">
        <f t="shared" si="10"/>
        <v>371587.70598793885</v>
      </c>
      <c r="I36" s="461">
        <f t="shared" si="10"/>
        <v>383152.32510474545</v>
      </c>
      <c r="J36" s="461">
        <f t="shared" si="10"/>
        <v>395123.45788192499</v>
      </c>
      <c r="K36" s="461">
        <f t="shared" si="10"/>
        <v>407514.93211958115</v>
      </c>
      <c r="L36" s="461">
        <f t="shared" si="10"/>
        <v>420341.04758548108</v>
      </c>
      <c r="M36" s="461">
        <f t="shared" si="10"/>
        <v>433616.59217376332</v>
      </c>
      <c r="N36" s="461">
        <f t="shared" si="10"/>
        <v>499584.88365262281</v>
      </c>
      <c r="O36" s="461">
        <f t="shared" si="10"/>
        <v>515633.66769090039</v>
      </c>
      <c r="P36" s="461">
        <f t="shared" si="10"/>
        <v>532674.50145386369</v>
      </c>
      <c r="Q36" s="462">
        <f t="shared" si="10"/>
        <v>4303067.6052691555</v>
      </c>
      <c r="R36" s="366"/>
      <c r="S36" s="357"/>
      <c r="T36" s="8"/>
      <c r="U36" s="8"/>
    </row>
    <row r="37" spans="1:21" s="7" customFormat="1" ht="17.25" customHeight="1" thickTop="1" thickBot="1">
      <c r="C37" s="423"/>
      <c r="D37" s="423"/>
      <c r="E37" s="368" t="s">
        <v>340</v>
      </c>
      <c r="F37" s="468">
        <f>F36/(VLOOKUP($A$2,'Asset Attributes'!$B$3:$D$25,3,0))</f>
        <v>12.051464494703417</v>
      </c>
      <c r="G37" s="468">
        <f>G36/(VLOOKUP($A$2,'Asset Attributes'!$B$3:$D$25,3,0))</f>
        <v>8.3348724121478277</v>
      </c>
      <c r="H37" s="468">
        <f>H36/(VLOOKUP($A$2,'Asset Attributes'!$B$3:$D$25,3,0))</f>
        <v>9.0075317186129222</v>
      </c>
      <c r="I37" s="468">
        <f>I36/(VLOOKUP($A$2,'Asset Attributes'!$B$3:$D$25,3,0))</f>
        <v>9.2878657335162398</v>
      </c>
      <c r="J37" s="468">
        <f>J36/(VLOOKUP($A$2,'Asset Attributes'!$B$3:$D$25,3,0))</f>
        <v>9.5780539083684815</v>
      </c>
      <c r="K37" s="468">
        <f>K36/(VLOOKUP($A$2,'Asset Attributes'!$B$3:$D$25,3,0))</f>
        <v>9.8784314381882812</v>
      </c>
      <c r="L37" s="468">
        <f>L36/(VLOOKUP($A$2,'Asset Attributes'!$B$3:$D$25,3,0))</f>
        <v>10.189344958802538</v>
      </c>
      <c r="M37" s="468">
        <f>M36/(VLOOKUP($A$2,'Asset Attributes'!$B$3:$D$25,3,0))</f>
        <v>10.511152938544186</v>
      </c>
      <c r="N37" s="468">
        <f>N36/(VLOOKUP($A$2,'Asset Attributes'!$B$3:$D$25,3,0))</f>
        <v>12.110267947849195</v>
      </c>
      <c r="O37" s="468">
        <f>O36/(VLOOKUP($A$2,'Asset Attributes'!$B$3:$D$25,3,0))</f>
        <v>12.499301085761045</v>
      </c>
      <c r="P37" s="468">
        <f>P36/(VLOOKUP($A$2,'Asset Attributes'!$B$3:$D$25,3,0))</f>
        <v>12.912382165027118</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NSW3</v>
      </c>
      <c r="B39" s="368" t="s">
        <v>342</v>
      </c>
      <c r="C39" s="423"/>
      <c r="D39" s="423"/>
      <c r="E39" s="367"/>
      <c r="F39" s="424">
        <f>VLOOKUP($A$2,'Costs Summary'!$B$4:$R$26,COLUMNS('Costs Summary'!$B$4:F$26)+1,0)</f>
        <v>432699.87000000005</v>
      </c>
      <c r="G39" s="424">
        <f>VLOOKUP($A$2,'Costs Summary'!$B$4:$R$26,COLUMNS('Costs Summary'!$B$4:G$26)+1,0)</f>
        <v>257500.19403797167</v>
      </c>
      <c r="H39" s="424">
        <f>VLOOKUP($A$2,'Costs Summary'!$B$4:$R$26,COLUMNS('Costs Summary'!$B$4:H$26)+1,0)</f>
        <v>266512.70082930068</v>
      </c>
      <c r="I39" s="424">
        <f>VLOOKUP($A$2,'Costs Summary'!$B$4:$R$26,COLUMNS('Costs Summary'!$B$4:I$26)+1,0)</f>
        <v>275840.64535832615</v>
      </c>
      <c r="J39" s="424">
        <f>VLOOKUP($A$2,'Costs Summary'!$B$4:$R$26,COLUMNS('Costs Summary'!$B$4:J$26)+1,0)</f>
        <v>285495.06794586754</v>
      </c>
      <c r="K39" s="424">
        <f>VLOOKUP($A$2,'Costs Summary'!$B$4:$R$26,COLUMNS('Costs Summary'!$B$4:K$26)+1,0)</f>
        <v>295487.39532397292</v>
      </c>
      <c r="L39" s="424">
        <f>VLOOKUP($A$2,'Costs Summary'!$B$4:$R$26,COLUMNS('Costs Summary'!$B$4:L$26)+1,0)</f>
        <v>305829.45416031196</v>
      </c>
      <c r="M39" s="424">
        <f>VLOOKUP($A$2,'Costs Summary'!$B$4:$R$26,COLUMNS('Costs Summary'!$B$4:M$26)+1,0)</f>
        <v>316533.48505592288</v>
      </c>
      <c r="N39" s="424">
        <f>VLOOKUP($A$2,'Costs Summary'!$B$4:$R$26,COLUMNS('Costs Summary'!$B$4:N$26)+1,0)</f>
        <v>379840.18206710741</v>
      </c>
      <c r="O39" s="424">
        <f>VLOOKUP($A$2,'Costs Summary'!$B$4:$R$26,COLUMNS('Costs Summary'!$B$4:O$26)+1,0)</f>
        <v>393134.58843945619</v>
      </c>
      <c r="P39" s="424">
        <f>VLOOKUP($A$2,'Costs Summary'!$B$4:$R$26,COLUMNS('Costs Summary'!$B$4:P$26)+1,0)</f>
        <v>406894.29903483711</v>
      </c>
      <c r="Q39" s="433">
        <f>SUM(G39:P39)</f>
        <v>3183068.0122530744</v>
      </c>
      <c r="R39" s="366"/>
      <c r="S39" s="357"/>
      <c r="T39" s="8"/>
      <c r="U39" s="8"/>
    </row>
    <row r="40" spans="1:21" s="7" customFormat="1" ht="17.25" customHeight="1">
      <c r="A40" s="368" t="s">
        <v>284</v>
      </c>
      <c r="B40" s="368" t="s">
        <v>343</v>
      </c>
      <c r="C40" s="423"/>
      <c r="D40" s="423"/>
      <c r="E40" s="423"/>
      <c r="F40" s="424">
        <f>VLOOKUP($A$2,'Costs Summary'!$B$33:$R$55,COLUMNS('Costs Summary'!$B$33:F$55)+1,0)</f>
        <v>64459.194799999997</v>
      </c>
      <c r="G40" s="424">
        <f>VLOOKUP($A$2,'Costs Summary'!$B$33:$R$55,COLUMNS('Costs Summary'!$B$33:G$55)+1,0)</f>
        <v>86338.297580362618</v>
      </c>
      <c r="H40" s="424">
        <f>VLOOKUP($A$2,'Costs Summary'!$B$33:$R$55,COLUMNS('Costs Summary'!$B$33:H$55)+1,0)</f>
        <v>88928.446507773508</v>
      </c>
      <c r="I40" s="424">
        <f>VLOOKUP($A$2,'Costs Summary'!$B$33:$R$55,COLUMNS('Costs Summary'!$B$33:I$55)+1,0)</f>
        <v>91596.299903006715</v>
      </c>
      <c r="J40" s="424">
        <f>VLOOKUP($A$2,'Costs Summary'!$B$33:$R$55,COLUMNS('Costs Summary'!$B$33:J$55)+1,0)</f>
        <v>94344.188900096924</v>
      </c>
      <c r="K40" s="424">
        <f>VLOOKUP($A$2,'Costs Summary'!$B$33:$R$55,COLUMNS('Costs Summary'!$B$33:K$55)+1,0)</f>
        <v>97174.514567099832</v>
      </c>
      <c r="L40" s="424">
        <f>VLOOKUP($A$2,'Costs Summary'!$B$33:$R$55,COLUMNS('Costs Summary'!$B$33:L$55)+1,0)</f>
        <v>100089.75000411282</v>
      </c>
      <c r="M40" s="424">
        <f>VLOOKUP($A$2,'Costs Summary'!$B$33:$R$55,COLUMNS('Costs Summary'!$B$33:M$55)+1,0)</f>
        <v>103092.44250423621</v>
      </c>
      <c r="N40" s="424">
        <f>VLOOKUP($A$2,'Costs Summary'!$B$33:$R$55,COLUMNS('Costs Summary'!$B$33:N$55)+1,0)</f>
        <v>106185.21577936331</v>
      </c>
      <c r="O40" s="424">
        <f>VLOOKUP($A$2,'Costs Summary'!$B$33:$R$55,COLUMNS('Costs Summary'!$B$33:O$55)+1,0)</f>
        <v>109370.77225274421</v>
      </c>
      <c r="P40" s="424">
        <f>VLOOKUP($A$2,'Costs Summary'!$B$33:$R$55,COLUMNS('Costs Summary'!$B$33:P$55)+1,0)</f>
        <v>112651.89542032653</v>
      </c>
      <c r="Q40" s="433">
        <f>SUM(G40:P40)</f>
        <v>989771.82341912261</v>
      </c>
      <c r="R40" s="366"/>
      <c r="S40" s="357"/>
      <c r="T40" s="8"/>
      <c r="U40" s="8"/>
    </row>
    <row r="41" spans="1:21" s="7" customFormat="1" ht="17.25" customHeight="1">
      <c r="A41" s="368" t="s">
        <v>284</v>
      </c>
      <c r="B41" s="368" t="s">
        <v>336</v>
      </c>
      <c r="H41" s="424">
        <f>VLOOKUP($A$2,'Costs Summary'!$B$125:$R$147,COLUMNS('Costs Summary'!$B$125:H$147)+1,0)</f>
        <v>11801.400600000001</v>
      </c>
      <c r="I41" s="424">
        <f>VLOOKUP($A$2,'Costs Summary'!$B$125:$R$147,COLUMNS('Costs Summary'!$B$125:I$147)+1,0)</f>
        <v>11801.400600000001</v>
      </c>
      <c r="J41" s="424">
        <f>VLOOKUP($A$2,'Costs Summary'!$B$125:$R$147,COLUMNS('Costs Summary'!$B$125:J$147)+1,0)</f>
        <v>11801.400600000001</v>
      </c>
      <c r="K41" s="424">
        <f>VLOOKUP($A$2,'Costs Summary'!$B$125:$R$147,COLUMNS('Costs Summary'!$B$125:K$147)+1,0)</f>
        <v>11801.400600000001</v>
      </c>
      <c r="L41" s="424">
        <f>VLOOKUP($A$2,'Costs Summary'!$B$125:$R$147,COLUMNS('Costs Summary'!$B$125:L$147)+1,0)</f>
        <v>11801.400600000001</v>
      </c>
      <c r="M41" s="424">
        <f>VLOOKUP($A$2,'Costs Summary'!$B$125:$R$147,COLUMNS('Costs Summary'!$B$125:M$147)+1,0)</f>
        <v>11801.400600000001</v>
      </c>
      <c r="N41" s="424">
        <f>VLOOKUP($A$2,'Costs Summary'!$B$125:$R$147,COLUMNS('Costs Summary'!$B$125:N$147)+1,0)</f>
        <v>11801.400600000001</v>
      </c>
      <c r="O41" s="424">
        <f>VLOOKUP($A$2,'Costs Summary'!$B$125:$R$147,COLUMNS('Costs Summary'!$B$125:O$147)+1,0)</f>
        <v>11801.400600000001</v>
      </c>
      <c r="P41" s="424">
        <f>VLOOKUP($A$2,'Costs Summary'!$B$125:$R$147,COLUMNS('Costs Summary'!$B$125:P$147)+1,0)</f>
        <v>11801.400600000001</v>
      </c>
      <c r="Q41" s="433">
        <f t="shared" ref="Q41:Q42" si="11">SUM(G41:P41)</f>
        <v>106212.6054</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4345.1580508646994</v>
      </c>
      <c r="I42" s="424">
        <f>VLOOKUP($A$2,'Costs Summary'!$B$212:$R$234,COLUMNS('Costs Summary'!$B$212:I$234)+1,0)</f>
        <v>3913.9792434125998</v>
      </c>
      <c r="J42" s="424">
        <f>VLOOKUP($A$2,'Costs Summary'!$B$212:$R$234,COLUMNS('Costs Summary'!$B$212:J$234)+1,0)</f>
        <v>3482.8004359604993</v>
      </c>
      <c r="K42" s="424">
        <f>VLOOKUP($A$2,'Costs Summary'!$B$212:$R$234,COLUMNS('Costs Summary'!$B$212:K$234)+1,0)</f>
        <v>3051.6216285084001</v>
      </c>
      <c r="L42" s="424">
        <f>VLOOKUP($A$2,'Costs Summary'!$B$212:$R$234,COLUMNS('Costs Summary'!$B$212:L$234)+1,0)</f>
        <v>2620.4428210562996</v>
      </c>
      <c r="M42" s="424">
        <f>VLOOKUP($A$2,'Costs Summary'!$B$212:$R$234,COLUMNS('Costs Summary'!$B$212:M$234)+1,0)</f>
        <v>2189.2640136042</v>
      </c>
      <c r="N42" s="424">
        <f>VLOOKUP($A$2,'Costs Summary'!$B$212:$R$234,COLUMNS('Costs Summary'!$B$212:N$234)+1,0)</f>
        <v>1758.0852061520995</v>
      </c>
      <c r="O42" s="424">
        <f>VLOOKUP($A$2,'Costs Summary'!$B$212:$R$234,COLUMNS('Costs Summary'!$B$212:O$234)+1,0)</f>
        <v>1326.9063986999997</v>
      </c>
      <c r="P42" s="424">
        <f>VLOOKUP($A$2,'Costs Summary'!$B$212:$R$234,COLUMNS('Costs Summary'!$B$212:P$234)+1,0)</f>
        <v>1326.9063987</v>
      </c>
      <c r="Q42" s="433">
        <f t="shared" si="11"/>
        <v>24015.164196958798</v>
      </c>
      <c r="R42" s="366"/>
      <c r="S42" s="357"/>
      <c r="T42" s="8"/>
      <c r="U42" s="8"/>
    </row>
    <row r="43" spans="1:21" s="7" customFormat="1" ht="17.25" customHeight="1" thickBot="1">
      <c r="A43" s="437" t="s">
        <v>338</v>
      </c>
      <c r="E43" s="368" t="s">
        <v>669</v>
      </c>
      <c r="F43" s="461">
        <f t="shared" ref="F43:Q43" si="12">SUM(F39:F42)</f>
        <v>497159.06480000005</v>
      </c>
      <c r="G43" s="461">
        <f t="shared" si="12"/>
        <v>343838.49161833432</v>
      </c>
      <c r="H43" s="461">
        <f t="shared" si="12"/>
        <v>371587.70598793885</v>
      </c>
      <c r="I43" s="461">
        <f t="shared" si="12"/>
        <v>383152.32510474545</v>
      </c>
      <c r="J43" s="461">
        <f t="shared" si="12"/>
        <v>395123.45788192499</v>
      </c>
      <c r="K43" s="461">
        <f t="shared" si="12"/>
        <v>407514.93211958115</v>
      </c>
      <c r="L43" s="461">
        <f t="shared" si="12"/>
        <v>420341.04758548108</v>
      </c>
      <c r="M43" s="461">
        <f t="shared" si="12"/>
        <v>433616.59217376332</v>
      </c>
      <c r="N43" s="461">
        <f t="shared" si="12"/>
        <v>499584.88365262281</v>
      </c>
      <c r="O43" s="461">
        <f t="shared" si="12"/>
        <v>515633.66769090039</v>
      </c>
      <c r="P43" s="461">
        <f t="shared" si="12"/>
        <v>532674.50145386369</v>
      </c>
      <c r="Q43" s="462">
        <f t="shared" si="12"/>
        <v>4303067.6052691555</v>
      </c>
      <c r="R43" s="366"/>
      <c r="S43" s="357"/>
      <c r="T43" s="8"/>
      <c r="U43" s="8"/>
    </row>
    <row r="44" spans="1:21" s="7" customFormat="1" ht="17.25" customHeight="1" thickTop="1" thickBot="1">
      <c r="E44" s="368" t="s">
        <v>340</v>
      </c>
      <c r="F44" s="468">
        <f>F43/(VLOOKUP($A$2,'Asset Attributes'!$B$3:$D$25,3,0))</f>
        <v>12.051464494703417</v>
      </c>
      <c r="G44" s="468">
        <f>G43/(VLOOKUP($A$2,'Asset Attributes'!$B$3:$D$25,3,0))</f>
        <v>8.3348724121478277</v>
      </c>
      <c r="H44" s="468">
        <f>H43/(VLOOKUP($A$2,'Asset Attributes'!$B$3:$D$25,3,0))</f>
        <v>9.0075317186129222</v>
      </c>
      <c r="I44" s="468">
        <f>I43/(VLOOKUP($A$2,'Asset Attributes'!$B$3:$D$25,3,0))</f>
        <v>9.2878657335162398</v>
      </c>
      <c r="J44" s="468">
        <f>J43/(VLOOKUP($A$2,'Asset Attributes'!$B$3:$D$25,3,0))</f>
        <v>9.5780539083684815</v>
      </c>
      <c r="K44" s="468">
        <f>K43/(VLOOKUP($A$2,'Asset Attributes'!$B$3:$D$25,3,0))</f>
        <v>9.8784314381882812</v>
      </c>
      <c r="L44" s="468">
        <f>L43/(VLOOKUP($A$2,'Asset Attributes'!$B$3:$D$25,3,0))</f>
        <v>10.189344958802538</v>
      </c>
      <c r="M44" s="468">
        <f>M43/(VLOOKUP($A$2,'Asset Attributes'!$B$3:$D$25,3,0))</f>
        <v>10.511152938544186</v>
      </c>
      <c r="N44" s="468">
        <f>N43/(VLOOKUP($A$2,'Asset Attributes'!$B$3:$D$25,3,0))</f>
        <v>12.110267947849195</v>
      </c>
      <c r="O44" s="468">
        <f>O43/(VLOOKUP($A$2,'Asset Attributes'!$B$3:$D$25,3,0))</f>
        <v>12.499301085761045</v>
      </c>
      <c r="P44" s="468">
        <f>P43/(VLOOKUP($A$2,'Asset Attributes'!$B$3:$D$25,3,0))</f>
        <v>12.912382165027118</v>
      </c>
      <c r="Q44" s="460">
        <f>Q43/(VLOOKUP($A$2,'Asset Attributes'!$B$3:$D$25,3,0))</f>
        <v>104.30920430681782</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3">G43-G36</f>
        <v>0</v>
      </c>
      <c r="H46" s="461">
        <f t="shared" si="13"/>
        <v>0</v>
      </c>
      <c r="I46" s="461">
        <f t="shared" si="13"/>
        <v>0</v>
      </c>
      <c r="J46" s="461">
        <f t="shared" si="13"/>
        <v>0</v>
      </c>
      <c r="K46" s="461">
        <f t="shared" si="13"/>
        <v>0</v>
      </c>
      <c r="L46" s="461">
        <f t="shared" si="13"/>
        <v>0</v>
      </c>
      <c r="M46" s="461">
        <f t="shared" si="13"/>
        <v>0</v>
      </c>
      <c r="N46" s="461">
        <f t="shared" si="13"/>
        <v>0</v>
      </c>
      <c r="O46" s="461">
        <f t="shared" si="13"/>
        <v>0</v>
      </c>
      <c r="P46" s="461">
        <f t="shared" si="13"/>
        <v>0</v>
      </c>
      <c r="Q46" s="462">
        <f>SUM(F46:P46)</f>
        <v>0</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0</v>
      </c>
      <c r="M47" s="468">
        <f>M46/(VLOOKUP($A$2,'Asset Attributes'!$B$3:$D$25,3,0))</f>
        <v>0</v>
      </c>
      <c r="N47" s="468">
        <f>N46/(VLOOKUP($A$2,'Asset Attributes'!$B$3:$D$25,3,0))</f>
        <v>0</v>
      </c>
      <c r="O47" s="468">
        <f>O46/(VLOOKUP($A$2,'Asset Attributes'!$B$3:$D$25,3,0))</f>
        <v>0</v>
      </c>
      <c r="P47" s="468">
        <f>P46/(VLOOKUP($A$2,'Asset Attributes'!$B$3:$D$25,3,0))</f>
        <v>0</v>
      </c>
      <c r="Q47" s="460">
        <f>Q46/(VLOOKUP($A$2,'Asset Attributes'!$B$3:$D$25,3,0))</f>
        <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4">G115</f>
        <v>0</v>
      </c>
      <c r="H49" s="464">
        <f t="shared" si="14"/>
        <v>0</v>
      </c>
      <c r="I49" s="464">
        <f t="shared" si="14"/>
        <v>0</v>
      </c>
      <c r="J49" s="464">
        <f t="shared" si="14"/>
        <v>0</v>
      </c>
      <c r="K49" s="464">
        <f t="shared" si="14"/>
        <v>0</v>
      </c>
      <c r="L49" s="464">
        <f t="shared" si="14"/>
        <v>0</v>
      </c>
      <c r="M49" s="464">
        <f t="shared" si="14"/>
        <v>0</v>
      </c>
      <c r="N49" s="464">
        <f t="shared" si="14"/>
        <v>0</v>
      </c>
      <c r="O49" s="464">
        <f t="shared" si="14"/>
        <v>0</v>
      </c>
      <c r="P49" s="464">
        <f t="shared" si="14"/>
        <v>0</v>
      </c>
      <c r="Q49" s="465">
        <f>+SUM(F49:P49)</f>
        <v>0</v>
      </c>
      <c r="R49" s="366"/>
      <c r="S49" s="357"/>
      <c r="T49" s="8"/>
      <c r="U49" s="8"/>
      <c r="V49" s="8"/>
      <c r="W49" s="8"/>
      <c r="X49" s="8"/>
    </row>
    <row r="50" spans="1:24" s="7" customFormat="1" ht="17.25" customHeight="1">
      <c r="A50" s="9"/>
      <c r="B50" s="368"/>
      <c r="C50" s="2"/>
      <c r="D50" s="2"/>
      <c r="E50" s="459" t="s">
        <v>348</v>
      </c>
      <c r="F50" s="466">
        <f>F46</f>
        <v>0</v>
      </c>
      <c r="G50" s="466">
        <f t="shared" ref="G50:P50" si="15">G46</f>
        <v>0</v>
      </c>
      <c r="H50" s="466">
        <f t="shared" si="15"/>
        <v>0</v>
      </c>
      <c r="I50" s="466">
        <f t="shared" si="15"/>
        <v>0</v>
      </c>
      <c r="J50" s="466">
        <f t="shared" si="15"/>
        <v>0</v>
      </c>
      <c r="K50" s="466">
        <f t="shared" si="15"/>
        <v>0</v>
      </c>
      <c r="L50" s="466">
        <f t="shared" si="15"/>
        <v>0</v>
      </c>
      <c r="M50" s="466">
        <f t="shared" si="15"/>
        <v>0</v>
      </c>
      <c r="N50" s="466">
        <f t="shared" si="15"/>
        <v>0</v>
      </c>
      <c r="O50" s="466">
        <f t="shared" si="15"/>
        <v>0</v>
      </c>
      <c r="P50" s="466">
        <f t="shared" si="15"/>
        <v>0</v>
      </c>
      <c r="Q50" s="467">
        <f>Q46</f>
        <v>0</v>
      </c>
      <c r="R50" s="366"/>
      <c r="S50" s="357"/>
      <c r="T50" s="8"/>
      <c r="U50" s="8"/>
      <c r="V50" s="8"/>
      <c r="W50" s="8"/>
      <c r="X50" s="8"/>
    </row>
    <row r="51" spans="1:24" s="7" customFormat="1" ht="17.25" customHeight="1">
      <c r="A51" s="9"/>
      <c r="B51" s="368"/>
      <c r="C51" s="2"/>
      <c r="D51" s="2"/>
      <c r="E51" s="540" t="s">
        <v>670</v>
      </c>
      <c r="F51" s="541">
        <f>-1*F50</f>
        <v>0</v>
      </c>
      <c r="G51" s="541">
        <f t="shared" ref="G51:O51" si="16">-1*G50</f>
        <v>0</v>
      </c>
      <c r="H51" s="541">
        <f t="shared" si="16"/>
        <v>0</v>
      </c>
      <c r="I51" s="541">
        <f t="shared" si="16"/>
        <v>0</v>
      </c>
      <c r="J51" s="541">
        <f t="shared" si="16"/>
        <v>0</v>
      </c>
      <c r="K51" s="541">
        <f t="shared" si="16"/>
        <v>0</v>
      </c>
      <c r="L51" s="541">
        <f t="shared" si="16"/>
        <v>0</v>
      </c>
      <c r="M51" s="541">
        <f t="shared" si="16"/>
        <v>0</v>
      </c>
      <c r="N51" s="541">
        <f t="shared" si="16"/>
        <v>0</v>
      </c>
      <c r="O51" s="541">
        <f t="shared" si="16"/>
        <v>0</v>
      </c>
      <c r="P51" s="541">
        <f>-1*P50</f>
        <v>0</v>
      </c>
      <c r="Q51" s="537">
        <f>Q50/((VLOOKUP($A$2,'Asset Attributes'!$B$3:$D$25,3,0))*10)</f>
        <v>0</v>
      </c>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780</v>
      </c>
      <c r="D55" s="10"/>
      <c r="E55" s="441" t="s">
        <v>205</v>
      </c>
      <c r="F55" s="200" t="s">
        <v>188</v>
      </c>
      <c r="G55" s="200" t="str">
        <f>G67</f>
        <v>CURRENT</v>
      </c>
      <c r="H55" s="200" t="str">
        <f t="shared" ref="H55:P55" si="17">H67</f>
        <v>FY25</v>
      </c>
      <c r="I55" s="200" t="str">
        <f t="shared" si="17"/>
        <v>FY26</v>
      </c>
      <c r="J55" s="200" t="str">
        <f t="shared" si="17"/>
        <v>FY27</v>
      </c>
      <c r="K55" s="200" t="str">
        <f t="shared" si="17"/>
        <v>FY28</v>
      </c>
      <c r="L55" s="200" t="str">
        <f t="shared" si="17"/>
        <v>FY29</v>
      </c>
      <c r="M55" s="200" t="str">
        <f t="shared" si="17"/>
        <v>FY30</v>
      </c>
      <c r="N55" s="200" t="str">
        <f t="shared" si="17"/>
        <v>FY31</v>
      </c>
      <c r="O55" s="200" t="str">
        <f t="shared" si="17"/>
        <v>FY32</v>
      </c>
      <c r="P55" s="200" t="str">
        <f t="shared" si="17"/>
        <v>FY33</v>
      </c>
      <c r="Q55" s="200" t="s">
        <v>84</v>
      </c>
      <c r="R55" s="992" t="s">
        <v>354</v>
      </c>
      <c r="S55" s="992"/>
      <c r="T55" s="992" t="s">
        <v>355</v>
      </c>
      <c r="U55" s="992"/>
      <c r="V55" s="992" t="s">
        <v>356</v>
      </c>
      <c r="W55" s="992"/>
      <c r="X55" s="8"/>
    </row>
    <row r="56" spans="1:24" ht="25.5" customHeight="1" thickTop="1">
      <c r="A56" s="438" t="s">
        <v>357</v>
      </c>
      <c r="B56" s="11"/>
      <c r="C56" s="702">
        <v>45016</v>
      </c>
      <c r="D56" s="159"/>
      <c r="E56" s="487" t="str">
        <f>A2</f>
        <v>388 George Street</v>
      </c>
      <c r="F56" s="440">
        <f t="shared" ref="F56:P56" si="18">F272</f>
        <v>5.0456962207213678</v>
      </c>
      <c r="G56" s="440">
        <f t="shared" si="18"/>
        <v>5.0456962207213678</v>
      </c>
      <c r="H56" s="440">
        <f t="shared" si="18"/>
        <v>5.0456962207213678</v>
      </c>
      <c r="I56" s="440">
        <f t="shared" si="18"/>
        <v>5.0456962207213678</v>
      </c>
      <c r="J56" s="440">
        <f t="shared" si="18"/>
        <v>5.0456962207213678</v>
      </c>
      <c r="K56" s="440">
        <f t="shared" si="18"/>
        <v>5.0456962207213678</v>
      </c>
      <c r="L56" s="440">
        <f t="shared" si="18"/>
        <v>5.0456962207213678</v>
      </c>
      <c r="M56" s="440">
        <f t="shared" si="18"/>
        <v>5.0456962207213678</v>
      </c>
      <c r="N56" s="440">
        <f t="shared" si="18"/>
        <v>5.0456962207213678</v>
      </c>
      <c r="O56" s="440">
        <f t="shared" si="18"/>
        <v>5.0456962207213678</v>
      </c>
      <c r="P56" s="440">
        <f t="shared" si="18"/>
        <v>5.0456962207213678</v>
      </c>
      <c r="Q56" s="470">
        <f>IF(E56="",0,P56-F56)</f>
        <v>0</v>
      </c>
      <c r="R56" s="473" t="s">
        <v>358</v>
      </c>
      <c r="S56" s="478" t="s">
        <v>18</v>
      </c>
      <c r="T56" s="473" t="s">
        <v>358</v>
      </c>
      <c r="U56" s="478" t="s">
        <v>20</v>
      </c>
      <c r="V56" s="473" t="s">
        <v>358</v>
      </c>
      <c r="W56" s="479" t="str">
        <f>IF(W58=1,"Complete",IF(W60&lt;&gt;0,"Complete","Outstanding"))</f>
        <v>Complete</v>
      </c>
      <c r="X56" s="14"/>
    </row>
    <row r="57" spans="1:24" ht="25.5" customHeight="1">
      <c r="A57" s="438" t="s">
        <v>6</v>
      </c>
      <c r="C57" s="275" t="s">
        <v>118</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0</v>
      </c>
      <c r="T57" s="473" t="s">
        <v>669</v>
      </c>
      <c r="U57" s="479" t="str">
        <f>IF(U56="Underway","",S115)</f>
        <v/>
      </c>
      <c r="V57" s="473" t="s">
        <v>361</v>
      </c>
      <c r="W57" s="478" t="s">
        <v>680</v>
      </c>
      <c r="X57" s="14"/>
    </row>
    <row r="58" spans="1:24" ht="25.5" customHeight="1">
      <c r="A58" s="438" t="s">
        <v>363</v>
      </c>
      <c r="B58" s="14"/>
      <c r="C58" s="275" t="s">
        <v>364</v>
      </c>
      <c r="D58" s="160"/>
      <c r="E58" s="488" t="str">
        <f>IF(VLOOKUP($A$2,'Asset Attributes'!B3:G25,6,0)&gt;0.001,"IOM","")</f>
        <v/>
      </c>
      <c r="F58" s="439" t="str">
        <f>IF($E$58="IOM",SUMPRODUCT('Footprint Summary'!G153:G175,'Footprint Summary'!$C153:$C175,'Footprint Summary'!$F153:$F175)/SUMPRODUCT('Footprint Summary'!$C153:$C175,'Footprint Summary'!$F153:$F175),"")</f>
        <v/>
      </c>
      <c r="G58" s="439" t="str">
        <f>IF($E$58="IOM",SUMPRODUCT('Footprint Summary'!H153:H175,'Footprint Summary'!$C153:$C175,'Footprint Summary'!$F153:$F175)/SUMPRODUCT('Footprint Summary'!$C153:$C175,'Footprint Summary'!$F153:$F175),"")</f>
        <v/>
      </c>
      <c r="H58" s="439" t="str">
        <f>IF($E$58="IOM",SUMPRODUCT('Footprint Summary'!I153:I175,'Footprint Summary'!$C153:$C175,'Footprint Summary'!$F153:$F175)/SUMPRODUCT('Footprint Summary'!$C153:$C175,'Footprint Summary'!$F153:$F175),"")</f>
        <v/>
      </c>
      <c r="I58" s="439" t="str">
        <f>IF($E$58="IOM",SUMPRODUCT('Footprint Summary'!J153:J175,'Footprint Summary'!$C153:$C175,'Footprint Summary'!$F153:$F175)/SUMPRODUCT('Footprint Summary'!$C153:$C175,'Footprint Summary'!$F153:$F175),"")</f>
        <v/>
      </c>
      <c r="J58" s="439" t="str">
        <f>IF($E$58="IOM",SUMPRODUCT('Footprint Summary'!K153:K175,'Footprint Summary'!$C153:$C175,'Footprint Summary'!$F153:$F175)/SUMPRODUCT('Footprint Summary'!$C153:$C175,'Footprint Summary'!$F153:$F175),"")</f>
        <v/>
      </c>
      <c r="K58" s="439" t="str">
        <f>IF($E$58="IOM",SUMPRODUCT('Footprint Summary'!L153:L175,'Footprint Summary'!$C153:$C175,'Footprint Summary'!$F153:$F175)/SUMPRODUCT('Footprint Summary'!$C153:$C175,'Footprint Summary'!$F153:$F175),"")</f>
        <v/>
      </c>
      <c r="L58" s="439" t="str">
        <f>IF($E$58="IOM",SUMPRODUCT('Footprint Summary'!M153:M175,'Footprint Summary'!$C153:$C175,'Footprint Summary'!$F153:$F175)/SUMPRODUCT('Footprint Summary'!$C153:$C175,'Footprint Summary'!$F153:$F175),"")</f>
        <v/>
      </c>
      <c r="M58" s="439" t="str">
        <f>IF($E$58="IOM",SUMPRODUCT('Footprint Summary'!N153:N175,'Footprint Summary'!$C153:$C175,'Footprint Summary'!$F153:$F175)/SUMPRODUCT('Footprint Summary'!$C153:$C175,'Footprint Summary'!$F153:$F175),"")</f>
        <v/>
      </c>
      <c r="N58" s="439" t="str">
        <f>IF($E$58="IOM",SUMPRODUCT('Footprint Summary'!O153:O175,'Footprint Summary'!$C153:$C175,'Footprint Summary'!$F153:$F175)/SUMPRODUCT('Footprint Summary'!$C153:$C175,'Footprint Summary'!$F153:$F175),"")</f>
        <v/>
      </c>
      <c r="O58" s="439" t="str">
        <f>IF($E$58="IOM",SUMPRODUCT('Footprint Summary'!P153:P175,'Footprint Summary'!$C153:$C175,'Footprint Summary'!$F153:$F175)/SUMPRODUCT('Footprint Summary'!$C153:$C175,'Footprint Summary'!$F153:$F175),"")</f>
        <v/>
      </c>
      <c r="P58" s="439" t="str">
        <f>IF($E$58="IOM",SUMPRODUCT('Footprint Summary'!Q153:Q175,'Footprint Summary'!$C153:$C175,'Footprint Summary'!$F153:$F175)/SUMPRODUCT('Footprint Summary'!$C153:$C175,'Footprint Summary'!$F153:$F175),"")</f>
        <v/>
      </c>
      <c r="Q58" s="470" t="str">
        <f>IF(E58="","",P58-F58)</f>
        <v/>
      </c>
      <c r="R58" s="482" t="s">
        <v>366</v>
      </c>
      <c r="S58" s="479">
        <f>IF(S56="Underway","",-1*(1000*AL214*D6+AM214*D8))</f>
        <v>0</v>
      </c>
      <c r="T58" s="473" t="s">
        <v>367</v>
      </c>
      <c r="U58" s="478" t="str">
        <f>IF(U56="Underway","",-1*S64)</f>
        <v/>
      </c>
      <c r="V58" s="473" t="s">
        <v>368</v>
      </c>
      <c r="W58" s="478">
        <v>1</v>
      </c>
      <c r="X58" s="14"/>
    </row>
    <row r="59" spans="1:24" ht="25.5" customHeight="1">
      <c r="A59" s="438" t="s">
        <v>369</v>
      </c>
      <c r="B59" s="14"/>
      <c r="C59" s="443">
        <v>2000</v>
      </c>
      <c r="D59" s="161"/>
      <c r="E59" s="488" t="str">
        <f>IF(VLOOKUP($A$2,'Asset Attributes'!B3:G25,5,0)&gt;0.001,"IGO","")</f>
        <v>IGO</v>
      </c>
      <c r="F59" s="439">
        <f>IF($E$59="IGO",SUMPRODUCT('Footprint Summary'!G153:G175,'Footprint Summary'!$C153:$C175,'Footprint Summary'!$E153:$E175)/SUMPRODUCT('Footprint Summary'!$C153:$C175,'Footprint Summary'!$E153:$E175),"")</f>
        <v>5.3773163530915085</v>
      </c>
      <c r="G59" s="439">
        <f>IF($E$59="IGO",SUMPRODUCT('Footprint Summary'!H153:H175,'Footprint Summary'!$C153:$C175,'Footprint Summary'!$E153:$E175)/SUMPRODUCT('Footprint Summary'!$C153:$C175,'Footprint Summary'!$E153:$E175),"")</f>
        <v>5.3897415030978291</v>
      </c>
      <c r="H59" s="439">
        <f>IF($E$59="IGO",SUMPRODUCT('Footprint Summary'!I153:I175,'Footprint Summary'!$C153:$C175,'Footprint Summary'!$E153:$E175)/SUMPRODUCT('Footprint Summary'!$C153:$C175,'Footprint Summary'!$E153:$E175),"")</f>
        <v>5.3989086851726711</v>
      </c>
      <c r="I59" s="439">
        <f>IF($E$59="IGO",SUMPRODUCT('Footprint Summary'!J153:J175,'Footprint Summary'!$C153:$C175,'Footprint Summary'!$E153:$E175)/SUMPRODUCT('Footprint Summary'!$C153:$C175,'Footprint Summary'!$E153:$E175),"")</f>
        <v>5.4212093179158183</v>
      </c>
      <c r="J59" s="439">
        <f>IF($E$59="IGO",SUMPRODUCT('Footprint Summary'!K153:K175,'Footprint Summary'!$C153:$C175,'Footprint Summary'!$E153:$E175)/SUMPRODUCT('Footprint Summary'!$C153:$C175,'Footprint Summary'!$E153:$E175),"")</f>
        <v>5.4717936463248549</v>
      </c>
      <c r="K59" s="439">
        <f>IF($E$59="IGO",SUMPRODUCT('Footprint Summary'!L153:L175,'Footprint Summary'!$C153:$C175,'Footprint Summary'!$E153:$E175)/SUMPRODUCT('Footprint Summary'!$C153:$C175,'Footprint Summary'!$E153:$E175),"")</f>
        <v>5.4936944742974081</v>
      </c>
      <c r="L59" s="439">
        <f>IF($E$59="IGO",SUMPRODUCT('Footprint Summary'!M153:M175,'Footprint Summary'!$C153:$C175,'Footprint Summary'!$E153:$E175)/SUMPRODUCT('Footprint Summary'!$C153:$C175,'Footprint Summary'!$E153:$E175),"")</f>
        <v>5.5096998051417883</v>
      </c>
      <c r="M59" s="439">
        <f>IF($E$59="IGO",SUMPRODUCT('Footprint Summary'!N153:N175,'Footprint Summary'!$C153:$C175,'Footprint Summary'!$E153:$E175)/SUMPRODUCT('Footprint Summary'!$C153:$C175,'Footprint Summary'!$E153:$E175),"")</f>
        <v>5.5139146402024437</v>
      </c>
      <c r="N59" s="439">
        <f>IF($E$59="IGO",SUMPRODUCT('Footprint Summary'!O153:O175,'Footprint Summary'!$C153:$C175,'Footprint Summary'!$E153:$E175)/SUMPRODUCT('Footprint Summary'!$C153:$C175,'Footprint Summary'!$E153:$E175),"")</f>
        <v>5.5351632663682917</v>
      </c>
      <c r="O59" s="439">
        <f>IF($E$59="IGO",SUMPRODUCT('Footprint Summary'!P153:P175,'Footprint Summary'!$C153:$C175,'Footprint Summary'!$E153:$E175)/SUMPRODUCT('Footprint Summary'!$C153:$C175,'Footprint Summary'!$E153:$E175),"")</f>
        <v>5.5351632663682917</v>
      </c>
      <c r="P59" s="439">
        <f>IF($E$59="IGO",SUMPRODUCT('Footprint Summary'!Q153:Q175,'Footprint Summary'!$C153:$C175,'Footprint Summary'!$E153:$E175)/SUMPRODUCT('Footprint Summary'!$C153:$C175,'Footprint Summary'!$E153:$E175),"")</f>
        <v>5.5316015265321372</v>
      </c>
      <c r="Q59" s="470">
        <f>IF(E59="","",P59-G59)</f>
        <v>0.14186002343430815</v>
      </c>
      <c r="R59" s="473" t="s">
        <v>370</v>
      </c>
      <c r="S59" s="538" t="str">
        <f>V115</f>
        <v/>
      </c>
      <c r="T59" s="473" t="s">
        <v>371</v>
      </c>
      <c r="U59" s="483" t="str">
        <f>IF(U56="Underway","",_xlfn.MAXIFS(E69:E88,S69:S88,"Yes"))</f>
        <v/>
      </c>
      <c r="V59" s="482" t="s">
        <v>372</v>
      </c>
      <c r="W59" s="479">
        <f>T115</f>
        <v>0</v>
      </c>
      <c r="X59" s="14"/>
    </row>
    <row r="60" spans="1:24" ht="25.5" customHeight="1">
      <c r="A60" s="438" t="s">
        <v>373</v>
      </c>
      <c r="B60" s="14"/>
      <c r="C60" s="275">
        <v>32770</v>
      </c>
      <c r="D60" s="160"/>
      <c r="Q60" s="10"/>
      <c r="R60" s="473" t="s">
        <v>374</v>
      </c>
      <c r="S60" s="481" t="e">
        <f>IF(S56="Underway","",U115)</f>
        <v>#DIV/0!</v>
      </c>
      <c r="T60" s="10"/>
      <c r="U60" s="10"/>
      <c r="V60" s="473" t="s">
        <v>375</v>
      </c>
      <c r="W60" s="483" t="str">
        <f>IF(IF(W58=1,"Complete",_xlfn.MAXIFS(E69:E114,T69:T114,"Yes"))=0,"",IF(W58=1,"Complete",_xlfn.MAXIFS(E69:E114,T69:T114,"Yes")))</f>
        <v>Complete</v>
      </c>
      <c r="X60" s="14"/>
    </row>
    <row r="61" spans="1:24" ht="25.5" customHeight="1">
      <c r="A61" s="438" t="s">
        <v>376</v>
      </c>
      <c r="B61" s="14"/>
      <c r="C61" s="444">
        <v>50</v>
      </c>
      <c r="D61" s="162"/>
      <c r="H61" s="13"/>
      <c r="J61" s="14"/>
      <c r="K61" s="14"/>
      <c r="L61" s="14"/>
      <c r="M61" s="10"/>
      <c r="N61" s="10"/>
      <c r="O61" s="10"/>
      <c r="P61" s="10"/>
      <c r="Q61" s="10"/>
      <c r="R61" s="482" t="s">
        <v>377</v>
      </c>
      <c r="S61" s="481">
        <f>P272</f>
        <v>5.0456962207213678</v>
      </c>
      <c r="T61" s="10"/>
      <c r="U61" s="10"/>
      <c r="V61" s="473" t="s">
        <v>378</v>
      </c>
      <c r="W61" s="478">
        <v>1</v>
      </c>
      <c r="X61" s="14"/>
    </row>
    <row r="62" spans="1:24" ht="25.5" customHeight="1">
      <c r="A62" s="438" t="s">
        <v>379</v>
      </c>
      <c r="B62" s="14"/>
      <c r="C62" s="275">
        <v>2372.8890000000001</v>
      </c>
      <c r="H62" s="13"/>
      <c r="J62" s="14"/>
      <c r="K62" s="14"/>
      <c r="L62" s="347"/>
      <c r="M62" s="10"/>
      <c r="N62" s="10"/>
      <c r="O62" s="10"/>
      <c r="P62" s="10"/>
      <c r="Q62" s="10"/>
      <c r="R62" s="482" t="s">
        <v>380</v>
      </c>
      <c r="S62" s="481">
        <f>Q272</f>
        <v>5.0456962207213678</v>
      </c>
      <c r="T62" s="10"/>
      <c r="U62" s="10"/>
      <c r="V62" s="10"/>
      <c r="W62" s="14"/>
      <c r="X62" s="14"/>
    </row>
    <row r="63" spans="1:24" ht="25.5" customHeight="1">
      <c r="A63" s="438" t="s">
        <v>382</v>
      </c>
      <c r="B63" s="14"/>
      <c r="C63" s="275">
        <v>3817</v>
      </c>
      <c r="H63" s="13"/>
      <c r="J63" s="14"/>
      <c r="K63" s="14"/>
      <c r="L63" s="10"/>
      <c r="M63" s="10"/>
      <c r="N63" s="10"/>
      <c r="O63" s="10"/>
      <c r="P63" s="10"/>
      <c r="Q63" s="10"/>
      <c r="R63" s="476" t="s">
        <v>383</v>
      </c>
      <c r="S63" s="478">
        <f>C115/C62</f>
        <v>0</v>
      </c>
      <c r="T63" s="10"/>
      <c r="U63" s="10"/>
      <c r="V63" s="10"/>
      <c r="W63" s="14"/>
      <c r="X63" s="14"/>
    </row>
    <row r="64" spans="1:24" ht="25.5" customHeight="1">
      <c r="A64" s="446" t="s">
        <v>385</v>
      </c>
      <c r="B64" s="447"/>
      <c r="C64" s="445">
        <v>68</v>
      </c>
      <c r="D64" s="495">
        <f>(AJ215-C64)/C64</f>
        <v>0</v>
      </c>
      <c r="H64" s="13"/>
      <c r="J64" s="14"/>
      <c r="K64" s="14"/>
      <c r="L64" s="10"/>
      <c r="M64" s="10"/>
      <c r="N64" s="10"/>
      <c r="O64" s="10"/>
      <c r="P64" s="10"/>
      <c r="Q64" s="10"/>
      <c r="R64" s="476" t="s">
        <v>386</v>
      </c>
      <c r="S64" s="478">
        <f>D115/C63</f>
        <v>0</v>
      </c>
      <c r="T64" s="10"/>
      <c r="U64" s="14"/>
      <c r="V64" s="10"/>
      <c r="W64" s="14"/>
      <c r="X64" s="14"/>
    </row>
    <row r="65" spans="1:24" ht="25.5" customHeight="1">
      <c r="B65" s="487" t="s">
        <v>387</v>
      </c>
      <c r="C65" s="489">
        <f>Z216</f>
        <v>5.0456962207213678</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19">DATE(YEAR(H66)+1,MONTH(H66),DAY(H66))</f>
        <v>46203</v>
      </c>
      <c r="J66" s="416">
        <f t="shared" si="19"/>
        <v>46568</v>
      </c>
      <c r="K66" s="416">
        <f t="shared" si="19"/>
        <v>46934</v>
      </c>
      <c r="L66" s="416">
        <f t="shared" si="19"/>
        <v>47299</v>
      </c>
      <c r="M66" s="416">
        <f t="shared" si="19"/>
        <v>47664</v>
      </c>
      <c r="N66" s="416">
        <f t="shared" si="19"/>
        <v>48029</v>
      </c>
      <c r="O66" s="416">
        <f t="shared" si="19"/>
        <v>48395</v>
      </c>
      <c r="P66" s="416">
        <f t="shared" si="19"/>
        <v>48760</v>
      </c>
      <c r="Q66" s="416">
        <f t="shared" si="19"/>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770</v>
      </c>
      <c r="R67" s="200" t="s">
        <v>397</v>
      </c>
      <c r="S67" s="200" t="s">
        <v>328</v>
      </c>
      <c r="T67" s="200" t="s">
        <v>771</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84" si="20">IF($E69&gt;H$66,0,IF($E69&gt;H$66-365,$F69,0))</f>
        <v>0</v>
      </c>
      <c r="I69" s="404">
        <f t="shared" si="20"/>
        <v>0</v>
      </c>
      <c r="J69" s="404">
        <f t="shared" si="20"/>
        <v>0</v>
      </c>
      <c r="K69" s="404">
        <f t="shared" si="20"/>
        <v>0</v>
      </c>
      <c r="L69" s="404">
        <f t="shared" si="20"/>
        <v>0</v>
      </c>
      <c r="M69" s="404">
        <f t="shared" si="20"/>
        <v>0</v>
      </c>
      <c r="N69" s="404">
        <f t="shared" si="20"/>
        <v>0</v>
      </c>
      <c r="O69" s="404">
        <f t="shared" si="20"/>
        <v>0</v>
      </c>
      <c r="P69" s="404">
        <f t="shared" si="20"/>
        <v>0</v>
      </c>
      <c r="Q69" s="635">
        <f t="shared" si="20"/>
        <v>0</v>
      </c>
      <c r="R69" s="379"/>
      <c r="S69" s="379"/>
      <c r="T69" s="380"/>
      <c r="U69" s="411" t="e">
        <f>IF(-0.75*((C69/(VLOOKUP($A$2,Assumptions!$B$124:$G$147,2,0)))+D69/(VLOOKUP($A$2,Assumptions!$B$124:$G$147,5,0)))=0,"",-0.75*((C69/(VLOOKUP($A$2,Assumptions!$B$124:$G$147,2,0)))+D69/(VLOOKUP($A$2,Assumptions!$B$124:$G$147,5,0))))</f>
        <v>#DIV/0!</v>
      </c>
      <c r="V69" s="412" t="str">
        <f t="shared" ref="V69:V88" si="21">IF(ISERROR(((-1*C69*1000*$D$6)+(-1*D69*$D$8))/F69),"",((-1*C69*1000*$D$6)+(-1*D69*$D$8))/F69)</f>
        <v/>
      </c>
      <c r="W69" s="450"/>
      <c r="X69" s="506"/>
    </row>
    <row r="70" spans="1:24" ht="15">
      <c r="A70" s="373"/>
      <c r="B70" s="374"/>
      <c r="C70" s="381"/>
      <c r="D70" s="381"/>
      <c r="E70" s="377"/>
      <c r="F70" s="378"/>
      <c r="G70" s="403">
        <f t="shared" ref="G70:G84" si="22">IF($E70&lt;G$66,$F70,0)</f>
        <v>0</v>
      </c>
      <c r="H70" s="404">
        <f t="shared" si="20"/>
        <v>0</v>
      </c>
      <c r="I70" s="404">
        <f t="shared" si="20"/>
        <v>0</v>
      </c>
      <c r="J70" s="405">
        <f t="shared" si="20"/>
        <v>0</v>
      </c>
      <c r="K70" s="405">
        <f t="shared" si="20"/>
        <v>0</v>
      </c>
      <c r="L70" s="405">
        <f t="shared" si="20"/>
        <v>0</v>
      </c>
      <c r="M70" s="405">
        <f t="shared" si="20"/>
        <v>0</v>
      </c>
      <c r="N70" s="405">
        <f t="shared" si="20"/>
        <v>0</v>
      </c>
      <c r="O70" s="405">
        <f t="shared" si="20"/>
        <v>0</v>
      </c>
      <c r="P70" s="406">
        <f t="shared" si="20"/>
        <v>0</v>
      </c>
      <c r="Q70" s="635">
        <f t="shared" si="20"/>
        <v>0</v>
      </c>
      <c r="R70" s="379"/>
      <c r="S70" s="379"/>
      <c r="T70" s="382"/>
      <c r="U70" s="413" t="e">
        <f>IF(-0.75*((C70/(VLOOKUP($A$2,Assumptions!$B$124:$G$147,2,0)))+D70/(VLOOKUP($A$2,Assumptions!$B$124:$G$147,5,0)))=0,"",-0.75*((C70/(VLOOKUP($A$2,Assumptions!$B$124:$G$147,2,0)))+D70/(VLOOKUP($A$2,Assumptions!$B$124:$G$147,5,0))))</f>
        <v>#DIV/0!</v>
      </c>
      <c r="V70" s="414" t="str">
        <f t="shared" si="21"/>
        <v/>
      </c>
      <c r="W70" s="451"/>
      <c r="X70" s="506"/>
    </row>
    <row r="71" spans="1:24" ht="15">
      <c r="A71" s="373"/>
      <c r="B71" s="457"/>
      <c r="C71" s="383"/>
      <c r="D71" s="383"/>
      <c r="E71" s="377"/>
      <c r="F71" s="384"/>
      <c r="G71" s="403">
        <f t="shared" si="22"/>
        <v>0</v>
      </c>
      <c r="H71" s="404">
        <f t="shared" si="20"/>
        <v>0</v>
      </c>
      <c r="I71" s="405">
        <f t="shared" si="20"/>
        <v>0</v>
      </c>
      <c r="J71" s="405">
        <f t="shared" si="20"/>
        <v>0</v>
      </c>
      <c r="K71" s="405">
        <f t="shared" si="20"/>
        <v>0</v>
      </c>
      <c r="L71" s="405">
        <f t="shared" si="20"/>
        <v>0</v>
      </c>
      <c r="M71" s="405">
        <f t="shared" si="20"/>
        <v>0</v>
      </c>
      <c r="N71" s="405">
        <f t="shared" si="20"/>
        <v>0</v>
      </c>
      <c r="O71" s="405">
        <f t="shared" si="20"/>
        <v>0</v>
      </c>
      <c r="P71" s="406">
        <f t="shared" si="20"/>
        <v>0</v>
      </c>
      <c r="Q71" s="635">
        <f t="shared" si="20"/>
        <v>0</v>
      </c>
      <c r="R71" s="379"/>
      <c r="S71" s="379"/>
      <c r="T71" s="382"/>
      <c r="U71" s="413" t="e">
        <f>IF(-0.75*((C71/(VLOOKUP($A$2,Assumptions!$B$124:$G$147,2,0)))+D71/(VLOOKUP($A$2,Assumptions!$B$124:$G$147,5,0)))=0,"",-0.75*((C71/(VLOOKUP($A$2,Assumptions!$B$124:$G$147,2,0)))+D71/(VLOOKUP($A$2,Assumptions!$B$124:$G$147,5,0))))</f>
        <v>#DIV/0!</v>
      </c>
      <c r="V71" s="414" t="str">
        <f t="shared" si="21"/>
        <v/>
      </c>
      <c r="W71" s="451"/>
      <c r="X71" s="506"/>
    </row>
    <row r="72" spans="1:24" ht="15">
      <c r="A72" s="373"/>
      <c r="B72" s="457"/>
      <c r="C72" s="375"/>
      <c r="D72" s="375"/>
      <c r="E72" s="377"/>
      <c r="F72" s="378"/>
      <c r="G72" s="403">
        <f t="shared" si="22"/>
        <v>0</v>
      </c>
      <c r="H72" s="404">
        <f t="shared" si="20"/>
        <v>0</v>
      </c>
      <c r="I72" s="405">
        <f t="shared" si="20"/>
        <v>0</v>
      </c>
      <c r="J72" s="405">
        <f t="shared" si="20"/>
        <v>0</v>
      </c>
      <c r="K72" s="405">
        <f t="shared" si="20"/>
        <v>0</v>
      </c>
      <c r="L72" s="405">
        <f t="shared" si="20"/>
        <v>0</v>
      </c>
      <c r="M72" s="405">
        <f t="shared" si="20"/>
        <v>0</v>
      </c>
      <c r="N72" s="405">
        <f t="shared" si="20"/>
        <v>0</v>
      </c>
      <c r="O72" s="405">
        <f t="shared" si="20"/>
        <v>0</v>
      </c>
      <c r="P72" s="406">
        <f t="shared" si="20"/>
        <v>0</v>
      </c>
      <c r="Q72" s="635">
        <f t="shared" si="20"/>
        <v>0</v>
      </c>
      <c r="R72" s="379"/>
      <c r="S72" s="379"/>
      <c r="T72" s="382"/>
      <c r="U72" s="413" t="e">
        <f>IF(-0.75*((C72/(VLOOKUP($A$2,Assumptions!$B$124:$G$147,2,0)))+D72/(VLOOKUP($A$2,Assumptions!$B$124:$G$147,5,0)))=0,"",-0.75*((C72/(VLOOKUP($A$2,Assumptions!$B$124:$G$147,2,0)))+D72/(VLOOKUP($A$2,Assumptions!$B$124:$G$147,5,0))))</f>
        <v>#DIV/0!</v>
      </c>
      <c r="V72" s="414" t="str">
        <f t="shared" si="21"/>
        <v/>
      </c>
      <c r="W72" s="451"/>
      <c r="X72" s="506"/>
    </row>
    <row r="73" spans="1:24" ht="15">
      <c r="A73" s="373"/>
      <c r="B73" s="457"/>
      <c r="C73" s="381"/>
      <c r="D73" s="381"/>
      <c r="E73" s="377"/>
      <c r="F73" s="378"/>
      <c r="G73" s="403">
        <f t="shared" si="22"/>
        <v>0</v>
      </c>
      <c r="H73" s="404">
        <f t="shared" si="20"/>
        <v>0</v>
      </c>
      <c r="I73" s="405">
        <f t="shared" si="20"/>
        <v>0</v>
      </c>
      <c r="J73" s="405">
        <f t="shared" si="20"/>
        <v>0</v>
      </c>
      <c r="K73" s="405">
        <f t="shared" si="20"/>
        <v>0</v>
      </c>
      <c r="L73" s="405">
        <f t="shared" si="20"/>
        <v>0</v>
      </c>
      <c r="M73" s="405">
        <f t="shared" si="20"/>
        <v>0</v>
      </c>
      <c r="N73" s="405">
        <f t="shared" si="20"/>
        <v>0</v>
      </c>
      <c r="O73" s="405">
        <f t="shared" si="20"/>
        <v>0</v>
      </c>
      <c r="P73" s="406">
        <f t="shared" si="20"/>
        <v>0</v>
      </c>
      <c r="Q73" s="635">
        <f t="shared" si="20"/>
        <v>0</v>
      </c>
      <c r="R73" s="379"/>
      <c r="S73" s="379"/>
      <c r="T73" s="382"/>
      <c r="U73" s="413" t="e">
        <f>IF(-0.75*((C73/(VLOOKUP($A$2,Assumptions!$B$124:$G$147,2,0)))+D73/(VLOOKUP($A$2,Assumptions!$B$124:$G$147,5,0)))=0,"",-0.75*((C73/(VLOOKUP($A$2,Assumptions!$B$124:$G$147,2,0)))+D73/(VLOOKUP($A$2,Assumptions!$B$124:$G$147,5,0))))</f>
        <v>#DIV/0!</v>
      </c>
      <c r="V73" s="414" t="str">
        <f t="shared" si="21"/>
        <v/>
      </c>
      <c r="W73" s="451"/>
      <c r="X73" s="506"/>
    </row>
    <row r="74" spans="1:24" ht="15">
      <c r="A74" s="373"/>
      <c r="B74" s="457"/>
      <c r="C74" s="375"/>
      <c r="D74" s="375"/>
      <c r="E74" s="377"/>
      <c r="F74" s="378"/>
      <c r="G74" s="403">
        <f t="shared" si="22"/>
        <v>0</v>
      </c>
      <c r="H74" s="404">
        <f t="shared" si="20"/>
        <v>0</v>
      </c>
      <c r="I74" s="405">
        <f t="shared" si="20"/>
        <v>0</v>
      </c>
      <c r="J74" s="405">
        <f t="shared" si="20"/>
        <v>0</v>
      </c>
      <c r="K74" s="405">
        <f t="shared" si="20"/>
        <v>0</v>
      </c>
      <c r="L74" s="405">
        <f t="shared" si="20"/>
        <v>0</v>
      </c>
      <c r="M74" s="405">
        <f t="shared" si="20"/>
        <v>0</v>
      </c>
      <c r="N74" s="405">
        <f t="shared" si="20"/>
        <v>0</v>
      </c>
      <c r="O74" s="405">
        <f t="shared" si="20"/>
        <v>0</v>
      </c>
      <c r="P74" s="406">
        <f t="shared" si="20"/>
        <v>0</v>
      </c>
      <c r="Q74" s="635">
        <f t="shared" si="20"/>
        <v>0</v>
      </c>
      <c r="R74" s="379"/>
      <c r="S74" s="379"/>
      <c r="T74" s="382"/>
      <c r="U74" s="413" t="e">
        <f>IF(-0.75*((C74/(VLOOKUP($A$2,Assumptions!$B$124:$G$147,2,0)))+D74/(VLOOKUP($A$2,Assumptions!$B$124:$G$147,5,0)))=0,"",-0.75*((C74/(VLOOKUP($A$2,Assumptions!$B$124:$G$147,2,0)))+D74/(VLOOKUP($A$2,Assumptions!$B$124:$G$147,5,0))))</f>
        <v>#DIV/0!</v>
      </c>
      <c r="V74" s="414" t="str">
        <f t="shared" si="21"/>
        <v/>
      </c>
      <c r="W74" s="451"/>
      <c r="X74" s="506"/>
    </row>
    <row r="75" spans="1:24" ht="15">
      <c r="A75" s="373"/>
      <c r="B75" s="457"/>
      <c r="C75" s="375"/>
      <c r="D75" s="375"/>
      <c r="E75" s="377"/>
      <c r="F75" s="378"/>
      <c r="G75" s="403">
        <f t="shared" si="22"/>
        <v>0</v>
      </c>
      <c r="H75" s="404">
        <f t="shared" si="20"/>
        <v>0</v>
      </c>
      <c r="I75" s="405">
        <f t="shared" si="20"/>
        <v>0</v>
      </c>
      <c r="J75" s="405">
        <f t="shared" si="20"/>
        <v>0</v>
      </c>
      <c r="K75" s="405">
        <f t="shared" si="20"/>
        <v>0</v>
      </c>
      <c r="L75" s="405">
        <f t="shared" si="20"/>
        <v>0</v>
      </c>
      <c r="M75" s="405">
        <f t="shared" si="20"/>
        <v>0</v>
      </c>
      <c r="N75" s="405">
        <f t="shared" si="20"/>
        <v>0</v>
      </c>
      <c r="O75" s="405">
        <f t="shared" si="20"/>
        <v>0</v>
      </c>
      <c r="P75" s="406">
        <f t="shared" si="20"/>
        <v>0</v>
      </c>
      <c r="Q75" s="635">
        <f t="shared" si="20"/>
        <v>0</v>
      </c>
      <c r="R75" s="379"/>
      <c r="S75" s="379"/>
      <c r="T75" s="382"/>
      <c r="U75" s="413" t="e">
        <f>IF(-0.75*((C75/(VLOOKUP($A$2,Assumptions!$B$124:$G$147,2,0)))+D75/(VLOOKUP($A$2,Assumptions!$B$124:$G$147,5,0)))=0,"",-0.75*((C75/(VLOOKUP($A$2,Assumptions!$B$124:$G$147,2,0)))+D75/(VLOOKUP($A$2,Assumptions!$B$124:$G$147,5,0))))</f>
        <v>#DIV/0!</v>
      </c>
      <c r="V75" s="414" t="str">
        <f t="shared" si="21"/>
        <v/>
      </c>
      <c r="W75" s="451"/>
      <c r="X75" s="506"/>
    </row>
    <row r="76" spans="1:24" ht="15">
      <c r="A76" s="373"/>
      <c r="B76" s="457"/>
      <c r="C76" s="375"/>
      <c r="D76" s="375"/>
      <c r="E76" s="377"/>
      <c r="F76" s="378"/>
      <c r="G76" s="403">
        <f t="shared" si="22"/>
        <v>0</v>
      </c>
      <c r="H76" s="404">
        <f t="shared" si="20"/>
        <v>0</v>
      </c>
      <c r="I76" s="405">
        <f t="shared" si="20"/>
        <v>0</v>
      </c>
      <c r="J76" s="405">
        <f t="shared" si="20"/>
        <v>0</v>
      </c>
      <c r="K76" s="405">
        <f t="shared" si="20"/>
        <v>0</v>
      </c>
      <c r="L76" s="405">
        <f t="shared" si="20"/>
        <v>0</v>
      </c>
      <c r="M76" s="405">
        <f t="shared" si="20"/>
        <v>0</v>
      </c>
      <c r="N76" s="405">
        <f t="shared" si="20"/>
        <v>0</v>
      </c>
      <c r="O76" s="405">
        <f t="shared" si="20"/>
        <v>0</v>
      </c>
      <c r="P76" s="406">
        <f t="shared" si="20"/>
        <v>0</v>
      </c>
      <c r="Q76" s="635">
        <f t="shared" si="20"/>
        <v>0</v>
      </c>
      <c r="R76" s="379"/>
      <c r="S76" s="379"/>
      <c r="T76" s="382"/>
      <c r="U76" s="413" t="e">
        <f>IF(-0.75*((C76/(VLOOKUP($A$2,Assumptions!$B$124:$G$147,2,0)))+D76/(VLOOKUP($A$2,Assumptions!$B$124:$G$147,5,0)))=0,"",-0.75*((C76/(VLOOKUP($A$2,Assumptions!$B$124:$G$147,2,0)))+D76/(VLOOKUP($A$2,Assumptions!$B$124:$G$147,5,0))))</f>
        <v>#DIV/0!</v>
      </c>
      <c r="V76" s="414" t="str">
        <f t="shared" si="21"/>
        <v/>
      </c>
      <c r="W76" s="451"/>
      <c r="X76" s="506"/>
    </row>
    <row r="77" spans="1:24" ht="15">
      <c r="A77" s="562"/>
      <c r="B77" s="457"/>
      <c r="C77" s="375"/>
      <c r="D77" s="375"/>
      <c r="E77" s="377"/>
      <c r="F77" s="378"/>
      <c r="G77" s="403">
        <f t="shared" si="22"/>
        <v>0</v>
      </c>
      <c r="H77" s="404">
        <f t="shared" si="20"/>
        <v>0</v>
      </c>
      <c r="I77" s="405">
        <f t="shared" si="20"/>
        <v>0</v>
      </c>
      <c r="J77" s="405">
        <f t="shared" si="20"/>
        <v>0</v>
      </c>
      <c r="K77" s="405">
        <f t="shared" si="20"/>
        <v>0</v>
      </c>
      <c r="L77" s="405">
        <f t="shared" si="20"/>
        <v>0</v>
      </c>
      <c r="M77" s="405">
        <f t="shared" si="20"/>
        <v>0</v>
      </c>
      <c r="N77" s="405">
        <f t="shared" si="20"/>
        <v>0</v>
      </c>
      <c r="O77" s="405">
        <f t="shared" si="20"/>
        <v>0</v>
      </c>
      <c r="P77" s="406">
        <f t="shared" si="20"/>
        <v>0</v>
      </c>
      <c r="Q77" s="635">
        <f t="shared" si="20"/>
        <v>0</v>
      </c>
      <c r="R77" s="379"/>
      <c r="S77" s="379"/>
      <c r="T77" s="385"/>
      <c r="U77" s="413" t="e">
        <f>IF(-0.75*((C77/(VLOOKUP($A$2,Assumptions!$B$124:$G$147,2,0)))+D77/(VLOOKUP($A$2,Assumptions!$B$124:$G$147,5,0)))=0,"",-0.75*((C77/(VLOOKUP($A$2,Assumptions!$B$124:$G$147,2,0)))+D77/(VLOOKUP($A$2,Assumptions!$B$124:$G$147,5,0))))</f>
        <v>#DIV/0!</v>
      </c>
      <c r="V77" s="414" t="str">
        <f t="shared" si="21"/>
        <v/>
      </c>
      <c r="W77" s="451"/>
      <c r="X77" s="506"/>
    </row>
    <row r="78" spans="1:24" ht="15">
      <c r="A78" s="373"/>
      <c r="B78" s="457"/>
      <c r="C78" s="375"/>
      <c r="D78" s="375"/>
      <c r="E78" s="377"/>
      <c r="F78" s="378"/>
      <c r="G78" s="403">
        <f t="shared" si="22"/>
        <v>0</v>
      </c>
      <c r="H78" s="404">
        <f t="shared" si="20"/>
        <v>0</v>
      </c>
      <c r="I78" s="405">
        <f t="shared" si="20"/>
        <v>0</v>
      </c>
      <c r="J78" s="405">
        <f t="shared" si="20"/>
        <v>0</v>
      </c>
      <c r="K78" s="405">
        <f t="shared" si="20"/>
        <v>0</v>
      </c>
      <c r="L78" s="405">
        <f t="shared" si="20"/>
        <v>0</v>
      </c>
      <c r="M78" s="405">
        <f t="shared" si="20"/>
        <v>0</v>
      </c>
      <c r="N78" s="405">
        <f t="shared" si="20"/>
        <v>0</v>
      </c>
      <c r="O78" s="405">
        <f t="shared" si="20"/>
        <v>0</v>
      </c>
      <c r="P78" s="406">
        <f t="shared" si="20"/>
        <v>0</v>
      </c>
      <c r="Q78" s="635">
        <f t="shared" si="20"/>
        <v>0</v>
      </c>
      <c r="R78" s="379"/>
      <c r="S78" s="386"/>
      <c r="T78" s="387"/>
      <c r="U78" s="413" t="e">
        <f>IF(-0.75*((C78/(VLOOKUP($A$2,Assumptions!$B$124:$G$147,2,0)))+D78/(VLOOKUP($A$2,Assumptions!$B$124:$G$147,5,0)))=0,"",-0.75*((C78/(VLOOKUP($A$2,Assumptions!$B$124:$G$147,2,0)))+D78/(VLOOKUP($A$2,Assumptions!$B$124:$G$147,5,0))))</f>
        <v>#DIV/0!</v>
      </c>
      <c r="V78" s="414" t="str">
        <f t="shared" si="21"/>
        <v/>
      </c>
      <c r="W78" s="451"/>
      <c r="X78" s="506"/>
    </row>
    <row r="79" spans="1:24" ht="15">
      <c r="A79" s="373"/>
      <c r="B79" s="457"/>
      <c r="C79" s="375"/>
      <c r="D79" s="375"/>
      <c r="E79" s="377"/>
      <c r="F79" s="378"/>
      <c r="G79" s="403">
        <f t="shared" si="22"/>
        <v>0</v>
      </c>
      <c r="H79" s="404">
        <f t="shared" si="20"/>
        <v>0</v>
      </c>
      <c r="I79" s="405">
        <f t="shared" si="20"/>
        <v>0</v>
      </c>
      <c r="J79" s="405">
        <f t="shared" si="20"/>
        <v>0</v>
      </c>
      <c r="K79" s="405">
        <f t="shared" si="20"/>
        <v>0</v>
      </c>
      <c r="L79" s="405">
        <f t="shared" si="20"/>
        <v>0</v>
      </c>
      <c r="M79" s="405">
        <f t="shared" si="20"/>
        <v>0</v>
      </c>
      <c r="N79" s="405">
        <f t="shared" si="20"/>
        <v>0</v>
      </c>
      <c r="O79" s="405">
        <f t="shared" si="20"/>
        <v>0</v>
      </c>
      <c r="P79" s="406">
        <f t="shared" si="20"/>
        <v>0</v>
      </c>
      <c r="Q79" s="635">
        <f t="shared" si="20"/>
        <v>0</v>
      </c>
      <c r="R79" s="379"/>
      <c r="S79" s="386"/>
      <c r="T79" s="387"/>
      <c r="U79" s="413" t="e">
        <f>IF(-0.75*((C79/(VLOOKUP($A$2,Assumptions!$B$124:$G$147,2,0)))+D79/(VLOOKUP($A$2,Assumptions!$B$124:$G$147,5,0)))=0,"",-0.75*((C79/(VLOOKUP($A$2,Assumptions!$B$124:$G$147,2,0)))+D79/(VLOOKUP($A$2,Assumptions!$B$124:$G$147,5,0))))</f>
        <v>#DIV/0!</v>
      </c>
      <c r="V79" s="414" t="str">
        <f t="shared" si="21"/>
        <v/>
      </c>
      <c r="W79" s="451"/>
      <c r="X79" s="506"/>
    </row>
    <row r="80" spans="1:24" ht="15">
      <c r="A80" s="373"/>
      <c r="B80" s="457"/>
      <c r="C80" s="693"/>
      <c r="D80" s="693"/>
      <c r="E80" s="694"/>
      <c r="F80" s="695"/>
      <c r="G80" s="403">
        <f t="shared" si="22"/>
        <v>0</v>
      </c>
      <c r="H80" s="404">
        <f t="shared" si="20"/>
        <v>0</v>
      </c>
      <c r="I80" s="405">
        <f t="shared" si="20"/>
        <v>0</v>
      </c>
      <c r="J80" s="405">
        <f t="shared" si="20"/>
        <v>0</v>
      </c>
      <c r="K80" s="405">
        <f t="shared" si="20"/>
        <v>0</v>
      </c>
      <c r="L80" s="405">
        <f t="shared" si="20"/>
        <v>0</v>
      </c>
      <c r="M80" s="405">
        <f t="shared" si="20"/>
        <v>0</v>
      </c>
      <c r="N80" s="405">
        <f t="shared" si="20"/>
        <v>0</v>
      </c>
      <c r="O80" s="405">
        <f t="shared" si="20"/>
        <v>0</v>
      </c>
      <c r="P80" s="406">
        <f t="shared" si="20"/>
        <v>0</v>
      </c>
      <c r="Q80" s="635">
        <f t="shared" si="20"/>
        <v>0</v>
      </c>
      <c r="R80" s="696"/>
      <c r="S80" s="697"/>
      <c r="T80" s="698"/>
      <c r="U80" s="413" t="e">
        <f>IF(-0.75*((C80/(VLOOKUP($A$2,Assumptions!$B$124:$G$147,2,0)))+D80/(VLOOKUP($A$2,Assumptions!$B$124:$G$147,5,0)))=0,"",-0.75*((C80/(VLOOKUP($A$2,Assumptions!$B$124:$G$147,2,0)))+D80/(VLOOKUP($A$2,Assumptions!$B$124:$G$147,5,0))))</f>
        <v>#DIV/0!</v>
      </c>
      <c r="V80" s="414" t="str">
        <f t="shared" si="21"/>
        <v/>
      </c>
      <c r="W80" s="451"/>
      <c r="X80" s="506"/>
    </row>
    <row r="81" spans="1:24" ht="15">
      <c r="A81" s="373"/>
      <c r="B81" s="457"/>
      <c r="C81" s="693"/>
      <c r="D81" s="693"/>
      <c r="E81" s="694"/>
      <c r="F81" s="695"/>
      <c r="G81" s="403">
        <f t="shared" si="22"/>
        <v>0</v>
      </c>
      <c r="H81" s="404">
        <f t="shared" si="20"/>
        <v>0</v>
      </c>
      <c r="I81" s="405">
        <f t="shared" si="20"/>
        <v>0</v>
      </c>
      <c r="J81" s="405">
        <f t="shared" si="20"/>
        <v>0</v>
      </c>
      <c r="K81" s="405">
        <f t="shared" si="20"/>
        <v>0</v>
      </c>
      <c r="L81" s="405">
        <f t="shared" si="20"/>
        <v>0</v>
      </c>
      <c r="M81" s="405">
        <f t="shared" si="20"/>
        <v>0</v>
      </c>
      <c r="N81" s="405">
        <f t="shared" si="20"/>
        <v>0</v>
      </c>
      <c r="O81" s="405">
        <f t="shared" si="20"/>
        <v>0</v>
      </c>
      <c r="P81" s="406">
        <f t="shared" si="20"/>
        <v>0</v>
      </c>
      <c r="Q81" s="635">
        <f t="shared" si="20"/>
        <v>0</v>
      </c>
      <c r="R81" s="696"/>
      <c r="S81" s="697"/>
      <c r="T81" s="698"/>
      <c r="U81" s="413" t="e">
        <f>IF(-0.75*((C81/(VLOOKUP($A$2,Assumptions!$B$124:$G$147,2,0)))+D81/(VLOOKUP($A$2,Assumptions!$B$124:$G$147,5,0)))=0,"",-0.75*((C81/(VLOOKUP($A$2,Assumptions!$B$124:$G$147,2,0)))+D81/(VLOOKUP($A$2,Assumptions!$B$124:$G$147,5,0))))</f>
        <v>#DIV/0!</v>
      </c>
      <c r="V81" s="414" t="str">
        <f t="shared" si="21"/>
        <v/>
      </c>
      <c r="W81" s="699"/>
      <c r="X81" s="506"/>
    </row>
    <row r="82" spans="1:24" ht="15">
      <c r="A82" s="373"/>
      <c r="B82" s="457"/>
      <c r="C82" s="693"/>
      <c r="D82" s="693"/>
      <c r="E82" s="694"/>
      <c r="F82" s="695"/>
      <c r="G82" s="403">
        <f t="shared" si="22"/>
        <v>0</v>
      </c>
      <c r="H82" s="404">
        <f t="shared" si="20"/>
        <v>0</v>
      </c>
      <c r="I82" s="405">
        <f t="shared" si="20"/>
        <v>0</v>
      </c>
      <c r="J82" s="405">
        <f t="shared" si="20"/>
        <v>0</v>
      </c>
      <c r="K82" s="405">
        <f t="shared" si="20"/>
        <v>0</v>
      </c>
      <c r="L82" s="405">
        <f t="shared" si="20"/>
        <v>0</v>
      </c>
      <c r="M82" s="405">
        <f t="shared" si="20"/>
        <v>0</v>
      </c>
      <c r="N82" s="405">
        <f t="shared" si="20"/>
        <v>0</v>
      </c>
      <c r="O82" s="405">
        <f t="shared" si="20"/>
        <v>0</v>
      </c>
      <c r="P82" s="406">
        <f t="shared" si="20"/>
        <v>0</v>
      </c>
      <c r="Q82" s="635">
        <f t="shared" si="20"/>
        <v>0</v>
      </c>
      <c r="R82" s="696"/>
      <c r="S82" s="696"/>
      <c r="T82" s="698"/>
      <c r="U82" s="413" t="e">
        <f>IF(-0.75*((C82/(VLOOKUP($A$2,Assumptions!$B$124:$G$147,2,0)))+D82/(VLOOKUP($A$2,Assumptions!$B$124:$G$147,5,0)))=0,"",-0.75*((C82/(VLOOKUP($A$2,Assumptions!$B$124:$G$147,2,0)))+D82/(VLOOKUP($A$2,Assumptions!$B$124:$G$147,5,0))))</f>
        <v>#DIV/0!</v>
      </c>
      <c r="V82" s="414" t="str">
        <f t="shared" si="21"/>
        <v/>
      </c>
      <c r="W82" s="699"/>
      <c r="X82" s="506"/>
    </row>
    <row r="83" spans="1:24" ht="15">
      <c r="A83" s="373"/>
      <c r="B83" s="457"/>
      <c r="C83" s="693"/>
      <c r="D83" s="693"/>
      <c r="E83" s="694"/>
      <c r="F83" s="695"/>
      <c r="G83" s="403">
        <f t="shared" si="22"/>
        <v>0</v>
      </c>
      <c r="H83" s="404">
        <f t="shared" si="20"/>
        <v>0</v>
      </c>
      <c r="I83" s="405">
        <f t="shared" si="20"/>
        <v>0</v>
      </c>
      <c r="J83" s="405">
        <f t="shared" si="20"/>
        <v>0</v>
      </c>
      <c r="K83" s="405">
        <f t="shared" si="20"/>
        <v>0</v>
      </c>
      <c r="L83" s="405">
        <f t="shared" si="20"/>
        <v>0</v>
      </c>
      <c r="M83" s="405">
        <f t="shared" si="20"/>
        <v>0</v>
      </c>
      <c r="N83" s="405">
        <f t="shared" si="20"/>
        <v>0</v>
      </c>
      <c r="O83" s="405">
        <f t="shared" si="20"/>
        <v>0</v>
      </c>
      <c r="P83" s="406">
        <f t="shared" si="20"/>
        <v>0</v>
      </c>
      <c r="Q83" s="635">
        <f t="shared" si="20"/>
        <v>0</v>
      </c>
      <c r="R83" s="696"/>
      <c r="S83" s="697"/>
      <c r="T83" s="698"/>
      <c r="U83" s="413" t="e">
        <f>IF(-0.75*((C83/(VLOOKUP($A$2,Assumptions!$B$124:$G$147,2,0)))+D83/(VLOOKUP($A$2,Assumptions!$B$124:$G$147,5,0)))=0,"",-0.75*((C83/(VLOOKUP($A$2,Assumptions!$B$124:$G$147,2,0)))+D83/(VLOOKUP($A$2,Assumptions!$B$124:$G$147,5,0))))</f>
        <v>#DIV/0!</v>
      </c>
      <c r="V83" s="414" t="str">
        <f t="shared" si="21"/>
        <v/>
      </c>
      <c r="W83" s="699"/>
      <c r="X83" s="506"/>
    </row>
    <row r="84" spans="1:24" ht="15">
      <c r="A84" s="373"/>
      <c r="B84" s="457"/>
      <c r="C84" s="693"/>
      <c r="D84" s="693"/>
      <c r="E84" s="694"/>
      <c r="F84" s="695"/>
      <c r="G84" s="403">
        <f t="shared" si="22"/>
        <v>0</v>
      </c>
      <c r="H84" s="404">
        <f t="shared" si="20"/>
        <v>0</v>
      </c>
      <c r="I84" s="405">
        <f t="shared" si="20"/>
        <v>0</v>
      </c>
      <c r="J84" s="405">
        <f t="shared" si="20"/>
        <v>0</v>
      </c>
      <c r="K84" s="405">
        <f t="shared" si="20"/>
        <v>0</v>
      </c>
      <c r="L84" s="405">
        <f t="shared" si="20"/>
        <v>0</v>
      </c>
      <c r="M84" s="405">
        <f t="shared" si="20"/>
        <v>0</v>
      </c>
      <c r="N84" s="405">
        <f t="shared" si="20"/>
        <v>0</v>
      </c>
      <c r="O84" s="405">
        <f t="shared" si="20"/>
        <v>0</v>
      </c>
      <c r="P84" s="406">
        <f t="shared" si="20"/>
        <v>0</v>
      </c>
      <c r="Q84" s="635">
        <f t="shared" si="20"/>
        <v>0</v>
      </c>
      <c r="R84" s="696"/>
      <c r="S84" s="697"/>
      <c r="T84" s="698"/>
      <c r="U84" s="413" t="e">
        <f>IF(-0.75*((C84/(VLOOKUP($A$2,Assumptions!$B$124:$G$147,2,0)))+D84/(VLOOKUP($A$2,Assumptions!$B$124:$G$147,5,0)))=0,"",-0.75*((C84/(VLOOKUP($A$2,Assumptions!$B$124:$G$147,2,0)))+D84/(VLOOKUP($A$2,Assumptions!$B$124:$G$147,5,0))))</f>
        <v>#DIV/0!</v>
      </c>
      <c r="V84" s="414" t="str">
        <f t="shared" si="21"/>
        <v/>
      </c>
      <c r="W84" s="699"/>
      <c r="X84" s="506"/>
    </row>
    <row r="85" spans="1:24" ht="15">
      <c r="A85" s="373"/>
      <c r="B85" s="457"/>
      <c r="C85" s="693"/>
      <c r="D85" s="693"/>
      <c r="E85" s="694"/>
      <c r="F85" s="695"/>
      <c r="G85" s="403"/>
      <c r="H85" s="404"/>
      <c r="I85" s="405"/>
      <c r="J85" s="405"/>
      <c r="K85" s="405"/>
      <c r="L85" s="405"/>
      <c r="M85" s="405"/>
      <c r="N85" s="405"/>
      <c r="O85" s="405"/>
      <c r="P85" s="406"/>
      <c r="Q85" s="635"/>
      <c r="R85" s="696"/>
      <c r="S85" s="697"/>
      <c r="T85" s="698"/>
      <c r="U85" s="413" t="e">
        <f>IF(-0.75*((C85/(VLOOKUP($A$2,Assumptions!$B$124:$G$147,2,0)))+D85/(VLOOKUP($A$2,Assumptions!$B$124:$G$147,5,0)))=0,"",-0.75*((C85/(VLOOKUP($A$2,Assumptions!$B$124:$G$147,2,0)))+D85/(VLOOKUP($A$2,Assumptions!$B$124:$G$147,5,0))))</f>
        <v>#DIV/0!</v>
      </c>
      <c r="V85" s="414" t="str">
        <f t="shared" si="21"/>
        <v/>
      </c>
      <c r="W85" s="451"/>
      <c r="X85" s="507"/>
    </row>
    <row r="86" spans="1:24" ht="15">
      <c r="A86" s="373"/>
      <c r="B86" s="457"/>
      <c r="C86" s="375"/>
      <c r="D86" s="375"/>
      <c r="E86" s="377"/>
      <c r="F86" s="378"/>
      <c r="G86" s="403"/>
      <c r="H86" s="404"/>
      <c r="I86" s="405"/>
      <c r="J86" s="405"/>
      <c r="K86" s="405"/>
      <c r="L86" s="405"/>
      <c r="M86" s="405"/>
      <c r="N86" s="405"/>
      <c r="O86" s="405"/>
      <c r="P86" s="406"/>
      <c r="Q86" s="635"/>
      <c r="R86" s="696"/>
      <c r="S86" s="697"/>
      <c r="T86" s="698"/>
      <c r="U86" s="413" t="e">
        <f>IF(-0.75*((C86/(VLOOKUP($A$2,Assumptions!$B$124:$G$147,2,0)))+D86/(VLOOKUP($A$2,Assumptions!$B$124:$G$147,5,0)))=0,"",-0.75*((C86/(VLOOKUP($A$2,Assumptions!$B$124:$G$147,2,0)))+D86/(VLOOKUP($A$2,Assumptions!$B$124:$G$147,5,0))))</f>
        <v>#DIV/0!</v>
      </c>
      <c r="V86" s="414" t="str">
        <f t="shared" si="21"/>
        <v/>
      </c>
      <c r="W86" s="451"/>
      <c r="X86" s="507"/>
    </row>
    <row r="87" spans="1:24" ht="15">
      <c r="A87" s="373"/>
      <c r="B87" s="374"/>
      <c r="C87" s="375"/>
      <c r="D87" s="375"/>
      <c r="E87" s="377"/>
      <c r="F87" s="378"/>
      <c r="G87" s="403"/>
      <c r="H87" s="404"/>
      <c r="I87" s="405"/>
      <c r="J87" s="405"/>
      <c r="K87" s="405"/>
      <c r="L87" s="405"/>
      <c r="M87" s="405"/>
      <c r="N87" s="405"/>
      <c r="O87" s="405"/>
      <c r="P87" s="406"/>
      <c r="Q87" s="635"/>
      <c r="R87" s="379"/>
      <c r="S87" s="379"/>
      <c r="T87" s="387"/>
      <c r="U87" s="413" t="e">
        <f>IF(-0.75*((C87/(VLOOKUP($A$2,Assumptions!$B$124:$G$147,2,0)))+D87/(VLOOKUP($A$2,Assumptions!$B$124:$G$147,5,0)))=0,"",-0.75*((C87/(VLOOKUP($A$2,Assumptions!$B$124:$G$147,2,0)))+D87/(VLOOKUP($A$2,Assumptions!$B$124:$G$147,5,0))))</f>
        <v>#DIV/0!</v>
      </c>
      <c r="V87" s="414" t="str">
        <f t="shared" si="21"/>
        <v/>
      </c>
      <c r="W87" s="451"/>
      <c r="X87" s="507"/>
    </row>
    <row r="88" spans="1:24" ht="15">
      <c r="A88" s="456"/>
      <c r="B88" s="397"/>
      <c r="C88" s="398"/>
      <c r="D88" s="398"/>
      <c r="E88" s="399"/>
      <c r="F88" s="400"/>
      <c r="G88" s="407"/>
      <c r="H88" s="408"/>
      <c r="I88" s="409"/>
      <c r="J88" s="409"/>
      <c r="K88" s="409"/>
      <c r="L88" s="409"/>
      <c r="M88" s="409"/>
      <c r="N88" s="409"/>
      <c r="O88" s="409"/>
      <c r="P88" s="410"/>
      <c r="Q88" s="636"/>
      <c r="R88" s="401"/>
      <c r="S88" s="401"/>
      <c r="T88" s="402"/>
      <c r="U88" s="413" t="e">
        <f>IF(-0.75*((C88/(VLOOKUP($A$2,Assumptions!$B$124:$G$147,2,0)))+D88/(VLOOKUP($A$2,Assumptions!$B$124:$G$147,5,0)))=0,"",-0.75*((C88/(VLOOKUP($A$2,Assumptions!$B$124:$G$147,2,0)))+D88/(VLOOKUP($A$2,Assumptions!$B$124:$G$147,5,0))))</f>
        <v>#DIV/0!</v>
      </c>
      <c r="V88" s="415" t="str">
        <f t="shared" si="21"/>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3">IF(ISERROR(((-C89*1000*$W$162)/F89)),"",((-C89*1000*$W$162)/F89))</f>
        <v/>
      </c>
      <c r="W89" s="304" t="str">
        <f t="shared" si="23"/>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3"/>
        <v/>
      </c>
      <c r="W90" s="170" t="str">
        <f t="shared" si="23"/>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3"/>
        <v/>
      </c>
      <c r="W91" s="170" t="str">
        <f t="shared" si="23"/>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3"/>
        <v/>
      </c>
      <c r="W92" s="170" t="str">
        <f t="shared" si="23"/>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3"/>
        <v/>
      </c>
      <c r="W93" s="170" t="str">
        <f t="shared" si="23"/>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3"/>
        <v/>
      </c>
      <c r="W94" s="170" t="str">
        <f t="shared" si="23"/>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3"/>
        <v/>
      </c>
      <c r="W95" s="170" t="str">
        <f t="shared" si="23"/>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3"/>
        <v/>
      </c>
      <c r="W96" s="170" t="str">
        <f t="shared" si="23"/>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3"/>
        <v/>
      </c>
      <c r="W97" s="170" t="str">
        <f t="shared" si="23"/>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3"/>
        <v/>
      </c>
      <c r="W98" s="170" t="str">
        <f t="shared" si="23"/>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3"/>
        <v/>
      </c>
      <c r="W99" s="170" t="str">
        <f t="shared" si="23"/>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3"/>
        <v/>
      </c>
      <c r="W100" s="170" t="str">
        <f t="shared" si="23"/>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3"/>
        <v/>
      </c>
      <c r="W101" s="170" t="str">
        <f t="shared" si="23"/>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3"/>
        <v/>
      </c>
      <c r="W102" s="170" t="str">
        <f t="shared" si="23"/>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3"/>
        <v/>
      </c>
      <c r="W103" s="170" t="str">
        <f t="shared" si="23"/>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3"/>
        <v/>
      </c>
      <c r="W104" s="170" t="str">
        <f t="shared" si="23"/>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3"/>
        <v/>
      </c>
      <c r="W105" s="170" t="str">
        <f t="shared" si="23"/>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3"/>
        <v/>
      </c>
      <c r="W106" s="170" t="str">
        <f t="shared" si="23"/>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3"/>
        <v/>
      </c>
      <c r="W107" s="170" t="str">
        <f t="shared" si="23"/>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3"/>
        <v/>
      </c>
      <c r="W108" s="170" t="str">
        <f t="shared" si="23"/>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3"/>
        <v/>
      </c>
      <c r="W109" s="170" t="str">
        <f t="shared" si="23"/>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3"/>
        <v/>
      </c>
      <c r="W110" s="170" t="str">
        <f t="shared" si="23"/>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3"/>
        <v/>
      </c>
      <c r="W111" s="170" t="str">
        <f t="shared" si="23"/>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3"/>
        <v/>
      </c>
      <c r="W112" s="170" t="str">
        <f t="shared" si="23"/>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3"/>
        <v/>
      </c>
      <c r="W113" s="170" t="str">
        <f t="shared" si="23"/>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3"/>
        <v/>
      </c>
      <c r="W114" s="173" t="str">
        <f t="shared" si="23"/>
        <v/>
      </c>
      <c r="X114" s="173"/>
    </row>
    <row r="115" spans="1:31" ht="15">
      <c r="A115" s="13"/>
      <c r="B115" s="353"/>
      <c r="C115" s="354">
        <f>SUM(C69:C88)</f>
        <v>0</v>
      </c>
      <c r="D115" s="354">
        <f>SUM(D69:D88)</f>
        <v>0</v>
      </c>
      <c r="E115" s="355"/>
      <c r="F115" s="333">
        <f>SUM(F69:F114)</f>
        <v>0</v>
      </c>
      <c r="G115" s="388">
        <f>SUM(G69:G114)</f>
        <v>0</v>
      </c>
      <c r="H115" s="388">
        <f t="shared" ref="H115:N115" si="24">SUM(H69:H114)</f>
        <v>0</v>
      </c>
      <c r="I115" s="388">
        <f t="shared" si="24"/>
        <v>0</v>
      </c>
      <c r="J115" s="388">
        <f t="shared" si="24"/>
        <v>0</v>
      </c>
      <c r="K115" s="388">
        <f t="shared" si="24"/>
        <v>0</v>
      </c>
      <c r="L115" s="388">
        <f t="shared" si="24"/>
        <v>0</v>
      </c>
      <c r="M115" s="388">
        <f t="shared" si="24"/>
        <v>0</v>
      </c>
      <c r="N115" s="388">
        <f t="shared" si="24"/>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t="e">
        <f>SUM(U69:U84)</f>
        <v>#DIV/0!</v>
      </c>
      <c r="V115" s="390" t="str">
        <f>IF(ISERROR(((-1*C115*1000*$D$6)+(-1*D115*$D$8))/F115),"",((-1*C115*1000*$D$6)+(-1*D115*$D$8))/F115)</f>
        <v/>
      </c>
      <c r="W115" s="391">
        <f>SUMIFS(F69:F114,W69:W114,"Yes")</f>
        <v>0</v>
      </c>
      <c r="X115" s="516">
        <f>SUMIFS(F69:F114,X69:X114,"Yes")</f>
        <v>0</v>
      </c>
    </row>
    <row r="116" spans="1:31" ht="15">
      <c r="A116" s="13"/>
      <c r="B116" s="13"/>
      <c r="C116" s="535">
        <f>SUM(C69:C80)</f>
        <v>0</v>
      </c>
      <c r="D116" s="535">
        <f>SUM(D69:D80)</f>
        <v>0</v>
      </c>
      <c r="E116" s="13"/>
      <c r="F116" s="535">
        <f>SUM(F69:F80)</f>
        <v>0</v>
      </c>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5.0518590998043056</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5.0456962207213678</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5.0456962207213678</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5.0456962207213678</v>
      </c>
      <c r="AA126" s="22">
        <f t="shared" ref="AA126:AC126" si="25">AK216</f>
        <v>5.0456962207213678</v>
      </c>
      <c r="AB126" s="22">
        <f t="shared" si="25"/>
        <v>0</v>
      </c>
      <c r="AC126" s="22">
        <f t="shared" si="25"/>
        <v>0</v>
      </c>
      <c r="AD126" s="22">
        <f t="shared" ref="AD126:AE126" si="26">AI217</f>
        <v>0</v>
      </c>
      <c r="AE126" s="22">
        <f t="shared" si="26"/>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5.0456962207213678</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5.0456962207213678</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5.0456962207213678</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5.0456962207213678</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5.0456962207213678</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5.0456962207213678</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5.0456962207213678</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7">AQ156*0.5</f>
        <v>20.914999999999999</v>
      </c>
      <c r="AR154" s="338">
        <f t="shared" si="27"/>
        <v>26.98</v>
      </c>
      <c r="AS154" s="8"/>
      <c r="AT154" s="25">
        <v>6</v>
      </c>
      <c r="AU154" s="339">
        <f>AU156*0.5</f>
        <v>64.760000000000005</v>
      </c>
      <c r="AV154" s="339">
        <f t="shared" ref="AV154:AY154" si="28">AV156*0.5</f>
        <v>69.5</v>
      </c>
      <c r="AW154" s="339">
        <f t="shared" si="28"/>
        <v>59.814999999999998</v>
      </c>
      <c r="AX154" s="339">
        <f t="shared" si="28"/>
        <v>33.69</v>
      </c>
      <c r="AY154" s="339">
        <f t="shared" si="28"/>
        <v>44.87</v>
      </c>
      <c r="AZ154" s="8"/>
      <c r="BA154" s="25">
        <v>6</v>
      </c>
      <c r="BB154" s="24">
        <f t="shared" ref="BB154:BB155" si="29">IF($C$58="Base",BF154,BG154)</f>
        <v>34.795000000000002</v>
      </c>
      <c r="BC154" s="24" t="s">
        <v>436</v>
      </c>
      <c r="BD154" s="8"/>
      <c r="BE154" s="8"/>
      <c r="BF154" s="24">
        <f t="shared" ref="BF154:BF155" si="30">IF($C$59&gt;7000,"error",IF($C$59&gt;5999,AR154,IF($C$59&gt;4999,AQ154,IF($C$59&gt;3999,AP154,IF($C$59&gt;2999,AO154,IF($C$59&gt;1999,AN154,"Error"))))))</f>
        <v>34.795000000000002</v>
      </c>
      <c r="BG154" s="24">
        <f t="shared" ref="BG154:BG164" si="31">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2">AQ156*0.75</f>
        <v>31.372499999999999</v>
      </c>
      <c r="AR155" s="338">
        <f t="shared" si="32"/>
        <v>40.47</v>
      </c>
      <c r="AS155" s="24"/>
      <c r="AT155" s="25">
        <v>5.5</v>
      </c>
      <c r="AU155" s="339">
        <f>AU156*0.75</f>
        <v>97.140000000000015</v>
      </c>
      <c r="AV155" s="339">
        <f t="shared" ref="AV155:AY155" si="33">AV156*0.75</f>
        <v>104.25</v>
      </c>
      <c r="AW155" s="339">
        <f t="shared" si="33"/>
        <v>89.722499999999997</v>
      </c>
      <c r="AX155" s="339">
        <f t="shared" si="33"/>
        <v>50.534999999999997</v>
      </c>
      <c r="AY155" s="339">
        <f t="shared" si="33"/>
        <v>67.304999999999993</v>
      </c>
      <c r="AZ155" s="24"/>
      <c r="BA155" s="25">
        <v>5.5</v>
      </c>
      <c r="BB155" s="24">
        <f t="shared" si="29"/>
        <v>52.192500000000003</v>
      </c>
      <c r="BC155" s="24" t="s">
        <v>436</v>
      </c>
      <c r="BE155" s="24"/>
      <c r="BF155" s="24">
        <f t="shared" si="30"/>
        <v>52.192500000000003</v>
      </c>
      <c r="BG155" s="24">
        <f t="shared" si="31"/>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1"/>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32770</v>
      </c>
      <c r="BW156" s="14" t="s">
        <v>445</v>
      </c>
      <c r="BX156" s="14" t="s">
        <v>13</v>
      </c>
      <c r="BY156" s="14">
        <f>BY157/BV156</f>
        <v>64.631269453768695</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4">IF($C$58="Base",BF157,BG157)</f>
        <v>84.92</v>
      </c>
      <c r="BC157" s="24" t="s">
        <v>436</v>
      </c>
      <c r="BD157" s="24">
        <f>BB157-BB156</f>
        <v>15.329999999999998</v>
      </c>
      <c r="BE157" s="24"/>
      <c r="BF157" s="24">
        <f t="shared" ref="BF157:BF164" si="35">IF($C$59&gt;7000,"error",IF($C$59&gt;5999,AR157,IF($C$59&gt;4999,AQ157,IF($C$59&gt;3999,AP157,IF($C$59&gt;2999,AO157,IF($C$59&gt;1999,AN157,"Error"))))))</f>
        <v>84.92</v>
      </c>
      <c r="BG157" s="24">
        <f t="shared" si="31"/>
        <v>158.69</v>
      </c>
      <c r="BH157" s="24"/>
      <c r="BI157" s="29" t="s">
        <v>118</v>
      </c>
      <c r="BJ157" s="29">
        <v>810</v>
      </c>
      <c r="BK157" s="29">
        <v>51.33</v>
      </c>
      <c r="BL157" s="24">
        <v>2000</v>
      </c>
      <c r="BM157" s="25"/>
      <c r="BN157" s="24">
        <f>BV161/BV158</f>
        <v>38.452554466230936</v>
      </c>
      <c r="BO157" s="32" t="s">
        <v>447</v>
      </c>
      <c r="BP157" s="179">
        <f>$BY$158/SUM($BY$158:$BY$159)*C64</f>
        <v>61.709528350941497</v>
      </c>
      <c r="BQ157" s="29" t="s">
        <v>448</v>
      </c>
      <c r="BR157" s="29" t="s">
        <v>449</v>
      </c>
      <c r="BS157" s="29" t="s">
        <v>450</v>
      </c>
      <c r="BT157" s="14"/>
      <c r="BU157" s="30" t="s">
        <v>451</v>
      </c>
      <c r="BV157" s="33">
        <f xml:space="preserve"> 5 - 0.5*(BV158-BB156)/BH166</f>
        <v>5.2570277772034739</v>
      </c>
      <c r="BW157" s="14" t="s">
        <v>452</v>
      </c>
      <c r="BX157" s="14" t="s">
        <v>453</v>
      </c>
      <c r="BY157" s="14">
        <f>SUM(BY158:BY159)</f>
        <v>2117966.7000000002</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4"/>
        <v>100.25</v>
      </c>
      <c r="BC158" s="24" t="s">
        <v>436</v>
      </c>
      <c r="BD158" s="24">
        <f t="shared" ref="BD158:BD164" si="36">BB158-BB157</f>
        <v>15.329999999999998</v>
      </c>
      <c r="BE158" s="24"/>
      <c r="BF158" s="24">
        <f t="shared" si="35"/>
        <v>100.25</v>
      </c>
      <c r="BG158" s="24">
        <f t="shared" si="31"/>
        <v>187.86</v>
      </c>
      <c r="BH158" s="24"/>
      <c r="BI158" s="29" t="s">
        <v>150</v>
      </c>
      <c r="BJ158" s="29">
        <v>810</v>
      </c>
      <c r="BK158" s="29">
        <v>51.33</v>
      </c>
      <c r="BL158" s="24">
        <v>3000</v>
      </c>
      <c r="BM158" s="25"/>
      <c r="BN158" s="24">
        <f>BV162/BV163</f>
        <v>606.79074844432228</v>
      </c>
      <c r="BO158" s="24" t="s">
        <v>454</v>
      </c>
      <c r="BP158" s="179">
        <f>$BY$159/SUM($BY$158:$BY$159)*C64</f>
        <v>6.290471649058504</v>
      </c>
      <c r="BQ158" s="29" t="s">
        <v>455</v>
      </c>
      <c r="BR158" s="29" t="s">
        <v>456</v>
      </c>
      <c r="BS158" s="29" t="s">
        <v>457</v>
      </c>
      <c r="BT158" s="14"/>
      <c r="BU158" s="30" t="s">
        <v>458</v>
      </c>
      <c r="BV158" s="31">
        <f>BP157</f>
        <v>61.709528350941497</v>
      </c>
      <c r="BW158" s="14" t="s">
        <v>436</v>
      </c>
      <c r="BX158" s="14" t="s">
        <v>459</v>
      </c>
      <c r="BY158" s="24">
        <f>INDEX($BJ$156:$BJ$161,MATCH($C$57,$BI$156:$BI$161,0))*$C$62</f>
        <v>1922040.09</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4"/>
        <v>115.57</v>
      </c>
      <c r="BC159" s="24" t="s">
        <v>436</v>
      </c>
      <c r="BD159" s="24">
        <f t="shared" si="36"/>
        <v>15.319999999999993</v>
      </c>
      <c r="BE159" s="24"/>
      <c r="BF159" s="24">
        <f t="shared" si="35"/>
        <v>115.57</v>
      </c>
      <c r="BG159" s="24">
        <f t="shared" si="31"/>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179">
        <f>INDEX($BK$156:$BK$161,MATCH($C$57,$BI$156:$BI$161,0))*$C$63</f>
        <v>195926.61</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4"/>
        <v>130.9</v>
      </c>
      <c r="BC160" s="24" t="s">
        <v>436</v>
      </c>
      <c r="BD160" s="24">
        <f t="shared" si="36"/>
        <v>15.330000000000013</v>
      </c>
      <c r="BE160" s="24"/>
      <c r="BF160" s="24">
        <f t="shared" si="35"/>
        <v>130.9</v>
      </c>
      <c r="BG160" s="24">
        <f t="shared" si="31"/>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24">
        <f>((BY158+BY159)/$C$60)*(50/$C$61)</f>
        <v>64.631269453768695</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4"/>
        <v>146.22999999999999</v>
      </c>
      <c r="BC161" s="24" t="s">
        <v>436</v>
      </c>
      <c r="BD161" s="24">
        <f t="shared" si="36"/>
        <v>15.329999999999984</v>
      </c>
      <c r="BE161" s="24"/>
      <c r="BF161" s="24">
        <f t="shared" si="35"/>
        <v>146.22999999999999</v>
      </c>
      <c r="BG161" s="24">
        <f t="shared" si="31"/>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2372.8890000000001</v>
      </c>
      <c r="BW161" s="14" t="s">
        <v>311</v>
      </c>
      <c r="BX161" s="14"/>
      <c r="BY161" s="14"/>
      <c r="BZ161" s="38">
        <f>5-(0.5*(C64-CE177)/(CE176-CE177))</f>
        <v>5.0518590998043056</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4"/>
        <v>161.56</v>
      </c>
      <c r="BC162" s="24" t="s">
        <v>436</v>
      </c>
      <c r="BD162" s="24">
        <f t="shared" si="36"/>
        <v>15.330000000000013</v>
      </c>
      <c r="BE162" s="24"/>
      <c r="BF162" s="24">
        <f t="shared" si="35"/>
        <v>161.56</v>
      </c>
      <c r="BG162" s="24">
        <f t="shared" si="31"/>
        <v>304.55</v>
      </c>
      <c r="BH162" s="24"/>
      <c r="BI162" s="24"/>
      <c r="BJ162" s="24"/>
      <c r="BK162" s="24"/>
      <c r="BL162" s="24"/>
      <c r="BM162" s="37"/>
      <c r="BN162" s="37"/>
      <c r="BO162" s="37"/>
      <c r="BP162" s="37"/>
      <c r="BQ162" s="29" t="s">
        <v>473</v>
      </c>
      <c r="BR162" s="24"/>
      <c r="BS162" s="24"/>
      <c r="BT162" s="14"/>
      <c r="BU162" s="14" t="s">
        <v>474</v>
      </c>
      <c r="BV162" s="31">
        <f>C63</f>
        <v>3817</v>
      </c>
      <c r="BW162" s="14" t="s">
        <v>314</v>
      </c>
      <c r="BX162" s="14"/>
      <c r="BY162" s="14">
        <f>C63*BK156</f>
        <v>195926.61</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4"/>
        <v>176.89</v>
      </c>
      <c r="BC163" s="24" t="s">
        <v>436</v>
      </c>
      <c r="BD163" s="24">
        <f t="shared" si="36"/>
        <v>15.329999999999984</v>
      </c>
      <c r="BE163" s="24"/>
      <c r="BF163" s="24">
        <f t="shared" si="35"/>
        <v>176.89</v>
      </c>
      <c r="BG163" s="24">
        <f t="shared" si="31"/>
        <v>333.72</v>
      </c>
      <c r="BH163" s="24"/>
      <c r="BI163" s="24"/>
      <c r="BJ163" s="24"/>
      <c r="BK163" s="24"/>
      <c r="BL163" s="24"/>
      <c r="BM163" s="37"/>
      <c r="BN163" s="37"/>
      <c r="BO163" s="37"/>
      <c r="BP163" s="37"/>
      <c r="BQ163" s="29" t="s">
        <v>475</v>
      </c>
      <c r="BR163" s="24"/>
      <c r="BS163" s="24"/>
      <c r="BT163" s="14"/>
      <c r="BU163" s="14" t="s">
        <v>476</v>
      </c>
      <c r="BV163" s="38">
        <f>BP158</f>
        <v>6.290471649058504</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4"/>
        <v>192.21</v>
      </c>
      <c r="BC164" s="24" t="s">
        <v>436</v>
      </c>
      <c r="BD164" s="24">
        <f t="shared" si="36"/>
        <v>15.320000000000022</v>
      </c>
      <c r="BE164" s="24"/>
      <c r="BF164" s="24">
        <f t="shared" si="35"/>
        <v>192.21</v>
      </c>
      <c r="BG164" s="24">
        <f t="shared" si="31"/>
        <v>362.89</v>
      </c>
      <c r="BH164" s="24"/>
      <c r="BI164" s="24"/>
      <c r="BJ164" s="24"/>
      <c r="BK164" s="24"/>
      <c r="BL164" s="24"/>
      <c r="BM164" s="37"/>
      <c r="BN164" s="37"/>
      <c r="BO164" s="37"/>
      <c r="BP164" s="37"/>
      <c r="BQ164" s="29" t="s">
        <v>478</v>
      </c>
      <c r="BR164" s="24"/>
      <c r="BS164" s="24"/>
      <c r="BT164" s="14"/>
      <c r="BU164" s="14"/>
      <c r="BV164" s="14">
        <f>BV163+BV158</f>
        <v>68</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f>G66</f>
        <v>45473</v>
      </c>
      <c r="H166" s="206">
        <f t="shared" ref="H166:Q166" si="37">H66</f>
        <v>45838</v>
      </c>
      <c r="I166" s="206">
        <f t="shared" si="37"/>
        <v>46203</v>
      </c>
      <c r="J166" s="206">
        <f t="shared" si="37"/>
        <v>46568</v>
      </c>
      <c r="K166" s="206">
        <f t="shared" si="37"/>
        <v>46934</v>
      </c>
      <c r="L166" s="206">
        <f t="shared" si="37"/>
        <v>47299</v>
      </c>
      <c r="M166" s="206">
        <f t="shared" si="37"/>
        <v>47664</v>
      </c>
      <c r="N166" s="206">
        <f t="shared" si="37"/>
        <v>48029</v>
      </c>
      <c r="O166" s="206">
        <f t="shared" si="37"/>
        <v>48395</v>
      </c>
      <c r="P166" s="206">
        <f t="shared" si="37"/>
        <v>48760</v>
      </c>
      <c r="Q166" s="206">
        <f t="shared" si="37"/>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8">DATE(YEAR(AB166)+1,MONTH(AB166),DAY(AB166))</f>
        <v>46112</v>
      </c>
      <c r="AD166" s="46">
        <f t="shared" si="38"/>
        <v>46477</v>
      </c>
      <c r="AE166" s="46">
        <f t="shared" si="38"/>
        <v>46843</v>
      </c>
      <c r="AF166" s="46">
        <f t="shared" si="38"/>
        <v>47208</v>
      </c>
      <c r="AG166" s="46">
        <f t="shared" si="38"/>
        <v>47573</v>
      </c>
      <c r="AH166" s="46">
        <f t="shared" si="38"/>
        <v>47938</v>
      </c>
      <c r="AI166" s="46">
        <f t="shared" si="38"/>
        <v>48304</v>
      </c>
      <c r="AJ166" s="46">
        <f t="shared" si="38"/>
        <v>48669</v>
      </c>
      <c r="AK166" s="46">
        <f t="shared" si="38"/>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39">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0">IF($E69&lt;G$66,$C69,0)</f>
        <v>0</v>
      </c>
      <c r="H167" s="12">
        <f t="shared" ref="H167:J182" si="41">IF($E69&gt;H$66,0,IF($E69&lt;H$66-365,$C69,0))</f>
        <v>0</v>
      </c>
      <c r="I167" s="12">
        <f t="shared" si="41"/>
        <v>0</v>
      </c>
      <c r="J167" s="12">
        <f t="shared" si="41"/>
        <v>0</v>
      </c>
      <c r="K167" s="12">
        <f t="shared" ref="K167:K209" si="42">IF($E69&lt;K$66,$C69,0)</f>
        <v>0</v>
      </c>
      <c r="L167" s="12">
        <f t="shared" ref="L167:N182" si="43">IF($E69&gt;L$66,0,IF($E69&lt;L$66-365,$C69,0))</f>
        <v>0</v>
      </c>
      <c r="M167" s="12">
        <f t="shared" si="43"/>
        <v>0</v>
      </c>
      <c r="N167" s="12">
        <f t="shared" si="43"/>
        <v>0</v>
      </c>
      <c r="O167" s="12">
        <f t="shared" ref="O167:O209" si="44">IF($E69&lt;O$66,$C69,0)</f>
        <v>0</v>
      </c>
      <c r="P167" s="12">
        <f t="shared" ref="P167:Q182" si="45">IF($E69&gt;P$66,0,IF($E69&lt;P$66-365,$C69,0))</f>
        <v>0</v>
      </c>
      <c r="Q167" s="12">
        <f t="shared" si="45"/>
        <v>0</v>
      </c>
      <c r="T167" s="14"/>
      <c r="U167" s="14"/>
      <c r="V167" s="14"/>
      <c r="W167" s="53">
        <f t="shared" ref="W167:W211" si="46">C68*$BN$160*1000</f>
        <v>0</v>
      </c>
      <c r="X167" s="54" t="e">
        <f t="shared" ref="X167:X211" si="47">-1*F68/W167</f>
        <v>#DIV/0!</v>
      </c>
      <c r="Y167" s="25">
        <f>Z167/$BH$166</f>
        <v>0</v>
      </c>
      <c r="Z167" s="54">
        <f>C68/$BN$157</f>
        <v>0</v>
      </c>
      <c r="AA167" s="54">
        <f t="shared" ref="AA167:AK182" si="48">IF($E68+365&lt;$C$56,0,IF($E68&lt;$C$56,(($E68+365-$C$56)/365)*(($C68/$BN$157)+($D68/$BN$158)),IF($E68&gt;AA$166,0,IF($E68+365&lt;AA$166,($C68/$BN$157)+($D68/$BN$158),((AA$166-$E68)/365)*(($C68/$BN$157)+($D68/$BN$158))))))</f>
        <v>0</v>
      </c>
      <c r="AB167" s="54">
        <f t="shared" si="48"/>
        <v>0</v>
      </c>
      <c r="AC167" s="54">
        <f>IF($E68+365&lt;$C$56,0,IF($E68&lt;$C$56,(($E68+365-$C$56)/365)*(($C68/$BN$157)+($D68/$BN$158)),IF($E68&gt;AC$166,0,IF($E68+365&lt;AC$166,($C68/$BN$157)+($D68/$BN$158),((AC$166-$E68)/365)*(($C68/$BN$157)+($D68/$BN$158))))))</f>
        <v>0</v>
      </c>
      <c r="AD167" s="54">
        <f t="shared" si="48"/>
        <v>0</v>
      </c>
      <c r="AE167" s="54">
        <f t="shared" si="48"/>
        <v>0</v>
      </c>
      <c r="AF167" s="54">
        <f>IF($E68+365&lt;$C$56,0,IF($E68&lt;$C$56,(($E68+365-$C$56)/365)*(($C68/$BN$157)+($D68/$BN$158)),IF($E68&gt;AF$166,0,IF($E68+365&lt;AF$166,($C68/$BN$157)+($D68/$BN$158),((AF$166-$E68)/365)*(($C68/$BN$157)+($D68/$BN$158))))))</f>
        <v>0</v>
      </c>
      <c r="AG167" s="54">
        <f t="shared" si="48"/>
        <v>0</v>
      </c>
      <c r="AH167" s="54">
        <f t="shared" si="48"/>
        <v>0</v>
      </c>
      <c r="AI167" s="54">
        <f t="shared" si="48"/>
        <v>0</v>
      </c>
      <c r="AJ167" s="54">
        <f t="shared" si="48"/>
        <v>0</v>
      </c>
      <c r="AK167" s="54">
        <f t="shared" si="48"/>
        <v>0</v>
      </c>
      <c r="AL167" s="24">
        <f t="shared" ref="AL167:AL213" si="49">IF(G68&lt;&gt;"",C68,0)</f>
        <v>0</v>
      </c>
      <c r="AM167" s="24">
        <f t="shared" ref="AM167:AM213" si="50">IF(G68&lt;&gt;"",D68,0)</f>
        <v>0</v>
      </c>
      <c r="AN167" s="55">
        <f t="shared" ref="AN167:AN213" si="51">IF(W68="Yes",0,F68)</f>
        <v>0</v>
      </c>
      <c r="AO167" s="55">
        <f t="shared" ref="AO167:AO213" si="52">IF(W68="Yes",F68,0)</f>
        <v>0</v>
      </c>
      <c r="AP167" s="24"/>
      <c r="AQ167" s="24"/>
      <c r="AR167" s="24"/>
      <c r="AS167" s="24"/>
      <c r="AT167" s="24"/>
      <c r="AU167" s="24"/>
      <c r="AV167" s="24"/>
      <c r="AW167" s="24"/>
      <c r="AX167" s="24"/>
      <c r="AY167" s="24"/>
      <c r="AZ167" s="24"/>
      <c r="BA167" s="24"/>
      <c r="BB167" s="25"/>
      <c r="BC167" s="24"/>
      <c r="BD167" s="24"/>
      <c r="BE167" s="24">
        <f t="shared" si="39"/>
        <v>84.92</v>
      </c>
      <c r="BF167" s="24" t="s">
        <v>486</v>
      </c>
      <c r="BG167" s="56">
        <f>BV158+($C$64-$BV$158)</f>
        <v>68</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0"/>
        <v>0</v>
      </c>
      <c r="H168" s="12">
        <f t="shared" si="41"/>
        <v>0</v>
      </c>
      <c r="I168" s="12">
        <f t="shared" si="41"/>
        <v>0</v>
      </c>
      <c r="J168" s="12">
        <f t="shared" si="41"/>
        <v>0</v>
      </c>
      <c r="K168" s="12">
        <f t="shared" si="42"/>
        <v>0</v>
      </c>
      <c r="L168" s="12">
        <f t="shared" si="43"/>
        <v>0</v>
      </c>
      <c r="M168" s="12">
        <f t="shared" si="43"/>
        <v>0</v>
      </c>
      <c r="N168" s="12">
        <f t="shared" si="43"/>
        <v>0</v>
      </c>
      <c r="O168" s="12">
        <f t="shared" si="44"/>
        <v>0</v>
      </c>
      <c r="P168" s="12">
        <f t="shared" si="45"/>
        <v>0</v>
      </c>
      <c r="Q168" s="12">
        <f t="shared" si="45"/>
        <v>0</v>
      </c>
      <c r="T168" s="57"/>
      <c r="U168" s="57"/>
      <c r="V168" s="57"/>
      <c r="W168" s="53">
        <f t="shared" si="46"/>
        <v>0</v>
      </c>
      <c r="X168" s="54" t="e">
        <f t="shared" si="47"/>
        <v>#DIV/0!</v>
      </c>
      <c r="Y168" s="54">
        <f t="shared" ref="Y168:Y213" si="53">Z168/$BH$166</f>
        <v>0</v>
      </c>
      <c r="Z168" s="54">
        <f>($C69/$BN$157)+($D69/$BN$158)</f>
        <v>0</v>
      </c>
      <c r="AA168" s="54">
        <f t="shared" si="48"/>
        <v>0</v>
      </c>
      <c r="AB168" s="54">
        <f t="shared" si="48"/>
        <v>0</v>
      </c>
      <c r="AC168" s="54">
        <f t="shared" si="48"/>
        <v>0</v>
      </c>
      <c r="AD168" s="54">
        <f>IF($E69+365&lt;$C$56,0,IF($E69&lt;$C$56,(($E69+365-$C$56)/365)*(($C69/$BN$157)+($D69/$BN$158)),IF($E69&gt;AD$166,0,IF($E69+365&lt;AD$166,($C69/$BN$157)+($D69/$BN$158),((AD$166-$E69)/365)*(($C69/$BN$157)+($D69/$BN$158))))))</f>
        <v>0</v>
      </c>
      <c r="AE168" s="54">
        <f t="shared" si="48"/>
        <v>0</v>
      </c>
      <c r="AF168" s="54">
        <f t="shared" si="48"/>
        <v>0</v>
      </c>
      <c r="AG168" s="54">
        <f t="shared" si="48"/>
        <v>0</v>
      </c>
      <c r="AH168" s="54">
        <f t="shared" si="48"/>
        <v>0</v>
      </c>
      <c r="AI168" s="54">
        <f t="shared" si="48"/>
        <v>0</v>
      </c>
      <c r="AJ168" s="54">
        <f t="shared" si="48"/>
        <v>0</v>
      </c>
      <c r="AK168" s="54">
        <f t="shared" si="48"/>
        <v>0</v>
      </c>
      <c r="AL168" s="24">
        <f t="shared" si="49"/>
        <v>0</v>
      </c>
      <c r="AM168" s="24">
        <f t="shared" si="50"/>
        <v>0</v>
      </c>
      <c r="AN168" s="55">
        <f t="shared" si="51"/>
        <v>0</v>
      </c>
      <c r="AO168" s="55">
        <f t="shared" si="52"/>
        <v>0</v>
      </c>
      <c r="AP168" s="24"/>
      <c r="AQ168" s="24"/>
      <c r="AR168" s="24"/>
      <c r="AS168" s="24"/>
      <c r="AT168" s="24"/>
      <c r="AU168" s="24"/>
      <c r="AV168" s="24"/>
      <c r="AW168" s="24"/>
      <c r="AX168" s="24"/>
      <c r="AY168" s="24"/>
      <c r="AZ168" s="24"/>
      <c r="BA168" s="24"/>
      <c r="BB168" s="24"/>
      <c r="BC168" s="24"/>
      <c r="BD168" s="24"/>
      <c r="BE168" s="24">
        <f t="shared" si="39"/>
        <v>84.92</v>
      </c>
      <c r="BF168" s="59">
        <f>AB166</f>
        <v>45747</v>
      </c>
      <c r="BG168" s="36">
        <f>(BV158+AB214)+($C$64-$BV$158)</f>
        <v>68</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0"/>
        <v>0</v>
      </c>
      <c r="H169" s="12">
        <f t="shared" si="41"/>
        <v>0</v>
      </c>
      <c r="I169" s="12">
        <f t="shared" si="41"/>
        <v>0</v>
      </c>
      <c r="J169" s="12">
        <f t="shared" si="41"/>
        <v>0</v>
      </c>
      <c r="K169" s="12">
        <f t="shared" si="42"/>
        <v>0</v>
      </c>
      <c r="L169" s="12">
        <f t="shared" si="43"/>
        <v>0</v>
      </c>
      <c r="M169" s="12">
        <f t="shared" si="43"/>
        <v>0</v>
      </c>
      <c r="N169" s="12">
        <f t="shared" si="43"/>
        <v>0</v>
      </c>
      <c r="O169" s="12">
        <f t="shared" si="44"/>
        <v>0</v>
      </c>
      <c r="P169" s="12">
        <f t="shared" si="45"/>
        <v>0</v>
      </c>
      <c r="Q169" s="12">
        <f t="shared" si="45"/>
        <v>0</v>
      </c>
      <c r="T169" s="61"/>
      <c r="U169" s="61"/>
      <c r="V169" s="61"/>
      <c r="W169" s="53">
        <f t="shared" si="46"/>
        <v>0</v>
      </c>
      <c r="X169" s="54" t="e">
        <f t="shared" si="47"/>
        <v>#DIV/0!</v>
      </c>
      <c r="Y169" s="343">
        <f>Z169/$BH$166</f>
        <v>0</v>
      </c>
      <c r="Z169" s="54">
        <f>($C70/$BN$157)+($D70/$BN$158)</f>
        <v>0</v>
      </c>
      <c r="AA169" s="54">
        <f t="shared" si="48"/>
        <v>0</v>
      </c>
      <c r="AB169" s="54">
        <f t="shared" si="48"/>
        <v>0</v>
      </c>
      <c r="AC169" s="54">
        <f t="shared" si="48"/>
        <v>0</v>
      </c>
      <c r="AD169" s="54">
        <f>IF($E70+365&lt;$C$56,0,IF($E70&lt;$C$56,(($E70+365-$C$56)/365)*(($C70/$BN$157)+($D70/$BN$158)),IF($E70&gt;AD$166,0,IF($E70+365&lt;AD$166,($C70/$BN$157)+($D70/$BN$158),((AD$166-$E70)/365)*(($C70/$BN$157)+($D70/$BN$158))))))</f>
        <v>0</v>
      </c>
      <c r="AE169" s="54">
        <f t="shared" si="48"/>
        <v>0</v>
      </c>
      <c r="AF169" s="54">
        <f t="shared" si="48"/>
        <v>0</v>
      </c>
      <c r="AG169" s="54">
        <f t="shared" si="48"/>
        <v>0</v>
      </c>
      <c r="AH169" s="54">
        <f t="shared" si="48"/>
        <v>0</v>
      </c>
      <c r="AI169" s="54">
        <f t="shared" si="48"/>
        <v>0</v>
      </c>
      <c r="AJ169" s="54">
        <f t="shared" si="48"/>
        <v>0</v>
      </c>
      <c r="AK169" s="54">
        <f t="shared" si="48"/>
        <v>0</v>
      </c>
      <c r="AL169" s="24">
        <f t="shared" si="49"/>
        <v>0</v>
      </c>
      <c r="AM169" s="24">
        <f t="shared" si="50"/>
        <v>0</v>
      </c>
      <c r="AN169" s="55">
        <f t="shared" si="51"/>
        <v>0</v>
      </c>
      <c r="AO169" s="55">
        <f t="shared" si="52"/>
        <v>0</v>
      </c>
      <c r="AP169" s="24"/>
      <c r="AQ169" s="24"/>
      <c r="AR169" s="24"/>
      <c r="AS169" s="24"/>
      <c r="AT169" s="24"/>
      <c r="AU169" s="24"/>
      <c r="AV169" s="24"/>
      <c r="AW169" s="24"/>
      <c r="AX169" s="24"/>
      <c r="AY169" s="24"/>
      <c r="AZ169" s="24"/>
      <c r="BA169" s="24"/>
      <c r="BB169" s="24"/>
      <c r="BC169" s="24"/>
      <c r="BD169" s="24"/>
      <c r="BE169" s="24">
        <f t="shared" si="39"/>
        <v>84.92</v>
      </c>
      <c r="BF169" s="59">
        <f>BF168+365</f>
        <v>46112</v>
      </c>
      <c r="BG169" s="36">
        <f>BV158+AC214+($C$64-$BV$158)</f>
        <v>68</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4">INDEX(AN156:AR156,MATCH($CE$168,$AN$165:$AR$165,0))</f>
        <v>69.59</v>
      </c>
      <c r="CJ169" s="14">
        <f t="shared" ref="CJ169:CJ177" si="55">INDEX(AU156:AY156,MATCH($CE$168,$AN$165:$AR$165,0))</f>
        <v>129.52000000000001</v>
      </c>
    </row>
    <row r="170" spans="7:88">
      <c r="G170" s="12">
        <f t="shared" si="40"/>
        <v>0</v>
      </c>
      <c r="H170" s="12">
        <f t="shared" si="41"/>
        <v>0</v>
      </c>
      <c r="I170" s="12">
        <f t="shared" si="41"/>
        <v>0</v>
      </c>
      <c r="J170" s="12">
        <f t="shared" si="41"/>
        <v>0</v>
      </c>
      <c r="K170" s="12">
        <f t="shared" si="42"/>
        <v>0</v>
      </c>
      <c r="L170" s="12">
        <f t="shared" si="43"/>
        <v>0</v>
      </c>
      <c r="M170" s="12">
        <f t="shared" si="43"/>
        <v>0</v>
      </c>
      <c r="N170" s="12">
        <f t="shared" si="43"/>
        <v>0</v>
      </c>
      <c r="O170" s="12">
        <f t="shared" si="44"/>
        <v>0</v>
      </c>
      <c r="P170" s="12">
        <f t="shared" si="45"/>
        <v>0</v>
      </c>
      <c r="Q170" s="12">
        <f t="shared" si="45"/>
        <v>0</v>
      </c>
      <c r="T170" s="61"/>
      <c r="U170" s="61"/>
      <c r="V170" s="61"/>
      <c r="W170" s="53">
        <f t="shared" si="46"/>
        <v>0</v>
      </c>
      <c r="X170" s="54" t="e">
        <f t="shared" si="47"/>
        <v>#DIV/0!</v>
      </c>
      <c r="Y170" s="25">
        <f t="shared" si="53"/>
        <v>0</v>
      </c>
      <c r="Z170" s="54">
        <f t="shared" ref="Z170:Z213" si="56">($C71/$BN$157)+($D71/$BN$158)</f>
        <v>0</v>
      </c>
      <c r="AA170" s="54">
        <f t="shared" si="48"/>
        <v>0</v>
      </c>
      <c r="AB170" s="54">
        <f t="shared" si="48"/>
        <v>0</v>
      </c>
      <c r="AC170" s="54">
        <f t="shared" si="48"/>
        <v>0</v>
      </c>
      <c r="AD170" s="54">
        <f t="shared" si="48"/>
        <v>0</v>
      </c>
      <c r="AE170" s="54">
        <f t="shared" si="48"/>
        <v>0</v>
      </c>
      <c r="AF170" s="54">
        <f t="shared" si="48"/>
        <v>0</v>
      </c>
      <c r="AG170" s="54">
        <f t="shared" si="48"/>
        <v>0</v>
      </c>
      <c r="AH170" s="54">
        <f t="shared" si="48"/>
        <v>0</v>
      </c>
      <c r="AI170" s="54">
        <f t="shared" si="48"/>
        <v>0</v>
      </c>
      <c r="AJ170" s="54">
        <f t="shared" si="48"/>
        <v>0</v>
      </c>
      <c r="AK170" s="54">
        <f t="shared" si="48"/>
        <v>0</v>
      </c>
      <c r="AL170" s="24">
        <f t="shared" si="49"/>
        <v>0</v>
      </c>
      <c r="AM170" s="24">
        <f t="shared" si="50"/>
        <v>0</v>
      </c>
      <c r="AN170" s="55">
        <f t="shared" si="51"/>
        <v>0</v>
      </c>
      <c r="AO170" s="55">
        <f t="shared" si="52"/>
        <v>0</v>
      </c>
      <c r="AP170" s="24"/>
      <c r="AQ170" s="24"/>
      <c r="AR170" s="24"/>
      <c r="AS170" s="24"/>
      <c r="AT170" s="24"/>
      <c r="AU170" s="24"/>
      <c r="AV170" s="24"/>
      <c r="AW170" s="24"/>
      <c r="AX170" s="24"/>
      <c r="AY170" s="24"/>
      <c r="AZ170" s="24"/>
      <c r="BA170" s="24"/>
      <c r="BB170" s="24"/>
      <c r="BC170" s="24"/>
      <c r="BD170" s="24"/>
      <c r="BE170" s="24">
        <f t="shared" si="39"/>
        <v>84.92</v>
      </c>
      <c r="BF170" s="59">
        <f>BF169+365</f>
        <v>46477</v>
      </c>
      <c r="BG170" s="36">
        <f>$BV$158+AD214+($C$64-$BV$158)</f>
        <v>68</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4"/>
        <v>84.92</v>
      </c>
      <c r="CJ170" s="14">
        <f t="shared" si="55"/>
        <v>158.69</v>
      </c>
    </row>
    <row r="171" spans="7:88">
      <c r="G171" s="12">
        <f t="shared" si="40"/>
        <v>0</v>
      </c>
      <c r="H171" s="12">
        <f t="shared" si="41"/>
        <v>0</v>
      </c>
      <c r="I171" s="12">
        <f t="shared" si="41"/>
        <v>0</v>
      </c>
      <c r="J171" s="12">
        <f t="shared" si="41"/>
        <v>0</v>
      </c>
      <c r="K171" s="12">
        <f t="shared" si="42"/>
        <v>0</v>
      </c>
      <c r="L171" s="12">
        <f t="shared" si="43"/>
        <v>0</v>
      </c>
      <c r="M171" s="12">
        <f t="shared" si="43"/>
        <v>0</v>
      </c>
      <c r="N171" s="12">
        <f t="shared" si="43"/>
        <v>0</v>
      </c>
      <c r="O171" s="12">
        <f t="shared" si="44"/>
        <v>0</v>
      </c>
      <c r="P171" s="12">
        <f t="shared" si="45"/>
        <v>0</v>
      </c>
      <c r="Q171" s="12">
        <f t="shared" si="45"/>
        <v>0</v>
      </c>
      <c r="T171" s="61"/>
      <c r="U171" s="61"/>
      <c r="V171" s="61"/>
      <c r="W171" s="53">
        <f t="shared" si="46"/>
        <v>0</v>
      </c>
      <c r="X171" s="54" t="e">
        <f t="shared" si="47"/>
        <v>#DIV/0!</v>
      </c>
      <c r="Y171" s="54">
        <f t="shared" si="53"/>
        <v>0</v>
      </c>
      <c r="Z171" s="54">
        <f>($C72/$BN$157)+($D72/$BN$158)</f>
        <v>0</v>
      </c>
      <c r="AA171" s="54">
        <f t="shared" si="48"/>
        <v>0</v>
      </c>
      <c r="AB171" s="54">
        <f t="shared" si="48"/>
        <v>0</v>
      </c>
      <c r="AC171" s="54">
        <f t="shared" si="48"/>
        <v>0</v>
      </c>
      <c r="AD171" s="54">
        <f t="shared" si="48"/>
        <v>0</v>
      </c>
      <c r="AE171" s="54">
        <f t="shared" si="48"/>
        <v>0</v>
      </c>
      <c r="AF171" s="54">
        <f>IF($E72+365&lt;$C$56,0,IF($E72&lt;$C$56,(($E72+365-$C$56)/365)*(($C72/$BN$157)+($D72/$BN$158)),IF($E72&gt;AF$166,0,IF($E72+365&lt;AF$166,($C72/$BN$157)+($D72/$BN$158),((AF$166-$E72)/365)*(($C72/$BN$157)+($D72/$BN$158))))))</f>
        <v>0</v>
      </c>
      <c r="AG171" s="54">
        <f t="shared" si="48"/>
        <v>0</v>
      </c>
      <c r="AH171" s="54">
        <f t="shared" si="48"/>
        <v>0</v>
      </c>
      <c r="AI171" s="54">
        <f t="shared" si="48"/>
        <v>0</v>
      </c>
      <c r="AJ171" s="54">
        <f t="shared" si="48"/>
        <v>0</v>
      </c>
      <c r="AK171" s="54">
        <f t="shared" si="48"/>
        <v>0</v>
      </c>
      <c r="AL171" s="24">
        <f t="shared" si="49"/>
        <v>0</v>
      </c>
      <c r="AM171" s="24">
        <f t="shared" si="50"/>
        <v>0</v>
      </c>
      <c r="AN171" s="55">
        <f t="shared" si="51"/>
        <v>0</v>
      </c>
      <c r="AO171" s="55">
        <f t="shared" si="52"/>
        <v>0</v>
      </c>
      <c r="AP171" s="24"/>
      <c r="AQ171" s="24"/>
      <c r="AR171" s="24"/>
      <c r="AS171" s="24"/>
      <c r="AT171" s="24"/>
      <c r="AU171" s="24"/>
      <c r="AV171" s="24"/>
      <c r="AW171" s="24"/>
      <c r="AX171" s="24"/>
      <c r="AY171" s="24"/>
      <c r="AZ171" s="24"/>
      <c r="BA171" s="24"/>
      <c r="BB171" s="24"/>
      <c r="BC171" s="24"/>
      <c r="BD171" s="24"/>
      <c r="BE171" s="24">
        <f t="shared" si="39"/>
        <v>84.92</v>
      </c>
      <c r="BF171" s="59">
        <f t="shared" ref="BF171:BF176" si="57">BF170+365</f>
        <v>46842</v>
      </c>
      <c r="BG171" s="36">
        <f>$BV$158+AE214+($C$64-$BV$158)</f>
        <v>68</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4"/>
        <v>100.25</v>
      </c>
      <c r="CJ171" s="14">
        <f t="shared" si="55"/>
        <v>187.86</v>
      </c>
    </row>
    <row r="172" spans="7:88">
      <c r="G172" s="12">
        <f t="shared" si="40"/>
        <v>0</v>
      </c>
      <c r="H172" s="12">
        <f t="shared" si="41"/>
        <v>0</v>
      </c>
      <c r="I172" s="12">
        <f t="shared" si="41"/>
        <v>0</v>
      </c>
      <c r="J172" s="12">
        <f t="shared" si="41"/>
        <v>0</v>
      </c>
      <c r="K172" s="12">
        <f t="shared" si="42"/>
        <v>0</v>
      </c>
      <c r="L172" s="12">
        <f t="shared" si="43"/>
        <v>0</v>
      </c>
      <c r="M172" s="12">
        <f t="shared" si="43"/>
        <v>0</v>
      </c>
      <c r="N172" s="12">
        <f t="shared" si="43"/>
        <v>0</v>
      </c>
      <c r="O172" s="12">
        <f t="shared" si="44"/>
        <v>0</v>
      </c>
      <c r="P172" s="12">
        <f t="shared" si="45"/>
        <v>0</v>
      </c>
      <c r="Q172" s="12">
        <f t="shared" si="45"/>
        <v>0</v>
      </c>
      <c r="T172" s="61"/>
      <c r="U172" s="61"/>
      <c r="V172" s="61"/>
      <c r="W172" s="53">
        <f t="shared" si="46"/>
        <v>0</v>
      </c>
      <c r="X172" s="54" t="e">
        <f t="shared" si="47"/>
        <v>#DIV/0!</v>
      </c>
      <c r="Y172" s="25">
        <f>Z172/$BH$166</f>
        <v>0</v>
      </c>
      <c r="Z172" s="54">
        <f t="shared" si="56"/>
        <v>0</v>
      </c>
      <c r="AA172" s="54">
        <f t="shared" si="48"/>
        <v>0</v>
      </c>
      <c r="AB172" s="54">
        <f t="shared" si="48"/>
        <v>0</v>
      </c>
      <c r="AC172" s="54">
        <f t="shared" si="48"/>
        <v>0</v>
      </c>
      <c r="AD172" s="54">
        <f t="shared" si="48"/>
        <v>0</v>
      </c>
      <c r="AE172" s="54">
        <f t="shared" si="48"/>
        <v>0</v>
      </c>
      <c r="AF172" s="54">
        <f t="shared" si="48"/>
        <v>0</v>
      </c>
      <c r="AG172" s="54">
        <f t="shared" si="48"/>
        <v>0</v>
      </c>
      <c r="AH172" s="54">
        <f t="shared" si="48"/>
        <v>0</v>
      </c>
      <c r="AI172" s="54">
        <f t="shared" si="48"/>
        <v>0</v>
      </c>
      <c r="AJ172" s="54">
        <f t="shared" si="48"/>
        <v>0</v>
      </c>
      <c r="AK172" s="54">
        <f t="shared" si="48"/>
        <v>0</v>
      </c>
      <c r="AL172" s="24">
        <f t="shared" si="49"/>
        <v>0</v>
      </c>
      <c r="AM172" s="24">
        <f t="shared" si="50"/>
        <v>0</v>
      </c>
      <c r="AN172" s="55">
        <f t="shared" si="51"/>
        <v>0</v>
      </c>
      <c r="AO172" s="55">
        <f t="shared" si="52"/>
        <v>0</v>
      </c>
      <c r="AP172" s="24"/>
      <c r="AQ172" s="24"/>
      <c r="AR172" s="24"/>
      <c r="AS172" s="24"/>
      <c r="AT172" s="24"/>
      <c r="AU172" s="24"/>
      <c r="AV172" s="24"/>
      <c r="AW172" s="24"/>
      <c r="AX172" s="24"/>
      <c r="AY172" s="24"/>
      <c r="AZ172" s="24"/>
      <c r="BA172" s="24"/>
      <c r="BB172" s="24"/>
      <c r="BC172" s="24"/>
      <c r="BD172" s="24"/>
      <c r="BE172" s="24">
        <f t="shared" si="39"/>
        <v>84.92</v>
      </c>
      <c r="BF172" s="59">
        <f t="shared" si="57"/>
        <v>47207</v>
      </c>
      <c r="BG172" s="36">
        <f>$BV$158+AF214+($C$64-$BV$158)</f>
        <v>68</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4"/>
        <v>115.57</v>
      </c>
      <c r="CJ172" s="14">
        <f t="shared" si="55"/>
        <v>217.04</v>
      </c>
    </row>
    <row r="173" spans="7:88">
      <c r="G173" s="12">
        <f t="shared" si="40"/>
        <v>0</v>
      </c>
      <c r="H173" s="12">
        <f t="shared" si="41"/>
        <v>0</v>
      </c>
      <c r="I173" s="12">
        <f t="shared" si="41"/>
        <v>0</v>
      </c>
      <c r="J173" s="12">
        <f t="shared" si="41"/>
        <v>0</v>
      </c>
      <c r="K173" s="12">
        <f t="shared" si="42"/>
        <v>0</v>
      </c>
      <c r="L173" s="12">
        <f t="shared" si="43"/>
        <v>0</v>
      </c>
      <c r="M173" s="12">
        <f t="shared" si="43"/>
        <v>0</v>
      </c>
      <c r="N173" s="12">
        <f t="shared" si="43"/>
        <v>0</v>
      </c>
      <c r="O173" s="12">
        <f t="shared" si="44"/>
        <v>0</v>
      </c>
      <c r="P173" s="12">
        <f t="shared" si="45"/>
        <v>0</v>
      </c>
      <c r="Q173" s="12">
        <f t="shared" si="45"/>
        <v>0</v>
      </c>
      <c r="T173" s="61"/>
      <c r="U173" s="61"/>
      <c r="V173" s="61"/>
      <c r="W173" s="53">
        <f t="shared" si="46"/>
        <v>0</v>
      </c>
      <c r="X173" s="54" t="e">
        <f t="shared" si="47"/>
        <v>#DIV/0!</v>
      </c>
      <c r="Y173" s="25">
        <f t="shared" si="53"/>
        <v>0</v>
      </c>
      <c r="Z173" s="54">
        <f t="shared" si="56"/>
        <v>0</v>
      </c>
      <c r="AA173" s="54">
        <f t="shared" si="48"/>
        <v>0</v>
      </c>
      <c r="AB173" s="54">
        <f t="shared" si="48"/>
        <v>0</v>
      </c>
      <c r="AC173" s="54">
        <f t="shared" si="48"/>
        <v>0</v>
      </c>
      <c r="AD173" s="54">
        <f t="shared" si="48"/>
        <v>0</v>
      </c>
      <c r="AE173" s="54">
        <f t="shared" si="48"/>
        <v>0</v>
      </c>
      <c r="AF173" s="54">
        <f t="shared" si="48"/>
        <v>0</v>
      </c>
      <c r="AG173" s="54">
        <f t="shared" si="48"/>
        <v>0</v>
      </c>
      <c r="AH173" s="54">
        <f t="shared" si="48"/>
        <v>0</v>
      </c>
      <c r="AI173" s="54">
        <f t="shared" si="48"/>
        <v>0</v>
      </c>
      <c r="AJ173" s="54">
        <f t="shared" si="48"/>
        <v>0</v>
      </c>
      <c r="AK173" s="54">
        <f t="shared" si="48"/>
        <v>0</v>
      </c>
      <c r="AL173" s="24">
        <f t="shared" si="49"/>
        <v>0</v>
      </c>
      <c r="AM173" s="24">
        <f t="shared" si="50"/>
        <v>0</v>
      </c>
      <c r="AN173" s="55">
        <f t="shared" si="51"/>
        <v>0</v>
      </c>
      <c r="AO173" s="55">
        <f t="shared" si="52"/>
        <v>0</v>
      </c>
      <c r="AP173" s="24"/>
      <c r="AQ173" s="24"/>
      <c r="AR173" s="24"/>
      <c r="AS173" s="24"/>
      <c r="AT173" s="24"/>
      <c r="AU173" s="24"/>
      <c r="AV173" s="24"/>
      <c r="AW173" s="24"/>
      <c r="AX173" s="24"/>
      <c r="AY173" s="24"/>
      <c r="AZ173" s="24"/>
      <c r="BA173" s="24"/>
      <c r="BB173" s="24"/>
      <c r="BC173" s="24"/>
      <c r="BD173" s="24"/>
      <c r="BE173" s="24">
        <f t="shared" si="39"/>
        <v>84.92</v>
      </c>
      <c r="BF173" s="59">
        <f t="shared" si="57"/>
        <v>47572</v>
      </c>
      <c r="BG173" s="36">
        <f>$BV$158+AG214+($C$64-$BV$158)</f>
        <v>68</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4"/>
        <v>130.9</v>
      </c>
      <c r="CJ173" s="14">
        <f t="shared" si="55"/>
        <v>246.21</v>
      </c>
    </row>
    <row r="174" spans="7:88">
      <c r="G174" s="12">
        <f t="shared" si="40"/>
        <v>0</v>
      </c>
      <c r="H174" s="12">
        <f t="shared" si="41"/>
        <v>0</v>
      </c>
      <c r="I174" s="12">
        <f t="shared" si="41"/>
        <v>0</v>
      </c>
      <c r="J174" s="12">
        <f t="shared" si="41"/>
        <v>0</v>
      </c>
      <c r="K174" s="12">
        <f t="shared" si="42"/>
        <v>0</v>
      </c>
      <c r="L174" s="12">
        <f t="shared" si="43"/>
        <v>0</v>
      </c>
      <c r="M174" s="12">
        <f t="shared" si="43"/>
        <v>0</v>
      </c>
      <c r="N174" s="12">
        <f t="shared" si="43"/>
        <v>0</v>
      </c>
      <c r="O174" s="12">
        <f t="shared" si="44"/>
        <v>0</v>
      </c>
      <c r="P174" s="12">
        <f t="shared" si="45"/>
        <v>0</v>
      </c>
      <c r="Q174" s="12">
        <f t="shared" si="45"/>
        <v>0</v>
      </c>
      <c r="T174" s="61"/>
      <c r="U174" s="61"/>
      <c r="V174" s="61"/>
      <c r="W174" s="53">
        <f t="shared" si="46"/>
        <v>0</v>
      </c>
      <c r="X174" s="54" t="e">
        <f t="shared" si="47"/>
        <v>#DIV/0!</v>
      </c>
      <c r="Y174" s="25">
        <f t="shared" si="53"/>
        <v>0</v>
      </c>
      <c r="Z174" s="54">
        <f t="shared" si="56"/>
        <v>0</v>
      </c>
      <c r="AA174" s="54">
        <f t="shared" si="48"/>
        <v>0</v>
      </c>
      <c r="AB174" s="54">
        <f t="shared" si="48"/>
        <v>0</v>
      </c>
      <c r="AC174" s="54">
        <f t="shared" si="48"/>
        <v>0</v>
      </c>
      <c r="AD174" s="54">
        <f t="shared" si="48"/>
        <v>0</v>
      </c>
      <c r="AE174" s="54">
        <f t="shared" si="48"/>
        <v>0</v>
      </c>
      <c r="AF174" s="54">
        <f t="shared" si="48"/>
        <v>0</v>
      </c>
      <c r="AG174" s="54">
        <f t="shared" si="48"/>
        <v>0</v>
      </c>
      <c r="AH174" s="54">
        <f t="shared" si="48"/>
        <v>0</v>
      </c>
      <c r="AI174" s="54">
        <f t="shared" si="48"/>
        <v>0</v>
      </c>
      <c r="AJ174" s="54">
        <f t="shared" si="48"/>
        <v>0</v>
      </c>
      <c r="AK174" s="54">
        <f t="shared" si="48"/>
        <v>0</v>
      </c>
      <c r="AL174" s="24">
        <f t="shared" si="49"/>
        <v>0</v>
      </c>
      <c r="AM174" s="24">
        <f t="shared" si="50"/>
        <v>0</v>
      </c>
      <c r="AN174" s="55">
        <f t="shared" si="51"/>
        <v>0</v>
      </c>
      <c r="AO174" s="55">
        <f t="shared" si="52"/>
        <v>0</v>
      </c>
      <c r="AP174" s="24"/>
      <c r="AQ174" s="24"/>
      <c r="AR174" s="24"/>
      <c r="AS174" s="24"/>
      <c r="AT174" s="24"/>
      <c r="AU174" s="24"/>
      <c r="AV174" s="24"/>
      <c r="AW174" s="24"/>
      <c r="AX174" s="24"/>
      <c r="AY174" s="24"/>
      <c r="AZ174" s="24"/>
      <c r="BA174" s="24"/>
      <c r="BB174" s="24"/>
      <c r="BC174" s="24"/>
      <c r="BD174" s="24"/>
      <c r="BE174" s="24">
        <f t="shared" si="39"/>
        <v>84.92</v>
      </c>
      <c r="BF174" s="59">
        <f t="shared" si="57"/>
        <v>47937</v>
      </c>
      <c r="BG174" s="36">
        <f>$BV$158+AH214+($C$64-$BV$158)</f>
        <v>68</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4"/>
        <v>146.22999999999999</v>
      </c>
      <c r="CJ174" s="14">
        <f t="shared" si="55"/>
        <v>275.38</v>
      </c>
    </row>
    <row r="175" spans="7:88">
      <c r="G175" s="12">
        <f t="shared" si="40"/>
        <v>0</v>
      </c>
      <c r="H175" s="12">
        <f t="shared" si="41"/>
        <v>0</v>
      </c>
      <c r="I175" s="12">
        <f t="shared" si="41"/>
        <v>0</v>
      </c>
      <c r="J175" s="12">
        <f t="shared" si="41"/>
        <v>0</v>
      </c>
      <c r="K175" s="12">
        <f t="shared" si="42"/>
        <v>0</v>
      </c>
      <c r="L175" s="12">
        <f t="shared" si="43"/>
        <v>0</v>
      </c>
      <c r="M175" s="12">
        <f t="shared" si="43"/>
        <v>0</v>
      </c>
      <c r="N175" s="12">
        <f t="shared" si="43"/>
        <v>0</v>
      </c>
      <c r="O175" s="12">
        <f t="shared" si="44"/>
        <v>0</v>
      </c>
      <c r="P175" s="12">
        <f t="shared" si="45"/>
        <v>0</v>
      </c>
      <c r="Q175" s="12">
        <f t="shared" si="45"/>
        <v>0</v>
      </c>
      <c r="T175" s="61"/>
      <c r="U175" s="61"/>
      <c r="V175" s="61"/>
      <c r="W175" s="53">
        <f t="shared" si="46"/>
        <v>0</v>
      </c>
      <c r="X175" s="54" t="e">
        <f t="shared" si="47"/>
        <v>#DIV/0!</v>
      </c>
      <c r="Y175" s="25">
        <f t="shared" si="53"/>
        <v>0</v>
      </c>
      <c r="Z175" s="54">
        <f t="shared" si="56"/>
        <v>0</v>
      </c>
      <c r="AA175" s="54">
        <f t="shared" si="48"/>
        <v>0</v>
      </c>
      <c r="AB175" s="54">
        <f t="shared" si="48"/>
        <v>0</v>
      </c>
      <c r="AC175" s="54">
        <f t="shared" si="48"/>
        <v>0</v>
      </c>
      <c r="AD175" s="54">
        <f t="shared" si="48"/>
        <v>0</v>
      </c>
      <c r="AE175" s="54">
        <f t="shared" si="48"/>
        <v>0</v>
      </c>
      <c r="AF175" s="54">
        <f t="shared" si="48"/>
        <v>0</v>
      </c>
      <c r="AG175" s="54">
        <f t="shared" si="48"/>
        <v>0</v>
      </c>
      <c r="AH175" s="54">
        <f t="shared" si="48"/>
        <v>0</v>
      </c>
      <c r="AI175" s="54">
        <f t="shared" si="48"/>
        <v>0</v>
      </c>
      <c r="AJ175" s="54">
        <f t="shared" si="48"/>
        <v>0</v>
      </c>
      <c r="AK175" s="54">
        <f t="shared" si="48"/>
        <v>0</v>
      </c>
      <c r="AL175" s="24">
        <f t="shared" si="49"/>
        <v>0</v>
      </c>
      <c r="AM175" s="24">
        <f t="shared" si="50"/>
        <v>0</v>
      </c>
      <c r="AN175" s="55">
        <f t="shared" si="51"/>
        <v>0</v>
      </c>
      <c r="AO175" s="55">
        <f t="shared" si="52"/>
        <v>0</v>
      </c>
      <c r="AP175" s="24"/>
      <c r="AQ175" s="24"/>
      <c r="AR175" s="24"/>
      <c r="AS175" s="24"/>
      <c r="AT175" s="24"/>
      <c r="AU175" s="24"/>
      <c r="AV175" s="24"/>
      <c r="AW175" s="24"/>
      <c r="AX175" s="24"/>
      <c r="AY175" s="24"/>
      <c r="AZ175" s="24"/>
      <c r="BA175" s="24"/>
      <c r="BB175" s="24"/>
      <c r="BC175" s="24"/>
      <c r="BD175" s="24"/>
      <c r="BE175" s="24">
        <f t="shared" si="39"/>
        <v>84.92</v>
      </c>
      <c r="BF175" s="59">
        <f t="shared" si="57"/>
        <v>48302</v>
      </c>
      <c r="BG175" s="36">
        <f>$BV$158+AI214+($C$64-$BV$158)</f>
        <v>68</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4"/>
        <v>161.56</v>
      </c>
      <c r="CJ175" s="14">
        <f t="shared" si="55"/>
        <v>304.55</v>
      </c>
    </row>
    <row r="176" spans="7:88">
      <c r="G176" s="12">
        <f t="shared" si="40"/>
        <v>0</v>
      </c>
      <c r="H176" s="12">
        <f t="shared" si="41"/>
        <v>0</v>
      </c>
      <c r="I176" s="12">
        <f t="shared" si="41"/>
        <v>0</v>
      </c>
      <c r="J176" s="12">
        <f t="shared" si="41"/>
        <v>0</v>
      </c>
      <c r="K176" s="12">
        <f t="shared" si="42"/>
        <v>0</v>
      </c>
      <c r="L176" s="12">
        <f t="shared" si="43"/>
        <v>0</v>
      </c>
      <c r="M176" s="12">
        <f t="shared" si="43"/>
        <v>0</v>
      </c>
      <c r="N176" s="12">
        <f t="shared" si="43"/>
        <v>0</v>
      </c>
      <c r="O176" s="12">
        <f t="shared" si="44"/>
        <v>0</v>
      </c>
      <c r="P176" s="12">
        <f t="shared" si="45"/>
        <v>0</v>
      </c>
      <c r="Q176" s="12">
        <f t="shared" si="45"/>
        <v>0</v>
      </c>
      <c r="T176" s="61"/>
      <c r="U176" s="61"/>
      <c r="V176" s="61"/>
      <c r="W176" s="53">
        <f t="shared" si="46"/>
        <v>0</v>
      </c>
      <c r="X176" s="54" t="e">
        <f t="shared" si="47"/>
        <v>#DIV/0!</v>
      </c>
      <c r="Y176" s="25">
        <f t="shared" si="53"/>
        <v>0</v>
      </c>
      <c r="Z176" s="54">
        <f t="shared" si="56"/>
        <v>0</v>
      </c>
      <c r="AA176" s="54">
        <f t="shared" si="48"/>
        <v>0</v>
      </c>
      <c r="AB176" s="54">
        <f t="shared" si="48"/>
        <v>0</v>
      </c>
      <c r="AC176" s="54">
        <f t="shared" si="48"/>
        <v>0</v>
      </c>
      <c r="AD176" s="54">
        <f t="shared" si="48"/>
        <v>0</v>
      </c>
      <c r="AE176" s="54">
        <f t="shared" si="48"/>
        <v>0</v>
      </c>
      <c r="AF176" s="54">
        <f t="shared" si="48"/>
        <v>0</v>
      </c>
      <c r="AG176" s="54">
        <f t="shared" si="48"/>
        <v>0</v>
      </c>
      <c r="AH176" s="54">
        <f t="shared" si="48"/>
        <v>0</v>
      </c>
      <c r="AI176" s="54">
        <f t="shared" si="48"/>
        <v>0</v>
      </c>
      <c r="AJ176" s="54">
        <f t="shared" si="48"/>
        <v>0</v>
      </c>
      <c r="AK176" s="54">
        <f t="shared" si="48"/>
        <v>0</v>
      </c>
      <c r="AL176" s="24">
        <f t="shared" si="49"/>
        <v>0</v>
      </c>
      <c r="AM176" s="24">
        <f t="shared" si="50"/>
        <v>0</v>
      </c>
      <c r="AN176" s="55">
        <f t="shared" si="51"/>
        <v>0</v>
      </c>
      <c r="AO176" s="55">
        <f t="shared" si="52"/>
        <v>0</v>
      </c>
      <c r="AP176" s="24"/>
      <c r="AQ176" s="24"/>
      <c r="AR176" s="24"/>
      <c r="AS176" s="24"/>
      <c r="AT176" s="24"/>
      <c r="AU176" s="24"/>
      <c r="AV176" s="24"/>
      <c r="AW176" s="24"/>
      <c r="AX176" s="24"/>
      <c r="AY176" s="24"/>
      <c r="AZ176" s="24"/>
      <c r="BA176" s="24"/>
      <c r="BB176" s="24"/>
      <c r="BC176" s="24"/>
      <c r="BD176" s="24"/>
      <c r="BE176" s="24">
        <f t="shared" si="39"/>
        <v>84.92</v>
      </c>
      <c r="BF176" s="59">
        <f t="shared" si="57"/>
        <v>48667</v>
      </c>
      <c r="BG176" s="36">
        <f>$BV$158+AJ214+($C$64-$BV$158)</f>
        <v>68</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4"/>
        <v>176.89</v>
      </c>
      <c r="CJ176" s="14">
        <f t="shared" si="55"/>
        <v>333.72</v>
      </c>
    </row>
    <row r="177" spans="7:88">
      <c r="G177" s="12">
        <f t="shared" si="40"/>
        <v>0</v>
      </c>
      <c r="H177" s="12">
        <f t="shared" si="41"/>
        <v>0</v>
      </c>
      <c r="I177" s="12">
        <f t="shared" si="41"/>
        <v>0</v>
      </c>
      <c r="J177" s="12">
        <f t="shared" si="41"/>
        <v>0</v>
      </c>
      <c r="K177" s="12">
        <f t="shared" si="42"/>
        <v>0</v>
      </c>
      <c r="L177" s="12">
        <f t="shared" si="43"/>
        <v>0</v>
      </c>
      <c r="M177" s="12">
        <f t="shared" si="43"/>
        <v>0</v>
      </c>
      <c r="N177" s="12">
        <f t="shared" si="43"/>
        <v>0</v>
      </c>
      <c r="O177" s="12">
        <f t="shared" si="44"/>
        <v>0</v>
      </c>
      <c r="P177" s="12">
        <f t="shared" si="45"/>
        <v>0</v>
      </c>
      <c r="Q177" s="12">
        <f t="shared" si="45"/>
        <v>0</v>
      </c>
      <c r="T177" s="61"/>
      <c r="U177" s="61"/>
      <c r="V177" s="61"/>
      <c r="W177" s="53">
        <f t="shared" si="46"/>
        <v>0</v>
      </c>
      <c r="X177" s="54" t="e">
        <f t="shared" si="47"/>
        <v>#DIV/0!</v>
      </c>
      <c r="Y177" s="25">
        <f t="shared" si="53"/>
        <v>0</v>
      </c>
      <c r="Z177" s="54">
        <f t="shared" si="56"/>
        <v>0</v>
      </c>
      <c r="AA177" s="54">
        <f t="shared" si="48"/>
        <v>0</v>
      </c>
      <c r="AB177" s="54">
        <f t="shared" si="48"/>
        <v>0</v>
      </c>
      <c r="AC177" s="54">
        <f t="shared" si="48"/>
        <v>0</v>
      </c>
      <c r="AD177" s="54">
        <f t="shared" si="48"/>
        <v>0</v>
      </c>
      <c r="AE177" s="54">
        <f t="shared" si="48"/>
        <v>0</v>
      </c>
      <c r="AF177" s="54">
        <f t="shared" si="48"/>
        <v>0</v>
      </c>
      <c r="AG177" s="54">
        <f t="shared" si="48"/>
        <v>0</v>
      </c>
      <c r="AH177" s="54">
        <f t="shared" si="48"/>
        <v>0</v>
      </c>
      <c r="AI177" s="54">
        <f t="shared" si="48"/>
        <v>0</v>
      </c>
      <c r="AJ177" s="54">
        <f t="shared" si="48"/>
        <v>0</v>
      </c>
      <c r="AK177" s="54">
        <f t="shared" si="48"/>
        <v>0</v>
      </c>
      <c r="AL177" s="24">
        <f t="shared" si="49"/>
        <v>0</v>
      </c>
      <c r="AM177" s="24">
        <f t="shared" si="50"/>
        <v>0</v>
      </c>
      <c r="AN177" s="55">
        <f t="shared" si="51"/>
        <v>0</v>
      </c>
      <c r="AO177" s="55">
        <f t="shared" si="52"/>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4"/>
        <v>192.21</v>
      </c>
      <c r="CJ177" s="14">
        <f t="shared" si="55"/>
        <v>362.89</v>
      </c>
    </row>
    <row r="178" spans="7:88">
      <c r="G178" s="12">
        <f t="shared" si="40"/>
        <v>0</v>
      </c>
      <c r="H178" s="12">
        <f t="shared" si="41"/>
        <v>0</v>
      </c>
      <c r="I178" s="12">
        <f t="shared" si="41"/>
        <v>0</v>
      </c>
      <c r="J178" s="12">
        <f t="shared" si="41"/>
        <v>0</v>
      </c>
      <c r="K178" s="12">
        <f t="shared" si="42"/>
        <v>0</v>
      </c>
      <c r="L178" s="12">
        <f t="shared" si="43"/>
        <v>0</v>
      </c>
      <c r="M178" s="12">
        <f t="shared" si="43"/>
        <v>0</v>
      </c>
      <c r="N178" s="12">
        <f t="shared" si="43"/>
        <v>0</v>
      </c>
      <c r="O178" s="12">
        <f t="shared" si="44"/>
        <v>0</v>
      </c>
      <c r="P178" s="12">
        <f t="shared" si="45"/>
        <v>0</v>
      </c>
      <c r="Q178" s="12">
        <f t="shared" si="45"/>
        <v>0</v>
      </c>
      <c r="T178" s="61"/>
      <c r="U178" s="61"/>
      <c r="V178" s="61"/>
      <c r="W178" s="53">
        <f t="shared" si="46"/>
        <v>0</v>
      </c>
      <c r="X178" s="54" t="e">
        <f t="shared" si="47"/>
        <v>#DIV/0!</v>
      </c>
      <c r="Y178" s="25">
        <f t="shared" si="53"/>
        <v>0</v>
      </c>
      <c r="Z178" s="54">
        <f t="shared" si="56"/>
        <v>0</v>
      </c>
      <c r="AA178" s="54">
        <f t="shared" si="48"/>
        <v>0</v>
      </c>
      <c r="AB178" s="54">
        <f t="shared" si="48"/>
        <v>0</v>
      </c>
      <c r="AC178" s="54">
        <f>IF($E79+365&lt;$C$56,0,IF($E79&lt;$C$56,(($E79+365-$C$56)/365)*(($C79/$BN$157)+($D79/$BN$158)),IF($E79&gt;AC$166,0,IF($E79+365&lt;AC$166,($C79/$BN$157)+($D79/$BN$158),((AC$166-$E79)/365)*(($C79/$BN$157)+($D79/$BN$158))))))</f>
        <v>0</v>
      </c>
      <c r="AD178" s="54">
        <f t="shared" si="48"/>
        <v>0</v>
      </c>
      <c r="AE178" s="54">
        <f t="shared" si="48"/>
        <v>0</v>
      </c>
      <c r="AF178" s="54">
        <f t="shared" si="48"/>
        <v>0</v>
      </c>
      <c r="AG178" s="54">
        <f t="shared" si="48"/>
        <v>0</v>
      </c>
      <c r="AH178" s="54">
        <f t="shared" si="48"/>
        <v>0</v>
      </c>
      <c r="AI178" s="54">
        <f t="shared" si="48"/>
        <v>0</v>
      </c>
      <c r="AJ178" s="54">
        <f t="shared" si="48"/>
        <v>0</v>
      </c>
      <c r="AK178" s="54">
        <f t="shared" si="48"/>
        <v>0</v>
      </c>
      <c r="AL178" s="24">
        <f t="shared" si="49"/>
        <v>0</v>
      </c>
      <c r="AM178" s="24">
        <f t="shared" si="50"/>
        <v>0</v>
      </c>
      <c r="AN178" s="55">
        <f t="shared" si="51"/>
        <v>0</v>
      </c>
      <c r="AO178" s="55">
        <f t="shared" si="52"/>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0"/>
        <v>0</v>
      </c>
      <c r="H179" s="12">
        <f t="shared" si="41"/>
        <v>0</v>
      </c>
      <c r="I179" s="12">
        <f t="shared" si="41"/>
        <v>0</v>
      </c>
      <c r="J179" s="12">
        <f t="shared" si="41"/>
        <v>0</v>
      </c>
      <c r="K179" s="12">
        <f t="shared" si="42"/>
        <v>0</v>
      </c>
      <c r="L179" s="12">
        <f t="shared" si="43"/>
        <v>0</v>
      </c>
      <c r="M179" s="12">
        <f t="shared" si="43"/>
        <v>0</v>
      </c>
      <c r="N179" s="12">
        <f t="shared" si="43"/>
        <v>0</v>
      </c>
      <c r="O179" s="12">
        <f t="shared" si="44"/>
        <v>0</v>
      </c>
      <c r="P179" s="12">
        <f t="shared" si="45"/>
        <v>0</v>
      </c>
      <c r="Q179" s="12">
        <f t="shared" si="45"/>
        <v>0</v>
      </c>
      <c r="T179" s="61"/>
      <c r="U179" s="61"/>
      <c r="V179" s="61"/>
      <c r="W179" s="53">
        <f t="shared" si="46"/>
        <v>0</v>
      </c>
      <c r="X179" s="54" t="e">
        <f t="shared" si="47"/>
        <v>#DIV/0!</v>
      </c>
      <c r="Y179" s="25">
        <f t="shared" si="53"/>
        <v>0</v>
      </c>
      <c r="Z179" s="54">
        <f t="shared" si="56"/>
        <v>0</v>
      </c>
      <c r="AA179" s="54">
        <f t="shared" si="48"/>
        <v>0</v>
      </c>
      <c r="AB179" s="54">
        <f t="shared" si="48"/>
        <v>0</v>
      </c>
      <c r="AC179" s="54">
        <f t="shared" si="48"/>
        <v>0</v>
      </c>
      <c r="AD179" s="54">
        <f t="shared" si="48"/>
        <v>0</v>
      </c>
      <c r="AE179" s="54">
        <f t="shared" si="48"/>
        <v>0</v>
      </c>
      <c r="AF179" s="54">
        <f t="shared" si="48"/>
        <v>0</v>
      </c>
      <c r="AG179" s="54">
        <f t="shared" si="48"/>
        <v>0</v>
      </c>
      <c r="AH179" s="54">
        <f t="shared" si="48"/>
        <v>0</v>
      </c>
      <c r="AI179" s="54">
        <f t="shared" si="48"/>
        <v>0</v>
      </c>
      <c r="AJ179" s="54">
        <f t="shared" si="48"/>
        <v>0</v>
      </c>
      <c r="AK179" s="54">
        <f t="shared" si="48"/>
        <v>0</v>
      </c>
      <c r="AL179" s="24">
        <f t="shared" si="49"/>
        <v>0</v>
      </c>
      <c r="AM179" s="24">
        <f t="shared" si="50"/>
        <v>0</v>
      </c>
      <c r="AN179" s="55">
        <f t="shared" si="51"/>
        <v>0</v>
      </c>
      <c r="AO179" s="55">
        <f t="shared" si="52"/>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0"/>
        <v>0</v>
      </c>
      <c r="H180" s="12">
        <f t="shared" si="41"/>
        <v>0</v>
      </c>
      <c r="I180" s="12">
        <f t="shared" si="41"/>
        <v>0</v>
      </c>
      <c r="J180" s="12">
        <f t="shared" si="41"/>
        <v>0</v>
      </c>
      <c r="K180" s="12">
        <f t="shared" si="42"/>
        <v>0</v>
      </c>
      <c r="L180" s="12">
        <f t="shared" si="43"/>
        <v>0</v>
      </c>
      <c r="M180" s="12">
        <f t="shared" si="43"/>
        <v>0</v>
      </c>
      <c r="N180" s="12">
        <f t="shared" si="43"/>
        <v>0</v>
      </c>
      <c r="O180" s="12">
        <f t="shared" si="44"/>
        <v>0</v>
      </c>
      <c r="P180" s="12">
        <f t="shared" si="45"/>
        <v>0</v>
      </c>
      <c r="Q180" s="12">
        <f t="shared" si="45"/>
        <v>0</v>
      </c>
      <c r="T180" s="61"/>
      <c r="U180" s="61"/>
      <c r="V180" s="61"/>
      <c r="W180" s="53">
        <f t="shared" si="46"/>
        <v>0</v>
      </c>
      <c r="X180" s="54" t="e">
        <f t="shared" si="47"/>
        <v>#DIV/0!</v>
      </c>
      <c r="Y180" s="25">
        <f t="shared" si="53"/>
        <v>0</v>
      </c>
      <c r="Z180" s="54">
        <f t="shared" si="56"/>
        <v>0</v>
      </c>
      <c r="AA180" s="54">
        <f t="shared" si="48"/>
        <v>0</v>
      </c>
      <c r="AB180" s="54">
        <f t="shared" si="48"/>
        <v>0</v>
      </c>
      <c r="AC180" s="54">
        <f t="shared" si="48"/>
        <v>0</v>
      </c>
      <c r="AD180" s="54">
        <f t="shared" si="48"/>
        <v>0</v>
      </c>
      <c r="AE180" s="54">
        <f t="shared" si="48"/>
        <v>0</v>
      </c>
      <c r="AF180" s="54">
        <f t="shared" si="48"/>
        <v>0</v>
      </c>
      <c r="AG180" s="54">
        <f t="shared" si="48"/>
        <v>0</v>
      </c>
      <c r="AH180" s="54">
        <f t="shared" si="48"/>
        <v>0</v>
      </c>
      <c r="AI180" s="54">
        <f t="shared" si="48"/>
        <v>0</v>
      </c>
      <c r="AJ180" s="54">
        <f t="shared" si="48"/>
        <v>0</v>
      </c>
      <c r="AK180" s="54">
        <f t="shared" si="48"/>
        <v>0</v>
      </c>
      <c r="AL180" s="24">
        <f t="shared" si="49"/>
        <v>0</v>
      </c>
      <c r="AM180" s="24">
        <f t="shared" si="50"/>
        <v>0</v>
      </c>
      <c r="AN180" s="55">
        <f t="shared" si="51"/>
        <v>0</v>
      </c>
      <c r="AO180" s="55">
        <f t="shared" si="52"/>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0"/>
        <v>0</v>
      </c>
      <c r="H181" s="12">
        <f t="shared" si="41"/>
        <v>0</v>
      </c>
      <c r="I181" s="12">
        <f t="shared" si="41"/>
        <v>0</v>
      </c>
      <c r="J181" s="12">
        <f t="shared" si="41"/>
        <v>0</v>
      </c>
      <c r="K181" s="12">
        <f t="shared" si="42"/>
        <v>0</v>
      </c>
      <c r="L181" s="12">
        <f t="shared" si="43"/>
        <v>0</v>
      </c>
      <c r="M181" s="12">
        <f t="shared" si="43"/>
        <v>0</v>
      </c>
      <c r="N181" s="12">
        <f t="shared" si="43"/>
        <v>0</v>
      </c>
      <c r="O181" s="12">
        <f t="shared" si="44"/>
        <v>0</v>
      </c>
      <c r="P181" s="12">
        <f t="shared" si="45"/>
        <v>0</v>
      </c>
      <c r="Q181" s="12">
        <f t="shared" si="45"/>
        <v>0</v>
      </c>
      <c r="T181" s="61"/>
      <c r="U181" s="61"/>
      <c r="V181" s="61"/>
      <c r="W181" s="53">
        <f t="shared" si="46"/>
        <v>0</v>
      </c>
      <c r="X181" s="54" t="e">
        <f t="shared" si="47"/>
        <v>#DIV/0!</v>
      </c>
      <c r="Y181" s="25">
        <f t="shared" si="53"/>
        <v>0</v>
      </c>
      <c r="Z181" s="54">
        <f t="shared" si="56"/>
        <v>0</v>
      </c>
      <c r="AA181" s="54">
        <f t="shared" si="48"/>
        <v>0</v>
      </c>
      <c r="AB181" s="54">
        <f t="shared" si="48"/>
        <v>0</v>
      </c>
      <c r="AC181" s="54">
        <f t="shared" si="48"/>
        <v>0</v>
      </c>
      <c r="AD181" s="54">
        <f t="shared" si="48"/>
        <v>0</v>
      </c>
      <c r="AE181" s="54">
        <f t="shared" si="48"/>
        <v>0</v>
      </c>
      <c r="AF181" s="54">
        <f t="shared" si="48"/>
        <v>0</v>
      </c>
      <c r="AG181" s="54">
        <f t="shared" si="48"/>
        <v>0</v>
      </c>
      <c r="AH181" s="54">
        <f t="shared" si="48"/>
        <v>0</v>
      </c>
      <c r="AI181" s="54">
        <f t="shared" si="48"/>
        <v>0</v>
      </c>
      <c r="AJ181" s="54">
        <f t="shared" si="48"/>
        <v>0</v>
      </c>
      <c r="AK181" s="54">
        <f t="shared" si="48"/>
        <v>0</v>
      </c>
      <c r="AL181" s="24">
        <f t="shared" si="49"/>
        <v>0</v>
      </c>
      <c r="AM181" s="24">
        <f t="shared" si="50"/>
        <v>0</v>
      </c>
      <c r="AN181" s="55">
        <f t="shared" si="51"/>
        <v>0</v>
      </c>
      <c r="AO181" s="55">
        <f t="shared" si="52"/>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0"/>
        <v>0</v>
      </c>
      <c r="H182" s="12">
        <f t="shared" si="41"/>
        <v>0</v>
      </c>
      <c r="I182" s="12">
        <f t="shared" si="41"/>
        <v>0</v>
      </c>
      <c r="J182" s="12">
        <f t="shared" si="41"/>
        <v>0</v>
      </c>
      <c r="K182" s="12">
        <f t="shared" si="42"/>
        <v>0</v>
      </c>
      <c r="L182" s="12">
        <f t="shared" si="43"/>
        <v>0</v>
      </c>
      <c r="M182" s="12">
        <f t="shared" si="43"/>
        <v>0</v>
      </c>
      <c r="N182" s="12">
        <f t="shared" si="43"/>
        <v>0</v>
      </c>
      <c r="O182" s="12">
        <f t="shared" si="44"/>
        <v>0</v>
      </c>
      <c r="P182" s="12">
        <f t="shared" si="45"/>
        <v>0</v>
      </c>
      <c r="Q182" s="12">
        <f t="shared" si="45"/>
        <v>0</v>
      </c>
      <c r="T182" s="61"/>
      <c r="U182" s="61"/>
      <c r="V182" s="61"/>
      <c r="W182" s="53">
        <f t="shared" si="46"/>
        <v>0</v>
      </c>
      <c r="X182" s="54" t="e">
        <f t="shared" si="47"/>
        <v>#DIV/0!</v>
      </c>
      <c r="Y182" s="25">
        <f t="shared" si="53"/>
        <v>0</v>
      </c>
      <c r="Z182" s="54">
        <f t="shared" si="56"/>
        <v>0</v>
      </c>
      <c r="AA182" s="54">
        <f t="shared" si="48"/>
        <v>0</v>
      </c>
      <c r="AB182" s="54">
        <f t="shared" si="48"/>
        <v>0</v>
      </c>
      <c r="AC182" s="54">
        <f t="shared" si="48"/>
        <v>0</v>
      </c>
      <c r="AD182" s="54">
        <f t="shared" si="48"/>
        <v>0</v>
      </c>
      <c r="AE182" s="54">
        <f t="shared" si="48"/>
        <v>0</v>
      </c>
      <c r="AF182" s="54">
        <f t="shared" si="48"/>
        <v>0</v>
      </c>
      <c r="AG182" s="54">
        <f t="shared" si="48"/>
        <v>0</v>
      </c>
      <c r="AH182" s="54">
        <f t="shared" si="48"/>
        <v>0</v>
      </c>
      <c r="AI182" s="54">
        <f t="shared" si="48"/>
        <v>0</v>
      </c>
      <c r="AJ182" s="54">
        <f t="shared" si="48"/>
        <v>0</v>
      </c>
      <c r="AK182" s="54">
        <f t="shared" si="48"/>
        <v>0</v>
      </c>
      <c r="AL182" s="24">
        <f t="shared" si="49"/>
        <v>0</v>
      </c>
      <c r="AM182" s="24">
        <f t="shared" si="50"/>
        <v>0</v>
      </c>
      <c r="AN182" s="55">
        <f t="shared" si="51"/>
        <v>0</v>
      </c>
      <c r="AO182" s="55">
        <f t="shared" si="52"/>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0"/>
        <v>0</v>
      </c>
      <c r="H183" s="12">
        <f t="shared" ref="H183:J198" si="58">IF($E85&gt;H$66,0,IF($E85&lt;H$66-365,$C85,0))</f>
        <v>0</v>
      </c>
      <c r="I183" s="12">
        <f t="shared" si="58"/>
        <v>0</v>
      </c>
      <c r="J183" s="12">
        <f t="shared" si="58"/>
        <v>0</v>
      </c>
      <c r="K183" s="12">
        <f t="shared" si="42"/>
        <v>0</v>
      </c>
      <c r="L183" s="12">
        <f t="shared" ref="L183:N198" si="59">IF($E85&gt;L$66,0,IF($E85&lt;L$66-365,$C85,0))</f>
        <v>0</v>
      </c>
      <c r="M183" s="12">
        <f t="shared" si="59"/>
        <v>0</v>
      </c>
      <c r="N183" s="12">
        <f t="shared" si="59"/>
        <v>0</v>
      </c>
      <c r="O183" s="12">
        <f t="shared" si="44"/>
        <v>0</v>
      </c>
      <c r="P183" s="12">
        <f t="shared" ref="P183:Q198" si="60">IF($E85&gt;P$66,0,IF($E85&lt;P$66-365,$C85,0))</f>
        <v>0</v>
      </c>
      <c r="Q183" s="12">
        <f t="shared" si="60"/>
        <v>0</v>
      </c>
      <c r="T183" s="61"/>
      <c r="U183" s="61"/>
      <c r="V183" s="61"/>
      <c r="W183" s="53">
        <f t="shared" si="46"/>
        <v>0</v>
      </c>
      <c r="X183" s="54" t="e">
        <f t="shared" si="47"/>
        <v>#DIV/0!</v>
      </c>
      <c r="Y183" s="25">
        <f t="shared" si="53"/>
        <v>0</v>
      </c>
      <c r="Z183" s="54">
        <f t="shared" si="56"/>
        <v>0</v>
      </c>
      <c r="AA183" s="54">
        <f t="shared" ref="AA183:AK198" si="61">IF($E84+365&lt;$C$56,0,IF($E84&lt;$C$56,(($E84+365-$C$56)/365)*(($C84/$BN$157)+($D84/$BN$158)),IF($E84&gt;AA$166,0,IF($E84+365&lt;AA$166,($C84/$BN$157)+($D84/$BN$158),((AA$166-$E84)/365)*(($C84/$BN$157)+($D84/$BN$158))))))</f>
        <v>0</v>
      </c>
      <c r="AB183" s="54">
        <f t="shared" si="61"/>
        <v>0</v>
      </c>
      <c r="AC183" s="54">
        <f t="shared" si="61"/>
        <v>0</v>
      </c>
      <c r="AD183" s="54">
        <f t="shared" si="61"/>
        <v>0</v>
      </c>
      <c r="AE183" s="54">
        <f t="shared" si="61"/>
        <v>0</v>
      </c>
      <c r="AF183" s="54">
        <f t="shared" si="61"/>
        <v>0</v>
      </c>
      <c r="AG183" s="54">
        <f t="shared" si="61"/>
        <v>0</v>
      </c>
      <c r="AH183" s="54">
        <f t="shared" si="61"/>
        <v>0</v>
      </c>
      <c r="AI183" s="54">
        <f t="shared" si="61"/>
        <v>0</v>
      </c>
      <c r="AJ183" s="54">
        <f t="shared" si="61"/>
        <v>0</v>
      </c>
      <c r="AK183" s="54">
        <f t="shared" si="61"/>
        <v>0</v>
      </c>
      <c r="AL183" s="24">
        <f t="shared" si="49"/>
        <v>0</v>
      </c>
      <c r="AM183" s="24">
        <f t="shared" si="50"/>
        <v>0</v>
      </c>
      <c r="AN183" s="55">
        <f t="shared" si="51"/>
        <v>0</v>
      </c>
      <c r="AO183" s="55">
        <f t="shared" si="52"/>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0"/>
        <v>0</v>
      </c>
      <c r="H184" s="12">
        <f t="shared" si="58"/>
        <v>0</v>
      </c>
      <c r="I184" s="12">
        <f t="shared" si="58"/>
        <v>0</v>
      </c>
      <c r="J184" s="12">
        <f t="shared" si="58"/>
        <v>0</v>
      </c>
      <c r="K184" s="12">
        <f t="shared" si="42"/>
        <v>0</v>
      </c>
      <c r="L184" s="12">
        <f t="shared" si="59"/>
        <v>0</v>
      </c>
      <c r="M184" s="12">
        <f t="shared" si="59"/>
        <v>0</v>
      </c>
      <c r="N184" s="12">
        <f t="shared" si="59"/>
        <v>0</v>
      </c>
      <c r="O184" s="12">
        <f t="shared" si="44"/>
        <v>0</v>
      </c>
      <c r="P184" s="12">
        <f t="shared" si="60"/>
        <v>0</v>
      </c>
      <c r="Q184" s="12">
        <f t="shared" si="60"/>
        <v>0</v>
      </c>
      <c r="T184" s="61"/>
      <c r="U184" s="61"/>
      <c r="V184" s="61"/>
      <c r="W184" s="53">
        <f t="shared" si="46"/>
        <v>0</v>
      </c>
      <c r="X184" s="54" t="e">
        <f t="shared" si="47"/>
        <v>#DIV/0!</v>
      </c>
      <c r="Y184" s="25">
        <f t="shared" si="53"/>
        <v>0</v>
      </c>
      <c r="Z184" s="54">
        <f t="shared" si="56"/>
        <v>0</v>
      </c>
      <c r="AA184" s="54">
        <f t="shared" si="61"/>
        <v>0</v>
      </c>
      <c r="AB184" s="54">
        <f t="shared" si="61"/>
        <v>0</v>
      </c>
      <c r="AC184" s="54">
        <f t="shared" si="61"/>
        <v>0</v>
      </c>
      <c r="AD184" s="54">
        <f t="shared" si="61"/>
        <v>0</v>
      </c>
      <c r="AE184" s="54">
        <f t="shared" si="61"/>
        <v>0</v>
      </c>
      <c r="AF184" s="54">
        <f t="shared" si="61"/>
        <v>0</v>
      </c>
      <c r="AG184" s="54">
        <f t="shared" si="61"/>
        <v>0</v>
      </c>
      <c r="AH184" s="54">
        <f t="shared" si="61"/>
        <v>0</v>
      </c>
      <c r="AI184" s="54">
        <f t="shared" si="61"/>
        <v>0</v>
      </c>
      <c r="AJ184" s="54">
        <f t="shared" si="61"/>
        <v>0</v>
      </c>
      <c r="AK184" s="54">
        <f t="shared" si="61"/>
        <v>0</v>
      </c>
      <c r="AL184" s="24">
        <f t="shared" si="49"/>
        <v>0</v>
      </c>
      <c r="AM184" s="24">
        <f t="shared" si="50"/>
        <v>0</v>
      </c>
      <c r="AN184" s="55">
        <f t="shared" si="51"/>
        <v>0</v>
      </c>
      <c r="AO184" s="55">
        <f t="shared" si="52"/>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0"/>
        <v>0</v>
      </c>
      <c r="H185" s="12">
        <f t="shared" si="58"/>
        <v>0</v>
      </c>
      <c r="I185" s="12">
        <f t="shared" si="58"/>
        <v>0</v>
      </c>
      <c r="J185" s="12">
        <f t="shared" si="58"/>
        <v>0</v>
      </c>
      <c r="K185" s="12">
        <f t="shared" si="42"/>
        <v>0</v>
      </c>
      <c r="L185" s="12">
        <f t="shared" si="59"/>
        <v>0</v>
      </c>
      <c r="M185" s="12">
        <f t="shared" si="59"/>
        <v>0</v>
      </c>
      <c r="N185" s="12">
        <f t="shared" si="59"/>
        <v>0</v>
      </c>
      <c r="O185" s="12">
        <f t="shared" si="44"/>
        <v>0</v>
      </c>
      <c r="P185" s="12">
        <f t="shared" si="60"/>
        <v>0</v>
      </c>
      <c r="Q185" s="12">
        <f t="shared" si="60"/>
        <v>0</v>
      </c>
      <c r="T185" s="61"/>
      <c r="U185" s="61"/>
      <c r="V185" s="61"/>
      <c r="W185" s="53">
        <f t="shared" si="46"/>
        <v>0</v>
      </c>
      <c r="X185" s="54" t="e">
        <f t="shared" si="47"/>
        <v>#DIV/0!</v>
      </c>
      <c r="Y185" s="25">
        <f t="shared" si="53"/>
        <v>0</v>
      </c>
      <c r="Z185" s="54">
        <f t="shared" si="56"/>
        <v>0</v>
      </c>
      <c r="AA185" s="54">
        <f t="shared" si="61"/>
        <v>0</v>
      </c>
      <c r="AB185" s="54">
        <f t="shared" si="61"/>
        <v>0</v>
      </c>
      <c r="AC185" s="54">
        <f t="shared" si="61"/>
        <v>0</v>
      </c>
      <c r="AD185" s="54">
        <f t="shared" si="61"/>
        <v>0</v>
      </c>
      <c r="AE185" s="54">
        <f t="shared" si="61"/>
        <v>0</v>
      </c>
      <c r="AF185" s="54">
        <f t="shared" si="61"/>
        <v>0</v>
      </c>
      <c r="AG185" s="54">
        <f t="shared" si="61"/>
        <v>0</v>
      </c>
      <c r="AH185" s="54">
        <f t="shared" si="61"/>
        <v>0</v>
      </c>
      <c r="AI185" s="54">
        <f t="shared" si="61"/>
        <v>0</v>
      </c>
      <c r="AJ185" s="54">
        <f t="shared" si="61"/>
        <v>0</v>
      </c>
      <c r="AK185" s="54">
        <f t="shared" si="61"/>
        <v>0</v>
      </c>
      <c r="AL185" s="24">
        <f t="shared" si="49"/>
        <v>0</v>
      </c>
      <c r="AM185" s="24">
        <f t="shared" si="50"/>
        <v>0</v>
      </c>
      <c r="AN185" s="55">
        <f t="shared" si="51"/>
        <v>0</v>
      </c>
      <c r="AO185" s="55">
        <f t="shared" si="52"/>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0"/>
        <v>0</v>
      </c>
      <c r="H186" s="12">
        <f t="shared" si="58"/>
        <v>0</v>
      </c>
      <c r="I186" s="12">
        <f t="shared" si="58"/>
        <v>0</v>
      </c>
      <c r="J186" s="12">
        <f t="shared" si="58"/>
        <v>0</v>
      </c>
      <c r="K186" s="12">
        <f t="shared" si="42"/>
        <v>0</v>
      </c>
      <c r="L186" s="12">
        <f t="shared" si="59"/>
        <v>0</v>
      </c>
      <c r="M186" s="12">
        <f t="shared" si="59"/>
        <v>0</v>
      </c>
      <c r="N186" s="12">
        <f t="shared" si="59"/>
        <v>0</v>
      </c>
      <c r="O186" s="12">
        <f t="shared" si="44"/>
        <v>0</v>
      </c>
      <c r="P186" s="12">
        <f t="shared" si="60"/>
        <v>0</v>
      </c>
      <c r="Q186" s="12">
        <f t="shared" si="60"/>
        <v>0</v>
      </c>
      <c r="T186" s="61"/>
      <c r="U186" s="61"/>
      <c r="V186" s="61"/>
      <c r="W186" s="53">
        <f t="shared" si="46"/>
        <v>0</v>
      </c>
      <c r="X186" s="54" t="e">
        <f t="shared" si="47"/>
        <v>#DIV/0!</v>
      </c>
      <c r="Y186" s="25">
        <f t="shared" si="53"/>
        <v>0</v>
      </c>
      <c r="Z186" s="54">
        <f t="shared" si="56"/>
        <v>0</v>
      </c>
      <c r="AA186" s="54">
        <f t="shared" si="61"/>
        <v>0</v>
      </c>
      <c r="AB186" s="54">
        <f t="shared" si="61"/>
        <v>0</v>
      </c>
      <c r="AC186" s="54">
        <f t="shared" si="61"/>
        <v>0</v>
      </c>
      <c r="AD186" s="54">
        <f t="shared" si="61"/>
        <v>0</v>
      </c>
      <c r="AE186" s="54">
        <f t="shared" si="61"/>
        <v>0</v>
      </c>
      <c r="AF186" s="54">
        <f t="shared" si="61"/>
        <v>0</v>
      </c>
      <c r="AG186" s="54">
        <f t="shared" si="61"/>
        <v>0</v>
      </c>
      <c r="AH186" s="54">
        <f t="shared" si="61"/>
        <v>0</v>
      </c>
      <c r="AI186" s="54">
        <f t="shared" si="61"/>
        <v>0</v>
      </c>
      <c r="AJ186" s="54">
        <f t="shared" si="61"/>
        <v>0</v>
      </c>
      <c r="AK186" s="54">
        <f t="shared" si="61"/>
        <v>0</v>
      </c>
      <c r="AL186" s="24">
        <f t="shared" si="49"/>
        <v>0</v>
      </c>
      <c r="AM186" s="24">
        <f t="shared" si="50"/>
        <v>0</v>
      </c>
      <c r="AN186" s="55">
        <f t="shared" si="51"/>
        <v>0</v>
      </c>
      <c r="AO186" s="55">
        <f t="shared" si="52"/>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0"/>
        <v>0</v>
      </c>
      <c r="H187" s="12">
        <f t="shared" si="58"/>
        <v>0</v>
      </c>
      <c r="I187" s="12">
        <f t="shared" si="58"/>
        <v>0</v>
      </c>
      <c r="J187" s="12">
        <f t="shared" si="58"/>
        <v>0</v>
      </c>
      <c r="K187" s="12">
        <f t="shared" si="42"/>
        <v>0</v>
      </c>
      <c r="L187" s="12">
        <f t="shared" si="59"/>
        <v>0</v>
      </c>
      <c r="M187" s="12">
        <f t="shared" si="59"/>
        <v>0</v>
      </c>
      <c r="N187" s="12">
        <f t="shared" si="59"/>
        <v>0</v>
      </c>
      <c r="O187" s="12">
        <f t="shared" si="44"/>
        <v>0</v>
      </c>
      <c r="P187" s="12">
        <f t="shared" si="60"/>
        <v>0</v>
      </c>
      <c r="Q187" s="12">
        <f t="shared" si="60"/>
        <v>0</v>
      </c>
      <c r="T187" s="61"/>
      <c r="U187" s="61"/>
      <c r="V187" s="61"/>
      <c r="W187" s="53">
        <f t="shared" si="46"/>
        <v>0</v>
      </c>
      <c r="X187" s="54" t="e">
        <f t="shared" si="47"/>
        <v>#DIV/0!</v>
      </c>
      <c r="Y187" s="25">
        <f t="shared" si="53"/>
        <v>0</v>
      </c>
      <c r="Z187" s="54">
        <f t="shared" si="56"/>
        <v>0</v>
      </c>
      <c r="AA187" s="54">
        <f t="shared" si="61"/>
        <v>0</v>
      </c>
      <c r="AB187" s="54">
        <f t="shared" si="61"/>
        <v>0</v>
      </c>
      <c r="AC187" s="54">
        <f t="shared" si="61"/>
        <v>0</v>
      </c>
      <c r="AD187" s="54">
        <f t="shared" si="61"/>
        <v>0</v>
      </c>
      <c r="AE187" s="54">
        <f t="shared" si="61"/>
        <v>0</v>
      </c>
      <c r="AF187" s="54">
        <f t="shared" si="61"/>
        <v>0</v>
      </c>
      <c r="AG187" s="54">
        <f t="shared" si="61"/>
        <v>0</v>
      </c>
      <c r="AH187" s="54">
        <f t="shared" si="61"/>
        <v>0</v>
      </c>
      <c r="AI187" s="54">
        <f t="shared" si="61"/>
        <v>0</v>
      </c>
      <c r="AJ187" s="54">
        <f t="shared" si="61"/>
        <v>0</v>
      </c>
      <c r="AK187" s="54">
        <f t="shared" si="61"/>
        <v>0</v>
      </c>
      <c r="AL187" s="24">
        <f t="shared" si="49"/>
        <v>0</v>
      </c>
      <c r="AM187" s="24">
        <f t="shared" si="50"/>
        <v>0</v>
      </c>
      <c r="AN187" s="55">
        <f t="shared" si="51"/>
        <v>0</v>
      </c>
      <c r="AO187" s="55">
        <f t="shared" si="52"/>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0"/>
        <v>0</v>
      </c>
      <c r="H188" s="12">
        <f t="shared" si="58"/>
        <v>0</v>
      </c>
      <c r="I188" s="12">
        <f t="shared" si="58"/>
        <v>0</v>
      </c>
      <c r="J188" s="12">
        <f t="shared" si="58"/>
        <v>0</v>
      </c>
      <c r="K188" s="12">
        <f t="shared" si="42"/>
        <v>0</v>
      </c>
      <c r="L188" s="12">
        <f t="shared" si="59"/>
        <v>0</v>
      </c>
      <c r="M188" s="12">
        <f t="shared" si="59"/>
        <v>0</v>
      </c>
      <c r="N188" s="12">
        <f t="shared" si="59"/>
        <v>0</v>
      </c>
      <c r="O188" s="12">
        <f t="shared" si="44"/>
        <v>0</v>
      </c>
      <c r="P188" s="12">
        <f t="shared" si="60"/>
        <v>0</v>
      </c>
      <c r="Q188" s="12">
        <f t="shared" si="60"/>
        <v>0</v>
      </c>
      <c r="T188" s="61"/>
      <c r="U188" s="61"/>
      <c r="V188" s="61"/>
      <c r="W188" s="53">
        <f t="shared" si="46"/>
        <v>0</v>
      </c>
      <c r="X188" s="54" t="e">
        <f t="shared" si="47"/>
        <v>#DIV/0!</v>
      </c>
      <c r="Y188" s="25">
        <f t="shared" si="53"/>
        <v>0</v>
      </c>
      <c r="Z188" s="54">
        <f t="shared" si="56"/>
        <v>0</v>
      </c>
      <c r="AA188" s="54">
        <f t="shared" si="61"/>
        <v>0</v>
      </c>
      <c r="AB188" s="54">
        <f t="shared" si="61"/>
        <v>0</v>
      </c>
      <c r="AC188" s="54">
        <f t="shared" si="61"/>
        <v>0</v>
      </c>
      <c r="AD188" s="54">
        <f t="shared" si="61"/>
        <v>0</v>
      </c>
      <c r="AE188" s="54">
        <f t="shared" si="61"/>
        <v>0</v>
      </c>
      <c r="AF188" s="54">
        <f t="shared" si="61"/>
        <v>0</v>
      </c>
      <c r="AG188" s="54">
        <f t="shared" si="61"/>
        <v>0</v>
      </c>
      <c r="AH188" s="54">
        <f t="shared" si="61"/>
        <v>0</v>
      </c>
      <c r="AI188" s="54">
        <f t="shared" si="61"/>
        <v>0</v>
      </c>
      <c r="AJ188" s="54">
        <f t="shared" si="61"/>
        <v>0</v>
      </c>
      <c r="AK188" s="54">
        <f t="shared" si="61"/>
        <v>0</v>
      </c>
      <c r="AL188" s="24">
        <f t="shared" si="49"/>
        <v>0</v>
      </c>
      <c r="AM188" s="24">
        <f t="shared" si="50"/>
        <v>0</v>
      </c>
      <c r="AN188" s="55">
        <f t="shared" si="51"/>
        <v>0</v>
      </c>
      <c r="AO188" s="55">
        <f t="shared" si="52"/>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0"/>
        <v>0</v>
      </c>
      <c r="H189" s="12">
        <f t="shared" si="58"/>
        <v>0</v>
      </c>
      <c r="I189" s="12">
        <f t="shared" si="58"/>
        <v>0</v>
      </c>
      <c r="J189" s="12">
        <f t="shared" si="58"/>
        <v>0</v>
      </c>
      <c r="K189" s="12">
        <f t="shared" si="42"/>
        <v>0</v>
      </c>
      <c r="L189" s="12">
        <f t="shared" si="59"/>
        <v>0</v>
      </c>
      <c r="M189" s="12">
        <f t="shared" si="59"/>
        <v>0</v>
      </c>
      <c r="N189" s="12">
        <f t="shared" si="59"/>
        <v>0</v>
      </c>
      <c r="O189" s="12">
        <f t="shared" si="44"/>
        <v>0</v>
      </c>
      <c r="P189" s="12">
        <f t="shared" si="60"/>
        <v>0</v>
      </c>
      <c r="Q189" s="12">
        <f t="shared" si="60"/>
        <v>0</v>
      </c>
      <c r="T189" s="61"/>
      <c r="U189" s="61"/>
      <c r="V189" s="61"/>
      <c r="W189" s="53">
        <f t="shared" si="46"/>
        <v>0</v>
      </c>
      <c r="X189" s="54" t="e">
        <f t="shared" si="47"/>
        <v>#DIV/0!</v>
      </c>
      <c r="Y189" s="25">
        <f t="shared" si="53"/>
        <v>0</v>
      </c>
      <c r="Z189" s="54">
        <f t="shared" si="56"/>
        <v>0</v>
      </c>
      <c r="AA189" s="54">
        <f t="shared" si="61"/>
        <v>0</v>
      </c>
      <c r="AB189" s="54">
        <f t="shared" si="61"/>
        <v>0</v>
      </c>
      <c r="AC189" s="54">
        <f t="shared" si="61"/>
        <v>0</v>
      </c>
      <c r="AD189" s="54">
        <f t="shared" si="61"/>
        <v>0</v>
      </c>
      <c r="AE189" s="54">
        <f t="shared" si="61"/>
        <v>0</v>
      </c>
      <c r="AF189" s="54">
        <f t="shared" si="61"/>
        <v>0</v>
      </c>
      <c r="AG189" s="54">
        <f t="shared" si="61"/>
        <v>0</v>
      </c>
      <c r="AH189" s="54">
        <f t="shared" si="61"/>
        <v>0</v>
      </c>
      <c r="AI189" s="54">
        <f t="shared" si="61"/>
        <v>0</v>
      </c>
      <c r="AJ189" s="54">
        <f t="shared" si="61"/>
        <v>0</v>
      </c>
      <c r="AK189" s="54">
        <f t="shared" si="61"/>
        <v>0</v>
      </c>
      <c r="AL189" s="24">
        <f t="shared" si="49"/>
        <v>0</v>
      </c>
      <c r="AM189" s="24">
        <f t="shared" si="50"/>
        <v>0</v>
      </c>
      <c r="AN189" s="55">
        <f t="shared" si="51"/>
        <v>0</v>
      </c>
      <c r="AO189" s="55">
        <f t="shared" si="52"/>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0"/>
        <v>0</v>
      </c>
      <c r="H190" s="12">
        <f t="shared" si="58"/>
        <v>0</v>
      </c>
      <c r="I190" s="12">
        <f t="shared" si="58"/>
        <v>0</v>
      </c>
      <c r="J190" s="12">
        <f t="shared" si="58"/>
        <v>0</v>
      </c>
      <c r="K190" s="12">
        <f t="shared" si="42"/>
        <v>0</v>
      </c>
      <c r="L190" s="12">
        <f t="shared" si="59"/>
        <v>0</v>
      </c>
      <c r="M190" s="12">
        <f t="shared" si="59"/>
        <v>0</v>
      </c>
      <c r="N190" s="12">
        <f t="shared" si="59"/>
        <v>0</v>
      </c>
      <c r="O190" s="12">
        <f t="shared" si="44"/>
        <v>0</v>
      </c>
      <c r="P190" s="12">
        <f t="shared" si="60"/>
        <v>0</v>
      </c>
      <c r="Q190" s="12">
        <f t="shared" si="60"/>
        <v>0</v>
      </c>
      <c r="T190" s="61"/>
      <c r="U190" s="61"/>
      <c r="V190" s="61"/>
      <c r="W190" s="53">
        <f t="shared" si="46"/>
        <v>0</v>
      </c>
      <c r="X190" s="54" t="e">
        <f t="shared" si="47"/>
        <v>#DIV/0!</v>
      </c>
      <c r="Y190" s="25">
        <f t="shared" si="53"/>
        <v>0</v>
      </c>
      <c r="Z190" s="54">
        <f t="shared" si="56"/>
        <v>0</v>
      </c>
      <c r="AA190" s="54">
        <f t="shared" si="61"/>
        <v>0</v>
      </c>
      <c r="AB190" s="54">
        <f t="shared" si="61"/>
        <v>0</v>
      </c>
      <c r="AC190" s="54">
        <f t="shared" si="61"/>
        <v>0</v>
      </c>
      <c r="AD190" s="54">
        <f t="shared" si="61"/>
        <v>0</v>
      </c>
      <c r="AE190" s="54">
        <f t="shared" si="61"/>
        <v>0</v>
      </c>
      <c r="AF190" s="54">
        <f t="shared" si="61"/>
        <v>0</v>
      </c>
      <c r="AG190" s="54">
        <f t="shared" si="61"/>
        <v>0</v>
      </c>
      <c r="AH190" s="54">
        <f t="shared" si="61"/>
        <v>0</v>
      </c>
      <c r="AI190" s="54">
        <f t="shared" si="61"/>
        <v>0</v>
      </c>
      <c r="AJ190" s="54">
        <f t="shared" si="61"/>
        <v>0</v>
      </c>
      <c r="AK190" s="54">
        <f t="shared" si="61"/>
        <v>0</v>
      </c>
      <c r="AL190" s="24">
        <f t="shared" si="49"/>
        <v>0</v>
      </c>
      <c r="AM190" s="24">
        <f t="shared" si="50"/>
        <v>0</v>
      </c>
      <c r="AN190" s="55">
        <f t="shared" si="51"/>
        <v>0</v>
      </c>
      <c r="AO190" s="55">
        <f t="shared" si="52"/>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0"/>
        <v>0</v>
      </c>
      <c r="H191" s="12">
        <f t="shared" si="58"/>
        <v>0</v>
      </c>
      <c r="I191" s="12">
        <f t="shared" si="58"/>
        <v>0</v>
      </c>
      <c r="J191" s="12">
        <f t="shared" si="58"/>
        <v>0</v>
      </c>
      <c r="K191" s="12">
        <f t="shared" si="42"/>
        <v>0</v>
      </c>
      <c r="L191" s="12">
        <f t="shared" si="59"/>
        <v>0</v>
      </c>
      <c r="M191" s="12">
        <f t="shared" si="59"/>
        <v>0</v>
      </c>
      <c r="N191" s="12">
        <f t="shared" si="59"/>
        <v>0</v>
      </c>
      <c r="O191" s="12">
        <f t="shared" si="44"/>
        <v>0</v>
      </c>
      <c r="P191" s="12">
        <f t="shared" si="60"/>
        <v>0</v>
      </c>
      <c r="Q191" s="12">
        <f t="shared" si="60"/>
        <v>0</v>
      </c>
      <c r="T191" s="61"/>
      <c r="U191" s="61"/>
      <c r="V191" s="61"/>
      <c r="W191" s="53">
        <f t="shared" si="46"/>
        <v>0</v>
      </c>
      <c r="X191" s="54" t="e">
        <f t="shared" si="47"/>
        <v>#DIV/0!</v>
      </c>
      <c r="Y191" s="25">
        <f t="shared" si="53"/>
        <v>0</v>
      </c>
      <c r="Z191" s="54">
        <f t="shared" si="56"/>
        <v>0</v>
      </c>
      <c r="AA191" s="54">
        <f t="shared" si="61"/>
        <v>0</v>
      </c>
      <c r="AB191" s="54">
        <f t="shared" si="61"/>
        <v>0</v>
      </c>
      <c r="AC191" s="54">
        <f t="shared" si="61"/>
        <v>0</v>
      </c>
      <c r="AD191" s="54">
        <f t="shared" si="61"/>
        <v>0</v>
      </c>
      <c r="AE191" s="54">
        <f t="shared" si="61"/>
        <v>0</v>
      </c>
      <c r="AF191" s="54">
        <f t="shared" si="61"/>
        <v>0</v>
      </c>
      <c r="AG191" s="54">
        <f t="shared" si="61"/>
        <v>0</v>
      </c>
      <c r="AH191" s="54">
        <f t="shared" si="61"/>
        <v>0</v>
      </c>
      <c r="AI191" s="54">
        <f t="shared" si="61"/>
        <v>0</v>
      </c>
      <c r="AJ191" s="54">
        <f t="shared" si="61"/>
        <v>0</v>
      </c>
      <c r="AK191" s="54">
        <f t="shared" si="61"/>
        <v>0</v>
      </c>
      <c r="AL191" s="24">
        <f t="shared" si="49"/>
        <v>0</v>
      </c>
      <c r="AM191" s="24">
        <f t="shared" si="50"/>
        <v>0</v>
      </c>
      <c r="AN191" s="55">
        <f t="shared" si="51"/>
        <v>0</v>
      </c>
      <c r="AO191" s="55">
        <f t="shared" si="52"/>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0"/>
        <v>0</v>
      </c>
      <c r="H192" s="12">
        <f t="shared" si="58"/>
        <v>0</v>
      </c>
      <c r="I192" s="12">
        <f t="shared" si="58"/>
        <v>0</v>
      </c>
      <c r="J192" s="12">
        <f t="shared" si="58"/>
        <v>0</v>
      </c>
      <c r="K192" s="12">
        <f t="shared" si="42"/>
        <v>0</v>
      </c>
      <c r="L192" s="12">
        <f t="shared" si="59"/>
        <v>0</v>
      </c>
      <c r="M192" s="12">
        <f t="shared" si="59"/>
        <v>0</v>
      </c>
      <c r="N192" s="12">
        <f t="shared" si="59"/>
        <v>0</v>
      </c>
      <c r="O192" s="12">
        <f t="shared" si="44"/>
        <v>0</v>
      </c>
      <c r="P192" s="12">
        <f t="shared" si="60"/>
        <v>0</v>
      </c>
      <c r="Q192" s="12">
        <f t="shared" si="60"/>
        <v>0</v>
      </c>
      <c r="T192" s="61"/>
      <c r="U192" s="61"/>
      <c r="V192" s="61"/>
      <c r="W192" s="53">
        <f t="shared" si="46"/>
        <v>0</v>
      </c>
      <c r="X192" s="54" t="e">
        <f t="shared" si="47"/>
        <v>#DIV/0!</v>
      </c>
      <c r="Y192" s="25">
        <f t="shared" si="53"/>
        <v>0</v>
      </c>
      <c r="Z192" s="54">
        <f t="shared" si="56"/>
        <v>0</v>
      </c>
      <c r="AA192" s="54">
        <f t="shared" si="61"/>
        <v>0</v>
      </c>
      <c r="AB192" s="54">
        <f t="shared" si="61"/>
        <v>0</v>
      </c>
      <c r="AC192" s="54">
        <f t="shared" si="61"/>
        <v>0</v>
      </c>
      <c r="AD192" s="54">
        <f t="shared" si="61"/>
        <v>0</v>
      </c>
      <c r="AE192" s="54">
        <f t="shared" si="61"/>
        <v>0</v>
      </c>
      <c r="AF192" s="54">
        <f t="shared" si="61"/>
        <v>0</v>
      </c>
      <c r="AG192" s="54">
        <f t="shared" si="61"/>
        <v>0</v>
      </c>
      <c r="AH192" s="54">
        <f t="shared" si="61"/>
        <v>0</v>
      </c>
      <c r="AI192" s="54">
        <f t="shared" si="61"/>
        <v>0</v>
      </c>
      <c r="AJ192" s="54">
        <f t="shared" si="61"/>
        <v>0</v>
      </c>
      <c r="AK192" s="54">
        <f t="shared" si="61"/>
        <v>0</v>
      </c>
      <c r="AL192" s="24">
        <f t="shared" si="49"/>
        <v>0</v>
      </c>
      <c r="AM192" s="24">
        <f t="shared" si="50"/>
        <v>0</v>
      </c>
      <c r="AN192" s="55">
        <f t="shared" si="51"/>
        <v>0</v>
      </c>
      <c r="AO192" s="55">
        <f t="shared" si="52"/>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0"/>
        <v>0</v>
      </c>
      <c r="H193" s="12">
        <f t="shared" si="58"/>
        <v>0</v>
      </c>
      <c r="I193" s="12">
        <f t="shared" si="58"/>
        <v>0</v>
      </c>
      <c r="J193" s="12">
        <f t="shared" si="58"/>
        <v>0</v>
      </c>
      <c r="K193" s="12">
        <f t="shared" si="42"/>
        <v>0</v>
      </c>
      <c r="L193" s="12">
        <f t="shared" si="59"/>
        <v>0</v>
      </c>
      <c r="M193" s="12">
        <f t="shared" si="59"/>
        <v>0</v>
      </c>
      <c r="N193" s="12">
        <f t="shared" si="59"/>
        <v>0</v>
      </c>
      <c r="O193" s="12">
        <f t="shared" si="44"/>
        <v>0</v>
      </c>
      <c r="P193" s="12">
        <f t="shared" si="60"/>
        <v>0</v>
      </c>
      <c r="Q193" s="12">
        <f t="shared" si="60"/>
        <v>0</v>
      </c>
      <c r="T193" s="61"/>
      <c r="U193" s="61"/>
      <c r="V193" s="61"/>
      <c r="W193" s="53">
        <f t="shared" si="46"/>
        <v>0</v>
      </c>
      <c r="X193" s="54" t="e">
        <f t="shared" si="47"/>
        <v>#DIV/0!</v>
      </c>
      <c r="Y193" s="25">
        <f t="shared" si="53"/>
        <v>0</v>
      </c>
      <c r="Z193" s="54">
        <f t="shared" si="56"/>
        <v>0</v>
      </c>
      <c r="AA193" s="54">
        <f t="shared" si="61"/>
        <v>0</v>
      </c>
      <c r="AB193" s="54">
        <f t="shared" si="61"/>
        <v>0</v>
      </c>
      <c r="AC193" s="54">
        <f t="shared" si="61"/>
        <v>0</v>
      </c>
      <c r="AD193" s="54">
        <f t="shared" si="61"/>
        <v>0</v>
      </c>
      <c r="AE193" s="54">
        <f t="shared" si="61"/>
        <v>0</v>
      </c>
      <c r="AF193" s="54">
        <f t="shared" si="61"/>
        <v>0</v>
      </c>
      <c r="AG193" s="54">
        <f t="shared" si="61"/>
        <v>0</v>
      </c>
      <c r="AH193" s="54">
        <f t="shared" si="61"/>
        <v>0</v>
      </c>
      <c r="AI193" s="54">
        <f t="shared" si="61"/>
        <v>0</v>
      </c>
      <c r="AJ193" s="54">
        <f t="shared" si="61"/>
        <v>0</v>
      </c>
      <c r="AK193" s="54">
        <f t="shared" si="61"/>
        <v>0</v>
      </c>
      <c r="AL193" s="24">
        <f t="shared" si="49"/>
        <v>0</v>
      </c>
      <c r="AM193" s="24">
        <f t="shared" si="50"/>
        <v>0</v>
      </c>
      <c r="AN193" s="55">
        <f t="shared" si="51"/>
        <v>0</v>
      </c>
      <c r="AO193" s="55">
        <f t="shared" si="52"/>
        <v>0</v>
      </c>
      <c r="AP193" s="24"/>
      <c r="AQ193" s="24"/>
      <c r="AR193" s="24"/>
      <c r="AS193" s="24"/>
      <c r="AT193" s="24"/>
      <c r="AU193" s="24"/>
      <c r="AV193" s="24"/>
      <c r="AW193" s="24"/>
      <c r="AX193" s="24"/>
      <c r="AY193" s="24"/>
    </row>
    <row r="194" spans="7:51">
      <c r="G194" s="12">
        <f t="shared" si="40"/>
        <v>0</v>
      </c>
      <c r="H194" s="12">
        <f t="shared" si="58"/>
        <v>0</v>
      </c>
      <c r="I194" s="12">
        <f t="shared" si="58"/>
        <v>0</v>
      </c>
      <c r="J194" s="12">
        <f t="shared" si="58"/>
        <v>0</v>
      </c>
      <c r="K194" s="12">
        <f t="shared" si="42"/>
        <v>0</v>
      </c>
      <c r="L194" s="12">
        <f t="shared" si="59"/>
        <v>0</v>
      </c>
      <c r="M194" s="12">
        <f t="shared" si="59"/>
        <v>0</v>
      </c>
      <c r="N194" s="12">
        <f t="shared" si="59"/>
        <v>0</v>
      </c>
      <c r="O194" s="12">
        <f t="shared" si="44"/>
        <v>0</v>
      </c>
      <c r="P194" s="12">
        <f t="shared" si="60"/>
        <v>0</v>
      </c>
      <c r="Q194" s="12">
        <f t="shared" si="60"/>
        <v>0</v>
      </c>
      <c r="T194" s="61"/>
      <c r="U194" s="61"/>
      <c r="V194" s="61"/>
      <c r="W194" s="53">
        <f t="shared" si="46"/>
        <v>0</v>
      </c>
      <c r="X194" s="54" t="e">
        <f t="shared" si="47"/>
        <v>#DIV/0!</v>
      </c>
      <c r="Y194" s="25">
        <f t="shared" si="53"/>
        <v>0</v>
      </c>
      <c r="Z194" s="54">
        <f t="shared" si="56"/>
        <v>0</v>
      </c>
      <c r="AA194" s="54">
        <f t="shared" si="61"/>
        <v>0</v>
      </c>
      <c r="AB194" s="54">
        <f t="shared" si="61"/>
        <v>0</v>
      </c>
      <c r="AC194" s="54">
        <f t="shared" si="61"/>
        <v>0</v>
      </c>
      <c r="AD194" s="54">
        <f t="shared" si="61"/>
        <v>0</v>
      </c>
      <c r="AE194" s="54">
        <f t="shared" si="61"/>
        <v>0</v>
      </c>
      <c r="AF194" s="54">
        <f t="shared" si="61"/>
        <v>0</v>
      </c>
      <c r="AG194" s="54">
        <f t="shared" si="61"/>
        <v>0</v>
      </c>
      <c r="AH194" s="54">
        <f t="shared" si="61"/>
        <v>0</v>
      </c>
      <c r="AI194" s="54">
        <f t="shared" si="61"/>
        <v>0</v>
      </c>
      <c r="AJ194" s="54">
        <f t="shared" si="61"/>
        <v>0</v>
      </c>
      <c r="AK194" s="54">
        <f t="shared" si="61"/>
        <v>0</v>
      </c>
      <c r="AL194" s="24">
        <f t="shared" si="49"/>
        <v>0</v>
      </c>
      <c r="AM194" s="24">
        <f t="shared" si="50"/>
        <v>0</v>
      </c>
      <c r="AN194" s="55">
        <f t="shared" si="51"/>
        <v>0</v>
      </c>
      <c r="AO194" s="55">
        <f t="shared" si="52"/>
        <v>0</v>
      </c>
      <c r="AP194" s="24"/>
      <c r="AQ194" s="24"/>
      <c r="AR194" s="24"/>
      <c r="AS194" s="24"/>
      <c r="AT194" s="24"/>
      <c r="AU194" s="24"/>
      <c r="AV194" s="24"/>
      <c r="AW194" s="24"/>
      <c r="AX194" s="24"/>
      <c r="AY194" s="24"/>
    </row>
    <row r="195" spans="7:51">
      <c r="G195" s="12">
        <f t="shared" si="40"/>
        <v>0</v>
      </c>
      <c r="H195" s="12">
        <f t="shared" si="58"/>
        <v>0</v>
      </c>
      <c r="I195" s="12">
        <f t="shared" si="58"/>
        <v>0</v>
      </c>
      <c r="J195" s="12">
        <f t="shared" si="58"/>
        <v>0</v>
      </c>
      <c r="K195" s="12">
        <f t="shared" si="42"/>
        <v>0</v>
      </c>
      <c r="L195" s="12">
        <f t="shared" si="59"/>
        <v>0</v>
      </c>
      <c r="M195" s="12">
        <f t="shared" si="59"/>
        <v>0</v>
      </c>
      <c r="N195" s="12">
        <f t="shared" si="59"/>
        <v>0</v>
      </c>
      <c r="O195" s="12">
        <f t="shared" si="44"/>
        <v>0</v>
      </c>
      <c r="P195" s="12">
        <f t="shared" si="60"/>
        <v>0</v>
      </c>
      <c r="Q195" s="12">
        <f t="shared" si="60"/>
        <v>0</v>
      </c>
      <c r="T195" s="61"/>
      <c r="U195" s="61"/>
      <c r="V195" s="61"/>
      <c r="W195" s="53">
        <f t="shared" si="46"/>
        <v>0</v>
      </c>
      <c r="X195" s="54" t="e">
        <f t="shared" si="47"/>
        <v>#DIV/0!</v>
      </c>
      <c r="Y195" s="25">
        <f t="shared" si="53"/>
        <v>0</v>
      </c>
      <c r="Z195" s="54">
        <f t="shared" si="56"/>
        <v>0</v>
      </c>
      <c r="AA195" s="54">
        <f t="shared" si="61"/>
        <v>0</v>
      </c>
      <c r="AB195" s="54">
        <f t="shared" si="61"/>
        <v>0</v>
      </c>
      <c r="AC195" s="54">
        <f t="shared" si="61"/>
        <v>0</v>
      </c>
      <c r="AD195" s="54">
        <f t="shared" si="61"/>
        <v>0</v>
      </c>
      <c r="AE195" s="54">
        <f t="shared" si="61"/>
        <v>0</v>
      </c>
      <c r="AF195" s="54">
        <f t="shared" si="61"/>
        <v>0</v>
      </c>
      <c r="AG195" s="54">
        <f t="shared" si="61"/>
        <v>0</v>
      </c>
      <c r="AH195" s="54">
        <f t="shared" si="61"/>
        <v>0</v>
      </c>
      <c r="AI195" s="54">
        <f t="shared" si="61"/>
        <v>0</v>
      </c>
      <c r="AJ195" s="54">
        <f t="shared" si="61"/>
        <v>0</v>
      </c>
      <c r="AK195" s="54">
        <f t="shared" si="61"/>
        <v>0</v>
      </c>
      <c r="AL195" s="24">
        <f t="shared" si="49"/>
        <v>0</v>
      </c>
      <c r="AM195" s="24">
        <f t="shared" si="50"/>
        <v>0</v>
      </c>
      <c r="AN195" s="55">
        <f t="shared" si="51"/>
        <v>0</v>
      </c>
      <c r="AO195" s="55">
        <f t="shared" si="52"/>
        <v>0</v>
      </c>
      <c r="AP195" s="24"/>
      <c r="AQ195" s="24"/>
      <c r="AR195" s="24"/>
      <c r="AS195" s="24"/>
      <c r="AT195" s="24"/>
      <c r="AU195" s="24"/>
      <c r="AV195" s="24"/>
      <c r="AW195" s="24"/>
      <c r="AX195" s="24"/>
      <c r="AY195" s="24"/>
    </row>
    <row r="196" spans="7:51">
      <c r="G196" s="12">
        <f t="shared" si="40"/>
        <v>0</v>
      </c>
      <c r="H196" s="12">
        <f t="shared" si="58"/>
        <v>0</v>
      </c>
      <c r="I196" s="12">
        <f t="shared" si="58"/>
        <v>0</v>
      </c>
      <c r="J196" s="12">
        <f t="shared" si="58"/>
        <v>0</v>
      </c>
      <c r="K196" s="12">
        <f t="shared" si="42"/>
        <v>0</v>
      </c>
      <c r="L196" s="12">
        <f t="shared" si="59"/>
        <v>0</v>
      </c>
      <c r="M196" s="12">
        <f t="shared" si="59"/>
        <v>0</v>
      </c>
      <c r="N196" s="12">
        <f t="shared" si="59"/>
        <v>0</v>
      </c>
      <c r="O196" s="12">
        <f t="shared" si="44"/>
        <v>0</v>
      </c>
      <c r="P196" s="12">
        <f t="shared" si="60"/>
        <v>0</v>
      </c>
      <c r="Q196" s="12">
        <f t="shared" si="60"/>
        <v>0</v>
      </c>
      <c r="T196" s="61"/>
      <c r="U196" s="61"/>
      <c r="V196" s="61"/>
      <c r="W196" s="53">
        <f t="shared" si="46"/>
        <v>0</v>
      </c>
      <c r="X196" s="54" t="e">
        <f t="shared" si="47"/>
        <v>#DIV/0!</v>
      </c>
      <c r="Y196" s="25">
        <f t="shared" si="53"/>
        <v>0</v>
      </c>
      <c r="Z196" s="54">
        <f t="shared" si="56"/>
        <v>0</v>
      </c>
      <c r="AA196" s="54">
        <f t="shared" si="61"/>
        <v>0</v>
      </c>
      <c r="AB196" s="54">
        <f t="shared" si="61"/>
        <v>0</v>
      </c>
      <c r="AC196" s="54">
        <f t="shared" si="61"/>
        <v>0</v>
      </c>
      <c r="AD196" s="54">
        <f t="shared" si="61"/>
        <v>0</v>
      </c>
      <c r="AE196" s="54">
        <f t="shared" si="61"/>
        <v>0</v>
      </c>
      <c r="AF196" s="54">
        <f t="shared" si="61"/>
        <v>0</v>
      </c>
      <c r="AG196" s="54">
        <f t="shared" si="61"/>
        <v>0</v>
      </c>
      <c r="AH196" s="54">
        <f t="shared" si="61"/>
        <v>0</v>
      </c>
      <c r="AI196" s="54">
        <f t="shared" si="61"/>
        <v>0</v>
      </c>
      <c r="AJ196" s="54">
        <f t="shared" si="61"/>
        <v>0</v>
      </c>
      <c r="AK196" s="54">
        <f t="shared" si="61"/>
        <v>0</v>
      </c>
      <c r="AL196" s="24">
        <f t="shared" si="49"/>
        <v>0</v>
      </c>
      <c r="AM196" s="24">
        <f t="shared" si="50"/>
        <v>0</v>
      </c>
      <c r="AN196" s="55">
        <f t="shared" si="51"/>
        <v>0</v>
      </c>
      <c r="AO196" s="55">
        <f t="shared" si="52"/>
        <v>0</v>
      </c>
      <c r="AP196" s="24"/>
      <c r="AQ196" s="24"/>
      <c r="AR196" s="24"/>
      <c r="AS196" s="24"/>
      <c r="AT196" s="24"/>
      <c r="AU196" s="24"/>
      <c r="AV196" s="24"/>
      <c r="AW196" s="24"/>
      <c r="AX196" s="24"/>
      <c r="AY196" s="24"/>
    </row>
    <row r="197" spans="7:51">
      <c r="G197" s="12">
        <f t="shared" si="40"/>
        <v>0</v>
      </c>
      <c r="H197" s="12">
        <f t="shared" si="58"/>
        <v>0</v>
      </c>
      <c r="I197" s="12">
        <f t="shared" si="58"/>
        <v>0</v>
      </c>
      <c r="J197" s="12">
        <f t="shared" si="58"/>
        <v>0</v>
      </c>
      <c r="K197" s="12">
        <f t="shared" si="42"/>
        <v>0</v>
      </c>
      <c r="L197" s="12">
        <f t="shared" si="59"/>
        <v>0</v>
      </c>
      <c r="M197" s="12">
        <f t="shared" si="59"/>
        <v>0</v>
      </c>
      <c r="N197" s="12">
        <f t="shared" si="59"/>
        <v>0</v>
      </c>
      <c r="O197" s="12">
        <f t="shared" si="44"/>
        <v>0</v>
      </c>
      <c r="P197" s="12">
        <f t="shared" si="60"/>
        <v>0</v>
      </c>
      <c r="Q197" s="12">
        <f t="shared" si="60"/>
        <v>0</v>
      </c>
      <c r="T197" s="61"/>
      <c r="U197" s="61"/>
      <c r="V197" s="61"/>
      <c r="W197" s="53">
        <f t="shared" si="46"/>
        <v>0</v>
      </c>
      <c r="X197" s="54" t="e">
        <f t="shared" si="47"/>
        <v>#DIV/0!</v>
      </c>
      <c r="Y197" s="25">
        <f t="shared" si="53"/>
        <v>0</v>
      </c>
      <c r="Z197" s="54">
        <f t="shared" si="56"/>
        <v>0</v>
      </c>
      <c r="AA197" s="54">
        <f t="shared" si="61"/>
        <v>0</v>
      </c>
      <c r="AB197" s="54">
        <f t="shared" si="61"/>
        <v>0</v>
      </c>
      <c r="AC197" s="54">
        <f t="shared" si="61"/>
        <v>0</v>
      </c>
      <c r="AD197" s="54">
        <f t="shared" si="61"/>
        <v>0</v>
      </c>
      <c r="AE197" s="54">
        <f t="shared" si="61"/>
        <v>0</v>
      </c>
      <c r="AF197" s="54">
        <f t="shared" si="61"/>
        <v>0</v>
      </c>
      <c r="AG197" s="54">
        <f t="shared" si="61"/>
        <v>0</v>
      </c>
      <c r="AH197" s="54">
        <f t="shared" si="61"/>
        <v>0</v>
      </c>
      <c r="AI197" s="54">
        <f t="shared" si="61"/>
        <v>0</v>
      </c>
      <c r="AJ197" s="54">
        <f t="shared" si="61"/>
        <v>0</v>
      </c>
      <c r="AK197" s="54">
        <f t="shared" si="61"/>
        <v>0</v>
      </c>
      <c r="AL197" s="24">
        <f t="shared" si="49"/>
        <v>0</v>
      </c>
      <c r="AM197" s="24">
        <f t="shared" si="50"/>
        <v>0</v>
      </c>
      <c r="AN197" s="55">
        <f t="shared" si="51"/>
        <v>0</v>
      </c>
      <c r="AO197" s="55">
        <f t="shared" si="52"/>
        <v>0</v>
      </c>
      <c r="AP197" s="24"/>
      <c r="AQ197" s="24"/>
      <c r="AR197" s="24"/>
      <c r="AS197" s="24"/>
      <c r="AT197" s="24"/>
      <c r="AU197" s="24"/>
      <c r="AV197" s="24"/>
      <c r="AW197" s="24"/>
      <c r="AX197" s="24"/>
      <c r="AY197" s="24"/>
    </row>
    <row r="198" spans="7:51">
      <c r="G198" s="12">
        <f t="shared" si="40"/>
        <v>0</v>
      </c>
      <c r="H198" s="12">
        <f t="shared" si="58"/>
        <v>0</v>
      </c>
      <c r="I198" s="12">
        <f t="shared" si="58"/>
        <v>0</v>
      </c>
      <c r="J198" s="12">
        <f t="shared" si="58"/>
        <v>0</v>
      </c>
      <c r="K198" s="12">
        <f t="shared" si="42"/>
        <v>0</v>
      </c>
      <c r="L198" s="12">
        <f t="shared" si="59"/>
        <v>0</v>
      </c>
      <c r="M198" s="12">
        <f t="shared" si="59"/>
        <v>0</v>
      </c>
      <c r="N198" s="12">
        <f t="shared" si="59"/>
        <v>0</v>
      </c>
      <c r="O198" s="12">
        <f t="shared" si="44"/>
        <v>0</v>
      </c>
      <c r="P198" s="12">
        <f t="shared" si="60"/>
        <v>0</v>
      </c>
      <c r="Q198" s="12">
        <f t="shared" si="60"/>
        <v>0</v>
      </c>
      <c r="T198" s="61"/>
      <c r="U198" s="61"/>
      <c r="V198" s="61"/>
      <c r="W198" s="53">
        <f t="shared" si="46"/>
        <v>0</v>
      </c>
      <c r="X198" s="54" t="e">
        <f t="shared" si="47"/>
        <v>#DIV/0!</v>
      </c>
      <c r="Y198" s="25">
        <f t="shared" si="53"/>
        <v>0</v>
      </c>
      <c r="Z198" s="54">
        <f t="shared" si="56"/>
        <v>0</v>
      </c>
      <c r="AA198" s="54">
        <f t="shared" si="61"/>
        <v>0</v>
      </c>
      <c r="AB198" s="54">
        <f t="shared" si="61"/>
        <v>0</v>
      </c>
      <c r="AC198" s="54">
        <f t="shared" si="61"/>
        <v>0</v>
      </c>
      <c r="AD198" s="54">
        <f t="shared" si="61"/>
        <v>0</v>
      </c>
      <c r="AE198" s="54">
        <f t="shared" si="61"/>
        <v>0</v>
      </c>
      <c r="AF198" s="54">
        <f t="shared" si="61"/>
        <v>0</v>
      </c>
      <c r="AG198" s="54">
        <f t="shared" si="61"/>
        <v>0</v>
      </c>
      <c r="AH198" s="54">
        <f t="shared" si="61"/>
        <v>0</v>
      </c>
      <c r="AI198" s="54">
        <f t="shared" si="61"/>
        <v>0</v>
      </c>
      <c r="AJ198" s="54">
        <f t="shared" si="61"/>
        <v>0</v>
      </c>
      <c r="AK198" s="54">
        <f t="shared" si="61"/>
        <v>0</v>
      </c>
      <c r="AL198" s="24">
        <f t="shared" si="49"/>
        <v>0</v>
      </c>
      <c r="AM198" s="24">
        <f t="shared" si="50"/>
        <v>0</v>
      </c>
      <c r="AN198" s="55">
        <f t="shared" si="51"/>
        <v>0</v>
      </c>
      <c r="AO198" s="55">
        <f t="shared" si="52"/>
        <v>0</v>
      </c>
      <c r="AP198" s="24"/>
      <c r="AQ198" s="24"/>
      <c r="AR198" s="24"/>
      <c r="AS198" s="24"/>
      <c r="AT198" s="24"/>
      <c r="AU198" s="24"/>
      <c r="AV198" s="24"/>
      <c r="AW198" s="24"/>
      <c r="AX198" s="24"/>
      <c r="AY198" s="24"/>
    </row>
    <row r="199" spans="7:51">
      <c r="G199" s="12">
        <f t="shared" si="40"/>
        <v>0</v>
      </c>
      <c r="H199" s="12">
        <f t="shared" ref="H199:J209" si="62">IF($E101&gt;H$66,0,IF($E101&lt;H$66-365,$C101,0))</f>
        <v>0</v>
      </c>
      <c r="I199" s="12">
        <f t="shared" si="62"/>
        <v>0</v>
      </c>
      <c r="J199" s="12">
        <f t="shared" si="62"/>
        <v>0</v>
      </c>
      <c r="K199" s="12">
        <f t="shared" si="42"/>
        <v>0</v>
      </c>
      <c r="L199" s="12">
        <f t="shared" ref="L199:N209" si="63">IF($E101&gt;L$66,0,IF($E101&lt;L$66-365,$C101,0))</f>
        <v>0</v>
      </c>
      <c r="M199" s="12">
        <f t="shared" si="63"/>
        <v>0</v>
      </c>
      <c r="N199" s="12">
        <f t="shared" si="63"/>
        <v>0</v>
      </c>
      <c r="O199" s="12">
        <f t="shared" si="44"/>
        <v>0</v>
      </c>
      <c r="P199" s="12">
        <f t="shared" ref="P199:Q209" si="64">IF($E101&gt;P$66,0,IF($E101&lt;P$66-365,$C101,0))</f>
        <v>0</v>
      </c>
      <c r="Q199" s="12">
        <f t="shared" si="64"/>
        <v>0</v>
      </c>
      <c r="T199" s="61"/>
      <c r="U199" s="61"/>
      <c r="V199" s="61"/>
      <c r="W199" s="53">
        <f t="shared" si="46"/>
        <v>0</v>
      </c>
      <c r="X199" s="54" t="e">
        <f t="shared" si="47"/>
        <v>#DIV/0!</v>
      </c>
      <c r="Y199" s="25">
        <f t="shared" si="53"/>
        <v>0</v>
      </c>
      <c r="Z199" s="54">
        <f t="shared" si="56"/>
        <v>0</v>
      </c>
      <c r="AA199" s="54">
        <f t="shared" ref="AA199:AK213" si="65">IF($E100+365&lt;$C$56,0,IF($E100&lt;$C$56,(($E100+365-$C$56)/365)*(($C100/$BN$157)+($D100/$BN$158)),IF($E100&gt;AA$166,0,IF($E100+365&lt;AA$166,($C100/$BN$157)+($D100/$BN$158),((AA$166-$E100)/365)*(($C100/$BN$157)+($D100/$BN$158))))))</f>
        <v>0</v>
      </c>
      <c r="AB199" s="54">
        <f t="shared" si="65"/>
        <v>0</v>
      </c>
      <c r="AC199" s="54">
        <f t="shared" si="65"/>
        <v>0</v>
      </c>
      <c r="AD199" s="54">
        <f t="shared" si="65"/>
        <v>0</v>
      </c>
      <c r="AE199" s="54">
        <f t="shared" si="65"/>
        <v>0</v>
      </c>
      <c r="AF199" s="54">
        <f t="shared" si="65"/>
        <v>0</v>
      </c>
      <c r="AG199" s="54">
        <f t="shared" si="65"/>
        <v>0</v>
      </c>
      <c r="AH199" s="54">
        <f t="shared" si="65"/>
        <v>0</v>
      </c>
      <c r="AI199" s="54">
        <f t="shared" si="65"/>
        <v>0</v>
      </c>
      <c r="AJ199" s="54">
        <f t="shared" si="65"/>
        <v>0</v>
      </c>
      <c r="AK199" s="54">
        <f t="shared" si="65"/>
        <v>0</v>
      </c>
      <c r="AL199" s="24">
        <f t="shared" si="49"/>
        <v>0</v>
      </c>
      <c r="AM199" s="24">
        <f t="shared" si="50"/>
        <v>0</v>
      </c>
      <c r="AN199" s="55">
        <f t="shared" si="51"/>
        <v>0</v>
      </c>
      <c r="AO199" s="55">
        <f t="shared" si="52"/>
        <v>0</v>
      </c>
      <c r="AP199" s="24"/>
      <c r="AQ199" s="24"/>
      <c r="AR199" s="24"/>
      <c r="AS199" s="24"/>
      <c r="AT199" s="24"/>
      <c r="AU199" s="24"/>
      <c r="AV199" s="24"/>
      <c r="AW199" s="24"/>
      <c r="AX199" s="24"/>
      <c r="AY199" s="24"/>
    </row>
    <row r="200" spans="7:51">
      <c r="G200" s="12">
        <f t="shared" si="40"/>
        <v>0</v>
      </c>
      <c r="H200" s="12">
        <f t="shared" si="62"/>
        <v>0</v>
      </c>
      <c r="I200" s="12">
        <f t="shared" si="62"/>
        <v>0</v>
      </c>
      <c r="J200" s="12">
        <f t="shared" si="62"/>
        <v>0</v>
      </c>
      <c r="K200" s="12">
        <f t="shared" si="42"/>
        <v>0</v>
      </c>
      <c r="L200" s="12">
        <f t="shared" si="63"/>
        <v>0</v>
      </c>
      <c r="M200" s="12">
        <f t="shared" si="63"/>
        <v>0</v>
      </c>
      <c r="N200" s="12">
        <f t="shared" si="63"/>
        <v>0</v>
      </c>
      <c r="O200" s="12">
        <f t="shared" si="44"/>
        <v>0</v>
      </c>
      <c r="P200" s="12">
        <f t="shared" si="64"/>
        <v>0</v>
      </c>
      <c r="Q200" s="12">
        <f t="shared" si="64"/>
        <v>0</v>
      </c>
      <c r="T200" s="61"/>
      <c r="U200" s="61"/>
      <c r="V200" s="61"/>
      <c r="W200" s="53">
        <f t="shared" si="46"/>
        <v>0</v>
      </c>
      <c r="X200" s="54" t="e">
        <f t="shared" si="47"/>
        <v>#DIV/0!</v>
      </c>
      <c r="Y200" s="25">
        <f t="shared" si="53"/>
        <v>0</v>
      </c>
      <c r="Z200" s="54">
        <f t="shared" si="56"/>
        <v>0</v>
      </c>
      <c r="AA200" s="54">
        <f t="shared" si="65"/>
        <v>0</v>
      </c>
      <c r="AB200" s="54">
        <f t="shared" si="65"/>
        <v>0</v>
      </c>
      <c r="AC200" s="54">
        <f t="shared" si="65"/>
        <v>0</v>
      </c>
      <c r="AD200" s="54">
        <f t="shared" si="65"/>
        <v>0</v>
      </c>
      <c r="AE200" s="54">
        <f t="shared" si="65"/>
        <v>0</v>
      </c>
      <c r="AF200" s="54">
        <f t="shared" si="65"/>
        <v>0</v>
      </c>
      <c r="AG200" s="54">
        <f t="shared" si="65"/>
        <v>0</v>
      </c>
      <c r="AH200" s="54">
        <f t="shared" si="65"/>
        <v>0</v>
      </c>
      <c r="AI200" s="54">
        <f t="shared" si="65"/>
        <v>0</v>
      </c>
      <c r="AJ200" s="54">
        <f t="shared" si="65"/>
        <v>0</v>
      </c>
      <c r="AK200" s="54">
        <f t="shared" si="65"/>
        <v>0</v>
      </c>
      <c r="AL200" s="24">
        <f t="shared" si="49"/>
        <v>0</v>
      </c>
      <c r="AM200" s="24">
        <f t="shared" si="50"/>
        <v>0</v>
      </c>
      <c r="AN200" s="55">
        <f t="shared" si="51"/>
        <v>0</v>
      </c>
      <c r="AO200" s="55">
        <f t="shared" si="52"/>
        <v>0</v>
      </c>
      <c r="AP200" s="24"/>
      <c r="AQ200" s="24"/>
      <c r="AR200" s="24"/>
      <c r="AS200" s="24"/>
      <c r="AT200" s="24"/>
      <c r="AU200" s="24"/>
      <c r="AV200" s="24"/>
      <c r="AW200" s="24"/>
      <c r="AX200" s="24"/>
      <c r="AY200" s="24"/>
    </row>
    <row r="201" spans="7:51">
      <c r="G201" s="12">
        <f t="shared" si="40"/>
        <v>0</v>
      </c>
      <c r="H201" s="12">
        <f t="shared" si="62"/>
        <v>0</v>
      </c>
      <c r="I201" s="12">
        <f t="shared" si="62"/>
        <v>0</v>
      </c>
      <c r="J201" s="12">
        <f t="shared" si="62"/>
        <v>0</v>
      </c>
      <c r="K201" s="12">
        <f t="shared" si="42"/>
        <v>0</v>
      </c>
      <c r="L201" s="12">
        <f t="shared" si="63"/>
        <v>0</v>
      </c>
      <c r="M201" s="12">
        <f t="shared" si="63"/>
        <v>0</v>
      </c>
      <c r="N201" s="12">
        <f t="shared" si="63"/>
        <v>0</v>
      </c>
      <c r="O201" s="12">
        <f t="shared" si="44"/>
        <v>0</v>
      </c>
      <c r="P201" s="12">
        <f t="shared" si="64"/>
        <v>0</v>
      </c>
      <c r="Q201" s="12">
        <f t="shared" si="64"/>
        <v>0</v>
      </c>
      <c r="T201" s="61"/>
      <c r="U201" s="61"/>
      <c r="V201" s="61"/>
      <c r="W201" s="53">
        <f t="shared" si="46"/>
        <v>0</v>
      </c>
      <c r="X201" s="54" t="e">
        <f t="shared" si="47"/>
        <v>#DIV/0!</v>
      </c>
      <c r="Y201" s="25">
        <f t="shared" si="53"/>
        <v>0</v>
      </c>
      <c r="Z201" s="54">
        <f t="shared" si="56"/>
        <v>0</v>
      </c>
      <c r="AA201" s="54">
        <f t="shared" si="65"/>
        <v>0</v>
      </c>
      <c r="AB201" s="54">
        <f t="shared" si="65"/>
        <v>0</v>
      </c>
      <c r="AC201" s="54">
        <f t="shared" si="65"/>
        <v>0</v>
      </c>
      <c r="AD201" s="54">
        <f t="shared" si="65"/>
        <v>0</v>
      </c>
      <c r="AE201" s="54">
        <f t="shared" si="65"/>
        <v>0</v>
      </c>
      <c r="AF201" s="54">
        <f t="shared" si="65"/>
        <v>0</v>
      </c>
      <c r="AG201" s="54">
        <f t="shared" si="65"/>
        <v>0</v>
      </c>
      <c r="AH201" s="54">
        <f t="shared" si="65"/>
        <v>0</v>
      </c>
      <c r="AI201" s="54">
        <f t="shared" si="65"/>
        <v>0</v>
      </c>
      <c r="AJ201" s="54">
        <f t="shared" si="65"/>
        <v>0</v>
      </c>
      <c r="AK201" s="54">
        <f t="shared" si="65"/>
        <v>0</v>
      </c>
      <c r="AL201" s="24">
        <f t="shared" si="49"/>
        <v>0</v>
      </c>
      <c r="AM201" s="24">
        <f t="shared" si="50"/>
        <v>0</v>
      </c>
      <c r="AN201" s="55">
        <f t="shared" si="51"/>
        <v>0</v>
      </c>
      <c r="AO201" s="55">
        <f t="shared" si="52"/>
        <v>0</v>
      </c>
      <c r="AP201" s="24"/>
      <c r="AQ201" s="24"/>
      <c r="AR201" s="24"/>
      <c r="AS201" s="24"/>
      <c r="AT201" s="24"/>
      <c r="AU201" s="24"/>
      <c r="AV201" s="24"/>
      <c r="AW201" s="24"/>
      <c r="AX201" s="24"/>
      <c r="AY201" s="24"/>
    </row>
    <row r="202" spans="7:51">
      <c r="G202" s="12">
        <f t="shared" si="40"/>
        <v>0</v>
      </c>
      <c r="H202" s="12">
        <f t="shared" si="62"/>
        <v>0</v>
      </c>
      <c r="I202" s="12">
        <f t="shared" si="62"/>
        <v>0</v>
      </c>
      <c r="J202" s="12">
        <f t="shared" si="62"/>
        <v>0</v>
      </c>
      <c r="K202" s="12">
        <f t="shared" si="42"/>
        <v>0</v>
      </c>
      <c r="L202" s="12">
        <f t="shared" si="63"/>
        <v>0</v>
      </c>
      <c r="M202" s="12">
        <f t="shared" si="63"/>
        <v>0</v>
      </c>
      <c r="N202" s="12">
        <f t="shared" si="63"/>
        <v>0</v>
      </c>
      <c r="O202" s="12">
        <f t="shared" si="44"/>
        <v>0</v>
      </c>
      <c r="P202" s="12">
        <f t="shared" si="64"/>
        <v>0</v>
      </c>
      <c r="Q202" s="12">
        <f t="shared" si="64"/>
        <v>0</v>
      </c>
      <c r="T202" s="61"/>
      <c r="U202" s="61"/>
      <c r="V202" s="61"/>
      <c r="W202" s="53">
        <f t="shared" si="46"/>
        <v>0</v>
      </c>
      <c r="X202" s="54" t="e">
        <f t="shared" si="47"/>
        <v>#DIV/0!</v>
      </c>
      <c r="Y202" s="25">
        <f t="shared" si="53"/>
        <v>0</v>
      </c>
      <c r="Z202" s="54">
        <f t="shared" si="56"/>
        <v>0</v>
      </c>
      <c r="AA202" s="54">
        <f t="shared" si="65"/>
        <v>0</v>
      </c>
      <c r="AB202" s="54">
        <f t="shared" si="65"/>
        <v>0</v>
      </c>
      <c r="AC202" s="54">
        <f t="shared" si="65"/>
        <v>0</v>
      </c>
      <c r="AD202" s="54">
        <f t="shared" si="65"/>
        <v>0</v>
      </c>
      <c r="AE202" s="54">
        <f t="shared" si="65"/>
        <v>0</v>
      </c>
      <c r="AF202" s="54">
        <f t="shared" si="65"/>
        <v>0</v>
      </c>
      <c r="AG202" s="54">
        <f t="shared" si="65"/>
        <v>0</v>
      </c>
      <c r="AH202" s="54">
        <f t="shared" si="65"/>
        <v>0</v>
      </c>
      <c r="AI202" s="54">
        <f t="shared" si="65"/>
        <v>0</v>
      </c>
      <c r="AJ202" s="54">
        <f t="shared" si="65"/>
        <v>0</v>
      </c>
      <c r="AK202" s="54">
        <f t="shared" si="65"/>
        <v>0</v>
      </c>
      <c r="AL202" s="24">
        <f t="shared" si="49"/>
        <v>0</v>
      </c>
      <c r="AM202" s="24">
        <f t="shared" si="50"/>
        <v>0</v>
      </c>
      <c r="AN202" s="55">
        <f t="shared" si="51"/>
        <v>0</v>
      </c>
      <c r="AO202" s="55">
        <f t="shared" si="52"/>
        <v>0</v>
      </c>
      <c r="AP202" s="24"/>
      <c r="AQ202" s="24"/>
      <c r="AR202" s="24"/>
      <c r="AS202" s="24"/>
      <c r="AT202" s="24"/>
      <c r="AU202" s="24"/>
      <c r="AV202" s="24"/>
      <c r="AW202" s="24"/>
      <c r="AX202" s="24"/>
      <c r="AY202" s="24"/>
    </row>
    <row r="203" spans="7:51">
      <c r="G203" s="12">
        <f t="shared" si="40"/>
        <v>0</v>
      </c>
      <c r="H203" s="12">
        <f t="shared" si="62"/>
        <v>0</v>
      </c>
      <c r="I203" s="12">
        <f t="shared" si="62"/>
        <v>0</v>
      </c>
      <c r="J203" s="12">
        <f t="shared" si="62"/>
        <v>0</v>
      </c>
      <c r="K203" s="12">
        <f t="shared" si="42"/>
        <v>0</v>
      </c>
      <c r="L203" s="12">
        <f t="shared" si="63"/>
        <v>0</v>
      </c>
      <c r="M203" s="12">
        <f t="shared" si="63"/>
        <v>0</v>
      </c>
      <c r="N203" s="12">
        <f t="shared" si="63"/>
        <v>0</v>
      </c>
      <c r="O203" s="12">
        <f t="shared" si="44"/>
        <v>0</v>
      </c>
      <c r="P203" s="12">
        <f t="shared" si="64"/>
        <v>0</v>
      </c>
      <c r="Q203" s="12">
        <f t="shared" si="64"/>
        <v>0</v>
      </c>
      <c r="T203" s="61"/>
      <c r="U203" s="61"/>
      <c r="V203" s="61"/>
      <c r="W203" s="53">
        <f t="shared" si="46"/>
        <v>0</v>
      </c>
      <c r="X203" s="54" t="e">
        <f t="shared" si="47"/>
        <v>#DIV/0!</v>
      </c>
      <c r="Y203" s="25">
        <f t="shared" si="53"/>
        <v>0</v>
      </c>
      <c r="Z203" s="54">
        <f t="shared" si="56"/>
        <v>0</v>
      </c>
      <c r="AA203" s="54">
        <f t="shared" si="65"/>
        <v>0</v>
      </c>
      <c r="AB203" s="54">
        <f t="shared" si="65"/>
        <v>0</v>
      </c>
      <c r="AC203" s="54">
        <f t="shared" si="65"/>
        <v>0</v>
      </c>
      <c r="AD203" s="54">
        <f t="shared" si="65"/>
        <v>0</v>
      </c>
      <c r="AE203" s="54">
        <f t="shared" si="65"/>
        <v>0</v>
      </c>
      <c r="AF203" s="54">
        <f t="shared" si="65"/>
        <v>0</v>
      </c>
      <c r="AG203" s="54">
        <f t="shared" si="65"/>
        <v>0</v>
      </c>
      <c r="AH203" s="54">
        <f t="shared" si="65"/>
        <v>0</v>
      </c>
      <c r="AI203" s="54">
        <f t="shared" si="65"/>
        <v>0</v>
      </c>
      <c r="AJ203" s="54">
        <f t="shared" si="65"/>
        <v>0</v>
      </c>
      <c r="AK203" s="54">
        <f t="shared" si="65"/>
        <v>0</v>
      </c>
      <c r="AL203" s="24">
        <f t="shared" si="49"/>
        <v>0</v>
      </c>
      <c r="AM203" s="24">
        <f t="shared" si="50"/>
        <v>0</v>
      </c>
      <c r="AN203" s="55">
        <f t="shared" si="51"/>
        <v>0</v>
      </c>
      <c r="AO203" s="55">
        <f t="shared" si="52"/>
        <v>0</v>
      </c>
      <c r="AP203" s="24"/>
      <c r="AQ203" s="24"/>
      <c r="AR203" s="24"/>
      <c r="AS203" s="24"/>
      <c r="AT203" s="24"/>
      <c r="AU203" s="24"/>
      <c r="AV203" s="24"/>
      <c r="AW203" s="24"/>
      <c r="AX203" s="24"/>
      <c r="AY203" s="24"/>
    </row>
    <row r="204" spans="7:51">
      <c r="G204" s="12">
        <f t="shared" si="40"/>
        <v>0</v>
      </c>
      <c r="H204" s="12">
        <f t="shared" si="62"/>
        <v>0</v>
      </c>
      <c r="I204" s="12">
        <f t="shared" si="62"/>
        <v>0</v>
      </c>
      <c r="J204" s="12">
        <f t="shared" si="62"/>
        <v>0</v>
      </c>
      <c r="K204" s="12">
        <f t="shared" si="42"/>
        <v>0</v>
      </c>
      <c r="L204" s="12">
        <f t="shared" si="63"/>
        <v>0</v>
      </c>
      <c r="M204" s="12">
        <f t="shared" si="63"/>
        <v>0</v>
      </c>
      <c r="N204" s="12">
        <f t="shared" si="63"/>
        <v>0</v>
      </c>
      <c r="O204" s="12">
        <f t="shared" si="44"/>
        <v>0</v>
      </c>
      <c r="P204" s="12">
        <f t="shared" si="64"/>
        <v>0</v>
      </c>
      <c r="Q204" s="12">
        <f t="shared" si="64"/>
        <v>0</v>
      </c>
      <c r="T204" s="61"/>
      <c r="U204" s="61"/>
      <c r="V204" s="61"/>
      <c r="W204" s="53">
        <f t="shared" si="46"/>
        <v>0</v>
      </c>
      <c r="X204" s="54" t="e">
        <f t="shared" si="47"/>
        <v>#DIV/0!</v>
      </c>
      <c r="Y204" s="25">
        <f t="shared" si="53"/>
        <v>0</v>
      </c>
      <c r="Z204" s="54">
        <f t="shared" si="56"/>
        <v>0</v>
      </c>
      <c r="AA204" s="54">
        <f t="shared" si="65"/>
        <v>0</v>
      </c>
      <c r="AB204" s="54">
        <f t="shared" si="65"/>
        <v>0</v>
      </c>
      <c r="AC204" s="54">
        <f t="shared" si="65"/>
        <v>0</v>
      </c>
      <c r="AD204" s="54">
        <f t="shared" si="65"/>
        <v>0</v>
      </c>
      <c r="AE204" s="54">
        <f t="shared" si="65"/>
        <v>0</v>
      </c>
      <c r="AF204" s="54">
        <f t="shared" si="65"/>
        <v>0</v>
      </c>
      <c r="AG204" s="54">
        <f t="shared" si="65"/>
        <v>0</v>
      </c>
      <c r="AH204" s="54">
        <f t="shared" si="65"/>
        <v>0</v>
      </c>
      <c r="AI204" s="54">
        <f t="shared" si="65"/>
        <v>0</v>
      </c>
      <c r="AJ204" s="54">
        <f t="shared" si="65"/>
        <v>0</v>
      </c>
      <c r="AK204" s="54">
        <f t="shared" si="65"/>
        <v>0</v>
      </c>
      <c r="AL204" s="24">
        <f t="shared" si="49"/>
        <v>0</v>
      </c>
      <c r="AM204" s="24">
        <f t="shared" si="50"/>
        <v>0</v>
      </c>
      <c r="AN204" s="55">
        <f t="shared" si="51"/>
        <v>0</v>
      </c>
      <c r="AO204" s="55">
        <f t="shared" si="52"/>
        <v>0</v>
      </c>
      <c r="AP204" s="24"/>
      <c r="AQ204" s="24"/>
      <c r="AR204" s="24"/>
      <c r="AS204" s="24"/>
      <c r="AT204" s="24"/>
      <c r="AU204" s="24"/>
      <c r="AV204" s="24"/>
      <c r="AW204" s="24"/>
      <c r="AX204" s="24"/>
      <c r="AY204" s="24"/>
    </row>
    <row r="205" spans="7:51">
      <c r="G205" s="12">
        <f t="shared" si="40"/>
        <v>0</v>
      </c>
      <c r="H205" s="12">
        <f t="shared" si="62"/>
        <v>0</v>
      </c>
      <c r="I205" s="12">
        <f t="shared" si="62"/>
        <v>0</v>
      </c>
      <c r="J205" s="12">
        <f t="shared" si="62"/>
        <v>0</v>
      </c>
      <c r="K205" s="12">
        <f t="shared" si="42"/>
        <v>0</v>
      </c>
      <c r="L205" s="12">
        <f t="shared" si="63"/>
        <v>0</v>
      </c>
      <c r="M205" s="12">
        <f t="shared" si="63"/>
        <v>0</v>
      </c>
      <c r="N205" s="12">
        <f t="shared" si="63"/>
        <v>0</v>
      </c>
      <c r="O205" s="12">
        <f t="shared" si="44"/>
        <v>0</v>
      </c>
      <c r="P205" s="12">
        <f t="shared" si="64"/>
        <v>0</v>
      </c>
      <c r="Q205" s="12">
        <f t="shared" si="64"/>
        <v>0</v>
      </c>
      <c r="T205" s="61"/>
      <c r="U205" s="61"/>
      <c r="V205" s="61"/>
      <c r="W205" s="53">
        <f t="shared" si="46"/>
        <v>0</v>
      </c>
      <c r="X205" s="54" t="e">
        <f t="shared" si="47"/>
        <v>#DIV/0!</v>
      </c>
      <c r="Y205" s="25">
        <f t="shared" si="53"/>
        <v>0</v>
      </c>
      <c r="Z205" s="54">
        <f t="shared" si="56"/>
        <v>0</v>
      </c>
      <c r="AA205" s="54">
        <f t="shared" si="65"/>
        <v>0</v>
      </c>
      <c r="AB205" s="54">
        <f t="shared" si="65"/>
        <v>0</v>
      </c>
      <c r="AC205" s="54">
        <f t="shared" si="65"/>
        <v>0</v>
      </c>
      <c r="AD205" s="54">
        <f t="shared" si="65"/>
        <v>0</v>
      </c>
      <c r="AE205" s="54">
        <f t="shared" si="65"/>
        <v>0</v>
      </c>
      <c r="AF205" s="54">
        <f t="shared" si="65"/>
        <v>0</v>
      </c>
      <c r="AG205" s="54">
        <f t="shared" si="65"/>
        <v>0</v>
      </c>
      <c r="AH205" s="54">
        <f t="shared" si="65"/>
        <v>0</v>
      </c>
      <c r="AI205" s="54">
        <f t="shared" si="65"/>
        <v>0</v>
      </c>
      <c r="AJ205" s="54">
        <f t="shared" si="65"/>
        <v>0</v>
      </c>
      <c r="AK205" s="54">
        <f t="shared" si="65"/>
        <v>0</v>
      </c>
      <c r="AL205" s="24">
        <f t="shared" si="49"/>
        <v>0</v>
      </c>
      <c r="AM205" s="24">
        <f t="shared" si="50"/>
        <v>0</v>
      </c>
      <c r="AN205" s="55">
        <f t="shared" si="51"/>
        <v>0</v>
      </c>
      <c r="AO205" s="55">
        <f t="shared" si="52"/>
        <v>0</v>
      </c>
      <c r="AP205" s="24"/>
      <c r="AQ205" s="24"/>
      <c r="AR205" s="24"/>
      <c r="AS205" s="24"/>
      <c r="AT205" s="24"/>
      <c r="AU205" s="24"/>
      <c r="AV205" s="24"/>
      <c r="AW205" s="24"/>
      <c r="AX205" s="24"/>
      <c r="AY205" s="24"/>
    </row>
    <row r="206" spans="7:51">
      <c r="G206" s="12">
        <f t="shared" si="40"/>
        <v>0</v>
      </c>
      <c r="H206" s="12">
        <f t="shared" si="62"/>
        <v>0</v>
      </c>
      <c r="I206" s="12">
        <f t="shared" si="62"/>
        <v>0</v>
      </c>
      <c r="J206" s="12">
        <f t="shared" si="62"/>
        <v>0</v>
      </c>
      <c r="K206" s="12">
        <f t="shared" si="42"/>
        <v>0</v>
      </c>
      <c r="L206" s="12">
        <f t="shared" si="63"/>
        <v>0</v>
      </c>
      <c r="M206" s="12">
        <f t="shared" si="63"/>
        <v>0</v>
      </c>
      <c r="N206" s="12">
        <f t="shared" si="63"/>
        <v>0</v>
      </c>
      <c r="O206" s="12">
        <f t="shared" si="44"/>
        <v>0</v>
      </c>
      <c r="P206" s="12">
        <f t="shared" si="64"/>
        <v>0</v>
      </c>
      <c r="Q206" s="12">
        <f t="shared" si="64"/>
        <v>0</v>
      </c>
      <c r="T206" s="61"/>
      <c r="U206" s="61"/>
      <c r="V206" s="61"/>
      <c r="W206" s="53">
        <f t="shared" si="46"/>
        <v>0</v>
      </c>
      <c r="X206" s="54" t="e">
        <f t="shared" si="47"/>
        <v>#DIV/0!</v>
      </c>
      <c r="Y206" s="25">
        <f t="shared" si="53"/>
        <v>0</v>
      </c>
      <c r="Z206" s="54">
        <f t="shared" si="56"/>
        <v>0</v>
      </c>
      <c r="AA206" s="54">
        <f t="shared" si="65"/>
        <v>0</v>
      </c>
      <c r="AB206" s="54">
        <f t="shared" si="65"/>
        <v>0</v>
      </c>
      <c r="AC206" s="54">
        <f t="shared" si="65"/>
        <v>0</v>
      </c>
      <c r="AD206" s="54">
        <f t="shared" si="65"/>
        <v>0</v>
      </c>
      <c r="AE206" s="54">
        <f t="shared" si="65"/>
        <v>0</v>
      </c>
      <c r="AF206" s="54">
        <f t="shared" si="65"/>
        <v>0</v>
      </c>
      <c r="AG206" s="54">
        <f t="shared" si="65"/>
        <v>0</v>
      </c>
      <c r="AH206" s="54">
        <f t="shared" si="65"/>
        <v>0</v>
      </c>
      <c r="AI206" s="54">
        <f t="shared" si="65"/>
        <v>0</v>
      </c>
      <c r="AJ206" s="54">
        <f t="shared" si="65"/>
        <v>0</v>
      </c>
      <c r="AK206" s="54">
        <f t="shared" si="65"/>
        <v>0</v>
      </c>
      <c r="AL206" s="24">
        <f t="shared" si="49"/>
        <v>0</v>
      </c>
      <c r="AM206" s="24">
        <f t="shared" si="50"/>
        <v>0</v>
      </c>
      <c r="AN206" s="55">
        <f t="shared" si="51"/>
        <v>0</v>
      </c>
      <c r="AO206" s="55">
        <f t="shared" si="52"/>
        <v>0</v>
      </c>
      <c r="AP206" s="24"/>
      <c r="AQ206" s="24"/>
      <c r="AR206" s="24"/>
      <c r="AS206" s="24"/>
      <c r="AT206" s="24"/>
      <c r="AU206" s="24"/>
      <c r="AV206" s="24"/>
      <c r="AW206" s="24"/>
      <c r="AX206" s="24"/>
      <c r="AY206" s="24"/>
    </row>
    <row r="207" spans="7:51">
      <c r="G207" s="12">
        <f t="shared" si="40"/>
        <v>0</v>
      </c>
      <c r="H207" s="12">
        <f t="shared" si="62"/>
        <v>0</v>
      </c>
      <c r="I207" s="12">
        <f t="shared" si="62"/>
        <v>0</v>
      </c>
      <c r="J207" s="12">
        <f t="shared" si="62"/>
        <v>0</v>
      </c>
      <c r="K207" s="12">
        <f t="shared" si="42"/>
        <v>0</v>
      </c>
      <c r="L207" s="12">
        <f t="shared" si="63"/>
        <v>0</v>
      </c>
      <c r="M207" s="12">
        <f t="shared" si="63"/>
        <v>0</v>
      </c>
      <c r="N207" s="12">
        <f t="shared" si="63"/>
        <v>0</v>
      </c>
      <c r="O207" s="12">
        <f t="shared" si="44"/>
        <v>0</v>
      </c>
      <c r="P207" s="12">
        <f t="shared" si="64"/>
        <v>0</v>
      </c>
      <c r="Q207" s="12">
        <f t="shared" si="64"/>
        <v>0</v>
      </c>
      <c r="T207" s="61"/>
      <c r="U207" s="61"/>
      <c r="V207" s="61"/>
      <c r="W207" s="53">
        <f t="shared" si="46"/>
        <v>0</v>
      </c>
      <c r="X207" s="54" t="e">
        <f t="shared" si="47"/>
        <v>#DIV/0!</v>
      </c>
      <c r="Y207" s="25">
        <f t="shared" si="53"/>
        <v>0</v>
      </c>
      <c r="Z207" s="54">
        <f t="shared" si="56"/>
        <v>0</v>
      </c>
      <c r="AA207" s="54">
        <f t="shared" si="65"/>
        <v>0</v>
      </c>
      <c r="AB207" s="54">
        <f t="shared" si="65"/>
        <v>0</v>
      </c>
      <c r="AC207" s="54">
        <f t="shared" si="65"/>
        <v>0</v>
      </c>
      <c r="AD207" s="54">
        <f t="shared" si="65"/>
        <v>0</v>
      </c>
      <c r="AE207" s="54">
        <f t="shared" si="65"/>
        <v>0</v>
      </c>
      <c r="AF207" s="54">
        <f t="shared" si="65"/>
        <v>0</v>
      </c>
      <c r="AG207" s="54">
        <f t="shared" si="65"/>
        <v>0</v>
      </c>
      <c r="AH207" s="54">
        <f t="shared" si="65"/>
        <v>0</v>
      </c>
      <c r="AI207" s="54">
        <f t="shared" si="65"/>
        <v>0</v>
      </c>
      <c r="AJ207" s="54">
        <f t="shared" si="65"/>
        <v>0</v>
      </c>
      <c r="AK207" s="54">
        <f t="shared" si="65"/>
        <v>0</v>
      </c>
      <c r="AL207" s="24">
        <f t="shared" si="49"/>
        <v>0</v>
      </c>
      <c r="AM207" s="24">
        <f t="shared" si="50"/>
        <v>0</v>
      </c>
      <c r="AN207" s="55">
        <f t="shared" si="51"/>
        <v>0</v>
      </c>
      <c r="AO207" s="55">
        <f t="shared" si="52"/>
        <v>0</v>
      </c>
      <c r="AP207" s="24"/>
      <c r="AQ207" s="24"/>
      <c r="AR207" s="24"/>
      <c r="AS207" s="24"/>
      <c r="AT207" s="24"/>
      <c r="AU207" s="24"/>
      <c r="AV207" s="24"/>
      <c r="AW207" s="24"/>
      <c r="AX207" s="24"/>
      <c r="AY207" s="24"/>
    </row>
    <row r="208" spans="7:51">
      <c r="G208" s="12">
        <f t="shared" si="40"/>
        <v>0</v>
      </c>
      <c r="H208" s="12">
        <f t="shared" si="62"/>
        <v>0</v>
      </c>
      <c r="I208" s="12">
        <f t="shared" si="62"/>
        <v>0</v>
      </c>
      <c r="J208" s="12">
        <f t="shared" si="62"/>
        <v>0</v>
      </c>
      <c r="K208" s="12">
        <f t="shared" si="42"/>
        <v>0</v>
      </c>
      <c r="L208" s="12">
        <f t="shared" si="63"/>
        <v>0</v>
      </c>
      <c r="M208" s="12">
        <f t="shared" si="63"/>
        <v>0</v>
      </c>
      <c r="N208" s="12">
        <f t="shared" si="63"/>
        <v>0</v>
      </c>
      <c r="O208" s="12">
        <f t="shared" si="44"/>
        <v>0</v>
      </c>
      <c r="P208" s="12">
        <f t="shared" si="64"/>
        <v>0</v>
      </c>
      <c r="Q208" s="12">
        <f t="shared" si="64"/>
        <v>0</v>
      </c>
      <c r="T208" s="61"/>
      <c r="U208" s="61"/>
      <c r="V208" s="61"/>
      <c r="W208" s="53">
        <f t="shared" si="46"/>
        <v>0</v>
      </c>
      <c r="X208" s="54" t="e">
        <f t="shared" si="47"/>
        <v>#DIV/0!</v>
      </c>
      <c r="Y208" s="25">
        <f t="shared" si="53"/>
        <v>0</v>
      </c>
      <c r="Z208" s="54">
        <f t="shared" si="56"/>
        <v>0</v>
      </c>
      <c r="AA208" s="54">
        <f t="shared" si="65"/>
        <v>0</v>
      </c>
      <c r="AB208" s="54">
        <f t="shared" si="65"/>
        <v>0</v>
      </c>
      <c r="AC208" s="54">
        <f t="shared" si="65"/>
        <v>0</v>
      </c>
      <c r="AD208" s="54">
        <f t="shared" si="65"/>
        <v>0</v>
      </c>
      <c r="AE208" s="54">
        <f t="shared" si="65"/>
        <v>0</v>
      </c>
      <c r="AF208" s="54">
        <f t="shared" si="65"/>
        <v>0</v>
      </c>
      <c r="AG208" s="54">
        <f t="shared" si="65"/>
        <v>0</v>
      </c>
      <c r="AH208" s="54">
        <f t="shared" si="65"/>
        <v>0</v>
      </c>
      <c r="AI208" s="54">
        <f t="shared" si="65"/>
        <v>0</v>
      </c>
      <c r="AJ208" s="54">
        <f t="shared" si="65"/>
        <v>0</v>
      </c>
      <c r="AK208" s="54">
        <f t="shared" si="65"/>
        <v>0</v>
      </c>
      <c r="AL208" s="24">
        <f t="shared" si="49"/>
        <v>0</v>
      </c>
      <c r="AM208" s="24">
        <f t="shared" si="50"/>
        <v>0</v>
      </c>
      <c r="AN208" s="55">
        <f t="shared" si="51"/>
        <v>0</v>
      </c>
      <c r="AO208" s="55">
        <f t="shared" si="52"/>
        <v>0</v>
      </c>
      <c r="AP208" s="24"/>
      <c r="AQ208" s="24"/>
      <c r="AR208" s="24"/>
      <c r="AS208" s="24"/>
      <c r="AT208" s="24"/>
      <c r="AU208" s="24"/>
      <c r="AV208" s="24"/>
      <c r="AW208" s="24"/>
      <c r="AX208" s="24"/>
      <c r="AY208" s="24"/>
    </row>
    <row r="209" spans="6:51">
      <c r="G209" s="12">
        <f t="shared" si="40"/>
        <v>0</v>
      </c>
      <c r="H209" s="12">
        <f t="shared" si="62"/>
        <v>0</v>
      </c>
      <c r="I209" s="12">
        <f t="shared" si="62"/>
        <v>0</v>
      </c>
      <c r="J209" s="12">
        <f t="shared" si="62"/>
        <v>0</v>
      </c>
      <c r="K209" s="12">
        <f t="shared" si="42"/>
        <v>0</v>
      </c>
      <c r="L209" s="12">
        <f t="shared" si="63"/>
        <v>0</v>
      </c>
      <c r="M209" s="12">
        <f t="shared" si="63"/>
        <v>0</v>
      </c>
      <c r="N209" s="12">
        <f t="shared" si="63"/>
        <v>0</v>
      </c>
      <c r="O209" s="12">
        <f t="shared" si="44"/>
        <v>0</v>
      </c>
      <c r="P209" s="12">
        <f t="shared" si="64"/>
        <v>0</v>
      </c>
      <c r="Q209" s="12">
        <f t="shared" si="64"/>
        <v>0</v>
      </c>
      <c r="T209" s="61"/>
      <c r="U209" s="61"/>
      <c r="V209" s="61"/>
      <c r="W209" s="53">
        <f t="shared" si="46"/>
        <v>0</v>
      </c>
      <c r="X209" s="54" t="e">
        <f t="shared" si="47"/>
        <v>#DIV/0!</v>
      </c>
      <c r="Y209" s="25">
        <f t="shared" si="53"/>
        <v>0</v>
      </c>
      <c r="Z209" s="54">
        <f t="shared" si="56"/>
        <v>0</v>
      </c>
      <c r="AA209" s="54">
        <f t="shared" si="65"/>
        <v>0</v>
      </c>
      <c r="AB209" s="54">
        <f t="shared" si="65"/>
        <v>0</v>
      </c>
      <c r="AC209" s="54">
        <f t="shared" si="65"/>
        <v>0</v>
      </c>
      <c r="AD209" s="54">
        <f t="shared" si="65"/>
        <v>0</v>
      </c>
      <c r="AE209" s="54">
        <f t="shared" si="65"/>
        <v>0</v>
      </c>
      <c r="AF209" s="54">
        <f t="shared" si="65"/>
        <v>0</v>
      </c>
      <c r="AG209" s="54">
        <f t="shared" si="65"/>
        <v>0</v>
      </c>
      <c r="AH209" s="54">
        <f t="shared" si="65"/>
        <v>0</v>
      </c>
      <c r="AI209" s="54">
        <f t="shared" si="65"/>
        <v>0</v>
      </c>
      <c r="AJ209" s="54">
        <f t="shared" si="65"/>
        <v>0</v>
      </c>
      <c r="AK209" s="54">
        <f t="shared" si="65"/>
        <v>0</v>
      </c>
      <c r="AL209" s="24">
        <f t="shared" si="49"/>
        <v>0</v>
      </c>
      <c r="AM209" s="24">
        <f t="shared" si="50"/>
        <v>0</v>
      </c>
      <c r="AN209" s="55">
        <f t="shared" si="51"/>
        <v>0</v>
      </c>
      <c r="AO209" s="55">
        <f t="shared" si="52"/>
        <v>0</v>
      </c>
      <c r="AP209" s="24"/>
      <c r="AQ209" s="24"/>
      <c r="AR209" s="24"/>
      <c r="AS209" s="24"/>
      <c r="AT209" s="24"/>
      <c r="AU209" s="24"/>
      <c r="AV209" s="24"/>
      <c r="AW209" s="24"/>
      <c r="AX209" s="24"/>
      <c r="AY209" s="24"/>
    </row>
    <row r="210" spans="6:51">
      <c r="T210" s="61"/>
      <c r="U210" s="61"/>
      <c r="V210" s="61"/>
      <c r="W210" s="53">
        <f t="shared" si="46"/>
        <v>0</v>
      </c>
      <c r="X210" s="54" t="e">
        <f t="shared" si="47"/>
        <v>#DIV/0!</v>
      </c>
      <c r="Y210" s="25">
        <f t="shared" si="53"/>
        <v>0</v>
      </c>
      <c r="Z210" s="54">
        <f t="shared" si="56"/>
        <v>0</v>
      </c>
      <c r="AA210" s="54">
        <f t="shared" si="65"/>
        <v>0</v>
      </c>
      <c r="AB210" s="54">
        <f t="shared" si="65"/>
        <v>0</v>
      </c>
      <c r="AC210" s="54">
        <f t="shared" si="65"/>
        <v>0</v>
      </c>
      <c r="AD210" s="54">
        <f t="shared" si="65"/>
        <v>0</v>
      </c>
      <c r="AE210" s="54">
        <f t="shared" si="65"/>
        <v>0</v>
      </c>
      <c r="AF210" s="54">
        <f t="shared" si="65"/>
        <v>0</v>
      </c>
      <c r="AG210" s="54">
        <f t="shared" si="65"/>
        <v>0</v>
      </c>
      <c r="AH210" s="54">
        <f t="shared" si="65"/>
        <v>0</v>
      </c>
      <c r="AI210" s="54">
        <f t="shared" si="65"/>
        <v>0</v>
      </c>
      <c r="AJ210" s="54">
        <f t="shared" si="65"/>
        <v>0</v>
      </c>
      <c r="AK210" s="54">
        <f t="shared" si="65"/>
        <v>0</v>
      </c>
      <c r="AL210" s="24">
        <f t="shared" si="49"/>
        <v>0</v>
      </c>
      <c r="AM210" s="24">
        <f t="shared" si="50"/>
        <v>0</v>
      </c>
      <c r="AN210" s="55">
        <f t="shared" si="51"/>
        <v>0</v>
      </c>
      <c r="AO210" s="55">
        <f t="shared" si="52"/>
        <v>0</v>
      </c>
      <c r="AP210" s="24"/>
      <c r="AQ210" s="24"/>
      <c r="AR210" s="24"/>
      <c r="AS210" s="24"/>
      <c r="AT210" s="24"/>
      <c r="AU210" s="24"/>
      <c r="AV210" s="24"/>
      <c r="AW210" s="24"/>
      <c r="AX210" s="24"/>
      <c r="AY210" s="24"/>
    </row>
    <row r="211" spans="6:51">
      <c r="T211" s="61"/>
      <c r="U211" s="61"/>
      <c r="V211" s="61"/>
      <c r="W211" s="53">
        <f t="shared" si="46"/>
        <v>0</v>
      </c>
      <c r="X211" s="54" t="e">
        <f t="shared" si="47"/>
        <v>#DIV/0!</v>
      </c>
      <c r="Y211" s="25">
        <f t="shared" si="53"/>
        <v>0</v>
      </c>
      <c r="Z211" s="54">
        <f t="shared" si="56"/>
        <v>0</v>
      </c>
      <c r="AA211" s="54">
        <f t="shared" si="65"/>
        <v>0</v>
      </c>
      <c r="AB211" s="54">
        <f t="shared" si="65"/>
        <v>0</v>
      </c>
      <c r="AC211" s="54">
        <f t="shared" si="65"/>
        <v>0</v>
      </c>
      <c r="AD211" s="54">
        <f t="shared" si="65"/>
        <v>0</v>
      </c>
      <c r="AE211" s="54">
        <f t="shared" si="65"/>
        <v>0</v>
      </c>
      <c r="AF211" s="54">
        <f t="shared" si="65"/>
        <v>0</v>
      </c>
      <c r="AG211" s="54">
        <f t="shared" si="65"/>
        <v>0</v>
      </c>
      <c r="AH211" s="54">
        <f t="shared" si="65"/>
        <v>0</v>
      </c>
      <c r="AI211" s="54">
        <f t="shared" si="65"/>
        <v>0</v>
      </c>
      <c r="AJ211" s="54">
        <f t="shared" si="65"/>
        <v>0</v>
      </c>
      <c r="AK211" s="54">
        <f t="shared" si="65"/>
        <v>0</v>
      </c>
      <c r="AL211" s="24">
        <f t="shared" si="49"/>
        <v>0</v>
      </c>
      <c r="AM211" s="24">
        <f t="shared" si="50"/>
        <v>0</v>
      </c>
      <c r="AN211" s="55">
        <f t="shared" si="51"/>
        <v>0</v>
      </c>
      <c r="AO211" s="55">
        <f t="shared" si="52"/>
        <v>0</v>
      </c>
      <c r="AP211" s="25"/>
      <c r="AQ211" s="24"/>
      <c r="AR211" s="24"/>
      <c r="AS211" s="24"/>
      <c r="AT211" s="24"/>
      <c r="AU211" s="24"/>
      <c r="AV211" s="24"/>
      <c r="AW211" s="24"/>
      <c r="AX211" s="24"/>
      <c r="AY211" s="24"/>
    </row>
    <row r="212" spans="6:51">
      <c r="T212" s="61"/>
      <c r="U212" s="61"/>
      <c r="V212" s="61"/>
      <c r="W212" s="53"/>
      <c r="X212" s="54"/>
      <c r="Y212" s="25">
        <f t="shared" si="53"/>
        <v>0</v>
      </c>
      <c r="Z212" s="54">
        <f t="shared" si="56"/>
        <v>0</v>
      </c>
      <c r="AA212" s="54">
        <f t="shared" si="65"/>
        <v>0</v>
      </c>
      <c r="AB212" s="54">
        <f t="shared" si="65"/>
        <v>0</v>
      </c>
      <c r="AC212" s="54">
        <f t="shared" si="65"/>
        <v>0</v>
      </c>
      <c r="AD212" s="54">
        <f t="shared" si="65"/>
        <v>0</v>
      </c>
      <c r="AE212" s="54">
        <f t="shared" si="65"/>
        <v>0</v>
      </c>
      <c r="AF212" s="54">
        <f t="shared" si="65"/>
        <v>0</v>
      </c>
      <c r="AG212" s="54">
        <f t="shared" si="65"/>
        <v>0</v>
      </c>
      <c r="AH212" s="54">
        <f t="shared" si="65"/>
        <v>0</v>
      </c>
      <c r="AI212" s="54">
        <f t="shared" si="65"/>
        <v>0</v>
      </c>
      <c r="AJ212" s="54">
        <f t="shared" si="65"/>
        <v>0</v>
      </c>
      <c r="AK212" s="54">
        <f t="shared" si="65"/>
        <v>0</v>
      </c>
      <c r="AL212" s="24">
        <f t="shared" si="49"/>
        <v>0</v>
      </c>
      <c r="AM212" s="24">
        <f t="shared" si="50"/>
        <v>0</v>
      </c>
      <c r="AN212" s="55">
        <f t="shared" si="51"/>
        <v>0</v>
      </c>
      <c r="AO212" s="55">
        <f t="shared" si="52"/>
        <v>0</v>
      </c>
      <c r="AP212" s="24"/>
      <c r="AQ212" s="24"/>
      <c r="AR212" s="24"/>
      <c r="AS212" s="24"/>
      <c r="AT212" s="24"/>
      <c r="AU212" s="24"/>
      <c r="AV212" s="24"/>
      <c r="AW212" s="24"/>
      <c r="AX212" s="24"/>
      <c r="AY212" s="24"/>
    </row>
    <row r="213" spans="6:51">
      <c r="T213" s="61"/>
      <c r="U213" s="61"/>
      <c r="V213" s="61"/>
      <c r="W213" s="53"/>
      <c r="X213" s="54"/>
      <c r="Y213" s="25">
        <f t="shared" si="53"/>
        <v>0</v>
      </c>
      <c r="Z213" s="54">
        <f t="shared" si="56"/>
        <v>0</v>
      </c>
      <c r="AA213" s="54">
        <f t="shared" si="65"/>
        <v>0</v>
      </c>
      <c r="AB213" s="54">
        <f t="shared" si="65"/>
        <v>0</v>
      </c>
      <c r="AC213" s="54">
        <f t="shared" si="65"/>
        <v>0</v>
      </c>
      <c r="AD213" s="54">
        <f t="shared" si="65"/>
        <v>0</v>
      </c>
      <c r="AE213" s="54">
        <f t="shared" si="65"/>
        <v>0</v>
      </c>
      <c r="AF213" s="54">
        <f t="shared" si="65"/>
        <v>0</v>
      </c>
      <c r="AG213" s="54">
        <f t="shared" si="65"/>
        <v>0</v>
      </c>
      <c r="AH213" s="54">
        <f t="shared" si="65"/>
        <v>0</v>
      </c>
      <c r="AI213" s="54">
        <f t="shared" si="65"/>
        <v>0</v>
      </c>
      <c r="AJ213" s="54">
        <f t="shared" si="65"/>
        <v>0</v>
      </c>
      <c r="AK213" s="54">
        <f t="shared" si="65"/>
        <v>0</v>
      </c>
      <c r="AL213" s="24">
        <f t="shared" si="49"/>
        <v>0</v>
      </c>
      <c r="AM213" s="24">
        <f t="shared" si="50"/>
        <v>0</v>
      </c>
      <c r="AN213" s="55">
        <f t="shared" si="51"/>
        <v>0</v>
      </c>
      <c r="AO213" s="55">
        <f t="shared" si="52"/>
        <v>0</v>
      </c>
      <c r="AP213" s="24"/>
      <c r="AQ213" s="24"/>
      <c r="AR213" s="24"/>
      <c r="AS213" s="24"/>
      <c r="AT213" s="24"/>
      <c r="AU213" s="24"/>
      <c r="AV213" s="24"/>
      <c r="AW213" s="24"/>
      <c r="AX213" s="24"/>
      <c r="AY213" s="24"/>
    </row>
    <row r="214" spans="6:51" ht="13">
      <c r="F214" s="187" t="s">
        <v>490</v>
      </c>
      <c r="G214" s="187">
        <f>SUM(G167:G213)</f>
        <v>0</v>
      </c>
      <c r="H214" s="187">
        <f t="shared" ref="H214:Q214" si="66">SUM(H167:H213)</f>
        <v>0</v>
      </c>
      <c r="I214" s="187">
        <f t="shared" si="66"/>
        <v>0</v>
      </c>
      <c r="J214" s="187">
        <f t="shared" si="66"/>
        <v>0</v>
      </c>
      <c r="K214" s="187">
        <f t="shared" si="66"/>
        <v>0</v>
      </c>
      <c r="L214" s="187">
        <f t="shared" si="66"/>
        <v>0</v>
      </c>
      <c r="M214" s="187">
        <f t="shared" si="66"/>
        <v>0</v>
      </c>
      <c r="N214" s="187">
        <f t="shared" si="66"/>
        <v>0</v>
      </c>
      <c r="O214" s="187">
        <f t="shared" si="66"/>
        <v>0</v>
      </c>
      <c r="P214" s="187">
        <f t="shared" si="66"/>
        <v>0</v>
      </c>
      <c r="Q214" s="187">
        <f t="shared" si="66"/>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68</v>
      </c>
      <c r="AA215" s="156">
        <f>$C$64+AA214</f>
        <v>68</v>
      </c>
      <c r="AB215" s="156">
        <f t="shared" ref="AB215:AE215" si="67">$C$64+AB214</f>
        <v>68</v>
      </c>
      <c r="AC215" s="156">
        <f t="shared" si="67"/>
        <v>68</v>
      </c>
      <c r="AD215" s="156">
        <f t="shared" si="67"/>
        <v>68</v>
      </c>
      <c r="AE215" s="156">
        <f t="shared" si="67"/>
        <v>68</v>
      </c>
      <c r="AF215" s="156">
        <f>$C$64+AF214</f>
        <v>68</v>
      </c>
      <c r="AG215" s="156">
        <f t="shared" ref="AG215:AK215" si="68">$C$64+AG214</f>
        <v>68</v>
      </c>
      <c r="AH215" s="156">
        <f>$C$64+AH214</f>
        <v>68</v>
      </c>
      <c r="AI215" s="156">
        <f t="shared" si="68"/>
        <v>68</v>
      </c>
      <c r="AJ215" s="156">
        <f t="shared" si="68"/>
        <v>68</v>
      </c>
      <c r="AK215" s="156">
        <f t="shared" si="68"/>
        <v>68</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I216" si="69">IF(Z215&lt;$BB$154,(6+(1-Z215/$BB$154)),IF(Z215&lt;$BB$155,5.5+(0.5*(($BB$155-Z215)/($BB$155-$BB$154))),IF(Z215&lt;$BB$156,5-0.5*((Z215)-$BB$156)/($BB$156-$BB$155),IF(Z215&lt;$BB$157,4.5-0.5*((Z215-$BB$157)/($BB$157-$BB$156)),5-0.5*((Z215-$BB$156)/$BH$166)))))</f>
        <v>5.0456962207213678</v>
      </c>
      <c r="AA216" s="154">
        <f t="shared" si="69"/>
        <v>5.0456962207213678</v>
      </c>
      <c r="AB216" s="154">
        <f t="shared" si="69"/>
        <v>5.0456962207213678</v>
      </c>
      <c r="AC216" s="154">
        <f t="shared" si="69"/>
        <v>5.0456962207213678</v>
      </c>
      <c r="AD216" s="154">
        <f t="shared" si="69"/>
        <v>5.0456962207213678</v>
      </c>
      <c r="AE216" s="154">
        <f t="shared" si="69"/>
        <v>5.0456962207213678</v>
      </c>
      <c r="AF216" s="154">
        <f t="shared" si="69"/>
        <v>5.0456962207213678</v>
      </c>
      <c r="AG216" s="154">
        <f t="shared" si="69"/>
        <v>5.0456962207213678</v>
      </c>
      <c r="AH216" s="154">
        <f t="shared" si="69"/>
        <v>5.0456962207213678</v>
      </c>
      <c r="AI216" s="154">
        <f t="shared" si="69"/>
        <v>5.0456962207213678</v>
      </c>
      <c r="AJ216" s="154">
        <f>IF(AJ215&lt;$BB$154,(6+(1-AJ215/$BB$154)),IF(AJ215&lt;$BB$155,5.5+(0.5*(($BB$155-AJ215)/($BB$155-$BB$154))),IF(AJ215&lt;$BB$156,5-0.5*((AJ215)-$BB$156)/($BB$156-$BB$155),IF(AJ215&lt;$BB$157,4.5-0.5*((AJ215-$BB$157)/($BB$157-$BB$156)),5-0.5*((AJ215-$BB$156)/$BH$166)))))</f>
        <v>5.0456962207213678</v>
      </c>
      <c r="AK216" s="154">
        <f>IF(AK215&lt;$BB$154,(6+(1-AK215/$BB$154)),IF(AK215&lt;$BB$155,5.5+(0.5*(($BB$155-AK215)/($BB$155-$BB$154))),IF(AK215&lt;$BB$156,5-0.5*((AK215)-$BB$156)/($BB$156-$BB$155),IF(AK215&lt;$BB$157,4.5-0.5*((AK215-$BB$157)/($BB$157-$BB$156)),5-0.5*((AK215-$BB$156)/$BH$166)))))</f>
        <v>5.0456962207213678</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70">IF($E69&lt;G$66,$D69,0)</f>
        <v>0</v>
      </c>
      <c r="H220" s="12">
        <f t="shared" ref="H220:Q235" si="71">IF($E69&gt;H$66,0,IF($E69&lt;H$66-365,$D69,0))</f>
        <v>0</v>
      </c>
      <c r="I220" s="12">
        <f t="shared" si="71"/>
        <v>0</v>
      </c>
      <c r="J220" s="12">
        <f t="shared" si="71"/>
        <v>0</v>
      </c>
      <c r="K220" s="12">
        <f t="shared" si="71"/>
        <v>0</v>
      </c>
      <c r="L220" s="12">
        <f t="shared" si="71"/>
        <v>0</v>
      </c>
      <c r="M220" s="12">
        <f t="shared" si="71"/>
        <v>0</v>
      </c>
      <c r="N220" s="12">
        <f t="shared" si="71"/>
        <v>0</v>
      </c>
      <c r="O220" s="12">
        <f t="shared" si="71"/>
        <v>0</v>
      </c>
      <c r="P220" s="12">
        <f t="shared" si="71"/>
        <v>0</v>
      </c>
      <c r="Q220" s="12">
        <f t="shared" si="71"/>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70"/>
        <v>0</v>
      </c>
      <c r="H221" s="12">
        <f t="shared" si="71"/>
        <v>0</v>
      </c>
      <c r="I221" s="12">
        <f t="shared" si="71"/>
        <v>0</v>
      </c>
      <c r="J221" s="12">
        <f t="shared" si="71"/>
        <v>0</v>
      </c>
      <c r="K221" s="12">
        <f t="shared" si="71"/>
        <v>0</v>
      </c>
      <c r="L221" s="12">
        <f t="shared" si="71"/>
        <v>0</v>
      </c>
      <c r="M221" s="12">
        <f t="shared" si="71"/>
        <v>0</v>
      </c>
      <c r="N221" s="12">
        <f t="shared" si="71"/>
        <v>0</v>
      </c>
      <c r="O221" s="12">
        <f t="shared" si="71"/>
        <v>0</v>
      </c>
      <c r="P221" s="12">
        <f t="shared" si="71"/>
        <v>0</v>
      </c>
      <c r="Q221" s="12">
        <f t="shared" si="7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70"/>
        <v>0</v>
      </c>
      <c r="H222" s="12">
        <f t="shared" si="71"/>
        <v>0</v>
      </c>
      <c r="I222" s="12">
        <f t="shared" si="71"/>
        <v>0</v>
      </c>
      <c r="J222" s="12">
        <f t="shared" si="71"/>
        <v>0</v>
      </c>
      <c r="K222" s="12">
        <f t="shared" si="71"/>
        <v>0</v>
      </c>
      <c r="L222" s="12">
        <f t="shared" si="71"/>
        <v>0</v>
      </c>
      <c r="M222" s="12">
        <f t="shared" si="71"/>
        <v>0</v>
      </c>
      <c r="N222" s="12">
        <f t="shared" si="71"/>
        <v>0</v>
      </c>
      <c r="O222" s="12">
        <f t="shared" si="71"/>
        <v>0</v>
      </c>
      <c r="P222" s="12">
        <f t="shared" si="71"/>
        <v>0</v>
      </c>
      <c r="Q222" s="12">
        <f t="shared" si="71"/>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70"/>
        <v>0</v>
      </c>
      <c r="H223" s="12">
        <f t="shared" si="71"/>
        <v>0</v>
      </c>
      <c r="I223" s="12">
        <f t="shared" si="71"/>
        <v>0</v>
      </c>
      <c r="J223" s="12">
        <f t="shared" si="71"/>
        <v>0</v>
      </c>
      <c r="K223" s="12">
        <f t="shared" si="71"/>
        <v>0</v>
      </c>
      <c r="L223" s="12">
        <f t="shared" si="71"/>
        <v>0</v>
      </c>
      <c r="M223" s="12">
        <f t="shared" si="71"/>
        <v>0</v>
      </c>
      <c r="N223" s="12">
        <f t="shared" si="71"/>
        <v>0</v>
      </c>
      <c r="O223" s="12">
        <f t="shared" si="71"/>
        <v>0</v>
      </c>
      <c r="P223" s="12">
        <f t="shared" si="71"/>
        <v>0</v>
      </c>
      <c r="Q223" s="12">
        <f t="shared" si="71"/>
        <v>0</v>
      </c>
      <c r="T223" s="20"/>
      <c r="U223" s="20"/>
      <c r="V223" s="20"/>
    </row>
    <row r="224" spans="6:51">
      <c r="G224" s="12">
        <f t="shared" si="70"/>
        <v>0</v>
      </c>
      <c r="H224" s="12">
        <f t="shared" si="71"/>
        <v>0</v>
      </c>
      <c r="I224" s="12">
        <f t="shared" si="71"/>
        <v>0</v>
      </c>
      <c r="J224" s="12">
        <f t="shared" si="71"/>
        <v>0</v>
      </c>
      <c r="K224" s="12">
        <f t="shared" si="71"/>
        <v>0</v>
      </c>
      <c r="L224" s="12">
        <f t="shared" si="71"/>
        <v>0</v>
      </c>
      <c r="M224" s="12">
        <f t="shared" si="71"/>
        <v>0</v>
      </c>
      <c r="N224" s="12">
        <f t="shared" si="71"/>
        <v>0</v>
      </c>
      <c r="O224" s="12">
        <f t="shared" si="71"/>
        <v>0</v>
      </c>
      <c r="P224" s="12">
        <f t="shared" si="71"/>
        <v>0</v>
      </c>
      <c r="Q224" s="12">
        <f t="shared" si="71"/>
        <v>0</v>
      </c>
      <c r="T224" s="20"/>
      <c r="U224" s="20"/>
      <c r="V224" s="20"/>
    </row>
    <row r="225" spans="7:28">
      <c r="G225" s="12">
        <f t="shared" si="70"/>
        <v>0</v>
      </c>
      <c r="H225" s="12">
        <f t="shared" si="71"/>
        <v>0</v>
      </c>
      <c r="I225" s="12">
        <f t="shared" si="71"/>
        <v>0</v>
      </c>
      <c r="J225" s="12">
        <f t="shared" si="71"/>
        <v>0</v>
      </c>
      <c r="K225" s="12">
        <f t="shared" si="71"/>
        <v>0</v>
      </c>
      <c r="L225" s="12">
        <f t="shared" si="71"/>
        <v>0</v>
      </c>
      <c r="M225" s="12">
        <f t="shared" si="71"/>
        <v>0</v>
      </c>
      <c r="N225" s="12">
        <f t="shared" si="71"/>
        <v>0</v>
      </c>
      <c r="O225" s="12">
        <f t="shared" si="71"/>
        <v>0</v>
      </c>
      <c r="P225" s="12">
        <f t="shared" si="71"/>
        <v>0</v>
      </c>
      <c r="Q225" s="12">
        <f t="shared" si="71"/>
        <v>0</v>
      </c>
      <c r="T225" s="20"/>
      <c r="U225" s="20"/>
      <c r="V225" s="20"/>
      <c r="AA225" s="55">
        <f>SUM(AN167:AN213)</f>
        <v>0</v>
      </c>
      <c r="AB225" s="24">
        <f>SUM(AO167:AO213)</f>
        <v>0</v>
      </c>
    </row>
    <row r="226" spans="7:28">
      <c r="G226" s="12">
        <f t="shared" si="70"/>
        <v>0</v>
      </c>
      <c r="H226" s="12">
        <f t="shared" si="71"/>
        <v>0</v>
      </c>
      <c r="I226" s="12">
        <f t="shared" si="71"/>
        <v>0</v>
      </c>
      <c r="J226" s="12">
        <f t="shared" si="71"/>
        <v>0</v>
      </c>
      <c r="K226" s="12">
        <f t="shared" si="71"/>
        <v>0</v>
      </c>
      <c r="L226" s="12">
        <f t="shared" si="71"/>
        <v>0</v>
      </c>
      <c r="M226" s="12">
        <f t="shared" si="71"/>
        <v>0</v>
      </c>
      <c r="N226" s="12">
        <f t="shared" si="71"/>
        <v>0</v>
      </c>
      <c r="O226" s="12">
        <f t="shared" si="71"/>
        <v>0</v>
      </c>
      <c r="P226" s="12">
        <f t="shared" si="71"/>
        <v>0</v>
      </c>
      <c r="Q226" s="12">
        <f t="shared" si="71"/>
        <v>0</v>
      </c>
      <c r="T226" s="20"/>
      <c r="U226" s="20"/>
      <c r="V226" s="20"/>
      <c r="AA226" s="24">
        <f>AA225*1.35</f>
        <v>0</v>
      </c>
      <c r="AB226" s="24">
        <f>AB225*1.35</f>
        <v>0</v>
      </c>
    </row>
    <row r="227" spans="7:28">
      <c r="G227" s="12">
        <f t="shared" si="70"/>
        <v>0</v>
      </c>
      <c r="H227" s="12">
        <f t="shared" si="71"/>
        <v>0</v>
      </c>
      <c r="I227" s="12">
        <f t="shared" si="71"/>
        <v>0</v>
      </c>
      <c r="J227" s="12">
        <f t="shared" si="71"/>
        <v>0</v>
      </c>
      <c r="K227" s="12">
        <f t="shared" si="71"/>
        <v>0</v>
      </c>
      <c r="L227" s="12">
        <f t="shared" si="71"/>
        <v>0</v>
      </c>
      <c r="M227" s="12">
        <f t="shared" si="71"/>
        <v>0</v>
      </c>
      <c r="N227" s="12">
        <f t="shared" si="71"/>
        <v>0</v>
      </c>
      <c r="O227" s="12">
        <f t="shared" si="71"/>
        <v>0</v>
      </c>
      <c r="P227" s="12">
        <f t="shared" si="71"/>
        <v>0</v>
      </c>
      <c r="Q227" s="12">
        <f t="shared" si="71"/>
        <v>0</v>
      </c>
    </row>
    <row r="228" spans="7:28">
      <c r="G228" s="12">
        <f t="shared" si="70"/>
        <v>0</v>
      </c>
      <c r="H228" s="12">
        <f t="shared" si="71"/>
        <v>0</v>
      </c>
      <c r="I228" s="12">
        <f t="shared" si="71"/>
        <v>0</v>
      </c>
      <c r="J228" s="12">
        <f t="shared" si="71"/>
        <v>0</v>
      </c>
      <c r="K228" s="12">
        <f t="shared" si="71"/>
        <v>0</v>
      </c>
      <c r="L228" s="12">
        <f t="shared" si="71"/>
        <v>0</v>
      </c>
      <c r="M228" s="12">
        <f t="shared" si="71"/>
        <v>0</v>
      </c>
      <c r="N228" s="12">
        <f t="shared" si="71"/>
        <v>0</v>
      </c>
      <c r="O228" s="12">
        <f t="shared" si="71"/>
        <v>0</v>
      </c>
      <c r="P228" s="12">
        <f t="shared" si="71"/>
        <v>0</v>
      </c>
      <c r="Q228" s="12">
        <f t="shared" si="71"/>
        <v>0</v>
      </c>
    </row>
    <row r="229" spans="7:28">
      <c r="G229" s="12">
        <f t="shared" si="70"/>
        <v>0</v>
      </c>
      <c r="H229" s="12">
        <f t="shared" si="71"/>
        <v>0</v>
      </c>
      <c r="I229" s="12">
        <f t="shared" si="71"/>
        <v>0</v>
      </c>
      <c r="J229" s="12">
        <f t="shared" si="71"/>
        <v>0</v>
      </c>
      <c r="K229" s="12">
        <f t="shared" si="71"/>
        <v>0</v>
      </c>
      <c r="L229" s="12">
        <f t="shared" si="71"/>
        <v>0</v>
      </c>
      <c r="M229" s="12">
        <f t="shared" si="71"/>
        <v>0</v>
      </c>
      <c r="N229" s="12">
        <f t="shared" si="71"/>
        <v>0</v>
      </c>
      <c r="O229" s="12">
        <f t="shared" si="71"/>
        <v>0</v>
      </c>
      <c r="P229" s="12">
        <f t="shared" si="71"/>
        <v>0</v>
      </c>
      <c r="Q229" s="12">
        <f t="shared" si="71"/>
        <v>0</v>
      </c>
    </row>
    <row r="230" spans="7:28">
      <c r="G230" s="12">
        <f t="shared" si="70"/>
        <v>0</v>
      </c>
      <c r="H230" s="12">
        <f t="shared" si="71"/>
        <v>0</v>
      </c>
      <c r="I230" s="12">
        <f t="shared" si="71"/>
        <v>0</v>
      </c>
      <c r="J230" s="12">
        <f t="shared" si="71"/>
        <v>0</v>
      </c>
      <c r="K230" s="12">
        <f t="shared" si="71"/>
        <v>0</v>
      </c>
      <c r="L230" s="12">
        <f t="shared" si="71"/>
        <v>0</v>
      </c>
      <c r="M230" s="12">
        <f t="shared" si="71"/>
        <v>0</v>
      </c>
      <c r="N230" s="12">
        <f t="shared" si="71"/>
        <v>0</v>
      </c>
      <c r="O230" s="12">
        <f t="shared" si="71"/>
        <v>0</v>
      </c>
      <c r="P230" s="12">
        <f t="shared" si="71"/>
        <v>0</v>
      </c>
      <c r="Q230" s="12">
        <f t="shared" si="71"/>
        <v>0</v>
      </c>
    </row>
    <row r="231" spans="7:28">
      <c r="G231" s="12">
        <f t="shared" si="70"/>
        <v>0</v>
      </c>
      <c r="H231" s="12">
        <f t="shared" si="71"/>
        <v>0</v>
      </c>
      <c r="I231" s="12">
        <f t="shared" si="71"/>
        <v>0</v>
      </c>
      <c r="J231" s="12">
        <f t="shared" si="71"/>
        <v>0</v>
      </c>
      <c r="K231" s="12">
        <f t="shared" si="71"/>
        <v>0</v>
      </c>
      <c r="L231" s="12">
        <f t="shared" si="71"/>
        <v>0</v>
      </c>
      <c r="M231" s="12">
        <f t="shared" si="71"/>
        <v>0</v>
      </c>
      <c r="N231" s="12">
        <f t="shared" si="71"/>
        <v>0</v>
      </c>
      <c r="O231" s="12">
        <f t="shared" si="71"/>
        <v>0</v>
      </c>
      <c r="P231" s="12">
        <f t="shared" si="71"/>
        <v>0</v>
      </c>
      <c r="Q231" s="12">
        <f t="shared" si="71"/>
        <v>0</v>
      </c>
    </row>
    <row r="232" spans="7:28">
      <c r="G232" s="12">
        <f t="shared" si="70"/>
        <v>0</v>
      </c>
      <c r="H232" s="12">
        <f t="shared" si="71"/>
        <v>0</v>
      </c>
      <c r="I232" s="12">
        <f t="shared" si="71"/>
        <v>0</v>
      </c>
      <c r="J232" s="12">
        <f t="shared" si="71"/>
        <v>0</v>
      </c>
      <c r="K232" s="12">
        <f t="shared" si="71"/>
        <v>0</v>
      </c>
      <c r="L232" s="12">
        <f t="shared" si="71"/>
        <v>0</v>
      </c>
      <c r="M232" s="12">
        <f t="shared" si="71"/>
        <v>0</v>
      </c>
      <c r="N232" s="12">
        <f t="shared" si="71"/>
        <v>0</v>
      </c>
      <c r="O232" s="12">
        <f t="shared" si="71"/>
        <v>0</v>
      </c>
      <c r="P232" s="12">
        <f t="shared" si="71"/>
        <v>0</v>
      </c>
      <c r="Q232" s="12">
        <f t="shared" si="71"/>
        <v>0</v>
      </c>
    </row>
    <row r="233" spans="7:28">
      <c r="G233" s="12">
        <f t="shared" si="70"/>
        <v>0</v>
      </c>
      <c r="H233" s="12">
        <f t="shared" si="71"/>
        <v>0</v>
      </c>
      <c r="I233" s="12">
        <f t="shared" si="71"/>
        <v>0</v>
      </c>
      <c r="J233" s="12">
        <f t="shared" si="71"/>
        <v>0</v>
      </c>
      <c r="K233" s="12">
        <f t="shared" si="71"/>
        <v>0</v>
      </c>
      <c r="L233" s="12">
        <f t="shared" si="71"/>
        <v>0</v>
      </c>
      <c r="M233" s="12">
        <f t="shared" si="71"/>
        <v>0</v>
      </c>
      <c r="N233" s="12">
        <f t="shared" si="71"/>
        <v>0</v>
      </c>
      <c r="O233" s="12">
        <f t="shared" si="71"/>
        <v>0</v>
      </c>
      <c r="P233" s="12">
        <f t="shared" si="71"/>
        <v>0</v>
      </c>
      <c r="Q233" s="12">
        <f t="shared" si="71"/>
        <v>0</v>
      </c>
    </row>
    <row r="234" spans="7:28">
      <c r="G234" s="12">
        <f t="shared" si="70"/>
        <v>0</v>
      </c>
      <c r="H234" s="12">
        <f t="shared" si="71"/>
        <v>0</v>
      </c>
      <c r="I234" s="12">
        <f t="shared" si="71"/>
        <v>0</v>
      </c>
      <c r="J234" s="12">
        <f t="shared" si="71"/>
        <v>0</v>
      </c>
      <c r="K234" s="12">
        <f t="shared" si="71"/>
        <v>0</v>
      </c>
      <c r="L234" s="12">
        <f t="shared" si="71"/>
        <v>0</v>
      </c>
      <c r="M234" s="12">
        <f t="shared" si="71"/>
        <v>0</v>
      </c>
      <c r="N234" s="12">
        <f t="shared" si="71"/>
        <v>0</v>
      </c>
      <c r="O234" s="12">
        <f t="shared" si="71"/>
        <v>0</v>
      </c>
      <c r="P234" s="12">
        <f t="shared" si="71"/>
        <v>0</v>
      </c>
      <c r="Q234" s="12">
        <f t="shared" si="71"/>
        <v>0</v>
      </c>
    </row>
    <row r="235" spans="7:28">
      <c r="G235" s="12">
        <f t="shared" si="70"/>
        <v>0</v>
      </c>
      <c r="H235" s="12">
        <f t="shared" si="71"/>
        <v>0</v>
      </c>
      <c r="I235" s="12">
        <f t="shared" si="71"/>
        <v>0</v>
      </c>
      <c r="J235" s="12">
        <f t="shared" si="71"/>
        <v>0</v>
      </c>
      <c r="K235" s="12">
        <f t="shared" si="71"/>
        <v>0</v>
      </c>
      <c r="L235" s="12">
        <f t="shared" si="71"/>
        <v>0</v>
      </c>
      <c r="M235" s="12">
        <f t="shared" si="71"/>
        <v>0</v>
      </c>
      <c r="N235" s="12">
        <f t="shared" si="71"/>
        <v>0</v>
      </c>
      <c r="O235" s="12">
        <f t="shared" si="71"/>
        <v>0</v>
      </c>
      <c r="P235" s="12">
        <f t="shared" si="71"/>
        <v>0</v>
      </c>
      <c r="Q235" s="12">
        <f t="shared" si="71"/>
        <v>0</v>
      </c>
    </row>
    <row r="236" spans="7:28">
      <c r="G236" s="12">
        <f t="shared" si="70"/>
        <v>0</v>
      </c>
      <c r="H236" s="12">
        <f t="shared" ref="H236:Q251" si="72">IF($E85&gt;H$66,0,IF($E85&lt;H$66-365,$D85,0))</f>
        <v>0</v>
      </c>
      <c r="I236" s="12">
        <f t="shared" si="72"/>
        <v>0</v>
      </c>
      <c r="J236" s="12">
        <f t="shared" si="72"/>
        <v>0</v>
      </c>
      <c r="K236" s="12">
        <f t="shared" si="72"/>
        <v>0</v>
      </c>
      <c r="L236" s="12">
        <f t="shared" si="72"/>
        <v>0</v>
      </c>
      <c r="M236" s="12">
        <f t="shared" si="72"/>
        <v>0</v>
      </c>
      <c r="N236" s="12">
        <f t="shared" si="72"/>
        <v>0</v>
      </c>
      <c r="O236" s="12">
        <f t="shared" si="72"/>
        <v>0</v>
      </c>
      <c r="P236" s="12">
        <f t="shared" si="72"/>
        <v>0</v>
      </c>
      <c r="Q236" s="12">
        <f t="shared" si="72"/>
        <v>0</v>
      </c>
    </row>
    <row r="237" spans="7:28">
      <c r="G237" s="12">
        <f t="shared" si="70"/>
        <v>0</v>
      </c>
      <c r="H237" s="12">
        <f t="shared" si="72"/>
        <v>0</v>
      </c>
      <c r="I237" s="12">
        <f t="shared" si="72"/>
        <v>0</v>
      </c>
      <c r="J237" s="12">
        <f t="shared" si="72"/>
        <v>0</v>
      </c>
      <c r="K237" s="12">
        <f t="shared" si="72"/>
        <v>0</v>
      </c>
      <c r="L237" s="12">
        <f t="shared" si="72"/>
        <v>0</v>
      </c>
      <c r="M237" s="12">
        <f t="shared" si="72"/>
        <v>0</v>
      </c>
      <c r="N237" s="12">
        <f t="shared" si="72"/>
        <v>0</v>
      </c>
      <c r="O237" s="12">
        <f t="shared" si="72"/>
        <v>0</v>
      </c>
      <c r="P237" s="12">
        <f t="shared" si="72"/>
        <v>0</v>
      </c>
      <c r="Q237" s="12">
        <f t="shared" si="72"/>
        <v>0</v>
      </c>
    </row>
    <row r="238" spans="7:28">
      <c r="G238" s="12">
        <f t="shared" si="70"/>
        <v>0</v>
      </c>
      <c r="H238" s="12">
        <f t="shared" si="72"/>
        <v>0</v>
      </c>
      <c r="I238" s="12">
        <f t="shared" si="72"/>
        <v>0</v>
      </c>
      <c r="J238" s="12">
        <f t="shared" si="72"/>
        <v>0</v>
      </c>
      <c r="K238" s="12">
        <f t="shared" si="72"/>
        <v>0</v>
      </c>
      <c r="L238" s="12">
        <f t="shared" si="72"/>
        <v>0</v>
      </c>
      <c r="M238" s="12">
        <f t="shared" si="72"/>
        <v>0</v>
      </c>
      <c r="N238" s="12">
        <f t="shared" si="72"/>
        <v>0</v>
      </c>
      <c r="O238" s="12">
        <f t="shared" si="72"/>
        <v>0</v>
      </c>
      <c r="P238" s="12">
        <f t="shared" si="72"/>
        <v>0</v>
      </c>
      <c r="Q238" s="12">
        <f t="shared" si="72"/>
        <v>0</v>
      </c>
    </row>
    <row r="239" spans="7:28">
      <c r="G239" s="12">
        <f t="shared" si="70"/>
        <v>0</v>
      </c>
      <c r="H239" s="12">
        <f t="shared" si="72"/>
        <v>0</v>
      </c>
      <c r="I239" s="12">
        <f t="shared" si="72"/>
        <v>0</v>
      </c>
      <c r="J239" s="12">
        <f t="shared" si="72"/>
        <v>0</v>
      </c>
      <c r="K239" s="12">
        <f t="shared" si="72"/>
        <v>0</v>
      </c>
      <c r="L239" s="12">
        <f t="shared" si="72"/>
        <v>0</v>
      </c>
      <c r="M239" s="12">
        <f t="shared" si="72"/>
        <v>0</v>
      </c>
      <c r="N239" s="12">
        <f t="shared" si="72"/>
        <v>0</v>
      </c>
      <c r="O239" s="12">
        <f t="shared" si="72"/>
        <v>0</v>
      </c>
      <c r="P239" s="12">
        <f t="shared" si="72"/>
        <v>0</v>
      </c>
      <c r="Q239" s="12">
        <f t="shared" si="72"/>
        <v>0</v>
      </c>
    </row>
    <row r="240" spans="7:28">
      <c r="G240" s="12">
        <f t="shared" si="70"/>
        <v>0</v>
      </c>
      <c r="H240" s="12">
        <f t="shared" si="72"/>
        <v>0</v>
      </c>
      <c r="I240" s="12">
        <f t="shared" si="72"/>
        <v>0</v>
      </c>
      <c r="J240" s="12">
        <f t="shared" si="72"/>
        <v>0</v>
      </c>
      <c r="K240" s="12">
        <f t="shared" si="72"/>
        <v>0</v>
      </c>
      <c r="L240" s="12">
        <f t="shared" si="72"/>
        <v>0</v>
      </c>
      <c r="M240" s="12">
        <f t="shared" si="72"/>
        <v>0</v>
      </c>
      <c r="N240" s="12">
        <f t="shared" si="72"/>
        <v>0</v>
      </c>
      <c r="O240" s="12">
        <f t="shared" si="72"/>
        <v>0</v>
      </c>
      <c r="P240" s="12">
        <f t="shared" si="72"/>
        <v>0</v>
      </c>
      <c r="Q240" s="12">
        <f t="shared" si="72"/>
        <v>0</v>
      </c>
    </row>
    <row r="241" spans="7:17">
      <c r="G241" s="12">
        <f t="shared" si="70"/>
        <v>0</v>
      </c>
      <c r="H241" s="12">
        <f t="shared" si="72"/>
        <v>0</v>
      </c>
      <c r="I241" s="12">
        <f t="shared" si="72"/>
        <v>0</v>
      </c>
      <c r="J241" s="12">
        <f t="shared" si="72"/>
        <v>0</v>
      </c>
      <c r="K241" s="12">
        <f t="shared" si="72"/>
        <v>0</v>
      </c>
      <c r="L241" s="12">
        <f t="shared" si="72"/>
        <v>0</v>
      </c>
      <c r="M241" s="12">
        <f t="shared" si="72"/>
        <v>0</v>
      </c>
      <c r="N241" s="12">
        <f t="shared" si="72"/>
        <v>0</v>
      </c>
      <c r="O241" s="12">
        <f t="shared" si="72"/>
        <v>0</v>
      </c>
      <c r="P241" s="12">
        <f t="shared" si="72"/>
        <v>0</v>
      </c>
      <c r="Q241" s="12">
        <f t="shared" si="72"/>
        <v>0</v>
      </c>
    </row>
    <row r="242" spans="7:17">
      <c r="G242" s="12">
        <f t="shared" si="70"/>
        <v>0</v>
      </c>
      <c r="H242" s="12">
        <f t="shared" si="72"/>
        <v>0</v>
      </c>
      <c r="I242" s="12">
        <f t="shared" si="72"/>
        <v>0</v>
      </c>
      <c r="J242" s="12">
        <f t="shared" si="72"/>
        <v>0</v>
      </c>
      <c r="K242" s="12">
        <f t="shared" si="72"/>
        <v>0</v>
      </c>
      <c r="L242" s="12">
        <f t="shared" si="72"/>
        <v>0</v>
      </c>
      <c r="M242" s="12">
        <f t="shared" si="72"/>
        <v>0</v>
      </c>
      <c r="N242" s="12">
        <f t="shared" si="72"/>
        <v>0</v>
      </c>
      <c r="O242" s="12">
        <f t="shared" si="72"/>
        <v>0</v>
      </c>
      <c r="P242" s="12">
        <f t="shared" si="72"/>
        <v>0</v>
      </c>
      <c r="Q242" s="12">
        <f t="shared" si="72"/>
        <v>0</v>
      </c>
    </row>
    <row r="243" spans="7:17">
      <c r="G243" s="12">
        <f t="shared" si="70"/>
        <v>0</v>
      </c>
      <c r="H243" s="12">
        <f t="shared" si="72"/>
        <v>0</v>
      </c>
      <c r="I243" s="12">
        <f t="shared" si="72"/>
        <v>0</v>
      </c>
      <c r="J243" s="12">
        <f t="shared" si="72"/>
        <v>0</v>
      </c>
      <c r="K243" s="12">
        <f t="shared" si="72"/>
        <v>0</v>
      </c>
      <c r="L243" s="12">
        <f t="shared" si="72"/>
        <v>0</v>
      </c>
      <c r="M243" s="12">
        <f t="shared" si="72"/>
        <v>0</v>
      </c>
      <c r="N243" s="12">
        <f t="shared" si="72"/>
        <v>0</v>
      </c>
      <c r="O243" s="12">
        <f t="shared" si="72"/>
        <v>0</v>
      </c>
      <c r="P243" s="12">
        <f t="shared" si="72"/>
        <v>0</v>
      </c>
      <c r="Q243" s="12">
        <f t="shared" si="72"/>
        <v>0</v>
      </c>
    </row>
    <row r="244" spans="7:17">
      <c r="G244" s="12">
        <f t="shared" si="70"/>
        <v>0</v>
      </c>
      <c r="H244" s="12">
        <f t="shared" si="72"/>
        <v>0</v>
      </c>
      <c r="I244" s="12">
        <f t="shared" si="72"/>
        <v>0</v>
      </c>
      <c r="J244" s="12">
        <f t="shared" si="72"/>
        <v>0</v>
      </c>
      <c r="K244" s="12">
        <f t="shared" si="72"/>
        <v>0</v>
      </c>
      <c r="L244" s="12">
        <f t="shared" si="72"/>
        <v>0</v>
      </c>
      <c r="M244" s="12">
        <f t="shared" si="72"/>
        <v>0</v>
      </c>
      <c r="N244" s="12">
        <f t="shared" si="72"/>
        <v>0</v>
      </c>
      <c r="O244" s="12">
        <f t="shared" si="72"/>
        <v>0</v>
      </c>
      <c r="P244" s="12">
        <f t="shared" si="72"/>
        <v>0</v>
      </c>
      <c r="Q244" s="12">
        <f t="shared" si="72"/>
        <v>0</v>
      </c>
    </row>
    <row r="245" spans="7:17">
      <c r="G245" s="12">
        <f t="shared" si="70"/>
        <v>0</v>
      </c>
      <c r="H245" s="12">
        <f t="shared" si="72"/>
        <v>0</v>
      </c>
      <c r="I245" s="12">
        <f t="shared" si="72"/>
        <v>0</v>
      </c>
      <c r="J245" s="12">
        <f t="shared" si="72"/>
        <v>0</v>
      </c>
      <c r="K245" s="12">
        <f t="shared" si="72"/>
        <v>0</v>
      </c>
      <c r="L245" s="12">
        <f t="shared" si="72"/>
        <v>0</v>
      </c>
      <c r="M245" s="12">
        <f t="shared" si="72"/>
        <v>0</v>
      </c>
      <c r="N245" s="12">
        <f t="shared" si="72"/>
        <v>0</v>
      </c>
      <c r="O245" s="12">
        <f t="shared" si="72"/>
        <v>0</v>
      </c>
      <c r="P245" s="12">
        <f t="shared" si="72"/>
        <v>0</v>
      </c>
      <c r="Q245" s="12">
        <f t="shared" si="72"/>
        <v>0</v>
      </c>
    </row>
    <row r="246" spans="7:17">
      <c r="G246" s="12">
        <f t="shared" si="70"/>
        <v>0</v>
      </c>
      <c r="H246" s="12">
        <f t="shared" si="72"/>
        <v>0</v>
      </c>
      <c r="I246" s="12">
        <f t="shared" si="72"/>
        <v>0</v>
      </c>
      <c r="J246" s="12">
        <f t="shared" si="72"/>
        <v>0</v>
      </c>
      <c r="K246" s="12">
        <f t="shared" si="72"/>
        <v>0</v>
      </c>
      <c r="L246" s="12">
        <f t="shared" si="72"/>
        <v>0</v>
      </c>
      <c r="M246" s="12">
        <f t="shared" si="72"/>
        <v>0</v>
      </c>
      <c r="N246" s="12">
        <f t="shared" si="72"/>
        <v>0</v>
      </c>
      <c r="O246" s="12">
        <f t="shared" si="72"/>
        <v>0</v>
      </c>
      <c r="P246" s="12">
        <f t="shared" si="72"/>
        <v>0</v>
      </c>
      <c r="Q246" s="12">
        <f t="shared" si="72"/>
        <v>0</v>
      </c>
    </row>
    <row r="247" spans="7:17">
      <c r="G247" s="12">
        <f t="shared" si="70"/>
        <v>0</v>
      </c>
      <c r="H247" s="12">
        <f t="shared" si="72"/>
        <v>0</v>
      </c>
      <c r="I247" s="12">
        <f t="shared" si="72"/>
        <v>0</v>
      </c>
      <c r="J247" s="12">
        <f t="shared" si="72"/>
        <v>0</v>
      </c>
      <c r="K247" s="12">
        <f t="shared" si="72"/>
        <v>0</v>
      </c>
      <c r="L247" s="12">
        <f t="shared" si="72"/>
        <v>0</v>
      </c>
      <c r="M247" s="12">
        <f t="shared" si="72"/>
        <v>0</v>
      </c>
      <c r="N247" s="12">
        <f t="shared" si="72"/>
        <v>0</v>
      </c>
      <c r="O247" s="12">
        <f t="shared" si="72"/>
        <v>0</v>
      </c>
      <c r="P247" s="12">
        <f t="shared" si="72"/>
        <v>0</v>
      </c>
      <c r="Q247" s="12">
        <f t="shared" si="72"/>
        <v>0</v>
      </c>
    </row>
    <row r="248" spans="7:17">
      <c r="G248" s="12">
        <f t="shared" si="70"/>
        <v>0</v>
      </c>
      <c r="H248" s="12">
        <f t="shared" si="72"/>
        <v>0</v>
      </c>
      <c r="I248" s="12">
        <f t="shared" si="72"/>
        <v>0</v>
      </c>
      <c r="J248" s="12">
        <f t="shared" si="72"/>
        <v>0</v>
      </c>
      <c r="K248" s="12">
        <f t="shared" si="72"/>
        <v>0</v>
      </c>
      <c r="L248" s="12">
        <f t="shared" si="72"/>
        <v>0</v>
      </c>
      <c r="M248" s="12">
        <f t="shared" si="72"/>
        <v>0</v>
      </c>
      <c r="N248" s="12">
        <f t="shared" si="72"/>
        <v>0</v>
      </c>
      <c r="O248" s="12">
        <f t="shared" si="72"/>
        <v>0</v>
      </c>
      <c r="P248" s="12">
        <f t="shared" si="72"/>
        <v>0</v>
      </c>
      <c r="Q248" s="12">
        <f t="shared" si="72"/>
        <v>0</v>
      </c>
    </row>
    <row r="249" spans="7:17">
      <c r="G249" s="12">
        <f t="shared" si="70"/>
        <v>0</v>
      </c>
      <c r="H249" s="12">
        <f t="shared" si="72"/>
        <v>0</v>
      </c>
      <c r="I249" s="12">
        <f t="shared" si="72"/>
        <v>0</v>
      </c>
      <c r="J249" s="12">
        <f t="shared" si="72"/>
        <v>0</v>
      </c>
      <c r="K249" s="12">
        <f t="shared" si="72"/>
        <v>0</v>
      </c>
      <c r="L249" s="12">
        <f t="shared" si="72"/>
        <v>0</v>
      </c>
      <c r="M249" s="12">
        <f t="shared" si="72"/>
        <v>0</v>
      </c>
      <c r="N249" s="12">
        <f t="shared" si="72"/>
        <v>0</v>
      </c>
      <c r="O249" s="12">
        <f t="shared" si="72"/>
        <v>0</v>
      </c>
      <c r="P249" s="12">
        <f t="shared" si="72"/>
        <v>0</v>
      </c>
      <c r="Q249" s="12">
        <f t="shared" si="72"/>
        <v>0</v>
      </c>
    </row>
    <row r="250" spans="7:17">
      <c r="G250" s="12">
        <f t="shared" si="70"/>
        <v>0</v>
      </c>
      <c r="H250" s="12">
        <f t="shared" si="72"/>
        <v>0</v>
      </c>
      <c r="I250" s="12">
        <f t="shared" si="72"/>
        <v>0</v>
      </c>
      <c r="J250" s="12">
        <f t="shared" si="72"/>
        <v>0</v>
      </c>
      <c r="K250" s="12">
        <f t="shared" si="72"/>
        <v>0</v>
      </c>
      <c r="L250" s="12">
        <f t="shared" si="72"/>
        <v>0</v>
      </c>
      <c r="M250" s="12">
        <f t="shared" si="72"/>
        <v>0</v>
      </c>
      <c r="N250" s="12">
        <f t="shared" si="72"/>
        <v>0</v>
      </c>
      <c r="O250" s="12">
        <f t="shared" si="72"/>
        <v>0</v>
      </c>
      <c r="P250" s="12">
        <f t="shared" si="72"/>
        <v>0</v>
      </c>
      <c r="Q250" s="12">
        <f t="shared" si="72"/>
        <v>0</v>
      </c>
    </row>
    <row r="251" spans="7:17">
      <c r="G251" s="12">
        <f t="shared" si="70"/>
        <v>0</v>
      </c>
      <c r="H251" s="12">
        <f t="shared" si="72"/>
        <v>0</v>
      </c>
      <c r="I251" s="12">
        <f t="shared" si="72"/>
        <v>0</v>
      </c>
      <c r="J251" s="12">
        <f t="shared" si="72"/>
        <v>0</v>
      </c>
      <c r="K251" s="12">
        <f t="shared" si="72"/>
        <v>0</v>
      </c>
      <c r="L251" s="12">
        <f t="shared" si="72"/>
        <v>0</v>
      </c>
      <c r="M251" s="12">
        <f t="shared" si="72"/>
        <v>0</v>
      </c>
      <c r="N251" s="12">
        <f t="shared" si="72"/>
        <v>0</v>
      </c>
      <c r="O251" s="12">
        <f t="shared" si="72"/>
        <v>0</v>
      </c>
      <c r="P251" s="12">
        <f t="shared" si="72"/>
        <v>0</v>
      </c>
      <c r="Q251" s="12">
        <f t="shared" si="72"/>
        <v>0</v>
      </c>
    </row>
    <row r="252" spans="7:17">
      <c r="G252" s="12">
        <f t="shared" si="70"/>
        <v>0</v>
      </c>
      <c r="H252" s="12">
        <f t="shared" ref="H252:Q265" si="73">IF($E101&gt;H$66,0,IF($E101&lt;H$66-365,$D101,0))</f>
        <v>0</v>
      </c>
      <c r="I252" s="12">
        <f t="shared" si="73"/>
        <v>0</v>
      </c>
      <c r="J252" s="12">
        <f t="shared" si="73"/>
        <v>0</v>
      </c>
      <c r="K252" s="12">
        <f t="shared" si="73"/>
        <v>0</v>
      </c>
      <c r="L252" s="12">
        <f t="shared" si="73"/>
        <v>0</v>
      </c>
      <c r="M252" s="12">
        <f t="shared" si="73"/>
        <v>0</v>
      </c>
      <c r="N252" s="12">
        <f t="shared" si="73"/>
        <v>0</v>
      </c>
      <c r="O252" s="12">
        <f t="shared" si="73"/>
        <v>0</v>
      </c>
      <c r="P252" s="12">
        <f t="shared" si="73"/>
        <v>0</v>
      </c>
      <c r="Q252" s="12">
        <f t="shared" si="73"/>
        <v>0</v>
      </c>
    </row>
    <row r="253" spans="7:17">
      <c r="G253" s="12">
        <f t="shared" si="70"/>
        <v>0</v>
      </c>
      <c r="H253" s="12">
        <f t="shared" si="73"/>
        <v>0</v>
      </c>
      <c r="I253" s="12">
        <f t="shared" si="73"/>
        <v>0</v>
      </c>
      <c r="J253" s="12">
        <f t="shared" si="73"/>
        <v>0</v>
      </c>
      <c r="K253" s="12">
        <f t="shared" si="73"/>
        <v>0</v>
      </c>
      <c r="L253" s="12">
        <f t="shared" si="73"/>
        <v>0</v>
      </c>
      <c r="M253" s="12">
        <f t="shared" si="73"/>
        <v>0</v>
      </c>
      <c r="N253" s="12">
        <f t="shared" si="73"/>
        <v>0</v>
      </c>
      <c r="O253" s="12">
        <f t="shared" si="73"/>
        <v>0</v>
      </c>
      <c r="P253" s="12">
        <f t="shared" si="73"/>
        <v>0</v>
      </c>
      <c r="Q253" s="12">
        <f t="shared" si="73"/>
        <v>0</v>
      </c>
    </row>
    <row r="254" spans="7:17">
      <c r="G254" s="12">
        <f t="shared" si="70"/>
        <v>0</v>
      </c>
      <c r="H254" s="12">
        <f t="shared" si="73"/>
        <v>0</v>
      </c>
      <c r="I254" s="12">
        <f t="shared" si="73"/>
        <v>0</v>
      </c>
      <c r="J254" s="12">
        <f t="shared" si="73"/>
        <v>0</v>
      </c>
      <c r="K254" s="12">
        <f t="shared" si="73"/>
        <v>0</v>
      </c>
      <c r="L254" s="12">
        <f t="shared" si="73"/>
        <v>0</v>
      </c>
      <c r="M254" s="12">
        <f t="shared" si="73"/>
        <v>0</v>
      </c>
      <c r="N254" s="12">
        <f t="shared" si="73"/>
        <v>0</v>
      </c>
      <c r="O254" s="12">
        <f t="shared" si="73"/>
        <v>0</v>
      </c>
      <c r="P254" s="12">
        <f t="shared" si="73"/>
        <v>0</v>
      </c>
      <c r="Q254" s="12">
        <f t="shared" si="73"/>
        <v>0</v>
      </c>
    </row>
    <row r="255" spans="7:17">
      <c r="G255" s="12">
        <f t="shared" si="70"/>
        <v>0</v>
      </c>
      <c r="H255" s="12">
        <f t="shared" si="73"/>
        <v>0</v>
      </c>
      <c r="I255" s="12">
        <f t="shared" si="73"/>
        <v>0</v>
      </c>
      <c r="J255" s="12">
        <f t="shared" si="73"/>
        <v>0</v>
      </c>
      <c r="K255" s="12">
        <f t="shared" si="73"/>
        <v>0</v>
      </c>
      <c r="L255" s="12">
        <f t="shared" si="73"/>
        <v>0</v>
      </c>
      <c r="M255" s="12">
        <f t="shared" si="73"/>
        <v>0</v>
      </c>
      <c r="N255" s="12">
        <f t="shared" si="73"/>
        <v>0</v>
      </c>
      <c r="O255" s="12">
        <f t="shared" si="73"/>
        <v>0</v>
      </c>
      <c r="P255" s="12">
        <f t="shared" si="73"/>
        <v>0</v>
      </c>
      <c r="Q255" s="12">
        <f t="shared" si="73"/>
        <v>0</v>
      </c>
    </row>
    <row r="256" spans="7:17">
      <c r="G256" s="12">
        <f t="shared" si="70"/>
        <v>0</v>
      </c>
      <c r="H256" s="12">
        <f t="shared" si="73"/>
        <v>0</v>
      </c>
      <c r="I256" s="12">
        <f t="shared" si="73"/>
        <v>0</v>
      </c>
      <c r="J256" s="12">
        <f t="shared" si="73"/>
        <v>0</v>
      </c>
      <c r="K256" s="12">
        <f t="shared" si="73"/>
        <v>0</v>
      </c>
      <c r="L256" s="12">
        <f t="shared" si="73"/>
        <v>0</v>
      </c>
      <c r="M256" s="12">
        <f t="shared" si="73"/>
        <v>0</v>
      </c>
      <c r="N256" s="12">
        <f t="shared" si="73"/>
        <v>0</v>
      </c>
      <c r="O256" s="12">
        <f t="shared" si="73"/>
        <v>0</v>
      </c>
      <c r="P256" s="12">
        <f t="shared" si="73"/>
        <v>0</v>
      </c>
      <c r="Q256" s="12">
        <f t="shared" si="73"/>
        <v>0</v>
      </c>
    </row>
    <row r="257" spans="5:18">
      <c r="G257" s="12">
        <f t="shared" si="70"/>
        <v>0</v>
      </c>
      <c r="H257" s="12">
        <f t="shared" si="73"/>
        <v>0</v>
      </c>
      <c r="I257" s="12">
        <f t="shared" si="73"/>
        <v>0</v>
      </c>
      <c r="J257" s="12">
        <f t="shared" si="73"/>
        <v>0</v>
      </c>
      <c r="K257" s="12">
        <f t="shared" si="73"/>
        <v>0</v>
      </c>
      <c r="L257" s="12">
        <f t="shared" si="73"/>
        <v>0</v>
      </c>
      <c r="M257" s="12">
        <f t="shared" si="73"/>
        <v>0</v>
      </c>
      <c r="N257" s="12">
        <f t="shared" si="73"/>
        <v>0</v>
      </c>
      <c r="O257" s="12">
        <f t="shared" si="73"/>
        <v>0</v>
      </c>
      <c r="P257" s="12">
        <f t="shared" si="73"/>
        <v>0</v>
      </c>
      <c r="Q257" s="12">
        <f t="shared" si="73"/>
        <v>0</v>
      </c>
    </row>
    <row r="258" spans="5:18">
      <c r="G258" s="12">
        <f t="shared" si="70"/>
        <v>0</v>
      </c>
      <c r="H258" s="12">
        <f t="shared" si="73"/>
        <v>0</v>
      </c>
      <c r="I258" s="12">
        <f t="shared" si="73"/>
        <v>0</v>
      </c>
      <c r="J258" s="12">
        <f t="shared" si="73"/>
        <v>0</v>
      </c>
      <c r="K258" s="12">
        <f t="shared" si="73"/>
        <v>0</v>
      </c>
      <c r="L258" s="12">
        <f t="shared" si="73"/>
        <v>0</v>
      </c>
      <c r="M258" s="12">
        <f t="shared" si="73"/>
        <v>0</v>
      </c>
      <c r="N258" s="12">
        <f t="shared" si="73"/>
        <v>0</v>
      </c>
      <c r="O258" s="12">
        <f t="shared" si="73"/>
        <v>0</v>
      </c>
      <c r="P258" s="12">
        <f t="shared" si="73"/>
        <v>0</v>
      </c>
      <c r="Q258" s="12">
        <f t="shared" si="73"/>
        <v>0</v>
      </c>
    </row>
    <row r="259" spans="5:18">
      <c r="G259" s="12">
        <f t="shared" si="70"/>
        <v>0</v>
      </c>
      <c r="H259" s="12">
        <f t="shared" si="73"/>
        <v>0</v>
      </c>
      <c r="I259" s="12">
        <f t="shared" si="73"/>
        <v>0</v>
      </c>
      <c r="J259" s="12">
        <f t="shared" si="73"/>
        <v>0</v>
      </c>
      <c r="K259" s="12">
        <f t="shared" si="73"/>
        <v>0</v>
      </c>
      <c r="L259" s="12">
        <f t="shared" si="73"/>
        <v>0</v>
      </c>
      <c r="M259" s="12">
        <f t="shared" si="73"/>
        <v>0</v>
      </c>
      <c r="N259" s="12">
        <f t="shared" si="73"/>
        <v>0</v>
      </c>
      <c r="O259" s="12">
        <f t="shared" si="73"/>
        <v>0</v>
      </c>
      <c r="P259" s="12">
        <f t="shared" si="73"/>
        <v>0</v>
      </c>
      <c r="Q259" s="12">
        <f t="shared" si="73"/>
        <v>0</v>
      </c>
    </row>
    <row r="260" spans="5:18">
      <c r="G260" s="12">
        <f t="shared" si="70"/>
        <v>0</v>
      </c>
      <c r="H260" s="12">
        <f t="shared" si="73"/>
        <v>0</v>
      </c>
      <c r="I260" s="12">
        <f t="shared" si="73"/>
        <v>0</v>
      </c>
      <c r="J260" s="12">
        <f t="shared" si="73"/>
        <v>0</v>
      </c>
      <c r="K260" s="12">
        <f t="shared" si="73"/>
        <v>0</v>
      </c>
      <c r="L260" s="12">
        <f t="shared" si="73"/>
        <v>0</v>
      </c>
      <c r="M260" s="12">
        <f t="shared" si="73"/>
        <v>0</v>
      </c>
      <c r="N260" s="12">
        <f t="shared" si="73"/>
        <v>0</v>
      </c>
      <c r="O260" s="12">
        <f t="shared" si="73"/>
        <v>0</v>
      </c>
      <c r="P260" s="12">
        <f t="shared" si="73"/>
        <v>0</v>
      </c>
      <c r="Q260" s="12">
        <f t="shared" si="73"/>
        <v>0</v>
      </c>
    </row>
    <row r="261" spans="5:18">
      <c r="G261" s="12">
        <f t="shared" si="70"/>
        <v>0</v>
      </c>
      <c r="H261" s="12">
        <f t="shared" si="73"/>
        <v>0</v>
      </c>
      <c r="I261" s="12">
        <f t="shared" si="73"/>
        <v>0</v>
      </c>
      <c r="J261" s="12">
        <f t="shared" si="73"/>
        <v>0</v>
      </c>
      <c r="K261" s="12">
        <f t="shared" si="73"/>
        <v>0</v>
      </c>
      <c r="L261" s="12">
        <f t="shared" si="73"/>
        <v>0</v>
      </c>
      <c r="M261" s="12">
        <f t="shared" si="73"/>
        <v>0</v>
      </c>
      <c r="N261" s="12">
        <f t="shared" si="73"/>
        <v>0</v>
      </c>
      <c r="O261" s="12">
        <f t="shared" si="73"/>
        <v>0</v>
      </c>
      <c r="P261" s="12">
        <f t="shared" si="73"/>
        <v>0</v>
      </c>
      <c r="Q261" s="12">
        <f t="shared" si="73"/>
        <v>0</v>
      </c>
    </row>
    <row r="262" spans="5:18">
      <c r="G262" s="12">
        <f t="shared" si="70"/>
        <v>0</v>
      </c>
      <c r="H262" s="12">
        <f t="shared" si="73"/>
        <v>0</v>
      </c>
      <c r="I262" s="12">
        <f t="shared" si="73"/>
        <v>0</v>
      </c>
      <c r="J262" s="12">
        <f t="shared" si="73"/>
        <v>0</v>
      </c>
      <c r="K262" s="12">
        <f t="shared" si="73"/>
        <v>0</v>
      </c>
      <c r="L262" s="12">
        <f t="shared" si="73"/>
        <v>0</v>
      </c>
      <c r="M262" s="12">
        <f t="shared" si="73"/>
        <v>0</v>
      </c>
      <c r="N262" s="12">
        <f t="shared" si="73"/>
        <v>0</v>
      </c>
      <c r="O262" s="12">
        <f t="shared" si="73"/>
        <v>0</v>
      </c>
      <c r="P262" s="12">
        <f t="shared" si="73"/>
        <v>0</v>
      </c>
      <c r="Q262" s="12">
        <f t="shared" si="73"/>
        <v>0</v>
      </c>
    </row>
    <row r="263" spans="5:18">
      <c r="G263" s="12">
        <f t="shared" si="70"/>
        <v>0</v>
      </c>
      <c r="H263" s="12">
        <f t="shared" si="73"/>
        <v>0</v>
      </c>
      <c r="I263" s="12">
        <f t="shared" si="73"/>
        <v>0</v>
      </c>
      <c r="J263" s="12">
        <f t="shared" si="73"/>
        <v>0</v>
      </c>
      <c r="K263" s="12">
        <f t="shared" si="73"/>
        <v>0</v>
      </c>
      <c r="L263" s="12">
        <f t="shared" si="73"/>
        <v>0</v>
      </c>
      <c r="M263" s="12">
        <f t="shared" si="73"/>
        <v>0</v>
      </c>
      <c r="N263" s="12">
        <f t="shared" si="73"/>
        <v>0</v>
      </c>
      <c r="O263" s="12">
        <f t="shared" si="73"/>
        <v>0</v>
      </c>
      <c r="P263" s="12">
        <f t="shared" si="73"/>
        <v>0</v>
      </c>
      <c r="Q263" s="12">
        <f t="shared" si="73"/>
        <v>0</v>
      </c>
    </row>
    <row r="264" spans="5:18">
      <c r="G264" s="12">
        <f t="shared" si="70"/>
        <v>0</v>
      </c>
      <c r="H264" s="12">
        <f t="shared" si="73"/>
        <v>0</v>
      </c>
      <c r="I264" s="12">
        <f t="shared" si="73"/>
        <v>0</v>
      </c>
      <c r="J264" s="12">
        <f t="shared" si="73"/>
        <v>0</v>
      </c>
      <c r="K264" s="12">
        <f t="shared" si="73"/>
        <v>0</v>
      </c>
      <c r="L264" s="12">
        <f t="shared" si="73"/>
        <v>0</v>
      </c>
      <c r="M264" s="12">
        <f t="shared" si="73"/>
        <v>0</v>
      </c>
      <c r="N264" s="12">
        <f t="shared" si="73"/>
        <v>0</v>
      </c>
      <c r="O264" s="12">
        <f t="shared" si="73"/>
        <v>0</v>
      </c>
      <c r="P264" s="12">
        <f t="shared" si="73"/>
        <v>0</v>
      </c>
      <c r="Q264" s="12">
        <f t="shared" si="73"/>
        <v>0</v>
      </c>
    </row>
    <row r="265" spans="5:18">
      <c r="G265" s="12">
        <f t="shared" si="70"/>
        <v>0</v>
      </c>
      <c r="H265" s="12">
        <f t="shared" si="73"/>
        <v>0</v>
      </c>
      <c r="I265" s="12">
        <f t="shared" si="73"/>
        <v>0</v>
      </c>
      <c r="J265" s="12">
        <f t="shared" si="73"/>
        <v>0</v>
      </c>
      <c r="K265" s="12">
        <f t="shared" si="73"/>
        <v>0</v>
      </c>
      <c r="L265" s="12">
        <f t="shared" si="73"/>
        <v>0</v>
      </c>
      <c r="M265" s="12">
        <f t="shared" si="73"/>
        <v>0</v>
      </c>
      <c r="N265" s="12">
        <f t="shared" si="73"/>
        <v>0</v>
      </c>
      <c r="O265" s="12">
        <f t="shared" si="73"/>
        <v>0</v>
      </c>
      <c r="P265" s="12">
        <f t="shared" si="73"/>
        <v>0</v>
      </c>
      <c r="Q265" s="12">
        <f t="shared" si="73"/>
        <v>0</v>
      </c>
    </row>
    <row r="267" spans="5:18">
      <c r="F267" s="187" t="s">
        <v>493</v>
      </c>
      <c r="G267" s="187">
        <f>SUM(G220:G265)</f>
        <v>0</v>
      </c>
      <c r="H267" s="187">
        <f t="shared" ref="H267:Q267" si="74">SUM(H220:H265)</f>
        <v>0</v>
      </c>
      <c r="I267" s="187">
        <f t="shared" si="74"/>
        <v>0</v>
      </c>
      <c r="J267" s="187">
        <f t="shared" si="74"/>
        <v>0</v>
      </c>
      <c r="K267" s="187">
        <f t="shared" si="74"/>
        <v>0</v>
      </c>
      <c r="L267" s="187">
        <f t="shared" si="74"/>
        <v>0</v>
      </c>
      <c r="M267" s="187">
        <f t="shared" si="74"/>
        <v>0</v>
      </c>
      <c r="N267" s="187">
        <f t="shared" si="74"/>
        <v>0</v>
      </c>
      <c r="O267" s="187">
        <f t="shared" si="74"/>
        <v>0</v>
      </c>
      <c r="P267" s="187">
        <f t="shared" si="74"/>
        <v>0</v>
      </c>
      <c r="Q267" s="187">
        <f t="shared" si="74"/>
        <v>0</v>
      </c>
    </row>
    <row r="271" spans="5:18">
      <c r="F271" s="207" t="s">
        <v>486</v>
      </c>
      <c r="G271" s="206">
        <f>G66</f>
        <v>45473</v>
      </c>
      <c r="H271" s="206">
        <f t="shared" ref="H271:Q271" si="75">H66</f>
        <v>45838</v>
      </c>
      <c r="I271" s="206">
        <f t="shared" si="75"/>
        <v>46203</v>
      </c>
      <c r="J271" s="206">
        <f t="shared" si="75"/>
        <v>46568</v>
      </c>
      <c r="K271" s="206">
        <f t="shared" si="75"/>
        <v>46934</v>
      </c>
      <c r="L271" s="206">
        <f t="shared" si="75"/>
        <v>47299</v>
      </c>
      <c r="M271" s="206">
        <f t="shared" si="75"/>
        <v>47664</v>
      </c>
      <c r="N271" s="206">
        <f t="shared" si="75"/>
        <v>48029</v>
      </c>
      <c r="O271" s="206">
        <f t="shared" si="75"/>
        <v>48395</v>
      </c>
      <c r="P271" s="206">
        <f t="shared" si="75"/>
        <v>48760</v>
      </c>
      <c r="Q271" s="206">
        <f t="shared" si="75"/>
        <v>49125</v>
      </c>
      <c r="R271" s="206">
        <f t="shared" ref="R271" si="76">Q271+365</f>
        <v>49490</v>
      </c>
    </row>
    <row r="272" spans="5:18">
      <c r="E272" s="12" t="s">
        <v>399</v>
      </c>
      <c r="F272" s="348">
        <f t="shared" ref="F272:P272" si="77">Z216</f>
        <v>5.0456962207213678</v>
      </c>
      <c r="G272" s="348">
        <f t="shared" si="77"/>
        <v>5.0456962207213678</v>
      </c>
      <c r="H272" s="348">
        <f t="shared" si="77"/>
        <v>5.0456962207213678</v>
      </c>
      <c r="I272" s="348">
        <f t="shared" si="77"/>
        <v>5.0456962207213678</v>
      </c>
      <c r="J272" s="348">
        <f t="shared" si="77"/>
        <v>5.0456962207213678</v>
      </c>
      <c r="K272" s="348">
        <f t="shared" si="77"/>
        <v>5.0456962207213678</v>
      </c>
      <c r="L272" s="348">
        <f t="shared" si="77"/>
        <v>5.0456962207213678</v>
      </c>
      <c r="M272" s="348">
        <f t="shared" si="77"/>
        <v>5.0456962207213678</v>
      </c>
      <c r="N272" s="348">
        <f t="shared" si="77"/>
        <v>5.0456962207213678</v>
      </c>
      <c r="O272" s="348">
        <f t="shared" si="77"/>
        <v>5.0456962207213678</v>
      </c>
      <c r="P272" s="348">
        <f t="shared" si="77"/>
        <v>5.0456962207213678</v>
      </c>
      <c r="Q272" s="348">
        <f>AK216</f>
        <v>5.0456962207213678</v>
      </c>
    </row>
  </sheetData>
  <sheetProtection formatCells="0" formatColumns="0" formatRows="0" selectLockedCells="1"/>
  <customSheetViews>
    <customSheetView guid="{0FAFE012-8D9E-4ED0-86A4-A997E430971B}" scale="55" showGridLines="0" fitToPage="1" hiddenRows="1" topLeftCell="A13">
      <selection activeCell="C56" sqref="C56"/>
      <pageMargins left="0.74803149606299213" right="0.74803149606299213" top="0.51181102362204722" bottom="0.62992125984251968" header="0.51181102362204722" footer="0.51181102362204722"/>
      <pageSetup paperSize="9" scale="22" orientation="landscape" r:id="rId1"/>
      <headerFooter alignWithMargins="0"/>
    </customSheetView>
  </customSheetViews>
  <mergeCells count="9">
    <mergeCell ref="AS156:AS164"/>
    <mergeCell ref="V164:X165"/>
    <mergeCell ref="Z164:AB164"/>
    <mergeCell ref="V216:X216"/>
    <mergeCell ref="R55:S55"/>
    <mergeCell ref="T55:U55"/>
    <mergeCell ref="V55:W55"/>
    <mergeCell ref="Z155:AC157"/>
    <mergeCell ref="AL156:AL164"/>
  </mergeCells>
  <conditionalFormatting sqref="F7:Q7 F9:Q9">
    <cfRule type="cellIs" dxfId="32" priority="1" operator="lessThan">
      <formula>0</formula>
    </cfRule>
  </conditionalFormatting>
  <conditionalFormatting sqref="F46:Q47">
    <cfRule type="cellIs" dxfId="31" priority="3" operator="lessThan">
      <formula>0</formula>
    </cfRule>
  </conditionalFormatting>
  <conditionalFormatting sqref="F50:Q50">
    <cfRule type="cellIs" dxfId="30" priority="2" operator="lessThan">
      <formula>0</formula>
    </cfRule>
  </conditionalFormatting>
  <dataValidations disablePrompts="1" count="3">
    <dataValidation type="list" allowBlank="1" showInputMessage="1" showErrorMessage="1" sqref="F141:G141" xr:uid="{98A37032-B908-453F-88C0-54AA8C758052}">
      <formula1>"0.0 Stars,0.5 Stars,1.0 Stars,1.5 Stars,2.0 Stars,2.5 Stars,3.0 Stars,3.5 Stars,4.0 Stars,4.5 Stars,5.0 Stars,5.5 Stars,6.0 Stars,N/A"</formula1>
    </dataValidation>
    <dataValidation type="list" allowBlank="1" showInputMessage="1" showErrorMessage="1" sqref="E114" xr:uid="{1413F340-70E7-4F4F-A47A-8086F6A197CA}">
      <formula1>$BQ$155:$BQ$169</formula1>
    </dataValidation>
    <dataValidation type="list" allowBlank="1" showInputMessage="1" showErrorMessage="1" sqref="O114:Q114" xr:uid="{5ADEFC9B-CCD1-46E4-B93F-06B11EB610EB}">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theme="5" tint="0.39997558519241921"/>
  </sheetPr>
  <dimension ref="A2:AQ101"/>
  <sheetViews>
    <sheetView zoomScale="85" zoomScaleNormal="85" workbookViewId="0">
      <selection activeCell="D48" sqref="D48"/>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-173896</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29250</v>
      </c>
      <c r="E15" s="81">
        <f>(0.25*$F$28*$J29)*(1-$B$6+$B$6/2)</f>
        <v>29250</v>
      </c>
      <c r="F15" s="81">
        <f>(0.25*$F$28*$J29)*(1-$B$6+$B$6/2)</f>
        <v>29250</v>
      </c>
      <c r="G15" s="81">
        <f>(0.25*$F$28*$J29)*(1-$B$6+$B$6/2)</f>
        <v>29250</v>
      </c>
      <c r="H15" s="86">
        <f>(0.25*$F$28*$K29)*(1-$B$6+$B$6/2)</f>
        <v>30712.500000000004</v>
      </c>
      <c r="I15" s="86">
        <f>(0.25*$F$28*$K29)*(1-$B$6+$B$6/2)</f>
        <v>30712.500000000004</v>
      </c>
      <c r="J15" s="86">
        <f>(0.25*$F$28*$K29)*(1-$B$6+$B$6/2)</f>
        <v>30712.500000000004</v>
      </c>
      <c r="K15" s="86">
        <f>(0.25*$F$28*$K29)*(1-$B$6+$B$6/2)</f>
        <v>30712.500000000004</v>
      </c>
      <c r="L15" s="86">
        <f>(0.25*$F$28*$L29)*(1-$B$6+$B$6/2)</f>
        <v>32248.125000000004</v>
      </c>
      <c r="M15" s="86">
        <f>(0.25*$F$28*$L29)*(1-$B$6+$B$6/2)</f>
        <v>32248.125000000004</v>
      </c>
      <c r="N15" s="86">
        <f>(0.25*$F$28*$L29)*(1-$B$6+$B$6/2)</f>
        <v>32248.125000000004</v>
      </c>
      <c r="O15" s="86">
        <f>(0.25*$F$28*$L29)*(1-$B$6+$B$6/2)</f>
        <v>32248.125000000004</v>
      </c>
      <c r="P15" s="86">
        <f>(0.25*$F$28*$M29)*(1-$B$6+$B$6/2)</f>
        <v>33860.531250000007</v>
      </c>
      <c r="Q15" s="86">
        <f>(0.25*$F$28*$M29)*(1-$B$6+$B$6/2)</f>
        <v>33860.531250000007</v>
      </c>
      <c r="R15" s="86">
        <f>(0.25*$F$28*$M29)*(1-$B$6+$B$6/2)</f>
        <v>33860.531250000007</v>
      </c>
      <c r="S15" s="86">
        <f>(0.25*$F$28*$M29)*(1-$B$6+$B$6/2)</f>
        <v>33860.531250000007</v>
      </c>
      <c r="T15" s="86">
        <f>(0.25*$F$28*$N29)*(1-$B$6+$B$6/2)</f>
        <v>35553.55781250001</v>
      </c>
      <c r="U15" s="86">
        <f>(0.25*$F$28*$N29)*(1-$B$6+$B$6/2)</f>
        <v>35553.55781250001</v>
      </c>
      <c r="V15" s="86">
        <f>(0.25*$F$28*$N29)*(1-$B$6+$B$6/2)</f>
        <v>35553.55781250001</v>
      </c>
      <c r="W15" s="86">
        <f>(0.25*$F$28*$N29)*(1-$B$6+$B$6/2)</f>
        <v>35553.55781250001</v>
      </c>
      <c r="X15" s="86">
        <f>(0.25*$F$28*$O29)*(1-$B$6+$B$6/2)</f>
        <v>37331.235703125014</v>
      </c>
      <c r="Y15" s="86">
        <f>(0.25*$F$28*$O29)*(1-$B$6+$B$6/2)</f>
        <v>37331.235703125014</v>
      </c>
      <c r="Z15" s="86">
        <f>(0.25*$F$28*$O29)*(1-$B$6+$B$6/2)</f>
        <v>37331.235703125014</v>
      </c>
      <c r="AA15" s="86">
        <f>(0.25*$F$28*$O29)*(1-$B$6+$B$6/2)</f>
        <v>37331.235703125014</v>
      </c>
      <c r="AB15" s="86">
        <f>(0.25*$F$28*$P29)*(1-$B$6+$B$6/2)</f>
        <v>39197.79748828127</v>
      </c>
      <c r="AC15" s="86">
        <f>(0.25*$F$28*$P29)*(1-$B$6+$B$6/2)</f>
        <v>39197.79748828127</v>
      </c>
      <c r="AD15" s="86">
        <f>(0.25*$F$28*$P29)*(1-$B$6+$B$6/2)</f>
        <v>39197.79748828127</v>
      </c>
      <c r="AE15" s="86">
        <f>(0.25*$F$28*$P29)*(1-$B$6+$B$6/2)</f>
        <v>39197.79748828127</v>
      </c>
      <c r="AF15" s="86">
        <f>(0.25*$F$28*$Q29)*(1-$B$6+$B$6/2)</f>
        <v>41157.687362695331</v>
      </c>
      <c r="AG15" s="86">
        <f>(0.25*$F$28*$Q29)*(1-$B$6+$B$6/2)</f>
        <v>41157.687362695331</v>
      </c>
      <c r="AH15" s="86">
        <f>(0.25*$F$28*$Q29)*(1-$B$6+$B$6/2)</f>
        <v>41157.687362695331</v>
      </c>
      <c r="AI15" s="86">
        <f>(0.25*$F$28*$Q29)*(1-$B$6+$B$6/2)</f>
        <v>41157.687362695331</v>
      </c>
      <c r="AJ15" s="86">
        <f>(0.25*$F$28*$R29)*(1-$B$6+$B$6/2)</f>
        <v>43215.571730830103</v>
      </c>
      <c r="AK15" s="86">
        <f>(0.25*$F$28*$R29)*(1-$B$6+$B$6/2)</f>
        <v>43215.571730830103</v>
      </c>
      <c r="AL15" s="86">
        <f>(0.25*$F$28*$R29)*(1-$B$6+$B$6/2)</f>
        <v>43215.571730830103</v>
      </c>
      <c r="AM15" s="86">
        <f>(0.25*$F$28*$R29)*(1-$B$6+$B$6/2)</f>
        <v>43215.571730830103</v>
      </c>
      <c r="AN15" s="86">
        <f>(0.25*$F$28*$S29)*(1-$B$6+$B$6/2)</f>
        <v>45376.350317371609</v>
      </c>
      <c r="AO15" s="86">
        <f>(0.25*$F$28*$S29)*(1-$B$6+$B$6/2)</f>
        <v>45376.350317371609</v>
      </c>
      <c r="AP15" s="86">
        <f>(0.25*$F$28*$S29)*(1-$B$6+$B$6/2)</f>
        <v>45376.350317371609</v>
      </c>
      <c r="AQ15" s="86">
        <f>(0.25*$F$28*$S29)*(1-$B$6+$B$6/2)</f>
        <v>45376.350317371609</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-173896</v>
      </c>
      <c r="D19" s="91">
        <f t="shared" si="0"/>
        <v>29250</v>
      </c>
      <c r="E19" s="92">
        <f t="shared" si="0"/>
        <v>29250</v>
      </c>
      <c r="F19" s="92">
        <f t="shared" si="0"/>
        <v>29250</v>
      </c>
      <c r="G19" s="90">
        <f t="shared" si="0"/>
        <v>29250</v>
      </c>
      <c r="H19" s="91">
        <f t="shared" si="0"/>
        <v>30712.500000000004</v>
      </c>
      <c r="I19" s="92">
        <f t="shared" si="0"/>
        <v>30712.500000000004</v>
      </c>
      <c r="J19" s="92">
        <f t="shared" si="0"/>
        <v>30712.500000000004</v>
      </c>
      <c r="K19" s="90">
        <f t="shared" si="0"/>
        <v>30712.500000000004</v>
      </c>
      <c r="L19" s="91">
        <f t="shared" si="0"/>
        <v>32248.125000000004</v>
      </c>
      <c r="M19" s="92">
        <f t="shared" si="0"/>
        <v>32248.125000000004</v>
      </c>
      <c r="N19" s="92">
        <f t="shared" si="0"/>
        <v>32248.125000000004</v>
      </c>
      <c r="O19" s="90">
        <f t="shared" si="0"/>
        <v>32248.125000000004</v>
      </c>
      <c r="P19" s="91">
        <f t="shared" si="0"/>
        <v>33860.531250000007</v>
      </c>
      <c r="Q19" s="92">
        <f t="shared" si="0"/>
        <v>33860.531250000007</v>
      </c>
      <c r="R19" s="92">
        <f t="shared" si="0"/>
        <v>33860.531250000007</v>
      </c>
      <c r="S19" s="90">
        <f t="shared" si="0"/>
        <v>33860.531250000007</v>
      </c>
      <c r="T19" s="91">
        <f t="shared" si="0"/>
        <v>35553.55781250001</v>
      </c>
      <c r="U19" s="92">
        <f t="shared" si="0"/>
        <v>35553.55781250001</v>
      </c>
      <c r="V19" s="92">
        <f t="shared" si="0"/>
        <v>35553.55781250001</v>
      </c>
      <c r="W19" s="90">
        <f t="shared" si="0"/>
        <v>35553.55781250001</v>
      </c>
      <c r="X19" s="91">
        <f t="shared" si="0"/>
        <v>37331.235703125014</v>
      </c>
      <c r="Y19" s="92">
        <f t="shared" si="0"/>
        <v>37331.235703125014</v>
      </c>
      <c r="Z19" s="92">
        <f t="shared" si="0"/>
        <v>37331.235703125014</v>
      </c>
      <c r="AA19" s="90">
        <f t="shared" si="0"/>
        <v>37331.235703125014</v>
      </c>
      <c r="AB19" s="91">
        <f t="shared" si="0"/>
        <v>39197.79748828127</v>
      </c>
      <c r="AC19" s="92">
        <f t="shared" si="0"/>
        <v>39197.79748828127</v>
      </c>
      <c r="AD19" s="92">
        <f t="shared" si="0"/>
        <v>39197.79748828127</v>
      </c>
      <c r="AE19" s="90">
        <f t="shared" si="0"/>
        <v>39197.79748828127</v>
      </c>
      <c r="AF19" s="91">
        <f t="shared" si="0"/>
        <v>41157.687362695331</v>
      </c>
      <c r="AG19" s="92">
        <f t="shared" si="0"/>
        <v>41157.687362695331</v>
      </c>
      <c r="AH19" s="92">
        <f t="shared" si="0"/>
        <v>41157.687362695331</v>
      </c>
      <c r="AI19" s="90">
        <f t="shared" si="0"/>
        <v>41157.687362695331</v>
      </c>
      <c r="AJ19" s="91">
        <f t="shared" si="0"/>
        <v>43215.571730830103</v>
      </c>
      <c r="AK19" s="92">
        <f t="shared" si="0"/>
        <v>43215.571730830103</v>
      </c>
      <c r="AL19" s="92">
        <f t="shared" si="0"/>
        <v>43215.571730830103</v>
      </c>
      <c r="AM19" s="90">
        <f t="shared" si="0"/>
        <v>43215.571730830103</v>
      </c>
      <c r="AN19" s="91">
        <f t="shared" si="0"/>
        <v>45376.350317371609</v>
      </c>
      <c r="AO19" s="92">
        <f t="shared" si="0"/>
        <v>45376.350317371609</v>
      </c>
      <c r="AP19" s="92">
        <f t="shared" si="0"/>
        <v>45376.350317371609</v>
      </c>
      <c r="AQ19" s="90">
        <f t="shared" si="0"/>
        <v>45376.350317371609</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-173896</v>
      </c>
      <c r="D21" s="84">
        <f t="shared" ref="D21:AQ21" si="1">+C21+D19</f>
        <v>-144646</v>
      </c>
      <c r="E21" s="84">
        <f t="shared" si="1"/>
        <v>-115396</v>
      </c>
      <c r="F21" s="84">
        <f t="shared" si="1"/>
        <v>-86146</v>
      </c>
      <c r="G21" s="84">
        <f t="shared" si="1"/>
        <v>-56896</v>
      </c>
      <c r="H21" s="84">
        <f t="shared" si="1"/>
        <v>-26183.499999999996</v>
      </c>
      <c r="I21" s="84">
        <f t="shared" si="1"/>
        <v>4529.0000000000073</v>
      </c>
      <c r="J21" s="84">
        <f t="shared" si="1"/>
        <v>35241.500000000015</v>
      </c>
      <c r="K21" s="84">
        <f t="shared" si="1"/>
        <v>65954.000000000015</v>
      </c>
      <c r="L21" s="84">
        <f t="shared" si="1"/>
        <v>98202.125000000015</v>
      </c>
      <c r="M21" s="84">
        <f t="shared" si="1"/>
        <v>130450.25000000001</v>
      </c>
      <c r="N21" s="84">
        <f t="shared" si="1"/>
        <v>162698.37500000003</v>
      </c>
      <c r="O21" s="84">
        <f t="shared" si="1"/>
        <v>194946.50000000003</v>
      </c>
      <c r="P21" s="84">
        <f t="shared" si="1"/>
        <v>228807.03125000003</v>
      </c>
      <c r="Q21" s="84">
        <f t="shared" si="1"/>
        <v>262667.56250000006</v>
      </c>
      <c r="R21" s="84">
        <f t="shared" si="1"/>
        <v>296528.09375000006</v>
      </c>
      <c r="S21" s="84">
        <f t="shared" si="1"/>
        <v>330388.62500000006</v>
      </c>
      <c r="T21" s="84">
        <f t="shared" si="1"/>
        <v>365942.18281250005</v>
      </c>
      <c r="U21" s="84">
        <f t="shared" si="1"/>
        <v>401495.74062500003</v>
      </c>
      <c r="V21" s="84">
        <f t="shared" si="1"/>
        <v>437049.29843750002</v>
      </c>
      <c r="W21" s="84">
        <f t="shared" si="1"/>
        <v>472602.85625000001</v>
      </c>
      <c r="X21" s="84">
        <f t="shared" si="1"/>
        <v>509934.09195312503</v>
      </c>
      <c r="Y21" s="84">
        <f t="shared" si="1"/>
        <v>547265.32765624998</v>
      </c>
      <c r="Z21" s="84">
        <f t="shared" si="1"/>
        <v>584596.563359375</v>
      </c>
      <c r="AA21" s="84">
        <f t="shared" si="1"/>
        <v>621927.79906250001</v>
      </c>
      <c r="AB21" s="84">
        <f t="shared" si="1"/>
        <v>661125.59655078128</v>
      </c>
      <c r="AC21" s="84">
        <f t="shared" si="1"/>
        <v>700323.39403906255</v>
      </c>
      <c r="AD21" s="84">
        <f t="shared" si="1"/>
        <v>739521.19152734382</v>
      </c>
      <c r="AE21" s="84">
        <f t="shared" si="1"/>
        <v>778718.98901562509</v>
      </c>
      <c r="AF21" s="84">
        <f t="shared" si="1"/>
        <v>819876.67637832044</v>
      </c>
      <c r="AG21" s="84">
        <f t="shared" si="1"/>
        <v>861034.36374101578</v>
      </c>
      <c r="AH21" s="84">
        <f t="shared" si="1"/>
        <v>902192.05110371113</v>
      </c>
      <c r="AI21" s="84">
        <f t="shared" si="1"/>
        <v>943349.73846640647</v>
      </c>
      <c r="AJ21" s="84">
        <f t="shared" si="1"/>
        <v>986565.3101972366</v>
      </c>
      <c r="AK21" s="84">
        <f t="shared" si="1"/>
        <v>1029780.8819280667</v>
      </c>
      <c r="AL21" s="84">
        <f t="shared" si="1"/>
        <v>1072996.4536588967</v>
      </c>
      <c r="AM21" s="84">
        <f t="shared" si="1"/>
        <v>1116212.0253897267</v>
      </c>
      <c r="AN21" s="84">
        <f t="shared" si="1"/>
        <v>1161588.3757070983</v>
      </c>
      <c r="AO21" s="84">
        <f t="shared" si="1"/>
        <v>1206964.7260244698</v>
      </c>
      <c r="AP21" s="84">
        <f t="shared" si="1"/>
        <v>1252341.0763418414</v>
      </c>
      <c r="AQ21" s="84">
        <f t="shared" si="1"/>
        <v>1297717.4266592129</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-173896</v>
      </c>
      <c r="D25" s="84">
        <f t="shared" si="3"/>
        <v>29250</v>
      </c>
      <c r="E25" s="84">
        <f t="shared" si="3"/>
        <v>29250</v>
      </c>
      <c r="F25" s="84">
        <f t="shared" si="3"/>
        <v>29250</v>
      </c>
      <c r="G25" s="84">
        <f t="shared" si="3"/>
        <v>29250</v>
      </c>
      <c r="H25" s="84">
        <f t="shared" si="3"/>
        <v>30712.500000000004</v>
      </c>
      <c r="I25" s="84">
        <f t="shared" si="3"/>
        <v>30712.500000000004</v>
      </c>
      <c r="J25" s="84">
        <f t="shared" si="3"/>
        <v>30712.500000000004</v>
      </c>
      <c r="K25" s="84">
        <f t="shared" si="3"/>
        <v>30712.500000000004</v>
      </c>
      <c r="L25" s="84">
        <f t="shared" si="3"/>
        <v>32248.125000000004</v>
      </c>
      <c r="M25" s="84">
        <f t="shared" si="3"/>
        <v>32248.125000000004</v>
      </c>
      <c r="N25" s="84">
        <f t="shared" si="3"/>
        <v>32248.125000000004</v>
      </c>
      <c r="O25" s="84">
        <f t="shared" si="3"/>
        <v>32248.125000000004</v>
      </c>
      <c r="P25" s="84">
        <f t="shared" si="3"/>
        <v>33860.531250000007</v>
      </c>
      <c r="Q25" s="84">
        <f t="shared" si="3"/>
        <v>33860.531250000007</v>
      </c>
      <c r="R25" s="84">
        <f t="shared" si="3"/>
        <v>33860.531250000007</v>
      </c>
      <c r="S25" s="84">
        <f t="shared" si="3"/>
        <v>33860.531250000007</v>
      </c>
      <c r="T25" s="84">
        <f t="shared" si="3"/>
        <v>35553.55781250001</v>
      </c>
      <c r="U25" s="84">
        <f t="shared" si="3"/>
        <v>35553.55781250001</v>
      </c>
      <c r="V25" s="84">
        <f t="shared" si="3"/>
        <v>35553.55781250001</v>
      </c>
      <c r="W25" s="84">
        <f t="shared" si="3"/>
        <v>35553.55781250001</v>
      </c>
      <c r="X25" s="84">
        <f t="shared" si="3"/>
        <v>37331.235703125014</v>
      </c>
      <c r="Y25" s="84">
        <f t="shared" si="3"/>
        <v>37331.235703125014</v>
      </c>
      <c r="Z25" s="84">
        <f t="shared" si="3"/>
        <v>37331.235703125014</v>
      </c>
      <c r="AA25" s="84">
        <f t="shared" si="3"/>
        <v>37331.235703125014</v>
      </c>
      <c r="AB25" s="84">
        <f t="shared" si="3"/>
        <v>39197.79748828127</v>
      </c>
      <c r="AC25" s="84">
        <f t="shared" si="3"/>
        <v>39197.79748828127</v>
      </c>
      <c r="AD25" s="84">
        <f t="shared" si="3"/>
        <v>39197.79748828127</v>
      </c>
      <c r="AE25" s="84">
        <f t="shared" si="3"/>
        <v>39197.79748828127</v>
      </c>
      <c r="AF25" s="84">
        <f t="shared" si="3"/>
        <v>41157.687362695331</v>
      </c>
      <c r="AG25" s="84">
        <f t="shared" si="3"/>
        <v>41157.687362695331</v>
      </c>
      <c r="AH25" s="84">
        <f t="shared" si="3"/>
        <v>41157.687362695331</v>
      </c>
      <c r="AI25" s="84">
        <f t="shared" si="3"/>
        <v>41157.687362695331</v>
      </c>
      <c r="AJ25" s="84">
        <f t="shared" si="3"/>
        <v>43215.571730830103</v>
      </c>
      <c r="AK25" s="84">
        <f t="shared" si="3"/>
        <v>43215.571730830103</v>
      </c>
      <c r="AL25" s="84">
        <f t="shared" si="3"/>
        <v>43215.571730830103</v>
      </c>
      <c r="AM25" s="84">
        <f t="shared" si="3"/>
        <v>43215.571730830103</v>
      </c>
      <c r="AN25" s="84">
        <f t="shared" si="3"/>
        <v>45376.350317371609</v>
      </c>
      <c r="AO25" s="84">
        <f t="shared" si="3"/>
        <v>45376.350317371609</v>
      </c>
      <c r="AP25" s="84">
        <f t="shared" si="3"/>
        <v>45376.350317371609</v>
      </c>
      <c r="AQ25" s="84">
        <f t="shared" si="3"/>
        <v>45376.350317371609</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'1M-NR'!G115</f>
        <v>173896</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'1M-NR'!S120*1000</f>
        <v>585000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election activeCell="D48" sqref="D48"/>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00000000-0002-0000-0100-000000000000}">
      <formula1>"Y,N"</formula1>
    </dataValidation>
  </dataValidations>
  <pageMargins left="0.75" right="0.75" top="1" bottom="1" header="0.5" footer="0.5"/>
  <pageSetup paperSize="9" orientation="portrait" r:id="rId2"/>
  <headerFooter alignWithMargins="0"/>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indexed="53"/>
  </sheetPr>
  <dimension ref="A4:M64"/>
  <sheetViews>
    <sheetView view="pageBreakPreview" zoomScaleNormal="100" zoomScaleSheetLayoutView="100" workbookViewId="0">
      <selection activeCell="D48" sqref="D48"/>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'1M-NR'!C60</f>
        <v>25698</v>
      </c>
    </row>
    <row r="10" spans="1:13" ht="13">
      <c r="A10" s="109" t="s">
        <v>842</v>
      </c>
      <c r="B10" s="1007" t="s">
        <v>843</v>
      </c>
      <c r="C10" s="1008"/>
      <c r="D10" s="1008"/>
      <c r="E10" s="1008"/>
      <c r="F10" s="1008"/>
      <c r="G10" s="1008"/>
      <c r="H10" s="1008"/>
      <c r="I10" s="1008"/>
    </row>
    <row r="11" spans="1:13" ht="13">
      <c r="A11" s="109" t="s">
        <v>844</v>
      </c>
      <c r="B11" s="1009" t="str">
        <f>'1M-NR'!A2</f>
        <v>1 Market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SUM('1M-IS'!C12:F12)</f>
        <v>-173896</v>
      </c>
      <c r="D25" s="119">
        <f>SUM('1M-IS'!D12:G12)</f>
        <v>0</v>
      </c>
      <c r="E25" s="119">
        <f>SUM('1M-IS'!H12:K12)</f>
        <v>0</v>
      </c>
      <c r="F25" s="119">
        <f>SUM('1M-IS'!L12:O12)</f>
        <v>0</v>
      </c>
      <c r="G25" s="119">
        <f>SUM('1M-IS'!P12:S12)</f>
        <v>0</v>
      </c>
      <c r="H25" s="119">
        <f>SUM('1M-IS'!T12:W12)</f>
        <v>0</v>
      </c>
      <c r="I25" s="119">
        <f>SUM('1M-IS'!X12:AA12)</f>
        <v>0</v>
      </c>
      <c r="J25" s="119">
        <f>SUM('1M-IS'!AB12:AE12)</f>
        <v>0</v>
      </c>
      <c r="K25" s="119">
        <f>SUM('1M-IS'!AF12:AI12)</f>
        <v>0</v>
      </c>
      <c r="L25" s="119">
        <f>SUM('1M-IS'!AJ12:AM12)</f>
        <v>0</v>
      </c>
      <c r="M25" s="119">
        <f>SUM('1M-IS'!AN12:AQ12)</f>
        <v>0</v>
      </c>
    </row>
    <row r="26" spans="1:13">
      <c r="A26" s="106" t="s">
        <v>804</v>
      </c>
      <c r="C26" s="120"/>
      <c r="D26" s="119">
        <f>SUM('1M-IS'!D13:G13)</f>
        <v>0</v>
      </c>
      <c r="E26" s="119">
        <f>SUM('1M-IS'!H13:K13)</f>
        <v>0</v>
      </c>
      <c r="F26" s="119">
        <f>SUM('1M-IS'!L13:O13)</f>
        <v>0</v>
      </c>
      <c r="G26" s="119">
        <f>SUM('1M-IS'!P13:S13)</f>
        <v>0</v>
      </c>
      <c r="H26" s="119">
        <f>SUM('1M-IS'!T13:W13)</f>
        <v>0</v>
      </c>
      <c r="I26" s="119">
        <f>SUM('1M-IS'!X13:AA13)</f>
        <v>0</v>
      </c>
      <c r="J26" s="119">
        <f>SUM('1M-IS'!AB13:AE13)</f>
        <v>0</v>
      </c>
      <c r="K26" s="119">
        <f>SUM('1M-IS'!AF13:AI13)</f>
        <v>0</v>
      </c>
      <c r="L26" s="119">
        <f>SUM('1M-IS'!AJ13:AM13)</f>
        <v>0</v>
      </c>
      <c r="M26" s="119">
        <f>SUM('1M-IS'!AN13:AQ13)</f>
        <v>0</v>
      </c>
    </row>
    <row r="27" spans="1:13">
      <c r="A27" s="106" t="s">
        <v>805</v>
      </c>
      <c r="C27" s="120"/>
      <c r="D27" s="119">
        <f>SUM('1M-IS'!D15:G15)+SUM('1M-IS'!D14:G14)</f>
        <v>117000</v>
      </c>
      <c r="E27" s="119">
        <f>SUM('1M-IS'!H15:K15)+SUM('1M-IS'!H14:K14)</f>
        <v>122850.00000000001</v>
      </c>
      <c r="F27" s="119">
        <f>SUM('1M-IS'!L15:O15)+SUM('1M-IS'!L14:O14)</f>
        <v>128992.50000000001</v>
      </c>
      <c r="G27" s="119">
        <f>SUM('1M-IS'!P15:S15)+SUM('1M-IS'!P14:S14)</f>
        <v>135442.12500000003</v>
      </c>
      <c r="H27" s="119">
        <f>SUM('1M-IS'!T15:W15)+SUM('1M-IS'!T14:W14)</f>
        <v>142214.23125000004</v>
      </c>
      <c r="I27" s="119">
        <f>SUM('1M-IS'!X15:AA15)+SUM('1M-IS'!X14:AA14)</f>
        <v>149324.94281250006</v>
      </c>
      <c r="J27" s="119">
        <f>SUM('1M-IS'!AB15:AE15)+SUM('1M-IS'!AB14:AE14)</f>
        <v>156791.18995312508</v>
      </c>
      <c r="K27" s="119">
        <f>SUM('1M-IS'!AF15:AI15)+SUM('1M-IS'!AF14:AI14)</f>
        <v>164630.74945078132</v>
      </c>
      <c r="L27" s="119">
        <f>SUM('1M-IS'!AJ15:AM15)+SUM('1M-IS'!AJ14:AM14)</f>
        <v>172862.28692332041</v>
      </c>
      <c r="M27" s="119">
        <f>SUM('1M-IS'!AN15:AQ15)+SUM('1M-IS'!AN14:AQ14)</f>
        <v>181505.40126948644</v>
      </c>
    </row>
    <row r="28" spans="1:13">
      <c r="A28" s="106" t="s">
        <v>808</v>
      </c>
      <c r="C28" s="120"/>
      <c r="D28" s="119">
        <f>SUM('1M-IS'!D16:G16)</f>
        <v>0</v>
      </c>
      <c r="E28" s="119">
        <f>SUM('1M-IS'!H16:K16)</f>
        <v>0</v>
      </c>
      <c r="F28" s="119">
        <f>SUM('1M-IS'!L16:O16)</f>
        <v>0</v>
      </c>
      <c r="G28" s="119">
        <f>SUM('1M-IS'!P16:S16)</f>
        <v>0</v>
      </c>
      <c r="H28" s="119">
        <f>SUM('1M-IS'!T16:W16)</f>
        <v>0</v>
      </c>
      <c r="I28" s="119">
        <f>SUM('1M-IS'!X16:AA16)</f>
        <v>0</v>
      </c>
      <c r="J28" s="119">
        <f>SUM('1M-IS'!AB16:AE16)</f>
        <v>0</v>
      </c>
      <c r="K28" s="119">
        <f>SUM('1M-IS'!AF16:AI16)</f>
        <v>0</v>
      </c>
      <c r="L28" s="119">
        <f>SUM('1M-IS'!AJ16:AM16)</f>
        <v>0</v>
      </c>
      <c r="M28" s="119">
        <f>SUM('1M-IS'!AN16:AQ16)</f>
        <v>0</v>
      </c>
    </row>
    <row r="29" spans="1:13">
      <c r="A29" s="106" t="s">
        <v>809</v>
      </c>
      <c r="C29" s="120"/>
      <c r="D29" s="119">
        <f>SUM('1M-IS'!D17:G17)</f>
        <v>0</v>
      </c>
      <c r="E29" s="119">
        <f>SUM('1M-IS'!H17:K17)</f>
        <v>0</v>
      </c>
      <c r="F29" s="119">
        <f>SUM('1M-IS'!L17:O17)</f>
        <v>0</v>
      </c>
      <c r="G29" s="119">
        <f>SUM('1M-IS'!P17:S17)</f>
        <v>0</v>
      </c>
      <c r="H29" s="119">
        <f>SUM('1M-IS'!T17:W17)</f>
        <v>0</v>
      </c>
      <c r="I29" s="119">
        <f>SUM('1M-IS'!X17:AA17)</f>
        <v>0</v>
      </c>
      <c r="J29" s="119">
        <f>SUM('1M-IS'!AB17:AE17)</f>
        <v>0</v>
      </c>
      <c r="K29" s="119">
        <f>SUM('1M-IS'!AF17:AI17)</f>
        <v>0</v>
      </c>
      <c r="L29" s="119">
        <f>SUM('1M-IS'!AJ17:AM17)</f>
        <v>0</v>
      </c>
      <c r="M29" s="119">
        <f>SUM('1M-IS'!AN17:AQ17)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-173896</v>
      </c>
      <c r="D31" s="124">
        <f t="shared" si="0"/>
        <v>117000</v>
      </c>
      <c r="E31" s="125">
        <f t="shared" si="0"/>
        <v>122850.00000000001</v>
      </c>
      <c r="F31" s="125">
        <f t="shared" si="0"/>
        <v>128992.50000000001</v>
      </c>
      <c r="G31" s="125">
        <f t="shared" si="0"/>
        <v>135442.12500000003</v>
      </c>
      <c r="H31" s="125">
        <f t="shared" si="0"/>
        <v>142214.23125000004</v>
      </c>
      <c r="I31" s="125">
        <f t="shared" si="0"/>
        <v>149324.94281250006</v>
      </c>
      <c r="J31" s="125">
        <f t="shared" si="0"/>
        <v>156791.18995312508</v>
      </c>
      <c r="K31" s="125">
        <f t="shared" si="0"/>
        <v>164630.74945078132</v>
      </c>
      <c r="L31" s="125">
        <f t="shared" si="0"/>
        <v>172862.28692332041</v>
      </c>
      <c r="M31" s="125">
        <f t="shared" si="0"/>
        <v>181505.40126948644</v>
      </c>
    </row>
    <row r="32" spans="1:13" ht="13" thickTop="1">
      <c r="A32" s="64" t="s">
        <v>860</v>
      </c>
      <c r="B32" s="79"/>
      <c r="C32" s="77"/>
      <c r="D32" s="152">
        <f>D31/$I$9</f>
        <v>4.5528834928788235</v>
      </c>
      <c r="E32" s="152">
        <f t="shared" ref="E32:M32" si="1">E31/$I$9</f>
        <v>4.7805276675227653</v>
      </c>
      <c r="F32" s="152">
        <f t="shared" si="1"/>
        <v>5.0195540508989032</v>
      </c>
      <c r="G32" s="152">
        <f t="shared" si="1"/>
        <v>5.2705317534438487</v>
      </c>
      <c r="H32" s="152">
        <f t="shared" si="1"/>
        <v>5.534058341116042</v>
      </c>
      <c r="I32" s="152">
        <f t="shared" si="1"/>
        <v>5.8107612581718442</v>
      </c>
      <c r="J32" s="152">
        <f t="shared" si="1"/>
        <v>6.1012993210804378</v>
      </c>
      <c r="K32" s="152">
        <f t="shared" si="1"/>
        <v>6.4063642871344593</v>
      </c>
      <c r="L32" s="152">
        <f t="shared" si="1"/>
        <v>6.7266825014911822</v>
      </c>
      <c r="M32" s="152">
        <f t="shared" si="1"/>
        <v>7.0630166265657417</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'1M-NR'!G67</f>
        <v>CURRENT</v>
      </c>
      <c r="J36" s="127" t="str">
        <f>'1M-NR'!H67</f>
        <v>FY25</v>
      </c>
      <c r="K36" s="127" t="str">
        <f>'1M-NR'!I67</f>
        <v>FY26</v>
      </c>
      <c r="L36" s="127" t="str">
        <f>'1M-NR'!J67</f>
        <v>FY27</v>
      </c>
      <c r="M36" s="127" t="str">
        <f>'1M-NR'!K67</f>
        <v>FY28</v>
      </c>
    </row>
    <row r="37" spans="1:13" ht="25.5">
      <c r="A37" s="128" t="s">
        <v>863</v>
      </c>
      <c r="B37" s="129" t="s">
        <v>864</v>
      </c>
      <c r="D37" s="117"/>
      <c r="E37" s="130"/>
      <c r="F37" s="117"/>
      <c r="G37" s="131" t="s">
        <v>865</v>
      </c>
      <c r="H37" s="132">
        <f>'1M-NR'!S123</f>
        <v>5.1823222439660794</v>
      </c>
      <c r="I37" s="132">
        <f>'1M-NR'!S124</f>
        <v>5.1606552665612879</v>
      </c>
      <c r="J37" s="132">
        <f>'1M-NR'!S125</f>
        <v>5.1749719079986978</v>
      </c>
      <c r="K37" s="132">
        <f>'1M-NR'!S126</f>
        <v>5.5615212268087628</v>
      </c>
      <c r="L37" s="117"/>
    </row>
    <row r="38" spans="1:13" ht="13">
      <c r="G38" s="131" t="s">
        <v>866</v>
      </c>
      <c r="I38" s="133">
        <f>'1M-NR'!G115</f>
        <v>173896</v>
      </c>
      <c r="J38" s="133"/>
      <c r="K38" s="133"/>
    </row>
    <row r="39" spans="1:13" ht="13">
      <c r="A39" s="106" t="s">
        <v>867</v>
      </c>
      <c r="B39" s="134">
        <v>0</v>
      </c>
      <c r="E39" s="117"/>
      <c r="F39" s="135"/>
      <c r="G39" s="131" t="s">
        <v>868</v>
      </c>
      <c r="I39" s="136">
        <f>IRR(C31:M31)</f>
        <v>0.71792087980726516</v>
      </c>
    </row>
    <row r="40" spans="1:13" ht="13">
      <c r="A40" s="128"/>
      <c r="B40" s="137"/>
      <c r="G40" s="131" t="s">
        <v>869</v>
      </c>
      <c r="I40" s="133">
        <f>B43/B41-B43</f>
        <v>1814989.8928796966</v>
      </c>
    </row>
    <row r="41" spans="1:13">
      <c r="A41" s="106" t="s">
        <v>870</v>
      </c>
      <c r="B41" s="138">
        <v>7.4999999999999997E-2</v>
      </c>
    </row>
    <row r="42" spans="1:13">
      <c r="A42" s="117"/>
    </row>
    <row r="43" spans="1:13">
      <c r="A43" s="139" t="s">
        <v>871</v>
      </c>
      <c r="B43" s="140">
        <f>SUMIF(D31:M31,"&lt;&gt;0")/COUNTIF(D31:M31,"&lt;&gt;0")</f>
        <v>147161.34266592134</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5.18232224396608 Stars</v>
      </c>
      <c r="G59" s="146">
        <f t="shared" si="2"/>
        <v>5.1606552665612879</v>
      </c>
      <c r="H59" s="146">
        <f t="shared" si="2"/>
        <v>5.1749719079986978</v>
      </c>
      <c r="I59" s="146">
        <f t="shared" si="2"/>
        <v>5.5615212268087628</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173896</v>
      </c>
      <c r="H62" s="149">
        <f>J38</f>
        <v>0</v>
      </c>
      <c r="I62" s="149">
        <f>K38</f>
        <v>0</v>
      </c>
      <c r="J62" s="143"/>
    </row>
    <row r="63" spans="5:10" ht="17.5">
      <c r="E63" s="143"/>
      <c r="F63" s="147"/>
      <c r="G63" s="150">
        <f>I39</f>
        <v>0.71792087980726516</v>
      </c>
      <c r="H63" s="147"/>
      <c r="I63" s="147"/>
      <c r="J63" s="143"/>
    </row>
    <row r="64" spans="5:10" ht="17.5">
      <c r="E64" s="143"/>
      <c r="F64" s="143"/>
      <c r="G64" s="151">
        <f>I40</f>
        <v>1814989.8928796966</v>
      </c>
      <c r="H64" s="143"/>
      <c r="I64" s="143"/>
      <c r="J64" s="143"/>
    </row>
  </sheetData>
  <customSheetViews>
    <customSheetView guid="{0FAFE012-8D9E-4ED0-86A4-A997E430971B}" showPageBreaks="1" printArea="1" view="pageBreakPreview">
      <selection activeCell="D48" sqref="D48"/>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00000000-0002-0000-0200-000000000000}">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00000000-0002-0000-0200-000001000000}">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D33DC-6C7C-48BB-8BD6-7891AE68D257}">
  <sheetPr codeName="Sheet12">
    <tabColor theme="5"/>
    <pageSetUpPr fitToPage="1"/>
  </sheetPr>
  <dimension ref="A1:CJ272"/>
  <sheetViews>
    <sheetView showGridLines="0" topLeftCell="E9" zoomScale="85" zoomScaleNormal="85" workbookViewId="0">
      <selection activeCell="T28" sqref="T28"/>
    </sheetView>
  </sheetViews>
  <sheetFormatPr defaultColWidth="9.1796875" defaultRowHeight="12.5"/>
  <cols>
    <col min="1" max="1" width="17.4531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31"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52</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0.21305228686638697</v>
      </c>
      <c r="E6" s="367" t="s">
        <v>311</v>
      </c>
      <c r="F6" s="517">
        <f>VLOOKUP($A$2,'Footprint Summary'!$B$4:$R$26,COLUMNS('Footprint Summary'!$B$4:F$26)+1,0)</f>
        <v>1211</v>
      </c>
      <c r="G6" s="517">
        <f>VLOOKUP($A$2,'Footprint Summary'!$B$4:$R$26,COLUMNS('Footprint Summary'!$B$4:G$26)+1,0)</f>
        <v>1241</v>
      </c>
      <c r="H6" s="517">
        <f>VLOOKUP($A$2,'Footprint Summary'!$B$4:$R$26,COLUMNS('Footprint Summary'!$B$4:H$26)+1,0)</f>
        <v>1241</v>
      </c>
      <c r="I6" s="517">
        <f>VLOOKUP($A$2,'Footprint Summary'!$B$4:$R$26,COLUMNS('Footprint Summary'!$B$4:I$26)+1,0)</f>
        <v>1241</v>
      </c>
      <c r="J6" s="517">
        <f>VLOOKUP($A$2,'Footprint Summary'!$B$4:$R$26,COLUMNS('Footprint Summary'!$B$4:J$26)+1,0)</f>
        <v>1241</v>
      </c>
      <c r="K6" s="517">
        <f>VLOOKUP($A$2,'Footprint Summary'!$B$4:$R$26,COLUMNS('Footprint Summary'!$B$4:K$26)+1,0)</f>
        <v>1141</v>
      </c>
      <c r="L6" s="517">
        <f>VLOOKUP($A$2,'Footprint Summary'!$B$4:$R$26,COLUMNS('Footprint Summary'!$B$4:L$26)+1,0)</f>
        <v>1141</v>
      </c>
      <c r="M6" s="517">
        <f>VLOOKUP($A$2,'Footprint Summary'!$B$4:$R$26,COLUMNS('Footprint Summary'!$B$4:M$26)+1,0)</f>
        <v>1141</v>
      </c>
      <c r="N6" s="517">
        <f>VLOOKUP($A$2,'Footprint Summary'!$B$4:$R$26,COLUMNS('Footprint Summary'!$B$4:N$26)+1,0)</f>
        <v>1161</v>
      </c>
      <c r="O6" s="517">
        <f>VLOOKUP($A$2,'Footprint Summary'!$B$4:$R$26,COLUMNS('Footprint Summary'!$B$4:O$26)+1,0)</f>
        <v>1161</v>
      </c>
      <c r="P6" s="517">
        <f>VLOOKUP($A$2,'Footprint Summary'!$B$4:$R$26,COLUMNS('Footprint Summary'!$B$4:P$26)+1,0)</f>
        <v>1161</v>
      </c>
      <c r="Q6" s="429">
        <f>(P6-F6)/F6</f>
        <v>-4.1288191577208921E-2</v>
      </c>
      <c r="R6" s="366"/>
      <c r="S6" s="357"/>
      <c r="T6" s="8"/>
      <c r="U6" s="8"/>
    </row>
    <row r="7" spans="1:21" s="7" customFormat="1" ht="17.25" customHeight="1">
      <c r="A7" s="368" t="str">
        <f>VLOOKUP($A$2,'Asset Attributes'!$B$3:$D$25,2,0)</f>
        <v>NSW2</v>
      </c>
      <c r="B7" s="368" t="s">
        <v>312</v>
      </c>
      <c r="E7" s="367" t="s">
        <v>311</v>
      </c>
      <c r="F7" s="518">
        <f>F6-$F$6</f>
        <v>0</v>
      </c>
      <c r="G7" s="518">
        <f t="shared" ref="G7:P7" si="1">G6-$F$6</f>
        <v>30</v>
      </c>
      <c r="H7" s="518">
        <f t="shared" si="1"/>
        <v>30</v>
      </c>
      <c r="I7" s="518">
        <f t="shared" si="1"/>
        <v>30</v>
      </c>
      <c r="J7" s="518">
        <f t="shared" si="1"/>
        <v>30</v>
      </c>
      <c r="K7" s="518">
        <f t="shared" si="1"/>
        <v>-70</v>
      </c>
      <c r="L7" s="518">
        <f t="shared" si="1"/>
        <v>-70</v>
      </c>
      <c r="M7" s="518">
        <f t="shared" si="1"/>
        <v>-70</v>
      </c>
      <c r="N7" s="518">
        <f t="shared" si="1"/>
        <v>-50</v>
      </c>
      <c r="O7" s="518">
        <f t="shared" si="1"/>
        <v>-50</v>
      </c>
      <c r="P7" s="518">
        <f t="shared" si="1"/>
        <v>-50</v>
      </c>
      <c r="Q7" s="490">
        <f>SUM(F7:P7)</f>
        <v>-240</v>
      </c>
      <c r="R7" s="366"/>
      <c r="S7" s="357"/>
      <c r="T7" s="8"/>
      <c r="U7" s="8"/>
    </row>
    <row r="8" spans="1:21" s="7" customFormat="1" ht="17.25" customHeight="1">
      <c r="A8" s="419" t="s">
        <v>284</v>
      </c>
      <c r="B8" s="368" t="s">
        <v>313</v>
      </c>
      <c r="C8" s="2"/>
      <c r="D8" s="486">
        <f>(VLOOKUP($A$2,Assumptions!$B$69:$C$91,2,0))</f>
        <v>29.616222762397275</v>
      </c>
      <c r="E8" s="422" t="s">
        <v>314</v>
      </c>
      <c r="F8" s="519">
        <f>VLOOKUP($A$2,'Footprint Summary'!$B$33:$R$55,COLUMNS('Footprint Summary'!$B$33:F$55)+1,0)</f>
        <v>2204</v>
      </c>
      <c r="G8" s="519">
        <f>VLOOKUP($A$2,'Footprint Summary'!$B$33:$R$55,COLUMNS('Footprint Summary'!$B$33:G$55)+1,0)</f>
        <v>1995</v>
      </c>
      <c r="H8" s="519">
        <f>VLOOKUP($A$2,'Footprint Summary'!$B$33:$R$55,COLUMNS('Footprint Summary'!$B$33:H$55)+1,0)</f>
        <v>1995</v>
      </c>
      <c r="I8" s="519">
        <f>VLOOKUP($A$2,'Footprint Summary'!$B$33:$R$55,COLUMNS('Footprint Summary'!$B$33:I$55)+1,0)</f>
        <v>1995</v>
      </c>
      <c r="J8" s="519">
        <f>VLOOKUP($A$2,'Footprint Summary'!$B$33:$R$55,COLUMNS('Footprint Summary'!$B$33:J$55)+1,0)</f>
        <v>1995</v>
      </c>
      <c r="K8" s="519">
        <f>VLOOKUP($A$2,'Footprint Summary'!$B$33:$R$55,COLUMNS('Footprint Summary'!$B$33:K$55)+1,0)</f>
        <v>1995</v>
      </c>
      <c r="L8" s="519">
        <f>VLOOKUP($A$2,'Footprint Summary'!$B$33:$R$55,COLUMNS('Footprint Summary'!$B$33:L$55)+1,0)</f>
        <v>1995</v>
      </c>
      <c r="M8" s="519">
        <f>VLOOKUP($A$2,'Footprint Summary'!$B$33:$R$55,COLUMNS('Footprint Summary'!$B$33:M$55)+1,0)</f>
        <v>1995</v>
      </c>
      <c r="N8" s="519">
        <f>VLOOKUP($A$2,'Footprint Summary'!$B$33:$R$55,COLUMNS('Footprint Summary'!$B$33:N$55)+1,0)</f>
        <v>1917</v>
      </c>
      <c r="O8" s="519">
        <f>VLOOKUP($A$2,'Footprint Summary'!$B$33:$R$55,COLUMNS('Footprint Summary'!$B$33:O$55)+1,0)</f>
        <v>1917</v>
      </c>
      <c r="P8" s="519">
        <f>VLOOKUP($A$2,'Footprint Summary'!$B$33:$R$55,COLUMNS('Footprint Summary'!$B$33:P$55)+1,0)</f>
        <v>1917</v>
      </c>
      <c r="Q8" s="429">
        <f>(P8-F8)/F8</f>
        <v>-0.13021778584392016</v>
      </c>
      <c r="R8" s="366"/>
      <c r="S8" s="357"/>
      <c r="T8" s="8"/>
      <c r="U8" s="8"/>
    </row>
    <row r="9" spans="1:21" s="7" customFormat="1" ht="17.25" customHeight="1">
      <c r="A9" s="419" t="s">
        <v>284</v>
      </c>
      <c r="B9" s="368" t="s">
        <v>315</v>
      </c>
      <c r="C9" s="2"/>
      <c r="D9" s="2"/>
      <c r="E9" s="422" t="s">
        <v>314</v>
      </c>
      <c r="F9" s="518">
        <f t="shared" ref="F9:P9" si="2">F8-$F$8</f>
        <v>0</v>
      </c>
      <c r="G9" s="518">
        <f t="shared" si="2"/>
        <v>-209</v>
      </c>
      <c r="H9" s="518">
        <f t="shared" si="2"/>
        <v>-209</v>
      </c>
      <c r="I9" s="518">
        <f t="shared" si="2"/>
        <v>-209</v>
      </c>
      <c r="J9" s="518">
        <f t="shared" si="2"/>
        <v>-209</v>
      </c>
      <c r="K9" s="518">
        <f t="shared" si="2"/>
        <v>-209</v>
      </c>
      <c r="L9" s="518">
        <f t="shared" si="2"/>
        <v>-209</v>
      </c>
      <c r="M9" s="518">
        <f t="shared" si="2"/>
        <v>-209</v>
      </c>
      <c r="N9" s="518">
        <f t="shared" si="2"/>
        <v>-287</v>
      </c>
      <c r="O9" s="518">
        <f t="shared" si="2"/>
        <v>-287</v>
      </c>
      <c r="P9" s="518">
        <f t="shared" si="2"/>
        <v>-287</v>
      </c>
      <c r="Q9" s="490">
        <f>SUM(F9:P9)</f>
        <v>-2324</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956.69</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113.57212</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55.33126712744113</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1125.5933871274412</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39.639152948564636</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-22.259999999999998</v>
      </c>
      <c r="H20" s="499">
        <f>-1*(VLOOKUP($A$2,'Footprint Summary'!$B$244:T$266,COLUMNS('Footprint Summary'!$B$244:H$266)+1,0))</f>
        <v>-21.9</v>
      </c>
      <c r="I20" s="499">
        <f>-1*(VLOOKUP($A$2,'Footprint Summary'!$B$244:U$266,COLUMNS('Footprint Summary'!$B$244:I$266)+1,0))</f>
        <v>-19.86</v>
      </c>
      <c r="J20" s="499">
        <f>-1*(VLOOKUP($A$2,'Footprint Summary'!$B$244:V$266,COLUMNS('Footprint Summary'!$B$244:J$266)+1,0))</f>
        <v>-18.72</v>
      </c>
      <c r="K20" s="499">
        <f>-1*(VLOOKUP($A$2,'Footprint Summary'!$B$244:W$266,COLUMNS('Footprint Summary'!$B$244:K$266)+1,0))</f>
        <v>38.290000000000006</v>
      </c>
      <c r="L20" s="499">
        <f>-1*(VLOOKUP($A$2,'Footprint Summary'!$B$244:X$266,COLUMNS('Footprint Summary'!$B$244:L$266)+1,0))</f>
        <v>32.200000000000003</v>
      </c>
      <c r="M20" s="499">
        <f>-1*(VLOOKUP($A$2,'Footprint Summary'!$B$244:Y$266,COLUMNS('Footprint Summary'!$B$244:M$266)+1,0))</f>
        <v>26.810000000000002</v>
      </c>
      <c r="N20" s="499">
        <f>-1*(VLOOKUP($A$2,'Footprint Summary'!$B$244:Z$266,COLUMNS('Footprint Summary'!$B$244:N$266)+1,0))</f>
        <v>16.25</v>
      </c>
      <c r="O20" s="499">
        <f>-1*(VLOOKUP($A$2,'Footprint Summary'!$B$244:AA$266,COLUMNS('Footprint Summary'!$B$244:O$266)+1,0))</f>
        <v>14.399999999999999</v>
      </c>
      <c r="P20" s="499">
        <f>-1*(VLOOKUP($A$2,'Footprint Summary'!$B$244:AB$266,COLUMNS('Footprint Summary'!$B$244:P$266)+1,0))</f>
        <v>13.200000000000001</v>
      </c>
      <c r="Q20" s="499">
        <f>SUM(G20:P20)</f>
        <v>58.410000000000018</v>
      </c>
      <c r="R20" s="366"/>
      <c r="S20" s="357"/>
      <c r="T20" s="8"/>
      <c r="U20" s="8"/>
    </row>
    <row r="21" spans="1:21"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920.822</v>
      </c>
      <c r="H21" s="499">
        <f>-1*(VLOOKUP($A$2,'Footprint Summary'!$B$302:$R$324,COLUMNS('Footprint Summary'!$B$302:H324)+1,0))</f>
        <v>905.93</v>
      </c>
      <c r="I21" s="499">
        <f>-1*(VLOOKUP($A$2,'Footprint Summary'!$B$302:$R$324,COLUMNS('Footprint Summary'!$B$302:I324)+1,0))</f>
        <v>821.54200000000003</v>
      </c>
      <c r="J21" s="499">
        <f>-1*(VLOOKUP($A$2,'Footprint Summary'!$B$302:$R$324,COLUMNS('Footprint Summary'!$B$302:J324)+1,0))</f>
        <v>774.38400000000001</v>
      </c>
      <c r="K21" s="499">
        <f>-1*(VLOOKUP($A$2,'Footprint Summary'!$B$302:$R$324,COLUMNS('Footprint Summary'!$B$302:K324)+1,0))</f>
        <v>624.12700000000007</v>
      </c>
      <c r="L21" s="499">
        <f>-1*(VLOOKUP($A$2,'Footprint Summary'!$B$302:$R$324,COLUMNS('Footprint Summary'!$B$302:L324)+1,0))</f>
        <v>524.86</v>
      </c>
      <c r="M21" s="499">
        <f>-1*(VLOOKUP($A$2,'Footprint Summary'!$B$302:$R$324,COLUMNS('Footprint Summary'!$B$302:M324)+1,0))</f>
        <v>437.00299999999999</v>
      </c>
      <c r="N21" s="499">
        <f>-1*(VLOOKUP($A$2,'Footprint Summary'!$B$302:$R$324,COLUMNS('Footprint Summary'!$B$302:N324)+1,0))</f>
        <v>377.32499999999999</v>
      </c>
      <c r="O21" s="499">
        <f>-1*(VLOOKUP($A$2,'Footprint Summary'!$B$302:$R$324,COLUMNS('Footprint Summary'!$B$302:O324)+1,0))</f>
        <v>334.36799999999999</v>
      </c>
      <c r="P21" s="499">
        <f>-1*(VLOOKUP($A$2,'Footprint Summary'!$B$302:$R$324,COLUMNS('Footprint Summary'!$B$302:P324)+1,0))</f>
        <v>306.50400000000002</v>
      </c>
      <c r="Q21" s="499">
        <f t="shared" ref="Q21:Q27" si="6">SUM(G21:P21)</f>
        <v>6026.8649999999998</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102.80235</v>
      </c>
      <c r="H22" s="499">
        <f>(VLOOKUP($A$2,'Footprint Summary'!$B$33:$R$55,COLUMNS('Footprint Summary'!$B$33:H$55)+1,0)*VLOOKUP($B$14,Assumptions!$B$17:$N$29,COLUMNS(Assumptions!$B$18:D$29)+1,0)/1000)</f>
        <v>102.80235</v>
      </c>
      <c r="I22" s="499">
        <f>(VLOOKUP($A$2,'Footprint Summary'!$B$33:$R$55,COLUMNS('Footprint Summary'!$B$33:I$55)+1,0)*VLOOKUP($B$14,Assumptions!$B$17:$N$29,COLUMNS(Assumptions!$B$18:E$29)+1,0)/1000)</f>
        <v>102.80235</v>
      </c>
      <c r="J22" s="499">
        <f>(VLOOKUP($A$2,'Footprint Summary'!$B$33:$R$55,COLUMNS('Footprint Summary'!$B$33:J$55)+1,0)*VLOOKUP($B$14,Assumptions!$B$17:$N$29,COLUMNS(Assumptions!$B$18:F$29)+1,0)/1000)</f>
        <v>102.80235</v>
      </c>
      <c r="K22" s="499">
        <f>(VLOOKUP($A$2,'Footprint Summary'!$B$33:$R$55,COLUMNS('Footprint Summary'!$B$33:K$55)+1,0)*VLOOKUP($B$14,Assumptions!$B$17:$N$29,COLUMNS(Assumptions!$B$18:G$29)+1,0)/1000)</f>
        <v>102.80235</v>
      </c>
      <c r="L22" s="499">
        <f>(VLOOKUP($A$2,'Footprint Summary'!$B$33:$R$55,COLUMNS('Footprint Summary'!$B$33:L$55)+1,0)*VLOOKUP($B$14,Assumptions!$B$17:$N$29,COLUMNS(Assumptions!$B$18:H$29)+1,0)/1000)</f>
        <v>102.80235</v>
      </c>
      <c r="M22" s="499">
        <f>(VLOOKUP($A$2,'Footprint Summary'!$B$33:$R$55,COLUMNS('Footprint Summary'!$B$33:M$55)+1,0)*VLOOKUP($B$14,Assumptions!$B$17:$N$29,COLUMNS(Assumptions!$B$18:I$29)+1,0)/1000)</f>
        <v>102.80235</v>
      </c>
      <c r="N22" s="499">
        <f>(VLOOKUP($A$2,'Footprint Summary'!$B$33:$R$55,COLUMNS('Footprint Summary'!$B$33:N$55)+1,0)*VLOOKUP($B$14,Assumptions!$B$17:$N$29,COLUMNS(Assumptions!$B$18:J$29)+1,0)/1000)</f>
        <v>98.783010000000004</v>
      </c>
      <c r="O22" s="499">
        <f>(VLOOKUP($A$2,'Footprint Summary'!$B$33:$R$55,COLUMNS('Footprint Summary'!$B$33:O$55)+1,0)*VLOOKUP($B$14,Assumptions!$B$17:$N$29,COLUMNS(Assumptions!$B$18:K$29)+1,0)/1000)</f>
        <v>98.783010000000004</v>
      </c>
      <c r="P22" s="499">
        <f>(VLOOKUP($A$2,'Footprint Summary'!$B$33:$R$55,COLUMNS('Footprint Summary'!$B$33:P$55)+1,0)*VLOOKUP($B$14,Assumptions!$B$17:$N$29,COLUMNS(Assumptions!$B$18:L$29)+1,0)/1000)</f>
        <v>98.783010000000004</v>
      </c>
      <c r="Q22" s="499">
        <f t="shared" si="6"/>
        <v>1015.9654800000001</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10.769770000000001</v>
      </c>
      <c r="H23" s="499">
        <f>-1*(VLOOKUP($A$2,'Footprint Summary'!$B$273:T$295,COLUMNS('Footprint Summary'!$B$273:H$295)+1,0))</f>
        <v>10.769770000000001</v>
      </c>
      <c r="I23" s="499">
        <f>-1*(VLOOKUP($A$2,'Footprint Summary'!$B$273:U$295,COLUMNS('Footprint Summary'!$B$273:I$295)+1,0))</f>
        <v>10.769770000000001</v>
      </c>
      <c r="J23" s="499">
        <f>-1*(VLOOKUP($A$2,'Footprint Summary'!$B$273:V$295,COLUMNS('Footprint Summary'!$B$273:J$295)+1,0))</f>
        <v>10.769770000000001</v>
      </c>
      <c r="K23" s="499">
        <f>-1*(VLOOKUP($A$2,'Footprint Summary'!$B$273:W$295,COLUMNS('Footprint Summary'!$B$273:K$295)+1,0))</f>
        <v>10.769770000000001</v>
      </c>
      <c r="L23" s="499">
        <f>-1*(VLOOKUP($A$2,'Footprint Summary'!$B$273:X$295,COLUMNS('Footprint Summary'!$B$273:L$295)+1,0))</f>
        <v>10.769770000000001</v>
      </c>
      <c r="M23" s="499">
        <f>-1*(VLOOKUP($A$2,'Footprint Summary'!$B$273:Y$295,COLUMNS('Footprint Summary'!$B$273:M$295)+1,0))</f>
        <v>10.769770000000001</v>
      </c>
      <c r="N23" s="499">
        <f>-1*(VLOOKUP($A$2,'Footprint Summary'!$B$273:Z$295,COLUMNS('Footprint Summary'!$B$273:N$295)+1,0))</f>
        <v>14.789110000000001</v>
      </c>
      <c r="O23" s="499">
        <f>-1*(VLOOKUP($A$2,'Footprint Summary'!$B$273:AA$295,COLUMNS('Footprint Summary'!$B$273:O$295)+1,0))</f>
        <v>14.789110000000001</v>
      </c>
      <c r="P23" s="499">
        <f>-1*(VLOOKUP($A$2,'Footprint Summary'!$B$273:AB$295,COLUMNS('Footprint Summary'!$B$273:P$295)+1,0))</f>
        <v>14.789110000000001</v>
      </c>
      <c r="Q23" s="499">
        <f t="shared" si="6"/>
        <v>119.75572</v>
      </c>
      <c r="R23" s="366"/>
      <c r="S23" s="357"/>
      <c r="T23" s="8"/>
      <c r="U23" s="8"/>
    </row>
    <row r="24" spans="1:21" s="7" customFormat="1" ht="19.5" customHeight="1">
      <c r="A24" s="419" t="s">
        <v>319</v>
      </c>
      <c r="B24" s="419" t="s">
        <v>329</v>
      </c>
      <c r="E24" s="425" t="s">
        <v>321</v>
      </c>
      <c r="F24" s="499">
        <v>0</v>
      </c>
      <c r="G24" s="499">
        <f>VLOOKUP($A$2,'Footprint Summary'!$B$216:$R$238,COLUMNS('Footprint Summary'!$B$216:G238)+1,0)</f>
        <v>50.419914320503224</v>
      </c>
      <c r="H24" s="499">
        <f>VLOOKUP($A$2,'Footprint Summary'!$B$216:$R$238,COLUMNS('Footprint Summary'!$B$216:H238)+1,0)</f>
        <v>45.508561513565319</v>
      </c>
      <c r="I24" s="499">
        <f>VLOOKUP($A$2,'Footprint Summary'!$B$216:$R$238,COLUMNS('Footprint Summary'!$B$216:I238)+1,0)</f>
        <v>40.597208706627413</v>
      </c>
      <c r="J24" s="499">
        <f>VLOOKUP($A$2,'Footprint Summary'!$B$216:$R$238,COLUMNS('Footprint Summary'!$B$216:J238)+1,0)</f>
        <v>35.685855899689507</v>
      </c>
      <c r="K24" s="499">
        <f>VLOOKUP($A$2,'Footprint Summary'!$B$216:$R$238,COLUMNS('Footprint Summary'!$B$216:K238)+1,0)</f>
        <v>30.774503092751601</v>
      </c>
      <c r="L24" s="499">
        <f>VLOOKUP($A$2,'Footprint Summary'!$B$216:$R$238,COLUMNS('Footprint Summary'!$B$216:L238)+1,0)</f>
        <v>25.863150285813695</v>
      </c>
      <c r="M24" s="499">
        <f>VLOOKUP($A$2,'Footprint Summary'!$B$216:$R$238,COLUMNS('Footprint Summary'!$B$216:M238)+1,0)</f>
        <v>20.951797478875793</v>
      </c>
      <c r="N24" s="499">
        <f>VLOOKUP($A$2,'Footprint Summary'!$B$216:$R$238,COLUMNS('Footprint Summary'!$B$216:N238)+1,0)</f>
        <v>16.040444671937891</v>
      </c>
      <c r="O24" s="499">
        <f>VLOOKUP($A$2,'Footprint Summary'!$B$216:$R$238,COLUMNS('Footprint Summary'!$B$216:O238)+1,0)</f>
        <v>11.129091864999985</v>
      </c>
      <c r="P24" s="499">
        <f>VLOOKUP($A$2,'Footprint Summary'!$B$216:$R$238,COLUMNS('Footprint Summary'!$B$216:P238)+1,0)</f>
        <v>11.129091864999999</v>
      </c>
      <c r="Q24" s="499">
        <f t="shared" si="6"/>
        <v>288.09961969976439</v>
      </c>
      <c r="R24" s="366"/>
      <c r="S24" s="357"/>
      <c r="T24" s="8"/>
      <c r="U24" s="8"/>
    </row>
    <row r="25" spans="1:21" s="7" customFormat="1" ht="19.5" customHeight="1">
      <c r="A25" s="419" t="s">
        <v>319</v>
      </c>
      <c r="B25" s="419" t="s">
        <v>319</v>
      </c>
      <c r="E25" s="425" t="s">
        <v>321</v>
      </c>
      <c r="F25" s="499">
        <f>VLOOKUP($A$2,'Footprint Summary'!$B$216:$R$238,COLUMNS('Footprint Summary'!$B$216:F238)+1,0)-F24</f>
        <v>55.33126712744113</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113.57212</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NSW2</v>
      </c>
      <c r="B27" s="368" t="s">
        <v>330</v>
      </c>
      <c r="E27" s="425" t="s">
        <v>321</v>
      </c>
      <c r="F27" s="367">
        <f>VLOOKUP($A$2,'Footprint Summary'!$B$4:$R$26,COLUMNS('Footprint Summary'!$B$4:F$26)+1,0)*VLOOKUP($A$13,Assumptions!$A$4:$N$14,COLUMNS(Assumptions!$A$4:B$14)+1,0)</f>
        <v>956.69</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row>
    <row r="28" spans="1:21" s="7" customFormat="1" ht="19.5" customHeight="1" thickBot="1">
      <c r="E28" s="425" t="s">
        <v>321</v>
      </c>
      <c r="F28" s="434">
        <f>SUM(F20:F23)</f>
        <v>0</v>
      </c>
      <c r="G28" s="434">
        <f t="shared" ref="G28:P28" si="7">SUM(G20:G23)</f>
        <v>1012.1341200000001</v>
      </c>
      <c r="H28" s="434">
        <f t="shared" si="7"/>
        <v>997.60212000000001</v>
      </c>
      <c r="I28" s="434">
        <f t="shared" si="7"/>
        <v>915.25412000000006</v>
      </c>
      <c r="J28" s="434">
        <f t="shared" si="7"/>
        <v>869.23612000000003</v>
      </c>
      <c r="K28" s="434">
        <f t="shared" si="7"/>
        <v>775.98912000000007</v>
      </c>
      <c r="L28" s="434">
        <f t="shared" si="7"/>
        <v>670.6321200000001</v>
      </c>
      <c r="M28" s="434">
        <f t="shared" si="7"/>
        <v>577.38512000000003</v>
      </c>
      <c r="N28" s="434">
        <f t="shared" si="7"/>
        <v>507.14711999999997</v>
      </c>
      <c r="O28" s="434">
        <f t="shared" si="7"/>
        <v>462.34011999999996</v>
      </c>
      <c r="P28" s="434">
        <f t="shared" si="7"/>
        <v>433.27611999999999</v>
      </c>
      <c r="Q28" s="434">
        <f t="shared" ref="Q28" si="8">SUM(Q20:Q24)</f>
        <v>7509.0958196997635</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340315.33999999997</v>
      </c>
      <c r="G32" s="424">
        <f>VLOOKUP($A$2,'Costs Summary'!$B$154:$R$176,COLUMNS('Costs Summary'!$B$154:G$176)+1,0)</f>
        <v>335408.21521375299</v>
      </c>
      <c r="H32" s="424">
        <f>VLOOKUP($A$2,'Costs Summary'!$B$154:$R$176,COLUMNS('Costs Summary'!$B$154:H$176)+1,0)</f>
        <v>347147.5027462343</v>
      </c>
      <c r="I32" s="424">
        <f>VLOOKUP($A$2,'Costs Summary'!$B$154:$R$176,COLUMNS('Costs Summary'!$B$154:I$176)+1,0)</f>
        <v>359297.66534235253</v>
      </c>
      <c r="J32" s="424">
        <f>VLOOKUP($A$2,'Costs Summary'!$B$154:$R$176,COLUMNS('Costs Summary'!$B$154:J$176)+1,0)</f>
        <v>371873.08362933481</v>
      </c>
      <c r="K32" s="424">
        <f>VLOOKUP($A$2,'Costs Summary'!$B$154:$R$176,COLUMNS('Costs Summary'!$B$154:K$176)+1,0)</f>
        <v>384888.64155636152</v>
      </c>
      <c r="L32" s="424">
        <f>VLOOKUP($A$2,'Costs Summary'!$B$154:$R$176,COLUMNS('Costs Summary'!$B$154:L$176)+1,0)</f>
        <v>398359.74401083414</v>
      </c>
      <c r="M32" s="424">
        <f>VLOOKUP($A$2,'Costs Summary'!$B$154:$R$176,COLUMNS('Costs Summary'!$B$154:M$176)+1,0)</f>
        <v>412302.33505121327</v>
      </c>
      <c r="N32" s="424">
        <f>VLOOKUP($A$2,'Costs Summary'!$B$154:$R$176,COLUMNS('Costs Summary'!$B$154:N$176)+1,0)</f>
        <v>494762.80206145596</v>
      </c>
      <c r="O32" s="424">
        <f>VLOOKUP($A$2,'Costs Summary'!$B$154:$R$176,COLUMNS('Costs Summary'!$B$154:O$176)+1,0)</f>
        <v>512079.5001336069</v>
      </c>
      <c r="P32" s="424">
        <f>VLOOKUP($A$2,'Costs Summary'!$B$154:$R$176,COLUMNS('Costs Summary'!$B$154:P$176)+1,0)</f>
        <v>530002.2826382831</v>
      </c>
      <c r="Q32" s="433">
        <f>SUM(G32:P32)</f>
        <v>4146121.7723834296</v>
      </c>
      <c r="R32" s="366"/>
      <c r="S32" s="357"/>
      <c r="T32" s="8"/>
      <c r="U32" s="8"/>
    </row>
    <row r="33" spans="1:21" s="7" customFormat="1" ht="17.25" customHeight="1">
      <c r="A33" s="368" t="s">
        <v>284</v>
      </c>
      <c r="B33" s="368" t="s">
        <v>335</v>
      </c>
      <c r="C33" s="423"/>
      <c r="D33" s="423"/>
      <c r="E33" s="423"/>
      <c r="F33" s="424">
        <f>VLOOKUP($A$2,'Costs Summary'!$B$183:$R$205,COLUMNS('Costs Summary'!$B$183:F$205)+1,0)</f>
        <v>51540.50069999999</v>
      </c>
      <c r="G33" s="424">
        <f>VLOOKUP($A$2,'Costs Summary'!$B$183:$R$205,COLUMNS('Costs Summary'!$B$183:G$205)+1,0)</f>
        <v>67232.379617373299</v>
      </c>
      <c r="H33" s="424">
        <f>VLOOKUP($A$2,'Costs Summary'!$B$183:$R$205,COLUMNS('Costs Summary'!$B$183:H$205)+1,0)</f>
        <v>69249.351005894496</v>
      </c>
      <c r="I33" s="424">
        <f>VLOOKUP($A$2,'Costs Summary'!$B$183:$R$205,COLUMNS('Costs Summary'!$B$183:I$205)+1,0)</f>
        <v>71326.831536071331</v>
      </c>
      <c r="J33" s="424">
        <f>VLOOKUP($A$2,'Costs Summary'!$B$183:$R$205,COLUMNS('Costs Summary'!$B$183:J$205)+1,0)</f>
        <v>73466.636482153481</v>
      </c>
      <c r="K33" s="424">
        <f>VLOOKUP($A$2,'Costs Summary'!$B$183:$R$205,COLUMNS('Costs Summary'!$B$183:K$205)+1,0)</f>
        <v>75670.635576618093</v>
      </c>
      <c r="L33" s="424">
        <f>VLOOKUP($A$2,'Costs Summary'!$B$183:$R$205,COLUMNS('Costs Summary'!$B$183:L$205)+1,0)</f>
        <v>77940.754643916633</v>
      </c>
      <c r="M33" s="424">
        <f>VLOOKUP($A$2,'Costs Summary'!$B$183:$R$205,COLUMNS('Costs Summary'!$B$183:M$205)+1,0)</f>
        <v>80278.97728323414</v>
      </c>
      <c r="N33" s="424">
        <f>VLOOKUP($A$2,'Costs Summary'!$B$183:$R$205,COLUMNS('Costs Summary'!$B$183:N$205)+1,0)</f>
        <v>82687.346601731158</v>
      </c>
      <c r="O33" s="424">
        <f>VLOOKUP($A$2,'Costs Summary'!$B$183:$R$205,COLUMNS('Costs Summary'!$B$183:O$205)+1,0)</f>
        <v>85167.966999783093</v>
      </c>
      <c r="P33" s="424">
        <f>VLOOKUP($A$2,'Costs Summary'!$B$183:$R$205,COLUMNS('Costs Summary'!$B$183:P$205)+1,0)</f>
        <v>87723.006009776596</v>
      </c>
      <c r="Q33" s="433">
        <f>SUM(G33:P33)</f>
        <v>770743.88575655234</v>
      </c>
      <c r="R33" s="366"/>
      <c r="S33" s="357"/>
      <c r="T33" s="8"/>
      <c r="U33" s="8"/>
    </row>
    <row r="34" spans="1:21" s="7" customFormat="1" ht="17.25" customHeight="1">
      <c r="A34" s="368" t="s">
        <v>284</v>
      </c>
      <c r="B34" s="368" t="s">
        <v>336</v>
      </c>
      <c r="H34" s="424">
        <f>VLOOKUP($A$2,'Costs Summary'!$B$241:$R$263,COLUMNS('Costs Summary'!$B$241:H263)+1,0)</f>
        <v>6168.1410000000005</v>
      </c>
      <c r="I34" s="424">
        <f>VLOOKUP($A$2,'Costs Summary'!$B$241:$R$263,COLUMNS('Costs Summary'!$B$241:I263)+1,0)</f>
        <v>6168.1410000000005</v>
      </c>
      <c r="J34" s="424">
        <f>VLOOKUP($A$2,'Costs Summary'!$B$241:$R$263,COLUMNS('Costs Summary'!$B$241:J263)+1,0)</f>
        <v>6168.1410000000005</v>
      </c>
      <c r="K34" s="424">
        <f>VLOOKUP($A$2,'Costs Summary'!$B$241:$R$263,COLUMNS('Costs Summary'!$B$241:K263)+1,0)</f>
        <v>6168.1410000000005</v>
      </c>
      <c r="L34" s="424">
        <f>VLOOKUP($A$2,'Costs Summary'!$B$241:$R$263,COLUMNS('Costs Summary'!$B$241:L263)+1,0)</f>
        <v>6168.1410000000005</v>
      </c>
      <c r="M34" s="424">
        <f>VLOOKUP($A$2,'Costs Summary'!$B$241:$R$263,COLUMNS('Costs Summary'!$B$241:M263)+1,0)</f>
        <v>6168.1410000000005</v>
      </c>
      <c r="N34" s="424">
        <f>VLOOKUP($A$2,'Costs Summary'!$B$241:$R$263,COLUMNS('Costs Summary'!$B$241:N263)+1,0)</f>
        <v>6168.1410000000005</v>
      </c>
      <c r="O34" s="424">
        <f>VLOOKUP($A$2,'Costs Summary'!$B$241:$R$263,COLUMNS('Costs Summary'!$B$241:O263)+1,0)</f>
        <v>6168.1410000000005</v>
      </c>
      <c r="P34" s="424">
        <f>VLOOKUP($A$2,'Costs Summary'!$B$241:$R$263,COLUMNS('Costs Summary'!$B$241:P263)+1,0)</f>
        <v>6168.1410000000005</v>
      </c>
      <c r="Q34" s="433">
        <f>SUM(G34:P34)</f>
        <v>55513.269000000015</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2730.5136908139193</v>
      </c>
      <c r="I35" s="424">
        <f>VLOOKUP($A$2,'Costs Summary'!$B$212:$R$234,COLUMNS('Costs Summary'!$B$212:I$234)+1,0)</f>
        <v>2435.8325223976449</v>
      </c>
      <c r="J35" s="424">
        <f>VLOOKUP($A$2,'Costs Summary'!$B$212:$R$234,COLUMNS('Costs Summary'!$B$212:J$234)+1,0)</f>
        <v>2141.1513539813704</v>
      </c>
      <c r="K35" s="424">
        <f>VLOOKUP($A$2,'Costs Summary'!$B$212:$R$234,COLUMNS('Costs Summary'!$B$212:K$234)+1,0)</f>
        <v>1846.470185565096</v>
      </c>
      <c r="L35" s="424">
        <f>VLOOKUP($A$2,'Costs Summary'!$B$212:$R$234,COLUMNS('Costs Summary'!$B$212:L$234)+1,0)</f>
        <v>1551.7890171488218</v>
      </c>
      <c r="M35" s="424">
        <f>VLOOKUP($A$2,'Costs Summary'!$B$212:$R$234,COLUMNS('Costs Summary'!$B$212:M$234)+1,0)</f>
        <v>1257.1078487325476</v>
      </c>
      <c r="N35" s="424">
        <f>VLOOKUP($A$2,'Costs Summary'!$B$212:$R$234,COLUMNS('Costs Summary'!$B$212:N$234)+1,0)</f>
        <v>962.4266803162734</v>
      </c>
      <c r="O35" s="424">
        <f>VLOOKUP($A$2,'Costs Summary'!$B$212:$R$234,COLUMNS('Costs Summary'!$B$212:O$234)+1,0)</f>
        <v>667.74551189999909</v>
      </c>
      <c r="P35" s="424">
        <f>VLOOKUP($A$2,'Costs Summary'!$B$212:$R$234,COLUMNS('Costs Summary'!$B$212:P$234)+1,0)</f>
        <v>667.7455119</v>
      </c>
      <c r="Q35" s="433">
        <f>SUM(G35:P35)</f>
        <v>14260.782322755673</v>
      </c>
      <c r="R35" s="366"/>
      <c r="S35" s="357"/>
      <c r="T35" s="8"/>
      <c r="U35" s="8"/>
    </row>
    <row r="36" spans="1:21" s="7" customFormat="1" ht="17.25" customHeight="1" thickBot="1">
      <c r="A36" s="437" t="s">
        <v>338</v>
      </c>
      <c r="C36" s="423"/>
      <c r="D36" s="423"/>
      <c r="E36" s="368" t="s">
        <v>669</v>
      </c>
      <c r="F36" s="461">
        <f t="shared" ref="F36:P36" si="10">SUM(F32:F35)</f>
        <v>391855.84069999994</v>
      </c>
      <c r="G36" s="461">
        <f t="shared" si="10"/>
        <v>402640.59483112628</v>
      </c>
      <c r="H36" s="461">
        <f t="shared" si="10"/>
        <v>425295.50844294269</v>
      </c>
      <c r="I36" s="461">
        <f t="shared" si="10"/>
        <v>439228.47040082148</v>
      </c>
      <c r="J36" s="461">
        <f t="shared" si="10"/>
        <v>453649.01246546966</v>
      </c>
      <c r="K36" s="461">
        <f t="shared" si="10"/>
        <v>468573.88831854472</v>
      </c>
      <c r="L36" s="461">
        <f t="shared" si="10"/>
        <v>484020.4286718996</v>
      </c>
      <c r="M36" s="461">
        <f t="shared" si="10"/>
        <v>500006.56118317996</v>
      </c>
      <c r="N36" s="461">
        <f t="shared" si="10"/>
        <v>584580.71634350333</v>
      </c>
      <c r="O36" s="461">
        <f t="shared" si="10"/>
        <v>604083.35364529002</v>
      </c>
      <c r="P36" s="461">
        <f t="shared" si="10"/>
        <v>624561.1751599597</v>
      </c>
      <c r="Q36" s="462">
        <f t="shared" ref="Q36" si="11">SUM(Q32:Q35)</f>
        <v>4986639.7094627386</v>
      </c>
      <c r="R36" s="366"/>
      <c r="S36" s="357"/>
      <c r="T36" s="8"/>
      <c r="U36" s="8"/>
    </row>
    <row r="37" spans="1:21" s="7" customFormat="1" ht="17.25" customHeight="1" thickTop="1" thickBot="1">
      <c r="C37" s="423"/>
      <c r="D37" s="423"/>
      <c r="E37" s="368" t="s">
        <v>340</v>
      </c>
      <c r="F37" s="468">
        <f>F36/(VLOOKUP($A$2,'Asset Attributes'!$B$3:$D$25,3,0))</f>
        <v>13.799684487251724</v>
      </c>
      <c r="G37" s="468">
        <f>G36/(VLOOKUP($A$2,'Asset Attributes'!$B$3:$D$25,3,0))</f>
        <v>14.179482843750044</v>
      </c>
      <c r="H37" s="468">
        <f>H36/(VLOOKUP($A$2,'Asset Attributes'!$B$3:$D$25,3,0))</f>
        <v>14.977303438616097</v>
      </c>
      <c r="I37" s="468">
        <f>I36/(VLOOKUP($A$2,'Asset Attributes'!$B$3:$D$25,3,0))</f>
        <v>15.467969798592108</v>
      </c>
      <c r="J37" s="468">
        <f>J36/(VLOOKUP($A$2,'Asset Attributes'!$B$3:$D$25,3,0))</f>
        <v>15.975806890599721</v>
      </c>
      <c r="K37" s="468">
        <f>K36/(VLOOKUP($A$2,'Asset Attributes'!$B$3:$D$25,3,0))</f>
        <v>16.501404716105956</v>
      </c>
      <c r="L37" s="468">
        <f>L36/(VLOOKUP($A$2,'Asset Attributes'!$B$3:$D$25,3,0))</f>
        <v>17.045373597404549</v>
      </c>
      <c r="M37" s="468">
        <f>M36/(VLOOKUP($A$2,'Asset Attributes'!$B$3:$D$25,3,0))</f>
        <v>17.608344878968165</v>
      </c>
      <c r="N37" s="468">
        <f>N36/(VLOOKUP($A$2,'Asset Attributes'!$B$3:$D$25,3,0))</f>
        <v>20.586727579359888</v>
      </c>
      <c r="O37" s="468">
        <f>O36/(VLOOKUP($A$2,'Asset Attributes'!$B$3:$D$25,3,0))</f>
        <v>21.273536894115018</v>
      </c>
      <c r="P37" s="468">
        <f>P36/(VLOOKUP($A$2,'Asset Attributes'!$B$3:$D$25,3,0))</f>
        <v>21.994688518099721</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340315.33999999997</v>
      </c>
      <c r="G39" s="424">
        <f>VLOOKUP($A$2,'Costs Summary'!$B$4:$R$26,COLUMNS('Costs Summary'!$B$4:G$26)+1,0)</f>
        <v>343717.25440154207</v>
      </c>
      <c r="H39" s="424">
        <f>VLOOKUP($A$2,'Costs Summary'!$B$4:$R$26,COLUMNS('Costs Summary'!$B$4:H$26)+1,0)</f>
        <v>355747.35830559605</v>
      </c>
      <c r="I39" s="424">
        <f>VLOOKUP($A$2,'Costs Summary'!$B$4:$R$26,COLUMNS('Costs Summary'!$B$4:I$26)+1,0)</f>
        <v>368198.51584629191</v>
      </c>
      <c r="J39" s="424">
        <f>VLOOKUP($A$2,'Costs Summary'!$B$4:$R$26,COLUMNS('Costs Summary'!$B$4:J$26)+1,0)</f>
        <v>381085.46390091209</v>
      </c>
      <c r="K39" s="424">
        <f>VLOOKUP($A$2,'Costs Summary'!$B$4:$R$26,COLUMNS('Costs Summary'!$B$4:K$26)+1,0)</f>
        <v>362640.74320050247</v>
      </c>
      <c r="L39" s="424">
        <f>VLOOKUP($A$2,'Costs Summary'!$B$4:$R$26,COLUMNS('Costs Summary'!$B$4:L$26)+1,0)</f>
        <v>375333.16921252001</v>
      </c>
      <c r="M39" s="424">
        <f>VLOOKUP($A$2,'Costs Summary'!$B$4:$R$26,COLUMNS('Costs Summary'!$B$4:M$26)+1,0)</f>
        <v>388469.8301349582</v>
      </c>
      <c r="N39" s="424">
        <f>VLOOKUP($A$2,'Costs Summary'!$B$4:$R$26,COLUMNS('Costs Summary'!$B$4:N$26)+1,0)</f>
        <v>474334.94070466585</v>
      </c>
      <c r="O39" s="424">
        <f>VLOOKUP($A$2,'Costs Summary'!$B$4:$R$26,COLUMNS('Costs Summary'!$B$4:O$26)+1,0)</f>
        <v>490936.66362932918</v>
      </c>
      <c r="P39" s="424">
        <f>VLOOKUP($A$2,'Costs Summary'!$B$4:$R$26,COLUMNS('Costs Summary'!$B$4:P$26)+1,0)</f>
        <v>508119.44685635564</v>
      </c>
      <c r="Q39" s="433">
        <f>SUM(G39:P39)</f>
        <v>4048583.3861926738</v>
      </c>
      <c r="R39" s="366"/>
      <c r="S39" s="357"/>
      <c r="T39" s="8"/>
      <c r="U39" s="8"/>
    </row>
    <row r="40" spans="1:21" s="7" customFormat="1" ht="17.25" customHeight="1">
      <c r="A40" s="368" t="s">
        <v>284</v>
      </c>
      <c r="B40" s="368" t="s">
        <v>343</v>
      </c>
      <c r="C40" s="423"/>
      <c r="D40" s="423"/>
      <c r="E40" s="423"/>
      <c r="F40" s="424">
        <f>VLOOKUP($A$2,'Costs Summary'!$B$33:$R$55,COLUMNS('Costs Summary'!$B$33:F$55)+1,0)</f>
        <v>51540.50069999999</v>
      </c>
      <c r="G40" s="424">
        <f>VLOOKUP($A$2,'Costs Summary'!$B$33:$R$55,COLUMNS('Costs Summary'!$B$33:G$55)+1,0)</f>
        <v>60856.89534331204</v>
      </c>
      <c r="H40" s="424">
        <f>VLOOKUP($A$2,'Costs Summary'!$B$33:$R$55,COLUMNS('Costs Summary'!$B$33:H$55)+1,0)</f>
        <v>62682.602203611401</v>
      </c>
      <c r="I40" s="424">
        <f>VLOOKUP($A$2,'Costs Summary'!$B$33:$R$55,COLUMNS('Costs Summary'!$B$33:I$55)+1,0)</f>
        <v>64563.080269719743</v>
      </c>
      <c r="J40" s="424">
        <f>VLOOKUP($A$2,'Costs Summary'!$B$33:$R$55,COLUMNS('Costs Summary'!$B$33:J$55)+1,0)</f>
        <v>66499.97267781134</v>
      </c>
      <c r="K40" s="424">
        <f>VLOOKUP($A$2,'Costs Summary'!$B$33:$R$55,COLUMNS('Costs Summary'!$B$33:K$55)+1,0)</f>
        <v>68494.971858145698</v>
      </c>
      <c r="L40" s="424">
        <f>VLOOKUP($A$2,'Costs Summary'!$B$33:$R$55,COLUMNS('Costs Summary'!$B$33:L$55)+1,0)</f>
        <v>70549.821013890061</v>
      </c>
      <c r="M40" s="424">
        <f>VLOOKUP($A$2,'Costs Summary'!$B$33:$R$55,COLUMNS('Costs Summary'!$B$33:M$55)+1,0)</f>
        <v>72666.315644306771</v>
      </c>
      <c r="N40" s="424">
        <f>VLOOKUP($A$2,'Costs Summary'!$B$33:$R$55,COLUMNS('Costs Summary'!$B$33:N$55)+1,0)</f>
        <v>71919.983409944936</v>
      </c>
      <c r="O40" s="424">
        <f>VLOOKUP($A$2,'Costs Summary'!$B$33:$R$55,COLUMNS('Costs Summary'!$B$33:O$55)+1,0)</f>
        <v>74077.582912243277</v>
      </c>
      <c r="P40" s="424">
        <f>VLOOKUP($A$2,'Costs Summary'!$B$33:$R$55,COLUMNS('Costs Summary'!$B$33:P$55)+1,0)</f>
        <v>76299.910399610584</v>
      </c>
      <c r="Q40" s="433">
        <f>SUM(G40:P40)</f>
        <v>688611.13573259604</v>
      </c>
      <c r="R40" s="366"/>
      <c r="S40" s="357"/>
      <c r="T40" s="8"/>
      <c r="U40" s="8"/>
    </row>
    <row r="41" spans="1:21" s="7" customFormat="1" ht="17.25" customHeight="1">
      <c r="A41" s="368" t="s">
        <v>284</v>
      </c>
      <c r="B41" s="368" t="s">
        <v>336</v>
      </c>
      <c r="H41" s="424">
        <f>VLOOKUP($A$2,'Costs Summary'!$B$125:$R$147,COLUMNS('Costs Summary'!$B$125:H$147)+1,0)</f>
        <v>6168.1410000000005</v>
      </c>
      <c r="I41" s="424">
        <f>VLOOKUP($A$2,'Costs Summary'!$B$125:$R$147,COLUMNS('Costs Summary'!$B$125:I$147)+1,0)</f>
        <v>6168.1410000000005</v>
      </c>
      <c r="J41" s="424">
        <f>VLOOKUP($A$2,'Costs Summary'!$B$125:$R$147,COLUMNS('Costs Summary'!$B$125:J$147)+1,0)</f>
        <v>6168.1410000000005</v>
      </c>
      <c r="K41" s="424">
        <f>VLOOKUP($A$2,'Costs Summary'!$B$125:$R$147,COLUMNS('Costs Summary'!$B$125:K$147)+1,0)</f>
        <v>6168.1410000000005</v>
      </c>
      <c r="L41" s="424">
        <f>VLOOKUP($A$2,'Costs Summary'!$B$125:$R$147,COLUMNS('Costs Summary'!$B$125:L$147)+1,0)</f>
        <v>6168.1410000000005</v>
      </c>
      <c r="M41" s="424">
        <f>VLOOKUP($A$2,'Costs Summary'!$B$125:$R$147,COLUMNS('Costs Summary'!$B$125:M$147)+1,0)</f>
        <v>6168.1410000000005</v>
      </c>
      <c r="N41" s="424">
        <f>VLOOKUP($A$2,'Costs Summary'!$B$125:$R$147,COLUMNS('Costs Summary'!$B$125:N$147)+1,0)</f>
        <v>5926.9805999999999</v>
      </c>
      <c r="O41" s="424">
        <f>VLOOKUP($A$2,'Costs Summary'!$B$125:$R$147,COLUMNS('Costs Summary'!$B$125:O$147)+1,0)</f>
        <v>5926.9805999999999</v>
      </c>
      <c r="P41" s="424">
        <f>VLOOKUP($A$2,'Costs Summary'!$B$125:$R$147,COLUMNS('Costs Summary'!$B$125:P$147)+1,0)</f>
        <v>5926.9805999999999</v>
      </c>
      <c r="Q41" s="433">
        <f t="shared" ref="Q41:Q42" si="12">SUM(G41:P41)</f>
        <v>54789.787800000013</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2730.5136908139193</v>
      </c>
      <c r="I42" s="424">
        <f>VLOOKUP($A$2,'Costs Summary'!$B$212:$R$234,COLUMNS('Costs Summary'!$B$212:I$234)+1,0)</f>
        <v>2435.8325223976449</v>
      </c>
      <c r="J42" s="424">
        <f>VLOOKUP($A$2,'Costs Summary'!$B$212:$R$234,COLUMNS('Costs Summary'!$B$212:J$234)+1,0)</f>
        <v>2141.1513539813704</v>
      </c>
      <c r="K42" s="424">
        <f>VLOOKUP($A$2,'Costs Summary'!$B$212:$R$234,COLUMNS('Costs Summary'!$B$212:K$234)+1,0)</f>
        <v>1846.470185565096</v>
      </c>
      <c r="L42" s="424">
        <f>VLOOKUP($A$2,'Costs Summary'!$B$212:$R$234,COLUMNS('Costs Summary'!$B$212:L$234)+1,0)</f>
        <v>1551.7890171488218</v>
      </c>
      <c r="M42" s="424">
        <f>VLOOKUP($A$2,'Costs Summary'!$B$212:$R$234,COLUMNS('Costs Summary'!$B$212:M$234)+1,0)</f>
        <v>1257.1078487325476</v>
      </c>
      <c r="N42" s="424">
        <f>VLOOKUP($A$2,'Costs Summary'!$B$212:$R$234,COLUMNS('Costs Summary'!$B$212:N$234)+1,0)</f>
        <v>962.4266803162734</v>
      </c>
      <c r="O42" s="424">
        <f>VLOOKUP($A$2,'Costs Summary'!$B$212:$R$234,COLUMNS('Costs Summary'!$B$212:O$234)+1,0)</f>
        <v>667.74551189999909</v>
      </c>
      <c r="P42" s="424">
        <f>VLOOKUP($A$2,'Costs Summary'!$B$212:$R$234,COLUMNS('Costs Summary'!$B$212:P$234)+1,0)</f>
        <v>667.7455119</v>
      </c>
      <c r="Q42" s="433">
        <f t="shared" si="12"/>
        <v>14260.782322755673</v>
      </c>
      <c r="R42" s="366"/>
      <c r="S42" s="357"/>
      <c r="T42" s="8"/>
      <c r="U42" s="8"/>
    </row>
    <row r="43" spans="1:21" s="7" customFormat="1" ht="17.25" customHeight="1" thickBot="1">
      <c r="A43" s="437" t="s">
        <v>338</v>
      </c>
      <c r="E43" s="368" t="s">
        <v>669</v>
      </c>
      <c r="F43" s="461">
        <f t="shared" ref="F43:P43" si="13">SUM(F39:F42)</f>
        <v>391855.84069999994</v>
      </c>
      <c r="G43" s="461">
        <f t="shared" si="13"/>
        <v>404574.14974485413</v>
      </c>
      <c r="H43" s="461">
        <f t="shared" si="13"/>
        <v>427328.61520002136</v>
      </c>
      <c r="I43" s="461">
        <f t="shared" si="13"/>
        <v>441365.5696384093</v>
      </c>
      <c r="J43" s="461">
        <f t="shared" si="13"/>
        <v>455894.72893270478</v>
      </c>
      <c r="K43" s="461">
        <f t="shared" si="13"/>
        <v>439150.32624421327</v>
      </c>
      <c r="L43" s="461">
        <f t="shared" si="13"/>
        <v>453602.92024355894</v>
      </c>
      <c r="M43" s="461">
        <f t="shared" si="13"/>
        <v>468561.39462799754</v>
      </c>
      <c r="N43" s="461">
        <f t="shared" si="13"/>
        <v>553144.33139492699</v>
      </c>
      <c r="O43" s="461">
        <f t="shared" si="13"/>
        <v>571608.97265347256</v>
      </c>
      <c r="P43" s="461">
        <f t="shared" si="13"/>
        <v>591014.08336786623</v>
      </c>
      <c r="Q43" s="462">
        <f t="shared" ref="Q43" si="14">SUM(Q39:Q42)</f>
        <v>4806245.0920480257</v>
      </c>
      <c r="R43" s="366"/>
      <c r="S43" s="357"/>
      <c r="T43" s="8"/>
      <c r="U43" s="8"/>
    </row>
    <row r="44" spans="1:21" s="7" customFormat="1" ht="17.25" customHeight="1" thickTop="1" thickBot="1">
      <c r="E44" s="368" t="s">
        <v>340</v>
      </c>
      <c r="F44" s="468">
        <f>F43/(VLOOKUP($A$2,'Asset Attributes'!$B$3:$D$25,3,0))</f>
        <v>13.799684487251724</v>
      </c>
      <c r="G44" s="468">
        <f>G43/(VLOOKUP($A$2,'Asset Attributes'!$B$3:$D$25,3,0))</f>
        <v>14.247575353741869</v>
      </c>
      <c r="H44" s="468">
        <f>H43/(VLOOKUP($A$2,'Asset Attributes'!$B$3:$D$25,3,0))</f>
        <v>15.048901788985116</v>
      </c>
      <c r="I44" s="468">
        <f>I43/(VLOOKUP($A$2,'Asset Attributes'!$B$3:$D$25,3,0))</f>
        <v>15.543230371827345</v>
      </c>
      <c r="J44" s="468">
        <f>J43/(VLOOKUP($A$2,'Asset Attributes'!$B$3:$D$25,3,0))</f>
        <v>16.054892552919593</v>
      </c>
      <c r="K44" s="468">
        <f>K43/(VLOOKUP($A$2,'Asset Attributes'!$B$3:$D$25,3,0))</f>
        <v>15.465217856184436</v>
      </c>
      <c r="L44" s="468">
        <f>L43/(VLOOKUP($A$2,'Asset Attributes'!$B$3:$D$25,3,0))</f>
        <v>15.974183696420585</v>
      </c>
      <c r="M44" s="468">
        <f>M43/(VLOOKUP($A$2,'Asset Attributes'!$B$3:$D$25,3,0))</f>
        <v>16.500964735455611</v>
      </c>
      <c r="N44" s="468">
        <f>N43/(VLOOKUP($A$2,'Asset Attributes'!$B$3:$D$25,3,0))</f>
        <v>19.479656690904598</v>
      </c>
      <c r="O44" s="468">
        <f>O43/(VLOOKUP($A$2,'Asset Attributes'!$B$3:$D$25,3,0))</f>
        <v>20.129911700713922</v>
      </c>
      <c r="P44" s="468">
        <f>P43/(VLOOKUP($A$2,'Asset Attributes'!$B$3:$D$25,3,0))</f>
        <v>20.813286496966693</v>
      </c>
      <c r="Q44" s="460">
        <f>Q43/(VLOOKUP($A$2,'Asset Attributes'!$B$3:$D$25,3,0))</f>
        <v>169.25782124411978</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1933.5549137278576</v>
      </c>
      <c r="H46" s="461">
        <f t="shared" si="15"/>
        <v>2033.106757078669</v>
      </c>
      <c r="I46" s="461">
        <f t="shared" si="15"/>
        <v>2137.0992375878268</v>
      </c>
      <c r="J46" s="461">
        <f t="shared" si="15"/>
        <v>2245.7164672351209</v>
      </c>
      <c r="K46" s="461">
        <f t="shared" si="15"/>
        <v>-29423.56207433145</v>
      </c>
      <c r="L46" s="461">
        <f t="shared" si="15"/>
        <v>-30417.508428340661</v>
      </c>
      <c r="M46" s="461">
        <f t="shared" si="15"/>
        <v>-31445.166555182426</v>
      </c>
      <c r="N46" s="461">
        <f t="shared" si="15"/>
        <v>-31436.384948576335</v>
      </c>
      <c r="O46" s="461">
        <f t="shared" si="15"/>
        <v>-32474.380991817452</v>
      </c>
      <c r="P46" s="461">
        <f t="shared" si="15"/>
        <v>-33547.091792093473</v>
      </c>
      <c r="Q46" s="462">
        <f>SUM(F46:P46)</f>
        <v>-180394.61741471232</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6.8092509991824826E-2</v>
      </c>
      <c r="H47" s="468">
        <f>H46/(VLOOKUP($A$2,'Asset Attributes'!$B$3:$D$25,3,0))</f>
        <v>7.1598350369019195E-2</v>
      </c>
      <c r="I47" s="468">
        <f>I46/(VLOOKUP($A$2,'Asset Attributes'!$B$3:$D$25,3,0))</f>
        <v>7.5260573235238298E-2</v>
      </c>
      <c r="J47" s="468">
        <f>J46/(VLOOKUP($A$2,'Asset Attributes'!$B$3:$D$25,3,0))</f>
        <v>7.9085662319873254E-2</v>
      </c>
      <c r="K47" s="468">
        <f>K46/(VLOOKUP($A$2,'Asset Attributes'!$B$3:$D$25,3,0))</f>
        <v>-1.0361868599215189</v>
      </c>
      <c r="L47" s="468">
        <f>L46/(VLOOKUP($A$2,'Asset Attributes'!$B$3:$D$25,3,0))</f>
        <v>-1.0711899009839647</v>
      </c>
      <c r="M47" s="468">
        <f>M46/(VLOOKUP($A$2,'Asset Attributes'!$B$3:$D$25,3,0))</f>
        <v>-1.1073801435125521</v>
      </c>
      <c r="N47" s="468">
        <f>N46/(VLOOKUP($A$2,'Asset Attributes'!$B$3:$D$25,3,0))</f>
        <v>-1.1070708884552871</v>
      </c>
      <c r="O47" s="468">
        <f>O46/(VLOOKUP($A$2,'Asset Attributes'!$B$3:$D$25,3,0))</f>
        <v>-1.1436251934010935</v>
      </c>
      <c r="P47" s="468">
        <f>P46/(VLOOKUP($A$2,'Asset Attributes'!$B$3:$D$25,3,0))</f>
        <v>-1.1814020211330283</v>
      </c>
      <c r="Q47" s="460">
        <f>Q46/(VLOOKUP($A$2,'Asset Attributes'!$B$3:$D$25,3,0))</f>
        <v>-6.3528179114914893</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598000</v>
      </c>
      <c r="H49" s="464">
        <f t="shared" si="16"/>
        <v>0</v>
      </c>
      <c r="I49" s="464">
        <f t="shared" si="16"/>
        <v>0</v>
      </c>
      <c r="J49" s="464">
        <f t="shared" si="16"/>
        <v>1518000</v>
      </c>
      <c r="K49" s="464">
        <f t="shared" si="16"/>
        <v>409200</v>
      </c>
      <c r="L49" s="464">
        <f t="shared" si="16"/>
        <v>0</v>
      </c>
      <c r="M49" s="464">
        <f t="shared" si="16"/>
        <v>388000</v>
      </c>
      <c r="N49" s="464">
        <f t="shared" si="16"/>
        <v>0</v>
      </c>
      <c r="O49" s="464">
        <f t="shared" si="16"/>
        <v>0</v>
      </c>
      <c r="P49" s="464">
        <f t="shared" si="16"/>
        <v>0</v>
      </c>
      <c r="Q49" s="465">
        <f>+SUM(F49:P49)</f>
        <v>2913200</v>
      </c>
      <c r="R49" s="366"/>
      <c r="S49" s="357"/>
      <c r="T49" s="8"/>
      <c r="U49" s="8"/>
      <c r="V49" s="8"/>
      <c r="W49" s="8"/>
      <c r="X49" s="8"/>
    </row>
    <row r="50" spans="1:24" s="7" customFormat="1" ht="17.25" customHeight="1">
      <c r="A50" s="9"/>
      <c r="B50" s="368"/>
      <c r="C50" s="2"/>
      <c r="D50" s="2"/>
      <c r="E50" s="459" t="s">
        <v>348</v>
      </c>
      <c r="F50" s="466">
        <f>F46</f>
        <v>0</v>
      </c>
      <c r="G50" s="466">
        <f t="shared" ref="G50:P50" si="17">G46</f>
        <v>1933.5549137278576</v>
      </c>
      <c r="H50" s="466">
        <f t="shared" si="17"/>
        <v>2033.106757078669</v>
      </c>
      <c r="I50" s="466">
        <f t="shared" si="17"/>
        <v>2137.0992375878268</v>
      </c>
      <c r="J50" s="466">
        <f t="shared" si="17"/>
        <v>2245.7164672351209</v>
      </c>
      <c r="K50" s="466">
        <f t="shared" si="17"/>
        <v>-29423.56207433145</v>
      </c>
      <c r="L50" s="466">
        <f t="shared" si="17"/>
        <v>-30417.508428340661</v>
      </c>
      <c r="M50" s="466">
        <f t="shared" si="17"/>
        <v>-31445.166555182426</v>
      </c>
      <c r="N50" s="466">
        <f t="shared" si="17"/>
        <v>-31436.384948576335</v>
      </c>
      <c r="O50" s="466">
        <f t="shared" si="17"/>
        <v>-32474.380991817452</v>
      </c>
      <c r="P50" s="466">
        <f t="shared" si="17"/>
        <v>-33547.091792093473</v>
      </c>
      <c r="Q50" s="467">
        <f>Q46</f>
        <v>-180394.61741471232</v>
      </c>
      <c r="R50" s="366"/>
      <c r="S50" s="357"/>
      <c r="T50" s="8"/>
      <c r="U50" s="8"/>
      <c r="V50" s="8"/>
      <c r="W50" s="8"/>
      <c r="X50" s="8"/>
    </row>
    <row r="51" spans="1:24" s="7" customFormat="1" ht="17.25" customHeight="1">
      <c r="A51" s="9"/>
      <c r="B51" s="368"/>
      <c r="C51" s="2"/>
      <c r="D51" s="2"/>
      <c r="E51" s="540" t="s">
        <v>670</v>
      </c>
      <c r="F51" s="541">
        <f>-1*F50</f>
        <v>0</v>
      </c>
      <c r="G51" s="541">
        <f t="shared" ref="G51:O51" si="18">-1*G50</f>
        <v>-1933.5549137278576</v>
      </c>
      <c r="H51" s="541">
        <f t="shared" si="18"/>
        <v>-2033.106757078669</v>
      </c>
      <c r="I51" s="541">
        <f t="shared" si="18"/>
        <v>-2137.0992375878268</v>
      </c>
      <c r="J51" s="541">
        <f t="shared" si="18"/>
        <v>-2245.7164672351209</v>
      </c>
      <c r="K51" s="541">
        <f t="shared" si="18"/>
        <v>29423.56207433145</v>
      </c>
      <c r="L51" s="541">
        <f t="shared" si="18"/>
        <v>30417.508428340661</v>
      </c>
      <c r="M51" s="541">
        <f t="shared" si="18"/>
        <v>31445.166555182426</v>
      </c>
      <c r="N51" s="541">
        <f t="shared" si="18"/>
        <v>31436.384948576335</v>
      </c>
      <c r="O51" s="541">
        <f t="shared" si="18"/>
        <v>32474.380991817452</v>
      </c>
      <c r="P51" s="541">
        <f>-1*P50</f>
        <v>33547.091792093473</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c r="W54" s="8"/>
      <c r="X54" s="8"/>
    </row>
    <row r="55" spans="1:24" s="7" customFormat="1" ht="33.75" customHeight="1" thickTop="1" thickBot="1">
      <c r="A55" s="184" t="s">
        <v>671</v>
      </c>
      <c r="B55" s="200"/>
      <c r="C55" s="200" t="s">
        <v>545</v>
      </c>
      <c r="D55" s="10"/>
      <c r="E55" s="441" t="s">
        <v>205</v>
      </c>
      <c r="F55" s="200" t="s">
        <v>188</v>
      </c>
      <c r="G55" s="200" t="str">
        <f>G67</f>
        <v>CURRENT</v>
      </c>
      <c r="H55" s="200" t="str">
        <f t="shared" ref="H55:P55" si="19">H67</f>
        <v>FY25</v>
      </c>
      <c r="I55" s="200" t="str">
        <f t="shared" si="19"/>
        <v>FY26</v>
      </c>
      <c r="J55" s="200" t="str">
        <f t="shared" si="19"/>
        <v>FY27</v>
      </c>
      <c r="K55" s="200" t="str">
        <f t="shared" si="19"/>
        <v>FY28</v>
      </c>
      <c r="L55" s="200" t="str">
        <f t="shared" si="19"/>
        <v>FY29</v>
      </c>
      <c r="M55" s="200" t="str">
        <f t="shared" si="19"/>
        <v>FY30</v>
      </c>
      <c r="N55" s="200" t="str">
        <f t="shared" si="19"/>
        <v>FY31</v>
      </c>
      <c r="O55" s="200" t="str">
        <f t="shared" si="19"/>
        <v>FY32</v>
      </c>
      <c r="P55" s="200" t="str">
        <f t="shared" si="19"/>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40 Mount Street</v>
      </c>
      <c r="F56" s="440">
        <f t="shared" ref="F56:P56" si="20">F272</f>
        <v>5.8216697801408248</v>
      </c>
      <c r="G56" s="440">
        <f t="shared" si="20"/>
        <v>5.8216697801408248</v>
      </c>
      <c r="H56" s="440">
        <f t="shared" si="20"/>
        <v>5.8107065289353068</v>
      </c>
      <c r="I56" s="440">
        <f t="shared" si="20"/>
        <v>5.8107065289353068</v>
      </c>
      <c r="J56" s="440">
        <f t="shared" si="20"/>
        <v>5.8107065289353068</v>
      </c>
      <c r="K56" s="440">
        <f t="shared" si="20"/>
        <v>5.8499647687555969</v>
      </c>
      <c r="L56" s="440">
        <f t="shared" si="20"/>
        <v>5.8761369286357903</v>
      </c>
      <c r="M56" s="440">
        <f t="shared" si="20"/>
        <v>5.8761369286357903</v>
      </c>
      <c r="N56" s="440">
        <f t="shared" si="20"/>
        <v>5.8662850006524447</v>
      </c>
      <c r="O56" s="440">
        <f t="shared" si="20"/>
        <v>5.8662850006524447</v>
      </c>
      <c r="P56" s="440">
        <f t="shared" si="20"/>
        <v>5.8662850006524447</v>
      </c>
      <c r="Q56" s="470">
        <f>IF(E56="",0,P56-F56)</f>
        <v>4.4615220511619924E-2</v>
      </c>
      <c r="R56" s="473" t="s">
        <v>358</v>
      </c>
      <c r="S56" s="478" t="s">
        <v>18</v>
      </c>
      <c r="T56" s="473" t="s">
        <v>358</v>
      </c>
      <c r="U56" s="478" t="s">
        <v>18</v>
      </c>
      <c r="V56" s="473" t="s">
        <v>358</v>
      </c>
      <c r="W56" s="479" t="str">
        <f>IF(W58=1,"Complete",IF(W60&lt;&gt;0,"Complete","Outstanding"))</f>
        <v>Complete</v>
      </c>
      <c r="X56" s="14"/>
    </row>
    <row r="57" spans="1:24" ht="25.5" customHeight="1">
      <c r="A57" s="438" t="s">
        <v>6</v>
      </c>
      <c r="C57" s="275" t="s">
        <v>118</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2203200</v>
      </c>
      <c r="T57" s="473" t="s">
        <v>669</v>
      </c>
      <c r="U57" s="479">
        <f>IF(U56="Underway","",S115)</f>
        <v>664000</v>
      </c>
      <c r="V57" s="473" t="s">
        <v>361</v>
      </c>
      <c r="W57" s="478" t="s">
        <v>680</v>
      </c>
      <c r="X57" s="14"/>
    </row>
    <row r="58" spans="1:24" ht="25.5" customHeight="1">
      <c r="A58" s="438" t="s">
        <v>363</v>
      </c>
      <c r="B58" s="14"/>
      <c r="C58" s="275" t="s">
        <v>364</v>
      </c>
      <c r="D58" s="160"/>
      <c r="E58" s="488" t="str">
        <f>IF(VLOOKUP($A$2,'Asset Attributes'!B3:G25,5,0)&gt;0.001,"IGO","")</f>
        <v/>
      </c>
      <c r="F58" s="439" t="str">
        <f>IF($E$58="IGO",SUMPRODUCT('Footprint Summary'!G153:G175,'Footprint Summary'!$C153:$C175,'Footprint Summary'!$E153:$E175)/SUMPRODUCT('Footprint Summary'!$C153:$C175,'Footprint Summary'!$E153:$E175),"")</f>
        <v/>
      </c>
      <c r="G58" s="439" t="str">
        <f>IF($E$58="IGO",SUMPRODUCT('Footprint Summary'!H153:H175,'Footprint Summary'!$C153:$C175,'Footprint Summary'!$E153:$E175)/SUMPRODUCT('Footprint Summary'!$C153:$C175,'Footprint Summary'!$E153:$E175),"")</f>
        <v/>
      </c>
      <c r="H58" s="439" t="str">
        <f>IF($E$58="IGO",SUMPRODUCT('Footprint Summary'!I153:I175,'Footprint Summary'!$C153:$C175,'Footprint Summary'!$E153:$E175)/SUMPRODUCT('Footprint Summary'!$C153:$C175,'Footprint Summary'!$E153:$E175),"")</f>
        <v/>
      </c>
      <c r="I58" s="439" t="str">
        <f>IF($E$58="IGO",SUMPRODUCT('Footprint Summary'!J153:J175,'Footprint Summary'!$C153:$C175,'Footprint Summary'!$E153:$E175)/SUMPRODUCT('Footprint Summary'!$C153:$C175,'Footprint Summary'!$E153:$E175),"")</f>
        <v/>
      </c>
      <c r="J58" s="439" t="str">
        <f>IF($E$58="IGO",SUMPRODUCT('Footprint Summary'!K153:K175,'Footprint Summary'!$C153:$C175,'Footprint Summary'!$E153:$E175)/SUMPRODUCT('Footprint Summary'!$C153:$C175,'Footprint Summary'!$E153:$E175),"")</f>
        <v/>
      </c>
      <c r="K58" s="439" t="str">
        <f>IF($E$58="IGO",SUMPRODUCT('Footprint Summary'!L153:L175,'Footprint Summary'!$C153:$C175,'Footprint Summary'!$E153:$E175)/SUMPRODUCT('Footprint Summary'!$C153:$C175,'Footprint Summary'!$E153:$E175),"")</f>
        <v/>
      </c>
      <c r="L58" s="439" t="str">
        <f>IF($E$58="IGO",SUMPRODUCT('Footprint Summary'!M153:M175,'Footprint Summary'!$C153:$C175,'Footprint Summary'!$E153:$E175)/SUMPRODUCT('Footprint Summary'!$C153:$C175,'Footprint Summary'!$E153:$E175),"")</f>
        <v/>
      </c>
      <c r="M58" s="439" t="str">
        <f>IF($E$58="IGO",SUMPRODUCT('Footprint Summary'!N153:N175,'Footprint Summary'!$C153:$C175,'Footprint Summary'!$E153:$E175)/SUMPRODUCT('Footprint Summary'!$C153:$C175,'Footprint Summary'!$E153:$E175),"")</f>
        <v/>
      </c>
      <c r="N58" s="439" t="str">
        <f>IF($E$58="IGO",SUMPRODUCT('Footprint Summary'!O153:O175,'Footprint Summary'!$C153:$C175,'Footprint Summary'!$E153:$E175)/SUMPRODUCT('Footprint Summary'!$C153:$C175,'Footprint Summary'!$E153:$E175),"")</f>
        <v/>
      </c>
      <c r="O58" s="439" t="str">
        <f>IF($E$58="IGO",SUMPRODUCT('Footprint Summary'!P153:P175,'Footprint Summary'!$C153:$C175,'Footprint Summary'!$E153:$E175)/SUMPRODUCT('Footprint Summary'!$C153:$C175,'Footprint Summary'!$E153:$E175),"")</f>
        <v/>
      </c>
      <c r="P58" s="439" t="str">
        <f>IF($E$58="IGO",SUMPRODUCT('Footprint Summary'!Q153:Q175,'Footprint Summary'!$C153:$C175,'Footprint Summary'!$E153:$E175)/SUMPRODUCT('Footprint Summary'!$C153:$C175,'Footprint Summary'!$E153:$E175),"")</f>
        <v/>
      </c>
      <c r="Q58" s="471" t="str">
        <f>IF(E58="","",P58-G58)</f>
        <v/>
      </c>
      <c r="R58" s="482" t="s">
        <v>366</v>
      </c>
      <c r="S58" s="479">
        <f>IF(S56="Underway","",-1*(1000*AL214*D6+AM214*D8))</f>
        <v>14364.352707095524</v>
      </c>
      <c r="T58" s="473" t="s">
        <v>367</v>
      </c>
      <c r="U58" s="478">
        <f>IF(U56="Underway","",-1*S64)</f>
        <v>0.13021778584392016</v>
      </c>
      <c r="V58" s="473" t="s">
        <v>368</v>
      </c>
      <c r="W58" s="478">
        <v>1</v>
      </c>
      <c r="X58" s="14"/>
    </row>
    <row r="59" spans="1:24" ht="25.5" customHeight="1">
      <c r="A59" s="438" t="s">
        <v>369</v>
      </c>
      <c r="B59" s="14"/>
      <c r="C59" s="443">
        <v>2060</v>
      </c>
      <c r="D59" s="161"/>
      <c r="R59" s="473" t="s">
        <v>370</v>
      </c>
      <c r="S59" s="480">
        <f>V115</f>
        <v>6.5743753522337521E-3</v>
      </c>
      <c r="T59" s="473" t="s">
        <v>371</v>
      </c>
      <c r="U59" s="483" t="e">
        <f ca="1">IF(U56="Underway","",_xlfn.MAXIFS(E69:E88,S69:S88,"Yes"))</f>
        <v>#NAME?</v>
      </c>
      <c r="V59" s="482" t="s">
        <v>372</v>
      </c>
      <c r="W59" s="479">
        <f>T115</f>
        <v>0</v>
      </c>
      <c r="X59" s="14"/>
    </row>
    <row r="60" spans="1:24" ht="25.5" customHeight="1">
      <c r="A60" s="438" t="s">
        <v>373</v>
      </c>
      <c r="B60" s="14"/>
      <c r="C60" s="275">
        <v>24152</v>
      </c>
      <c r="D60" s="160"/>
      <c r="Q60" s="10"/>
      <c r="R60" s="473" t="s">
        <v>374</v>
      </c>
      <c r="S60" s="481">
        <f>IF(S56="Underway","",U115)</f>
        <v>7.7892109418776431E-2</v>
      </c>
      <c r="T60" s="10"/>
      <c r="U60" s="10"/>
      <c r="V60" s="473" t="s">
        <v>375</v>
      </c>
      <c r="W60" s="483" t="str">
        <f>IF(IF(W58=1,"Complete",_xlfn.MAXIFS(E69:E114,T69:T114,"Yes"))=0,"",IF(W58=1,"Complete",_xlfn.MAXIFS(E69:E114,T69:T114,"Yes")))</f>
        <v>Complete</v>
      </c>
      <c r="X60" s="14"/>
    </row>
    <row r="61" spans="1:24" ht="25.5" customHeight="1">
      <c r="A61" s="438" t="s">
        <v>376</v>
      </c>
      <c r="B61" s="14"/>
      <c r="C61" s="444">
        <v>52.9</v>
      </c>
      <c r="D61" s="162"/>
      <c r="H61" s="13"/>
      <c r="J61" s="14"/>
      <c r="K61" s="14"/>
      <c r="L61" s="14"/>
      <c r="M61" s="10"/>
      <c r="N61" s="10"/>
      <c r="O61" s="10"/>
      <c r="P61" s="10"/>
      <c r="Q61" s="10"/>
      <c r="R61" s="482" t="s">
        <v>377</v>
      </c>
      <c r="S61" s="481">
        <f>P272</f>
        <v>5.8662850006524447</v>
      </c>
      <c r="T61" s="10"/>
      <c r="U61" s="10"/>
      <c r="V61" s="473" t="s">
        <v>378</v>
      </c>
      <c r="W61" s="478">
        <v>1</v>
      </c>
      <c r="X61" s="14"/>
    </row>
    <row r="62" spans="1:24" ht="25.5" customHeight="1">
      <c r="A62" s="438" t="s">
        <v>379</v>
      </c>
      <c r="B62" s="14"/>
      <c r="C62" s="275">
        <v>1211</v>
      </c>
      <c r="H62" s="13"/>
      <c r="J62" s="14"/>
      <c r="K62" s="14"/>
      <c r="L62" s="347"/>
      <c r="M62" s="10"/>
      <c r="N62" s="10"/>
      <c r="O62" s="10"/>
      <c r="P62" s="10"/>
      <c r="Q62" s="10"/>
      <c r="R62" s="482" t="s">
        <v>380</v>
      </c>
      <c r="S62" s="481">
        <f>Q272</f>
        <v>5.8662850006524447</v>
      </c>
      <c r="T62" s="496" t="s">
        <v>381</v>
      </c>
      <c r="U62" s="10"/>
      <c r="V62" s="10"/>
      <c r="W62" s="14"/>
      <c r="X62" s="14"/>
    </row>
    <row r="63" spans="1:24" ht="25.5" customHeight="1">
      <c r="A63" s="438" t="s">
        <v>382</v>
      </c>
      <c r="B63" s="14"/>
      <c r="C63" s="275">
        <v>2204</v>
      </c>
      <c r="D63" s="12" t="s">
        <v>876</v>
      </c>
      <c r="H63" s="13"/>
      <c r="J63" s="14"/>
      <c r="K63" s="14"/>
      <c r="L63" s="10"/>
      <c r="M63" s="10"/>
      <c r="N63" s="10"/>
      <c r="O63" s="10"/>
      <c r="P63" s="10"/>
      <c r="Q63" s="10"/>
      <c r="R63" s="476" t="s">
        <v>383</v>
      </c>
      <c r="S63" s="478">
        <f>C115/C62</f>
        <v>-4.1288191577208921E-2</v>
      </c>
      <c r="T63" s="496" t="s">
        <v>384</v>
      </c>
      <c r="U63" s="10"/>
      <c r="V63" s="10"/>
      <c r="W63" s="14"/>
      <c r="X63" s="14"/>
    </row>
    <row r="64" spans="1:24" ht="25.5" customHeight="1">
      <c r="A64" s="446" t="s">
        <v>385</v>
      </c>
      <c r="B64" s="447"/>
      <c r="C64" s="445">
        <v>41</v>
      </c>
      <c r="D64" s="495">
        <f>(AJ215-C64)/C64</f>
        <v>-3.7863087748824679E-2</v>
      </c>
      <c r="H64" s="13"/>
      <c r="J64" s="14"/>
      <c r="K64" s="14"/>
      <c r="L64" s="10"/>
      <c r="M64" s="10"/>
      <c r="N64" s="10"/>
      <c r="O64" s="10"/>
      <c r="P64" s="10"/>
      <c r="Q64" s="10"/>
      <c r="R64" s="476" t="s">
        <v>386</v>
      </c>
      <c r="S64" s="478">
        <f>D115/C63</f>
        <v>-0.13021778584392016</v>
      </c>
      <c r="T64" s="10"/>
      <c r="U64" s="14"/>
      <c r="V64" s="10"/>
      <c r="W64" s="14"/>
      <c r="X64" s="14"/>
    </row>
    <row r="65" spans="1:24" ht="25.5" customHeight="1">
      <c r="B65" s="487" t="s">
        <v>387</v>
      </c>
      <c r="C65" s="489">
        <f>Z216</f>
        <v>5.8216697801408248</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1">DATE(YEAR(H66)+1,MONTH(H66),DAY(H66))</f>
        <v>46203</v>
      </c>
      <c r="J66" s="416">
        <f t="shared" si="21"/>
        <v>46568</v>
      </c>
      <c r="K66" s="416">
        <f t="shared" si="21"/>
        <v>46934</v>
      </c>
      <c r="L66" s="416">
        <f t="shared" si="21"/>
        <v>47299</v>
      </c>
      <c r="M66" s="416">
        <f t="shared" si="21"/>
        <v>47664</v>
      </c>
      <c r="N66" s="416">
        <f t="shared" si="21"/>
        <v>48029</v>
      </c>
      <c r="O66" s="416">
        <f t="shared" si="21"/>
        <v>48395</v>
      </c>
      <c r="P66" s="416">
        <f t="shared" si="21"/>
        <v>48760</v>
      </c>
      <c r="Q66" s="416">
        <f t="shared" si="21"/>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730</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77" si="22">IF($E69&gt;H$66,0,IF($E69&gt;H$66-365,$F69,0))</f>
        <v>0</v>
      </c>
      <c r="I69" s="404">
        <f t="shared" si="22"/>
        <v>0</v>
      </c>
      <c r="J69" s="404">
        <f t="shared" si="22"/>
        <v>0</v>
      </c>
      <c r="K69" s="404">
        <f t="shared" si="22"/>
        <v>0</v>
      </c>
      <c r="L69" s="404">
        <f t="shared" si="22"/>
        <v>0</v>
      </c>
      <c r="M69" s="404">
        <f t="shared" si="22"/>
        <v>0</v>
      </c>
      <c r="N69" s="404">
        <f t="shared" si="22"/>
        <v>0</v>
      </c>
      <c r="O69" s="404">
        <f t="shared" si="22"/>
        <v>0</v>
      </c>
      <c r="P69" s="404">
        <f t="shared" si="22"/>
        <v>0</v>
      </c>
      <c r="Q69" s="448">
        <f t="shared" si="22"/>
        <v>0</v>
      </c>
      <c r="R69" s="379"/>
      <c r="S69" s="379"/>
      <c r="T69" s="380"/>
      <c r="U69" s="411" t="str">
        <f>IF(-0.75*((C69/(VLOOKUP($A$2,Assumptions!$B$124:$G$147,2,0)))+D69/(VLOOKUP($A$2,Assumptions!$B$124:$G$147,5,0)))=0,"",-0.75*((C69/(VLOOKUP($A$2,Assumptions!$B$124:$G$147,2,0)))+D69/(VLOOKUP($A$2,Assumptions!$B$124:$G$147,5,0))))</f>
        <v/>
      </c>
      <c r="V69" s="412" t="str">
        <f t="shared" ref="V69:V88" si="23">IF(ISERROR(((-1*C69*1000*$D$6)+(-1*D69*$D$8))/F69),"",((-1*C69*1000*$D$6)+(-1*D69*$D$8))/F69)</f>
        <v/>
      </c>
      <c r="W69" s="450"/>
      <c r="X69" s="506"/>
    </row>
    <row r="70" spans="1:24" ht="15">
      <c r="A70" s="373" t="s">
        <v>546</v>
      </c>
      <c r="B70" s="374" t="s">
        <v>877</v>
      </c>
      <c r="C70" s="381"/>
      <c r="D70" s="381"/>
      <c r="E70" s="377"/>
      <c r="F70" s="378"/>
      <c r="G70" s="403">
        <f t="shared" ref="G70:G77" si="24">IF($E70&lt;G$66,$F70,0)</f>
        <v>0</v>
      </c>
      <c r="H70" s="404">
        <f t="shared" si="22"/>
        <v>0</v>
      </c>
      <c r="I70" s="404">
        <f t="shared" si="22"/>
        <v>0</v>
      </c>
      <c r="J70" s="405">
        <f t="shared" si="22"/>
        <v>0</v>
      </c>
      <c r="K70" s="405">
        <f t="shared" si="22"/>
        <v>0</v>
      </c>
      <c r="L70" s="405">
        <f t="shared" si="22"/>
        <v>0</v>
      </c>
      <c r="M70" s="405">
        <f t="shared" si="22"/>
        <v>0</v>
      </c>
      <c r="N70" s="405">
        <f t="shared" si="22"/>
        <v>0</v>
      </c>
      <c r="O70" s="405">
        <f t="shared" si="22"/>
        <v>0</v>
      </c>
      <c r="P70" s="406">
        <f t="shared" si="22"/>
        <v>0</v>
      </c>
      <c r="Q70" s="448">
        <f t="shared" si="22"/>
        <v>0</v>
      </c>
      <c r="R70" s="379" t="s">
        <v>32</v>
      </c>
      <c r="S70" s="379" t="s">
        <v>32</v>
      </c>
      <c r="T70" s="382"/>
      <c r="U70" s="413"/>
      <c r="V70" s="414" t="str">
        <f t="shared" si="23"/>
        <v/>
      </c>
      <c r="W70" s="451"/>
      <c r="X70" s="507"/>
    </row>
    <row r="71" spans="1:24" ht="15">
      <c r="A71" s="373" t="s">
        <v>546</v>
      </c>
      <c r="B71" s="374" t="s">
        <v>547</v>
      </c>
      <c r="C71" s="383">
        <v>30</v>
      </c>
      <c r="D71" s="383">
        <v>-209</v>
      </c>
      <c r="E71" s="377">
        <v>45382</v>
      </c>
      <c r="F71" s="384">
        <v>552000</v>
      </c>
      <c r="G71" s="403">
        <f t="shared" si="24"/>
        <v>552000</v>
      </c>
      <c r="H71" s="404">
        <f t="shared" si="22"/>
        <v>0</v>
      </c>
      <c r="I71" s="405">
        <f t="shared" si="22"/>
        <v>0</v>
      </c>
      <c r="J71" s="405">
        <f t="shared" si="22"/>
        <v>0</v>
      </c>
      <c r="K71" s="405">
        <f t="shared" si="22"/>
        <v>0</v>
      </c>
      <c r="L71" s="405">
        <f t="shared" si="22"/>
        <v>0</v>
      </c>
      <c r="M71" s="405">
        <f t="shared" si="22"/>
        <v>0</v>
      </c>
      <c r="N71" s="405">
        <f t="shared" si="22"/>
        <v>0</v>
      </c>
      <c r="O71" s="405">
        <f t="shared" si="22"/>
        <v>0</v>
      </c>
      <c r="P71" s="406">
        <f t="shared" si="22"/>
        <v>0</v>
      </c>
      <c r="Q71" s="448">
        <f t="shared" si="22"/>
        <v>0</v>
      </c>
      <c r="R71" s="379" t="s">
        <v>32</v>
      </c>
      <c r="S71" s="379" t="s">
        <v>32</v>
      </c>
      <c r="T71" s="382"/>
      <c r="U71" s="413">
        <f>IF(-0.75*((C71/(VLOOKUP($A$2,Assumptions!$B$124:$G$147,2,0)))+D71/(VLOOKUP($A$2,Assumptions!$B$124:$G$147,5,0)))=0,"",-0.75*((C71/(VLOOKUP($A$2,Assumptions!$B$124:$G$147,2,0)))+D71/(VLOOKUP($A$2,Assumptions!$B$124:$G$147,5,0))))</f>
        <v>1.4224222621655257E-2</v>
      </c>
      <c r="V71" s="414">
        <f t="shared" si="23"/>
        <v>-3.6553994320756892E-4</v>
      </c>
      <c r="W71" s="451"/>
      <c r="X71" s="507" t="s">
        <v>32</v>
      </c>
    </row>
    <row r="72" spans="1:24" ht="15">
      <c r="A72" s="373" t="s">
        <v>546</v>
      </c>
      <c r="B72" s="374" t="s">
        <v>548</v>
      </c>
      <c r="C72" s="375">
        <v>0</v>
      </c>
      <c r="D72" s="375">
        <v>0</v>
      </c>
      <c r="E72" s="377">
        <v>45382</v>
      </c>
      <c r="F72" s="378">
        <v>46000</v>
      </c>
      <c r="G72" s="403">
        <f t="shared" si="24"/>
        <v>46000</v>
      </c>
      <c r="H72" s="404">
        <f t="shared" si="22"/>
        <v>0</v>
      </c>
      <c r="I72" s="405">
        <f t="shared" si="22"/>
        <v>0</v>
      </c>
      <c r="J72" s="405">
        <f t="shared" si="22"/>
        <v>0</v>
      </c>
      <c r="K72" s="405">
        <f t="shared" si="22"/>
        <v>0</v>
      </c>
      <c r="L72" s="405">
        <f t="shared" si="22"/>
        <v>0</v>
      </c>
      <c r="M72" s="405">
        <f t="shared" si="22"/>
        <v>0</v>
      </c>
      <c r="N72" s="405">
        <f t="shared" si="22"/>
        <v>0</v>
      </c>
      <c r="O72" s="405">
        <f t="shared" si="22"/>
        <v>0</v>
      </c>
      <c r="P72" s="406">
        <f t="shared" si="22"/>
        <v>0</v>
      </c>
      <c r="Q72" s="448">
        <f t="shared" si="22"/>
        <v>0</v>
      </c>
      <c r="R72" s="379"/>
      <c r="S72" s="379"/>
      <c r="T72" s="382"/>
      <c r="U72" s="413" t="str">
        <f>IF(-0.75*((C72/(VLOOKUP($A$2,Assumptions!$B$124:$G$147,2,0)))+D72/(VLOOKUP($A$2,Assumptions!$B$124:$G$147,5,0)))=0,"",-0.75*((C72/(VLOOKUP($A$2,Assumptions!$B$124:$G$147,2,0)))+D72/(VLOOKUP($A$2,Assumptions!$B$124:$G$147,5,0))))</f>
        <v/>
      </c>
      <c r="V72" s="414">
        <f t="shared" si="23"/>
        <v>0</v>
      </c>
      <c r="W72" s="451"/>
      <c r="X72" s="507"/>
    </row>
    <row r="73" spans="1:24" ht="15">
      <c r="A73" s="373" t="s">
        <v>878</v>
      </c>
      <c r="B73" s="374" t="s">
        <v>550</v>
      </c>
      <c r="C73" s="381">
        <v>-60</v>
      </c>
      <c r="D73" s="381"/>
      <c r="E73" s="377">
        <v>46477</v>
      </c>
      <c r="F73" s="378">
        <v>1518000</v>
      </c>
      <c r="G73" s="403">
        <f t="shared" si="24"/>
        <v>0</v>
      </c>
      <c r="H73" s="404">
        <f t="shared" si="22"/>
        <v>0</v>
      </c>
      <c r="I73" s="405">
        <f t="shared" si="22"/>
        <v>0</v>
      </c>
      <c r="J73" s="405">
        <f t="shared" si="22"/>
        <v>1518000</v>
      </c>
      <c r="K73" s="405">
        <f t="shared" si="22"/>
        <v>0</v>
      </c>
      <c r="L73" s="405">
        <f t="shared" si="22"/>
        <v>0</v>
      </c>
      <c r="M73" s="405">
        <f t="shared" si="22"/>
        <v>0</v>
      </c>
      <c r="N73" s="405">
        <f t="shared" si="22"/>
        <v>0</v>
      </c>
      <c r="O73" s="405">
        <f t="shared" si="22"/>
        <v>0</v>
      </c>
      <c r="P73" s="406">
        <f t="shared" si="22"/>
        <v>0</v>
      </c>
      <c r="Q73" s="448">
        <f t="shared" si="22"/>
        <v>0</v>
      </c>
      <c r="R73" s="379" t="s">
        <v>32</v>
      </c>
      <c r="S73" s="379"/>
      <c r="T73" s="382"/>
      <c r="U73" s="413">
        <f>IF(-0.75*((C73/(VLOOKUP($A$2,Assumptions!$B$124:$G$147,2,0)))+D73/(VLOOKUP($A$2,Assumptions!$B$124:$G$147,5,0)))=0,"",-0.75*((C73/(VLOOKUP($A$2,Assumptions!$B$124:$G$147,2,0)))+D73/(VLOOKUP($A$2,Assumptions!$B$124:$G$147,5,0))))</f>
        <v>3.839590443686007E-2</v>
      </c>
      <c r="V73" s="414">
        <f t="shared" si="23"/>
        <v>8.4210390065765604E-3</v>
      </c>
      <c r="W73" s="451"/>
      <c r="X73" s="507" t="s">
        <v>32</v>
      </c>
    </row>
    <row r="74" spans="1:24" ht="15">
      <c r="A74" s="373" t="s">
        <v>879</v>
      </c>
      <c r="B74" s="374" t="s">
        <v>551</v>
      </c>
      <c r="C74" s="375">
        <v>20</v>
      </c>
      <c r="D74" s="375">
        <v>-78</v>
      </c>
      <c r="E74" s="377">
        <v>47573</v>
      </c>
      <c r="F74" s="378">
        <v>388000</v>
      </c>
      <c r="G74" s="403">
        <f t="shared" si="24"/>
        <v>0</v>
      </c>
      <c r="H74" s="404">
        <f t="shared" si="22"/>
        <v>0</v>
      </c>
      <c r="I74" s="405">
        <f t="shared" si="22"/>
        <v>0</v>
      </c>
      <c r="J74" s="405">
        <f t="shared" si="22"/>
        <v>0</v>
      </c>
      <c r="K74" s="405">
        <f t="shared" si="22"/>
        <v>0</v>
      </c>
      <c r="L74" s="405">
        <f t="shared" si="22"/>
        <v>0</v>
      </c>
      <c r="M74" s="405">
        <f t="shared" si="22"/>
        <v>388000</v>
      </c>
      <c r="N74" s="405">
        <f t="shared" si="22"/>
        <v>0</v>
      </c>
      <c r="O74" s="405">
        <f t="shared" si="22"/>
        <v>0</v>
      </c>
      <c r="P74" s="406">
        <f t="shared" si="22"/>
        <v>0</v>
      </c>
      <c r="Q74" s="448">
        <f t="shared" si="22"/>
        <v>0</v>
      </c>
      <c r="R74" s="379"/>
      <c r="S74" s="379" t="s">
        <v>32</v>
      </c>
      <c r="T74" s="382"/>
      <c r="U74" s="413">
        <f>IF(-0.75*((C74/(VLOOKUP($A$2,Assumptions!$B$124:$G$147,2,0)))+D74/(VLOOKUP($A$2,Assumptions!$B$124:$G$147,5,0)))=0,"",-0.75*((C74/(VLOOKUP($A$2,Assumptions!$B$124:$G$147,2,0)))+D74/(VLOOKUP($A$2,Assumptions!$B$124:$G$147,5,0))))</f>
        <v>-3.2528726431227568E-4</v>
      </c>
      <c r="V74" s="414">
        <f t="shared" si="23"/>
        <v>-5.0282999017029692E-3</v>
      </c>
      <c r="W74" s="451"/>
      <c r="X74" s="507" t="s">
        <v>32</v>
      </c>
    </row>
    <row r="75" spans="1:24" ht="15">
      <c r="A75" s="373" t="s">
        <v>880</v>
      </c>
      <c r="B75" s="374" t="s">
        <v>553</v>
      </c>
      <c r="C75" s="375">
        <v>-40</v>
      </c>
      <c r="D75" s="375"/>
      <c r="E75" s="377">
        <v>46843</v>
      </c>
      <c r="F75" s="378">
        <v>409200</v>
      </c>
      <c r="G75" s="403">
        <f t="shared" si="24"/>
        <v>0</v>
      </c>
      <c r="H75" s="404">
        <f t="shared" si="22"/>
        <v>0</v>
      </c>
      <c r="I75" s="405">
        <f t="shared" si="22"/>
        <v>0</v>
      </c>
      <c r="J75" s="405">
        <f t="shared" si="22"/>
        <v>0</v>
      </c>
      <c r="K75" s="405">
        <f t="shared" si="22"/>
        <v>409200</v>
      </c>
      <c r="L75" s="405">
        <f t="shared" si="22"/>
        <v>0</v>
      </c>
      <c r="M75" s="405">
        <f t="shared" si="22"/>
        <v>0</v>
      </c>
      <c r="N75" s="405">
        <f t="shared" si="22"/>
        <v>0</v>
      </c>
      <c r="O75" s="405">
        <f t="shared" si="22"/>
        <v>0</v>
      </c>
      <c r="P75" s="406">
        <f t="shared" si="22"/>
        <v>0</v>
      </c>
      <c r="Q75" s="448">
        <f t="shared" si="22"/>
        <v>0</v>
      </c>
      <c r="R75" s="379" t="s">
        <v>32</v>
      </c>
      <c r="S75" s="379"/>
      <c r="T75" s="382"/>
      <c r="U75" s="413">
        <f>IF(-0.75*((C75/(VLOOKUP($A$2,Assumptions!$B$124:$G$147,2,0)))+D75/(VLOOKUP($A$2,Assumptions!$B$124:$G$147,5,0)))=0,"",-0.75*((C75/(VLOOKUP($A$2,Assumptions!$B$124:$G$147,2,0)))+D75/(VLOOKUP($A$2,Assumptions!$B$124:$G$147,5,0))))</f>
        <v>2.5597269624573378E-2</v>
      </c>
      <c r="V75" s="414">
        <f t="shared" si="23"/>
        <v>2.0826225500135579E-2</v>
      </c>
      <c r="W75" s="451"/>
      <c r="X75" s="507"/>
    </row>
    <row r="76" spans="1:24" ht="15">
      <c r="A76" s="373" t="s">
        <v>881</v>
      </c>
      <c r="B76" s="374" t="s">
        <v>882</v>
      </c>
      <c r="C76" s="375">
        <v>0</v>
      </c>
      <c r="D76" s="375"/>
      <c r="E76" s="377">
        <v>47938</v>
      </c>
      <c r="F76" s="378">
        <v>0</v>
      </c>
      <c r="G76" s="403">
        <f t="shared" si="24"/>
        <v>0</v>
      </c>
      <c r="H76" s="404">
        <f t="shared" si="22"/>
        <v>0</v>
      </c>
      <c r="I76" s="405">
        <f t="shared" si="22"/>
        <v>0</v>
      </c>
      <c r="J76" s="405">
        <f t="shared" si="22"/>
        <v>0</v>
      </c>
      <c r="K76" s="405">
        <f t="shared" si="22"/>
        <v>0</v>
      </c>
      <c r="L76" s="405">
        <f t="shared" si="22"/>
        <v>0</v>
      </c>
      <c r="M76" s="405">
        <f t="shared" si="22"/>
        <v>0</v>
      </c>
      <c r="N76" s="405">
        <f t="shared" si="22"/>
        <v>0</v>
      </c>
      <c r="O76" s="405">
        <f t="shared" si="22"/>
        <v>0</v>
      </c>
      <c r="P76" s="406">
        <f t="shared" si="22"/>
        <v>0</v>
      </c>
      <c r="Q76" s="448">
        <f t="shared" si="22"/>
        <v>0</v>
      </c>
      <c r="R76" s="379"/>
      <c r="S76" s="379"/>
      <c r="T76" s="382"/>
      <c r="U76" s="413" t="str">
        <f>IF(-0.75*((C76/(VLOOKUP($A$2,Assumptions!$B$124:$G$147,2,0)))+D76/(VLOOKUP($A$2,Assumptions!$B$124:$G$147,5,0)))=0,"",-0.75*((C76/(VLOOKUP($A$2,Assumptions!$B$124:$G$147,2,0)))+D76/(VLOOKUP($A$2,Assumptions!$B$124:$G$147,5,0))))</f>
        <v/>
      </c>
      <c r="V76" s="414" t="str">
        <f t="shared" si="23"/>
        <v/>
      </c>
      <c r="W76" s="451"/>
      <c r="X76" s="507"/>
    </row>
    <row r="77" spans="1:24" ht="15">
      <c r="A77" s="373" t="s">
        <v>881</v>
      </c>
      <c r="B77" s="374" t="s">
        <v>613</v>
      </c>
      <c r="C77" s="375">
        <v>0</v>
      </c>
      <c r="D77" s="375"/>
      <c r="E77" s="377">
        <v>48304</v>
      </c>
      <c r="F77" s="378">
        <v>0</v>
      </c>
      <c r="G77" s="403">
        <f t="shared" si="24"/>
        <v>0</v>
      </c>
      <c r="H77" s="404">
        <f t="shared" si="22"/>
        <v>0</v>
      </c>
      <c r="I77" s="405">
        <f t="shared" si="22"/>
        <v>0</v>
      </c>
      <c r="J77" s="405">
        <f t="shared" si="22"/>
        <v>0</v>
      </c>
      <c r="K77" s="405">
        <f t="shared" si="22"/>
        <v>0</v>
      </c>
      <c r="L77" s="405">
        <f t="shared" si="22"/>
        <v>0</v>
      </c>
      <c r="M77" s="405">
        <f t="shared" si="22"/>
        <v>0</v>
      </c>
      <c r="N77" s="405">
        <f t="shared" si="22"/>
        <v>0</v>
      </c>
      <c r="O77" s="405">
        <f t="shared" si="22"/>
        <v>0</v>
      </c>
      <c r="P77" s="406">
        <f t="shared" si="22"/>
        <v>0</v>
      </c>
      <c r="Q77" s="448">
        <f t="shared" si="22"/>
        <v>0</v>
      </c>
      <c r="R77" s="379"/>
      <c r="S77" s="379"/>
      <c r="T77" s="385"/>
      <c r="U77" s="413" t="str">
        <f>IF(-0.75*((C77/(VLOOKUP($A$2,Assumptions!$B$124:$G$147,2,0)))+D77/(VLOOKUP($A$2,Assumptions!$B$124:$G$147,5,0)))=0,"",-0.75*((C77/(VLOOKUP($A$2,Assumptions!$B$124:$G$147,2,0)))+D77/(VLOOKUP($A$2,Assumptions!$B$124:$G$147,5,0))))</f>
        <v/>
      </c>
      <c r="V77" s="414" t="str">
        <f t="shared" si="23"/>
        <v/>
      </c>
      <c r="W77" s="451"/>
      <c r="X77" s="507"/>
    </row>
    <row r="78" spans="1:24" ht="15">
      <c r="A78" s="373"/>
      <c r="B78" s="374"/>
      <c r="C78" s="375"/>
      <c r="D78" s="375"/>
      <c r="E78" s="377"/>
      <c r="F78" s="378"/>
      <c r="G78" s="403"/>
      <c r="H78" s="404"/>
      <c r="I78" s="405"/>
      <c r="J78" s="405"/>
      <c r="K78" s="405"/>
      <c r="L78" s="405"/>
      <c r="M78" s="405"/>
      <c r="N78" s="405"/>
      <c r="O78" s="405"/>
      <c r="P78" s="406"/>
      <c r="Q78" s="448"/>
      <c r="R78" s="379"/>
      <c r="S78" s="386"/>
      <c r="T78" s="387"/>
      <c r="U78" s="413" t="str">
        <f>IF(-0.75*((C78/(VLOOKUP($A$2,Assumptions!$B$124:$G$147,2,0)))+D78/(VLOOKUP($A$2,Assumptions!$B$124:$G$147,5,0)))=0,"",-0.75*((C78/(VLOOKUP($A$2,Assumptions!$B$124:$G$147,2,0)))+D78/(VLOOKUP($A$2,Assumptions!$B$124:$G$147,5,0))))</f>
        <v/>
      </c>
      <c r="V78" s="414" t="str">
        <f t="shared" si="23"/>
        <v/>
      </c>
      <c r="W78" s="451"/>
      <c r="X78" s="507"/>
    </row>
    <row r="79" spans="1:24" ht="15">
      <c r="A79" s="373"/>
      <c r="B79" s="374"/>
      <c r="C79" s="375"/>
      <c r="D79" s="375"/>
      <c r="E79" s="377"/>
      <c r="F79" s="378"/>
      <c r="G79" s="403"/>
      <c r="H79" s="404"/>
      <c r="I79" s="405"/>
      <c r="J79" s="405"/>
      <c r="K79" s="405"/>
      <c r="L79" s="405"/>
      <c r="M79" s="405"/>
      <c r="N79" s="405"/>
      <c r="O79" s="405"/>
      <c r="P79" s="406"/>
      <c r="Q79" s="448"/>
      <c r="R79" s="379"/>
      <c r="S79" s="386"/>
      <c r="T79" s="387"/>
      <c r="U79" s="413" t="str">
        <f>IF(-0.75*((C79/(VLOOKUP($A$2,Assumptions!$B$124:$G$147,2,0)))+D79/(VLOOKUP($A$2,Assumptions!$B$124:$G$147,5,0)))=0,"",-0.75*((C79/(VLOOKUP($A$2,Assumptions!$B$124:$G$147,2,0)))+D79/(VLOOKUP($A$2,Assumptions!$B$124:$G$147,5,0))))</f>
        <v/>
      </c>
      <c r="V79" s="414" t="str">
        <f t="shared" si="23"/>
        <v/>
      </c>
      <c r="W79" s="451"/>
      <c r="X79" s="507"/>
    </row>
    <row r="80" spans="1:24" ht="15">
      <c r="A80" s="373"/>
      <c r="B80" s="374"/>
      <c r="C80" s="375"/>
      <c r="D80" s="375"/>
      <c r="E80" s="377"/>
      <c r="F80" s="378"/>
      <c r="G80" s="403"/>
      <c r="H80" s="404"/>
      <c r="I80" s="405"/>
      <c r="J80" s="405"/>
      <c r="K80" s="405"/>
      <c r="L80" s="405"/>
      <c r="M80" s="405"/>
      <c r="N80" s="405"/>
      <c r="O80" s="405"/>
      <c r="P80" s="406"/>
      <c r="Q80" s="448"/>
      <c r="R80" s="379"/>
      <c r="S80" s="386"/>
      <c r="T80" s="387"/>
      <c r="U80" s="413" t="str">
        <f>IF(-0.75*((C80/(VLOOKUP($A$2,Assumptions!$B$124:$G$147,2,0)))+D80/(VLOOKUP($A$2,Assumptions!$B$124:$G$147,5,0)))=0,"",-0.75*((C80/(VLOOKUP($A$2,Assumptions!$B$124:$G$147,2,0)))+D80/(VLOOKUP($A$2,Assumptions!$B$124:$G$147,5,0))))</f>
        <v/>
      </c>
      <c r="V80" s="414" t="str">
        <f t="shared" si="23"/>
        <v/>
      </c>
      <c r="W80" s="451"/>
      <c r="X80" s="507"/>
    </row>
    <row r="81" spans="1:24" ht="15">
      <c r="A81" s="373"/>
      <c r="B81" s="457"/>
      <c r="C81" s="375"/>
      <c r="D81" s="375"/>
      <c r="E81" s="377"/>
      <c r="F81" s="378"/>
      <c r="G81" s="403"/>
      <c r="H81" s="404"/>
      <c r="I81" s="405"/>
      <c r="J81" s="405"/>
      <c r="K81" s="405"/>
      <c r="L81" s="405"/>
      <c r="M81" s="405"/>
      <c r="N81" s="405"/>
      <c r="O81" s="405"/>
      <c r="P81" s="406"/>
      <c r="Q81" s="448"/>
      <c r="R81" s="379"/>
      <c r="S81" s="386"/>
      <c r="T81" s="387"/>
      <c r="U81" s="413" t="str">
        <f>IF(-0.75*((C81/(VLOOKUP($A$2,Assumptions!$B$124:$G$147,2,0)))+D81/(VLOOKUP($A$2,Assumptions!$B$124:$G$147,5,0)))=0,"",-0.75*((C81/(VLOOKUP($A$2,Assumptions!$B$124:$G$147,2,0)))+D81/(VLOOKUP($A$2,Assumptions!$B$124:$G$147,5,0))))</f>
        <v/>
      </c>
      <c r="V81" s="414" t="str">
        <f t="shared" si="23"/>
        <v/>
      </c>
      <c r="W81" s="451"/>
      <c r="X81" s="507"/>
    </row>
    <row r="82" spans="1:24" ht="15">
      <c r="A82" s="373"/>
      <c r="B82" s="457"/>
      <c r="C82" s="375"/>
      <c r="D82" s="375"/>
      <c r="E82" s="377"/>
      <c r="F82" s="378"/>
      <c r="G82" s="403"/>
      <c r="H82" s="404"/>
      <c r="I82" s="405"/>
      <c r="J82" s="405"/>
      <c r="K82" s="405"/>
      <c r="L82" s="405"/>
      <c r="M82" s="405"/>
      <c r="N82" s="405"/>
      <c r="O82" s="405"/>
      <c r="P82" s="406"/>
      <c r="Q82" s="448"/>
      <c r="R82" s="379"/>
      <c r="S82" s="386"/>
      <c r="T82" s="387"/>
      <c r="U82" s="413" t="str">
        <f>IF(-0.75*((C82/(VLOOKUP($A$2,Assumptions!$B$124:$G$147,2,0)))+D82/(VLOOKUP($A$2,Assumptions!$B$124:$G$147,5,0)))=0,"",-0.75*((C82/(VLOOKUP($A$2,Assumptions!$B$124:$G$147,2,0)))+D82/(VLOOKUP($A$2,Assumptions!$B$124:$G$147,5,0))))</f>
        <v/>
      </c>
      <c r="V82" s="414" t="str">
        <f t="shared" si="23"/>
        <v/>
      </c>
      <c r="W82" s="451"/>
      <c r="X82" s="507"/>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str">
        <f>IF(-0.75*((C83/(VLOOKUP($A$2,Assumptions!$B$124:$G$147,2,0)))+D83/(VLOOKUP($A$2,Assumptions!$B$124:$G$147,5,0)))=0,"",-0.75*((C83/(VLOOKUP($A$2,Assumptions!$B$124:$G$147,2,0)))+D83/(VLOOKUP($A$2,Assumptions!$B$124:$G$147,5,0))))</f>
        <v/>
      </c>
      <c r="V83" s="414" t="str">
        <f t="shared" si="23"/>
        <v/>
      </c>
      <c r="W83" s="451"/>
      <c r="X83" s="507"/>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str">
        <f>IF(-0.75*((C84/(VLOOKUP($A$2,Assumptions!$B$124:$G$147,2,0)))+D84/(VLOOKUP($A$2,Assumptions!$B$124:$G$147,5,0)))=0,"",-0.75*((C84/(VLOOKUP($A$2,Assumptions!$B$124:$G$147,2,0)))+D84/(VLOOKUP($A$2,Assumptions!$B$124:$G$147,5,0))))</f>
        <v/>
      </c>
      <c r="V84" s="414" t="str">
        <f t="shared" si="23"/>
        <v/>
      </c>
      <c r="W84" s="451"/>
      <c r="X84" s="507"/>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str">
        <f>IF(-0.75*((C85/(VLOOKUP($A$2,Assumptions!$B$124:$G$147,2,0)))+D85/(VLOOKUP($A$2,Assumptions!$B$124:$G$147,5,0)))=0,"",-0.75*((C85/(VLOOKUP($A$2,Assumptions!$B$124:$G$147,2,0)))+D85/(VLOOKUP($A$2,Assumptions!$B$124:$G$147,5,0))))</f>
        <v/>
      </c>
      <c r="V85" s="414" t="str">
        <f t="shared" si="23"/>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str">
        <f>IF(-0.75*((C86/(VLOOKUP($A$2,Assumptions!$B$124:$G$147,2,0)))+D86/(VLOOKUP($A$2,Assumptions!$B$124:$G$147,5,0)))=0,"",-0.75*((C86/(VLOOKUP($A$2,Assumptions!$B$124:$G$147,2,0)))+D86/(VLOOKUP($A$2,Assumptions!$B$124:$G$147,5,0))))</f>
        <v/>
      </c>
      <c r="V86" s="414" t="str">
        <f t="shared" si="23"/>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str">
        <f>IF(-0.75*((C87/(VLOOKUP($A$2,Assumptions!$B$124:$G$147,2,0)))+D87/(VLOOKUP($A$2,Assumptions!$B$124:$G$147,5,0)))=0,"",-0.75*((C87/(VLOOKUP($A$2,Assumptions!$B$124:$G$147,2,0)))+D87/(VLOOKUP($A$2,Assumptions!$B$124:$G$147,5,0))))</f>
        <v/>
      </c>
      <c r="V87" s="414" t="str">
        <f t="shared" si="23"/>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str">
        <f>IF(-0.75*((C88/(VLOOKUP($A$2,Assumptions!$B$124:$G$147,2,0)))+D88/(VLOOKUP($A$2,Assumptions!$B$124:$G$147,5,0)))=0,"",-0.75*((C88/(VLOOKUP($A$2,Assumptions!$B$124:$G$147,2,0)))+D88/(VLOOKUP($A$2,Assumptions!$B$124:$G$147,5,0))))</f>
        <v/>
      </c>
      <c r="V88" s="415" t="str">
        <f t="shared" si="23"/>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5">IF(ISERROR(((-C89*1000*$W$162)/F89)),"",((-C89*1000*$W$162)/F89))</f>
        <v/>
      </c>
      <c r="W89" s="304" t="str">
        <f t="shared" si="25"/>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24"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24"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24" ht="15">
      <c r="A115" s="13"/>
      <c r="B115" s="353"/>
      <c r="C115" s="354">
        <f>SUM(C69:C88)</f>
        <v>-50</v>
      </c>
      <c r="D115" s="354">
        <f>SUM(D69:D88)</f>
        <v>-287</v>
      </c>
      <c r="E115" s="355"/>
      <c r="F115" s="333">
        <f>SUM(F69:F114)</f>
        <v>2913200</v>
      </c>
      <c r="G115" s="388">
        <f>SUM(G69:G114)</f>
        <v>598000</v>
      </c>
      <c r="H115" s="388">
        <f t="shared" ref="H115:N115" si="26">SUM(H69:H114)</f>
        <v>0</v>
      </c>
      <c r="I115" s="388">
        <f t="shared" si="26"/>
        <v>0</v>
      </c>
      <c r="J115" s="388">
        <f t="shared" si="26"/>
        <v>1518000</v>
      </c>
      <c r="K115" s="388">
        <f t="shared" si="26"/>
        <v>409200</v>
      </c>
      <c r="L115" s="388">
        <f t="shared" si="26"/>
        <v>0</v>
      </c>
      <c r="M115" s="388">
        <f t="shared" si="26"/>
        <v>388000</v>
      </c>
      <c r="N115" s="388">
        <f t="shared" si="26"/>
        <v>0</v>
      </c>
      <c r="O115" s="388">
        <f>SUM(O69:O114)</f>
        <v>0</v>
      </c>
      <c r="P115" s="388">
        <f>SUM(P69:P114)</f>
        <v>0</v>
      </c>
      <c r="Q115" s="388">
        <f>SUM(Q69:Q114)</f>
        <v>0</v>
      </c>
      <c r="R115" s="388">
        <f>SUMIFS(F69:F114,R69:R114,"Yes")-0.5*SUMIFS(F69:F114,R69:R114,"Yes",S69:S114,"Yes")</f>
        <v>2203200</v>
      </c>
      <c r="S115" s="388">
        <f>SUMIFS(F69:F114,S69:S114,"Yes")-0.5*SUMIFS(F69:F114,S69:S114,"Yes",R69:R114,"Yes")</f>
        <v>664000</v>
      </c>
      <c r="T115" s="388">
        <f>SUMIFS(F69:F114,T69:T114,"Yes")</f>
        <v>0</v>
      </c>
      <c r="U115" s="389">
        <f>SUM(U69:U114)</f>
        <v>7.7892109418776431E-2</v>
      </c>
      <c r="V115" s="390">
        <f>IF(ISERROR(((-1*C115*1000*$D$6)+(-1*D115*$D$8))/F115),"",((-1*C115*1000*$D$6)+(-1*D115*$D$8))/F115)</f>
        <v>6.5743753522337521E-3</v>
      </c>
      <c r="W115" s="391">
        <f>SUMIFS(F69:F114,W69:W114,"Yes")</f>
        <v>0</v>
      </c>
      <c r="X115" s="391">
        <f>SUMIFS(F68:F113,X69:X114,"Yes")</f>
        <v>1564000</v>
      </c>
    </row>
    <row r="116" spans="1:24"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24">
      <c r="A117" s="13"/>
      <c r="B117" s="13"/>
      <c r="C117" s="13"/>
      <c r="D117" s="13"/>
      <c r="E117" s="13"/>
      <c r="F117" s="13"/>
      <c r="G117" s="13"/>
      <c r="H117" s="13"/>
      <c r="I117" s="13"/>
      <c r="J117" s="13"/>
      <c r="K117" s="13"/>
      <c r="L117" s="13"/>
      <c r="M117" s="13"/>
      <c r="N117" s="13"/>
      <c r="O117" s="13"/>
      <c r="P117" s="13"/>
      <c r="Q117" s="13"/>
      <c r="R117" s="13"/>
      <c r="S117" s="13"/>
      <c r="T117" s="13"/>
      <c r="U117" s="13"/>
    </row>
    <row r="118" spans="1:24">
      <c r="A118" s="13"/>
      <c r="B118" s="13"/>
      <c r="C118" s="13"/>
      <c r="D118" s="13"/>
      <c r="E118" s="13"/>
      <c r="F118" s="13"/>
      <c r="G118" s="13"/>
      <c r="H118" s="13"/>
      <c r="I118" s="13"/>
      <c r="J118" s="13"/>
      <c r="K118" s="13"/>
      <c r="L118" s="13"/>
      <c r="M118" s="13"/>
      <c r="N118" s="13"/>
      <c r="O118" s="13"/>
      <c r="P118" s="13"/>
      <c r="Q118" s="13"/>
      <c r="R118" s="13"/>
      <c r="S118" s="13"/>
      <c r="T118" s="13"/>
      <c r="U118" s="13"/>
    </row>
    <row r="119" spans="1:24">
      <c r="A119" s="13"/>
      <c r="B119" s="13"/>
      <c r="C119" s="13"/>
      <c r="D119" s="13"/>
      <c r="E119" s="13"/>
      <c r="F119" s="13"/>
      <c r="G119" s="13"/>
      <c r="H119" s="13"/>
      <c r="I119" s="13"/>
      <c r="J119" s="13"/>
      <c r="K119" s="13"/>
      <c r="L119" s="13"/>
      <c r="M119" s="13"/>
      <c r="N119" s="13"/>
      <c r="O119" s="13"/>
      <c r="P119" s="13"/>
      <c r="Q119" s="13"/>
      <c r="R119" s="13"/>
      <c r="S119" s="13"/>
      <c r="T119" s="13"/>
      <c r="U119" s="13"/>
    </row>
    <row r="120" spans="1:24" ht="13">
      <c r="A120" s="13"/>
      <c r="B120" s="13"/>
      <c r="C120" s="13"/>
      <c r="D120" s="13"/>
      <c r="E120" s="13"/>
      <c r="F120" s="13"/>
      <c r="G120" s="13"/>
      <c r="H120" s="13"/>
      <c r="I120" s="13"/>
      <c r="J120" s="13"/>
      <c r="K120" s="13"/>
      <c r="L120" s="13"/>
      <c r="M120" s="13"/>
      <c r="N120" s="13"/>
      <c r="O120" s="13"/>
      <c r="P120" s="13"/>
      <c r="Q120" s="13"/>
      <c r="R120" s="21" t="s">
        <v>425</v>
      </c>
      <c r="S120" s="22">
        <f>-AL214</f>
        <v>37.5</v>
      </c>
      <c r="T120" s="13"/>
      <c r="U120" s="13"/>
    </row>
    <row r="121" spans="1:24"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24"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24" s="20" customFormat="1" ht="13">
      <c r="A123" s="13"/>
      <c r="B123" s="13"/>
      <c r="C123" s="13"/>
      <c r="D123" s="13"/>
      <c r="E123" s="13"/>
      <c r="F123" s="13"/>
      <c r="G123" s="13"/>
      <c r="H123" s="13"/>
      <c r="I123" s="13"/>
      <c r="J123" s="13"/>
      <c r="K123" s="13"/>
      <c r="L123" s="13"/>
      <c r="M123" s="13"/>
      <c r="N123" s="13"/>
      <c r="O123" s="13"/>
      <c r="P123" s="13"/>
      <c r="Q123" s="13"/>
      <c r="R123" s="21" t="s">
        <v>426</v>
      </c>
      <c r="S123" s="22">
        <f>BZ161</f>
        <v>5.9324853228962819</v>
      </c>
      <c r="T123" s="13"/>
      <c r="U123" s="13"/>
      <c r="V123" s="13"/>
    </row>
    <row r="124" spans="1:24"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5.8216697801408248</v>
      </c>
      <c r="T124" s="13"/>
      <c r="U124" s="13"/>
      <c r="V124" s="13"/>
    </row>
    <row r="125" spans="1:24"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5.8107065289353068</v>
      </c>
      <c r="T125" s="13"/>
      <c r="U125" s="13"/>
      <c r="V125" s="13"/>
    </row>
    <row r="126" spans="1:24"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5.8107065289353068</v>
      </c>
    </row>
    <row r="127" spans="1:24"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5.8107065289353068</v>
      </c>
      <c r="T127" s="13"/>
      <c r="U127" s="13"/>
      <c r="V127" s="13"/>
    </row>
    <row r="128" spans="1:24"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5.8499647687555969</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5.8761369286357903</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5.8761369286357903</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5.8662850006524447</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5.8662850006524447</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5.8662850006524447</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7">AQ156*0.5</f>
        <v>20.914999999999999</v>
      </c>
      <c r="AR154" s="338">
        <f t="shared" si="27"/>
        <v>26.98</v>
      </c>
      <c r="AS154" s="8"/>
      <c r="AT154" s="25">
        <v>6</v>
      </c>
      <c r="AU154" s="339">
        <f>AU156*0.5</f>
        <v>64.760000000000005</v>
      </c>
      <c r="AV154" s="339">
        <f t="shared" ref="AV154:AY154" si="28">AV156*0.5</f>
        <v>69.5</v>
      </c>
      <c r="AW154" s="339">
        <f t="shared" si="28"/>
        <v>59.814999999999998</v>
      </c>
      <c r="AX154" s="339">
        <f t="shared" si="28"/>
        <v>33.69</v>
      </c>
      <c r="AY154" s="339">
        <f t="shared" si="28"/>
        <v>44.87</v>
      </c>
      <c r="AZ154" s="8"/>
      <c r="BA154" s="25">
        <v>6</v>
      </c>
      <c r="BB154" s="24">
        <f t="shared" ref="BB154:BB155" si="29">IF($C$58="Base",BF154,BG154)</f>
        <v>34.795000000000002</v>
      </c>
      <c r="BC154" s="24" t="s">
        <v>436</v>
      </c>
      <c r="BD154" s="8"/>
      <c r="BE154" s="8"/>
      <c r="BF154" s="24">
        <f t="shared" ref="BF154:BF155" si="30">IF($C$59&gt;7000,"error",IF($C$59&gt;5999,AR154,IF($C$59&gt;4999,AQ154,IF($C$59&gt;3999,AP154,IF($C$59&gt;2999,AO154,IF($C$59&gt;1999,AN154,"Error"))))))</f>
        <v>34.795000000000002</v>
      </c>
      <c r="BG154" s="24">
        <f t="shared" ref="BG154:BG164" si="31">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2">AQ156*0.75</f>
        <v>31.372499999999999</v>
      </c>
      <c r="AR155" s="338">
        <f t="shared" si="32"/>
        <v>40.47</v>
      </c>
      <c r="AS155" s="24"/>
      <c r="AT155" s="25">
        <v>5.5</v>
      </c>
      <c r="AU155" s="339">
        <f>AU156*0.75</f>
        <v>97.140000000000015</v>
      </c>
      <c r="AV155" s="339">
        <f t="shared" ref="AV155:AY155" si="33">AV156*0.75</f>
        <v>104.25</v>
      </c>
      <c r="AW155" s="339">
        <f t="shared" si="33"/>
        <v>89.722499999999997</v>
      </c>
      <c r="AX155" s="339">
        <f t="shared" si="33"/>
        <v>50.534999999999997</v>
      </c>
      <c r="AY155" s="339">
        <f t="shared" si="33"/>
        <v>67.304999999999993</v>
      </c>
      <c r="AZ155" s="24"/>
      <c r="BA155" s="25">
        <v>5.5</v>
      </c>
      <c r="BB155" s="24">
        <f t="shared" si="29"/>
        <v>52.192500000000003</v>
      </c>
      <c r="BC155" s="24" t="s">
        <v>436</v>
      </c>
      <c r="BE155" s="24"/>
      <c r="BF155" s="24">
        <f t="shared" si="30"/>
        <v>52.192500000000003</v>
      </c>
      <c r="BG155" s="24">
        <f t="shared" si="31"/>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1"/>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24152</v>
      </c>
      <c r="BW156" s="14" t="s">
        <v>445</v>
      </c>
      <c r="BX156" s="181" t="s">
        <v>13</v>
      </c>
      <c r="BY156" s="38">
        <f>BY157/BV156</f>
        <v>45.298166611460751</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4">IF($C$58="Base",BF157,BG157)</f>
        <v>84.92</v>
      </c>
      <c r="BC157" s="24" t="s">
        <v>436</v>
      </c>
      <c r="BD157" s="24">
        <f>BB157-BB156</f>
        <v>15.329999999999998</v>
      </c>
      <c r="BE157" s="24"/>
      <c r="BF157" s="24">
        <f t="shared" ref="BF157:BF164" si="35">IF($C$59&gt;7000,"error",IF($C$59&gt;5999,AR157,IF($C$59&gt;4999,AQ157,IF($C$59&gt;3999,AP157,IF($C$59&gt;2999,AO157,IF($C$59&gt;1999,AN157,"Error"))))))</f>
        <v>84.92</v>
      </c>
      <c r="BG157" s="24">
        <f t="shared" si="31"/>
        <v>158.69</v>
      </c>
      <c r="BH157" s="24"/>
      <c r="BI157" s="29" t="s">
        <v>118</v>
      </c>
      <c r="BJ157" s="29">
        <v>810</v>
      </c>
      <c r="BK157" s="29">
        <v>51.33</v>
      </c>
      <c r="BL157" s="24">
        <v>2000</v>
      </c>
      <c r="BM157" s="25"/>
      <c r="BN157" s="24">
        <f>BV161/BV158</f>
        <v>32.943129177958447</v>
      </c>
      <c r="BO157" s="32" t="s">
        <v>447</v>
      </c>
      <c r="BP157" s="179">
        <f>$BY$158/SUM($BY$158:$BY$159)*C64</f>
        <v>36.760320899031491</v>
      </c>
      <c r="BQ157" s="29" t="s">
        <v>448</v>
      </c>
      <c r="BR157" s="29" t="s">
        <v>449</v>
      </c>
      <c r="BS157" s="29" t="s">
        <v>450</v>
      </c>
      <c r="BT157" s="14"/>
      <c r="BU157" s="30" t="s">
        <v>451</v>
      </c>
      <c r="BV157" s="33">
        <f xml:space="preserve"> 5 - 0.5*(BV158-BB156)/BH166</f>
        <v>6.0707657893336116</v>
      </c>
      <c r="BW157" s="14" t="s">
        <v>452</v>
      </c>
      <c r="BX157" s="181" t="s">
        <v>453</v>
      </c>
      <c r="BY157" s="180">
        <f>SUM(BY158:BY159)</f>
        <v>1094041.32</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4"/>
        <v>100.25</v>
      </c>
      <c r="BC158" s="24" t="s">
        <v>436</v>
      </c>
      <c r="BD158" s="24">
        <f t="shared" ref="BD158:BD164" si="36">BB158-BB157</f>
        <v>15.329999999999998</v>
      </c>
      <c r="BE158" s="24"/>
      <c r="BF158" s="24">
        <f t="shared" si="35"/>
        <v>100.25</v>
      </c>
      <c r="BG158" s="24">
        <f t="shared" si="31"/>
        <v>187.86</v>
      </c>
      <c r="BH158" s="24"/>
      <c r="BI158" s="29" t="s">
        <v>150</v>
      </c>
      <c r="BJ158" s="29">
        <v>810</v>
      </c>
      <c r="BK158" s="29">
        <v>51.33</v>
      </c>
      <c r="BL158" s="24">
        <v>3000</v>
      </c>
      <c r="BM158" s="25"/>
      <c r="BN158" s="179">
        <f>BV162/BV163</f>
        <v>519.85066499408424</v>
      </c>
      <c r="BO158" s="24" t="s">
        <v>454</v>
      </c>
      <c r="BP158" s="179">
        <f>$BY$159/SUM($BY$158:$BY$159)*C64</f>
        <v>4.239679100968508</v>
      </c>
      <c r="BQ158" s="29" t="s">
        <v>455</v>
      </c>
      <c r="BR158" s="29" t="s">
        <v>456</v>
      </c>
      <c r="BS158" s="29" t="s">
        <v>457</v>
      </c>
      <c r="BT158" s="14"/>
      <c r="BU158" s="30" t="s">
        <v>458</v>
      </c>
      <c r="BV158" s="31">
        <f>BP157</f>
        <v>36.760320899031491</v>
      </c>
      <c r="BW158" s="14" t="s">
        <v>436</v>
      </c>
      <c r="BX158" s="181" t="s">
        <v>459</v>
      </c>
      <c r="BY158" s="178">
        <f>INDEX($BJ$156:$BJ$161,MATCH($C$57,$BI$156:$BI$161,0))*$C$62</f>
        <v>980910</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4"/>
        <v>115.57</v>
      </c>
      <c r="BC159" s="24" t="s">
        <v>436</v>
      </c>
      <c r="BD159" s="24">
        <f t="shared" si="36"/>
        <v>15.319999999999993</v>
      </c>
      <c r="BE159" s="24"/>
      <c r="BF159" s="24">
        <f t="shared" si="35"/>
        <v>115.57</v>
      </c>
      <c r="BG159" s="24">
        <f t="shared" si="31"/>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113131.31999999999</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4"/>
        <v>130.9</v>
      </c>
      <c r="BC160" s="24" t="s">
        <v>436</v>
      </c>
      <c r="BD160" s="24">
        <f t="shared" si="36"/>
        <v>15.330000000000013</v>
      </c>
      <c r="BE160" s="24"/>
      <c r="BF160" s="24">
        <f t="shared" si="35"/>
        <v>130.9</v>
      </c>
      <c r="BG160" s="24">
        <f t="shared" si="31"/>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42.814902279263471</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4"/>
        <v>146.22999999999999</v>
      </c>
      <c r="BC161" s="24" t="s">
        <v>436</v>
      </c>
      <c r="BD161" s="24">
        <f t="shared" si="36"/>
        <v>15.329999999999984</v>
      </c>
      <c r="BE161" s="24"/>
      <c r="BF161" s="24">
        <f t="shared" si="35"/>
        <v>146.22999999999999</v>
      </c>
      <c r="BG161" s="24">
        <f t="shared" si="31"/>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1211</v>
      </c>
      <c r="BW161" s="14" t="s">
        <v>311</v>
      </c>
      <c r="BX161" s="14"/>
      <c r="BY161" s="14"/>
      <c r="BZ161" s="38">
        <f>5-(0.5*(C64-CE177)/(CE176-CE177))</f>
        <v>5.9324853228962819</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4"/>
        <v>161.56</v>
      </c>
      <c r="BC162" s="24" t="s">
        <v>436</v>
      </c>
      <c r="BD162" s="24">
        <f t="shared" si="36"/>
        <v>15.330000000000013</v>
      </c>
      <c r="BE162" s="24"/>
      <c r="BF162" s="24">
        <f t="shared" si="35"/>
        <v>161.56</v>
      </c>
      <c r="BG162" s="24">
        <f t="shared" si="31"/>
        <v>304.55</v>
      </c>
      <c r="BH162" s="24"/>
      <c r="BI162" s="24"/>
      <c r="BJ162" s="24"/>
      <c r="BK162" s="24"/>
      <c r="BL162" s="24"/>
      <c r="BM162" s="37"/>
      <c r="BN162" s="37"/>
      <c r="BO162" s="37"/>
      <c r="BP162" s="37"/>
      <c r="BQ162" s="29" t="s">
        <v>473</v>
      </c>
      <c r="BR162" s="24"/>
      <c r="BS162" s="24"/>
      <c r="BT162" s="14"/>
      <c r="BU162" s="14" t="s">
        <v>474</v>
      </c>
      <c r="BV162" s="31">
        <f>C63</f>
        <v>2204</v>
      </c>
      <c r="BW162" s="14" t="s">
        <v>314</v>
      </c>
      <c r="BX162" s="14"/>
      <c r="BY162" s="38">
        <f>C63*BK156</f>
        <v>113131.31999999999</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4"/>
        <v>176.89</v>
      </c>
      <c r="BC163" s="24" t="s">
        <v>436</v>
      </c>
      <c r="BD163" s="24">
        <f t="shared" si="36"/>
        <v>15.329999999999984</v>
      </c>
      <c r="BE163" s="24"/>
      <c r="BF163" s="24">
        <f t="shared" si="35"/>
        <v>176.89</v>
      </c>
      <c r="BG163" s="24">
        <f t="shared" si="31"/>
        <v>333.72</v>
      </c>
      <c r="BH163" s="24"/>
      <c r="BI163" s="24"/>
      <c r="BJ163" s="24"/>
      <c r="BK163" s="24"/>
      <c r="BL163" s="24"/>
      <c r="BM163" s="37"/>
      <c r="BN163" s="37"/>
      <c r="BO163" s="37"/>
      <c r="BP163" s="37"/>
      <c r="BQ163" s="29" t="s">
        <v>475</v>
      </c>
      <c r="BR163" s="24"/>
      <c r="BS163" s="24"/>
      <c r="BT163" s="14"/>
      <c r="BU163" s="14" t="s">
        <v>476</v>
      </c>
      <c r="BV163" s="38">
        <f>BP158</f>
        <v>4.239679100968508</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4"/>
        <v>192.21</v>
      </c>
      <c r="BC164" s="24" t="s">
        <v>436</v>
      </c>
      <c r="BD164" s="24">
        <f t="shared" si="36"/>
        <v>15.320000000000022</v>
      </c>
      <c r="BE164" s="24"/>
      <c r="BF164" s="24">
        <f t="shared" si="35"/>
        <v>192.21</v>
      </c>
      <c r="BG164" s="24">
        <f t="shared" si="31"/>
        <v>362.89</v>
      </c>
      <c r="BH164" s="24"/>
      <c r="BI164" s="24"/>
      <c r="BJ164" s="24"/>
      <c r="BK164" s="24"/>
      <c r="BL164" s="24"/>
      <c r="BM164" s="37"/>
      <c r="BN164" s="37"/>
      <c r="BO164" s="37"/>
      <c r="BP164" s="37"/>
      <c r="BQ164" s="29" t="s">
        <v>478</v>
      </c>
      <c r="BR164" s="24"/>
      <c r="BS164" s="24"/>
      <c r="BT164" s="14"/>
      <c r="BU164" s="14"/>
      <c r="BV164" s="38">
        <f>BV163+BV158</f>
        <v>41</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7">H66</f>
        <v>45838</v>
      </c>
      <c r="I166" s="177">
        <f t="shared" si="37"/>
        <v>46203</v>
      </c>
      <c r="J166" s="177">
        <f t="shared" si="37"/>
        <v>46568</v>
      </c>
      <c r="K166" s="177">
        <f t="shared" si="37"/>
        <v>46934</v>
      </c>
      <c r="L166" s="177">
        <f t="shared" si="37"/>
        <v>47299</v>
      </c>
      <c r="M166" s="177">
        <f t="shared" si="37"/>
        <v>47664</v>
      </c>
      <c r="N166" s="177">
        <f t="shared" si="37"/>
        <v>48029</v>
      </c>
      <c r="O166" s="177">
        <f t="shared" si="37"/>
        <v>48395</v>
      </c>
      <c r="P166" s="177">
        <f t="shared" si="37"/>
        <v>48760</v>
      </c>
      <c r="Q166" s="177">
        <f t="shared" si="37"/>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8">DATE(YEAR(AB166)+1,MONTH(AB166),DAY(AB166))</f>
        <v>46112</v>
      </c>
      <c r="AD166" s="46">
        <f t="shared" si="38"/>
        <v>46477</v>
      </c>
      <c r="AE166" s="46">
        <f t="shared" si="38"/>
        <v>46843</v>
      </c>
      <c r="AF166" s="46">
        <f t="shared" si="38"/>
        <v>47208</v>
      </c>
      <c r="AG166" s="46">
        <f t="shared" si="38"/>
        <v>47573</v>
      </c>
      <c r="AH166" s="46">
        <f t="shared" si="38"/>
        <v>47938</v>
      </c>
      <c r="AI166" s="46">
        <f t="shared" si="38"/>
        <v>48304</v>
      </c>
      <c r="AJ166" s="46">
        <f t="shared" si="38"/>
        <v>48669</v>
      </c>
      <c r="AK166" s="46">
        <f t="shared" si="38"/>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39">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0">IF($E69&lt;G$66,$C69,0)</f>
        <v>0</v>
      </c>
      <c r="H167" s="12">
        <f t="shared" ref="H167:J186" si="41">IF($E69&gt;H$66,0,IF($E69&lt;H$66-365,$C69,0))</f>
        <v>0</v>
      </c>
      <c r="I167" s="12">
        <f t="shared" si="41"/>
        <v>0</v>
      </c>
      <c r="J167" s="12">
        <f t="shared" si="41"/>
        <v>0</v>
      </c>
      <c r="K167" s="12">
        <f t="shared" ref="K167:K209" si="42">IF($E69&lt;K$66,$C69,0)</f>
        <v>0</v>
      </c>
      <c r="L167" s="12">
        <f t="shared" ref="L167:N186" si="43">IF($E69&gt;L$66,0,IF($E69&lt;L$66-365,$C69,0))</f>
        <v>0</v>
      </c>
      <c r="M167" s="12">
        <f t="shared" si="43"/>
        <v>0</v>
      </c>
      <c r="N167" s="12">
        <f t="shared" si="43"/>
        <v>0</v>
      </c>
      <c r="O167" s="12">
        <f t="shared" ref="O167:O209" si="44">IF($E69&lt;O$66,$C69,0)</f>
        <v>0</v>
      </c>
      <c r="P167" s="12">
        <f t="shared" ref="P167:Q186" si="45">IF($E69&gt;P$66,0,IF($E69&lt;P$66-365,$C69,0))</f>
        <v>0</v>
      </c>
      <c r="Q167" s="12">
        <f t="shared" si="45"/>
        <v>0</v>
      </c>
      <c r="T167" s="14"/>
      <c r="U167" s="14"/>
      <c r="V167" s="14"/>
      <c r="W167" s="53">
        <f t="shared" ref="W167:W211" si="46">C68*$BN$160*1000</f>
        <v>0</v>
      </c>
      <c r="X167" s="54" t="e">
        <f t="shared" ref="X167:X211" si="47">-1*F68/W167</f>
        <v>#DIV/0!</v>
      </c>
      <c r="Y167" s="25">
        <f>Z167/$BH$166</f>
        <v>0</v>
      </c>
      <c r="Z167" s="54">
        <f>C68/$BN$157</f>
        <v>0</v>
      </c>
      <c r="AA167" s="54">
        <f t="shared" ref="AA167:AJ182" si="48">IF($E68+365&lt;$C$56,0,IF($E68&lt;$C$56,(($E68+365-$C$56)/365)*(($C68/$BN$157)+($D68/$BN$158)),IF($E68&gt;AA$166,0,IF($E68+365&lt;AA$166,($C68/$BN$157)+($D68/$BN$158),((AA$166-$E68)/365)*(($C68/$BN$157)+($D68/$BN$158))))))</f>
        <v>0</v>
      </c>
      <c r="AB167" s="54">
        <f t="shared" si="48"/>
        <v>0</v>
      </c>
      <c r="AC167" s="54">
        <f>IF($E68+365&lt;$C$56,0,IF($E68&lt;$C$56,(($E68+365-$C$56)/365)*(($C68/$BN$157)+($D68/$BN$158)),IF($E68&gt;AC$166,0,IF($E68+365&lt;AC$166,($C68/$BN$157)+($D68/$BN$158),((AC$166-$E68)/365)*(($C68/$BN$157)+($D68/$BN$158))))))</f>
        <v>0</v>
      </c>
      <c r="AD167" s="54">
        <f t="shared" si="48"/>
        <v>0</v>
      </c>
      <c r="AE167" s="54">
        <f t="shared" si="48"/>
        <v>0</v>
      </c>
      <c r="AF167" s="54">
        <f>IF($E68+365&lt;$C$56,0,IF($E68&lt;$C$56,(($E68+365-$C$56)/365)*(($C68/$BN$157)+($D68/$BN$158)),IF($E68&gt;AF$166,0,IF($E68+365&lt;AF$166,($C68/$BN$157)+($D68/$BN$158),((AF$166-$E68)/365)*(($C68/$BN$157)+($D68/$BN$158))))))</f>
        <v>0</v>
      </c>
      <c r="AG167" s="54">
        <f t="shared" si="48"/>
        <v>0</v>
      </c>
      <c r="AH167" s="54">
        <f t="shared" si="48"/>
        <v>0</v>
      </c>
      <c r="AI167" s="54">
        <f t="shared" si="48"/>
        <v>0</v>
      </c>
      <c r="AJ167" s="54">
        <f t="shared" si="48"/>
        <v>0</v>
      </c>
      <c r="AK167" s="54">
        <f t="shared" ref="AK167" si="49">IF($E68+365&lt;$C$56,0,IF($E68&lt;$C$56,(($E68+365-$C$56)/365)*(($C68/$BN$157)+($D68/$BN$158)),IF($E68&gt;AK$166,0,IF($E68+365&lt;AK$166,($C68/$BN$157)+($D68/$BN$158),((AK$166-$E68)/365)*(($C68/$BN$157)+($D68/$BN$158))))))</f>
        <v>0</v>
      </c>
      <c r="AL167" s="24">
        <f t="shared" ref="AL167:AL213" si="50">IF(G68&lt;&gt;"",C68,0)</f>
        <v>0</v>
      </c>
      <c r="AM167" s="24">
        <f t="shared" ref="AM167:AM213" si="51">IF(G68&lt;&gt;"",D68,0)</f>
        <v>0</v>
      </c>
      <c r="AN167" s="55">
        <f t="shared" ref="AN167:AN213" si="52">IF(W68="Yes",0,F68)</f>
        <v>0</v>
      </c>
      <c r="AO167" s="55">
        <f t="shared" ref="AO167:AO213" si="53">IF(W68="Yes",F68,0)</f>
        <v>0</v>
      </c>
      <c r="AP167" s="24"/>
      <c r="AQ167" s="24"/>
      <c r="AR167" s="24"/>
      <c r="AS167" s="24"/>
      <c r="AT167" s="24"/>
      <c r="AU167" s="24"/>
      <c r="AV167" s="24"/>
      <c r="AW167" s="24"/>
      <c r="AX167" s="24"/>
      <c r="AY167" s="24"/>
      <c r="AZ167" s="24"/>
      <c r="BA167" s="24"/>
      <c r="BB167" s="25"/>
      <c r="BC167" s="24"/>
      <c r="BD167" s="24"/>
      <c r="BE167" s="24">
        <f t="shared" si="39"/>
        <v>84.92</v>
      </c>
      <c r="BF167" s="24" t="s">
        <v>486</v>
      </c>
      <c r="BG167" s="56">
        <f>BV158+($C$64-$BV$158)</f>
        <v>41</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0"/>
        <v>0</v>
      </c>
      <c r="H168" s="12">
        <f t="shared" si="41"/>
        <v>0</v>
      </c>
      <c r="I168" s="12">
        <f t="shared" si="41"/>
        <v>0</v>
      </c>
      <c r="J168" s="12">
        <f t="shared" si="41"/>
        <v>0</v>
      </c>
      <c r="K168" s="12">
        <f t="shared" si="42"/>
        <v>0</v>
      </c>
      <c r="L168" s="12">
        <f t="shared" si="43"/>
        <v>0</v>
      </c>
      <c r="M168" s="12">
        <f t="shared" si="43"/>
        <v>0</v>
      </c>
      <c r="N168" s="12">
        <f t="shared" si="43"/>
        <v>0</v>
      </c>
      <c r="O168" s="12">
        <f t="shared" si="44"/>
        <v>0</v>
      </c>
      <c r="P168" s="12">
        <f t="shared" si="45"/>
        <v>0</v>
      </c>
      <c r="Q168" s="12">
        <f t="shared" si="45"/>
        <v>0</v>
      </c>
      <c r="T168" s="57"/>
      <c r="U168" s="57"/>
      <c r="V168" s="57"/>
      <c r="W168" s="53">
        <f t="shared" si="46"/>
        <v>0</v>
      </c>
      <c r="X168" s="54" t="e">
        <f t="shared" si="47"/>
        <v>#DIV/0!</v>
      </c>
      <c r="Y168" s="54">
        <f t="shared" ref="Y168:Y213" si="54">Z168/$BH$166</f>
        <v>0</v>
      </c>
      <c r="Z168" s="54">
        <f>($C69/$BN$157)+($D69/$BN$158)</f>
        <v>0</v>
      </c>
      <c r="AA168" s="54">
        <f t="shared" si="48"/>
        <v>0</v>
      </c>
      <c r="AB168" s="54">
        <f t="shared" si="48"/>
        <v>0</v>
      </c>
      <c r="AC168" s="54">
        <f t="shared" si="48"/>
        <v>0</v>
      </c>
      <c r="AD168" s="54">
        <f>IF($E69+365&lt;$C$56,0,IF($E69&lt;$C$56,(($E69+365-$C$56)/365)*(($C69/$BN$157)+($D69/$BN$158)),IF($E69&gt;AD$166,0,IF($E69+365&lt;AD$166,($C69/$BN$157)+($D69/$BN$158),((AD$166-$E69)/365)*(($C69/$BN$157)+($D69/$BN$158))))))</f>
        <v>0</v>
      </c>
      <c r="AE168" s="54">
        <f t="shared" si="48"/>
        <v>0</v>
      </c>
      <c r="AF168" s="54">
        <f t="shared" si="48"/>
        <v>0</v>
      </c>
      <c r="AG168" s="54">
        <f t="shared" si="48"/>
        <v>0</v>
      </c>
      <c r="AH168" s="54">
        <f t="shared" si="48"/>
        <v>0</v>
      </c>
      <c r="AI168" s="54">
        <f t="shared" si="48"/>
        <v>0</v>
      </c>
      <c r="AJ168" s="54">
        <f t="shared" si="48"/>
        <v>0</v>
      </c>
      <c r="AK168" s="54">
        <f t="shared" ref="AK168" si="55">IF($E69+365&lt;$C$56,0,IF($E69&lt;$C$56,(($E69+365-$C$56)/365)*(($C69/$BN$157)+($D69/$BN$158)),IF($E69&gt;AK$166,0,IF($E69+365&lt;AK$166,($C69/$BN$157)+($D69/$BN$158),((AK$166-$E69)/365)*(($C69/$BN$157)+($D69/$BN$158))))))</f>
        <v>0</v>
      </c>
      <c r="AL168" s="24">
        <f t="shared" si="50"/>
        <v>0</v>
      </c>
      <c r="AM168" s="24">
        <f t="shared" si="51"/>
        <v>0</v>
      </c>
      <c r="AN168" s="55">
        <f t="shared" si="52"/>
        <v>0</v>
      </c>
      <c r="AO168" s="55">
        <f t="shared" si="53"/>
        <v>0</v>
      </c>
      <c r="AP168" s="24"/>
      <c r="AQ168" s="24"/>
      <c r="AR168" s="24"/>
      <c r="AS168" s="24"/>
      <c r="AT168" s="24"/>
      <c r="AU168" s="24"/>
      <c r="AV168" s="24"/>
      <c r="AW168" s="24"/>
      <c r="AX168" s="24"/>
      <c r="AY168" s="24"/>
      <c r="AZ168" s="24"/>
      <c r="BA168" s="24"/>
      <c r="BB168" s="24"/>
      <c r="BC168" s="24"/>
      <c r="BD168" s="24"/>
      <c r="BE168" s="24">
        <f t="shared" si="39"/>
        <v>84.92</v>
      </c>
      <c r="BF168" s="59">
        <f>AB166</f>
        <v>45747</v>
      </c>
      <c r="BG168" s="36">
        <f>(BV158+AB214)+($C$64-$BV$158)</f>
        <v>41.381466325695996</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0"/>
        <v>30</v>
      </c>
      <c r="H169" s="12">
        <f t="shared" si="41"/>
        <v>30</v>
      </c>
      <c r="I169" s="12">
        <f t="shared" si="41"/>
        <v>30</v>
      </c>
      <c r="J169" s="12">
        <f t="shared" si="41"/>
        <v>30</v>
      </c>
      <c r="K169" s="12">
        <f t="shared" si="42"/>
        <v>30</v>
      </c>
      <c r="L169" s="12">
        <f t="shared" si="43"/>
        <v>30</v>
      </c>
      <c r="M169" s="12">
        <f t="shared" si="43"/>
        <v>30</v>
      </c>
      <c r="N169" s="12">
        <f t="shared" si="43"/>
        <v>30</v>
      </c>
      <c r="O169" s="12">
        <f t="shared" si="44"/>
        <v>30</v>
      </c>
      <c r="P169" s="12">
        <f t="shared" si="45"/>
        <v>30</v>
      </c>
      <c r="Q169" s="12">
        <f t="shared" si="45"/>
        <v>30</v>
      </c>
      <c r="T169" s="61"/>
      <c r="U169" s="61"/>
      <c r="V169" s="61"/>
      <c r="W169" s="53">
        <f t="shared" si="46"/>
        <v>0</v>
      </c>
      <c r="X169" s="54" t="e">
        <f t="shared" si="47"/>
        <v>#DIV/0!</v>
      </c>
      <c r="Y169" s="343">
        <f>Z169/$BH$166</f>
        <v>0</v>
      </c>
      <c r="Z169" s="54">
        <f>($C70/$BN$157)+($D70/$BN$158)</f>
        <v>0</v>
      </c>
      <c r="AA169" s="54">
        <f t="shared" si="48"/>
        <v>0</v>
      </c>
      <c r="AB169" s="54">
        <f t="shared" si="48"/>
        <v>0</v>
      </c>
      <c r="AC169" s="54">
        <f t="shared" si="48"/>
        <v>0</v>
      </c>
      <c r="AD169" s="54">
        <f>IF($E70+365&lt;$C$56,0,IF($E70&lt;$C$56,(($E70+365-$C$56)/365)*(($C70/$BN$157)+($D70/$BN$158)),IF($E70&gt;AD$166,0,IF($E70+365&lt;AD$166,($C70/$BN$157)+($D70/$BN$158),((AD$166-$E70)/365)*(($C70/$BN$157)+($D70/$BN$158))))))</f>
        <v>0</v>
      </c>
      <c r="AE169" s="54">
        <f t="shared" si="48"/>
        <v>0</v>
      </c>
      <c r="AF169" s="54">
        <f t="shared" si="48"/>
        <v>0</v>
      </c>
      <c r="AG169" s="54">
        <f t="shared" si="48"/>
        <v>0</v>
      </c>
      <c r="AH169" s="54">
        <f t="shared" si="48"/>
        <v>0</v>
      </c>
      <c r="AI169" s="54">
        <f t="shared" si="48"/>
        <v>0</v>
      </c>
      <c r="AJ169" s="54">
        <f t="shared" si="48"/>
        <v>0</v>
      </c>
      <c r="AK169" s="54">
        <f t="shared" ref="AK169" si="56">IF($E70+365&lt;$C$56,0,IF($E70&lt;$C$56,(($E70+365-$C$56)/365)*(($C70/$BN$157)+($D70/$BN$158)),IF($E70&gt;AK$166,0,IF($E70+365&lt;AK$166,($C70/$BN$157)+($D70/$BN$158),((AK$166-$E70)/365)*(($C70/$BN$157)+($D70/$BN$158))))))</f>
        <v>0</v>
      </c>
      <c r="AL169" s="24">
        <f t="shared" si="50"/>
        <v>0</v>
      </c>
      <c r="AM169" s="24">
        <f t="shared" si="51"/>
        <v>0</v>
      </c>
      <c r="AN169" s="55">
        <f t="shared" si="52"/>
        <v>0</v>
      </c>
      <c r="AO169" s="55">
        <f t="shared" si="53"/>
        <v>0</v>
      </c>
      <c r="AP169" s="24"/>
      <c r="AQ169" s="24"/>
      <c r="AR169" s="24"/>
      <c r="AS169" s="24"/>
      <c r="AT169" s="24"/>
      <c r="AU169" s="24"/>
      <c r="AV169" s="24"/>
      <c r="AW169" s="24"/>
      <c r="AX169" s="24"/>
      <c r="AY169" s="24"/>
      <c r="AZ169" s="24"/>
      <c r="BA169" s="24"/>
      <c r="BB169" s="24"/>
      <c r="BC169" s="24"/>
      <c r="BD169" s="24"/>
      <c r="BE169" s="24">
        <f t="shared" si="39"/>
        <v>84.92</v>
      </c>
      <c r="BF169" s="59">
        <f>BF168+365</f>
        <v>46112</v>
      </c>
      <c r="BG169" s="36">
        <f>BV158+AC214+($C$64-$BV$158)</f>
        <v>41.381466325695996</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7">INDEX(AN156:AR156,MATCH($CE$168,$AN$165:$AR$165,0))</f>
        <v>69.59</v>
      </c>
      <c r="CJ169" s="14">
        <f t="shared" ref="CJ169:CJ177" si="58">INDEX(AU156:AY156,MATCH($CE$168,$AN$165:$AR$165,0))</f>
        <v>129.52000000000001</v>
      </c>
    </row>
    <row r="170" spans="7:88">
      <c r="G170" s="12">
        <f t="shared" si="40"/>
        <v>0</v>
      </c>
      <c r="H170" s="12">
        <f t="shared" si="41"/>
        <v>0</v>
      </c>
      <c r="I170" s="12">
        <f t="shared" si="41"/>
        <v>0</v>
      </c>
      <c r="J170" s="12">
        <f t="shared" si="41"/>
        <v>0</v>
      </c>
      <c r="K170" s="12">
        <f t="shared" si="42"/>
        <v>0</v>
      </c>
      <c r="L170" s="12">
        <f t="shared" si="43"/>
        <v>0</v>
      </c>
      <c r="M170" s="12">
        <f t="shared" si="43"/>
        <v>0</v>
      </c>
      <c r="N170" s="12">
        <f t="shared" si="43"/>
        <v>0</v>
      </c>
      <c r="O170" s="12">
        <f t="shared" si="44"/>
        <v>0</v>
      </c>
      <c r="P170" s="12">
        <f t="shared" si="45"/>
        <v>0</v>
      </c>
      <c r="Q170" s="12">
        <f t="shared" si="45"/>
        <v>0</v>
      </c>
      <c r="T170" s="61"/>
      <c r="U170" s="61"/>
      <c r="V170" s="61"/>
      <c r="W170" s="53">
        <f t="shared" si="46"/>
        <v>4560</v>
      </c>
      <c r="X170" s="54">
        <f t="shared" si="47"/>
        <v>-121.05263157894737</v>
      </c>
      <c r="Y170" s="25">
        <f t="shared" si="54"/>
        <v>3.3178197494759594E-2</v>
      </c>
      <c r="Z170" s="54">
        <f t="shared" ref="Z170:Z213" si="59">($C71/$BN$157)+($D71/$BN$158)</f>
        <v>0.50862176759466449</v>
      </c>
      <c r="AA170" s="54">
        <f t="shared" si="48"/>
        <v>0</v>
      </c>
      <c r="AB170" s="54">
        <f t="shared" si="48"/>
        <v>0.50862176759466449</v>
      </c>
      <c r="AC170" s="54">
        <f t="shared" si="48"/>
        <v>0.50862176759466449</v>
      </c>
      <c r="AD170" s="54">
        <f t="shared" si="48"/>
        <v>0.50862176759466449</v>
      </c>
      <c r="AE170" s="54">
        <f t="shared" si="48"/>
        <v>0.50862176759466449</v>
      </c>
      <c r="AF170" s="54">
        <f t="shared" si="48"/>
        <v>0.50862176759466449</v>
      </c>
      <c r="AG170" s="54">
        <f t="shared" si="48"/>
        <v>0.50862176759466449</v>
      </c>
      <c r="AH170" s="54">
        <f t="shared" si="48"/>
        <v>0.50862176759466449</v>
      </c>
      <c r="AI170" s="54">
        <f t="shared" si="48"/>
        <v>0.50862176759466449</v>
      </c>
      <c r="AJ170" s="54">
        <f t="shared" si="48"/>
        <v>0.50862176759466449</v>
      </c>
      <c r="AK170" s="54">
        <f t="shared" ref="AK170" si="60">IF($E71+365&lt;$C$56,0,IF($E71&lt;$C$56,(($E71+365-$C$56)/365)*(($C71/$BN$157)+($D71/$BN$158)),IF($E71&gt;AK$166,0,IF($E71+365&lt;AK$166,($C71/$BN$157)+($D71/$BN$158),((AK$166-$E71)/365)*(($C71/$BN$157)+($D71/$BN$158))))))</f>
        <v>0.50862176759466449</v>
      </c>
      <c r="AL170" s="24">
        <f t="shared" si="50"/>
        <v>30</v>
      </c>
      <c r="AM170" s="24">
        <f t="shared" si="51"/>
        <v>-209</v>
      </c>
      <c r="AN170" s="55">
        <f t="shared" si="52"/>
        <v>552000</v>
      </c>
      <c r="AO170" s="55">
        <f t="shared" si="53"/>
        <v>0</v>
      </c>
      <c r="AP170" s="24"/>
      <c r="AQ170" s="24"/>
      <c r="AR170" s="24"/>
      <c r="AS170" s="24"/>
      <c r="AT170" s="24"/>
      <c r="AU170" s="24"/>
      <c r="AV170" s="24"/>
      <c r="AW170" s="24"/>
      <c r="AX170" s="24"/>
      <c r="AY170" s="24"/>
      <c r="AZ170" s="24"/>
      <c r="BA170" s="24"/>
      <c r="BB170" s="24"/>
      <c r="BC170" s="24"/>
      <c r="BD170" s="24"/>
      <c r="BE170" s="24">
        <f t="shared" si="39"/>
        <v>84.92</v>
      </c>
      <c r="BF170" s="59">
        <f>BF169+365</f>
        <v>46477</v>
      </c>
      <c r="BG170" s="36">
        <f>$BV$158+AD214+($C$64-$BV$158)</f>
        <v>41.381466325695996</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7"/>
        <v>84.92</v>
      </c>
      <c r="CJ170" s="14">
        <f t="shared" si="58"/>
        <v>158.69</v>
      </c>
    </row>
    <row r="171" spans="7:88">
      <c r="G171" s="12">
        <f t="shared" si="40"/>
        <v>0</v>
      </c>
      <c r="H171" s="12">
        <f t="shared" si="41"/>
        <v>0</v>
      </c>
      <c r="I171" s="12">
        <f t="shared" si="41"/>
        <v>0</v>
      </c>
      <c r="J171" s="12">
        <f t="shared" si="41"/>
        <v>0</v>
      </c>
      <c r="K171" s="12">
        <f t="shared" si="42"/>
        <v>-60</v>
      </c>
      <c r="L171" s="12">
        <f t="shared" si="43"/>
        <v>-60</v>
      </c>
      <c r="M171" s="12">
        <f t="shared" si="43"/>
        <v>-60</v>
      </c>
      <c r="N171" s="12">
        <f t="shared" si="43"/>
        <v>-60</v>
      </c>
      <c r="O171" s="12">
        <f t="shared" si="44"/>
        <v>-60</v>
      </c>
      <c r="P171" s="12">
        <f t="shared" si="45"/>
        <v>-60</v>
      </c>
      <c r="Q171" s="12">
        <f t="shared" si="45"/>
        <v>-60</v>
      </c>
      <c r="T171" s="61"/>
      <c r="U171" s="61"/>
      <c r="V171" s="61"/>
      <c r="W171" s="53">
        <f t="shared" si="46"/>
        <v>0</v>
      </c>
      <c r="X171" s="54" t="e">
        <f t="shared" si="47"/>
        <v>#DIV/0!</v>
      </c>
      <c r="Y171" s="54">
        <f t="shared" si="54"/>
        <v>0</v>
      </c>
      <c r="Z171" s="54">
        <f>($C72/$BN$157)+($D72/$BN$158)</f>
        <v>0</v>
      </c>
      <c r="AA171" s="54">
        <f t="shared" si="48"/>
        <v>0</v>
      </c>
      <c r="AB171" s="54">
        <f t="shared" si="48"/>
        <v>0</v>
      </c>
      <c r="AC171" s="54">
        <f t="shared" si="48"/>
        <v>0</v>
      </c>
      <c r="AD171" s="54">
        <f t="shared" si="48"/>
        <v>0</v>
      </c>
      <c r="AE171" s="54">
        <f t="shared" si="48"/>
        <v>0</v>
      </c>
      <c r="AF171" s="54">
        <f>IF($E72+365&lt;$C$56,0,IF($E72&lt;$C$56,(($E72+365-$C$56)/365)*(($C72/$BN$157)+($D72/$BN$158)),IF($E72&gt;AF$166,0,IF($E72+365&lt;AF$166,($C72/$BN$157)+($D72/$BN$158),((AF$166-$E72)/365)*(($C72/$BN$157)+($D72/$BN$158))))))</f>
        <v>0</v>
      </c>
      <c r="AG171" s="54">
        <f t="shared" si="48"/>
        <v>0</v>
      </c>
      <c r="AH171" s="54">
        <f t="shared" si="48"/>
        <v>0</v>
      </c>
      <c r="AI171" s="54">
        <f t="shared" si="48"/>
        <v>0</v>
      </c>
      <c r="AJ171" s="54">
        <f t="shared" si="48"/>
        <v>0</v>
      </c>
      <c r="AK171" s="54">
        <f t="shared" ref="AK171" si="61">IF($E72+365&lt;$C$56,0,IF($E72&lt;$C$56,(($E72+365-$C$56)/365)*(($C72/$BN$157)+($D72/$BN$158)),IF($E72&gt;AK$166,0,IF($E72+365&lt;AK$166,($C72/$BN$157)+($D72/$BN$158),((AK$166-$E72)/365)*(($C72/$BN$157)+($D72/$BN$158))))))</f>
        <v>0</v>
      </c>
      <c r="AL171" s="24">
        <f t="shared" si="50"/>
        <v>0</v>
      </c>
      <c r="AM171" s="24">
        <f t="shared" si="51"/>
        <v>0</v>
      </c>
      <c r="AN171" s="55">
        <f t="shared" si="52"/>
        <v>46000</v>
      </c>
      <c r="AO171" s="55">
        <f t="shared" si="53"/>
        <v>0</v>
      </c>
      <c r="AP171" s="24"/>
      <c r="AQ171" s="24"/>
      <c r="AR171" s="24"/>
      <c r="AS171" s="24"/>
      <c r="AT171" s="24"/>
      <c r="AU171" s="24"/>
      <c r="AV171" s="24"/>
      <c r="AW171" s="24"/>
      <c r="AX171" s="24"/>
      <c r="AY171" s="24"/>
      <c r="AZ171" s="24"/>
      <c r="BA171" s="24"/>
      <c r="BB171" s="24"/>
      <c r="BC171" s="24"/>
      <c r="BD171" s="24"/>
      <c r="BE171" s="24">
        <f t="shared" si="39"/>
        <v>84.92</v>
      </c>
      <c r="BF171" s="59">
        <f t="shared" ref="BF171:BF176" si="62">BF170+365</f>
        <v>46842</v>
      </c>
      <c r="BG171" s="36">
        <f>$BV$158+AE214+($C$64-$BV$158)</f>
        <v>40.015475871149</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7"/>
        <v>100.25</v>
      </c>
      <c r="CJ171" s="14">
        <f t="shared" si="58"/>
        <v>187.86</v>
      </c>
    </row>
    <row r="172" spans="7:88">
      <c r="G172" s="12">
        <f t="shared" si="40"/>
        <v>0</v>
      </c>
      <c r="H172" s="12">
        <f t="shared" si="41"/>
        <v>0</v>
      </c>
      <c r="I172" s="12">
        <f t="shared" si="41"/>
        <v>0</v>
      </c>
      <c r="J172" s="12">
        <f t="shared" si="41"/>
        <v>0</v>
      </c>
      <c r="K172" s="12">
        <f t="shared" si="42"/>
        <v>0</v>
      </c>
      <c r="L172" s="12">
        <f t="shared" si="43"/>
        <v>0</v>
      </c>
      <c r="M172" s="12">
        <f t="shared" si="43"/>
        <v>0</v>
      </c>
      <c r="N172" s="12">
        <f t="shared" si="43"/>
        <v>20</v>
      </c>
      <c r="O172" s="12">
        <f t="shared" si="44"/>
        <v>20</v>
      </c>
      <c r="P172" s="12">
        <f t="shared" si="45"/>
        <v>20</v>
      </c>
      <c r="Q172" s="12">
        <f t="shared" si="45"/>
        <v>20</v>
      </c>
      <c r="T172" s="61"/>
      <c r="U172" s="61"/>
      <c r="V172" s="61"/>
      <c r="W172" s="53">
        <f t="shared" si="46"/>
        <v>-9120</v>
      </c>
      <c r="X172" s="54">
        <f t="shared" si="47"/>
        <v>166.44736842105263</v>
      </c>
      <c r="Y172" s="25">
        <f>Z172/$BH$166</f>
        <v>-0.11880760639678192</v>
      </c>
      <c r="Z172" s="54">
        <f t="shared" si="59"/>
        <v>-1.8213206060626668</v>
      </c>
      <c r="AA172" s="54">
        <f t="shared" si="48"/>
        <v>0</v>
      </c>
      <c r="AB172" s="54">
        <f t="shared" si="48"/>
        <v>0</v>
      </c>
      <c r="AC172" s="54">
        <f t="shared" si="48"/>
        <v>0</v>
      </c>
      <c r="AD172" s="54">
        <f t="shared" si="48"/>
        <v>0</v>
      </c>
      <c r="AE172" s="54">
        <f t="shared" si="48"/>
        <v>-1.8213206060626668</v>
      </c>
      <c r="AF172" s="54">
        <f t="shared" si="48"/>
        <v>-1.8213206060626668</v>
      </c>
      <c r="AG172" s="54">
        <f t="shared" si="48"/>
        <v>-1.8213206060626668</v>
      </c>
      <c r="AH172" s="54">
        <f t="shared" si="48"/>
        <v>-1.8213206060626668</v>
      </c>
      <c r="AI172" s="54">
        <f t="shared" si="48"/>
        <v>-1.8213206060626668</v>
      </c>
      <c r="AJ172" s="54">
        <f t="shared" si="48"/>
        <v>-1.8213206060626668</v>
      </c>
      <c r="AK172" s="54">
        <f t="shared" ref="AK172" si="63">IF($E73+365&lt;$C$56,0,IF($E73&lt;$C$56,(($E73+365-$C$56)/365)*(($C73/$BN$157)+($D73/$BN$158)),IF($E73&gt;AK$166,0,IF($E73+365&lt;AK$166,($C73/$BN$157)+($D73/$BN$158),((AK$166-$E73)/365)*(($C73/$BN$157)+($D73/$BN$158))))))</f>
        <v>-1.8213206060626668</v>
      </c>
      <c r="AL172" s="24">
        <f t="shared" si="50"/>
        <v>-60</v>
      </c>
      <c r="AM172" s="24">
        <f t="shared" si="51"/>
        <v>0</v>
      </c>
      <c r="AN172" s="55">
        <f t="shared" si="52"/>
        <v>1518000</v>
      </c>
      <c r="AO172" s="55">
        <f t="shared" si="53"/>
        <v>0</v>
      </c>
      <c r="AP172" s="24"/>
      <c r="AQ172" s="24"/>
      <c r="AR172" s="24"/>
      <c r="AS172" s="24"/>
      <c r="AT172" s="24"/>
      <c r="AU172" s="24"/>
      <c r="AV172" s="24"/>
      <c r="AW172" s="24"/>
      <c r="AX172" s="24"/>
      <c r="AY172" s="24"/>
      <c r="AZ172" s="24"/>
      <c r="BA172" s="24"/>
      <c r="BB172" s="24"/>
      <c r="BC172" s="24"/>
      <c r="BD172" s="24"/>
      <c r="BE172" s="24">
        <f t="shared" si="39"/>
        <v>84.92</v>
      </c>
      <c r="BF172" s="59">
        <f t="shared" si="62"/>
        <v>47207</v>
      </c>
      <c r="BG172" s="36">
        <f>$BV$158+AF214+($C$64-$BV$158)</f>
        <v>39.104815568117665</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7"/>
        <v>115.57</v>
      </c>
      <c r="CJ172" s="14">
        <f t="shared" si="58"/>
        <v>217.04</v>
      </c>
    </row>
    <row r="173" spans="7:88">
      <c r="G173" s="12">
        <f t="shared" si="40"/>
        <v>0</v>
      </c>
      <c r="H173" s="12">
        <f t="shared" si="41"/>
        <v>0</v>
      </c>
      <c r="I173" s="12">
        <f t="shared" si="41"/>
        <v>0</v>
      </c>
      <c r="J173" s="12">
        <f t="shared" si="41"/>
        <v>0</v>
      </c>
      <c r="K173" s="12">
        <f t="shared" si="42"/>
        <v>-40</v>
      </c>
      <c r="L173" s="12">
        <f t="shared" si="43"/>
        <v>-40</v>
      </c>
      <c r="M173" s="12">
        <f t="shared" si="43"/>
        <v>-40</v>
      </c>
      <c r="N173" s="12">
        <f t="shared" si="43"/>
        <v>-40</v>
      </c>
      <c r="O173" s="12">
        <f t="shared" si="44"/>
        <v>-40</v>
      </c>
      <c r="P173" s="12">
        <f t="shared" si="45"/>
        <v>-40</v>
      </c>
      <c r="Q173" s="12">
        <f t="shared" si="45"/>
        <v>-40</v>
      </c>
      <c r="T173" s="61"/>
      <c r="U173" s="61"/>
      <c r="V173" s="61"/>
      <c r="W173" s="53">
        <f t="shared" si="46"/>
        <v>3040</v>
      </c>
      <c r="X173" s="54">
        <f t="shared" si="47"/>
        <v>-127.63157894736842</v>
      </c>
      <c r="Y173" s="25">
        <f t="shared" si="54"/>
        <v>2.9814988839358344E-2</v>
      </c>
      <c r="Z173" s="54">
        <f t="shared" si="59"/>
        <v>0.45706377890736338</v>
      </c>
      <c r="AA173" s="54">
        <f t="shared" si="48"/>
        <v>0</v>
      </c>
      <c r="AB173" s="54">
        <f t="shared" si="48"/>
        <v>0</v>
      </c>
      <c r="AC173" s="54">
        <f t="shared" si="48"/>
        <v>0</v>
      </c>
      <c r="AD173" s="54">
        <f t="shared" si="48"/>
        <v>0</v>
      </c>
      <c r="AE173" s="54">
        <f t="shared" si="48"/>
        <v>0</v>
      </c>
      <c r="AF173" s="54">
        <f t="shared" si="48"/>
        <v>0</v>
      </c>
      <c r="AG173" s="54">
        <f t="shared" si="48"/>
        <v>0</v>
      </c>
      <c r="AH173" s="54">
        <f t="shared" si="48"/>
        <v>0.45706377890736338</v>
      </c>
      <c r="AI173" s="54">
        <f t="shared" si="48"/>
        <v>0.45706377890736338</v>
      </c>
      <c r="AJ173" s="54">
        <f t="shared" si="48"/>
        <v>0.45706377890736338</v>
      </c>
      <c r="AK173" s="54">
        <f t="shared" ref="AK173" si="64">IF($E74+365&lt;$C$56,0,IF($E74&lt;$C$56,(($E74+365-$C$56)/365)*(($C74/$BN$157)+($D74/$BN$158)),IF($E74&gt;AK$166,0,IF($E74+365&lt;AK$166,($C74/$BN$157)+($D74/$BN$158),((AK$166-$E74)/365)*(($C74/$BN$157)+($D74/$BN$158))))))</f>
        <v>0.45706377890736338</v>
      </c>
      <c r="AL173" s="24">
        <f t="shared" si="50"/>
        <v>20</v>
      </c>
      <c r="AM173" s="24">
        <f t="shared" si="51"/>
        <v>-78</v>
      </c>
      <c r="AN173" s="55">
        <f t="shared" si="52"/>
        <v>388000</v>
      </c>
      <c r="AO173" s="55">
        <f t="shared" si="53"/>
        <v>0</v>
      </c>
      <c r="AP173" s="24"/>
      <c r="AQ173" s="24"/>
      <c r="AR173" s="24"/>
      <c r="AS173" s="24"/>
      <c r="AT173" s="24"/>
      <c r="AU173" s="24"/>
      <c r="AV173" s="24"/>
      <c r="AW173" s="24"/>
      <c r="AX173" s="24"/>
      <c r="AY173" s="24"/>
      <c r="AZ173" s="24"/>
      <c r="BA173" s="24"/>
      <c r="BB173" s="24"/>
      <c r="BC173" s="24"/>
      <c r="BD173" s="24"/>
      <c r="BE173" s="24">
        <f t="shared" si="39"/>
        <v>84.92</v>
      </c>
      <c r="BF173" s="59">
        <f t="shared" si="62"/>
        <v>47572</v>
      </c>
      <c r="BG173" s="36">
        <f>$BV$158+AG214+($C$64-$BV$158)</f>
        <v>39.104815568117665</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7"/>
        <v>130.9</v>
      </c>
      <c r="CJ173" s="14">
        <f t="shared" si="58"/>
        <v>246.21</v>
      </c>
    </row>
    <row r="174" spans="7:88">
      <c r="G174" s="12">
        <f t="shared" si="40"/>
        <v>0</v>
      </c>
      <c r="H174" s="12">
        <f t="shared" si="41"/>
        <v>0</v>
      </c>
      <c r="I174" s="12">
        <f t="shared" si="41"/>
        <v>0</v>
      </c>
      <c r="J174" s="12">
        <f t="shared" si="41"/>
        <v>0</v>
      </c>
      <c r="K174" s="12">
        <f t="shared" si="42"/>
        <v>0</v>
      </c>
      <c r="L174" s="12">
        <f t="shared" si="43"/>
        <v>0</v>
      </c>
      <c r="M174" s="12">
        <f t="shared" si="43"/>
        <v>0</v>
      </c>
      <c r="N174" s="12">
        <f t="shared" si="43"/>
        <v>0</v>
      </c>
      <c r="O174" s="12">
        <f t="shared" si="44"/>
        <v>0</v>
      </c>
      <c r="P174" s="12">
        <f t="shared" si="45"/>
        <v>0</v>
      </c>
      <c r="Q174" s="12">
        <f t="shared" si="45"/>
        <v>0</v>
      </c>
      <c r="T174" s="61"/>
      <c r="U174" s="61"/>
      <c r="V174" s="61"/>
      <c r="W174" s="53">
        <f t="shared" si="46"/>
        <v>-6080</v>
      </c>
      <c r="X174" s="54">
        <f t="shared" si="47"/>
        <v>67.30263157894737</v>
      </c>
      <c r="Y174" s="25">
        <f t="shared" si="54"/>
        <v>-7.9205070931187949E-2</v>
      </c>
      <c r="Z174" s="54">
        <f t="shared" si="59"/>
        <v>-1.2142137373751112</v>
      </c>
      <c r="AA174" s="54">
        <f t="shared" si="48"/>
        <v>0</v>
      </c>
      <c r="AB174" s="54">
        <f t="shared" si="48"/>
        <v>0</v>
      </c>
      <c r="AC174" s="54">
        <f t="shared" si="48"/>
        <v>0</v>
      </c>
      <c r="AD174" s="54">
        <f t="shared" si="48"/>
        <v>0</v>
      </c>
      <c r="AE174" s="54">
        <f t="shared" si="48"/>
        <v>0</v>
      </c>
      <c r="AF174" s="54">
        <f t="shared" si="48"/>
        <v>-1.2142137373751112</v>
      </c>
      <c r="AG174" s="54">
        <f t="shared" si="48"/>
        <v>-1.2142137373751112</v>
      </c>
      <c r="AH174" s="54">
        <f t="shared" si="48"/>
        <v>-1.2142137373751112</v>
      </c>
      <c r="AI174" s="54">
        <f t="shared" si="48"/>
        <v>-1.2142137373751112</v>
      </c>
      <c r="AJ174" s="54">
        <f t="shared" si="48"/>
        <v>-1.2142137373751112</v>
      </c>
      <c r="AK174" s="54">
        <f t="shared" ref="AK174" si="65">IF($E75+365&lt;$C$56,0,IF($E75&lt;$C$56,(($E75+365-$C$56)/365)*(($C75/$BN$157)+($D75/$BN$158)),IF($E75&gt;AK$166,0,IF($E75+365&lt;AK$166,($C75/$BN$157)+($D75/$BN$158),((AK$166-$E75)/365)*(($C75/$BN$157)+($D75/$BN$158))))))</f>
        <v>-1.2142137373751112</v>
      </c>
      <c r="AL174" s="24">
        <f t="shared" si="50"/>
        <v>-40</v>
      </c>
      <c r="AM174" s="24">
        <f t="shared" si="51"/>
        <v>0</v>
      </c>
      <c r="AN174" s="55">
        <f t="shared" si="52"/>
        <v>409200</v>
      </c>
      <c r="AO174" s="55">
        <f t="shared" si="53"/>
        <v>0</v>
      </c>
      <c r="AP174" s="24"/>
      <c r="AQ174" s="24"/>
      <c r="AR174" s="24"/>
      <c r="AS174" s="24"/>
      <c r="AT174" s="24"/>
      <c r="AU174" s="24"/>
      <c r="AV174" s="24"/>
      <c r="AW174" s="24"/>
      <c r="AX174" s="24"/>
      <c r="AY174" s="24"/>
      <c r="AZ174" s="24"/>
      <c r="BA174" s="24"/>
      <c r="BB174" s="24"/>
      <c r="BC174" s="24"/>
      <c r="BD174" s="24"/>
      <c r="BE174" s="24">
        <f t="shared" si="39"/>
        <v>84.92</v>
      </c>
      <c r="BF174" s="59">
        <f t="shared" si="62"/>
        <v>47937</v>
      </c>
      <c r="BG174" s="36">
        <f>$BV$158+AH214+($C$64-$BV$158)</f>
        <v>39.447613402298188</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7"/>
        <v>146.22999999999999</v>
      </c>
      <c r="CJ174" s="14">
        <f t="shared" si="58"/>
        <v>275.38</v>
      </c>
    </row>
    <row r="175" spans="7:88">
      <c r="G175" s="12">
        <f t="shared" si="40"/>
        <v>0</v>
      </c>
      <c r="H175" s="12">
        <f t="shared" si="41"/>
        <v>0</v>
      </c>
      <c r="I175" s="12">
        <f t="shared" si="41"/>
        <v>0</v>
      </c>
      <c r="J175" s="12">
        <f t="shared" si="41"/>
        <v>0</v>
      </c>
      <c r="K175" s="12">
        <f t="shared" si="42"/>
        <v>0</v>
      </c>
      <c r="L175" s="12">
        <f t="shared" si="43"/>
        <v>0</v>
      </c>
      <c r="M175" s="12">
        <f t="shared" si="43"/>
        <v>0</v>
      </c>
      <c r="N175" s="12">
        <f t="shared" si="43"/>
        <v>0</v>
      </c>
      <c r="O175" s="12">
        <f t="shared" si="44"/>
        <v>0</v>
      </c>
      <c r="P175" s="12">
        <f t="shared" si="45"/>
        <v>0</v>
      </c>
      <c r="Q175" s="12">
        <f t="shared" si="45"/>
        <v>0</v>
      </c>
      <c r="T175" s="61"/>
      <c r="U175" s="61"/>
      <c r="V175" s="61"/>
      <c r="W175" s="53">
        <f t="shared" si="46"/>
        <v>0</v>
      </c>
      <c r="X175" s="54" t="e">
        <f t="shared" si="47"/>
        <v>#DIV/0!</v>
      </c>
      <c r="Y175" s="25">
        <f t="shared" si="54"/>
        <v>0</v>
      </c>
      <c r="Z175" s="54">
        <f t="shared" si="59"/>
        <v>0</v>
      </c>
      <c r="AA175" s="54">
        <f t="shared" si="48"/>
        <v>0</v>
      </c>
      <c r="AB175" s="54">
        <f t="shared" si="48"/>
        <v>0</v>
      </c>
      <c r="AC175" s="54">
        <f t="shared" si="48"/>
        <v>0</v>
      </c>
      <c r="AD175" s="54">
        <f t="shared" si="48"/>
        <v>0</v>
      </c>
      <c r="AE175" s="54">
        <f t="shared" si="48"/>
        <v>0</v>
      </c>
      <c r="AF175" s="54">
        <f t="shared" si="48"/>
        <v>0</v>
      </c>
      <c r="AG175" s="54">
        <f t="shared" si="48"/>
        <v>0</v>
      </c>
      <c r="AH175" s="54">
        <f t="shared" si="48"/>
        <v>0</v>
      </c>
      <c r="AI175" s="54">
        <f t="shared" si="48"/>
        <v>0</v>
      </c>
      <c r="AJ175" s="54">
        <f t="shared" si="48"/>
        <v>0</v>
      </c>
      <c r="AK175" s="54">
        <f t="shared" ref="AK175" si="66">IF($E76+365&lt;$C$56,0,IF($E76&lt;$C$56,(($E76+365-$C$56)/365)*(($C76/$BN$157)+($D76/$BN$158)),IF($E76&gt;AK$166,0,IF($E76+365&lt;AK$166,($C76/$BN$157)+($D76/$BN$158),((AK$166-$E76)/365)*(($C76/$BN$157)+($D76/$BN$158))))))</f>
        <v>0</v>
      </c>
      <c r="AL175" s="24">
        <f t="shared" si="50"/>
        <v>0</v>
      </c>
      <c r="AM175" s="24">
        <f t="shared" si="51"/>
        <v>0</v>
      </c>
      <c r="AN175" s="55">
        <f t="shared" si="52"/>
        <v>0</v>
      </c>
      <c r="AO175" s="55">
        <f t="shared" si="53"/>
        <v>0</v>
      </c>
      <c r="AP175" s="24"/>
      <c r="AQ175" s="24"/>
      <c r="AR175" s="24"/>
      <c r="AS175" s="24"/>
      <c r="AT175" s="24"/>
      <c r="AU175" s="24"/>
      <c r="AV175" s="24"/>
      <c r="AW175" s="24"/>
      <c r="AX175" s="24"/>
      <c r="AY175" s="24"/>
      <c r="AZ175" s="24"/>
      <c r="BA175" s="24"/>
      <c r="BB175" s="24"/>
      <c r="BC175" s="24"/>
      <c r="BD175" s="24"/>
      <c r="BE175" s="24">
        <f t="shared" si="39"/>
        <v>84.92</v>
      </c>
      <c r="BF175" s="59">
        <f t="shared" si="62"/>
        <v>48302</v>
      </c>
      <c r="BG175" s="36">
        <f>$BV$158+AI214+($C$64-$BV$158)</f>
        <v>39.447613402298188</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7"/>
        <v>161.56</v>
      </c>
      <c r="CJ175" s="14">
        <f t="shared" si="58"/>
        <v>304.55</v>
      </c>
    </row>
    <row r="176" spans="7:88">
      <c r="G176" s="12">
        <f t="shared" si="40"/>
        <v>0</v>
      </c>
      <c r="H176" s="12">
        <f t="shared" si="41"/>
        <v>0</v>
      </c>
      <c r="I176" s="12">
        <f t="shared" si="41"/>
        <v>0</v>
      </c>
      <c r="J176" s="12">
        <f t="shared" si="41"/>
        <v>0</v>
      </c>
      <c r="K176" s="12">
        <f t="shared" si="42"/>
        <v>0</v>
      </c>
      <c r="L176" s="12">
        <f t="shared" si="43"/>
        <v>0</v>
      </c>
      <c r="M176" s="12">
        <f t="shared" si="43"/>
        <v>0</v>
      </c>
      <c r="N176" s="12">
        <f t="shared" si="43"/>
        <v>0</v>
      </c>
      <c r="O176" s="12">
        <f t="shared" si="44"/>
        <v>0</v>
      </c>
      <c r="P176" s="12">
        <f t="shared" si="45"/>
        <v>0</v>
      </c>
      <c r="Q176" s="12">
        <f t="shared" si="45"/>
        <v>0</v>
      </c>
      <c r="T176" s="61"/>
      <c r="U176" s="61"/>
      <c r="V176" s="61"/>
      <c r="W176" s="53">
        <f t="shared" si="46"/>
        <v>0</v>
      </c>
      <c r="X176" s="54" t="e">
        <f t="shared" si="47"/>
        <v>#DIV/0!</v>
      </c>
      <c r="Y176" s="25">
        <f t="shared" si="54"/>
        <v>0</v>
      </c>
      <c r="Z176" s="54">
        <f t="shared" si="59"/>
        <v>0</v>
      </c>
      <c r="AA176" s="54">
        <f t="shared" si="48"/>
        <v>0</v>
      </c>
      <c r="AB176" s="54">
        <f t="shared" si="48"/>
        <v>0</v>
      </c>
      <c r="AC176" s="54">
        <f t="shared" si="48"/>
        <v>0</v>
      </c>
      <c r="AD176" s="54">
        <f t="shared" si="48"/>
        <v>0</v>
      </c>
      <c r="AE176" s="54">
        <f t="shared" si="48"/>
        <v>0</v>
      </c>
      <c r="AF176" s="54">
        <f t="shared" si="48"/>
        <v>0</v>
      </c>
      <c r="AG176" s="54">
        <f t="shared" si="48"/>
        <v>0</v>
      </c>
      <c r="AH176" s="54">
        <f t="shared" si="48"/>
        <v>0</v>
      </c>
      <c r="AI176" s="54">
        <f t="shared" si="48"/>
        <v>0</v>
      </c>
      <c r="AJ176" s="54">
        <f t="shared" si="48"/>
        <v>0</v>
      </c>
      <c r="AK176" s="54">
        <f t="shared" ref="AK176" si="67">IF($E77+365&lt;$C$56,0,IF($E77&lt;$C$56,(($E77+365-$C$56)/365)*(($C77/$BN$157)+($D77/$BN$158)),IF($E77&gt;AK$166,0,IF($E77+365&lt;AK$166,($C77/$BN$157)+($D77/$BN$158),((AK$166-$E77)/365)*(($C77/$BN$157)+($D77/$BN$158))))))</f>
        <v>0</v>
      </c>
      <c r="AL176" s="24">
        <f t="shared" si="50"/>
        <v>0</v>
      </c>
      <c r="AM176" s="24">
        <f t="shared" si="51"/>
        <v>0</v>
      </c>
      <c r="AN176" s="55">
        <f t="shared" si="52"/>
        <v>0</v>
      </c>
      <c r="AO176" s="55">
        <f t="shared" si="53"/>
        <v>0</v>
      </c>
      <c r="AP176" s="24"/>
      <c r="AQ176" s="24"/>
      <c r="AR176" s="24"/>
      <c r="AS176" s="24"/>
      <c r="AT176" s="24"/>
      <c r="AU176" s="24"/>
      <c r="AV176" s="24"/>
      <c r="AW176" s="24"/>
      <c r="AX176" s="24"/>
      <c r="AY176" s="24"/>
      <c r="AZ176" s="24"/>
      <c r="BA176" s="24"/>
      <c r="BB176" s="24"/>
      <c r="BC176" s="24"/>
      <c r="BD176" s="24"/>
      <c r="BE176" s="24">
        <f t="shared" si="39"/>
        <v>84.92</v>
      </c>
      <c r="BF176" s="59">
        <f t="shared" si="62"/>
        <v>48667</v>
      </c>
      <c r="BG176" s="36">
        <f>$BV$158+AJ214+($C$64-$BV$158)</f>
        <v>39.447613402298188</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7"/>
        <v>176.89</v>
      </c>
      <c r="CJ176" s="14">
        <f t="shared" si="58"/>
        <v>333.72</v>
      </c>
    </row>
    <row r="177" spans="7:88">
      <c r="G177" s="12">
        <f t="shared" si="40"/>
        <v>0</v>
      </c>
      <c r="H177" s="12">
        <f t="shared" si="41"/>
        <v>0</v>
      </c>
      <c r="I177" s="12">
        <f t="shared" si="41"/>
        <v>0</v>
      </c>
      <c r="J177" s="12">
        <f t="shared" si="41"/>
        <v>0</v>
      </c>
      <c r="K177" s="12">
        <f t="shared" si="42"/>
        <v>0</v>
      </c>
      <c r="L177" s="12">
        <f t="shared" si="43"/>
        <v>0</v>
      </c>
      <c r="M177" s="12">
        <f t="shared" si="43"/>
        <v>0</v>
      </c>
      <c r="N177" s="12">
        <f t="shared" si="43"/>
        <v>0</v>
      </c>
      <c r="O177" s="12">
        <f t="shared" si="44"/>
        <v>0</v>
      </c>
      <c r="P177" s="12">
        <f t="shared" si="45"/>
        <v>0</v>
      </c>
      <c r="Q177" s="12">
        <f t="shared" si="45"/>
        <v>0</v>
      </c>
      <c r="T177" s="61"/>
      <c r="U177" s="61"/>
      <c r="V177" s="61"/>
      <c r="W177" s="53">
        <f t="shared" si="46"/>
        <v>0</v>
      </c>
      <c r="X177" s="54" t="e">
        <f t="shared" si="47"/>
        <v>#DIV/0!</v>
      </c>
      <c r="Y177" s="25">
        <f t="shared" si="54"/>
        <v>0</v>
      </c>
      <c r="Z177" s="54">
        <f t="shared" si="59"/>
        <v>0</v>
      </c>
      <c r="AA177" s="54">
        <f t="shared" si="48"/>
        <v>0</v>
      </c>
      <c r="AB177" s="54">
        <f t="shared" si="48"/>
        <v>0</v>
      </c>
      <c r="AC177" s="54">
        <f t="shared" si="48"/>
        <v>0</v>
      </c>
      <c r="AD177" s="54">
        <f t="shared" si="48"/>
        <v>0</v>
      </c>
      <c r="AE177" s="54">
        <f t="shared" si="48"/>
        <v>0</v>
      </c>
      <c r="AF177" s="54">
        <f t="shared" si="48"/>
        <v>0</v>
      </c>
      <c r="AG177" s="54">
        <f t="shared" si="48"/>
        <v>0</v>
      </c>
      <c r="AH177" s="54">
        <f t="shared" si="48"/>
        <v>0</v>
      </c>
      <c r="AI177" s="54">
        <f t="shared" si="48"/>
        <v>0</v>
      </c>
      <c r="AJ177" s="54">
        <f t="shared" si="48"/>
        <v>0</v>
      </c>
      <c r="AK177" s="54">
        <f t="shared" ref="AK177" si="68">IF($E78+365&lt;$C$56,0,IF($E78&lt;$C$56,(($E78+365-$C$56)/365)*(($C78/$BN$157)+($D78/$BN$158)),IF($E78&gt;AK$166,0,IF($E78+365&lt;AK$166,($C78/$BN$157)+($D78/$BN$158),((AK$166-$E78)/365)*(($C78/$BN$157)+($D78/$BN$158))))))</f>
        <v>0</v>
      </c>
      <c r="AL177" s="24">
        <f t="shared" si="50"/>
        <v>0</v>
      </c>
      <c r="AM177" s="24">
        <f t="shared" si="51"/>
        <v>0</v>
      </c>
      <c r="AN177" s="55">
        <f t="shared" si="52"/>
        <v>0</v>
      </c>
      <c r="AO177" s="55">
        <f t="shared" si="53"/>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7"/>
        <v>192.21</v>
      </c>
      <c r="CJ177" s="14">
        <f t="shared" si="58"/>
        <v>362.89</v>
      </c>
    </row>
    <row r="178" spans="7:88">
      <c r="G178" s="12">
        <f t="shared" si="40"/>
        <v>0</v>
      </c>
      <c r="H178" s="12">
        <f t="shared" si="41"/>
        <v>0</v>
      </c>
      <c r="I178" s="12">
        <f t="shared" si="41"/>
        <v>0</v>
      </c>
      <c r="J178" s="12">
        <f t="shared" si="41"/>
        <v>0</v>
      </c>
      <c r="K178" s="12">
        <f t="shared" si="42"/>
        <v>0</v>
      </c>
      <c r="L178" s="12">
        <f t="shared" si="43"/>
        <v>0</v>
      </c>
      <c r="M178" s="12">
        <f t="shared" si="43"/>
        <v>0</v>
      </c>
      <c r="N178" s="12">
        <f t="shared" si="43"/>
        <v>0</v>
      </c>
      <c r="O178" s="12">
        <f t="shared" si="44"/>
        <v>0</v>
      </c>
      <c r="P178" s="12">
        <f t="shared" si="45"/>
        <v>0</v>
      </c>
      <c r="Q178" s="12">
        <f t="shared" si="45"/>
        <v>0</v>
      </c>
      <c r="T178" s="61"/>
      <c r="U178" s="61"/>
      <c r="V178" s="61"/>
      <c r="W178" s="53">
        <f t="shared" si="46"/>
        <v>0</v>
      </c>
      <c r="X178" s="54" t="e">
        <f t="shared" si="47"/>
        <v>#DIV/0!</v>
      </c>
      <c r="Y178" s="25">
        <f t="shared" si="54"/>
        <v>0</v>
      </c>
      <c r="Z178" s="54">
        <f t="shared" si="59"/>
        <v>0</v>
      </c>
      <c r="AA178" s="54">
        <f t="shared" si="48"/>
        <v>0</v>
      </c>
      <c r="AB178" s="54">
        <f t="shared" si="48"/>
        <v>0</v>
      </c>
      <c r="AC178" s="54">
        <f>IF($E79+365&lt;$C$56,0,IF($E79&lt;$C$56,(($E79+365-$C$56)/365)*(($C79/$BN$157)+($D79/$BN$158)),IF($E79&gt;AC$166,0,IF($E79+365&lt;AC$166,($C79/$BN$157)+($D79/$BN$158),((AC$166-$E79)/365)*(($C79/$BN$157)+($D79/$BN$158))))))</f>
        <v>0</v>
      </c>
      <c r="AD178" s="54">
        <f t="shared" si="48"/>
        <v>0</v>
      </c>
      <c r="AE178" s="54">
        <f t="shared" si="48"/>
        <v>0</v>
      </c>
      <c r="AF178" s="54">
        <f t="shared" si="48"/>
        <v>0</v>
      </c>
      <c r="AG178" s="54">
        <f t="shared" si="48"/>
        <v>0</v>
      </c>
      <c r="AH178" s="54">
        <f t="shared" si="48"/>
        <v>0</v>
      </c>
      <c r="AI178" s="54">
        <f t="shared" si="48"/>
        <v>0</v>
      </c>
      <c r="AJ178" s="54">
        <f t="shared" si="48"/>
        <v>0</v>
      </c>
      <c r="AK178" s="54">
        <f t="shared" ref="AK178" si="69">IF($E79+365&lt;$C$56,0,IF($E79&lt;$C$56,(($E79+365-$C$56)/365)*(($C79/$BN$157)+($D79/$BN$158)),IF($E79&gt;AK$166,0,IF($E79+365&lt;AK$166,($C79/$BN$157)+($D79/$BN$158),((AK$166-$E79)/365)*(($C79/$BN$157)+($D79/$BN$158))))))</f>
        <v>0</v>
      </c>
      <c r="AL178" s="24">
        <f t="shared" si="50"/>
        <v>0</v>
      </c>
      <c r="AM178" s="24">
        <f t="shared" si="51"/>
        <v>0</v>
      </c>
      <c r="AN178" s="55">
        <f t="shared" si="52"/>
        <v>0</v>
      </c>
      <c r="AO178" s="55">
        <f t="shared" si="53"/>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0"/>
        <v>0</v>
      </c>
      <c r="H179" s="12">
        <f t="shared" si="41"/>
        <v>0</v>
      </c>
      <c r="I179" s="12">
        <f t="shared" si="41"/>
        <v>0</v>
      </c>
      <c r="J179" s="12">
        <f t="shared" si="41"/>
        <v>0</v>
      </c>
      <c r="K179" s="12">
        <f t="shared" si="42"/>
        <v>0</v>
      </c>
      <c r="L179" s="12">
        <f t="shared" si="43"/>
        <v>0</v>
      </c>
      <c r="M179" s="12">
        <f t="shared" si="43"/>
        <v>0</v>
      </c>
      <c r="N179" s="12">
        <f t="shared" si="43"/>
        <v>0</v>
      </c>
      <c r="O179" s="12">
        <f t="shared" si="44"/>
        <v>0</v>
      </c>
      <c r="P179" s="12">
        <f t="shared" si="45"/>
        <v>0</v>
      </c>
      <c r="Q179" s="12">
        <f t="shared" si="45"/>
        <v>0</v>
      </c>
      <c r="T179" s="61"/>
      <c r="U179" s="61"/>
      <c r="V179" s="61"/>
      <c r="W179" s="53">
        <f t="shared" si="46"/>
        <v>0</v>
      </c>
      <c r="X179" s="54" t="e">
        <f t="shared" si="47"/>
        <v>#DIV/0!</v>
      </c>
      <c r="Y179" s="25">
        <f t="shared" si="54"/>
        <v>0</v>
      </c>
      <c r="Z179" s="54">
        <f t="shared" si="59"/>
        <v>0</v>
      </c>
      <c r="AA179" s="54">
        <f t="shared" si="48"/>
        <v>0</v>
      </c>
      <c r="AB179" s="54">
        <f t="shared" si="48"/>
        <v>0</v>
      </c>
      <c r="AC179" s="54">
        <f t="shared" si="48"/>
        <v>0</v>
      </c>
      <c r="AD179" s="54">
        <f t="shared" si="48"/>
        <v>0</v>
      </c>
      <c r="AE179" s="54">
        <f t="shared" si="48"/>
        <v>0</v>
      </c>
      <c r="AF179" s="54">
        <f t="shared" si="48"/>
        <v>0</v>
      </c>
      <c r="AG179" s="54">
        <f t="shared" si="48"/>
        <v>0</v>
      </c>
      <c r="AH179" s="54">
        <f t="shared" si="48"/>
        <v>0</v>
      </c>
      <c r="AI179" s="54">
        <f t="shared" si="48"/>
        <v>0</v>
      </c>
      <c r="AJ179" s="54">
        <f t="shared" si="48"/>
        <v>0</v>
      </c>
      <c r="AK179" s="54">
        <f t="shared" ref="AK179" si="70">IF($E80+365&lt;$C$56,0,IF($E80&lt;$C$56,(($E80+365-$C$56)/365)*(($C80/$BN$157)+($D80/$BN$158)),IF($E80&gt;AK$166,0,IF($E80+365&lt;AK$166,($C80/$BN$157)+($D80/$BN$158),((AK$166-$E80)/365)*(($C80/$BN$157)+($D80/$BN$158))))))</f>
        <v>0</v>
      </c>
      <c r="AL179" s="24">
        <f t="shared" si="50"/>
        <v>0</v>
      </c>
      <c r="AM179" s="24">
        <f t="shared" si="51"/>
        <v>0</v>
      </c>
      <c r="AN179" s="55">
        <f t="shared" si="52"/>
        <v>0</v>
      </c>
      <c r="AO179" s="55">
        <f t="shared" si="53"/>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0"/>
        <v>0</v>
      </c>
      <c r="H180" s="12">
        <f t="shared" si="41"/>
        <v>0</v>
      </c>
      <c r="I180" s="12">
        <f t="shared" si="41"/>
        <v>0</v>
      </c>
      <c r="J180" s="12">
        <f t="shared" si="41"/>
        <v>0</v>
      </c>
      <c r="K180" s="12">
        <f t="shared" si="42"/>
        <v>0</v>
      </c>
      <c r="L180" s="12">
        <f t="shared" si="43"/>
        <v>0</v>
      </c>
      <c r="M180" s="12">
        <f t="shared" si="43"/>
        <v>0</v>
      </c>
      <c r="N180" s="12">
        <f t="shared" si="43"/>
        <v>0</v>
      </c>
      <c r="O180" s="12">
        <f t="shared" si="44"/>
        <v>0</v>
      </c>
      <c r="P180" s="12">
        <f t="shared" si="45"/>
        <v>0</v>
      </c>
      <c r="Q180" s="12">
        <f t="shared" si="45"/>
        <v>0</v>
      </c>
      <c r="T180" s="61"/>
      <c r="U180" s="61"/>
      <c r="V180" s="61"/>
      <c r="W180" s="53">
        <f t="shared" si="46"/>
        <v>0</v>
      </c>
      <c r="X180" s="54" t="e">
        <f t="shared" si="47"/>
        <v>#DIV/0!</v>
      </c>
      <c r="Y180" s="25">
        <f t="shared" si="54"/>
        <v>0</v>
      </c>
      <c r="Z180" s="54">
        <f t="shared" si="59"/>
        <v>0</v>
      </c>
      <c r="AA180" s="54">
        <f t="shared" si="48"/>
        <v>0</v>
      </c>
      <c r="AB180" s="54">
        <f t="shared" si="48"/>
        <v>0</v>
      </c>
      <c r="AC180" s="54">
        <f t="shared" si="48"/>
        <v>0</v>
      </c>
      <c r="AD180" s="54">
        <f t="shared" si="48"/>
        <v>0</v>
      </c>
      <c r="AE180" s="54">
        <f t="shared" si="48"/>
        <v>0</v>
      </c>
      <c r="AF180" s="54">
        <f t="shared" si="48"/>
        <v>0</v>
      </c>
      <c r="AG180" s="54">
        <f t="shared" si="48"/>
        <v>0</v>
      </c>
      <c r="AH180" s="54">
        <f t="shared" si="48"/>
        <v>0</v>
      </c>
      <c r="AI180" s="54">
        <f t="shared" si="48"/>
        <v>0</v>
      </c>
      <c r="AJ180" s="54">
        <f t="shared" si="48"/>
        <v>0</v>
      </c>
      <c r="AK180" s="54">
        <f t="shared" ref="AK180" si="71">IF($E81+365&lt;$C$56,0,IF($E81&lt;$C$56,(($E81+365-$C$56)/365)*(($C81/$BN$157)+($D81/$BN$158)),IF($E81&gt;AK$166,0,IF($E81+365&lt;AK$166,($C81/$BN$157)+($D81/$BN$158),((AK$166-$E81)/365)*(($C81/$BN$157)+($D81/$BN$158))))))</f>
        <v>0</v>
      </c>
      <c r="AL180" s="24">
        <f t="shared" si="50"/>
        <v>0</v>
      </c>
      <c r="AM180" s="24">
        <f t="shared" si="51"/>
        <v>0</v>
      </c>
      <c r="AN180" s="55">
        <f t="shared" si="52"/>
        <v>0</v>
      </c>
      <c r="AO180" s="55">
        <f t="shared" si="53"/>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0"/>
        <v>0</v>
      </c>
      <c r="H181" s="12">
        <f t="shared" si="41"/>
        <v>0</v>
      </c>
      <c r="I181" s="12">
        <f t="shared" si="41"/>
        <v>0</v>
      </c>
      <c r="J181" s="12">
        <f t="shared" si="41"/>
        <v>0</v>
      </c>
      <c r="K181" s="12">
        <f t="shared" si="42"/>
        <v>0</v>
      </c>
      <c r="L181" s="12">
        <f t="shared" si="43"/>
        <v>0</v>
      </c>
      <c r="M181" s="12">
        <f t="shared" si="43"/>
        <v>0</v>
      </c>
      <c r="N181" s="12">
        <f t="shared" si="43"/>
        <v>0</v>
      </c>
      <c r="O181" s="12">
        <f t="shared" si="44"/>
        <v>0</v>
      </c>
      <c r="P181" s="12">
        <f t="shared" si="45"/>
        <v>0</v>
      </c>
      <c r="Q181" s="12">
        <f t="shared" si="45"/>
        <v>0</v>
      </c>
      <c r="T181" s="61"/>
      <c r="U181" s="61"/>
      <c r="V181" s="61"/>
      <c r="W181" s="53">
        <f t="shared" si="46"/>
        <v>0</v>
      </c>
      <c r="X181" s="54" t="e">
        <f t="shared" si="47"/>
        <v>#DIV/0!</v>
      </c>
      <c r="Y181" s="25">
        <f t="shared" si="54"/>
        <v>0</v>
      </c>
      <c r="Z181" s="54">
        <f t="shared" si="59"/>
        <v>0</v>
      </c>
      <c r="AA181" s="54">
        <f t="shared" si="48"/>
        <v>0</v>
      </c>
      <c r="AB181" s="54">
        <f t="shared" si="48"/>
        <v>0</v>
      </c>
      <c r="AC181" s="54">
        <f t="shared" si="48"/>
        <v>0</v>
      </c>
      <c r="AD181" s="54">
        <f t="shared" si="48"/>
        <v>0</v>
      </c>
      <c r="AE181" s="54">
        <f t="shared" si="48"/>
        <v>0</v>
      </c>
      <c r="AF181" s="54">
        <f t="shared" si="48"/>
        <v>0</v>
      </c>
      <c r="AG181" s="54">
        <f t="shared" si="48"/>
        <v>0</v>
      </c>
      <c r="AH181" s="54">
        <f t="shared" si="48"/>
        <v>0</v>
      </c>
      <c r="AI181" s="54">
        <f t="shared" si="48"/>
        <v>0</v>
      </c>
      <c r="AJ181" s="54">
        <f t="shared" si="48"/>
        <v>0</v>
      </c>
      <c r="AK181" s="54">
        <f t="shared" ref="AK181" si="72">IF($E82+365&lt;$C$56,0,IF($E82&lt;$C$56,(($E82+365-$C$56)/365)*(($C82/$BN$157)+($D82/$BN$158)),IF($E82&gt;AK$166,0,IF($E82+365&lt;AK$166,($C82/$BN$157)+($D82/$BN$158),((AK$166-$E82)/365)*(($C82/$BN$157)+($D82/$BN$158))))))</f>
        <v>0</v>
      </c>
      <c r="AL181" s="24">
        <f t="shared" si="50"/>
        <v>0</v>
      </c>
      <c r="AM181" s="24">
        <f t="shared" si="51"/>
        <v>0</v>
      </c>
      <c r="AN181" s="55">
        <f t="shared" si="52"/>
        <v>0</v>
      </c>
      <c r="AO181" s="55">
        <f t="shared" si="53"/>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0"/>
        <v>0</v>
      </c>
      <c r="H182" s="12">
        <f t="shared" si="41"/>
        <v>0</v>
      </c>
      <c r="I182" s="12">
        <f t="shared" si="41"/>
        <v>0</v>
      </c>
      <c r="J182" s="12">
        <f t="shared" si="41"/>
        <v>0</v>
      </c>
      <c r="K182" s="12">
        <f t="shared" si="42"/>
        <v>0</v>
      </c>
      <c r="L182" s="12">
        <f t="shared" si="43"/>
        <v>0</v>
      </c>
      <c r="M182" s="12">
        <f t="shared" si="43"/>
        <v>0</v>
      </c>
      <c r="N182" s="12">
        <f t="shared" si="43"/>
        <v>0</v>
      </c>
      <c r="O182" s="12">
        <f t="shared" si="44"/>
        <v>0</v>
      </c>
      <c r="P182" s="12">
        <f t="shared" si="45"/>
        <v>0</v>
      </c>
      <c r="Q182" s="12">
        <f t="shared" si="45"/>
        <v>0</v>
      </c>
      <c r="T182" s="61"/>
      <c r="U182" s="61"/>
      <c r="V182" s="61"/>
      <c r="W182" s="53">
        <f t="shared" si="46"/>
        <v>0</v>
      </c>
      <c r="X182" s="54" t="e">
        <f t="shared" si="47"/>
        <v>#DIV/0!</v>
      </c>
      <c r="Y182" s="25">
        <f t="shared" si="54"/>
        <v>0</v>
      </c>
      <c r="Z182" s="54">
        <f t="shared" si="59"/>
        <v>0</v>
      </c>
      <c r="AA182" s="54">
        <f t="shared" si="48"/>
        <v>0</v>
      </c>
      <c r="AB182" s="54">
        <f t="shared" si="48"/>
        <v>0</v>
      </c>
      <c r="AC182" s="54">
        <f t="shared" si="48"/>
        <v>0</v>
      </c>
      <c r="AD182" s="54">
        <f t="shared" si="48"/>
        <v>0</v>
      </c>
      <c r="AE182" s="54">
        <f t="shared" si="48"/>
        <v>0</v>
      </c>
      <c r="AF182" s="54">
        <f t="shared" si="48"/>
        <v>0</v>
      </c>
      <c r="AG182" s="54">
        <f t="shared" si="48"/>
        <v>0</v>
      </c>
      <c r="AH182" s="54">
        <f t="shared" si="48"/>
        <v>0</v>
      </c>
      <c r="AI182" s="54">
        <f t="shared" si="48"/>
        <v>0</v>
      </c>
      <c r="AJ182" s="54">
        <f t="shared" si="48"/>
        <v>0</v>
      </c>
      <c r="AK182" s="54">
        <f t="shared" ref="AK182" si="73">IF($E83+365&lt;$C$56,0,IF($E83&lt;$C$56,(($E83+365-$C$56)/365)*(($C83/$BN$157)+($D83/$BN$158)),IF($E83&gt;AK$166,0,IF($E83+365&lt;AK$166,($C83/$BN$157)+($D83/$BN$158),((AK$166-$E83)/365)*(($C83/$BN$157)+($D83/$BN$158))))))</f>
        <v>0</v>
      </c>
      <c r="AL182" s="24">
        <f t="shared" si="50"/>
        <v>0</v>
      </c>
      <c r="AM182" s="24">
        <f t="shared" si="51"/>
        <v>0</v>
      </c>
      <c r="AN182" s="55">
        <f t="shared" si="52"/>
        <v>0</v>
      </c>
      <c r="AO182" s="55">
        <f t="shared" si="53"/>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0"/>
        <v>0</v>
      </c>
      <c r="H183" s="12">
        <f t="shared" si="41"/>
        <v>0</v>
      </c>
      <c r="I183" s="12">
        <f t="shared" si="41"/>
        <v>0</v>
      </c>
      <c r="J183" s="12">
        <f t="shared" si="41"/>
        <v>0</v>
      </c>
      <c r="K183" s="12">
        <f t="shared" si="42"/>
        <v>0</v>
      </c>
      <c r="L183" s="12">
        <f t="shared" si="43"/>
        <v>0</v>
      </c>
      <c r="M183" s="12">
        <f t="shared" si="43"/>
        <v>0</v>
      </c>
      <c r="N183" s="12">
        <f t="shared" si="43"/>
        <v>0</v>
      </c>
      <c r="O183" s="12">
        <f t="shared" si="44"/>
        <v>0</v>
      </c>
      <c r="P183" s="12">
        <f t="shared" si="45"/>
        <v>0</v>
      </c>
      <c r="Q183" s="12">
        <f t="shared" si="45"/>
        <v>0</v>
      </c>
      <c r="T183" s="61"/>
      <c r="U183" s="61"/>
      <c r="V183" s="61"/>
      <c r="W183" s="53">
        <f t="shared" si="46"/>
        <v>0</v>
      </c>
      <c r="X183" s="54" t="e">
        <f t="shared" si="47"/>
        <v>#DIV/0!</v>
      </c>
      <c r="Y183" s="25">
        <f t="shared" si="54"/>
        <v>0</v>
      </c>
      <c r="Z183" s="54">
        <f t="shared" si="59"/>
        <v>0</v>
      </c>
      <c r="AA183" s="54">
        <f t="shared" ref="AA183:AJ198" si="74">IF($E84+365&lt;$C$56,0,IF($E84&lt;$C$56,(($E84+365-$C$56)/365)*(($C84/$BN$157)+($D84/$BN$158)),IF($E84&gt;AA$166,0,IF($E84+365&lt;AA$166,($C84/$BN$157)+($D84/$BN$158),((AA$166-$E84)/365)*(($C84/$BN$157)+($D84/$BN$158))))))</f>
        <v>0</v>
      </c>
      <c r="AB183" s="54">
        <f t="shared" si="74"/>
        <v>0</v>
      </c>
      <c r="AC183" s="54">
        <f t="shared" si="74"/>
        <v>0</v>
      </c>
      <c r="AD183" s="54">
        <f t="shared" si="74"/>
        <v>0</v>
      </c>
      <c r="AE183" s="54">
        <f t="shared" si="74"/>
        <v>0</v>
      </c>
      <c r="AF183" s="54">
        <f t="shared" si="74"/>
        <v>0</v>
      </c>
      <c r="AG183" s="54">
        <f t="shared" si="74"/>
        <v>0</v>
      </c>
      <c r="AH183" s="54">
        <f t="shared" si="74"/>
        <v>0</v>
      </c>
      <c r="AI183" s="54">
        <f t="shared" si="74"/>
        <v>0</v>
      </c>
      <c r="AJ183" s="54">
        <f t="shared" si="74"/>
        <v>0</v>
      </c>
      <c r="AK183" s="54">
        <f t="shared" ref="AK183" si="75">IF($E84+365&lt;$C$56,0,IF($E84&lt;$C$56,(($E84+365-$C$56)/365)*(($C84/$BN$157)+($D84/$BN$158)),IF($E84&gt;AK$166,0,IF($E84+365&lt;AK$166,($C84/$BN$157)+($D84/$BN$158),((AK$166-$E84)/365)*(($C84/$BN$157)+($D84/$BN$158))))))</f>
        <v>0</v>
      </c>
      <c r="AL183" s="24">
        <f t="shared" si="50"/>
        <v>0</v>
      </c>
      <c r="AM183" s="24">
        <f t="shared" si="51"/>
        <v>0</v>
      </c>
      <c r="AN183" s="55">
        <f t="shared" si="52"/>
        <v>0</v>
      </c>
      <c r="AO183" s="55">
        <f t="shared" si="53"/>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0"/>
        <v>0</v>
      </c>
      <c r="H184" s="12">
        <f t="shared" si="41"/>
        <v>0</v>
      </c>
      <c r="I184" s="12">
        <f t="shared" si="41"/>
        <v>0</v>
      </c>
      <c r="J184" s="12">
        <f t="shared" si="41"/>
        <v>0</v>
      </c>
      <c r="K184" s="12">
        <f t="shared" si="42"/>
        <v>0</v>
      </c>
      <c r="L184" s="12">
        <f t="shared" si="43"/>
        <v>0</v>
      </c>
      <c r="M184" s="12">
        <f t="shared" si="43"/>
        <v>0</v>
      </c>
      <c r="N184" s="12">
        <f t="shared" si="43"/>
        <v>0</v>
      </c>
      <c r="O184" s="12">
        <f t="shared" si="44"/>
        <v>0</v>
      </c>
      <c r="P184" s="12">
        <f t="shared" si="45"/>
        <v>0</v>
      </c>
      <c r="Q184" s="12">
        <f t="shared" si="45"/>
        <v>0</v>
      </c>
      <c r="T184" s="61"/>
      <c r="U184" s="61"/>
      <c r="V184" s="61"/>
      <c r="W184" s="53">
        <f t="shared" si="46"/>
        <v>0</v>
      </c>
      <c r="X184" s="54" t="e">
        <f t="shared" si="47"/>
        <v>#DIV/0!</v>
      </c>
      <c r="Y184" s="25">
        <f t="shared" si="54"/>
        <v>0</v>
      </c>
      <c r="Z184" s="54">
        <f t="shared" si="59"/>
        <v>0</v>
      </c>
      <c r="AA184" s="54">
        <f t="shared" si="74"/>
        <v>0</v>
      </c>
      <c r="AB184" s="54">
        <f t="shared" si="74"/>
        <v>0</v>
      </c>
      <c r="AC184" s="54">
        <f t="shared" si="74"/>
        <v>0</v>
      </c>
      <c r="AD184" s="54">
        <f t="shared" si="74"/>
        <v>0</v>
      </c>
      <c r="AE184" s="54">
        <f t="shared" si="74"/>
        <v>0</v>
      </c>
      <c r="AF184" s="54">
        <f t="shared" si="74"/>
        <v>0</v>
      </c>
      <c r="AG184" s="54">
        <f t="shared" si="74"/>
        <v>0</v>
      </c>
      <c r="AH184" s="54">
        <f t="shared" si="74"/>
        <v>0</v>
      </c>
      <c r="AI184" s="54">
        <f t="shared" si="74"/>
        <v>0</v>
      </c>
      <c r="AJ184" s="54">
        <f t="shared" si="74"/>
        <v>0</v>
      </c>
      <c r="AK184" s="54">
        <f t="shared" ref="AK184" si="76">IF($E85+365&lt;$C$56,0,IF($E85&lt;$C$56,(($E85+365-$C$56)/365)*(($C85/$BN$157)+($D85/$BN$158)),IF($E85&gt;AK$166,0,IF($E85+365&lt;AK$166,($C85/$BN$157)+($D85/$BN$158),((AK$166-$E85)/365)*(($C85/$BN$157)+($D85/$BN$158))))))</f>
        <v>0</v>
      </c>
      <c r="AL184" s="24">
        <f t="shared" si="50"/>
        <v>0</v>
      </c>
      <c r="AM184" s="24">
        <f t="shared" si="51"/>
        <v>0</v>
      </c>
      <c r="AN184" s="55">
        <f t="shared" si="52"/>
        <v>0</v>
      </c>
      <c r="AO184" s="55">
        <f t="shared" si="53"/>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0"/>
        <v>0</v>
      </c>
      <c r="H185" s="12">
        <f t="shared" si="41"/>
        <v>0</v>
      </c>
      <c r="I185" s="12">
        <f t="shared" si="41"/>
        <v>0</v>
      </c>
      <c r="J185" s="12">
        <f t="shared" si="41"/>
        <v>0</v>
      </c>
      <c r="K185" s="12">
        <f t="shared" si="42"/>
        <v>0</v>
      </c>
      <c r="L185" s="12">
        <f t="shared" si="43"/>
        <v>0</v>
      </c>
      <c r="M185" s="12">
        <f t="shared" si="43"/>
        <v>0</v>
      </c>
      <c r="N185" s="12">
        <f t="shared" si="43"/>
        <v>0</v>
      </c>
      <c r="O185" s="12">
        <f t="shared" si="44"/>
        <v>0</v>
      </c>
      <c r="P185" s="12">
        <f t="shared" si="45"/>
        <v>0</v>
      </c>
      <c r="Q185" s="12">
        <f t="shared" si="45"/>
        <v>0</v>
      </c>
      <c r="T185" s="61"/>
      <c r="U185" s="61"/>
      <c r="V185" s="61"/>
      <c r="W185" s="53">
        <f t="shared" si="46"/>
        <v>0</v>
      </c>
      <c r="X185" s="54" t="e">
        <f t="shared" si="47"/>
        <v>#DIV/0!</v>
      </c>
      <c r="Y185" s="25">
        <f t="shared" si="54"/>
        <v>0</v>
      </c>
      <c r="Z185" s="54">
        <f t="shared" si="59"/>
        <v>0</v>
      </c>
      <c r="AA185" s="54">
        <f t="shared" si="74"/>
        <v>0</v>
      </c>
      <c r="AB185" s="54">
        <f t="shared" si="74"/>
        <v>0</v>
      </c>
      <c r="AC185" s="54">
        <f t="shared" si="74"/>
        <v>0</v>
      </c>
      <c r="AD185" s="54">
        <f t="shared" si="74"/>
        <v>0</v>
      </c>
      <c r="AE185" s="54">
        <f t="shared" si="74"/>
        <v>0</v>
      </c>
      <c r="AF185" s="54">
        <f t="shared" si="74"/>
        <v>0</v>
      </c>
      <c r="AG185" s="54">
        <f t="shared" si="74"/>
        <v>0</v>
      </c>
      <c r="AH185" s="54">
        <f t="shared" si="74"/>
        <v>0</v>
      </c>
      <c r="AI185" s="54">
        <f t="shared" si="74"/>
        <v>0</v>
      </c>
      <c r="AJ185" s="54">
        <f t="shared" si="74"/>
        <v>0</v>
      </c>
      <c r="AK185" s="54">
        <f t="shared" ref="AK185" si="77">IF($E86+365&lt;$C$56,0,IF($E86&lt;$C$56,(($E86+365-$C$56)/365)*(($C86/$BN$157)+($D86/$BN$158)),IF($E86&gt;AK$166,0,IF($E86+365&lt;AK$166,($C86/$BN$157)+($D86/$BN$158),((AK$166-$E86)/365)*(($C86/$BN$157)+($D86/$BN$158))))))</f>
        <v>0</v>
      </c>
      <c r="AL185" s="24">
        <f t="shared" si="50"/>
        <v>0</v>
      </c>
      <c r="AM185" s="24">
        <f t="shared" si="51"/>
        <v>0</v>
      </c>
      <c r="AN185" s="55">
        <f t="shared" si="52"/>
        <v>0</v>
      </c>
      <c r="AO185" s="55">
        <f t="shared" si="53"/>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0"/>
        <v>0</v>
      </c>
      <c r="H186" s="12">
        <f t="shared" si="41"/>
        <v>0</v>
      </c>
      <c r="I186" s="12">
        <f t="shared" si="41"/>
        <v>0</v>
      </c>
      <c r="J186" s="12">
        <f t="shared" si="41"/>
        <v>0</v>
      </c>
      <c r="K186" s="12">
        <f t="shared" si="42"/>
        <v>0</v>
      </c>
      <c r="L186" s="12">
        <f t="shared" si="43"/>
        <v>0</v>
      </c>
      <c r="M186" s="12">
        <f t="shared" si="43"/>
        <v>0</v>
      </c>
      <c r="N186" s="12">
        <f t="shared" si="43"/>
        <v>0</v>
      </c>
      <c r="O186" s="12">
        <f t="shared" si="44"/>
        <v>0</v>
      </c>
      <c r="P186" s="12">
        <f t="shared" si="45"/>
        <v>0</v>
      </c>
      <c r="Q186" s="12">
        <f t="shared" si="45"/>
        <v>0</v>
      </c>
      <c r="T186" s="61"/>
      <c r="U186" s="61"/>
      <c r="V186" s="61"/>
      <c r="W186" s="53">
        <f t="shared" si="46"/>
        <v>0</v>
      </c>
      <c r="X186" s="54" t="e">
        <f t="shared" si="47"/>
        <v>#DIV/0!</v>
      </c>
      <c r="Y186" s="25">
        <f t="shared" si="54"/>
        <v>0</v>
      </c>
      <c r="Z186" s="54">
        <f t="shared" si="59"/>
        <v>0</v>
      </c>
      <c r="AA186" s="54">
        <f t="shared" si="74"/>
        <v>0</v>
      </c>
      <c r="AB186" s="54">
        <f t="shared" si="74"/>
        <v>0</v>
      </c>
      <c r="AC186" s="54">
        <f t="shared" si="74"/>
        <v>0</v>
      </c>
      <c r="AD186" s="54">
        <f t="shared" si="74"/>
        <v>0</v>
      </c>
      <c r="AE186" s="54">
        <f t="shared" si="74"/>
        <v>0</v>
      </c>
      <c r="AF186" s="54">
        <f t="shared" si="74"/>
        <v>0</v>
      </c>
      <c r="AG186" s="54">
        <f t="shared" si="74"/>
        <v>0</v>
      </c>
      <c r="AH186" s="54">
        <f t="shared" si="74"/>
        <v>0</v>
      </c>
      <c r="AI186" s="54">
        <f t="shared" si="74"/>
        <v>0</v>
      </c>
      <c r="AJ186" s="54">
        <f t="shared" si="74"/>
        <v>0</v>
      </c>
      <c r="AK186" s="54">
        <f t="shared" ref="AK186" si="78">IF($E87+365&lt;$C$56,0,IF($E87&lt;$C$56,(($E87+365-$C$56)/365)*(($C87/$BN$157)+($D87/$BN$158)),IF($E87&gt;AK$166,0,IF($E87+365&lt;AK$166,($C87/$BN$157)+($D87/$BN$158),((AK$166-$E87)/365)*(($C87/$BN$157)+($D87/$BN$158))))))</f>
        <v>0</v>
      </c>
      <c r="AL186" s="24">
        <f t="shared" si="50"/>
        <v>0</v>
      </c>
      <c r="AM186" s="24">
        <f t="shared" si="51"/>
        <v>0</v>
      </c>
      <c r="AN186" s="55">
        <f t="shared" si="52"/>
        <v>0</v>
      </c>
      <c r="AO186" s="55">
        <f t="shared" si="53"/>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0"/>
        <v>0</v>
      </c>
      <c r="H187" s="12">
        <f t="shared" ref="H187:J206" si="79">IF($E89&gt;H$66,0,IF($E89&lt;H$66-365,$C89,0))</f>
        <v>0</v>
      </c>
      <c r="I187" s="12">
        <f t="shared" si="79"/>
        <v>0</v>
      </c>
      <c r="J187" s="12">
        <f t="shared" si="79"/>
        <v>0</v>
      </c>
      <c r="K187" s="12">
        <f t="shared" si="42"/>
        <v>0</v>
      </c>
      <c r="L187" s="12">
        <f t="shared" ref="L187:N206" si="80">IF($E89&gt;L$66,0,IF($E89&lt;L$66-365,$C89,0))</f>
        <v>0</v>
      </c>
      <c r="M187" s="12">
        <f t="shared" si="80"/>
        <v>0</v>
      </c>
      <c r="N187" s="12">
        <f t="shared" si="80"/>
        <v>0</v>
      </c>
      <c r="O187" s="12">
        <f t="shared" si="44"/>
        <v>0</v>
      </c>
      <c r="P187" s="12">
        <f t="shared" ref="P187:Q206" si="81">IF($E89&gt;P$66,0,IF($E89&lt;P$66-365,$C89,0))</f>
        <v>0</v>
      </c>
      <c r="Q187" s="12">
        <f t="shared" si="81"/>
        <v>0</v>
      </c>
      <c r="T187" s="61"/>
      <c r="U187" s="61"/>
      <c r="V187" s="61"/>
      <c r="W187" s="53">
        <f t="shared" si="46"/>
        <v>0</v>
      </c>
      <c r="X187" s="54" t="e">
        <f t="shared" si="47"/>
        <v>#DIV/0!</v>
      </c>
      <c r="Y187" s="25">
        <f t="shared" si="54"/>
        <v>0</v>
      </c>
      <c r="Z187" s="54">
        <f t="shared" si="59"/>
        <v>0</v>
      </c>
      <c r="AA187" s="54">
        <f t="shared" si="74"/>
        <v>0</v>
      </c>
      <c r="AB187" s="54">
        <f t="shared" si="74"/>
        <v>0</v>
      </c>
      <c r="AC187" s="54">
        <f t="shared" si="74"/>
        <v>0</v>
      </c>
      <c r="AD187" s="54">
        <f t="shared" si="74"/>
        <v>0</v>
      </c>
      <c r="AE187" s="54">
        <f t="shared" si="74"/>
        <v>0</v>
      </c>
      <c r="AF187" s="54">
        <f t="shared" si="74"/>
        <v>0</v>
      </c>
      <c r="AG187" s="54">
        <f t="shared" si="74"/>
        <v>0</v>
      </c>
      <c r="AH187" s="54">
        <f t="shared" si="74"/>
        <v>0</v>
      </c>
      <c r="AI187" s="54">
        <f t="shared" si="74"/>
        <v>0</v>
      </c>
      <c r="AJ187" s="54">
        <f t="shared" si="74"/>
        <v>0</v>
      </c>
      <c r="AK187" s="54">
        <f t="shared" ref="AK187" si="82">IF($E88+365&lt;$C$56,0,IF($E88&lt;$C$56,(($E88+365-$C$56)/365)*(($C88/$BN$157)+($D88/$BN$158)),IF($E88&gt;AK$166,0,IF($E88+365&lt;AK$166,($C88/$BN$157)+($D88/$BN$158),((AK$166-$E88)/365)*(($C88/$BN$157)+($D88/$BN$158))))))</f>
        <v>0</v>
      </c>
      <c r="AL187" s="24">
        <f t="shared" si="50"/>
        <v>0</v>
      </c>
      <c r="AM187" s="24">
        <f t="shared" si="51"/>
        <v>0</v>
      </c>
      <c r="AN187" s="55">
        <f t="shared" si="52"/>
        <v>0</v>
      </c>
      <c r="AO187" s="55">
        <f t="shared" si="53"/>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0"/>
        <v>0</v>
      </c>
      <c r="H188" s="12">
        <f t="shared" si="79"/>
        <v>0</v>
      </c>
      <c r="I188" s="12">
        <f t="shared" si="79"/>
        <v>0</v>
      </c>
      <c r="J188" s="12">
        <f t="shared" si="79"/>
        <v>0</v>
      </c>
      <c r="K188" s="12">
        <f t="shared" si="42"/>
        <v>0</v>
      </c>
      <c r="L188" s="12">
        <f t="shared" si="80"/>
        <v>0</v>
      </c>
      <c r="M188" s="12">
        <f t="shared" si="80"/>
        <v>0</v>
      </c>
      <c r="N188" s="12">
        <f t="shared" si="80"/>
        <v>0</v>
      </c>
      <c r="O188" s="12">
        <f t="shared" si="44"/>
        <v>0</v>
      </c>
      <c r="P188" s="12">
        <f t="shared" si="81"/>
        <v>0</v>
      </c>
      <c r="Q188" s="12">
        <f t="shared" si="81"/>
        <v>0</v>
      </c>
      <c r="T188" s="61"/>
      <c r="U188" s="61"/>
      <c r="V188" s="61"/>
      <c r="W188" s="53">
        <f t="shared" si="46"/>
        <v>0</v>
      </c>
      <c r="X188" s="54" t="e">
        <f t="shared" si="47"/>
        <v>#DIV/0!</v>
      </c>
      <c r="Y188" s="25">
        <f t="shared" si="54"/>
        <v>0</v>
      </c>
      <c r="Z188" s="54">
        <f t="shared" si="59"/>
        <v>0</v>
      </c>
      <c r="AA188" s="54">
        <f t="shared" si="74"/>
        <v>0</v>
      </c>
      <c r="AB188" s="54">
        <f t="shared" si="74"/>
        <v>0</v>
      </c>
      <c r="AC188" s="54">
        <f t="shared" si="74"/>
        <v>0</v>
      </c>
      <c r="AD188" s="54">
        <f t="shared" si="74"/>
        <v>0</v>
      </c>
      <c r="AE188" s="54">
        <f t="shared" si="74"/>
        <v>0</v>
      </c>
      <c r="AF188" s="54">
        <f t="shared" si="74"/>
        <v>0</v>
      </c>
      <c r="AG188" s="54">
        <f t="shared" si="74"/>
        <v>0</v>
      </c>
      <c r="AH188" s="54">
        <f t="shared" si="74"/>
        <v>0</v>
      </c>
      <c r="AI188" s="54">
        <f t="shared" si="74"/>
        <v>0</v>
      </c>
      <c r="AJ188" s="54">
        <f t="shared" si="74"/>
        <v>0</v>
      </c>
      <c r="AK188" s="54">
        <f t="shared" ref="AK188" si="83">IF($E89+365&lt;$C$56,0,IF($E89&lt;$C$56,(($E89+365-$C$56)/365)*(($C89/$BN$157)+($D89/$BN$158)),IF($E89&gt;AK$166,0,IF($E89+365&lt;AK$166,($C89/$BN$157)+($D89/$BN$158),((AK$166-$E89)/365)*(($C89/$BN$157)+($D89/$BN$158))))))</f>
        <v>0</v>
      </c>
      <c r="AL188" s="24">
        <f t="shared" si="50"/>
        <v>0</v>
      </c>
      <c r="AM188" s="24">
        <f t="shared" si="51"/>
        <v>0</v>
      </c>
      <c r="AN188" s="55">
        <f t="shared" si="52"/>
        <v>0</v>
      </c>
      <c r="AO188" s="55">
        <f t="shared" si="53"/>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0"/>
        <v>0</v>
      </c>
      <c r="H189" s="12">
        <f t="shared" si="79"/>
        <v>0</v>
      </c>
      <c r="I189" s="12">
        <f t="shared" si="79"/>
        <v>0</v>
      </c>
      <c r="J189" s="12">
        <f t="shared" si="79"/>
        <v>0</v>
      </c>
      <c r="K189" s="12">
        <f t="shared" si="42"/>
        <v>0</v>
      </c>
      <c r="L189" s="12">
        <f t="shared" si="80"/>
        <v>0</v>
      </c>
      <c r="M189" s="12">
        <f t="shared" si="80"/>
        <v>0</v>
      </c>
      <c r="N189" s="12">
        <f t="shared" si="80"/>
        <v>0</v>
      </c>
      <c r="O189" s="12">
        <f t="shared" si="44"/>
        <v>0</v>
      </c>
      <c r="P189" s="12">
        <f t="shared" si="81"/>
        <v>0</v>
      </c>
      <c r="Q189" s="12">
        <f t="shared" si="81"/>
        <v>0</v>
      </c>
      <c r="T189" s="61"/>
      <c r="U189" s="61"/>
      <c r="V189" s="61"/>
      <c r="W189" s="53">
        <f t="shared" si="46"/>
        <v>0</v>
      </c>
      <c r="X189" s="54" t="e">
        <f t="shared" si="47"/>
        <v>#DIV/0!</v>
      </c>
      <c r="Y189" s="25">
        <f t="shared" si="54"/>
        <v>0</v>
      </c>
      <c r="Z189" s="54">
        <f t="shared" si="59"/>
        <v>0</v>
      </c>
      <c r="AA189" s="54">
        <f t="shared" si="74"/>
        <v>0</v>
      </c>
      <c r="AB189" s="54">
        <f t="shared" si="74"/>
        <v>0</v>
      </c>
      <c r="AC189" s="54">
        <f t="shared" si="74"/>
        <v>0</v>
      </c>
      <c r="AD189" s="54">
        <f t="shared" si="74"/>
        <v>0</v>
      </c>
      <c r="AE189" s="54">
        <f t="shared" si="74"/>
        <v>0</v>
      </c>
      <c r="AF189" s="54">
        <f t="shared" si="74"/>
        <v>0</v>
      </c>
      <c r="AG189" s="54">
        <f t="shared" si="74"/>
        <v>0</v>
      </c>
      <c r="AH189" s="54">
        <f t="shared" si="74"/>
        <v>0</v>
      </c>
      <c r="AI189" s="54">
        <f t="shared" si="74"/>
        <v>0</v>
      </c>
      <c r="AJ189" s="54">
        <f t="shared" si="74"/>
        <v>0</v>
      </c>
      <c r="AK189" s="54">
        <f t="shared" ref="AK189" si="84">IF($E90+365&lt;$C$56,0,IF($E90&lt;$C$56,(($E90+365-$C$56)/365)*(($C90/$BN$157)+($D90/$BN$158)),IF($E90&gt;AK$166,0,IF($E90+365&lt;AK$166,($C90/$BN$157)+($D90/$BN$158),((AK$166-$E90)/365)*(($C90/$BN$157)+($D90/$BN$158))))))</f>
        <v>0</v>
      </c>
      <c r="AL189" s="24">
        <f t="shared" si="50"/>
        <v>0</v>
      </c>
      <c r="AM189" s="24">
        <f t="shared" si="51"/>
        <v>0</v>
      </c>
      <c r="AN189" s="55">
        <f t="shared" si="52"/>
        <v>0</v>
      </c>
      <c r="AO189" s="55">
        <f t="shared" si="53"/>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0"/>
        <v>0</v>
      </c>
      <c r="H190" s="12">
        <f t="shared" si="79"/>
        <v>0</v>
      </c>
      <c r="I190" s="12">
        <f t="shared" si="79"/>
        <v>0</v>
      </c>
      <c r="J190" s="12">
        <f t="shared" si="79"/>
        <v>0</v>
      </c>
      <c r="K190" s="12">
        <f t="shared" si="42"/>
        <v>0</v>
      </c>
      <c r="L190" s="12">
        <f t="shared" si="80"/>
        <v>0</v>
      </c>
      <c r="M190" s="12">
        <f t="shared" si="80"/>
        <v>0</v>
      </c>
      <c r="N190" s="12">
        <f t="shared" si="80"/>
        <v>0</v>
      </c>
      <c r="O190" s="12">
        <f t="shared" si="44"/>
        <v>0</v>
      </c>
      <c r="P190" s="12">
        <f t="shared" si="81"/>
        <v>0</v>
      </c>
      <c r="Q190" s="12">
        <f t="shared" si="81"/>
        <v>0</v>
      </c>
      <c r="T190" s="61"/>
      <c r="U190" s="61"/>
      <c r="V190" s="61"/>
      <c r="W190" s="53">
        <f t="shared" si="46"/>
        <v>0</v>
      </c>
      <c r="X190" s="54" t="e">
        <f t="shared" si="47"/>
        <v>#DIV/0!</v>
      </c>
      <c r="Y190" s="25">
        <f t="shared" si="54"/>
        <v>0</v>
      </c>
      <c r="Z190" s="54">
        <f t="shared" si="59"/>
        <v>0</v>
      </c>
      <c r="AA190" s="54">
        <f t="shared" si="74"/>
        <v>0</v>
      </c>
      <c r="AB190" s="54">
        <f t="shared" si="74"/>
        <v>0</v>
      </c>
      <c r="AC190" s="54">
        <f t="shared" si="74"/>
        <v>0</v>
      </c>
      <c r="AD190" s="54">
        <f t="shared" si="74"/>
        <v>0</v>
      </c>
      <c r="AE190" s="54">
        <f t="shared" si="74"/>
        <v>0</v>
      </c>
      <c r="AF190" s="54">
        <f t="shared" si="74"/>
        <v>0</v>
      </c>
      <c r="AG190" s="54">
        <f t="shared" si="74"/>
        <v>0</v>
      </c>
      <c r="AH190" s="54">
        <f t="shared" si="74"/>
        <v>0</v>
      </c>
      <c r="AI190" s="54">
        <f t="shared" si="74"/>
        <v>0</v>
      </c>
      <c r="AJ190" s="54">
        <f t="shared" si="74"/>
        <v>0</v>
      </c>
      <c r="AK190" s="54">
        <f t="shared" ref="AK190" si="85">IF($E91+365&lt;$C$56,0,IF($E91&lt;$C$56,(($E91+365-$C$56)/365)*(($C91/$BN$157)+($D91/$BN$158)),IF($E91&gt;AK$166,0,IF($E91+365&lt;AK$166,($C91/$BN$157)+($D91/$BN$158),((AK$166-$E91)/365)*(($C91/$BN$157)+($D91/$BN$158))))))</f>
        <v>0</v>
      </c>
      <c r="AL190" s="24">
        <f t="shared" si="50"/>
        <v>0</v>
      </c>
      <c r="AM190" s="24">
        <f t="shared" si="51"/>
        <v>0</v>
      </c>
      <c r="AN190" s="55">
        <f t="shared" si="52"/>
        <v>0</v>
      </c>
      <c r="AO190" s="55">
        <f t="shared" si="53"/>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0"/>
        <v>0</v>
      </c>
      <c r="H191" s="12">
        <f t="shared" si="79"/>
        <v>0</v>
      </c>
      <c r="I191" s="12">
        <f t="shared" si="79"/>
        <v>0</v>
      </c>
      <c r="J191" s="12">
        <f t="shared" si="79"/>
        <v>0</v>
      </c>
      <c r="K191" s="12">
        <f t="shared" si="42"/>
        <v>0</v>
      </c>
      <c r="L191" s="12">
        <f t="shared" si="80"/>
        <v>0</v>
      </c>
      <c r="M191" s="12">
        <f t="shared" si="80"/>
        <v>0</v>
      </c>
      <c r="N191" s="12">
        <f t="shared" si="80"/>
        <v>0</v>
      </c>
      <c r="O191" s="12">
        <f t="shared" si="44"/>
        <v>0</v>
      </c>
      <c r="P191" s="12">
        <f t="shared" si="81"/>
        <v>0</v>
      </c>
      <c r="Q191" s="12">
        <f t="shared" si="81"/>
        <v>0</v>
      </c>
      <c r="T191" s="61"/>
      <c r="U191" s="61"/>
      <c r="V191" s="61"/>
      <c r="W191" s="53">
        <f t="shared" si="46"/>
        <v>0</v>
      </c>
      <c r="X191" s="54" t="e">
        <f t="shared" si="47"/>
        <v>#DIV/0!</v>
      </c>
      <c r="Y191" s="25">
        <f t="shared" si="54"/>
        <v>0</v>
      </c>
      <c r="Z191" s="54">
        <f t="shared" si="59"/>
        <v>0</v>
      </c>
      <c r="AA191" s="54">
        <f t="shared" si="74"/>
        <v>0</v>
      </c>
      <c r="AB191" s="54">
        <f t="shared" si="74"/>
        <v>0</v>
      </c>
      <c r="AC191" s="54">
        <f t="shared" si="74"/>
        <v>0</v>
      </c>
      <c r="AD191" s="54">
        <f t="shared" si="74"/>
        <v>0</v>
      </c>
      <c r="AE191" s="54">
        <f t="shared" si="74"/>
        <v>0</v>
      </c>
      <c r="AF191" s="54">
        <f t="shared" si="74"/>
        <v>0</v>
      </c>
      <c r="AG191" s="54">
        <f t="shared" si="74"/>
        <v>0</v>
      </c>
      <c r="AH191" s="54">
        <f t="shared" si="74"/>
        <v>0</v>
      </c>
      <c r="AI191" s="54">
        <f t="shared" si="74"/>
        <v>0</v>
      </c>
      <c r="AJ191" s="54">
        <f t="shared" si="74"/>
        <v>0</v>
      </c>
      <c r="AK191" s="54">
        <f t="shared" ref="AK191" si="86">IF($E92+365&lt;$C$56,0,IF($E92&lt;$C$56,(($E92+365-$C$56)/365)*(($C92/$BN$157)+($D92/$BN$158)),IF($E92&gt;AK$166,0,IF($E92+365&lt;AK$166,($C92/$BN$157)+($D92/$BN$158),((AK$166-$E92)/365)*(($C92/$BN$157)+($D92/$BN$158))))))</f>
        <v>0</v>
      </c>
      <c r="AL191" s="24">
        <f t="shared" si="50"/>
        <v>0</v>
      </c>
      <c r="AM191" s="24">
        <f t="shared" si="51"/>
        <v>0</v>
      </c>
      <c r="AN191" s="55">
        <f t="shared" si="52"/>
        <v>0</v>
      </c>
      <c r="AO191" s="55">
        <f t="shared" si="53"/>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0"/>
        <v>0</v>
      </c>
      <c r="H192" s="12">
        <f t="shared" si="79"/>
        <v>0</v>
      </c>
      <c r="I192" s="12">
        <f t="shared" si="79"/>
        <v>0</v>
      </c>
      <c r="J192" s="12">
        <f t="shared" si="79"/>
        <v>0</v>
      </c>
      <c r="K192" s="12">
        <f t="shared" si="42"/>
        <v>0</v>
      </c>
      <c r="L192" s="12">
        <f t="shared" si="80"/>
        <v>0</v>
      </c>
      <c r="M192" s="12">
        <f t="shared" si="80"/>
        <v>0</v>
      </c>
      <c r="N192" s="12">
        <f t="shared" si="80"/>
        <v>0</v>
      </c>
      <c r="O192" s="12">
        <f t="shared" si="44"/>
        <v>0</v>
      </c>
      <c r="P192" s="12">
        <f t="shared" si="81"/>
        <v>0</v>
      </c>
      <c r="Q192" s="12">
        <f t="shared" si="81"/>
        <v>0</v>
      </c>
      <c r="T192" s="61"/>
      <c r="U192" s="61"/>
      <c r="V192" s="61"/>
      <c r="W192" s="53">
        <f t="shared" si="46"/>
        <v>0</v>
      </c>
      <c r="X192" s="54" t="e">
        <f t="shared" si="47"/>
        <v>#DIV/0!</v>
      </c>
      <c r="Y192" s="25">
        <f t="shared" si="54"/>
        <v>0</v>
      </c>
      <c r="Z192" s="54">
        <f t="shared" si="59"/>
        <v>0</v>
      </c>
      <c r="AA192" s="54">
        <f t="shared" si="74"/>
        <v>0</v>
      </c>
      <c r="AB192" s="54">
        <f t="shared" si="74"/>
        <v>0</v>
      </c>
      <c r="AC192" s="54">
        <f t="shared" si="74"/>
        <v>0</v>
      </c>
      <c r="AD192" s="54">
        <f t="shared" si="74"/>
        <v>0</v>
      </c>
      <c r="AE192" s="54">
        <f t="shared" si="74"/>
        <v>0</v>
      </c>
      <c r="AF192" s="54">
        <f t="shared" si="74"/>
        <v>0</v>
      </c>
      <c r="AG192" s="54">
        <f t="shared" si="74"/>
        <v>0</v>
      </c>
      <c r="AH192" s="54">
        <f t="shared" si="74"/>
        <v>0</v>
      </c>
      <c r="AI192" s="54">
        <f t="shared" si="74"/>
        <v>0</v>
      </c>
      <c r="AJ192" s="54">
        <f t="shared" si="74"/>
        <v>0</v>
      </c>
      <c r="AK192" s="54">
        <f t="shared" ref="AK192" si="87">IF($E93+365&lt;$C$56,0,IF($E93&lt;$C$56,(($E93+365-$C$56)/365)*(($C93/$BN$157)+($D93/$BN$158)),IF($E93&gt;AK$166,0,IF($E93+365&lt;AK$166,($C93/$BN$157)+($D93/$BN$158),((AK$166-$E93)/365)*(($C93/$BN$157)+($D93/$BN$158))))))</f>
        <v>0</v>
      </c>
      <c r="AL192" s="24">
        <f t="shared" si="50"/>
        <v>0</v>
      </c>
      <c r="AM192" s="24">
        <f t="shared" si="51"/>
        <v>0</v>
      </c>
      <c r="AN192" s="55">
        <f t="shared" si="52"/>
        <v>0</v>
      </c>
      <c r="AO192" s="55">
        <f t="shared" si="53"/>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0"/>
        <v>0</v>
      </c>
      <c r="H193" s="12">
        <f t="shared" si="79"/>
        <v>0</v>
      </c>
      <c r="I193" s="12">
        <f t="shared" si="79"/>
        <v>0</v>
      </c>
      <c r="J193" s="12">
        <f t="shared" si="79"/>
        <v>0</v>
      </c>
      <c r="K193" s="12">
        <f t="shared" si="42"/>
        <v>0</v>
      </c>
      <c r="L193" s="12">
        <f t="shared" si="80"/>
        <v>0</v>
      </c>
      <c r="M193" s="12">
        <f t="shared" si="80"/>
        <v>0</v>
      </c>
      <c r="N193" s="12">
        <f t="shared" si="80"/>
        <v>0</v>
      </c>
      <c r="O193" s="12">
        <f t="shared" si="44"/>
        <v>0</v>
      </c>
      <c r="P193" s="12">
        <f t="shared" si="81"/>
        <v>0</v>
      </c>
      <c r="Q193" s="12">
        <f t="shared" si="81"/>
        <v>0</v>
      </c>
      <c r="T193" s="61"/>
      <c r="U193" s="61"/>
      <c r="V193" s="61"/>
      <c r="W193" s="53">
        <f t="shared" si="46"/>
        <v>0</v>
      </c>
      <c r="X193" s="54" t="e">
        <f t="shared" si="47"/>
        <v>#DIV/0!</v>
      </c>
      <c r="Y193" s="25">
        <f t="shared" si="54"/>
        <v>0</v>
      </c>
      <c r="Z193" s="54">
        <f t="shared" si="59"/>
        <v>0</v>
      </c>
      <c r="AA193" s="54">
        <f t="shared" si="74"/>
        <v>0</v>
      </c>
      <c r="AB193" s="54">
        <f t="shared" si="74"/>
        <v>0</v>
      </c>
      <c r="AC193" s="54">
        <f t="shared" si="74"/>
        <v>0</v>
      </c>
      <c r="AD193" s="54">
        <f t="shared" si="74"/>
        <v>0</v>
      </c>
      <c r="AE193" s="54">
        <f t="shared" si="74"/>
        <v>0</v>
      </c>
      <c r="AF193" s="54">
        <f t="shared" si="74"/>
        <v>0</v>
      </c>
      <c r="AG193" s="54">
        <f t="shared" si="74"/>
        <v>0</v>
      </c>
      <c r="AH193" s="54">
        <f t="shared" si="74"/>
        <v>0</v>
      </c>
      <c r="AI193" s="54">
        <f t="shared" si="74"/>
        <v>0</v>
      </c>
      <c r="AJ193" s="54">
        <f t="shared" si="74"/>
        <v>0</v>
      </c>
      <c r="AK193" s="54">
        <f t="shared" ref="AK193" si="88">IF($E94+365&lt;$C$56,0,IF($E94&lt;$C$56,(($E94+365-$C$56)/365)*(($C94/$BN$157)+($D94/$BN$158)),IF($E94&gt;AK$166,0,IF($E94+365&lt;AK$166,($C94/$BN$157)+($D94/$BN$158),((AK$166-$E94)/365)*(($C94/$BN$157)+($D94/$BN$158))))))</f>
        <v>0</v>
      </c>
      <c r="AL193" s="24">
        <f t="shared" si="50"/>
        <v>0</v>
      </c>
      <c r="AM193" s="24">
        <f t="shared" si="51"/>
        <v>0</v>
      </c>
      <c r="AN193" s="55">
        <f t="shared" si="52"/>
        <v>0</v>
      </c>
      <c r="AO193" s="55">
        <f t="shared" si="53"/>
        <v>0</v>
      </c>
      <c r="AP193" s="24"/>
      <c r="AQ193" s="24"/>
      <c r="AR193" s="24"/>
      <c r="AS193" s="24"/>
      <c r="AT193" s="24"/>
      <c r="AU193" s="24"/>
      <c r="AV193" s="24"/>
      <c r="AW193" s="24"/>
      <c r="AX193" s="24"/>
      <c r="AY193" s="24"/>
    </row>
    <row r="194" spans="7:51">
      <c r="G194" s="12">
        <f t="shared" si="40"/>
        <v>0</v>
      </c>
      <c r="H194" s="12">
        <f t="shared" si="79"/>
        <v>0</v>
      </c>
      <c r="I194" s="12">
        <f t="shared" si="79"/>
        <v>0</v>
      </c>
      <c r="J194" s="12">
        <f t="shared" si="79"/>
        <v>0</v>
      </c>
      <c r="K194" s="12">
        <f t="shared" si="42"/>
        <v>0</v>
      </c>
      <c r="L194" s="12">
        <f t="shared" si="80"/>
        <v>0</v>
      </c>
      <c r="M194" s="12">
        <f t="shared" si="80"/>
        <v>0</v>
      </c>
      <c r="N194" s="12">
        <f t="shared" si="80"/>
        <v>0</v>
      </c>
      <c r="O194" s="12">
        <f t="shared" si="44"/>
        <v>0</v>
      </c>
      <c r="P194" s="12">
        <f t="shared" si="81"/>
        <v>0</v>
      </c>
      <c r="Q194" s="12">
        <f t="shared" si="81"/>
        <v>0</v>
      </c>
      <c r="T194" s="61"/>
      <c r="U194" s="61"/>
      <c r="V194" s="61"/>
      <c r="W194" s="53">
        <f t="shared" si="46"/>
        <v>0</v>
      </c>
      <c r="X194" s="54" t="e">
        <f t="shared" si="47"/>
        <v>#DIV/0!</v>
      </c>
      <c r="Y194" s="25">
        <f t="shared" si="54"/>
        <v>0</v>
      </c>
      <c r="Z194" s="54">
        <f t="shared" si="59"/>
        <v>0</v>
      </c>
      <c r="AA194" s="54">
        <f t="shared" si="74"/>
        <v>0</v>
      </c>
      <c r="AB194" s="54">
        <f t="shared" si="74"/>
        <v>0</v>
      </c>
      <c r="AC194" s="54">
        <f t="shared" si="74"/>
        <v>0</v>
      </c>
      <c r="AD194" s="54">
        <f t="shared" si="74"/>
        <v>0</v>
      </c>
      <c r="AE194" s="54">
        <f t="shared" si="74"/>
        <v>0</v>
      </c>
      <c r="AF194" s="54">
        <f t="shared" si="74"/>
        <v>0</v>
      </c>
      <c r="AG194" s="54">
        <f t="shared" si="74"/>
        <v>0</v>
      </c>
      <c r="AH194" s="54">
        <f t="shared" si="74"/>
        <v>0</v>
      </c>
      <c r="AI194" s="54">
        <f t="shared" si="74"/>
        <v>0</v>
      </c>
      <c r="AJ194" s="54">
        <f t="shared" si="74"/>
        <v>0</v>
      </c>
      <c r="AK194" s="54">
        <f t="shared" ref="AK194" si="89">IF($E95+365&lt;$C$56,0,IF($E95&lt;$C$56,(($E95+365-$C$56)/365)*(($C95/$BN$157)+($D95/$BN$158)),IF($E95&gt;AK$166,0,IF($E95+365&lt;AK$166,($C95/$BN$157)+($D95/$BN$158),((AK$166-$E95)/365)*(($C95/$BN$157)+($D95/$BN$158))))))</f>
        <v>0</v>
      </c>
      <c r="AL194" s="24">
        <f t="shared" si="50"/>
        <v>0</v>
      </c>
      <c r="AM194" s="24">
        <f t="shared" si="51"/>
        <v>0</v>
      </c>
      <c r="AN194" s="55">
        <f t="shared" si="52"/>
        <v>0</v>
      </c>
      <c r="AO194" s="55">
        <f t="shared" si="53"/>
        <v>0</v>
      </c>
      <c r="AP194" s="24"/>
      <c r="AQ194" s="24"/>
      <c r="AR194" s="24"/>
      <c r="AS194" s="24"/>
      <c r="AT194" s="24"/>
      <c r="AU194" s="24"/>
      <c r="AV194" s="24"/>
      <c r="AW194" s="24"/>
      <c r="AX194" s="24"/>
      <c r="AY194" s="24"/>
    </row>
    <row r="195" spans="7:51">
      <c r="G195" s="12">
        <f t="shared" si="40"/>
        <v>0</v>
      </c>
      <c r="H195" s="12">
        <f t="shared" si="79"/>
        <v>0</v>
      </c>
      <c r="I195" s="12">
        <f t="shared" si="79"/>
        <v>0</v>
      </c>
      <c r="J195" s="12">
        <f t="shared" si="79"/>
        <v>0</v>
      </c>
      <c r="K195" s="12">
        <f t="shared" si="42"/>
        <v>0</v>
      </c>
      <c r="L195" s="12">
        <f t="shared" si="80"/>
        <v>0</v>
      </c>
      <c r="M195" s="12">
        <f t="shared" si="80"/>
        <v>0</v>
      </c>
      <c r="N195" s="12">
        <f t="shared" si="80"/>
        <v>0</v>
      </c>
      <c r="O195" s="12">
        <f t="shared" si="44"/>
        <v>0</v>
      </c>
      <c r="P195" s="12">
        <f t="shared" si="81"/>
        <v>0</v>
      </c>
      <c r="Q195" s="12">
        <f t="shared" si="81"/>
        <v>0</v>
      </c>
      <c r="T195" s="61"/>
      <c r="U195" s="61"/>
      <c r="V195" s="61"/>
      <c r="W195" s="53">
        <f t="shared" si="46"/>
        <v>0</v>
      </c>
      <c r="X195" s="54" t="e">
        <f t="shared" si="47"/>
        <v>#DIV/0!</v>
      </c>
      <c r="Y195" s="25">
        <f t="shared" si="54"/>
        <v>0</v>
      </c>
      <c r="Z195" s="54">
        <f t="shared" si="59"/>
        <v>0</v>
      </c>
      <c r="AA195" s="54">
        <f t="shared" si="74"/>
        <v>0</v>
      </c>
      <c r="AB195" s="54">
        <f t="shared" si="74"/>
        <v>0</v>
      </c>
      <c r="AC195" s="54">
        <f t="shared" si="74"/>
        <v>0</v>
      </c>
      <c r="AD195" s="54">
        <f t="shared" si="74"/>
        <v>0</v>
      </c>
      <c r="AE195" s="54">
        <f t="shared" si="74"/>
        <v>0</v>
      </c>
      <c r="AF195" s="54">
        <f t="shared" si="74"/>
        <v>0</v>
      </c>
      <c r="AG195" s="54">
        <f t="shared" si="74"/>
        <v>0</v>
      </c>
      <c r="AH195" s="54">
        <f t="shared" si="74"/>
        <v>0</v>
      </c>
      <c r="AI195" s="54">
        <f t="shared" si="74"/>
        <v>0</v>
      </c>
      <c r="AJ195" s="54">
        <f t="shared" si="74"/>
        <v>0</v>
      </c>
      <c r="AK195" s="54">
        <f t="shared" ref="AK195" si="90">IF($E96+365&lt;$C$56,0,IF($E96&lt;$C$56,(($E96+365-$C$56)/365)*(($C96/$BN$157)+($D96/$BN$158)),IF($E96&gt;AK$166,0,IF($E96+365&lt;AK$166,($C96/$BN$157)+($D96/$BN$158),((AK$166-$E96)/365)*(($C96/$BN$157)+($D96/$BN$158))))))</f>
        <v>0</v>
      </c>
      <c r="AL195" s="24">
        <f t="shared" si="50"/>
        <v>0</v>
      </c>
      <c r="AM195" s="24">
        <f t="shared" si="51"/>
        <v>0</v>
      </c>
      <c r="AN195" s="55">
        <f t="shared" si="52"/>
        <v>0</v>
      </c>
      <c r="AO195" s="55">
        <f t="shared" si="53"/>
        <v>0</v>
      </c>
      <c r="AP195" s="24"/>
      <c r="AQ195" s="24"/>
      <c r="AR195" s="24"/>
      <c r="AS195" s="24"/>
      <c r="AT195" s="24"/>
      <c r="AU195" s="24"/>
      <c r="AV195" s="24"/>
      <c r="AW195" s="24"/>
      <c r="AX195" s="24"/>
      <c r="AY195" s="24"/>
    </row>
    <row r="196" spans="7:51">
      <c r="G196" s="12">
        <f t="shared" si="40"/>
        <v>0</v>
      </c>
      <c r="H196" s="12">
        <f t="shared" si="79"/>
        <v>0</v>
      </c>
      <c r="I196" s="12">
        <f t="shared" si="79"/>
        <v>0</v>
      </c>
      <c r="J196" s="12">
        <f t="shared" si="79"/>
        <v>0</v>
      </c>
      <c r="K196" s="12">
        <f t="shared" si="42"/>
        <v>0</v>
      </c>
      <c r="L196" s="12">
        <f t="shared" si="80"/>
        <v>0</v>
      </c>
      <c r="M196" s="12">
        <f t="shared" si="80"/>
        <v>0</v>
      </c>
      <c r="N196" s="12">
        <f t="shared" si="80"/>
        <v>0</v>
      </c>
      <c r="O196" s="12">
        <f t="shared" si="44"/>
        <v>0</v>
      </c>
      <c r="P196" s="12">
        <f t="shared" si="81"/>
        <v>0</v>
      </c>
      <c r="Q196" s="12">
        <f t="shared" si="81"/>
        <v>0</v>
      </c>
      <c r="T196" s="61"/>
      <c r="U196" s="61"/>
      <c r="V196" s="61"/>
      <c r="W196" s="53">
        <f t="shared" si="46"/>
        <v>0</v>
      </c>
      <c r="X196" s="54" t="e">
        <f t="shared" si="47"/>
        <v>#DIV/0!</v>
      </c>
      <c r="Y196" s="25">
        <f t="shared" si="54"/>
        <v>0</v>
      </c>
      <c r="Z196" s="54">
        <f t="shared" si="59"/>
        <v>0</v>
      </c>
      <c r="AA196" s="54">
        <f t="shared" si="74"/>
        <v>0</v>
      </c>
      <c r="AB196" s="54">
        <f t="shared" si="74"/>
        <v>0</v>
      </c>
      <c r="AC196" s="54">
        <f t="shared" si="74"/>
        <v>0</v>
      </c>
      <c r="AD196" s="54">
        <f t="shared" si="74"/>
        <v>0</v>
      </c>
      <c r="AE196" s="54">
        <f t="shared" si="74"/>
        <v>0</v>
      </c>
      <c r="AF196" s="54">
        <f t="shared" si="74"/>
        <v>0</v>
      </c>
      <c r="AG196" s="54">
        <f t="shared" si="74"/>
        <v>0</v>
      </c>
      <c r="AH196" s="54">
        <f t="shared" si="74"/>
        <v>0</v>
      </c>
      <c r="AI196" s="54">
        <f t="shared" si="74"/>
        <v>0</v>
      </c>
      <c r="AJ196" s="54">
        <f t="shared" si="74"/>
        <v>0</v>
      </c>
      <c r="AK196" s="54">
        <f t="shared" ref="AK196" si="91">IF($E97+365&lt;$C$56,0,IF($E97&lt;$C$56,(($E97+365-$C$56)/365)*(($C97/$BN$157)+($D97/$BN$158)),IF($E97&gt;AK$166,0,IF($E97+365&lt;AK$166,($C97/$BN$157)+($D97/$BN$158),((AK$166-$E97)/365)*(($C97/$BN$157)+($D97/$BN$158))))))</f>
        <v>0</v>
      </c>
      <c r="AL196" s="24">
        <f t="shared" si="50"/>
        <v>0</v>
      </c>
      <c r="AM196" s="24">
        <f t="shared" si="51"/>
        <v>0</v>
      </c>
      <c r="AN196" s="55">
        <f t="shared" si="52"/>
        <v>0</v>
      </c>
      <c r="AO196" s="55">
        <f t="shared" si="53"/>
        <v>0</v>
      </c>
      <c r="AP196" s="24"/>
      <c r="AQ196" s="24"/>
      <c r="AR196" s="24"/>
      <c r="AS196" s="24"/>
      <c r="AT196" s="24"/>
      <c r="AU196" s="24"/>
      <c r="AV196" s="24"/>
      <c r="AW196" s="24"/>
      <c r="AX196" s="24"/>
      <c r="AY196" s="24"/>
    </row>
    <row r="197" spans="7:51">
      <c r="G197" s="12">
        <f t="shared" si="40"/>
        <v>0</v>
      </c>
      <c r="H197" s="12">
        <f t="shared" si="79"/>
        <v>0</v>
      </c>
      <c r="I197" s="12">
        <f t="shared" si="79"/>
        <v>0</v>
      </c>
      <c r="J197" s="12">
        <f t="shared" si="79"/>
        <v>0</v>
      </c>
      <c r="K197" s="12">
        <f t="shared" si="42"/>
        <v>0</v>
      </c>
      <c r="L197" s="12">
        <f t="shared" si="80"/>
        <v>0</v>
      </c>
      <c r="M197" s="12">
        <f t="shared" si="80"/>
        <v>0</v>
      </c>
      <c r="N197" s="12">
        <f t="shared" si="80"/>
        <v>0</v>
      </c>
      <c r="O197" s="12">
        <f t="shared" si="44"/>
        <v>0</v>
      </c>
      <c r="P197" s="12">
        <f t="shared" si="81"/>
        <v>0</v>
      </c>
      <c r="Q197" s="12">
        <f t="shared" si="81"/>
        <v>0</v>
      </c>
      <c r="T197" s="61"/>
      <c r="U197" s="61"/>
      <c r="V197" s="61"/>
      <c r="W197" s="53">
        <f t="shared" si="46"/>
        <v>0</v>
      </c>
      <c r="X197" s="54" t="e">
        <f t="shared" si="47"/>
        <v>#DIV/0!</v>
      </c>
      <c r="Y197" s="25">
        <f t="shared" si="54"/>
        <v>0</v>
      </c>
      <c r="Z197" s="54">
        <f t="shared" si="59"/>
        <v>0</v>
      </c>
      <c r="AA197" s="54">
        <f t="shared" si="74"/>
        <v>0</v>
      </c>
      <c r="AB197" s="54">
        <f t="shared" si="74"/>
        <v>0</v>
      </c>
      <c r="AC197" s="54">
        <f t="shared" si="74"/>
        <v>0</v>
      </c>
      <c r="AD197" s="54">
        <f t="shared" si="74"/>
        <v>0</v>
      </c>
      <c r="AE197" s="54">
        <f t="shared" si="74"/>
        <v>0</v>
      </c>
      <c r="AF197" s="54">
        <f t="shared" si="74"/>
        <v>0</v>
      </c>
      <c r="AG197" s="54">
        <f t="shared" si="74"/>
        <v>0</v>
      </c>
      <c r="AH197" s="54">
        <f t="shared" si="74"/>
        <v>0</v>
      </c>
      <c r="AI197" s="54">
        <f t="shared" si="74"/>
        <v>0</v>
      </c>
      <c r="AJ197" s="54">
        <f t="shared" si="74"/>
        <v>0</v>
      </c>
      <c r="AK197" s="54">
        <f t="shared" ref="AK197" si="92">IF($E98+365&lt;$C$56,0,IF($E98&lt;$C$56,(($E98+365-$C$56)/365)*(($C98/$BN$157)+($D98/$BN$158)),IF($E98&gt;AK$166,0,IF($E98+365&lt;AK$166,($C98/$BN$157)+($D98/$BN$158),((AK$166-$E98)/365)*(($C98/$BN$157)+($D98/$BN$158))))))</f>
        <v>0</v>
      </c>
      <c r="AL197" s="24">
        <f t="shared" si="50"/>
        <v>0</v>
      </c>
      <c r="AM197" s="24">
        <f t="shared" si="51"/>
        <v>0</v>
      </c>
      <c r="AN197" s="55">
        <f t="shared" si="52"/>
        <v>0</v>
      </c>
      <c r="AO197" s="55">
        <f t="shared" si="53"/>
        <v>0</v>
      </c>
      <c r="AP197" s="24"/>
      <c r="AQ197" s="24"/>
      <c r="AR197" s="24"/>
      <c r="AS197" s="24"/>
      <c r="AT197" s="24"/>
      <c r="AU197" s="24"/>
      <c r="AV197" s="24"/>
      <c r="AW197" s="24"/>
      <c r="AX197" s="24"/>
      <c r="AY197" s="24"/>
    </row>
    <row r="198" spans="7:51">
      <c r="G198" s="12">
        <f t="shared" si="40"/>
        <v>0</v>
      </c>
      <c r="H198" s="12">
        <f t="shared" si="79"/>
        <v>0</v>
      </c>
      <c r="I198" s="12">
        <f t="shared" si="79"/>
        <v>0</v>
      </c>
      <c r="J198" s="12">
        <f t="shared" si="79"/>
        <v>0</v>
      </c>
      <c r="K198" s="12">
        <f t="shared" si="42"/>
        <v>0</v>
      </c>
      <c r="L198" s="12">
        <f t="shared" si="80"/>
        <v>0</v>
      </c>
      <c r="M198" s="12">
        <f t="shared" si="80"/>
        <v>0</v>
      </c>
      <c r="N198" s="12">
        <f t="shared" si="80"/>
        <v>0</v>
      </c>
      <c r="O198" s="12">
        <f t="shared" si="44"/>
        <v>0</v>
      </c>
      <c r="P198" s="12">
        <f t="shared" si="81"/>
        <v>0</v>
      </c>
      <c r="Q198" s="12">
        <f t="shared" si="81"/>
        <v>0</v>
      </c>
      <c r="T198" s="61"/>
      <c r="U198" s="61"/>
      <c r="V198" s="61"/>
      <c r="W198" s="53">
        <f t="shared" si="46"/>
        <v>0</v>
      </c>
      <c r="X198" s="54" t="e">
        <f t="shared" si="47"/>
        <v>#DIV/0!</v>
      </c>
      <c r="Y198" s="25">
        <f t="shared" si="54"/>
        <v>0</v>
      </c>
      <c r="Z198" s="54">
        <f t="shared" si="59"/>
        <v>0</v>
      </c>
      <c r="AA198" s="54">
        <f t="shared" si="74"/>
        <v>0</v>
      </c>
      <c r="AB198" s="54">
        <f t="shared" si="74"/>
        <v>0</v>
      </c>
      <c r="AC198" s="54">
        <f t="shared" si="74"/>
        <v>0</v>
      </c>
      <c r="AD198" s="54">
        <f t="shared" si="74"/>
        <v>0</v>
      </c>
      <c r="AE198" s="54">
        <f t="shared" si="74"/>
        <v>0</v>
      </c>
      <c r="AF198" s="54">
        <f t="shared" si="74"/>
        <v>0</v>
      </c>
      <c r="AG198" s="54">
        <f t="shared" si="74"/>
        <v>0</v>
      </c>
      <c r="AH198" s="54">
        <f t="shared" si="74"/>
        <v>0</v>
      </c>
      <c r="AI198" s="54">
        <f t="shared" si="74"/>
        <v>0</v>
      </c>
      <c r="AJ198" s="54">
        <f t="shared" si="74"/>
        <v>0</v>
      </c>
      <c r="AK198" s="54">
        <f t="shared" ref="AK198" si="93">IF($E99+365&lt;$C$56,0,IF($E99&lt;$C$56,(($E99+365-$C$56)/365)*(($C99/$BN$157)+($D99/$BN$158)),IF($E99&gt;AK$166,0,IF($E99+365&lt;AK$166,($C99/$BN$157)+($D99/$BN$158),((AK$166-$E99)/365)*(($C99/$BN$157)+($D99/$BN$158))))))</f>
        <v>0</v>
      </c>
      <c r="AL198" s="24">
        <f t="shared" si="50"/>
        <v>0</v>
      </c>
      <c r="AM198" s="24">
        <f t="shared" si="51"/>
        <v>0</v>
      </c>
      <c r="AN198" s="55">
        <f t="shared" si="52"/>
        <v>0</v>
      </c>
      <c r="AO198" s="55">
        <f t="shared" si="53"/>
        <v>0</v>
      </c>
      <c r="AP198" s="24"/>
      <c r="AQ198" s="24"/>
      <c r="AR198" s="24"/>
      <c r="AS198" s="24"/>
      <c r="AT198" s="24"/>
      <c r="AU198" s="24"/>
      <c r="AV198" s="24"/>
      <c r="AW198" s="24"/>
      <c r="AX198" s="24"/>
      <c r="AY198" s="24"/>
    </row>
    <row r="199" spans="7:51">
      <c r="G199" s="12">
        <f t="shared" si="40"/>
        <v>0</v>
      </c>
      <c r="H199" s="12">
        <f t="shared" si="79"/>
        <v>0</v>
      </c>
      <c r="I199" s="12">
        <f t="shared" si="79"/>
        <v>0</v>
      </c>
      <c r="J199" s="12">
        <f t="shared" si="79"/>
        <v>0</v>
      </c>
      <c r="K199" s="12">
        <f t="shared" si="42"/>
        <v>0</v>
      </c>
      <c r="L199" s="12">
        <f t="shared" si="80"/>
        <v>0</v>
      </c>
      <c r="M199" s="12">
        <f t="shared" si="80"/>
        <v>0</v>
      </c>
      <c r="N199" s="12">
        <f t="shared" si="80"/>
        <v>0</v>
      </c>
      <c r="O199" s="12">
        <f t="shared" si="44"/>
        <v>0</v>
      </c>
      <c r="P199" s="12">
        <f t="shared" si="81"/>
        <v>0</v>
      </c>
      <c r="Q199" s="12">
        <f t="shared" si="81"/>
        <v>0</v>
      </c>
      <c r="T199" s="61"/>
      <c r="U199" s="61"/>
      <c r="V199" s="61"/>
      <c r="W199" s="53">
        <f t="shared" si="46"/>
        <v>0</v>
      </c>
      <c r="X199" s="54" t="e">
        <f t="shared" si="47"/>
        <v>#DIV/0!</v>
      </c>
      <c r="Y199" s="25">
        <f t="shared" si="54"/>
        <v>0</v>
      </c>
      <c r="Z199" s="54">
        <f t="shared" si="59"/>
        <v>0</v>
      </c>
      <c r="AA199" s="54">
        <f t="shared" ref="AA199:AJ213" si="94">IF($E100+365&lt;$C$56,0,IF($E100&lt;$C$56,(($E100+365-$C$56)/365)*(($C100/$BN$157)+($D100/$BN$158)),IF($E100&gt;AA$166,0,IF($E100+365&lt;AA$166,($C100/$BN$157)+($D100/$BN$158),((AA$166-$E100)/365)*(($C100/$BN$157)+($D100/$BN$158))))))</f>
        <v>0</v>
      </c>
      <c r="AB199" s="54">
        <f t="shared" si="94"/>
        <v>0</v>
      </c>
      <c r="AC199" s="54">
        <f t="shared" si="94"/>
        <v>0</v>
      </c>
      <c r="AD199" s="54">
        <f t="shared" si="94"/>
        <v>0</v>
      </c>
      <c r="AE199" s="54">
        <f t="shared" si="94"/>
        <v>0</v>
      </c>
      <c r="AF199" s="54">
        <f t="shared" si="94"/>
        <v>0</v>
      </c>
      <c r="AG199" s="54">
        <f t="shared" si="94"/>
        <v>0</v>
      </c>
      <c r="AH199" s="54">
        <f t="shared" si="94"/>
        <v>0</v>
      </c>
      <c r="AI199" s="54">
        <f t="shared" si="94"/>
        <v>0</v>
      </c>
      <c r="AJ199" s="54">
        <f t="shared" si="94"/>
        <v>0</v>
      </c>
      <c r="AK199" s="54">
        <f t="shared" ref="AK199" si="95">IF($E100+365&lt;$C$56,0,IF($E100&lt;$C$56,(($E100+365-$C$56)/365)*(($C100/$BN$157)+($D100/$BN$158)),IF($E100&gt;AK$166,0,IF($E100+365&lt;AK$166,($C100/$BN$157)+($D100/$BN$158),((AK$166-$E100)/365)*(($C100/$BN$157)+($D100/$BN$158))))))</f>
        <v>0</v>
      </c>
      <c r="AL199" s="24">
        <f t="shared" si="50"/>
        <v>0</v>
      </c>
      <c r="AM199" s="24">
        <f t="shared" si="51"/>
        <v>0</v>
      </c>
      <c r="AN199" s="55">
        <f t="shared" si="52"/>
        <v>0</v>
      </c>
      <c r="AO199" s="55">
        <f t="shared" si="53"/>
        <v>0</v>
      </c>
      <c r="AP199" s="24"/>
      <c r="AQ199" s="24"/>
      <c r="AR199" s="24"/>
      <c r="AS199" s="24"/>
      <c r="AT199" s="24"/>
      <c r="AU199" s="24"/>
      <c r="AV199" s="24"/>
      <c r="AW199" s="24"/>
      <c r="AX199" s="24"/>
      <c r="AY199" s="24"/>
    </row>
    <row r="200" spans="7:51">
      <c r="G200" s="12">
        <f t="shared" si="40"/>
        <v>0</v>
      </c>
      <c r="H200" s="12">
        <f t="shared" si="79"/>
        <v>0</v>
      </c>
      <c r="I200" s="12">
        <f t="shared" si="79"/>
        <v>0</v>
      </c>
      <c r="J200" s="12">
        <f t="shared" si="79"/>
        <v>0</v>
      </c>
      <c r="K200" s="12">
        <f t="shared" si="42"/>
        <v>0</v>
      </c>
      <c r="L200" s="12">
        <f t="shared" si="80"/>
        <v>0</v>
      </c>
      <c r="M200" s="12">
        <f t="shared" si="80"/>
        <v>0</v>
      </c>
      <c r="N200" s="12">
        <f t="shared" si="80"/>
        <v>0</v>
      </c>
      <c r="O200" s="12">
        <f t="shared" si="44"/>
        <v>0</v>
      </c>
      <c r="P200" s="12">
        <f t="shared" si="81"/>
        <v>0</v>
      </c>
      <c r="Q200" s="12">
        <f t="shared" si="81"/>
        <v>0</v>
      </c>
      <c r="T200" s="61"/>
      <c r="U200" s="61"/>
      <c r="V200" s="61"/>
      <c r="W200" s="53">
        <f t="shared" si="46"/>
        <v>0</v>
      </c>
      <c r="X200" s="54" t="e">
        <f t="shared" si="47"/>
        <v>#DIV/0!</v>
      </c>
      <c r="Y200" s="25">
        <f t="shared" si="54"/>
        <v>0</v>
      </c>
      <c r="Z200" s="54">
        <f t="shared" si="59"/>
        <v>0</v>
      </c>
      <c r="AA200" s="54">
        <f t="shared" si="94"/>
        <v>0</v>
      </c>
      <c r="AB200" s="54">
        <f t="shared" si="94"/>
        <v>0</v>
      </c>
      <c r="AC200" s="54">
        <f t="shared" si="94"/>
        <v>0</v>
      </c>
      <c r="AD200" s="54">
        <f t="shared" si="94"/>
        <v>0</v>
      </c>
      <c r="AE200" s="54">
        <f t="shared" si="94"/>
        <v>0</v>
      </c>
      <c r="AF200" s="54">
        <f t="shared" si="94"/>
        <v>0</v>
      </c>
      <c r="AG200" s="54">
        <f t="shared" si="94"/>
        <v>0</v>
      </c>
      <c r="AH200" s="54">
        <f t="shared" si="94"/>
        <v>0</v>
      </c>
      <c r="AI200" s="54">
        <f t="shared" si="94"/>
        <v>0</v>
      </c>
      <c r="AJ200" s="54">
        <f t="shared" si="94"/>
        <v>0</v>
      </c>
      <c r="AK200" s="54">
        <f t="shared" ref="AK200" si="96">IF($E101+365&lt;$C$56,0,IF($E101&lt;$C$56,(($E101+365-$C$56)/365)*(($C101/$BN$157)+($D101/$BN$158)),IF($E101&gt;AK$166,0,IF($E101+365&lt;AK$166,($C101/$BN$157)+($D101/$BN$158),((AK$166-$E101)/365)*(($C101/$BN$157)+($D101/$BN$158))))))</f>
        <v>0</v>
      </c>
      <c r="AL200" s="24">
        <f t="shared" si="50"/>
        <v>0</v>
      </c>
      <c r="AM200" s="24">
        <f t="shared" si="51"/>
        <v>0</v>
      </c>
      <c r="AN200" s="55">
        <f t="shared" si="52"/>
        <v>0</v>
      </c>
      <c r="AO200" s="55">
        <f t="shared" si="53"/>
        <v>0</v>
      </c>
      <c r="AP200" s="24"/>
      <c r="AQ200" s="24"/>
      <c r="AR200" s="24"/>
      <c r="AS200" s="24"/>
      <c r="AT200" s="24"/>
      <c r="AU200" s="24"/>
      <c r="AV200" s="24"/>
      <c r="AW200" s="24"/>
      <c r="AX200" s="24"/>
      <c r="AY200" s="24"/>
    </row>
    <row r="201" spans="7:51">
      <c r="G201" s="12">
        <f t="shared" si="40"/>
        <v>0</v>
      </c>
      <c r="H201" s="12">
        <f t="shared" si="79"/>
        <v>0</v>
      </c>
      <c r="I201" s="12">
        <f t="shared" si="79"/>
        <v>0</v>
      </c>
      <c r="J201" s="12">
        <f t="shared" si="79"/>
        <v>0</v>
      </c>
      <c r="K201" s="12">
        <f t="shared" si="42"/>
        <v>0</v>
      </c>
      <c r="L201" s="12">
        <f t="shared" si="80"/>
        <v>0</v>
      </c>
      <c r="M201" s="12">
        <f t="shared" si="80"/>
        <v>0</v>
      </c>
      <c r="N201" s="12">
        <f t="shared" si="80"/>
        <v>0</v>
      </c>
      <c r="O201" s="12">
        <f t="shared" si="44"/>
        <v>0</v>
      </c>
      <c r="P201" s="12">
        <f t="shared" si="81"/>
        <v>0</v>
      </c>
      <c r="Q201" s="12">
        <f t="shared" si="81"/>
        <v>0</v>
      </c>
      <c r="T201" s="61"/>
      <c r="U201" s="61"/>
      <c r="V201" s="61"/>
      <c r="W201" s="53">
        <f t="shared" si="46"/>
        <v>0</v>
      </c>
      <c r="X201" s="54" t="e">
        <f t="shared" si="47"/>
        <v>#DIV/0!</v>
      </c>
      <c r="Y201" s="25">
        <f t="shared" si="54"/>
        <v>0</v>
      </c>
      <c r="Z201" s="54">
        <f t="shared" si="59"/>
        <v>0</v>
      </c>
      <c r="AA201" s="54">
        <f t="shared" si="94"/>
        <v>0</v>
      </c>
      <c r="AB201" s="54">
        <f t="shared" si="94"/>
        <v>0</v>
      </c>
      <c r="AC201" s="54">
        <f t="shared" si="94"/>
        <v>0</v>
      </c>
      <c r="AD201" s="54">
        <f t="shared" si="94"/>
        <v>0</v>
      </c>
      <c r="AE201" s="54">
        <f t="shared" si="94"/>
        <v>0</v>
      </c>
      <c r="AF201" s="54">
        <f t="shared" si="94"/>
        <v>0</v>
      </c>
      <c r="AG201" s="54">
        <f t="shared" si="94"/>
        <v>0</v>
      </c>
      <c r="AH201" s="54">
        <f t="shared" si="94"/>
        <v>0</v>
      </c>
      <c r="AI201" s="54">
        <f t="shared" si="94"/>
        <v>0</v>
      </c>
      <c r="AJ201" s="54">
        <f t="shared" si="94"/>
        <v>0</v>
      </c>
      <c r="AK201" s="54">
        <f t="shared" ref="AK201" si="97">IF($E102+365&lt;$C$56,0,IF($E102&lt;$C$56,(($E102+365-$C$56)/365)*(($C102/$BN$157)+($D102/$BN$158)),IF($E102&gt;AK$166,0,IF($E102+365&lt;AK$166,($C102/$BN$157)+($D102/$BN$158),((AK$166-$E102)/365)*(($C102/$BN$157)+($D102/$BN$158))))))</f>
        <v>0</v>
      </c>
      <c r="AL201" s="24">
        <f t="shared" si="50"/>
        <v>0</v>
      </c>
      <c r="AM201" s="24">
        <f t="shared" si="51"/>
        <v>0</v>
      </c>
      <c r="AN201" s="55">
        <f t="shared" si="52"/>
        <v>0</v>
      </c>
      <c r="AO201" s="55">
        <f t="shared" si="53"/>
        <v>0</v>
      </c>
      <c r="AP201" s="24"/>
      <c r="AQ201" s="24"/>
      <c r="AR201" s="24"/>
      <c r="AS201" s="24"/>
      <c r="AT201" s="24"/>
      <c r="AU201" s="24"/>
      <c r="AV201" s="24"/>
      <c r="AW201" s="24"/>
      <c r="AX201" s="24"/>
      <c r="AY201" s="24"/>
    </row>
    <row r="202" spans="7:51">
      <c r="G202" s="12">
        <f t="shared" si="40"/>
        <v>0</v>
      </c>
      <c r="H202" s="12">
        <f t="shared" si="79"/>
        <v>0</v>
      </c>
      <c r="I202" s="12">
        <f t="shared" si="79"/>
        <v>0</v>
      </c>
      <c r="J202" s="12">
        <f t="shared" si="79"/>
        <v>0</v>
      </c>
      <c r="K202" s="12">
        <f t="shared" si="42"/>
        <v>0</v>
      </c>
      <c r="L202" s="12">
        <f t="shared" si="80"/>
        <v>0</v>
      </c>
      <c r="M202" s="12">
        <f t="shared" si="80"/>
        <v>0</v>
      </c>
      <c r="N202" s="12">
        <f t="shared" si="80"/>
        <v>0</v>
      </c>
      <c r="O202" s="12">
        <f t="shared" si="44"/>
        <v>0</v>
      </c>
      <c r="P202" s="12">
        <f t="shared" si="81"/>
        <v>0</v>
      </c>
      <c r="Q202" s="12">
        <f t="shared" si="81"/>
        <v>0</v>
      </c>
      <c r="T202" s="61"/>
      <c r="U202" s="61"/>
      <c r="V202" s="61"/>
      <c r="W202" s="53">
        <f t="shared" si="46"/>
        <v>0</v>
      </c>
      <c r="X202" s="54" t="e">
        <f t="shared" si="47"/>
        <v>#DIV/0!</v>
      </c>
      <c r="Y202" s="25">
        <f t="shared" si="54"/>
        <v>0</v>
      </c>
      <c r="Z202" s="54">
        <f t="shared" si="59"/>
        <v>0</v>
      </c>
      <c r="AA202" s="54">
        <f t="shared" si="94"/>
        <v>0</v>
      </c>
      <c r="AB202" s="54">
        <f t="shared" si="94"/>
        <v>0</v>
      </c>
      <c r="AC202" s="54">
        <f t="shared" si="94"/>
        <v>0</v>
      </c>
      <c r="AD202" s="54">
        <f t="shared" si="94"/>
        <v>0</v>
      </c>
      <c r="AE202" s="54">
        <f t="shared" si="94"/>
        <v>0</v>
      </c>
      <c r="AF202" s="54">
        <f t="shared" si="94"/>
        <v>0</v>
      </c>
      <c r="AG202" s="54">
        <f t="shared" si="94"/>
        <v>0</v>
      </c>
      <c r="AH202" s="54">
        <f t="shared" si="94"/>
        <v>0</v>
      </c>
      <c r="AI202" s="54">
        <f t="shared" si="94"/>
        <v>0</v>
      </c>
      <c r="AJ202" s="54">
        <f t="shared" si="94"/>
        <v>0</v>
      </c>
      <c r="AK202" s="54">
        <f t="shared" ref="AK202" si="98">IF($E103+365&lt;$C$56,0,IF($E103&lt;$C$56,(($E103+365-$C$56)/365)*(($C103/$BN$157)+($D103/$BN$158)),IF($E103&gt;AK$166,0,IF($E103+365&lt;AK$166,($C103/$BN$157)+($D103/$BN$158),((AK$166-$E103)/365)*(($C103/$BN$157)+($D103/$BN$158))))))</f>
        <v>0</v>
      </c>
      <c r="AL202" s="24">
        <f t="shared" si="50"/>
        <v>0</v>
      </c>
      <c r="AM202" s="24">
        <f t="shared" si="51"/>
        <v>0</v>
      </c>
      <c r="AN202" s="55">
        <f t="shared" si="52"/>
        <v>0</v>
      </c>
      <c r="AO202" s="55">
        <f t="shared" si="53"/>
        <v>0</v>
      </c>
      <c r="AP202" s="24"/>
      <c r="AQ202" s="24"/>
      <c r="AR202" s="24"/>
      <c r="AS202" s="24"/>
      <c r="AT202" s="24"/>
      <c r="AU202" s="24"/>
      <c r="AV202" s="24"/>
      <c r="AW202" s="24"/>
      <c r="AX202" s="24"/>
      <c r="AY202" s="24"/>
    </row>
    <row r="203" spans="7:51">
      <c r="G203" s="12">
        <f t="shared" si="40"/>
        <v>0</v>
      </c>
      <c r="H203" s="12">
        <f t="shared" si="79"/>
        <v>0</v>
      </c>
      <c r="I203" s="12">
        <f t="shared" si="79"/>
        <v>0</v>
      </c>
      <c r="J203" s="12">
        <f t="shared" si="79"/>
        <v>0</v>
      </c>
      <c r="K203" s="12">
        <f t="shared" si="42"/>
        <v>0</v>
      </c>
      <c r="L203" s="12">
        <f t="shared" si="80"/>
        <v>0</v>
      </c>
      <c r="M203" s="12">
        <f t="shared" si="80"/>
        <v>0</v>
      </c>
      <c r="N203" s="12">
        <f t="shared" si="80"/>
        <v>0</v>
      </c>
      <c r="O203" s="12">
        <f t="shared" si="44"/>
        <v>0</v>
      </c>
      <c r="P203" s="12">
        <f t="shared" si="81"/>
        <v>0</v>
      </c>
      <c r="Q203" s="12">
        <f t="shared" si="81"/>
        <v>0</v>
      </c>
      <c r="T203" s="61"/>
      <c r="U203" s="61"/>
      <c r="V203" s="61"/>
      <c r="W203" s="53">
        <f t="shared" si="46"/>
        <v>0</v>
      </c>
      <c r="X203" s="54" t="e">
        <f t="shared" si="47"/>
        <v>#DIV/0!</v>
      </c>
      <c r="Y203" s="25">
        <f t="shared" si="54"/>
        <v>0</v>
      </c>
      <c r="Z203" s="54">
        <f t="shared" si="59"/>
        <v>0</v>
      </c>
      <c r="AA203" s="54">
        <f t="shared" si="94"/>
        <v>0</v>
      </c>
      <c r="AB203" s="54">
        <f t="shared" si="94"/>
        <v>0</v>
      </c>
      <c r="AC203" s="54">
        <f t="shared" si="94"/>
        <v>0</v>
      </c>
      <c r="AD203" s="54">
        <f t="shared" si="94"/>
        <v>0</v>
      </c>
      <c r="AE203" s="54">
        <f t="shared" si="94"/>
        <v>0</v>
      </c>
      <c r="AF203" s="54">
        <f t="shared" si="94"/>
        <v>0</v>
      </c>
      <c r="AG203" s="54">
        <f t="shared" si="94"/>
        <v>0</v>
      </c>
      <c r="AH203" s="54">
        <f t="shared" si="94"/>
        <v>0</v>
      </c>
      <c r="AI203" s="54">
        <f t="shared" si="94"/>
        <v>0</v>
      </c>
      <c r="AJ203" s="54">
        <f t="shared" si="94"/>
        <v>0</v>
      </c>
      <c r="AK203" s="54">
        <f t="shared" ref="AK203" si="99">IF($E104+365&lt;$C$56,0,IF($E104&lt;$C$56,(($E104+365-$C$56)/365)*(($C104/$BN$157)+($D104/$BN$158)),IF($E104&gt;AK$166,0,IF($E104+365&lt;AK$166,($C104/$BN$157)+($D104/$BN$158),((AK$166-$E104)/365)*(($C104/$BN$157)+($D104/$BN$158))))))</f>
        <v>0</v>
      </c>
      <c r="AL203" s="24">
        <f t="shared" si="50"/>
        <v>0</v>
      </c>
      <c r="AM203" s="24">
        <f t="shared" si="51"/>
        <v>0</v>
      </c>
      <c r="AN203" s="55">
        <f t="shared" si="52"/>
        <v>0</v>
      </c>
      <c r="AO203" s="55">
        <f t="shared" si="53"/>
        <v>0</v>
      </c>
      <c r="AP203" s="24"/>
      <c r="AQ203" s="24"/>
      <c r="AR203" s="24"/>
      <c r="AS203" s="24"/>
      <c r="AT203" s="24"/>
      <c r="AU203" s="24"/>
      <c r="AV203" s="24"/>
      <c r="AW203" s="24"/>
      <c r="AX203" s="24"/>
      <c r="AY203" s="24"/>
    </row>
    <row r="204" spans="7:51">
      <c r="G204" s="12">
        <f t="shared" si="40"/>
        <v>0</v>
      </c>
      <c r="H204" s="12">
        <f t="shared" si="79"/>
        <v>0</v>
      </c>
      <c r="I204" s="12">
        <f t="shared" si="79"/>
        <v>0</v>
      </c>
      <c r="J204" s="12">
        <f t="shared" si="79"/>
        <v>0</v>
      </c>
      <c r="K204" s="12">
        <f t="shared" si="42"/>
        <v>0</v>
      </c>
      <c r="L204" s="12">
        <f t="shared" si="80"/>
        <v>0</v>
      </c>
      <c r="M204" s="12">
        <f t="shared" si="80"/>
        <v>0</v>
      </c>
      <c r="N204" s="12">
        <f t="shared" si="80"/>
        <v>0</v>
      </c>
      <c r="O204" s="12">
        <f t="shared" si="44"/>
        <v>0</v>
      </c>
      <c r="P204" s="12">
        <f t="shared" si="81"/>
        <v>0</v>
      </c>
      <c r="Q204" s="12">
        <f t="shared" si="81"/>
        <v>0</v>
      </c>
      <c r="T204" s="61"/>
      <c r="U204" s="61"/>
      <c r="V204" s="61"/>
      <c r="W204" s="53">
        <f t="shared" si="46"/>
        <v>0</v>
      </c>
      <c r="X204" s="54" t="e">
        <f t="shared" si="47"/>
        <v>#DIV/0!</v>
      </c>
      <c r="Y204" s="25">
        <f t="shared" si="54"/>
        <v>0</v>
      </c>
      <c r="Z204" s="54">
        <f t="shared" si="59"/>
        <v>0</v>
      </c>
      <c r="AA204" s="54">
        <f t="shared" si="94"/>
        <v>0</v>
      </c>
      <c r="AB204" s="54">
        <f t="shared" si="94"/>
        <v>0</v>
      </c>
      <c r="AC204" s="54">
        <f t="shared" si="94"/>
        <v>0</v>
      </c>
      <c r="AD204" s="54">
        <f t="shared" si="94"/>
        <v>0</v>
      </c>
      <c r="AE204" s="54">
        <f t="shared" si="94"/>
        <v>0</v>
      </c>
      <c r="AF204" s="54">
        <f t="shared" si="94"/>
        <v>0</v>
      </c>
      <c r="AG204" s="54">
        <f t="shared" si="94"/>
        <v>0</v>
      </c>
      <c r="AH204" s="54">
        <f t="shared" si="94"/>
        <v>0</v>
      </c>
      <c r="AI204" s="54">
        <f t="shared" si="94"/>
        <v>0</v>
      </c>
      <c r="AJ204" s="54">
        <f t="shared" si="94"/>
        <v>0</v>
      </c>
      <c r="AK204" s="54">
        <f t="shared" ref="AK204" si="100">IF($E105+365&lt;$C$56,0,IF($E105&lt;$C$56,(($E105+365-$C$56)/365)*(($C105/$BN$157)+($D105/$BN$158)),IF($E105&gt;AK$166,0,IF($E105+365&lt;AK$166,($C105/$BN$157)+($D105/$BN$158),((AK$166-$E105)/365)*(($C105/$BN$157)+($D105/$BN$158))))))</f>
        <v>0</v>
      </c>
      <c r="AL204" s="24">
        <f t="shared" si="50"/>
        <v>0</v>
      </c>
      <c r="AM204" s="24">
        <f t="shared" si="51"/>
        <v>0</v>
      </c>
      <c r="AN204" s="55">
        <f t="shared" si="52"/>
        <v>0</v>
      </c>
      <c r="AO204" s="55">
        <f t="shared" si="53"/>
        <v>0</v>
      </c>
      <c r="AP204" s="24"/>
      <c r="AQ204" s="24"/>
      <c r="AR204" s="24"/>
      <c r="AS204" s="24"/>
      <c r="AT204" s="24"/>
      <c r="AU204" s="24"/>
      <c r="AV204" s="24"/>
      <c r="AW204" s="24"/>
      <c r="AX204" s="24"/>
      <c r="AY204" s="24"/>
    </row>
    <row r="205" spans="7:51">
      <c r="G205" s="12">
        <f t="shared" si="40"/>
        <v>0</v>
      </c>
      <c r="H205" s="12">
        <f t="shared" si="79"/>
        <v>0</v>
      </c>
      <c r="I205" s="12">
        <f t="shared" si="79"/>
        <v>0</v>
      </c>
      <c r="J205" s="12">
        <f t="shared" si="79"/>
        <v>0</v>
      </c>
      <c r="K205" s="12">
        <f t="shared" si="42"/>
        <v>0</v>
      </c>
      <c r="L205" s="12">
        <f t="shared" si="80"/>
        <v>0</v>
      </c>
      <c r="M205" s="12">
        <f t="shared" si="80"/>
        <v>0</v>
      </c>
      <c r="N205" s="12">
        <f t="shared" si="80"/>
        <v>0</v>
      </c>
      <c r="O205" s="12">
        <f t="shared" si="44"/>
        <v>0</v>
      </c>
      <c r="P205" s="12">
        <f t="shared" si="81"/>
        <v>0</v>
      </c>
      <c r="Q205" s="12">
        <f t="shared" si="81"/>
        <v>0</v>
      </c>
      <c r="T205" s="61"/>
      <c r="U205" s="61"/>
      <c r="V205" s="61"/>
      <c r="W205" s="53">
        <f t="shared" si="46"/>
        <v>0</v>
      </c>
      <c r="X205" s="54" t="e">
        <f t="shared" si="47"/>
        <v>#DIV/0!</v>
      </c>
      <c r="Y205" s="25">
        <f t="shared" si="54"/>
        <v>0</v>
      </c>
      <c r="Z205" s="54">
        <f t="shared" si="59"/>
        <v>0</v>
      </c>
      <c r="AA205" s="54">
        <f t="shared" si="94"/>
        <v>0</v>
      </c>
      <c r="AB205" s="54">
        <f t="shared" si="94"/>
        <v>0</v>
      </c>
      <c r="AC205" s="54">
        <f t="shared" si="94"/>
        <v>0</v>
      </c>
      <c r="AD205" s="54">
        <f t="shared" si="94"/>
        <v>0</v>
      </c>
      <c r="AE205" s="54">
        <f t="shared" si="94"/>
        <v>0</v>
      </c>
      <c r="AF205" s="54">
        <f t="shared" si="94"/>
        <v>0</v>
      </c>
      <c r="AG205" s="54">
        <f t="shared" si="94"/>
        <v>0</v>
      </c>
      <c r="AH205" s="54">
        <f t="shared" si="94"/>
        <v>0</v>
      </c>
      <c r="AI205" s="54">
        <f t="shared" si="94"/>
        <v>0</v>
      </c>
      <c r="AJ205" s="54">
        <f t="shared" si="94"/>
        <v>0</v>
      </c>
      <c r="AK205" s="54">
        <f t="shared" ref="AK205" si="101">IF($E106+365&lt;$C$56,0,IF($E106&lt;$C$56,(($E106+365-$C$56)/365)*(($C106/$BN$157)+($D106/$BN$158)),IF($E106&gt;AK$166,0,IF($E106+365&lt;AK$166,($C106/$BN$157)+($D106/$BN$158),((AK$166-$E106)/365)*(($C106/$BN$157)+($D106/$BN$158))))))</f>
        <v>0</v>
      </c>
      <c r="AL205" s="24">
        <f t="shared" si="50"/>
        <v>0</v>
      </c>
      <c r="AM205" s="24">
        <f t="shared" si="51"/>
        <v>0</v>
      </c>
      <c r="AN205" s="55">
        <f t="shared" si="52"/>
        <v>0</v>
      </c>
      <c r="AO205" s="55">
        <f t="shared" si="53"/>
        <v>0</v>
      </c>
      <c r="AP205" s="24"/>
      <c r="AQ205" s="24"/>
      <c r="AR205" s="24"/>
      <c r="AS205" s="24"/>
      <c r="AT205" s="24"/>
      <c r="AU205" s="24"/>
      <c r="AV205" s="24"/>
      <c r="AW205" s="24"/>
      <c r="AX205" s="24"/>
      <c r="AY205" s="24"/>
    </row>
    <row r="206" spans="7:51">
      <c r="G206" s="12">
        <f t="shared" si="40"/>
        <v>0</v>
      </c>
      <c r="H206" s="12">
        <f t="shared" si="79"/>
        <v>0</v>
      </c>
      <c r="I206" s="12">
        <f t="shared" si="79"/>
        <v>0</v>
      </c>
      <c r="J206" s="12">
        <f t="shared" si="79"/>
        <v>0</v>
      </c>
      <c r="K206" s="12">
        <f t="shared" si="42"/>
        <v>0</v>
      </c>
      <c r="L206" s="12">
        <f t="shared" si="80"/>
        <v>0</v>
      </c>
      <c r="M206" s="12">
        <f t="shared" si="80"/>
        <v>0</v>
      </c>
      <c r="N206" s="12">
        <f t="shared" si="80"/>
        <v>0</v>
      </c>
      <c r="O206" s="12">
        <f t="shared" si="44"/>
        <v>0</v>
      </c>
      <c r="P206" s="12">
        <f t="shared" si="81"/>
        <v>0</v>
      </c>
      <c r="Q206" s="12">
        <f t="shared" si="81"/>
        <v>0</v>
      </c>
      <c r="T206" s="61"/>
      <c r="U206" s="61"/>
      <c r="V206" s="61"/>
      <c r="W206" s="53">
        <f t="shared" si="46"/>
        <v>0</v>
      </c>
      <c r="X206" s="54" t="e">
        <f t="shared" si="47"/>
        <v>#DIV/0!</v>
      </c>
      <c r="Y206" s="25">
        <f t="shared" si="54"/>
        <v>0</v>
      </c>
      <c r="Z206" s="54">
        <f t="shared" si="59"/>
        <v>0</v>
      </c>
      <c r="AA206" s="54">
        <f t="shared" si="94"/>
        <v>0</v>
      </c>
      <c r="AB206" s="54">
        <f t="shared" si="94"/>
        <v>0</v>
      </c>
      <c r="AC206" s="54">
        <f t="shared" si="94"/>
        <v>0</v>
      </c>
      <c r="AD206" s="54">
        <f t="shared" si="94"/>
        <v>0</v>
      </c>
      <c r="AE206" s="54">
        <f t="shared" si="94"/>
        <v>0</v>
      </c>
      <c r="AF206" s="54">
        <f t="shared" si="94"/>
        <v>0</v>
      </c>
      <c r="AG206" s="54">
        <f t="shared" si="94"/>
        <v>0</v>
      </c>
      <c r="AH206" s="54">
        <f t="shared" si="94"/>
        <v>0</v>
      </c>
      <c r="AI206" s="54">
        <f t="shared" si="94"/>
        <v>0</v>
      </c>
      <c r="AJ206" s="54">
        <f t="shared" si="94"/>
        <v>0</v>
      </c>
      <c r="AK206" s="54">
        <f t="shared" ref="AK206" si="102">IF($E107+365&lt;$C$56,0,IF($E107&lt;$C$56,(($E107+365-$C$56)/365)*(($C107/$BN$157)+($D107/$BN$158)),IF($E107&gt;AK$166,0,IF($E107+365&lt;AK$166,($C107/$BN$157)+($D107/$BN$158),((AK$166-$E107)/365)*(($C107/$BN$157)+($D107/$BN$158))))))</f>
        <v>0</v>
      </c>
      <c r="AL206" s="24">
        <f t="shared" si="50"/>
        <v>0</v>
      </c>
      <c r="AM206" s="24">
        <f t="shared" si="51"/>
        <v>0</v>
      </c>
      <c r="AN206" s="55">
        <f t="shared" si="52"/>
        <v>0</v>
      </c>
      <c r="AO206" s="55">
        <f t="shared" si="53"/>
        <v>0</v>
      </c>
      <c r="AP206" s="24"/>
      <c r="AQ206" s="24"/>
      <c r="AR206" s="24"/>
      <c r="AS206" s="24"/>
      <c r="AT206" s="24"/>
      <c r="AU206" s="24"/>
      <c r="AV206" s="24"/>
      <c r="AW206" s="24"/>
      <c r="AX206" s="24"/>
      <c r="AY206" s="24"/>
    </row>
    <row r="207" spans="7:51">
      <c r="G207" s="12">
        <f t="shared" si="40"/>
        <v>0</v>
      </c>
      <c r="H207" s="12">
        <f t="shared" ref="H207:J209" si="103">IF($E109&gt;H$66,0,IF($E109&lt;H$66-365,$C109,0))</f>
        <v>0</v>
      </c>
      <c r="I207" s="12">
        <f t="shared" si="103"/>
        <v>0</v>
      </c>
      <c r="J207" s="12">
        <f t="shared" si="103"/>
        <v>0</v>
      </c>
      <c r="K207" s="12">
        <f t="shared" si="42"/>
        <v>0</v>
      </c>
      <c r="L207" s="12">
        <f t="shared" ref="L207:N209" si="104">IF($E109&gt;L$66,0,IF($E109&lt;L$66-365,$C109,0))</f>
        <v>0</v>
      </c>
      <c r="M207" s="12">
        <f t="shared" si="104"/>
        <v>0</v>
      </c>
      <c r="N207" s="12">
        <f t="shared" si="104"/>
        <v>0</v>
      </c>
      <c r="O207" s="12">
        <f t="shared" si="44"/>
        <v>0</v>
      </c>
      <c r="P207" s="12">
        <f t="shared" ref="P207:Q209" si="105">IF($E109&gt;P$66,0,IF($E109&lt;P$66-365,$C109,0))</f>
        <v>0</v>
      </c>
      <c r="Q207" s="12">
        <f t="shared" si="105"/>
        <v>0</v>
      </c>
      <c r="T207" s="61"/>
      <c r="U207" s="61"/>
      <c r="V207" s="61"/>
      <c r="W207" s="53">
        <f t="shared" si="46"/>
        <v>0</v>
      </c>
      <c r="X207" s="54" t="e">
        <f t="shared" si="47"/>
        <v>#DIV/0!</v>
      </c>
      <c r="Y207" s="25">
        <f t="shared" si="54"/>
        <v>0</v>
      </c>
      <c r="Z207" s="54">
        <f t="shared" si="59"/>
        <v>0</v>
      </c>
      <c r="AA207" s="54">
        <f t="shared" si="94"/>
        <v>0</v>
      </c>
      <c r="AB207" s="54">
        <f t="shared" si="94"/>
        <v>0</v>
      </c>
      <c r="AC207" s="54">
        <f t="shared" si="94"/>
        <v>0</v>
      </c>
      <c r="AD207" s="54">
        <f t="shared" si="94"/>
        <v>0</v>
      </c>
      <c r="AE207" s="54">
        <f t="shared" si="94"/>
        <v>0</v>
      </c>
      <c r="AF207" s="54">
        <f t="shared" si="94"/>
        <v>0</v>
      </c>
      <c r="AG207" s="54">
        <f t="shared" si="94"/>
        <v>0</v>
      </c>
      <c r="AH207" s="54">
        <f t="shared" si="94"/>
        <v>0</v>
      </c>
      <c r="AI207" s="54">
        <f t="shared" si="94"/>
        <v>0</v>
      </c>
      <c r="AJ207" s="54">
        <f t="shared" si="94"/>
        <v>0</v>
      </c>
      <c r="AK207" s="54">
        <f t="shared" ref="AK207" si="106">IF($E108+365&lt;$C$56,0,IF($E108&lt;$C$56,(($E108+365-$C$56)/365)*(($C108/$BN$157)+($D108/$BN$158)),IF($E108&gt;AK$166,0,IF($E108+365&lt;AK$166,($C108/$BN$157)+($D108/$BN$158),((AK$166-$E108)/365)*(($C108/$BN$157)+($D108/$BN$158))))))</f>
        <v>0</v>
      </c>
      <c r="AL207" s="24">
        <f t="shared" si="50"/>
        <v>0</v>
      </c>
      <c r="AM207" s="24">
        <f t="shared" si="51"/>
        <v>0</v>
      </c>
      <c r="AN207" s="55">
        <f t="shared" si="52"/>
        <v>0</v>
      </c>
      <c r="AO207" s="55">
        <f t="shared" si="53"/>
        <v>0</v>
      </c>
      <c r="AP207" s="24"/>
      <c r="AQ207" s="24"/>
      <c r="AR207" s="24"/>
      <c r="AS207" s="24"/>
      <c r="AT207" s="24"/>
      <c r="AU207" s="24"/>
      <c r="AV207" s="24"/>
      <c r="AW207" s="24"/>
      <c r="AX207" s="24"/>
      <c r="AY207" s="24"/>
    </row>
    <row r="208" spans="7:51">
      <c r="G208" s="12">
        <f t="shared" si="40"/>
        <v>0</v>
      </c>
      <c r="H208" s="12">
        <f t="shared" si="103"/>
        <v>0</v>
      </c>
      <c r="I208" s="12">
        <f t="shared" si="103"/>
        <v>0</v>
      </c>
      <c r="J208" s="12">
        <f t="shared" si="103"/>
        <v>0</v>
      </c>
      <c r="K208" s="12">
        <f t="shared" si="42"/>
        <v>0</v>
      </c>
      <c r="L208" s="12">
        <f t="shared" si="104"/>
        <v>0</v>
      </c>
      <c r="M208" s="12">
        <f t="shared" si="104"/>
        <v>0</v>
      </c>
      <c r="N208" s="12">
        <f t="shared" si="104"/>
        <v>0</v>
      </c>
      <c r="O208" s="12">
        <f t="shared" si="44"/>
        <v>0</v>
      </c>
      <c r="P208" s="12">
        <f t="shared" si="105"/>
        <v>0</v>
      </c>
      <c r="Q208" s="12">
        <f t="shared" si="105"/>
        <v>0</v>
      </c>
      <c r="T208" s="61"/>
      <c r="U208" s="61"/>
      <c r="V208" s="61"/>
      <c r="W208" s="53">
        <f t="shared" si="46"/>
        <v>0</v>
      </c>
      <c r="X208" s="54" t="e">
        <f t="shared" si="47"/>
        <v>#DIV/0!</v>
      </c>
      <c r="Y208" s="25">
        <f t="shared" si="54"/>
        <v>0</v>
      </c>
      <c r="Z208" s="54">
        <f t="shared" si="59"/>
        <v>0</v>
      </c>
      <c r="AA208" s="54">
        <f t="shared" si="94"/>
        <v>0</v>
      </c>
      <c r="AB208" s="54">
        <f t="shared" si="94"/>
        <v>0</v>
      </c>
      <c r="AC208" s="54">
        <f t="shared" si="94"/>
        <v>0</v>
      </c>
      <c r="AD208" s="54">
        <f t="shared" si="94"/>
        <v>0</v>
      </c>
      <c r="AE208" s="54">
        <f t="shared" si="94"/>
        <v>0</v>
      </c>
      <c r="AF208" s="54">
        <f t="shared" si="94"/>
        <v>0</v>
      </c>
      <c r="AG208" s="54">
        <f t="shared" si="94"/>
        <v>0</v>
      </c>
      <c r="AH208" s="54">
        <f t="shared" si="94"/>
        <v>0</v>
      </c>
      <c r="AI208" s="54">
        <f t="shared" si="94"/>
        <v>0</v>
      </c>
      <c r="AJ208" s="54">
        <f t="shared" si="94"/>
        <v>0</v>
      </c>
      <c r="AK208" s="54">
        <f t="shared" ref="AK208" si="107">IF($E109+365&lt;$C$56,0,IF($E109&lt;$C$56,(($E109+365-$C$56)/365)*(($C109/$BN$157)+($D109/$BN$158)),IF($E109&gt;AK$166,0,IF($E109+365&lt;AK$166,($C109/$BN$157)+($D109/$BN$158),((AK$166-$E109)/365)*(($C109/$BN$157)+($D109/$BN$158))))))</f>
        <v>0</v>
      </c>
      <c r="AL208" s="24">
        <f t="shared" si="50"/>
        <v>0</v>
      </c>
      <c r="AM208" s="24">
        <f t="shared" si="51"/>
        <v>0</v>
      </c>
      <c r="AN208" s="55">
        <f t="shared" si="52"/>
        <v>0</v>
      </c>
      <c r="AO208" s="55">
        <f t="shared" si="53"/>
        <v>0</v>
      </c>
      <c r="AP208" s="24"/>
      <c r="AQ208" s="24"/>
      <c r="AR208" s="24"/>
      <c r="AS208" s="24"/>
      <c r="AT208" s="24"/>
      <c r="AU208" s="24"/>
      <c r="AV208" s="24"/>
      <c r="AW208" s="24"/>
      <c r="AX208" s="24"/>
      <c r="AY208" s="24"/>
    </row>
    <row r="209" spans="6:51">
      <c r="G209" s="12">
        <f t="shared" si="40"/>
        <v>0</v>
      </c>
      <c r="H209" s="12">
        <f t="shared" si="103"/>
        <v>0</v>
      </c>
      <c r="I209" s="12">
        <f t="shared" si="103"/>
        <v>0</v>
      </c>
      <c r="J209" s="12">
        <f t="shared" si="103"/>
        <v>0</v>
      </c>
      <c r="K209" s="12">
        <f t="shared" si="42"/>
        <v>0</v>
      </c>
      <c r="L209" s="12">
        <f t="shared" si="104"/>
        <v>0</v>
      </c>
      <c r="M209" s="12">
        <f t="shared" si="104"/>
        <v>0</v>
      </c>
      <c r="N209" s="12">
        <f t="shared" si="104"/>
        <v>0</v>
      </c>
      <c r="O209" s="12">
        <f t="shared" si="44"/>
        <v>0</v>
      </c>
      <c r="P209" s="12">
        <f t="shared" si="105"/>
        <v>0</v>
      </c>
      <c r="Q209" s="12">
        <f t="shared" si="105"/>
        <v>0</v>
      </c>
      <c r="T209" s="61"/>
      <c r="U209" s="61"/>
      <c r="V209" s="61"/>
      <c r="W209" s="53">
        <f t="shared" si="46"/>
        <v>0</v>
      </c>
      <c r="X209" s="54" t="e">
        <f t="shared" si="47"/>
        <v>#DIV/0!</v>
      </c>
      <c r="Y209" s="25">
        <f t="shared" si="54"/>
        <v>0</v>
      </c>
      <c r="Z209" s="54">
        <f t="shared" si="59"/>
        <v>0</v>
      </c>
      <c r="AA209" s="54">
        <f t="shared" si="94"/>
        <v>0</v>
      </c>
      <c r="AB209" s="54">
        <f t="shared" si="94"/>
        <v>0</v>
      </c>
      <c r="AC209" s="54">
        <f t="shared" si="94"/>
        <v>0</v>
      </c>
      <c r="AD209" s="54">
        <f t="shared" si="94"/>
        <v>0</v>
      </c>
      <c r="AE209" s="54">
        <f t="shared" si="94"/>
        <v>0</v>
      </c>
      <c r="AF209" s="54">
        <f t="shared" si="94"/>
        <v>0</v>
      </c>
      <c r="AG209" s="54">
        <f t="shared" si="94"/>
        <v>0</v>
      </c>
      <c r="AH209" s="54">
        <f t="shared" si="94"/>
        <v>0</v>
      </c>
      <c r="AI209" s="54">
        <f t="shared" si="94"/>
        <v>0</v>
      </c>
      <c r="AJ209" s="54">
        <f t="shared" si="94"/>
        <v>0</v>
      </c>
      <c r="AK209" s="54">
        <f t="shared" ref="AK209" si="108">IF($E110+365&lt;$C$56,0,IF($E110&lt;$C$56,(($E110+365-$C$56)/365)*(($C110/$BN$157)+($D110/$BN$158)),IF($E110&gt;AK$166,0,IF($E110+365&lt;AK$166,($C110/$BN$157)+($D110/$BN$158),((AK$166-$E110)/365)*(($C110/$BN$157)+($D110/$BN$158))))))</f>
        <v>0</v>
      </c>
      <c r="AL209" s="24">
        <f t="shared" si="50"/>
        <v>0</v>
      </c>
      <c r="AM209" s="24">
        <f t="shared" si="51"/>
        <v>0</v>
      </c>
      <c r="AN209" s="55">
        <f t="shared" si="52"/>
        <v>0</v>
      </c>
      <c r="AO209" s="55">
        <f t="shared" si="53"/>
        <v>0</v>
      </c>
      <c r="AP209" s="24"/>
      <c r="AQ209" s="24"/>
      <c r="AR209" s="24"/>
      <c r="AS209" s="24"/>
      <c r="AT209" s="24"/>
      <c r="AU209" s="24"/>
      <c r="AV209" s="24"/>
      <c r="AW209" s="24"/>
      <c r="AX209" s="24"/>
      <c r="AY209" s="24"/>
    </row>
    <row r="210" spans="6:51">
      <c r="T210" s="61"/>
      <c r="U210" s="61"/>
      <c r="V210" s="61"/>
      <c r="W210" s="53">
        <f t="shared" si="46"/>
        <v>0</v>
      </c>
      <c r="X210" s="54" t="e">
        <f t="shared" si="47"/>
        <v>#DIV/0!</v>
      </c>
      <c r="Y210" s="25">
        <f t="shared" si="54"/>
        <v>0</v>
      </c>
      <c r="Z210" s="54">
        <f t="shared" si="59"/>
        <v>0</v>
      </c>
      <c r="AA210" s="54">
        <f t="shared" si="94"/>
        <v>0</v>
      </c>
      <c r="AB210" s="54">
        <f t="shared" si="94"/>
        <v>0</v>
      </c>
      <c r="AC210" s="54">
        <f t="shared" si="94"/>
        <v>0</v>
      </c>
      <c r="AD210" s="54">
        <f t="shared" si="94"/>
        <v>0</v>
      </c>
      <c r="AE210" s="54">
        <f t="shared" si="94"/>
        <v>0</v>
      </c>
      <c r="AF210" s="54">
        <f t="shared" si="94"/>
        <v>0</v>
      </c>
      <c r="AG210" s="54">
        <f t="shared" si="94"/>
        <v>0</v>
      </c>
      <c r="AH210" s="54">
        <f t="shared" si="94"/>
        <v>0</v>
      </c>
      <c r="AI210" s="54">
        <f t="shared" si="94"/>
        <v>0</v>
      </c>
      <c r="AJ210" s="54">
        <f t="shared" si="94"/>
        <v>0</v>
      </c>
      <c r="AK210" s="54">
        <f t="shared" ref="AK210" si="109">IF($E111+365&lt;$C$56,0,IF($E111&lt;$C$56,(($E111+365-$C$56)/365)*(($C111/$BN$157)+($D111/$BN$158)),IF($E111&gt;AK$166,0,IF($E111+365&lt;AK$166,($C111/$BN$157)+($D111/$BN$158),((AK$166-$E111)/365)*(($C111/$BN$157)+($D111/$BN$158))))))</f>
        <v>0</v>
      </c>
      <c r="AL210" s="24">
        <f t="shared" si="50"/>
        <v>0</v>
      </c>
      <c r="AM210" s="24">
        <f t="shared" si="51"/>
        <v>0</v>
      </c>
      <c r="AN210" s="55">
        <f t="shared" si="52"/>
        <v>0</v>
      </c>
      <c r="AO210" s="55">
        <f t="shared" si="53"/>
        <v>0</v>
      </c>
      <c r="AP210" s="24"/>
      <c r="AQ210" s="24"/>
      <c r="AR210" s="24"/>
      <c r="AS210" s="24"/>
      <c r="AT210" s="24"/>
      <c r="AU210" s="24"/>
      <c r="AV210" s="24"/>
      <c r="AW210" s="24"/>
      <c r="AX210" s="24"/>
      <c r="AY210" s="24"/>
    </row>
    <row r="211" spans="6:51">
      <c r="T211" s="61"/>
      <c r="U211" s="61"/>
      <c r="V211" s="61"/>
      <c r="W211" s="53">
        <f t="shared" si="46"/>
        <v>0</v>
      </c>
      <c r="X211" s="54" t="e">
        <f t="shared" si="47"/>
        <v>#DIV/0!</v>
      </c>
      <c r="Y211" s="25">
        <f t="shared" si="54"/>
        <v>0</v>
      </c>
      <c r="Z211" s="54">
        <f t="shared" si="59"/>
        <v>0</v>
      </c>
      <c r="AA211" s="54">
        <f t="shared" si="94"/>
        <v>0</v>
      </c>
      <c r="AB211" s="54">
        <f t="shared" si="94"/>
        <v>0</v>
      </c>
      <c r="AC211" s="54">
        <f t="shared" si="94"/>
        <v>0</v>
      </c>
      <c r="AD211" s="54">
        <f t="shared" si="94"/>
        <v>0</v>
      </c>
      <c r="AE211" s="54">
        <f t="shared" si="94"/>
        <v>0</v>
      </c>
      <c r="AF211" s="54">
        <f t="shared" si="94"/>
        <v>0</v>
      </c>
      <c r="AG211" s="54">
        <f t="shared" si="94"/>
        <v>0</v>
      </c>
      <c r="AH211" s="54">
        <f t="shared" si="94"/>
        <v>0</v>
      </c>
      <c r="AI211" s="54">
        <f t="shared" si="94"/>
        <v>0</v>
      </c>
      <c r="AJ211" s="54">
        <f t="shared" si="94"/>
        <v>0</v>
      </c>
      <c r="AK211" s="54">
        <f t="shared" ref="AK211" si="110">IF($E112+365&lt;$C$56,0,IF($E112&lt;$C$56,(($E112+365-$C$56)/365)*(($C112/$BN$157)+($D112/$BN$158)),IF($E112&gt;AK$166,0,IF($E112+365&lt;AK$166,($C112/$BN$157)+($D112/$BN$158),((AK$166-$E112)/365)*(($C112/$BN$157)+($D112/$BN$158))))))</f>
        <v>0</v>
      </c>
      <c r="AL211" s="24">
        <f t="shared" si="50"/>
        <v>0</v>
      </c>
      <c r="AM211" s="24">
        <f t="shared" si="51"/>
        <v>0</v>
      </c>
      <c r="AN211" s="55">
        <f t="shared" si="52"/>
        <v>0</v>
      </c>
      <c r="AO211" s="55">
        <f t="shared" si="53"/>
        <v>0</v>
      </c>
      <c r="AP211" s="25"/>
      <c r="AQ211" s="24"/>
      <c r="AR211" s="24"/>
      <c r="AS211" s="24"/>
      <c r="AT211" s="24"/>
      <c r="AU211" s="24"/>
      <c r="AV211" s="24"/>
      <c r="AW211" s="24"/>
      <c r="AX211" s="24"/>
      <c r="AY211" s="24"/>
    </row>
    <row r="212" spans="6:51">
      <c r="T212" s="61"/>
      <c r="U212" s="61"/>
      <c r="V212" s="61"/>
      <c r="W212" s="53"/>
      <c r="X212" s="54"/>
      <c r="Y212" s="25">
        <f t="shared" si="54"/>
        <v>0</v>
      </c>
      <c r="Z212" s="54">
        <f t="shared" si="59"/>
        <v>0</v>
      </c>
      <c r="AA212" s="54">
        <f t="shared" si="94"/>
        <v>0</v>
      </c>
      <c r="AB212" s="54">
        <f t="shared" si="94"/>
        <v>0</v>
      </c>
      <c r="AC212" s="54">
        <f t="shared" si="94"/>
        <v>0</v>
      </c>
      <c r="AD212" s="54">
        <f t="shared" si="94"/>
        <v>0</v>
      </c>
      <c r="AE212" s="54">
        <f t="shared" si="94"/>
        <v>0</v>
      </c>
      <c r="AF212" s="54">
        <f t="shared" si="94"/>
        <v>0</v>
      </c>
      <c r="AG212" s="54">
        <f t="shared" si="94"/>
        <v>0</v>
      </c>
      <c r="AH212" s="54">
        <f t="shared" si="94"/>
        <v>0</v>
      </c>
      <c r="AI212" s="54">
        <f t="shared" si="94"/>
        <v>0</v>
      </c>
      <c r="AJ212" s="54">
        <f t="shared" si="94"/>
        <v>0</v>
      </c>
      <c r="AK212" s="54">
        <f t="shared" ref="AK212" si="111">IF($E113+365&lt;$C$56,0,IF($E113&lt;$C$56,(($E113+365-$C$56)/365)*(($C113/$BN$157)+($D113/$BN$158)),IF($E113&gt;AK$166,0,IF($E113+365&lt;AK$166,($C113/$BN$157)+($D113/$BN$158),((AK$166-$E113)/365)*(($C113/$BN$157)+($D113/$BN$158))))))</f>
        <v>0</v>
      </c>
      <c r="AL212" s="24">
        <f t="shared" si="50"/>
        <v>0</v>
      </c>
      <c r="AM212" s="24">
        <f t="shared" si="51"/>
        <v>0</v>
      </c>
      <c r="AN212" s="55">
        <f t="shared" si="52"/>
        <v>0</v>
      </c>
      <c r="AO212" s="55">
        <f t="shared" si="53"/>
        <v>0</v>
      </c>
      <c r="AP212" s="24"/>
      <c r="AQ212" s="24"/>
      <c r="AR212" s="24"/>
      <c r="AS212" s="24"/>
      <c r="AT212" s="24"/>
      <c r="AU212" s="24"/>
      <c r="AV212" s="24"/>
      <c r="AW212" s="24"/>
      <c r="AX212" s="24"/>
      <c r="AY212" s="24"/>
    </row>
    <row r="213" spans="6:51">
      <c r="T213" s="61"/>
      <c r="U213" s="61"/>
      <c r="V213" s="61"/>
      <c r="W213" s="53"/>
      <c r="X213" s="54"/>
      <c r="Y213" s="25">
        <f t="shared" si="54"/>
        <v>0</v>
      </c>
      <c r="Z213" s="54">
        <f t="shared" si="59"/>
        <v>0</v>
      </c>
      <c r="AA213" s="54">
        <f t="shared" si="94"/>
        <v>0</v>
      </c>
      <c r="AB213" s="54">
        <f t="shared" si="94"/>
        <v>0</v>
      </c>
      <c r="AC213" s="54">
        <f t="shared" si="94"/>
        <v>0</v>
      </c>
      <c r="AD213" s="54">
        <f t="shared" si="94"/>
        <v>0</v>
      </c>
      <c r="AE213" s="54">
        <f t="shared" si="94"/>
        <v>0</v>
      </c>
      <c r="AF213" s="54">
        <f t="shared" si="94"/>
        <v>0</v>
      </c>
      <c r="AG213" s="54">
        <f t="shared" si="94"/>
        <v>0</v>
      </c>
      <c r="AH213" s="54">
        <f t="shared" si="94"/>
        <v>0</v>
      </c>
      <c r="AI213" s="54">
        <f t="shared" si="94"/>
        <v>0</v>
      </c>
      <c r="AJ213" s="54">
        <f t="shared" si="94"/>
        <v>0</v>
      </c>
      <c r="AK213" s="54">
        <f t="shared" ref="AK213" si="112">IF($E114+365&lt;$C$56,0,IF($E114&lt;$C$56,(($E114+365-$C$56)/365)*(($C114/$BN$157)+($D114/$BN$158)),IF($E114&gt;AK$166,0,IF($E114+365&lt;AK$166,($C114/$BN$157)+($D114/$BN$158),((AK$166-$E114)/365)*(($C114/$BN$157)+($D114/$BN$158))))))</f>
        <v>0</v>
      </c>
      <c r="AL213" s="24">
        <f t="shared" si="50"/>
        <v>0</v>
      </c>
      <c r="AM213" s="24">
        <f t="shared" si="51"/>
        <v>0</v>
      </c>
      <c r="AN213" s="55">
        <f t="shared" si="52"/>
        <v>0</v>
      </c>
      <c r="AO213" s="55">
        <f t="shared" si="53"/>
        <v>0</v>
      </c>
      <c r="AP213" s="24"/>
      <c r="AQ213" s="24"/>
      <c r="AR213" s="24"/>
      <c r="AS213" s="24"/>
      <c r="AT213" s="24"/>
      <c r="AU213" s="24"/>
      <c r="AV213" s="24"/>
      <c r="AW213" s="24"/>
      <c r="AX213" s="24"/>
      <c r="AY213" s="24"/>
    </row>
    <row r="214" spans="6:51" ht="13">
      <c r="F214" s="187" t="s">
        <v>490</v>
      </c>
      <c r="G214" s="187">
        <f>SUM(G167:G213)</f>
        <v>30</v>
      </c>
      <c r="H214" s="187">
        <f t="shared" ref="H214:Q214" si="113">SUM(H167:H213)</f>
        <v>30</v>
      </c>
      <c r="I214" s="187">
        <f t="shared" si="113"/>
        <v>30</v>
      </c>
      <c r="J214" s="187">
        <f t="shared" si="113"/>
        <v>30</v>
      </c>
      <c r="K214" s="187">
        <f t="shared" si="113"/>
        <v>-70</v>
      </c>
      <c r="L214" s="187">
        <f t="shared" si="113"/>
        <v>-70</v>
      </c>
      <c r="M214" s="187">
        <f t="shared" si="113"/>
        <v>-70</v>
      </c>
      <c r="N214" s="187">
        <f t="shared" si="113"/>
        <v>-50</v>
      </c>
      <c r="O214" s="187">
        <f t="shared" si="113"/>
        <v>-50</v>
      </c>
      <c r="P214" s="187">
        <f t="shared" si="113"/>
        <v>-50</v>
      </c>
      <c r="Q214" s="187">
        <f t="shared" si="113"/>
        <v>-50</v>
      </c>
      <c r="T214" s="14"/>
      <c r="U214" s="14"/>
      <c r="V214" s="14"/>
      <c r="W214" s="24"/>
      <c r="X214" s="62" t="e">
        <f>SUM(X168:X213)</f>
        <v>#DIV/0!</v>
      </c>
      <c r="Y214" s="157" t="s">
        <v>84</v>
      </c>
      <c r="AA214" s="155">
        <f>VLOOKUP($A$2,Assumptions!$B$124:$G$147,6,0)*SUM(AA167:AA213)</f>
        <v>0</v>
      </c>
      <c r="AB214" s="155">
        <f>VLOOKUP($A$2,Assumptions!$B$124:$G$147,6,0)*SUM(AB167:AB213)</f>
        <v>0.38146632569599837</v>
      </c>
      <c r="AC214" s="155">
        <f>VLOOKUP($A$2,Assumptions!$B$124:$G$147,6,0)*SUM(AC167:AC213)</f>
        <v>0.38146632569599837</v>
      </c>
      <c r="AD214" s="155">
        <f>VLOOKUP($A$2,Assumptions!$B$124:$G$147,6,0)*SUM(AD167:AD213)</f>
        <v>0.38146632569599837</v>
      </c>
      <c r="AE214" s="155">
        <f>VLOOKUP($A$2,Assumptions!$B$124:$G$147,6,0)*SUM(AE167:AE213)</f>
        <v>-0.98452412885100171</v>
      </c>
      <c r="AF214" s="155">
        <f>VLOOKUP($A$2,Assumptions!$B$124:$G$147,6,0)*SUM(AF167:AF213)</f>
        <v>-1.8951844318823352</v>
      </c>
      <c r="AG214" s="155">
        <f>VLOOKUP($A$2,Assumptions!$B$124:$G$147,6,0)*SUM(AG167:AG213)</f>
        <v>-1.8951844318823352</v>
      </c>
      <c r="AH214" s="155">
        <f>VLOOKUP($A$2,Assumptions!$B$124:$G$147,6,0)*SUM(AH167:AH213)</f>
        <v>-1.5523865977018128</v>
      </c>
      <c r="AI214" s="155">
        <f>VLOOKUP($A$2,Assumptions!$B$124:$G$147,6,0)*SUM(AI167:AI213)</f>
        <v>-1.5523865977018128</v>
      </c>
      <c r="AJ214" s="155">
        <f>VLOOKUP($A$2,Assumptions!$B$124:$G$147,6,0)*SUM(AJ167:AJ213)</f>
        <v>-1.5523865977018128</v>
      </c>
      <c r="AK214" s="155">
        <f>VLOOKUP($A$2,Assumptions!$B$124:$G$147,6,0)*SUM(AK167:AK213)</f>
        <v>-1.5523865977018128</v>
      </c>
      <c r="AL214" s="155">
        <f>VLOOKUP($A$2,Assumptions!$B$124:$G$147,6,0)*SUM(AL167:AL213)</f>
        <v>-37.5</v>
      </c>
      <c r="AM214" s="155">
        <f>VLOOKUP($A$2,Assumptions!$B$124:$G$147,6,0)*SUM(AM167:AM213)</f>
        <v>-215.25</v>
      </c>
      <c r="AN214" s="55">
        <f>SUM(AN167:AN213)</f>
        <v>2913200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41</v>
      </c>
      <c r="AA215" s="156">
        <f>$C$64+AA214</f>
        <v>41</v>
      </c>
      <c r="AB215" s="156">
        <f t="shared" ref="AB215:AE215" si="114">$C$64+AB214</f>
        <v>41.381466325695996</v>
      </c>
      <c r="AC215" s="156">
        <f t="shared" si="114"/>
        <v>41.381466325695996</v>
      </c>
      <c r="AD215" s="156">
        <f t="shared" si="114"/>
        <v>41.381466325695996</v>
      </c>
      <c r="AE215" s="156">
        <f t="shared" si="114"/>
        <v>40.015475871149</v>
      </c>
      <c r="AF215" s="156">
        <f>$C$64+AF214</f>
        <v>39.104815568117665</v>
      </c>
      <c r="AG215" s="156">
        <f t="shared" ref="AG215:AJ215" si="115">$C$64+AG214</f>
        <v>39.104815568117665</v>
      </c>
      <c r="AH215" s="156">
        <f>$C$64+AH214</f>
        <v>39.447613402298188</v>
      </c>
      <c r="AI215" s="156">
        <f t="shared" si="115"/>
        <v>39.447613402298188</v>
      </c>
      <c r="AJ215" s="156">
        <f t="shared" si="115"/>
        <v>39.447613402298188</v>
      </c>
      <c r="AK215" s="156">
        <f t="shared" ref="AK215" si="116">$C$64+AK214</f>
        <v>39.447613402298188</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7">IF(Z215&lt;$BB$154,(6+(1-Z215/$BB$154)),IF(Z215&lt;$BB$155,5.5+(0.5*(($BB$155-Z215)/($BB$155-$BB$154))),IF(Z215&lt;$BB$156,5-0.5*((Z215)-$BB$156)/($BB$156-$BB$155),IF(Z215&lt;$BB$157,4.5-0.5*((Z215-$BB$157)/($BB$157-$BB$156)),5-0.5*((Z215-$BB$156)/$BH$166)))))</f>
        <v>5.8216697801408248</v>
      </c>
      <c r="AA216" s="154">
        <f t="shared" si="117"/>
        <v>5.8216697801408248</v>
      </c>
      <c r="AB216" s="154">
        <f t="shared" si="117"/>
        <v>5.8107065289353068</v>
      </c>
      <c r="AC216" s="154">
        <f t="shared" si="117"/>
        <v>5.8107065289353068</v>
      </c>
      <c r="AD216" s="154">
        <f t="shared" si="117"/>
        <v>5.8107065289353068</v>
      </c>
      <c r="AE216" s="154">
        <f t="shared" si="117"/>
        <v>5.8499647687555969</v>
      </c>
      <c r="AF216" s="154">
        <f t="shared" si="117"/>
        <v>5.8761369286357903</v>
      </c>
      <c r="AG216" s="154">
        <f t="shared" si="117"/>
        <v>5.8761369286357903</v>
      </c>
      <c r="AH216" s="154">
        <f t="shared" si="117"/>
        <v>5.8662850006524447</v>
      </c>
      <c r="AI216" s="154">
        <f t="shared" si="117"/>
        <v>5.8662850006524447</v>
      </c>
      <c r="AJ216" s="154">
        <f t="shared" si="117"/>
        <v>5.8662850006524447</v>
      </c>
      <c r="AK216" s="154">
        <f>IF(AK215&lt;$BB$154,(6+(1-AK215/$BB$154)),IF(AK215&lt;$BB$155,5.5+(0.5*(($BB$155-AK215)/($BB$155-$BB$154))),IF(AK215&lt;$BB$156,5-0.5*((AK215)-$BB$156)/($BB$156-$BB$155),IF(AK215&lt;$BB$157,4.5-0.5*((AK215-$BB$157)/($BB$157-$BB$156)),5-0.5*((AK215-$BB$156)/$BH$166)))))</f>
        <v>5.8662850006524447</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8">IF($E69&lt;G$66,$D69,0)</f>
        <v>0</v>
      </c>
      <c r="H220" s="12">
        <f t="shared" ref="H220:Q220" si="119">IF($E69&gt;H$66,0,IF($E69&lt;H$66-365,$D69,0))</f>
        <v>0</v>
      </c>
      <c r="I220" s="12">
        <f t="shared" si="119"/>
        <v>0</v>
      </c>
      <c r="J220" s="12">
        <f t="shared" si="119"/>
        <v>0</v>
      </c>
      <c r="K220" s="12">
        <f t="shared" si="119"/>
        <v>0</v>
      </c>
      <c r="L220" s="12">
        <f t="shared" si="119"/>
        <v>0</v>
      </c>
      <c r="M220" s="12">
        <f t="shared" si="119"/>
        <v>0</v>
      </c>
      <c r="N220" s="12">
        <f t="shared" si="119"/>
        <v>0</v>
      </c>
      <c r="O220" s="12">
        <f t="shared" si="119"/>
        <v>0</v>
      </c>
      <c r="P220" s="12">
        <f t="shared" si="119"/>
        <v>0</v>
      </c>
      <c r="Q220" s="12">
        <f t="shared" si="119"/>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8"/>
        <v>0</v>
      </c>
      <c r="H221" s="12">
        <f t="shared" ref="H221:Q221" si="120">IF($E70&gt;H$66,0,IF($E70&lt;H$66-365,$D70,0))</f>
        <v>0</v>
      </c>
      <c r="I221" s="12">
        <f t="shared" si="120"/>
        <v>0</v>
      </c>
      <c r="J221" s="12">
        <f t="shared" si="120"/>
        <v>0</v>
      </c>
      <c r="K221" s="12">
        <f t="shared" si="120"/>
        <v>0</v>
      </c>
      <c r="L221" s="12">
        <f t="shared" si="120"/>
        <v>0</v>
      </c>
      <c r="M221" s="12">
        <f t="shared" si="120"/>
        <v>0</v>
      </c>
      <c r="N221" s="12">
        <f t="shared" si="120"/>
        <v>0</v>
      </c>
      <c r="O221" s="12">
        <f t="shared" si="120"/>
        <v>0</v>
      </c>
      <c r="P221" s="12">
        <f t="shared" si="120"/>
        <v>0</v>
      </c>
      <c r="Q221" s="12">
        <f t="shared" si="120"/>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8"/>
        <v>-209</v>
      </c>
      <c r="H222" s="12">
        <f t="shared" ref="H222:Q222" si="121">IF($E71&gt;H$66,0,IF($E71&lt;H$66-365,$D71,0))</f>
        <v>-209</v>
      </c>
      <c r="I222" s="12">
        <f t="shared" si="121"/>
        <v>-209</v>
      </c>
      <c r="J222" s="12">
        <f t="shared" si="121"/>
        <v>-209</v>
      </c>
      <c r="K222" s="12">
        <f t="shared" si="121"/>
        <v>-209</v>
      </c>
      <c r="L222" s="12">
        <f t="shared" si="121"/>
        <v>-209</v>
      </c>
      <c r="M222" s="12">
        <f t="shared" si="121"/>
        <v>-209</v>
      </c>
      <c r="N222" s="12">
        <f t="shared" si="121"/>
        <v>-209</v>
      </c>
      <c r="O222" s="12">
        <f t="shared" si="121"/>
        <v>-209</v>
      </c>
      <c r="P222" s="12">
        <f t="shared" si="121"/>
        <v>-209</v>
      </c>
      <c r="Q222" s="12">
        <f t="shared" si="121"/>
        <v>-209</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8"/>
        <v>0</v>
      </c>
      <c r="H223" s="12">
        <f t="shared" ref="H223:Q223" si="122">IF($E72&gt;H$66,0,IF($E72&lt;H$66-365,$D72,0))</f>
        <v>0</v>
      </c>
      <c r="I223" s="12">
        <f t="shared" si="122"/>
        <v>0</v>
      </c>
      <c r="J223" s="12">
        <f t="shared" si="122"/>
        <v>0</v>
      </c>
      <c r="K223" s="12">
        <f t="shared" si="122"/>
        <v>0</v>
      </c>
      <c r="L223" s="12">
        <f t="shared" si="122"/>
        <v>0</v>
      </c>
      <c r="M223" s="12">
        <f t="shared" si="122"/>
        <v>0</v>
      </c>
      <c r="N223" s="12">
        <f t="shared" si="122"/>
        <v>0</v>
      </c>
      <c r="O223" s="12">
        <f t="shared" si="122"/>
        <v>0</v>
      </c>
      <c r="P223" s="12">
        <f t="shared" si="122"/>
        <v>0</v>
      </c>
      <c r="Q223" s="12">
        <f t="shared" si="122"/>
        <v>0</v>
      </c>
      <c r="T223" s="20"/>
      <c r="U223" s="20"/>
      <c r="V223" s="20"/>
    </row>
    <row r="224" spans="6:51">
      <c r="G224" s="12">
        <f t="shared" si="118"/>
        <v>0</v>
      </c>
      <c r="H224" s="12">
        <f t="shared" ref="H224:Q224" si="123">IF($E73&gt;H$66,0,IF($E73&lt;H$66-365,$D73,0))</f>
        <v>0</v>
      </c>
      <c r="I224" s="12">
        <f t="shared" si="123"/>
        <v>0</v>
      </c>
      <c r="J224" s="12">
        <f t="shared" si="123"/>
        <v>0</v>
      </c>
      <c r="K224" s="12">
        <f t="shared" si="123"/>
        <v>0</v>
      </c>
      <c r="L224" s="12">
        <f t="shared" si="123"/>
        <v>0</v>
      </c>
      <c r="M224" s="12">
        <f t="shared" si="123"/>
        <v>0</v>
      </c>
      <c r="N224" s="12">
        <f t="shared" si="123"/>
        <v>0</v>
      </c>
      <c r="O224" s="12">
        <f t="shared" si="123"/>
        <v>0</v>
      </c>
      <c r="P224" s="12">
        <f t="shared" si="123"/>
        <v>0</v>
      </c>
      <c r="Q224" s="12">
        <f t="shared" si="123"/>
        <v>0</v>
      </c>
      <c r="T224" s="20"/>
      <c r="U224" s="20"/>
      <c r="V224" s="20"/>
    </row>
    <row r="225" spans="7:28">
      <c r="G225" s="12">
        <f t="shared" si="118"/>
        <v>0</v>
      </c>
      <c r="H225" s="12">
        <f t="shared" ref="H225:Q225" si="124">IF($E74&gt;H$66,0,IF($E74&lt;H$66-365,$D74,0))</f>
        <v>0</v>
      </c>
      <c r="I225" s="12">
        <f t="shared" si="124"/>
        <v>0</v>
      </c>
      <c r="J225" s="12">
        <f t="shared" si="124"/>
        <v>0</v>
      </c>
      <c r="K225" s="12">
        <f t="shared" si="124"/>
        <v>0</v>
      </c>
      <c r="L225" s="12">
        <f t="shared" si="124"/>
        <v>0</v>
      </c>
      <c r="M225" s="12">
        <f t="shared" si="124"/>
        <v>0</v>
      </c>
      <c r="N225" s="12">
        <f t="shared" si="124"/>
        <v>-78</v>
      </c>
      <c r="O225" s="12">
        <f t="shared" si="124"/>
        <v>-78</v>
      </c>
      <c r="P225" s="12">
        <f t="shared" si="124"/>
        <v>-78</v>
      </c>
      <c r="Q225" s="12">
        <f t="shared" si="124"/>
        <v>-78</v>
      </c>
      <c r="T225" s="20"/>
      <c r="U225" s="20"/>
      <c r="V225" s="20"/>
      <c r="AA225" s="55">
        <f>SUM(AN167:AN213)</f>
        <v>2913200</v>
      </c>
      <c r="AB225" s="24">
        <f>SUM(AO167:AO213)</f>
        <v>0</v>
      </c>
    </row>
    <row r="226" spans="7:28">
      <c r="G226" s="12">
        <f t="shared" si="118"/>
        <v>0</v>
      </c>
      <c r="H226" s="12">
        <f t="shared" ref="H226:Q226" si="125">IF($E75&gt;H$66,0,IF($E75&lt;H$66-365,$D75,0))</f>
        <v>0</v>
      </c>
      <c r="I226" s="12">
        <f t="shared" si="125"/>
        <v>0</v>
      </c>
      <c r="J226" s="12">
        <f t="shared" si="125"/>
        <v>0</v>
      </c>
      <c r="K226" s="12">
        <f t="shared" si="125"/>
        <v>0</v>
      </c>
      <c r="L226" s="12">
        <f t="shared" si="125"/>
        <v>0</v>
      </c>
      <c r="M226" s="12">
        <f t="shared" si="125"/>
        <v>0</v>
      </c>
      <c r="N226" s="12">
        <f t="shared" si="125"/>
        <v>0</v>
      </c>
      <c r="O226" s="12">
        <f t="shared" si="125"/>
        <v>0</v>
      </c>
      <c r="P226" s="12">
        <f t="shared" si="125"/>
        <v>0</v>
      </c>
      <c r="Q226" s="12">
        <f t="shared" si="125"/>
        <v>0</v>
      </c>
      <c r="T226" s="20"/>
      <c r="U226" s="20"/>
      <c r="V226" s="20"/>
      <c r="AA226" s="24">
        <f>AA225*1.35</f>
        <v>3932820.0000000005</v>
      </c>
      <c r="AB226" s="24">
        <f>AB225*1.35</f>
        <v>0</v>
      </c>
    </row>
    <row r="227" spans="7:28">
      <c r="G227" s="12">
        <f t="shared" si="118"/>
        <v>0</v>
      </c>
      <c r="H227" s="12">
        <f t="shared" ref="H227:Q227" si="126">IF($E76&gt;H$66,0,IF($E76&lt;H$66-365,$D76,0))</f>
        <v>0</v>
      </c>
      <c r="I227" s="12">
        <f t="shared" si="126"/>
        <v>0</v>
      </c>
      <c r="J227" s="12">
        <f t="shared" si="126"/>
        <v>0</v>
      </c>
      <c r="K227" s="12">
        <f t="shared" si="126"/>
        <v>0</v>
      </c>
      <c r="L227" s="12">
        <f t="shared" si="126"/>
        <v>0</v>
      </c>
      <c r="M227" s="12">
        <f t="shared" si="126"/>
        <v>0</v>
      </c>
      <c r="N227" s="12">
        <f t="shared" si="126"/>
        <v>0</v>
      </c>
      <c r="O227" s="12">
        <f t="shared" si="126"/>
        <v>0</v>
      </c>
      <c r="P227" s="12">
        <f t="shared" si="126"/>
        <v>0</v>
      </c>
      <c r="Q227" s="12">
        <f t="shared" si="126"/>
        <v>0</v>
      </c>
    </row>
    <row r="228" spans="7:28">
      <c r="G228" s="12">
        <f t="shared" si="118"/>
        <v>0</v>
      </c>
      <c r="H228" s="12">
        <f t="shared" ref="H228:Q228" si="127">IF($E77&gt;H$66,0,IF($E77&lt;H$66-365,$D77,0))</f>
        <v>0</v>
      </c>
      <c r="I228" s="12">
        <f t="shared" si="127"/>
        <v>0</v>
      </c>
      <c r="J228" s="12">
        <f t="shared" si="127"/>
        <v>0</v>
      </c>
      <c r="K228" s="12">
        <f t="shared" si="127"/>
        <v>0</v>
      </c>
      <c r="L228" s="12">
        <f t="shared" si="127"/>
        <v>0</v>
      </c>
      <c r="M228" s="12">
        <f t="shared" si="127"/>
        <v>0</v>
      </c>
      <c r="N228" s="12">
        <f t="shared" si="127"/>
        <v>0</v>
      </c>
      <c r="O228" s="12">
        <f t="shared" si="127"/>
        <v>0</v>
      </c>
      <c r="P228" s="12">
        <f t="shared" si="127"/>
        <v>0</v>
      </c>
      <c r="Q228" s="12">
        <f t="shared" si="127"/>
        <v>0</v>
      </c>
    </row>
    <row r="229" spans="7:28">
      <c r="G229" s="12">
        <f t="shared" si="118"/>
        <v>0</v>
      </c>
      <c r="H229" s="12">
        <f t="shared" ref="H229:Q229" si="128">IF($E78&gt;H$66,0,IF($E78&lt;H$66-365,$D78,0))</f>
        <v>0</v>
      </c>
      <c r="I229" s="12">
        <f t="shared" si="128"/>
        <v>0</v>
      </c>
      <c r="J229" s="12">
        <f t="shared" si="128"/>
        <v>0</v>
      </c>
      <c r="K229" s="12">
        <f t="shared" si="128"/>
        <v>0</v>
      </c>
      <c r="L229" s="12">
        <f t="shared" si="128"/>
        <v>0</v>
      </c>
      <c r="M229" s="12">
        <f t="shared" si="128"/>
        <v>0</v>
      </c>
      <c r="N229" s="12">
        <f t="shared" si="128"/>
        <v>0</v>
      </c>
      <c r="O229" s="12">
        <f t="shared" si="128"/>
        <v>0</v>
      </c>
      <c r="P229" s="12">
        <f t="shared" si="128"/>
        <v>0</v>
      </c>
      <c r="Q229" s="12">
        <f t="shared" si="128"/>
        <v>0</v>
      </c>
    </row>
    <row r="230" spans="7:28">
      <c r="G230" s="12">
        <f t="shared" si="118"/>
        <v>0</v>
      </c>
      <c r="H230" s="12">
        <f t="shared" ref="H230:Q230" si="129">IF($E79&gt;H$66,0,IF($E79&lt;H$66-365,$D79,0))</f>
        <v>0</v>
      </c>
      <c r="I230" s="12">
        <f t="shared" si="129"/>
        <v>0</v>
      </c>
      <c r="J230" s="12">
        <f t="shared" si="129"/>
        <v>0</v>
      </c>
      <c r="K230" s="12">
        <f t="shared" si="129"/>
        <v>0</v>
      </c>
      <c r="L230" s="12">
        <f t="shared" si="129"/>
        <v>0</v>
      </c>
      <c r="M230" s="12">
        <f t="shared" si="129"/>
        <v>0</v>
      </c>
      <c r="N230" s="12">
        <f t="shared" si="129"/>
        <v>0</v>
      </c>
      <c r="O230" s="12">
        <f t="shared" si="129"/>
        <v>0</v>
      </c>
      <c r="P230" s="12">
        <f t="shared" si="129"/>
        <v>0</v>
      </c>
      <c r="Q230" s="12">
        <f t="shared" si="129"/>
        <v>0</v>
      </c>
    </row>
    <row r="231" spans="7:28">
      <c r="G231" s="12">
        <f t="shared" si="118"/>
        <v>0</v>
      </c>
      <c r="H231" s="12">
        <f t="shared" ref="H231:Q231" si="130">IF($E80&gt;H$66,0,IF($E80&lt;H$66-365,$D80,0))</f>
        <v>0</v>
      </c>
      <c r="I231" s="12">
        <f t="shared" si="130"/>
        <v>0</v>
      </c>
      <c r="J231" s="12">
        <f t="shared" si="130"/>
        <v>0</v>
      </c>
      <c r="K231" s="12">
        <f t="shared" si="130"/>
        <v>0</v>
      </c>
      <c r="L231" s="12">
        <f t="shared" si="130"/>
        <v>0</v>
      </c>
      <c r="M231" s="12">
        <f t="shared" si="130"/>
        <v>0</v>
      </c>
      <c r="N231" s="12">
        <f t="shared" si="130"/>
        <v>0</v>
      </c>
      <c r="O231" s="12">
        <f t="shared" si="130"/>
        <v>0</v>
      </c>
      <c r="P231" s="12">
        <f t="shared" si="130"/>
        <v>0</v>
      </c>
      <c r="Q231" s="12">
        <f t="shared" si="130"/>
        <v>0</v>
      </c>
    </row>
    <row r="232" spans="7:28">
      <c r="G232" s="12">
        <f t="shared" si="118"/>
        <v>0</v>
      </c>
      <c r="H232" s="12">
        <f t="shared" ref="H232:Q232" si="131">IF($E81&gt;H$66,0,IF($E81&lt;H$66-365,$D81,0))</f>
        <v>0</v>
      </c>
      <c r="I232" s="12">
        <f t="shared" si="131"/>
        <v>0</v>
      </c>
      <c r="J232" s="12">
        <f t="shared" si="131"/>
        <v>0</v>
      </c>
      <c r="K232" s="12">
        <f t="shared" si="131"/>
        <v>0</v>
      </c>
      <c r="L232" s="12">
        <f t="shared" si="131"/>
        <v>0</v>
      </c>
      <c r="M232" s="12">
        <f t="shared" si="131"/>
        <v>0</v>
      </c>
      <c r="N232" s="12">
        <f t="shared" si="131"/>
        <v>0</v>
      </c>
      <c r="O232" s="12">
        <f t="shared" si="131"/>
        <v>0</v>
      </c>
      <c r="P232" s="12">
        <f t="shared" si="131"/>
        <v>0</v>
      </c>
      <c r="Q232" s="12">
        <f t="shared" si="131"/>
        <v>0</v>
      </c>
    </row>
    <row r="233" spans="7:28">
      <c r="G233" s="12">
        <f t="shared" si="118"/>
        <v>0</v>
      </c>
      <c r="H233" s="12">
        <f t="shared" ref="H233:Q233" si="132">IF($E82&gt;H$66,0,IF($E82&lt;H$66-365,$D82,0))</f>
        <v>0</v>
      </c>
      <c r="I233" s="12">
        <f t="shared" si="132"/>
        <v>0</v>
      </c>
      <c r="J233" s="12">
        <f t="shared" si="132"/>
        <v>0</v>
      </c>
      <c r="K233" s="12">
        <f t="shared" si="132"/>
        <v>0</v>
      </c>
      <c r="L233" s="12">
        <f t="shared" si="132"/>
        <v>0</v>
      </c>
      <c r="M233" s="12">
        <f t="shared" si="132"/>
        <v>0</v>
      </c>
      <c r="N233" s="12">
        <f t="shared" si="132"/>
        <v>0</v>
      </c>
      <c r="O233" s="12">
        <f t="shared" si="132"/>
        <v>0</v>
      </c>
      <c r="P233" s="12">
        <f t="shared" si="132"/>
        <v>0</v>
      </c>
      <c r="Q233" s="12">
        <f t="shared" si="132"/>
        <v>0</v>
      </c>
    </row>
    <row r="234" spans="7:28">
      <c r="G234" s="12">
        <f t="shared" si="118"/>
        <v>0</v>
      </c>
      <c r="H234" s="12">
        <f t="shared" ref="H234:Q234" si="133">IF($E83&gt;H$66,0,IF($E83&lt;H$66-365,$D83,0))</f>
        <v>0</v>
      </c>
      <c r="I234" s="12">
        <f t="shared" si="133"/>
        <v>0</v>
      </c>
      <c r="J234" s="12">
        <f t="shared" si="133"/>
        <v>0</v>
      </c>
      <c r="K234" s="12">
        <f t="shared" si="133"/>
        <v>0</v>
      </c>
      <c r="L234" s="12">
        <f t="shared" si="133"/>
        <v>0</v>
      </c>
      <c r="M234" s="12">
        <f t="shared" si="133"/>
        <v>0</v>
      </c>
      <c r="N234" s="12">
        <f t="shared" si="133"/>
        <v>0</v>
      </c>
      <c r="O234" s="12">
        <f t="shared" si="133"/>
        <v>0</v>
      </c>
      <c r="P234" s="12">
        <f t="shared" si="133"/>
        <v>0</v>
      </c>
      <c r="Q234" s="12">
        <f t="shared" si="133"/>
        <v>0</v>
      </c>
    </row>
    <row r="235" spans="7:28">
      <c r="G235" s="12">
        <f t="shared" si="118"/>
        <v>0</v>
      </c>
      <c r="H235" s="12">
        <f t="shared" ref="H235:Q235" si="134">IF($E84&gt;H$66,0,IF($E84&lt;H$66-365,$D84,0))</f>
        <v>0</v>
      </c>
      <c r="I235" s="12">
        <f t="shared" si="134"/>
        <v>0</v>
      </c>
      <c r="J235" s="12">
        <f t="shared" si="134"/>
        <v>0</v>
      </c>
      <c r="K235" s="12">
        <f t="shared" si="134"/>
        <v>0</v>
      </c>
      <c r="L235" s="12">
        <f t="shared" si="134"/>
        <v>0</v>
      </c>
      <c r="M235" s="12">
        <f t="shared" si="134"/>
        <v>0</v>
      </c>
      <c r="N235" s="12">
        <f t="shared" si="134"/>
        <v>0</v>
      </c>
      <c r="O235" s="12">
        <f t="shared" si="134"/>
        <v>0</v>
      </c>
      <c r="P235" s="12">
        <f t="shared" si="134"/>
        <v>0</v>
      </c>
      <c r="Q235" s="12">
        <f t="shared" si="134"/>
        <v>0</v>
      </c>
    </row>
    <row r="236" spans="7:28">
      <c r="G236" s="12">
        <f t="shared" si="118"/>
        <v>0</v>
      </c>
      <c r="H236" s="12">
        <f t="shared" ref="H236:Q236" si="135">IF($E85&gt;H$66,0,IF($E85&lt;H$66-365,$D85,0))</f>
        <v>0</v>
      </c>
      <c r="I236" s="12">
        <f t="shared" si="135"/>
        <v>0</v>
      </c>
      <c r="J236" s="12">
        <f t="shared" si="135"/>
        <v>0</v>
      </c>
      <c r="K236" s="12">
        <f t="shared" si="135"/>
        <v>0</v>
      </c>
      <c r="L236" s="12">
        <f t="shared" si="135"/>
        <v>0</v>
      </c>
      <c r="M236" s="12">
        <f t="shared" si="135"/>
        <v>0</v>
      </c>
      <c r="N236" s="12">
        <f t="shared" si="135"/>
        <v>0</v>
      </c>
      <c r="O236" s="12">
        <f t="shared" si="135"/>
        <v>0</v>
      </c>
      <c r="P236" s="12">
        <f t="shared" si="135"/>
        <v>0</v>
      </c>
      <c r="Q236" s="12">
        <f t="shared" si="135"/>
        <v>0</v>
      </c>
    </row>
    <row r="237" spans="7:28">
      <c r="G237" s="12">
        <f t="shared" si="118"/>
        <v>0</v>
      </c>
      <c r="H237" s="12">
        <f t="shared" ref="H237:Q237" si="136">IF($E86&gt;H$66,0,IF($E86&lt;H$66-365,$D86,0))</f>
        <v>0</v>
      </c>
      <c r="I237" s="12">
        <f t="shared" si="136"/>
        <v>0</v>
      </c>
      <c r="J237" s="12">
        <f t="shared" si="136"/>
        <v>0</v>
      </c>
      <c r="K237" s="12">
        <f t="shared" si="136"/>
        <v>0</v>
      </c>
      <c r="L237" s="12">
        <f t="shared" si="136"/>
        <v>0</v>
      </c>
      <c r="M237" s="12">
        <f t="shared" si="136"/>
        <v>0</v>
      </c>
      <c r="N237" s="12">
        <f t="shared" si="136"/>
        <v>0</v>
      </c>
      <c r="O237" s="12">
        <f t="shared" si="136"/>
        <v>0</v>
      </c>
      <c r="P237" s="12">
        <f t="shared" si="136"/>
        <v>0</v>
      </c>
      <c r="Q237" s="12">
        <f t="shared" si="136"/>
        <v>0</v>
      </c>
    </row>
    <row r="238" spans="7:28">
      <c r="G238" s="12">
        <f t="shared" si="118"/>
        <v>0</v>
      </c>
      <c r="H238" s="12">
        <f t="shared" ref="H238:Q238" si="137">IF($E87&gt;H$66,0,IF($E87&lt;H$66-365,$D87,0))</f>
        <v>0</v>
      </c>
      <c r="I238" s="12">
        <f t="shared" si="137"/>
        <v>0</v>
      </c>
      <c r="J238" s="12">
        <f t="shared" si="137"/>
        <v>0</v>
      </c>
      <c r="K238" s="12">
        <f t="shared" si="137"/>
        <v>0</v>
      </c>
      <c r="L238" s="12">
        <f t="shared" si="137"/>
        <v>0</v>
      </c>
      <c r="M238" s="12">
        <f t="shared" si="137"/>
        <v>0</v>
      </c>
      <c r="N238" s="12">
        <f t="shared" si="137"/>
        <v>0</v>
      </c>
      <c r="O238" s="12">
        <f t="shared" si="137"/>
        <v>0</v>
      </c>
      <c r="P238" s="12">
        <f t="shared" si="137"/>
        <v>0</v>
      </c>
      <c r="Q238" s="12">
        <f t="shared" si="137"/>
        <v>0</v>
      </c>
    </row>
    <row r="239" spans="7:28">
      <c r="G239" s="12">
        <f t="shared" si="118"/>
        <v>0</v>
      </c>
      <c r="H239" s="12">
        <f t="shared" ref="H239:Q239" si="138">IF($E88&gt;H$66,0,IF($E88&lt;H$66-365,$D88,0))</f>
        <v>0</v>
      </c>
      <c r="I239" s="12">
        <f t="shared" si="138"/>
        <v>0</v>
      </c>
      <c r="J239" s="12">
        <f t="shared" si="138"/>
        <v>0</v>
      </c>
      <c r="K239" s="12">
        <f t="shared" si="138"/>
        <v>0</v>
      </c>
      <c r="L239" s="12">
        <f t="shared" si="138"/>
        <v>0</v>
      </c>
      <c r="M239" s="12">
        <f t="shared" si="138"/>
        <v>0</v>
      </c>
      <c r="N239" s="12">
        <f t="shared" si="138"/>
        <v>0</v>
      </c>
      <c r="O239" s="12">
        <f t="shared" si="138"/>
        <v>0</v>
      </c>
      <c r="P239" s="12">
        <f t="shared" si="138"/>
        <v>0</v>
      </c>
      <c r="Q239" s="12">
        <f t="shared" si="138"/>
        <v>0</v>
      </c>
    </row>
    <row r="240" spans="7:28">
      <c r="G240" s="12">
        <f t="shared" si="118"/>
        <v>0</v>
      </c>
      <c r="H240" s="12">
        <f t="shared" ref="H240:Q240" si="139">IF($E89&gt;H$66,0,IF($E89&lt;H$66-365,$D89,0))</f>
        <v>0</v>
      </c>
      <c r="I240" s="12">
        <f t="shared" si="139"/>
        <v>0</v>
      </c>
      <c r="J240" s="12">
        <f t="shared" si="139"/>
        <v>0</v>
      </c>
      <c r="K240" s="12">
        <f t="shared" si="139"/>
        <v>0</v>
      </c>
      <c r="L240" s="12">
        <f t="shared" si="139"/>
        <v>0</v>
      </c>
      <c r="M240" s="12">
        <f t="shared" si="139"/>
        <v>0</v>
      </c>
      <c r="N240" s="12">
        <f t="shared" si="139"/>
        <v>0</v>
      </c>
      <c r="O240" s="12">
        <f t="shared" si="139"/>
        <v>0</v>
      </c>
      <c r="P240" s="12">
        <f t="shared" si="139"/>
        <v>0</v>
      </c>
      <c r="Q240" s="12">
        <f t="shared" si="139"/>
        <v>0</v>
      </c>
    </row>
    <row r="241" spans="7:17">
      <c r="G241" s="12">
        <f t="shared" si="118"/>
        <v>0</v>
      </c>
      <c r="H241" s="12">
        <f t="shared" ref="H241:Q241" si="140">IF($E90&gt;H$66,0,IF($E90&lt;H$66-365,$D90,0))</f>
        <v>0</v>
      </c>
      <c r="I241" s="12">
        <f t="shared" si="140"/>
        <v>0</v>
      </c>
      <c r="J241" s="12">
        <f t="shared" si="140"/>
        <v>0</v>
      </c>
      <c r="K241" s="12">
        <f t="shared" si="140"/>
        <v>0</v>
      </c>
      <c r="L241" s="12">
        <f t="shared" si="140"/>
        <v>0</v>
      </c>
      <c r="M241" s="12">
        <f t="shared" si="140"/>
        <v>0</v>
      </c>
      <c r="N241" s="12">
        <f t="shared" si="140"/>
        <v>0</v>
      </c>
      <c r="O241" s="12">
        <f t="shared" si="140"/>
        <v>0</v>
      </c>
      <c r="P241" s="12">
        <f t="shared" si="140"/>
        <v>0</v>
      </c>
      <c r="Q241" s="12">
        <f t="shared" si="140"/>
        <v>0</v>
      </c>
    </row>
    <row r="242" spans="7:17">
      <c r="G242" s="12">
        <f t="shared" si="118"/>
        <v>0</v>
      </c>
      <c r="H242" s="12">
        <f t="shared" ref="H242:Q242" si="141">IF($E91&gt;H$66,0,IF($E91&lt;H$66-365,$D91,0))</f>
        <v>0</v>
      </c>
      <c r="I242" s="12">
        <f t="shared" si="141"/>
        <v>0</v>
      </c>
      <c r="J242" s="12">
        <f t="shared" si="141"/>
        <v>0</v>
      </c>
      <c r="K242" s="12">
        <f t="shared" si="141"/>
        <v>0</v>
      </c>
      <c r="L242" s="12">
        <f t="shared" si="141"/>
        <v>0</v>
      </c>
      <c r="M242" s="12">
        <f t="shared" si="141"/>
        <v>0</v>
      </c>
      <c r="N242" s="12">
        <f t="shared" si="141"/>
        <v>0</v>
      </c>
      <c r="O242" s="12">
        <f t="shared" si="141"/>
        <v>0</v>
      </c>
      <c r="P242" s="12">
        <f t="shared" si="141"/>
        <v>0</v>
      </c>
      <c r="Q242" s="12">
        <f t="shared" si="141"/>
        <v>0</v>
      </c>
    </row>
    <row r="243" spans="7:17">
      <c r="G243" s="12">
        <f t="shared" si="118"/>
        <v>0</v>
      </c>
      <c r="H243" s="12">
        <f t="shared" ref="H243:Q243" si="142">IF($E92&gt;H$66,0,IF($E92&lt;H$66-365,$D92,0))</f>
        <v>0</v>
      </c>
      <c r="I243" s="12">
        <f t="shared" si="142"/>
        <v>0</v>
      </c>
      <c r="J243" s="12">
        <f t="shared" si="142"/>
        <v>0</v>
      </c>
      <c r="K243" s="12">
        <f t="shared" si="142"/>
        <v>0</v>
      </c>
      <c r="L243" s="12">
        <f t="shared" si="142"/>
        <v>0</v>
      </c>
      <c r="M243" s="12">
        <f t="shared" si="142"/>
        <v>0</v>
      </c>
      <c r="N243" s="12">
        <f t="shared" si="142"/>
        <v>0</v>
      </c>
      <c r="O243" s="12">
        <f t="shared" si="142"/>
        <v>0</v>
      </c>
      <c r="P243" s="12">
        <f t="shared" si="142"/>
        <v>0</v>
      </c>
      <c r="Q243" s="12">
        <f t="shared" si="142"/>
        <v>0</v>
      </c>
    </row>
    <row r="244" spans="7:17">
      <c r="G244" s="12">
        <f t="shared" si="118"/>
        <v>0</v>
      </c>
      <c r="H244" s="12">
        <f t="shared" ref="H244:Q244" si="143">IF($E93&gt;H$66,0,IF($E93&lt;H$66-365,$D93,0))</f>
        <v>0</v>
      </c>
      <c r="I244" s="12">
        <f t="shared" si="143"/>
        <v>0</v>
      </c>
      <c r="J244" s="12">
        <f t="shared" si="143"/>
        <v>0</v>
      </c>
      <c r="K244" s="12">
        <f t="shared" si="143"/>
        <v>0</v>
      </c>
      <c r="L244" s="12">
        <f t="shared" si="143"/>
        <v>0</v>
      </c>
      <c r="M244" s="12">
        <f t="shared" si="143"/>
        <v>0</v>
      </c>
      <c r="N244" s="12">
        <f t="shared" si="143"/>
        <v>0</v>
      </c>
      <c r="O244" s="12">
        <f t="shared" si="143"/>
        <v>0</v>
      </c>
      <c r="P244" s="12">
        <f t="shared" si="143"/>
        <v>0</v>
      </c>
      <c r="Q244" s="12">
        <f t="shared" si="143"/>
        <v>0</v>
      </c>
    </row>
    <row r="245" spans="7:17">
      <c r="G245" s="12">
        <f t="shared" si="118"/>
        <v>0</v>
      </c>
      <c r="H245" s="12">
        <f t="shared" ref="H245:Q245" si="144">IF($E94&gt;H$66,0,IF($E94&lt;H$66-365,$D94,0))</f>
        <v>0</v>
      </c>
      <c r="I245" s="12">
        <f t="shared" si="144"/>
        <v>0</v>
      </c>
      <c r="J245" s="12">
        <f t="shared" si="144"/>
        <v>0</v>
      </c>
      <c r="K245" s="12">
        <f t="shared" si="144"/>
        <v>0</v>
      </c>
      <c r="L245" s="12">
        <f t="shared" si="144"/>
        <v>0</v>
      </c>
      <c r="M245" s="12">
        <f t="shared" si="144"/>
        <v>0</v>
      </c>
      <c r="N245" s="12">
        <f t="shared" si="144"/>
        <v>0</v>
      </c>
      <c r="O245" s="12">
        <f t="shared" si="144"/>
        <v>0</v>
      </c>
      <c r="P245" s="12">
        <f t="shared" si="144"/>
        <v>0</v>
      </c>
      <c r="Q245" s="12">
        <f t="shared" si="144"/>
        <v>0</v>
      </c>
    </row>
    <row r="246" spans="7:17">
      <c r="G246" s="12">
        <f t="shared" si="118"/>
        <v>0</v>
      </c>
      <c r="H246" s="12">
        <f t="shared" ref="H246:Q246" si="145">IF($E95&gt;H$66,0,IF($E95&lt;H$66-365,$D95,0))</f>
        <v>0</v>
      </c>
      <c r="I246" s="12">
        <f t="shared" si="145"/>
        <v>0</v>
      </c>
      <c r="J246" s="12">
        <f t="shared" si="145"/>
        <v>0</v>
      </c>
      <c r="K246" s="12">
        <f t="shared" si="145"/>
        <v>0</v>
      </c>
      <c r="L246" s="12">
        <f t="shared" si="145"/>
        <v>0</v>
      </c>
      <c r="M246" s="12">
        <f t="shared" si="145"/>
        <v>0</v>
      </c>
      <c r="N246" s="12">
        <f t="shared" si="145"/>
        <v>0</v>
      </c>
      <c r="O246" s="12">
        <f t="shared" si="145"/>
        <v>0</v>
      </c>
      <c r="P246" s="12">
        <f t="shared" si="145"/>
        <v>0</v>
      </c>
      <c r="Q246" s="12">
        <f t="shared" si="145"/>
        <v>0</v>
      </c>
    </row>
    <row r="247" spans="7:17">
      <c r="G247" s="12">
        <f t="shared" si="118"/>
        <v>0</v>
      </c>
      <c r="H247" s="12">
        <f t="shared" ref="H247:Q247" si="146">IF($E96&gt;H$66,0,IF($E96&lt;H$66-365,$D96,0))</f>
        <v>0</v>
      </c>
      <c r="I247" s="12">
        <f t="shared" si="146"/>
        <v>0</v>
      </c>
      <c r="J247" s="12">
        <f t="shared" si="146"/>
        <v>0</v>
      </c>
      <c r="K247" s="12">
        <f t="shared" si="146"/>
        <v>0</v>
      </c>
      <c r="L247" s="12">
        <f t="shared" si="146"/>
        <v>0</v>
      </c>
      <c r="M247" s="12">
        <f t="shared" si="146"/>
        <v>0</v>
      </c>
      <c r="N247" s="12">
        <f t="shared" si="146"/>
        <v>0</v>
      </c>
      <c r="O247" s="12">
        <f t="shared" si="146"/>
        <v>0</v>
      </c>
      <c r="P247" s="12">
        <f t="shared" si="146"/>
        <v>0</v>
      </c>
      <c r="Q247" s="12">
        <f t="shared" si="146"/>
        <v>0</v>
      </c>
    </row>
    <row r="248" spans="7:17">
      <c r="G248" s="12">
        <f t="shared" si="118"/>
        <v>0</v>
      </c>
      <c r="H248" s="12">
        <f t="shared" ref="H248:Q248" si="147">IF($E97&gt;H$66,0,IF($E97&lt;H$66-365,$D97,0))</f>
        <v>0</v>
      </c>
      <c r="I248" s="12">
        <f t="shared" si="147"/>
        <v>0</v>
      </c>
      <c r="J248" s="12">
        <f t="shared" si="147"/>
        <v>0</v>
      </c>
      <c r="K248" s="12">
        <f t="shared" si="147"/>
        <v>0</v>
      </c>
      <c r="L248" s="12">
        <f t="shared" si="147"/>
        <v>0</v>
      </c>
      <c r="M248" s="12">
        <f t="shared" si="147"/>
        <v>0</v>
      </c>
      <c r="N248" s="12">
        <f t="shared" si="147"/>
        <v>0</v>
      </c>
      <c r="O248" s="12">
        <f t="shared" si="147"/>
        <v>0</v>
      </c>
      <c r="P248" s="12">
        <f t="shared" si="147"/>
        <v>0</v>
      </c>
      <c r="Q248" s="12">
        <f t="shared" si="147"/>
        <v>0</v>
      </c>
    </row>
    <row r="249" spans="7:17">
      <c r="G249" s="12">
        <f t="shared" si="118"/>
        <v>0</v>
      </c>
      <c r="H249" s="12">
        <f t="shared" ref="H249:Q249" si="148">IF($E98&gt;H$66,0,IF($E98&lt;H$66-365,$D98,0))</f>
        <v>0</v>
      </c>
      <c r="I249" s="12">
        <f t="shared" si="148"/>
        <v>0</v>
      </c>
      <c r="J249" s="12">
        <f t="shared" si="148"/>
        <v>0</v>
      </c>
      <c r="K249" s="12">
        <f t="shared" si="148"/>
        <v>0</v>
      </c>
      <c r="L249" s="12">
        <f t="shared" si="148"/>
        <v>0</v>
      </c>
      <c r="M249" s="12">
        <f t="shared" si="148"/>
        <v>0</v>
      </c>
      <c r="N249" s="12">
        <f t="shared" si="148"/>
        <v>0</v>
      </c>
      <c r="O249" s="12">
        <f t="shared" si="148"/>
        <v>0</v>
      </c>
      <c r="P249" s="12">
        <f t="shared" si="148"/>
        <v>0</v>
      </c>
      <c r="Q249" s="12">
        <f t="shared" si="148"/>
        <v>0</v>
      </c>
    </row>
    <row r="250" spans="7:17">
      <c r="G250" s="12">
        <f t="shared" si="118"/>
        <v>0</v>
      </c>
      <c r="H250" s="12">
        <f t="shared" ref="H250:Q250" si="149">IF($E99&gt;H$66,0,IF($E99&lt;H$66-365,$D99,0))</f>
        <v>0</v>
      </c>
      <c r="I250" s="12">
        <f t="shared" si="149"/>
        <v>0</v>
      </c>
      <c r="J250" s="12">
        <f t="shared" si="149"/>
        <v>0</v>
      </c>
      <c r="K250" s="12">
        <f t="shared" si="149"/>
        <v>0</v>
      </c>
      <c r="L250" s="12">
        <f t="shared" si="149"/>
        <v>0</v>
      </c>
      <c r="M250" s="12">
        <f t="shared" si="149"/>
        <v>0</v>
      </c>
      <c r="N250" s="12">
        <f t="shared" si="149"/>
        <v>0</v>
      </c>
      <c r="O250" s="12">
        <f t="shared" si="149"/>
        <v>0</v>
      </c>
      <c r="P250" s="12">
        <f t="shared" si="149"/>
        <v>0</v>
      </c>
      <c r="Q250" s="12">
        <f t="shared" si="149"/>
        <v>0</v>
      </c>
    </row>
    <row r="251" spans="7:17">
      <c r="G251" s="12">
        <f t="shared" si="118"/>
        <v>0</v>
      </c>
      <c r="H251" s="12">
        <f t="shared" ref="H251:Q251" si="150">IF($E100&gt;H$66,0,IF($E100&lt;H$66-365,$D100,0))</f>
        <v>0</v>
      </c>
      <c r="I251" s="12">
        <f t="shared" si="150"/>
        <v>0</v>
      </c>
      <c r="J251" s="12">
        <f t="shared" si="150"/>
        <v>0</v>
      </c>
      <c r="K251" s="12">
        <f t="shared" si="150"/>
        <v>0</v>
      </c>
      <c r="L251" s="12">
        <f t="shared" si="150"/>
        <v>0</v>
      </c>
      <c r="M251" s="12">
        <f t="shared" si="150"/>
        <v>0</v>
      </c>
      <c r="N251" s="12">
        <f t="shared" si="150"/>
        <v>0</v>
      </c>
      <c r="O251" s="12">
        <f t="shared" si="150"/>
        <v>0</v>
      </c>
      <c r="P251" s="12">
        <f t="shared" si="150"/>
        <v>0</v>
      </c>
      <c r="Q251" s="12">
        <f t="shared" si="150"/>
        <v>0</v>
      </c>
    </row>
    <row r="252" spans="7:17">
      <c r="G252" s="12">
        <f t="shared" si="118"/>
        <v>0</v>
      </c>
      <c r="H252" s="12">
        <f t="shared" ref="H252:Q252" si="151">IF($E101&gt;H$66,0,IF($E101&lt;H$66-365,$D101,0))</f>
        <v>0</v>
      </c>
      <c r="I252" s="12">
        <f t="shared" si="151"/>
        <v>0</v>
      </c>
      <c r="J252" s="12">
        <f t="shared" si="151"/>
        <v>0</v>
      </c>
      <c r="K252" s="12">
        <f t="shared" si="151"/>
        <v>0</v>
      </c>
      <c r="L252" s="12">
        <f t="shared" si="151"/>
        <v>0</v>
      </c>
      <c r="M252" s="12">
        <f t="shared" si="151"/>
        <v>0</v>
      </c>
      <c r="N252" s="12">
        <f t="shared" si="151"/>
        <v>0</v>
      </c>
      <c r="O252" s="12">
        <f t="shared" si="151"/>
        <v>0</v>
      </c>
      <c r="P252" s="12">
        <f t="shared" si="151"/>
        <v>0</v>
      </c>
      <c r="Q252" s="12">
        <f t="shared" si="151"/>
        <v>0</v>
      </c>
    </row>
    <row r="253" spans="7:17">
      <c r="G253" s="12">
        <f t="shared" si="118"/>
        <v>0</v>
      </c>
      <c r="H253" s="12">
        <f t="shared" ref="H253:Q253" si="152">IF($E102&gt;H$66,0,IF($E102&lt;H$66-365,$D102,0))</f>
        <v>0</v>
      </c>
      <c r="I253" s="12">
        <f t="shared" si="152"/>
        <v>0</v>
      </c>
      <c r="J253" s="12">
        <f t="shared" si="152"/>
        <v>0</v>
      </c>
      <c r="K253" s="12">
        <f t="shared" si="152"/>
        <v>0</v>
      </c>
      <c r="L253" s="12">
        <f t="shared" si="152"/>
        <v>0</v>
      </c>
      <c r="M253" s="12">
        <f t="shared" si="152"/>
        <v>0</v>
      </c>
      <c r="N253" s="12">
        <f t="shared" si="152"/>
        <v>0</v>
      </c>
      <c r="O253" s="12">
        <f t="shared" si="152"/>
        <v>0</v>
      </c>
      <c r="P253" s="12">
        <f t="shared" si="152"/>
        <v>0</v>
      </c>
      <c r="Q253" s="12">
        <f t="shared" si="152"/>
        <v>0</v>
      </c>
    </row>
    <row r="254" spans="7:17">
      <c r="G254" s="12">
        <f t="shared" si="118"/>
        <v>0</v>
      </c>
      <c r="H254" s="12">
        <f t="shared" ref="H254:Q254" si="153">IF($E103&gt;H$66,0,IF($E103&lt;H$66-365,$D103,0))</f>
        <v>0</v>
      </c>
      <c r="I254" s="12">
        <f t="shared" si="153"/>
        <v>0</v>
      </c>
      <c r="J254" s="12">
        <f t="shared" si="153"/>
        <v>0</v>
      </c>
      <c r="K254" s="12">
        <f t="shared" si="153"/>
        <v>0</v>
      </c>
      <c r="L254" s="12">
        <f t="shared" si="153"/>
        <v>0</v>
      </c>
      <c r="M254" s="12">
        <f t="shared" si="153"/>
        <v>0</v>
      </c>
      <c r="N254" s="12">
        <f t="shared" si="153"/>
        <v>0</v>
      </c>
      <c r="O254" s="12">
        <f t="shared" si="153"/>
        <v>0</v>
      </c>
      <c r="P254" s="12">
        <f t="shared" si="153"/>
        <v>0</v>
      </c>
      <c r="Q254" s="12">
        <f t="shared" si="153"/>
        <v>0</v>
      </c>
    </row>
    <row r="255" spans="7:17">
      <c r="G255" s="12">
        <f t="shared" si="118"/>
        <v>0</v>
      </c>
      <c r="H255" s="12">
        <f t="shared" ref="H255:Q255" si="154">IF($E104&gt;H$66,0,IF($E104&lt;H$66-365,$D104,0))</f>
        <v>0</v>
      </c>
      <c r="I255" s="12">
        <f t="shared" si="154"/>
        <v>0</v>
      </c>
      <c r="J255" s="12">
        <f t="shared" si="154"/>
        <v>0</v>
      </c>
      <c r="K255" s="12">
        <f t="shared" si="154"/>
        <v>0</v>
      </c>
      <c r="L255" s="12">
        <f t="shared" si="154"/>
        <v>0</v>
      </c>
      <c r="M255" s="12">
        <f t="shared" si="154"/>
        <v>0</v>
      </c>
      <c r="N255" s="12">
        <f t="shared" si="154"/>
        <v>0</v>
      </c>
      <c r="O255" s="12">
        <f t="shared" si="154"/>
        <v>0</v>
      </c>
      <c r="P255" s="12">
        <f t="shared" si="154"/>
        <v>0</v>
      </c>
      <c r="Q255" s="12">
        <f t="shared" si="154"/>
        <v>0</v>
      </c>
    </row>
    <row r="256" spans="7:17">
      <c r="G256" s="12">
        <f t="shared" si="118"/>
        <v>0</v>
      </c>
      <c r="H256" s="12">
        <f t="shared" ref="H256:Q256" si="155">IF($E105&gt;H$66,0,IF($E105&lt;H$66-365,$D105,0))</f>
        <v>0</v>
      </c>
      <c r="I256" s="12">
        <f t="shared" si="155"/>
        <v>0</v>
      </c>
      <c r="J256" s="12">
        <f t="shared" si="155"/>
        <v>0</v>
      </c>
      <c r="K256" s="12">
        <f t="shared" si="155"/>
        <v>0</v>
      </c>
      <c r="L256" s="12">
        <f t="shared" si="155"/>
        <v>0</v>
      </c>
      <c r="M256" s="12">
        <f t="shared" si="155"/>
        <v>0</v>
      </c>
      <c r="N256" s="12">
        <f t="shared" si="155"/>
        <v>0</v>
      </c>
      <c r="O256" s="12">
        <f t="shared" si="155"/>
        <v>0</v>
      </c>
      <c r="P256" s="12">
        <f t="shared" si="155"/>
        <v>0</v>
      </c>
      <c r="Q256" s="12">
        <f t="shared" si="155"/>
        <v>0</v>
      </c>
    </row>
    <row r="257" spans="5:18">
      <c r="G257" s="12">
        <f t="shared" si="118"/>
        <v>0</v>
      </c>
      <c r="H257" s="12">
        <f t="shared" ref="H257:Q257" si="156">IF($E106&gt;H$66,0,IF($E106&lt;H$66-365,$D106,0))</f>
        <v>0</v>
      </c>
      <c r="I257" s="12">
        <f t="shared" si="156"/>
        <v>0</v>
      </c>
      <c r="J257" s="12">
        <f t="shared" si="156"/>
        <v>0</v>
      </c>
      <c r="K257" s="12">
        <f t="shared" si="156"/>
        <v>0</v>
      </c>
      <c r="L257" s="12">
        <f t="shared" si="156"/>
        <v>0</v>
      </c>
      <c r="M257" s="12">
        <f t="shared" si="156"/>
        <v>0</v>
      </c>
      <c r="N257" s="12">
        <f t="shared" si="156"/>
        <v>0</v>
      </c>
      <c r="O257" s="12">
        <f t="shared" si="156"/>
        <v>0</v>
      </c>
      <c r="P257" s="12">
        <f t="shared" si="156"/>
        <v>0</v>
      </c>
      <c r="Q257" s="12">
        <f t="shared" si="156"/>
        <v>0</v>
      </c>
    </row>
    <row r="258" spans="5:18">
      <c r="G258" s="12">
        <f t="shared" si="118"/>
        <v>0</v>
      </c>
      <c r="H258" s="12">
        <f t="shared" ref="H258:Q258" si="157">IF($E107&gt;H$66,0,IF($E107&lt;H$66-365,$D107,0))</f>
        <v>0</v>
      </c>
      <c r="I258" s="12">
        <f t="shared" si="157"/>
        <v>0</v>
      </c>
      <c r="J258" s="12">
        <f t="shared" si="157"/>
        <v>0</v>
      </c>
      <c r="K258" s="12">
        <f t="shared" si="157"/>
        <v>0</v>
      </c>
      <c r="L258" s="12">
        <f t="shared" si="157"/>
        <v>0</v>
      </c>
      <c r="M258" s="12">
        <f t="shared" si="157"/>
        <v>0</v>
      </c>
      <c r="N258" s="12">
        <f t="shared" si="157"/>
        <v>0</v>
      </c>
      <c r="O258" s="12">
        <f t="shared" si="157"/>
        <v>0</v>
      </c>
      <c r="P258" s="12">
        <f t="shared" si="157"/>
        <v>0</v>
      </c>
      <c r="Q258" s="12">
        <f t="shared" si="157"/>
        <v>0</v>
      </c>
    </row>
    <row r="259" spans="5:18">
      <c r="G259" s="12">
        <f t="shared" si="118"/>
        <v>0</v>
      </c>
      <c r="H259" s="12">
        <f t="shared" ref="H259:Q259" si="158">IF($E108&gt;H$66,0,IF($E108&lt;H$66-365,$D108,0))</f>
        <v>0</v>
      </c>
      <c r="I259" s="12">
        <f t="shared" si="158"/>
        <v>0</v>
      </c>
      <c r="J259" s="12">
        <f t="shared" si="158"/>
        <v>0</v>
      </c>
      <c r="K259" s="12">
        <f t="shared" si="158"/>
        <v>0</v>
      </c>
      <c r="L259" s="12">
        <f t="shared" si="158"/>
        <v>0</v>
      </c>
      <c r="M259" s="12">
        <f t="shared" si="158"/>
        <v>0</v>
      </c>
      <c r="N259" s="12">
        <f t="shared" si="158"/>
        <v>0</v>
      </c>
      <c r="O259" s="12">
        <f t="shared" si="158"/>
        <v>0</v>
      </c>
      <c r="P259" s="12">
        <f t="shared" si="158"/>
        <v>0</v>
      </c>
      <c r="Q259" s="12">
        <f t="shared" si="158"/>
        <v>0</v>
      </c>
    </row>
    <row r="260" spans="5:18">
      <c r="G260" s="12">
        <f t="shared" si="118"/>
        <v>0</v>
      </c>
      <c r="H260" s="12">
        <f t="shared" ref="H260:Q260" si="159">IF($E109&gt;H$66,0,IF($E109&lt;H$66-365,$D109,0))</f>
        <v>0</v>
      </c>
      <c r="I260" s="12">
        <f t="shared" si="159"/>
        <v>0</v>
      </c>
      <c r="J260" s="12">
        <f t="shared" si="159"/>
        <v>0</v>
      </c>
      <c r="K260" s="12">
        <f t="shared" si="159"/>
        <v>0</v>
      </c>
      <c r="L260" s="12">
        <f t="shared" si="159"/>
        <v>0</v>
      </c>
      <c r="M260" s="12">
        <f t="shared" si="159"/>
        <v>0</v>
      </c>
      <c r="N260" s="12">
        <f t="shared" si="159"/>
        <v>0</v>
      </c>
      <c r="O260" s="12">
        <f t="shared" si="159"/>
        <v>0</v>
      </c>
      <c r="P260" s="12">
        <f t="shared" si="159"/>
        <v>0</v>
      </c>
      <c r="Q260" s="12">
        <f t="shared" si="159"/>
        <v>0</v>
      </c>
    </row>
    <row r="261" spans="5:18">
      <c r="G261" s="12">
        <f t="shared" si="118"/>
        <v>0</v>
      </c>
      <c r="H261" s="12">
        <f t="shared" ref="H261:Q261" si="160">IF($E110&gt;H$66,0,IF($E110&lt;H$66-365,$D110,0))</f>
        <v>0</v>
      </c>
      <c r="I261" s="12">
        <f t="shared" si="160"/>
        <v>0</v>
      </c>
      <c r="J261" s="12">
        <f t="shared" si="160"/>
        <v>0</v>
      </c>
      <c r="K261" s="12">
        <f t="shared" si="160"/>
        <v>0</v>
      </c>
      <c r="L261" s="12">
        <f t="shared" si="160"/>
        <v>0</v>
      </c>
      <c r="M261" s="12">
        <f t="shared" si="160"/>
        <v>0</v>
      </c>
      <c r="N261" s="12">
        <f t="shared" si="160"/>
        <v>0</v>
      </c>
      <c r="O261" s="12">
        <f t="shared" si="160"/>
        <v>0</v>
      </c>
      <c r="P261" s="12">
        <f t="shared" si="160"/>
        <v>0</v>
      </c>
      <c r="Q261" s="12">
        <f t="shared" si="160"/>
        <v>0</v>
      </c>
    </row>
    <row r="262" spans="5:18">
      <c r="G262" s="12">
        <f t="shared" si="118"/>
        <v>0</v>
      </c>
      <c r="H262" s="12">
        <f t="shared" ref="H262:Q262" si="161">IF($E111&gt;H$66,0,IF($E111&lt;H$66-365,$D111,0))</f>
        <v>0</v>
      </c>
      <c r="I262" s="12">
        <f t="shared" si="161"/>
        <v>0</v>
      </c>
      <c r="J262" s="12">
        <f t="shared" si="161"/>
        <v>0</v>
      </c>
      <c r="K262" s="12">
        <f t="shared" si="161"/>
        <v>0</v>
      </c>
      <c r="L262" s="12">
        <f t="shared" si="161"/>
        <v>0</v>
      </c>
      <c r="M262" s="12">
        <f t="shared" si="161"/>
        <v>0</v>
      </c>
      <c r="N262" s="12">
        <f t="shared" si="161"/>
        <v>0</v>
      </c>
      <c r="O262" s="12">
        <f t="shared" si="161"/>
        <v>0</v>
      </c>
      <c r="P262" s="12">
        <f t="shared" si="161"/>
        <v>0</v>
      </c>
      <c r="Q262" s="12">
        <f t="shared" si="161"/>
        <v>0</v>
      </c>
    </row>
    <row r="263" spans="5:18">
      <c r="G263" s="12">
        <f t="shared" si="118"/>
        <v>0</v>
      </c>
      <c r="H263" s="12">
        <f t="shared" ref="H263:Q263" si="162">IF($E112&gt;H$66,0,IF($E112&lt;H$66-365,$D112,0))</f>
        <v>0</v>
      </c>
      <c r="I263" s="12">
        <f t="shared" si="162"/>
        <v>0</v>
      </c>
      <c r="J263" s="12">
        <f t="shared" si="162"/>
        <v>0</v>
      </c>
      <c r="K263" s="12">
        <f t="shared" si="162"/>
        <v>0</v>
      </c>
      <c r="L263" s="12">
        <f t="shared" si="162"/>
        <v>0</v>
      </c>
      <c r="M263" s="12">
        <f t="shared" si="162"/>
        <v>0</v>
      </c>
      <c r="N263" s="12">
        <f t="shared" si="162"/>
        <v>0</v>
      </c>
      <c r="O263" s="12">
        <f t="shared" si="162"/>
        <v>0</v>
      </c>
      <c r="P263" s="12">
        <f t="shared" si="162"/>
        <v>0</v>
      </c>
      <c r="Q263" s="12">
        <f t="shared" si="162"/>
        <v>0</v>
      </c>
    </row>
    <row r="264" spans="5:18">
      <c r="G264" s="12">
        <f t="shared" si="118"/>
        <v>0</v>
      </c>
      <c r="H264" s="12">
        <f t="shared" ref="H264:Q264" si="163">IF($E113&gt;H$66,0,IF($E113&lt;H$66-365,$D113,0))</f>
        <v>0</v>
      </c>
      <c r="I264" s="12">
        <f t="shared" si="163"/>
        <v>0</v>
      </c>
      <c r="J264" s="12">
        <f t="shared" si="163"/>
        <v>0</v>
      </c>
      <c r="K264" s="12">
        <f t="shared" si="163"/>
        <v>0</v>
      </c>
      <c r="L264" s="12">
        <f t="shared" si="163"/>
        <v>0</v>
      </c>
      <c r="M264" s="12">
        <f t="shared" si="163"/>
        <v>0</v>
      </c>
      <c r="N264" s="12">
        <f t="shared" si="163"/>
        <v>0</v>
      </c>
      <c r="O264" s="12">
        <f t="shared" si="163"/>
        <v>0</v>
      </c>
      <c r="P264" s="12">
        <f t="shared" si="163"/>
        <v>0</v>
      </c>
      <c r="Q264" s="12">
        <f t="shared" si="163"/>
        <v>0</v>
      </c>
    </row>
    <row r="265" spans="5:18">
      <c r="G265" s="12">
        <f t="shared" si="118"/>
        <v>0</v>
      </c>
      <c r="H265" s="12">
        <f t="shared" ref="H265:Q265" si="164">IF($E114&gt;H$66,0,IF($E114&lt;H$66-365,$D114,0))</f>
        <v>0</v>
      </c>
      <c r="I265" s="12">
        <f t="shared" si="164"/>
        <v>0</v>
      </c>
      <c r="J265" s="12">
        <f t="shared" si="164"/>
        <v>0</v>
      </c>
      <c r="K265" s="12">
        <f t="shared" si="164"/>
        <v>0</v>
      </c>
      <c r="L265" s="12">
        <f t="shared" si="164"/>
        <v>0</v>
      </c>
      <c r="M265" s="12">
        <f t="shared" si="164"/>
        <v>0</v>
      </c>
      <c r="N265" s="12">
        <f t="shared" si="164"/>
        <v>0</v>
      </c>
      <c r="O265" s="12">
        <f t="shared" si="164"/>
        <v>0</v>
      </c>
      <c r="P265" s="12">
        <f t="shared" si="164"/>
        <v>0</v>
      </c>
      <c r="Q265" s="12">
        <f t="shared" si="164"/>
        <v>0</v>
      </c>
    </row>
    <row r="267" spans="5:18">
      <c r="F267" s="187" t="s">
        <v>493</v>
      </c>
      <c r="G267" s="187">
        <f>SUM(G220:G265)</f>
        <v>-209</v>
      </c>
      <c r="H267" s="187">
        <f t="shared" ref="H267:Q267" si="165">SUM(H220:H265)</f>
        <v>-209</v>
      </c>
      <c r="I267" s="187">
        <f t="shared" si="165"/>
        <v>-209</v>
      </c>
      <c r="J267" s="187">
        <f t="shared" si="165"/>
        <v>-209</v>
      </c>
      <c r="K267" s="187">
        <f t="shared" si="165"/>
        <v>-209</v>
      </c>
      <c r="L267" s="187">
        <f t="shared" si="165"/>
        <v>-209</v>
      </c>
      <c r="M267" s="187">
        <f t="shared" si="165"/>
        <v>-209</v>
      </c>
      <c r="N267" s="187">
        <f t="shared" si="165"/>
        <v>-287</v>
      </c>
      <c r="O267" s="187">
        <f t="shared" si="165"/>
        <v>-287</v>
      </c>
      <c r="P267" s="187">
        <f t="shared" si="165"/>
        <v>-287</v>
      </c>
      <c r="Q267" s="187">
        <f t="shared" si="165"/>
        <v>-287</v>
      </c>
    </row>
    <row r="271" spans="5:18">
      <c r="F271" s="207" t="s">
        <v>486</v>
      </c>
      <c r="G271" s="206">
        <f>G66</f>
        <v>45473</v>
      </c>
      <c r="H271" s="206">
        <f t="shared" ref="H271:Q271" si="166">H66</f>
        <v>45838</v>
      </c>
      <c r="I271" s="206">
        <f t="shared" si="166"/>
        <v>46203</v>
      </c>
      <c r="J271" s="206">
        <f t="shared" si="166"/>
        <v>46568</v>
      </c>
      <c r="K271" s="206">
        <f t="shared" si="166"/>
        <v>46934</v>
      </c>
      <c r="L271" s="206">
        <f t="shared" si="166"/>
        <v>47299</v>
      </c>
      <c r="M271" s="206">
        <f t="shared" si="166"/>
        <v>47664</v>
      </c>
      <c r="N271" s="206">
        <f t="shared" si="166"/>
        <v>48029</v>
      </c>
      <c r="O271" s="206">
        <f t="shared" si="166"/>
        <v>48395</v>
      </c>
      <c r="P271" s="206">
        <f t="shared" si="166"/>
        <v>48760</v>
      </c>
      <c r="Q271" s="206">
        <f t="shared" si="166"/>
        <v>49125</v>
      </c>
      <c r="R271" s="206">
        <f t="shared" ref="R271" si="167">Q271+365</f>
        <v>49490</v>
      </c>
    </row>
    <row r="272" spans="5:18">
      <c r="E272" s="12" t="s">
        <v>399</v>
      </c>
      <c r="F272" s="348">
        <f t="shared" ref="F272:P272" si="168">Z216</f>
        <v>5.8216697801408248</v>
      </c>
      <c r="G272" s="348">
        <f t="shared" si="168"/>
        <v>5.8216697801408248</v>
      </c>
      <c r="H272" s="348">
        <f t="shared" si="168"/>
        <v>5.8107065289353068</v>
      </c>
      <c r="I272" s="348">
        <f t="shared" si="168"/>
        <v>5.8107065289353068</v>
      </c>
      <c r="J272" s="348">
        <f t="shared" si="168"/>
        <v>5.8107065289353068</v>
      </c>
      <c r="K272" s="348">
        <f t="shared" si="168"/>
        <v>5.8499647687555969</v>
      </c>
      <c r="L272" s="348">
        <f t="shared" si="168"/>
        <v>5.8761369286357903</v>
      </c>
      <c r="M272" s="348">
        <f t="shared" si="168"/>
        <v>5.8761369286357903</v>
      </c>
      <c r="N272" s="348">
        <f t="shared" si="168"/>
        <v>5.8662850006524447</v>
      </c>
      <c r="O272" s="348">
        <f t="shared" si="168"/>
        <v>5.8662850006524447</v>
      </c>
      <c r="P272" s="348">
        <f t="shared" si="168"/>
        <v>5.8662850006524447</v>
      </c>
      <c r="Q272" s="348">
        <f>AK216</f>
        <v>5.8662850006524447</v>
      </c>
    </row>
  </sheetData>
  <sheetProtection formatCells="0" formatColumns="0" formatRows="0" selectLockedCells="1"/>
  <customSheetViews>
    <customSheetView guid="{0FAFE012-8D9E-4ED0-86A4-A997E430971B}" scale="85" showGridLines="0" fitToPage="1" hiddenRows="1" topLeftCell="E9">
      <selection activeCell="T28" sqref="T28"/>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1" type="noConversion"/>
  <conditionalFormatting sqref="F7:Q7 F9:Q9">
    <cfRule type="cellIs" dxfId="29" priority="1" operator="lessThan">
      <formula>0</formula>
    </cfRule>
  </conditionalFormatting>
  <conditionalFormatting sqref="F46:Q47">
    <cfRule type="cellIs" dxfId="28" priority="3" operator="lessThan">
      <formula>0</formula>
    </cfRule>
  </conditionalFormatting>
  <conditionalFormatting sqref="F50:Q50">
    <cfRule type="cellIs" dxfId="27" priority="2" operator="lessThan">
      <formula>0</formula>
    </cfRule>
  </conditionalFormatting>
  <dataValidations count="3">
    <dataValidation type="list" allowBlank="1" showInputMessage="1" showErrorMessage="1" sqref="F141:G141" xr:uid="{F16C8109-40C8-4784-84A2-CE6E54195DA5}">
      <formula1>"0.0 Stars,0.5 Stars,1.0 Stars,1.5 Stars,2.0 Stars,2.5 Stars,3.0 Stars,3.5 Stars,4.0 Stars,4.5 Stars,5.0 Stars,5.5 Stars,6.0 Stars,N/A"</formula1>
    </dataValidation>
    <dataValidation type="list" allowBlank="1" showInputMessage="1" showErrorMessage="1" sqref="E114" xr:uid="{C4A63CE9-30C3-44E1-9C75-B46260CD1243}">
      <formula1>$BQ$155:$BQ$169</formula1>
    </dataValidation>
    <dataValidation type="list" allowBlank="1" showInputMessage="1" showErrorMessage="1" sqref="O114:Q114" xr:uid="{3BCA157D-21D7-4ED3-B8A8-A92E8E114280}">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legacy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ED29F-FD8C-4119-8F3C-FCA0DF1A9373}">
  <sheetPr codeName="Sheet15">
    <tabColor theme="5"/>
    <pageSetUpPr fitToPage="1"/>
  </sheetPr>
  <dimension ref="A1:CJ272"/>
  <sheetViews>
    <sheetView showGridLines="0" topLeftCell="C5" zoomScale="70" zoomScaleNormal="70" workbookViewId="0">
      <selection activeCell="V77" sqref="A77:V77"/>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2.4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54</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0.22722018359057994</v>
      </c>
      <c r="E6" s="367" t="s">
        <v>311</v>
      </c>
      <c r="F6" s="517">
        <f>VLOOKUP($A$2,'Footprint Summary'!$B$4:$R$26,COLUMNS('Footprint Summary'!$B$4:F$26)+1,0)</f>
        <v>1710.3420000000001</v>
      </c>
      <c r="G6" s="517">
        <f>VLOOKUP($A$2,'Footprint Summary'!$B$4:$R$26,COLUMNS('Footprint Summary'!$B$4:G$26)+1,0)</f>
        <v>1630.3420000000001</v>
      </c>
      <c r="H6" s="517">
        <f>VLOOKUP($A$2,'Footprint Summary'!$B$4:$R$26,COLUMNS('Footprint Summary'!$B$4:H$26)+1,0)</f>
        <v>1630.3420000000001</v>
      </c>
      <c r="I6" s="517">
        <f>VLOOKUP($A$2,'Footprint Summary'!$B$4:$R$26,COLUMNS('Footprint Summary'!$B$4:I$26)+1,0)</f>
        <v>1630.3420000000001</v>
      </c>
      <c r="J6" s="517">
        <f>VLOOKUP($A$2,'Footprint Summary'!$B$4:$R$26,COLUMNS('Footprint Summary'!$B$4:J$26)+1,0)</f>
        <v>1630.3420000000001</v>
      </c>
      <c r="K6" s="517">
        <f>VLOOKUP($A$2,'Footprint Summary'!$B$4:$R$26,COLUMNS('Footprint Summary'!$B$4:K$26)+1,0)</f>
        <v>1405.3420000000001</v>
      </c>
      <c r="L6" s="517">
        <f>VLOOKUP($A$2,'Footprint Summary'!$B$4:$R$26,COLUMNS('Footprint Summary'!$B$4:L$26)+1,0)</f>
        <v>1405.3420000000001</v>
      </c>
      <c r="M6" s="517">
        <f>VLOOKUP($A$2,'Footprint Summary'!$B$4:$R$26,COLUMNS('Footprint Summary'!$B$4:M$26)+1,0)</f>
        <v>1405.3420000000001</v>
      </c>
      <c r="N6" s="517">
        <f>VLOOKUP($A$2,'Footprint Summary'!$B$4:$R$26,COLUMNS('Footprint Summary'!$B$4:N$26)+1,0)</f>
        <v>1425.3420000000001</v>
      </c>
      <c r="O6" s="517">
        <f>VLOOKUP($A$2,'Footprint Summary'!$B$4:$R$26,COLUMNS('Footprint Summary'!$B$4:O$26)+1,0)</f>
        <v>1355.3420000000001</v>
      </c>
      <c r="P6" s="517">
        <f>VLOOKUP($A$2,'Footprint Summary'!$B$4:$R$26,COLUMNS('Footprint Summary'!$B$4:P$26)+1,0)</f>
        <v>1355.3420000000001</v>
      </c>
      <c r="Q6" s="429">
        <f>(P6-F6)/F6</f>
        <v>-0.20756082701588335</v>
      </c>
      <c r="R6" s="366"/>
      <c r="S6" s="357"/>
      <c r="T6" s="8"/>
      <c r="U6" s="8"/>
    </row>
    <row r="7" spans="1:21" s="7" customFormat="1" ht="17.25" customHeight="1">
      <c r="A7" s="368" t="str">
        <f>VLOOKUP($A$2,'Asset Attributes'!$B$3:$D$25,2,0)</f>
        <v>NSW2</v>
      </c>
      <c r="B7" s="368" t="s">
        <v>312</v>
      </c>
      <c r="E7" s="367" t="s">
        <v>311</v>
      </c>
      <c r="F7" s="518">
        <f>F6-$F$6</f>
        <v>0</v>
      </c>
      <c r="G7" s="518">
        <f t="shared" ref="G7:P7" si="1">G6-$F$6</f>
        <v>-80</v>
      </c>
      <c r="H7" s="518">
        <f t="shared" si="1"/>
        <v>-80</v>
      </c>
      <c r="I7" s="518">
        <f t="shared" si="1"/>
        <v>-80</v>
      </c>
      <c r="J7" s="518">
        <f t="shared" si="1"/>
        <v>-80</v>
      </c>
      <c r="K7" s="518">
        <f t="shared" si="1"/>
        <v>-305</v>
      </c>
      <c r="L7" s="518">
        <f t="shared" si="1"/>
        <v>-305</v>
      </c>
      <c r="M7" s="518">
        <f t="shared" si="1"/>
        <v>-305</v>
      </c>
      <c r="N7" s="518">
        <f t="shared" si="1"/>
        <v>-285</v>
      </c>
      <c r="O7" s="518">
        <f t="shared" si="1"/>
        <v>-355</v>
      </c>
      <c r="P7" s="518">
        <f t="shared" si="1"/>
        <v>-355</v>
      </c>
      <c r="Q7" s="490">
        <f>SUM(F7:P7)</f>
        <v>-2230</v>
      </c>
      <c r="R7" s="366"/>
      <c r="S7" s="357"/>
      <c r="T7" s="8"/>
      <c r="U7" s="8"/>
    </row>
    <row r="8" spans="1:21" s="7" customFormat="1" ht="17.25" customHeight="1">
      <c r="A8" s="419" t="s">
        <v>284</v>
      </c>
      <c r="B8" s="368" t="s">
        <v>313</v>
      </c>
      <c r="C8" s="2"/>
      <c r="D8" s="486">
        <f>(VLOOKUP($A$2,Assumptions!$B$69:$C$91,2,0))</f>
        <v>26.523198090352761</v>
      </c>
      <c r="E8" s="422" t="s">
        <v>314</v>
      </c>
      <c r="F8" s="519">
        <f>VLOOKUP($A$2,'Footprint Summary'!$B$33:$R$55,COLUMNS('Footprint Summary'!$B$33:F$55)+1,0)</f>
        <v>930.447</v>
      </c>
      <c r="G8" s="519">
        <f>VLOOKUP($A$2,'Footprint Summary'!$B$33:$R$55,COLUMNS('Footprint Summary'!$B$33:G$55)+1,0)</f>
        <v>930.447</v>
      </c>
      <c r="H8" s="519">
        <f>VLOOKUP($A$2,'Footprint Summary'!$B$33:$R$55,COLUMNS('Footprint Summary'!$B$33:H$55)+1,0)</f>
        <v>930.447</v>
      </c>
      <c r="I8" s="519">
        <f>VLOOKUP($A$2,'Footprint Summary'!$B$33:$R$55,COLUMNS('Footprint Summary'!$B$33:I$55)+1,0)</f>
        <v>930.447</v>
      </c>
      <c r="J8" s="519">
        <f>VLOOKUP($A$2,'Footprint Summary'!$B$33:$R$55,COLUMNS('Footprint Summary'!$B$33:J$55)+1,0)</f>
        <v>930.447</v>
      </c>
      <c r="K8" s="519">
        <f>VLOOKUP($A$2,'Footprint Summary'!$B$33:$R$55,COLUMNS('Footprint Summary'!$B$33:K$55)+1,0)</f>
        <v>930.447</v>
      </c>
      <c r="L8" s="519">
        <f>VLOOKUP($A$2,'Footprint Summary'!$B$33:$R$55,COLUMNS('Footprint Summary'!$B$33:L$55)+1,0)</f>
        <v>930.447</v>
      </c>
      <c r="M8" s="519">
        <f>VLOOKUP($A$2,'Footprint Summary'!$B$33:$R$55,COLUMNS('Footprint Summary'!$B$33:M$55)+1,0)</f>
        <v>930.447</v>
      </c>
      <c r="N8" s="519">
        <f>VLOOKUP($A$2,'Footprint Summary'!$B$33:$R$55,COLUMNS('Footprint Summary'!$B$33:N$55)+1,0)</f>
        <v>790.447</v>
      </c>
      <c r="O8" s="519">
        <f>VLOOKUP($A$2,'Footprint Summary'!$B$33:$R$55,COLUMNS('Footprint Summary'!$B$33:O$55)+1,0)</f>
        <v>340.447</v>
      </c>
      <c r="P8" s="519">
        <f>VLOOKUP($A$2,'Footprint Summary'!$B$33:$R$55,COLUMNS('Footprint Summary'!$B$33:P$55)+1,0)</f>
        <v>340.447</v>
      </c>
      <c r="Q8" s="429">
        <f>(P8-F8)/F8</f>
        <v>-0.63410382321615311</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-140</v>
      </c>
      <c r="O9" s="518">
        <f t="shared" si="2"/>
        <v>-590</v>
      </c>
      <c r="P9" s="518">
        <f t="shared" si="2"/>
        <v>-590</v>
      </c>
      <c r="Q9" s="490">
        <f>SUM(F9:P9)</f>
        <v>-1320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1351.1701800000001</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47.945933910000001</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80.05610105427472</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1479.1722149642746</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9" s="7" customFormat="1" ht="17.25" customHeight="1" thickTop="1">
      <c r="E17" s="367" t="s">
        <v>883</v>
      </c>
      <c r="F17" s="428">
        <f>1000*F16/(VLOOKUP($A$2,'Asset Attributes'!$B$3:$D$25,3,0))</f>
        <v>39.383678975565111</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c r="Y17" s="8"/>
      <c r="Z17" s="8"/>
      <c r="AA17" s="8"/>
      <c r="AB17" s="8"/>
      <c r="AC17" s="8"/>
    </row>
    <row r="18" spans="1:29" s="7" customFormat="1" ht="28.5" customHeight="1" thickBot="1">
      <c r="A18" s="9" t="s">
        <v>323</v>
      </c>
      <c r="E18" s="367" t="s">
        <v>684</v>
      </c>
      <c r="F18" s="557">
        <f>1000*F14/(VLOOKUP($A$2,'Asset Attributes'!$B$3:$D$25,3,0))</f>
        <v>1.2765837880078812</v>
      </c>
      <c r="G18" s="557">
        <f>1000*G14/(VLOOKUP($A$2,'Asset Attributes'!$B$3:$D$25,3,0))</f>
        <v>0</v>
      </c>
      <c r="H18" s="557">
        <f>1000*H14/(VLOOKUP($A$2,'Asset Attributes'!$B$3:$D$25,3,0))</f>
        <v>0</v>
      </c>
      <c r="I18" s="557">
        <f>1000*I14/(VLOOKUP($A$2,'Asset Attributes'!$B$3:$D$25,3,0))</f>
        <v>0</v>
      </c>
      <c r="J18" s="557">
        <f>1000*J14/(VLOOKUP($A$2,'Asset Attributes'!$B$3:$D$25,3,0))</f>
        <v>0</v>
      </c>
      <c r="K18" s="557">
        <f>1000*K14/(VLOOKUP($A$2,'Asset Attributes'!$B$3:$D$25,3,0))</f>
        <v>0</v>
      </c>
      <c r="L18" s="557">
        <f>1000*L14/(VLOOKUP($A$2,'Asset Attributes'!$B$3:$D$25,3,0))</f>
        <v>0</v>
      </c>
      <c r="M18" s="557">
        <f>1000*M14/(VLOOKUP($A$2,'Asset Attributes'!$B$3:$D$25,3,0))</f>
        <v>0</v>
      </c>
      <c r="N18" s="557">
        <f>1000*N14/(VLOOKUP($A$2,'Asset Attributes'!$B$3:$D$25,3,0))</f>
        <v>0</v>
      </c>
      <c r="O18" s="557">
        <f>1000*O14/(VLOOKUP($A$2,'Asset Attributes'!$B$3:$D$25,3,0))</f>
        <v>0</v>
      </c>
      <c r="P18" s="557">
        <f>1000*P14/(VLOOKUP($A$2,'Asset Attributes'!$B$3:$D$25,3,0))</f>
        <v>0</v>
      </c>
      <c r="R18" s="366"/>
      <c r="S18" s="357"/>
      <c r="T18" s="8"/>
      <c r="U18" s="8"/>
      <c r="V18" s="8"/>
      <c r="W18" s="8"/>
      <c r="X18" s="8"/>
      <c r="Y18" s="8"/>
      <c r="Z18" s="8"/>
      <c r="AA18" s="8"/>
      <c r="AB18" s="8"/>
      <c r="AC18" s="8"/>
    </row>
    <row r="19" spans="1:29"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c r="V19" s="8"/>
      <c r="W19" s="8"/>
      <c r="X19" s="8"/>
      <c r="Y19" s="8"/>
      <c r="Z19" s="8"/>
      <c r="AA19" s="8"/>
      <c r="AB19" s="8"/>
      <c r="AC19" s="8"/>
    </row>
    <row r="20" spans="1:29"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59.36</v>
      </c>
      <c r="H20" s="499">
        <f>-1*(VLOOKUP($A$2,'Footprint Summary'!$B$244:T$266,COLUMNS('Footprint Summary'!$B$244:H$266)+1,0))</f>
        <v>58.4</v>
      </c>
      <c r="I20" s="499">
        <f>-1*(VLOOKUP($A$2,'Footprint Summary'!$B$244:U$266,COLUMNS('Footprint Summary'!$B$244:I$266)+1,0))</f>
        <v>52.96</v>
      </c>
      <c r="J20" s="499">
        <f>-1*(VLOOKUP($A$2,'Footprint Summary'!$B$244:V$266,COLUMNS('Footprint Summary'!$B$244:J$266)+1,0))</f>
        <v>49.92</v>
      </c>
      <c r="K20" s="499">
        <f>-1*(VLOOKUP($A$2,'Footprint Summary'!$B$244:W$266,COLUMNS('Footprint Summary'!$B$244:K$266)+1,0))</f>
        <v>166.83500000000001</v>
      </c>
      <c r="L20" s="499">
        <f>-1*(VLOOKUP($A$2,'Footprint Summary'!$B$244:X$266,COLUMNS('Footprint Summary'!$B$244:L$266)+1,0))</f>
        <v>140.30000000000001</v>
      </c>
      <c r="M20" s="499">
        <f>-1*(VLOOKUP($A$2,'Footprint Summary'!$B$244:Y$266,COLUMNS('Footprint Summary'!$B$244:M$266)+1,0))</f>
        <v>116.815</v>
      </c>
      <c r="N20" s="499">
        <f>-1*(VLOOKUP($A$2,'Footprint Summary'!$B$244:Z$266,COLUMNS('Footprint Summary'!$B$244:N$266)+1,0))</f>
        <v>92.625</v>
      </c>
      <c r="O20" s="499">
        <f>-1*(VLOOKUP($A$2,'Footprint Summary'!$B$244:AA$266,COLUMNS('Footprint Summary'!$B$244:O$266)+1,0))</f>
        <v>102.24</v>
      </c>
      <c r="P20" s="499">
        <f>-1*(VLOOKUP($A$2,'Footprint Summary'!$B$244:AB$266,COLUMNS('Footprint Summary'!$B$244:P$266)+1,0))</f>
        <v>93.72</v>
      </c>
      <c r="Q20" s="499">
        <f>SUM(G20:P20)</f>
        <v>933.17500000000018</v>
      </c>
      <c r="R20" s="366"/>
      <c r="S20" s="357"/>
      <c r="T20" s="8"/>
      <c r="U20" s="8"/>
      <c r="V20" s="8"/>
      <c r="W20" s="8"/>
      <c r="X20" s="8"/>
      <c r="Y20" s="8"/>
      <c r="Z20" s="8"/>
      <c r="AA20" s="8"/>
      <c r="AB20" s="8"/>
      <c r="AC20" s="8"/>
    </row>
    <row r="21" spans="1:29"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1209.7137640000001</v>
      </c>
      <c r="H21" s="499">
        <f>-1*(VLOOKUP($A$2,'Footprint Summary'!$B$302:$R$324,COLUMNS('Footprint Summary'!$B$302:H324)+1,0))</f>
        <v>1190.14966</v>
      </c>
      <c r="I21" s="499">
        <f>-1*(VLOOKUP($A$2,'Footprint Summary'!$B$302:$R$324,COLUMNS('Footprint Summary'!$B$302:I324)+1,0))</f>
        <v>1079.2864040000002</v>
      </c>
      <c r="J21" s="499">
        <f>-1*(VLOOKUP($A$2,'Footprint Summary'!$B$302:$R$324,COLUMNS('Footprint Summary'!$B$302:J324)+1,0))</f>
        <v>1017.3334080000001</v>
      </c>
      <c r="K21" s="499">
        <f>-1*(VLOOKUP($A$2,'Footprint Summary'!$B$302:$R$324,COLUMNS('Footprint Summary'!$B$302:K324)+1,0))</f>
        <v>768.72207400000013</v>
      </c>
      <c r="L21" s="499">
        <f>-1*(VLOOKUP($A$2,'Footprint Summary'!$B$302:$R$324,COLUMNS('Footprint Summary'!$B$302:L324)+1,0))</f>
        <v>646.4573200000001</v>
      </c>
      <c r="M21" s="499">
        <f>-1*(VLOOKUP($A$2,'Footprint Summary'!$B$302:$R$324,COLUMNS('Footprint Summary'!$B$302:M324)+1,0))</f>
        <v>538.24598600000002</v>
      </c>
      <c r="N21" s="499">
        <f>-1*(VLOOKUP($A$2,'Footprint Summary'!$B$302:$R$324,COLUMNS('Footprint Summary'!$B$302:N324)+1,0))</f>
        <v>463.23615000000007</v>
      </c>
      <c r="O21" s="499">
        <f>-1*(VLOOKUP($A$2,'Footprint Summary'!$B$302:$R$324,COLUMNS('Footprint Summary'!$B$302:O324)+1,0))</f>
        <v>390.33849600000002</v>
      </c>
      <c r="P21" s="499">
        <f>-1*(VLOOKUP($A$2,'Footprint Summary'!$B$302:$R$324,COLUMNS('Footprint Summary'!$B$302:P324)+1,0))</f>
        <v>357.81028800000007</v>
      </c>
      <c r="Q21" s="499">
        <f t="shared" ref="Q21:Q27" si="6">SUM(G21:P21)</f>
        <v>7661.2935500000012</v>
      </c>
      <c r="R21" s="366"/>
      <c r="S21" s="357"/>
      <c r="T21" s="8"/>
      <c r="U21" s="8"/>
      <c r="V21" s="8"/>
      <c r="W21" s="8"/>
      <c r="X21" s="8"/>
      <c r="Y21" s="8"/>
      <c r="Z21" s="8"/>
      <c r="AA21" s="8"/>
      <c r="AB21" s="8"/>
      <c r="AC21" s="8"/>
    </row>
    <row r="22" spans="1:29" s="7" customFormat="1" ht="19.5" customHeight="1">
      <c r="A22" s="368" t="s">
        <v>284</v>
      </c>
      <c r="B22" s="368" t="s">
        <v>327</v>
      </c>
      <c r="E22" s="425" t="s">
        <v>321</v>
      </c>
      <c r="F22" s="499">
        <v>0</v>
      </c>
      <c r="G22" s="499">
        <f>(VLOOKUP($A$2,'Footprint Summary'!$B$33:$R$55,COLUMNS('Footprint Summary'!$B$33:G$55)+1,0)*VLOOKUP($B$14,Assumptions!$B$17:$N$29,COLUMNS(Assumptions!$B$18:C$29)+1,0)/1000)</f>
        <v>47.945933910000001</v>
      </c>
      <c r="H22" s="499">
        <f>(VLOOKUP($A$2,'Footprint Summary'!$B$33:$R$55,COLUMNS('Footprint Summary'!$B$33:H$55)+1,0)*VLOOKUP($B$14,Assumptions!$B$17:$N$29,COLUMNS(Assumptions!$B$18:D$29)+1,0)/1000)</f>
        <v>47.945933910000001</v>
      </c>
      <c r="I22" s="499">
        <f>(VLOOKUP($A$2,'Footprint Summary'!$B$33:$R$55,COLUMNS('Footprint Summary'!$B$33:I$55)+1,0)*VLOOKUP($B$14,Assumptions!$B$17:$N$29,COLUMNS(Assumptions!$B$18:E$29)+1,0)/1000)</f>
        <v>47.945933910000001</v>
      </c>
      <c r="J22" s="499">
        <f>(VLOOKUP($A$2,'Footprint Summary'!$B$33:$R$55,COLUMNS('Footprint Summary'!$B$33:J$55)+1,0)*VLOOKUP($B$14,Assumptions!$B$17:$N$29,COLUMNS(Assumptions!$B$18:F$29)+1,0)/1000)</f>
        <v>47.945933910000001</v>
      </c>
      <c r="K22" s="499">
        <f>(VLOOKUP($A$2,'Footprint Summary'!$B$33:$R$55,COLUMNS('Footprint Summary'!$B$33:K$55)+1,0)*VLOOKUP($B$14,Assumptions!$B$17:$N$29,COLUMNS(Assumptions!$B$18:G$29)+1,0)/1000)</f>
        <v>47.945933910000001</v>
      </c>
      <c r="L22" s="499">
        <f>(VLOOKUP($A$2,'Footprint Summary'!$B$33:$R$55,COLUMNS('Footprint Summary'!$B$33:L$55)+1,0)*VLOOKUP($B$14,Assumptions!$B$17:$N$29,COLUMNS(Assumptions!$B$18:H$29)+1,0)/1000)</f>
        <v>47.945933910000001</v>
      </c>
      <c r="M22" s="499">
        <f>(VLOOKUP($A$2,'Footprint Summary'!$B$33:$R$55,COLUMNS('Footprint Summary'!$B$33:M$55)+1,0)*VLOOKUP($B$14,Assumptions!$B$17:$N$29,COLUMNS(Assumptions!$B$18:I$29)+1,0)/1000)</f>
        <v>47.945933910000001</v>
      </c>
      <c r="N22" s="499">
        <f>(VLOOKUP($A$2,'Footprint Summary'!$B$33:$R$55,COLUMNS('Footprint Summary'!$B$33:N$55)+1,0)*VLOOKUP($B$14,Assumptions!$B$17:$N$29,COLUMNS(Assumptions!$B$18:J$29)+1,0)/1000)</f>
        <v>40.731733910000003</v>
      </c>
      <c r="O22" s="499">
        <f>(VLOOKUP($A$2,'Footprint Summary'!$B$33:$R$55,COLUMNS('Footprint Summary'!$B$33:O$55)+1,0)*VLOOKUP($B$14,Assumptions!$B$17:$N$29,COLUMNS(Assumptions!$B$18:K$29)+1,0)/1000)</f>
        <v>17.543233909999998</v>
      </c>
      <c r="P22" s="499">
        <f>(VLOOKUP($A$2,'Footprint Summary'!$B$33:$R$55,COLUMNS('Footprint Summary'!$B$33:P$55)+1,0)*VLOOKUP($B$14,Assumptions!$B$17:$N$29,COLUMNS(Assumptions!$B$18:L$29)+1,0)/1000)</f>
        <v>17.543233909999998</v>
      </c>
      <c r="Q22" s="499">
        <f t="shared" si="6"/>
        <v>411.4397391</v>
      </c>
      <c r="R22" s="366"/>
      <c r="S22" s="357"/>
      <c r="T22" s="8"/>
      <c r="U22" s="8"/>
      <c r="V22" s="8"/>
      <c r="W22" s="8"/>
      <c r="X22" s="8"/>
      <c r="Y22" s="8"/>
      <c r="Z22" s="8"/>
      <c r="AA22" s="8"/>
      <c r="AB22" s="8"/>
      <c r="AC22" s="8"/>
    </row>
    <row r="23" spans="1:29"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7.2141999999999999</v>
      </c>
      <c r="O23" s="499">
        <f>-1*(VLOOKUP($A$2,'Footprint Summary'!$B$273:AA$295,COLUMNS('Footprint Summary'!$B$273:O$295)+1,0))</f>
        <v>30.402699999999999</v>
      </c>
      <c r="P23" s="499">
        <f>-1*(VLOOKUP($A$2,'Footprint Summary'!$B$273:AB$295,COLUMNS('Footprint Summary'!$B$273:P$295)+1,0))</f>
        <v>30.402699999999999</v>
      </c>
      <c r="Q23" s="499">
        <f t="shared" si="6"/>
        <v>68.019599999999997</v>
      </c>
      <c r="R23" s="366"/>
      <c r="S23" s="357"/>
      <c r="T23" s="8"/>
      <c r="U23" s="8"/>
      <c r="V23" s="8"/>
      <c r="W23" s="8"/>
      <c r="X23" s="8"/>
      <c r="Y23" s="8"/>
      <c r="Z23" s="8"/>
      <c r="AA23" s="8"/>
      <c r="AB23" s="8"/>
      <c r="AC23" s="8"/>
    </row>
    <row r="24" spans="1:29" s="7" customFormat="1" ht="19.5" customHeight="1">
      <c r="A24" s="419" t="s">
        <v>319</v>
      </c>
      <c r="B24" s="419" t="s">
        <v>329</v>
      </c>
      <c r="E24" s="425" t="s">
        <v>321</v>
      </c>
      <c r="F24" s="499">
        <v>0</v>
      </c>
      <c r="G24" s="499">
        <f>VLOOKUP($A$2,'Footprint Summary'!$B$216:$R$238,COLUMNS('Footprint Summary'!$B$216:G238)+1,0)</f>
        <v>73.824683137688638</v>
      </c>
      <c r="H24" s="499">
        <f>VLOOKUP($A$2,'Footprint Summary'!$B$216:$R$238,COLUMNS('Footprint Summary'!$B$216:H238)+1,0)</f>
        <v>67.593265221102556</v>
      </c>
      <c r="I24" s="499">
        <f>VLOOKUP($A$2,'Footprint Summary'!$B$216:$R$238,COLUMNS('Footprint Summary'!$B$216:I238)+1,0)</f>
        <v>61.361847304516473</v>
      </c>
      <c r="J24" s="499">
        <f>VLOOKUP($A$2,'Footprint Summary'!$B$216:$R$238,COLUMNS('Footprint Summary'!$B$216:J238)+1,0)</f>
        <v>55.130429387930391</v>
      </c>
      <c r="K24" s="499">
        <f>VLOOKUP($A$2,'Footprint Summary'!$B$216:$R$238,COLUMNS('Footprint Summary'!$B$216:K238)+1,0)</f>
        <v>48.899011471344309</v>
      </c>
      <c r="L24" s="499">
        <f>VLOOKUP($A$2,'Footprint Summary'!$B$216:$R$238,COLUMNS('Footprint Summary'!$B$216:L238)+1,0)</f>
        <v>42.667593554758227</v>
      </c>
      <c r="M24" s="499">
        <f>VLOOKUP($A$2,'Footprint Summary'!$B$216:$R$238,COLUMNS('Footprint Summary'!$B$216:M238)+1,0)</f>
        <v>36.436175638172145</v>
      </c>
      <c r="N24" s="499">
        <f>VLOOKUP($A$2,'Footprint Summary'!$B$216:$R$238,COLUMNS('Footprint Summary'!$B$216:N238)+1,0)</f>
        <v>30.204757721586066</v>
      </c>
      <c r="O24" s="499">
        <f>VLOOKUP($A$2,'Footprint Summary'!$B$216:$R$238,COLUMNS('Footprint Summary'!$B$216:O238)+1,0)</f>
        <v>23.973339804999988</v>
      </c>
      <c r="P24" s="499">
        <f>VLOOKUP($A$2,'Footprint Summary'!$B$216:$R$238,COLUMNS('Footprint Summary'!$B$216:P238)+1,0)</f>
        <v>23.973339804999998</v>
      </c>
      <c r="Q24" s="499">
        <f t="shared" si="6"/>
        <v>464.06444304709879</v>
      </c>
      <c r="R24" s="366"/>
      <c r="S24" s="357"/>
      <c r="T24" s="8"/>
      <c r="U24" s="8"/>
      <c r="V24" s="8"/>
      <c r="W24" s="8"/>
      <c r="X24" s="8"/>
      <c r="Y24" s="8"/>
      <c r="Z24" s="8"/>
      <c r="AA24" s="8"/>
      <c r="AB24" s="8"/>
      <c r="AC24" s="8"/>
    </row>
    <row r="25" spans="1:29" s="7" customFormat="1" ht="19.5" customHeight="1">
      <c r="A25" s="419" t="s">
        <v>319</v>
      </c>
      <c r="B25" s="419" t="s">
        <v>319</v>
      </c>
      <c r="E25" s="425" t="s">
        <v>321</v>
      </c>
      <c r="F25" s="499">
        <f>VLOOKUP($A$2,'Footprint Summary'!$B$216:$R$238,COLUMNS('Footprint Summary'!$B$216:F238)+1,0)-F24</f>
        <v>80.05610105427472</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c r="V25" s="8"/>
      <c r="W25" s="8"/>
      <c r="X25" s="8"/>
      <c r="Y25" s="8"/>
      <c r="Z25" s="8"/>
      <c r="AA25" s="8"/>
      <c r="AB25" s="8"/>
      <c r="AC25" s="8"/>
    </row>
    <row r="26" spans="1:29" s="7" customFormat="1" ht="19.5" customHeight="1">
      <c r="A26" s="419" t="s">
        <v>284</v>
      </c>
      <c r="B26" s="368" t="s">
        <v>285</v>
      </c>
      <c r="E26" s="425" t="s">
        <v>321</v>
      </c>
      <c r="F26" s="499">
        <f>(VLOOKUP($A$2,'Footprint Summary'!$B$33:$R$55,COLUMNS('Footprint Summary'!$B$33:F$55)+1,0)*VLOOKUP($B$14,Assumptions!$B$17:$N$29,COLUMNS(Assumptions!$B$18:B$29)+1,0)/1000)-F22</f>
        <v>47.945933910000001</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c r="V26" s="8"/>
      <c r="W26" s="8"/>
      <c r="X26" s="8"/>
      <c r="Y26" s="8"/>
      <c r="Z26" s="8"/>
      <c r="AA26" s="8"/>
      <c r="AB26" s="8"/>
      <c r="AC26" s="8"/>
    </row>
    <row r="27" spans="1:29" s="7" customFormat="1" ht="19.5" customHeight="1">
      <c r="A27" s="368" t="str">
        <f>VLOOKUP($A$2,'Asset Attributes'!$B$3:$D$25,2,0)</f>
        <v>NSW2</v>
      </c>
      <c r="B27" s="368" t="s">
        <v>330</v>
      </c>
      <c r="E27" s="425" t="s">
        <v>321</v>
      </c>
      <c r="F27" s="367">
        <f>VLOOKUP($A$2,'Footprint Summary'!$B$4:$R$26,COLUMNS('Footprint Summary'!$B$4:F$26)+1,0)*VLOOKUP($A$13,Assumptions!$A$4:$N$14,COLUMNS(Assumptions!$A$4:B$14)+1,0)</f>
        <v>1351.1701800000001</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c r="V27" s="8"/>
      <c r="W27" s="8"/>
      <c r="X27" s="8"/>
      <c r="Y27" s="8"/>
      <c r="Z27" s="8"/>
      <c r="AA27" s="8"/>
      <c r="AB27" s="8"/>
      <c r="AC27" s="8"/>
    </row>
    <row r="28" spans="1:29" s="7" customFormat="1" ht="19.5" customHeight="1" thickBot="1">
      <c r="E28" s="425" t="s">
        <v>321</v>
      </c>
      <c r="F28" s="434">
        <f>SUM(F20:F23)</f>
        <v>0</v>
      </c>
      <c r="G28" s="434">
        <f t="shared" ref="G28:P28" si="7">SUM(G20:G23)</f>
        <v>1317.0196979099999</v>
      </c>
      <c r="H28" s="434">
        <f t="shared" si="7"/>
        <v>1296.49559391</v>
      </c>
      <c r="I28" s="434">
        <f t="shared" si="7"/>
        <v>1180.1923379100001</v>
      </c>
      <c r="J28" s="434">
        <f t="shared" si="7"/>
        <v>1115.1993419099999</v>
      </c>
      <c r="K28" s="434">
        <f t="shared" si="7"/>
        <v>983.50300791000018</v>
      </c>
      <c r="L28" s="434">
        <f t="shared" si="7"/>
        <v>834.70325391000017</v>
      </c>
      <c r="M28" s="434">
        <f t="shared" si="7"/>
        <v>703.00691990999997</v>
      </c>
      <c r="N28" s="434">
        <f t="shared" si="7"/>
        <v>603.80708391000007</v>
      </c>
      <c r="O28" s="434">
        <f t="shared" si="7"/>
        <v>540.52442990999998</v>
      </c>
      <c r="P28" s="434">
        <f t="shared" si="7"/>
        <v>499.47622191000005</v>
      </c>
      <c r="Q28" s="434">
        <f t="shared" ref="Q28" si="8">SUM(Q20:Q24)</f>
        <v>9537.9923321470997</v>
      </c>
      <c r="R28" s="366"/>
      <c r="S28" s="357"/>
      <c r="T28" s="8"/>
      <c r="U28" s="8"/>
      <c r="V28" s="8"/>
      <c r="W28" s="8"/>
      <c r="X28" s="8"/>
      <c r="Y28" s="8"/>
      <c r="Z28" s="8"/>
      <c r="AA28" s="8"/>
      <c r="AB28" s="8"/>
      <c r="AC28" s="8"/>
    </row>
    <row r="29" spans="1:29"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c r="V29" s="8"/>
      <c r="W29" s="8"/>
      <c r="X29" s="8"/>
      <c r="Y29" s="8"/>
      <c r="Z29" s="8"/>
      <c r="AA29" s="8"/>
      <c r="AB29" s="8"/>
      <c r="AC29" s="8"/>
    </row>
    <row r="30" spans="1:29"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X30" s="8"/>
      <c r="Y30" s="8"/>
      <c r="Z30" s="8"/>
      <c r="AA30" s="8"/>
      <c r="AB30" s="8"/>
      <c r="AC30" s="8"/>
    </row>
    <row r="31" spans="1:29" s="7" customFormat="1" ht="17.25" customHeight="1" thickTop="1">
      <c r="A31" s="436" t="s">
        <v>332</v>
      </c>
      <c r="B31" s="437"/>
      <c r="C31" s="435"/>
      <c r="S31" s="357"/>
      <c r="T31" s="8"/>
      <c r="U31" s="8"/>
      <c r="V31" s="8"/>
      <c r="W31" s="8"/>
      <c r="X31" s="8"/>
      <c r="Y31" s="8"/>
      <c r="Z31" s="8"/>
      <c r="AA31" s="8"/>
      <c r="AB31" s="8"/>
      <c r="AC31" s="8" t="s">
        <v>884</v>
      </c>
    </row>
    <row r="32" spans="1:29" s="7" customFormat="1" ht="17.25" customHeight="1">
      <c r="A32" s="368" t="s">
        <v>30</v>
      </c>
      <c r="B32" s="368" t="s">
        <v>334</v>
      </c>
      <c r="F32" s="424">
        <f>VLOOKUP($A$2,'Costs Summary'!$B$154:$R$176,COLUMNS('Costs Summary'!$B$154:F$176)+1,0)</f>
        <v>393314.14919999999</v>
      </c>
      <c r="G32" s="424">
        <f>VLOOKUP($A$2,'Costs Summary'!$B$154:$R$176,COLUMNS('Costs Summary'!$B$154:G$176)+1,0)</f>
        <v>505211.49021548365</v>
      </c>
      <c r="H32" s="424">
        <f>VLOOKUP($A$2,'Costs Summary'!$B$154:$R$176,COLUMNS('Costs Summary'!$B$154:H$176)+1,0)</f>
        <v>522893.89237302553</v>
      </c>
      <c r="I32" s="424">
        <f>VLOOKUP($A$2,'Costs Summary'!$B$154:$R$176,COLUMNS('Costs Summary'!$B$154:I$176)+1,0)</f>
        <v>541195.1786060814</v>
      </c>
      <c r="J32" s="424">
        <f>VLOOKUP($A$2,'Costs Summary'!$B$154:$R$176,COLUMNS('Costs Summary'!$B$154:J$176)+1,0)</f>
        <v>560137.00985729415</v>
      </c>
      <c r="K32" s="424">
        <f>VLOOKUP($A$2,'Costs Summary'!$B$154:$R$176,COLUMNS('Costs Summary'!$B$154:K$176)+1,0)</f>
        <v>579741.80520229938</v>
      </c>
      <c r="L32" s="424">
        <f>VLOOKUP($A$2,'Costs Summary'!$B$154:$R$176,COLUMNS('Costs Summary'!$B$154:L$176)+1,0)</f>
        <v>600032.7683843798</v>
      </c>
      <c r="M32" s="424">
        <f>VLOOKUP($A$2,'Costs Summary'!$B$154:$R$176,COLUMNS('Costs Summary'!$B$154:M$176)+1,0)</f>
        <v>621033.91527783312</v>
      </c>
      <c r="N32" s="424">
        <f>VLOOKUP($A$2,'Costs Summary'!$B$154:$R$176,COLUMNS('Costs Summary'!$B$154:N$176)+1,0)</f>
        <v>745240.69833339972</v>
      </c>
      <c r="O32" s="424">
        <f>VLOOKUP($A$2,'Costs Summary'!$B$154:$R$176,COLUMNS('Costs Summary'!$B$154:O$176)+1,0)</f>
        <v>771324.12277506874</v>
      </c>
      <c r="P32" s="424">
        <f>VLOOKUP($A$2,'Costs Summary'!$B$154:$R$176,COLUMNS('Costs Summary'!$B$154:P$176)+1,0)</f>
        <v>798320.46707219596</v>
      </c>
      <c r="Q32" s="433">
        <f>SUM(G32:P32)</f>
        <v>6245131.3480970617</v>
      </c>
      <c r="R32" s="366"/>
      <c r="S32" s="357"/>
      <c r="T32" s="8"/>
      <c r="U32" s="8"/>
      <c r="V32" s="8"/>
      <c r="W32" s="8"/>
      <c r="X32" s="8"/>
      <c r="Y32" s="8"/>
      <c r="Z32" s="8"/>
      <c r="AA32" s="8"/>
      <c r="AB32" s="8"/>
      <c r="AC32" s="8"/>
    </row>
    <row r="33" spans="1:21" s="7" customFormat="1" ht="17.25" customHeight="1">
      <c r="A33" s="368" t="s">
        <v>284</v>
      </c>
      <c r="B33" s="368" t="s">
        <v>335</v>
      </c>
      <c r="C33" s="423"/>
      <c r="D33" s="423"/>
      <c r="E33" s="423"/>
      <c r="F33" s="424">
        <f>VLOOKUP($A$2,'Costs Summary'!$B$183:$R$205,COLUMNS('Costs Summary'!$B$183:F$205)+1,0)</f>
        <v>37983.914000000012</v>
      </c>
      <c r="G33" s="424">
        <f>VLOOKUP($A$2,'Costs Summary'!$B$183:$R$205,COLUMNS('Costs Summary'!$B$183:G$205)+1,0)</f>
        <v>25418.782996381691</v>
      </c>
      <c r="H33" s="424">
        <f>VLOOKUP($A$2,'Costs Summary'!$B$183:$R$205,COLUMNS('Costs Summary'!$B$183:H$205)+1,0)</f>
        <v>26181.346486273142</v>
      </c>
      <c r="I33" s="424">
        <f>VLOOKUP($A$2,'Costs Summary'!$B$183:$R$205,COLUMNS('Costs Summary'!$B$183:I$205)+1,0)</f>
        <v>26966.786880861335</v>
      </c>
      <c r="J33" s="424">
        <f>VLOOKUP($A$2,'Costs Summary'!$B$183:$R$205,COLUMNS('Costs Summary'!$B$183:J$205)+1,0)</f>
        <v>27775.790487287173</v>
      </c>
      <c r="K33" s="424">
        <f>VLOOKUP($A$2,'Costs Summary'!$B$183:$R$205,COLUMNS('Costs Summary'!$B$183:K$205)+1,0)</f>
        <v>28609.064201905792</v>
      </c>
      <c r="L33" s="424">
        <f>VLOOKUP($A$2,'Costs Summary'!$B$183:$R$205,COLUMNS('Costs Summary'!$B$183:L$205)+1,0)</f>
        <v>29467.336127962968</v>
      </c>
      <c r="M33" s="424">
        <f>VLOOKUP($A$2,'Costs Summary'!$B$183:$R$205,COLUMNS('Costs Summary'!$B$183:M$205)+1,0)</f>
        <v>30351.356211801856</v>
      </c>
      <c r="N33" s="424">
        <f>VLOOKUP($A$2,'Costs Summary'!$B$183:$R$205,COLUMNS('Costs Summary'!$B$183:N$205)+1,0)</f>
        <v>31261.896898155912</v>
      </c>
      <c r="O33" s="424">
        <f>VLOOKUP($A$2,'Costs Summary'!$B$183:$R$205,COLUMNS('Costs Summary'!$B$183:O$205)+1,0)</f>
        <v>32199.753805100594</v>
      </c>
      <c r="P33" s="424">
        <f>VLOOKUP($A$2,'Costs Summary'!$B$183:$R$205,COLUMNS('Costs Summary'!$B$183:P$205)+1,0)</f>
        <v>33165.746419253614</v>
      </c>
      <c r="Q33" s="433">
        <f>SUM(G33:P33)</f>
        <v>291397.86051498412</v>
      </c>
      <c r="R33" s="366"/>
      <c r="S33" s="357"/>
      <c r="T33" s="8"/>
      <c r="U33" s="8"/>
    </row>
    <row r="34" spans="1:21" s="7" customFormat="1" ht="17.25" customHeight="1">
      <c r="A34" s="368" t="s">
        <v>284</v>
      </c>
      <c r="B34" s="368" t="s">
        <v>336</v>
      </c>
      <c r="H34" s="424">
        <f>VLOOKUP($A$2,'Costs Summary'!$B$241:$R$263,COLUMNS('Costs Summary'!$B$241:H263)+1,0)</f>
        <v>2876.7560346</v>
      </c>
      <c r="I34" s="424">
        <f>VLOOKUP($A$2,'Costs Summary'!$B$241:$R$263,COLUMNS('Costs Summary'!$B$241:I263)+1,0)</f>
        <v>2876.7560346</v>
      </c>
      <c r="J34" s="424">
        <f>VLOOKUP($A$2,'Costs Summary'!$B$241:$R$263,COLUMNS('Costs Summary'!$B$241:J263)+1,0)</f>
        <v>2876.7560346</v>
      </c>
      <c r="K34" s="424">
        <f>VLOOKUP($A$2,'Costs Summary'!$B$241:$R$263,COLUMNS('Costs Summary'!$B$241:K263)+1,0)</f>
        <v>2876.7560346</v>
      </c>
      <c r="L34" s="424">
        <f>VLOOKUP($A$2,'Costs Summary'!$B$241:$R$263,COLUMNS('Costs Summary'!$B$241:L263)+1,0)</f>
        <v>2876.7560346</v>
      </c>
      <c r="M34" s="424">
        <f>VLOOKUP($A$2,'Costs Summary'!$B$241:$R$263,COLUMNS('Costs Summary'!$B$241:M263)+1,0)</f>
        <v>2876.7560346</v>
      </c>
      <c r="N34" s="424">
        <f>VLOOKUP($A$2,'Costs Summary'!$B$241:$R$263,COLUMNS('Costs Summary'!$B$241:N263)+1,0)</f>
        <v>2876.7560346</v>
      </c>
      <c r="O34" s="424">
        <f>VLOOKUP($A$2,'Costs Summary'!$B$241:$R$263,COLUMNS('Costs Summary'!$B$241:O263)+1,0)</f>
        <v>2876.7560346</v>
      </c>
      <c r="P34" s="424">
        <f>VLOOKUP($A$2,'Costs Summary'!$B$241:$R$263,COLUMNS('Costs Summary'!$B$241:P263)+1,0)</f>
        <v>2876.7560346</v>
      </c>
      <c r="Q34" s="433">
        <f>SUM(G34:P34)</f>
        <v>25890.804311399996</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4055.5959132661533</v>
      </c>
      <c r="I35" s="424">
        <f>VLOOKUP($A$2,'Costs Summary'!$B$212:$R$234,COLUMNS('Costs Summary'!$B$212:I$234)+1,0)</f>
        <v>3681.7108382709885</v>
      </c>
      <c r="J35" s="424">
        <f>VLOOKUP($A$2,'Costs Summary'!$B$212:$R$234,COLUMNS('Costs Summary'!$B$212:J$234)+1,0)</f>
        <v>3307.8257632758236</v>
      </c>
      <c r="K35" s="424">
        <f>VLOOKUP($A$2,'Costs Summary'!$B$212:$R$234,COLUMNS('Costs Summary'!$B$212:K$234)+1,0)</f>
        <v>2933.9406882806584</v>
      </c>
      <c r="L35" s="424">
        <f>VLOOKUP($A$2,'Costs Summary'!$B$212:$R$234,COLUMNS('Costs Summary'!$B$212:L$234)+1,0)</f>
        <v>2560.0556132854936</v>
      </c>
      <c r="M35" s="424">
        <f>VLOOKUP($A$2,'Costs Summary'!$B$212:$R$234,COLUMNS('Costs Summary'!$B$212:M$234)+1,0)</f>
        <v>2186.1705382903288</v>
      </c>
      <c r="N35" s="424">
        <f>VLOOKUP($A$2,'Costs Summary'!$B$212:$R$234,COLUMNS('Costs Summary'!$B$212:N$234)+1,0)</f>
        <v>1812.2854632951639</v>
      </c>
      <c r="O35" s="424">
        <f>VLOOKUP($A$2,'Costs Summary'!$B$212:$R$234,COLUMNS('Costs Summary'!$B$212:O$234)+1,0)</f>
        <v>1438.4003882999993</v>
      </c>
      <c r="P35" s="424">
        <f>VLOOKUP($A$2,'Costs Summary'!$B$212:$R$234,COLUMNS('Costs Summary'!$B$212:P$234)+1,0)</f>
        <v>1438.4003882999998</v>
      </c>
      <c r="Q35" s="433">
        <f>SUM(G35:P35)</f>
        <v>23414.38559456461</v>
      </c>
      <c r="R35" s="366"/>
      <c r="S35" s="357"/>
      <c r="T35" s="8"/>
      <c r="U35" s="8"/>
    </row>
    <row r="36" spans="1:21" s="7" customFormat="1" ht="17.25" customHeight="1" thickBot="1">
      <c r="A36" s="437" t="s">
        <v>338</v>
      </c>
      <c r="C36" s="423"/>
      <c r="D36" s="423"/>
      <c r="E36" s="368" t="s">
        <v>669</v>
      </c>
      <c r="F36" s="461">
        <f t="shared" ref="F36:O36" si="10">SUM(F32:F35)</f>
        <v>431298.06319999998</v>
      </c>
      <c r="G36" s="461">
        <f t="shared" si="10"/>
        <v>530630.27321186534</v>
      </c>
      <c r="H36" s="461">
        <f t="shared" si="10"/>
        <v>556007.59080716479</v>
      </c>
      <c r="I36" s="461">
        <f t="shared" si="10"/>
        <v>574720.43235981371</v>
      </c>
      <c r="J36" s="461">
        <f t="shared" si="10"/>
        <v>594097.38214245718</v>
      </c>
      <c r="K36" s="461">
        <f t="shared" si="10"/>
        <v>614161.56612708571</v>
      </c>
      <c r="L36" s="461">
        <f t="shared" si="10"/>
        <v>634936.9161602282</v>
      </c>
      <c r="M36" s="461">
        <f t="shared" si="10"/>
        <v>656448.19806252525</v>
      </c>
      <c r="N36" s="461">
        <f t="shared" si="10"/>
        <v>781191.63672945078</v>
      </c>
      <c r="O36" s="461">
        <f t="shared" si="10"/>
        <v>807839.03300306923</v>
      </c>
      <c r="P36" s="461">
        <f>SUM(P32:P35)</f>
        <v>835801.36991434952</v>
      </c>
      <c r="Q36" s="462">
        <f t="shared" ref="Q36" si="11">SUM(Q32:Q35)</f>
        <v>6585834.398518011</v>
      </c>
      <c r="R36" s="366"/>
      <c r="S36" s="357"/>
      <c r="T36" s="8"/>
      <c r="U36" s="8"/>
    </row>
    <row r="37" spans="1:21" s="7" customFormat="1" ht="17.25" customHeight="1" thickTop="1" thickBot="1">
      <c r="C37" s="423"/>
      <c r="D37" s="423"/>
      <c r="E37" s="368" t="s">
        <v>340</v>
      </c>
      <c r="F37" s="468">
        <f>F36/(VLOOKUP($A$2,'Asset Attributes'!$B$3:$D$25,3,0))</f>
        <v>11.483520506949251</v>
      </c>
      <c r="G37" s="468">
        <f>G36/(VLOOKUP($A$2,'Asset Attributes'!$B$3:$D$25,3,0))</f>
        <v>14.12828886553771</v>
      </c>
      <c r="H37" s="468">
        <f>H36/(VLOOKUP($A$2,'Asset Attributes'!$B$3:$D$25,3,0))</f>
        <v>14.803972277734831</v>
      </c>
      <c r="I37" s="468">
        <f>I36/(VLOOKUP($A$2,'Asset Attributes'!$B$3:$D$25,3,0))</f>
        <v>15.302210776926719</v>
      </c>
      <c r="J37" s="468">
        <f>J36/(VLOOKUP($A$2,'Asset Attributes'!$B$3:$D$25,3,0))</f>
        <v>15.818131480442441</v>
      </c>
      <c r="K37" s="468">
        <f>K36/(VLOOKUP($A$2,'Asset Attributes'!$B$3:$D$25,3,0))</f>
        <v>16.352350128523504</v>
      </c>
      <c r="L37" s="468">
        <f>L36/(VLOOKUP($A$2,'Asset Attributes'!$B$3:$D$25,3,0))</f>
        <v>16.905503918212585</v>
      </c>
      <c r="M37" s="468">
        <f>M36/(VLOOKUP($A$2,'Asset Attributes'!$B$3:$D$25,3,0))</f>
        <v>17.478252251518324</v>
      </c>
      <c r="N37" s="468">
        <f>N36/(VLOOKUP($A$2,'Asset Attributes'!$B$3:$D$25,3,0))</f>
        <v>20.79960692074793</v>
      </c>
      <c r="O37" s="468">
        <f>O36/(VLOOKUP($A$2,'Asset Attributes'!$B$3:$D$25,3,0))</f>
        <v>21.509106794905726</v>
      </c>
      <c r="P37" s="468">
        <f>P36/(VLOOKUP($A$2,'Asset Attributes'!$B$3:$D$25,3,0))</f>
        <v>22.253617602490802</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393314.14919999999</v>
      </c>
      <c r="G39" s="424">
        <f>VLOOKUP($A$2,'Costs Summary'!$B$4:$R$26,COLUMNS('Costs Summary'!$B$4:G$26)+1,0)</f>
        <v>481580.59112206334</v>
      </c>
      <c r="H39" s="424">
        <f>VLOOKUP($A$2,'Costs Summary'!$B$4:$R$26,COLUMNS('Costs Summary'!$B$4:H$26)+1,0)</f>
        <v>498435.91181133548</v>
      </c>
      <c r="I39" s="424">
        <f>VLOOKUP($A$2,'Costs Summary'!$B$4:$R$26,COLUMNS('Costs Summary'!$B$4:I$26)+1,0)</f>
        <v>515881.16872473224</v>
      </c>
      <c r="J39" s="424">
        <f>VLOOKUP($A$2,'Costs Summary'!$B$4:$R$26,COLUMNS('Costs Summary'!$B$4:J$26)+1,0)</f>
        <v>533937.00963009777</v>
      </c>
      <c r="K39" s="424">
        <f>VLOOKUP($A$2,'Costs Summary'!$B$4:$R$26,COLUMNS('Costs Summary'!$B$4:K$26)+1,0)</f>
        <v>476358.24180579663</v>
      </c>
      <c r="L39" s="424">
        <f>VLOOKUP($A$2,'Costs Summary'!$B$4:$R$26,COLUMNS('Costs Summary'!$B$4:L$26)+1,0)</f>
        <v>493030.78026899952</v>
      </c>
      <c r="M39" s="424">
        <f>VLOOKUP($A$2,'Costs Summary'!$B$4:$R$26,COLUMNS('Costs Summary'!$B$4:M$26)+1,0)</f>
        <v>510286.85757841449</v>
      </c>
      <c r="N39" s="424">
        <f>VLOOKUP($A$2,'Costs Summary'!$B$4:$R$26,COLUMNS('Costs Summary'!$B$4:N$26)+1,0)</f>
        <v>621058.75166716636</v>
      </c>
      <c r="O39" s="424">
        <f>VLOOKUP($A$2,'Costs Summary'!$B$4:$R$26,COLUMNS('Costs Summary'!$B$4:O$26)+1,0)</f>
        <v>611227.44995457469</v>
      </c>
      <c r="P39" s="424">
        <f>VLOOKUP($A$2,'Costs Summary'!$B$4:$R$26,COLUMNS('Costs Summary'!$B$4:P$26)+1,0)</f>
        <v>632620.41070298466</v>
      </c>
      <c r="Q39" s="433">
        <f>SUM(G39:P39)</f>
        <v>5374417.173266165</v>
      </c>
      <c r="R39" s="366"/>
      <c r="S39" s="357"/>
      <c r="T39" s="8"/>
      <c r="U39" s="8"/>
    </row>
    <row r="40" spans="1:21" s="7" customFormat="1" ht="17.25" customHeight="1">
      <c r="A40" s="368" t="s">
        <v>284</v>
      </c>
      <c r="B40" s="368" t="s">
        <v>343</v>
      </c>
      <c r="C40" s="423"/>
      <c r="D40" s="423"/>
      <c r="E40" s="423"/>
      <c r="F40" s="424">
        <f>VLOOKUP($A$2,'Costs Summary'!$B$33:$R$55,COLUMNS('Costs Summary'!$B$33:F$55)+1,0)</f>
        <v>37983.914000000012</v>
      </c>
      <c r="G40" s="424">
        <f>VLOOKUP($A$2,'Costs Summary'!$B$33:$R$55,COLUMNS('Costs Summary'!$B$33:G$55)+1,0)</f>
        <v>25418.782996381691</v>
      </c>
      <c r="H40" s="424">
        <f>VLOOKUP($A$2,'Costs Summary'!$B$33:$R$55,COLUMNS('Costs Summary'!$B$33:H$55)+1,0)</f>
        <v>26181.346486273142</v>
      </c>
      <c r="I40" s="424">
        <f>VLOOKUP($A$2,'Costs Summary'!$B$33:$R$55,COLUMNS('Costs Summary'!$B$33:I$55)+1,0)</f>
        <v>26966.786880861335</v>
      </c>
      <c r="J40" s="424">
        <f>VLOOKUP($A$2,'Costs Summary'!$B$33:$R$55,COLUMNS('Costs Summary'!$B$33:J$55)+1,0)</f>
        <v>27775.790487287173</v>
      </c>
      <c r="K40" s="424">
        <f>VLOOKUP($A$2,'Costs Summary'!$B$33:$R$55,COLUMNS('Costs Summary'!$B$33:K$55)+1,0)</f>
        <v>28609.064201905792</v>
      </c>
      <c r="L40" s="424">
        <f>VLOOKUP($A$2,'Costs Summary'!$B$33:$R$55,COLUMNS('Costs Summary'!$B$33:L$55)+1,0)</f>
        <v>29467.336127962968</v>
      </c>
      <c r="M40" s="424">
        <f>VLOOKUP($A$2,'Costs Summary'!$B$33:$R$55,COLUMNS('Costs Summary'!$B$33:M$55)+1,0)</f>
        <v>30351.356211801856</v>
      </c>
      <c r="N40" s="424">
        <f>VLOOKUP($A$2,'Costs Summary'!$B$33:$R$55,COLUMNS('Costs Summary'!$B$33:N$55)+1,0)</f>
        <v>26558.065765655268</v>
      </c>
      <c r="O40" s="424">
        <f>VLOOKUP($A$2,'Costs Summary'!$B$33:$R$55,COLUMNS('Costs Summary'!$B$33:O$55)+1,0)</f>
        <v>11781.766810667434</v>
      </c>
      <c r="P40" s="424">
        <f>VLOOKUP($A$2,'Costs Summary'!$B$33:$R$55,COLUMNS('Costs Summary'!$B$33:P$55)+1,0)</f>
        <v>12135.219814987457</v>
      </c>
      <c r="Q40" s="433">
        <f>SUM(G40:P40)</f>
        <v>245245.51578378413</v>
      </c>
      <c r="R40" s="366"/>
      <c r="S40" s="357"/>
      <c r="T40" s="8"/>
      <c r="U40" s="8"/>
    </row>
    <row r="41" spans="1:21" s="7" customFormat="1" ht="17.25" customHeight="1">
      <c r="A41" s="368" t="s">
        <v>284</v>
      </c>
      <c r="B41" s="368" t="s">
        <v>336</v>
      </c>
      <c r="H41" s="424">
        <f>VLOOKUP($A$2,'Costs Summary'!$B$125:$R$147,COLUMNS('Costs Summary'!$B$125:H$147)+1,0)</f>
        <v>2876.7560346</v>
      </c>
      <c r="I41" s="424">
        <f>VLOOKUP($A$2,'Costs Summary'!$B$125:$R$147,COLUMNS('Costs Summary'!$B$125:I$147)+1,0)</f>
        <v>2876.7560346</v>
      </c>
      <c r="J41" s="424">
        <f>VLOOKUP($A$2,'Costs Summary'!$B$125:$R$147,COLUMNS('Costs Summary'!$B$125:J$147)+1,0)</f>
        <v>2876.7560346</v>
      </c>
      <c r="K41" s="424">
        <f>VLOOKUP($A$2,'Costs Summary'!$B$125:$R$147,COLUMNS('Costs Summary'!$B$125:K$147)+1,0)</f>
        <v>2876.7560346</v>
      </c>
      <c r="L41" s="424">
        <f>VLOOKUP($A$2,'Costs Summary'!$B$125:$R$147,COLUMNS('Costs Summary'!$B$125:L$147)+1,0)</f>
        <v>2876.7560346</v>
      </c>
      <c r="M41" s="424">
        <f>VLOOKUP($A$2,'Costs Summary'!$B$125:$R$147,COLUMNS('Costs Summary'!$B$125:M$147)+1,0)</f>
        <v>2876.7560346</v>
      </c>
      <c r="N41" s="424">
        <f>VLOOKUP($A$2,'Costs Summary'!$B$125:$R$147,COLUMNS('Costs Summary'!$B$125:N$147)+1,0)</f>
        <v>2443.9040346000002</v>
      </c>
      <c r="O41" s="424">
        <f>VLOOKUP($A$2,'Costs Summary'!$B$125:$R$147,COLUMNS('Costs Summary'!$B$125:O$147)+1,0)</f>
        <v>1052.5940345999998</v>
      </c>
      <c r="P41" s="424">
        <f>VLOOKUP($A$2,'Costs Summary'!$B$125:$R$147,COLUMNS('Costs Summary'!$B$125:P$147)+1,0)</f>
        <v>1052.5940345999998</v>
      </c>
      <c r="Q41" s="433">
        <f t="shared" ref="Q41:Q42" si="12">SUM(G41:P41)</f>
        <v>21809.628311399996</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4055.5959132661533</v>
      </c>
      <c r="I42" s="424">
        <f>VLOOKUP($A$2,'Costs Summary'!$B$212:$R$234,COLUMNS('Costs Summary'!$B$212:I$234)+1,0)</f>
        <v>3681.7108382709885</v>
      </c>
      <c r="J42" s="424">
        <f>VLOOKUP($A$2,'Costs Summary'!$B$212:$R$234,COLUMNS('Costs Summary'!$B$212:J$234)+1,0)</f>
        <v>3307.8257632758236</v>
      </c>
      <c r="K42" s="424">
        <f>VLOOKUP($A$2,'Costs Summary'!$B$212:$R$234,COLUMNS('Costs Summary'!$B$212:K$234)+1,0)</f>
        <v>2933.9406882806584</v>
      </c>
      <c r="L42" s="424">
        <f>VLOOKUP($A$2,'Costs Summary'!$B$212:$R$234,COLUMNS('Costs Summary'!$B$212:L$234)+1,0)</f>
        <v>2560.0556132854936</v>
      </c>
      <c r="M42" s="424">
        <f>VLOOKUP($A$2,'Costs Summary'!$B$212:$R$234,COLUMNS('Costs Summary'!$B$212:M$234)+1,0)</f>
        <v>2186.1705382903288</v>
      </c>
      <c r="N42" s="424">
        <f>VLOOKUP($A$2,'Costs Summary'!$B$212:$R$234,COLUMNS('Costs Summary'!$B$212:N$234)+1,0)</f>
        <v>1812.2854632951639</v>
      </c>
      <c r="O42" s="424">
        <f>VLOOKUP($A$2,'Costs Summary'!$B$212:$R$234,COLUMNS('Costs Summary'!$B$212:O$234)+1,0)</f>
        <v>1438.4003882999993</v>
      </c>
      <c r="P42" s="424">
        <f>VLOOKUP($A$2,'Costs Summary'!$B$212:$R$234,COLUMNS('Costs Summary'!$B$212:P$234)+1,0)</f>
        <v>1438.4003882999998</v>
      </c>
      <c r="Q42" s="433">
        <f t="shared" si="12"/>
        <v>23414.38559456461</v>
      </c>
      <c r="R42" s="366"/>
      <c r="S42" s="357"/>
      <c r="T42" s="8"/>
      <c r="U42" s="8"/>
    </row>
    <row r="43" spans="1:21" s="7" customFormat="1" ht="17.25" customHeight="1" thickBot="1">
      <c r="A43" s="437" t="s">
        <v>338</v>
      </c>
      <c r="E43" s="368" t="s">
        <v>669</v>
      </c>
      <c r="F43" s="461">
        <f t="shared" ref="F43:P43" si="13">SUM(F39:F42)</f>
        <v>431298.06319999998</v>
      </c>
      <c r="G43" s="461">
        <f t="shared" si="13"/>
        <v>506999.37411844503</v>
      </c>
      <c r="H43" s="461">
        <f t="shared" si="13"/>
        <v>531549.61024547473</v>
      </c>
      <c r="I43" s="461">
        <f t="shared" si="13"/>
        <v>549406.42247846455</v>
      </c>
      <c r="J43" s="461">
        <f t="shared" si="13"/>
        <v>567897.3819152608</v>
      </c>
      <c r="K43" s="461">
        <f t="shared" si="13"/>
        <v>510778.00273058313</v>
      </c>
      <c r="L43" s="461">
        <f t="shared" si="13"/>
        <v>527934.92804484803</v>
      </c>
      <c r="M43" s="461">
        <f t="shared" si="13"/>
        <v>545701.14036310662</v>
      </c>
      <c r="N43" s="461">
        <f t="shared" si="13"/>
        <v>651873.0069307168</v>
      </c>
      <c r="O43" s="461">
        <f t="shared" si="13"/>
        <v>625500.21118814207</v>
      </c>
      <c r="P43" s="461">
        <f t="shared" si="13"/>
        <v>647246.62494087208</v>
      </c>
      <c r="Q43" s="462">
        <f t="shared" ref="Q43" si="14">SUM(Q39:Q42)</f>
        <v>5664886.7029559137</v>
      </c>
      <c r="R43" s="366"/>
      <c r="S43" s="357"/>
      <c r="T43" s="8"/>
      <c r="U43" s="8"/>
    </row>
    <row r="44" spans="1:21" s="7" customFormat="1" ht="17.25" customHeight="1" thickTop="1" thickBot="1">
      <c r="E44" s="368" t="s">
        <v>340</v>
      </c>
      <c r="F44" s="468">
        <f>F43/(VLOOKUP($A$2,'Asset Attributes'!$B$3:$D$25,3,0))</f>
        <v>11.483520506949251</v>
      </c>
      <c r="G44" s="468">
        <f>G43/(VLOOKUP($A$2,'Asset Attributes'!$B$3:$D$25,3,0))</f>
        <v>13.499104694564275</v>
      </c>
      <c r="H44" s="468">
        <f>H43/(VLOOKUP($A$2,'Asset Attributes'!$B$3:$D$25,3,0))</f>
        <v>14.152766660777324</v>
      </c>
      <c r="I44" s="468">
        <f>I43/(VLOOKUP($A$2,'Asset Attributes'!$B$3:$D$25,3,0))</f>
        <v>14.628212963375701</v>
      </c>
      <c r="J44" s="468">
        <f>J43/(VLOOKUP($A$2,'Asset Attributes'!$B$3:$D$25,3,0))</f>
        <v>15.120543743417135</v>
      </c>
      <c r="K44" s="468">
        <f>K43/(VLOOKUP($A$2,'Asset Attributes'!$B$3:$D$25,3,0))</f>
        <v>13.59971251745522</v>
      </c>
      <c r="L44" s="468">
        <f>L43/(VLOOKUP($A$2,'Asset Attributes'!$B$3:$D$25,3,0))</f>
        <v>14.05652399075691</v>
      </c>
      <c r="M44" s="468">
        <f>M43/(VLOOKUP($A$2,'Asset Attributes'!$B$3:$D$25,3,0))</f>
        <v>14.529558026601698</v>
      </c>
      <c r="N44" s="468">
        <f>N43/(VLOOKUP($A$2,'Asset Attributes'!$B$3:$D$25,3,0))</f>
        <v>17.356435564479387</v>
      </c>
      <c r="O44" s="468">
        <f>O43/(VLOOKUP($A$2,'Asset Attributes'!$B$3:$D$25,3,0))</f>
        <v>16.65424706289318</v>
      </c>
      <c r="P44" s="468">
        <f>P43/(VLOOKUP($A$2,'Asset Attributes'!$B$3:$D$25,3,0))</f>
        <v>17.233255895970821</v>
      </c>
      <c r="Q44" s="460">
        <f>Q43/(VLOOKUP($A$2,'Asset Attributes'!$B$3:$D$25,3,0))</f>
        <v>150.83036112029166</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O46" si="15">G43-G36</f>
        <v>-23630.899093420303</v>
      </c>
      <c r="H46" s="461">
        <f t="shared" si="15"/>
        <v>-24457.980561690056</v>
      </c>
      <c r="I46" s="461">
        <f t="shared" si="15"/>
        <v>-25314.009881349164</v>
      </c>
      <c r="J46" s="461">
        <f t="shared" si="15"/>
        <v>-26200.000227196375</v>
      </c>
      <c r="K46" s="461">
        <f t="shared" si="15"/>
        <v>-103383.56339650258</v>
      </c>
      <c r="L46" s="461">
        <f t="shared" si="15"/>
        <v>-107001.98811538017</v>
      </c>
      <c r="M46" s="461">
        <f t="shared" si="15"/>
        <v>-110747.05769941863</v>
      </c>
      <c r="N46" s="461">
        <f t="shared" si="15"/>
        <v>-129318.62979873398</v>
      </c>
      <c r="O46" s="461">
        <f t="shared" si="15"/>
        <v>-182338.82181492716</v>
      </c>
      <c r="P46" s="461">
        <f>P43-P36</f>
        <v>-188554.74497347744</v>
      </c>
      <c r="Q46" s="462">
        <f>SUM(F46:P46)</f>
        <v>-920947.69556209585</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-0.62918417097343582</v>
      </c>
      <c r="H47" s="468">
        <f>H46/(VLOOKUP($A$2,'Asset Attributes'!$B$3:$D$25,3,0))</f>
        <v>-0.65120561695750723</v>
      </c>
      <c r="I47" s="468">
        <f>I46/(VLOOKUP($A$2,'Asset Attributes'!$B$3:$D$25,3,0))</f>
        <v>-0.67399781355101884</v>
      </c>
      <c r="J47" s="468">
        <f>J46/(VLOOKUP($A$2,'Asset Attributes'!$B$3:$D$25,3,0))</f>
        <v>-0.69758773702530419</v>
      </c>
      <c r="K47" s="468">
        <f>K46/(VLOOKUP($A$2,'Asset Attributes'!$B$3:$D$25,3,0))</f>
        <v>-2.7526376110682831</v>
      </c>
      <c r="L47" s="468">
        <f>L46/(VLOOKUP($A$2,'Asset Attributes'!$B$3:$D$25,3,0))</f>
        <v>-2.8489799274556731</v>
      </c>
      <c r="M47" s="468">
        <f>M46/(VLOOKUP($A$2,'Asset Attributes'!$B$3:$D$25,3,0))</f>
        <v>-2.9486942249166255</v>
      </c>
      <c r="N47" s="468">
        <f>N46/(VLOOKUP($A$2,'Asset Attributes'!$B$3:$D$25,3,0))</f>
        <v>-3.443171356268544</v>
      </c>
      <c r="O47" s="468">
        <f>O46/(VLOOKUP($A$2,'Asset Attributes'!$B$3:$D$25,3,0))</f>
        <v>-4.8548597320125451</v>
      </c>
      <c r="P47" s="468">
        <f>P46/(VLOOKUP($A$2,'Asset Attributes'!$B$3:$D$25,3,0))</f>
        <v>-5.0203617065199806</v>
      </c>
      <c r="Q47" s="460">
        <f>Q46/(VLOOKUP($A$2,'Asset Attributes'!$B$3:$D$25,3,0))</f>
        <v>-24.520679896748916</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126100</v>
      </c>
      <c r="H49" s="464">
        <f t="shared" si="16"/>
        <v>0</v>
      </c>
      <c r="I49" s="464">
        <f t="shared" si="16"/>
        <v>0</v>
      </c>
      <c r="J49" s="464">
        <f t="shared" si="16"/>
        <v>1491000</v>
      </c>
      <c r="K49" s="464">
        <f t="shared" si="16"/>
        <v>180000</v>
      </c>
      <c r="L49" s="464">
        <f t="shared" si="16"/>
        <v>0</v>
      </c>
      <c r="M49" s="464">
        <f t="shared" si="16"/>
        <v>2300000</v>
      </c>
      <c r="N49" s="464">
        <f t="shared" si="16"/>
        <v>2316000</v>
      </c>
      <c r="O49" s="464">
        <f t="shared" si="16"/>
        <v>78000</v>
      </c>
      <c r="P49" s="464">
        <f t="shared" si="16"/>
        <v>0</v>
      </c>
      <c r="Q49" s="465">
        <f>+SUM(F49:P49)</f>
        <v>6491100</v>
      </c>
      <c r="R49" s="366"/>
      <c r="S49" s="357"/>
      <c r="T49" s="8"/>
      <c r="U49" s="8"/>
      <c r="V49" s="8"/>
      <c r="W49" s="8"/>
      <c r="X49" s="8"/>
    </row>
    <row r="50" spans="1:24" s="7" customFormat="1" ht="17.25" customHeight="1">
      <c r="A50" s="9"/>
      <c r="B50" s="368"/>
      <c r="C50" s="2"/>
      <c r="D50" s="2"/>
      <c r="E50" s="459" t="s">
        <v>348</v>
      </c>
      <c r="F50" s="466">
        <f>F46</f>
        <v>0</v>
      </c>
      <c r="G50" s="466">
        <f t="shared" ref="G50:P50" si="17">G46</f>
        <v>-23630.899093420303</v>
      </c>
      <c r="H50" s="466">
        <f t="shared" si="17"/>
        <v>-24457.980561690056</v>
      </c>
      <c r="I50" s="466">
        <f t="shared" si="17"/>
        <v>-25314.009881349164</v>
      </c>
      <c r="J50" s="466">
        <f t="shared" si="17"/>
        <v>-26200.000227196375</v>
      </c>
      <c r="K50" s="466">
        <f t="shared" si="17"/>
        <v>-103383.56339650258</v>
      </c>
      <c r="L50" s="466">
        <f t="shared" si="17"/>
        <v>-107001.98811538017</v>
      </c>
      <c r="M50" s="466">
        <f t="shared" si="17"/>
        <v>-110747.05769941863</v>
      </c>
      <c r="N50" s="466">
        <f t="shared" si="17"/>
        <v>-129318.62979873398</v>
      </c>
      <c r="O50" s="466">
        <f t="shared" si="17"/>
        <v>-182338.82181492716</v>
      </c>
      <c r="P50" s="466">
        <f t="shared" si="17"/>
        <v>-188554.74497347744</v>
      </c>
      <c r="Q50" s="467">
        <f>Q46</f>
        <v>-920947.69556209585</v>
      </c>
      <c r="R50" s="366"/>
      <c r="S50" s="357"/>
      <c r="T50" s="8"/>
      <c r="U50" s="8"/>
      <c r="V50" s="8"/>
      <c r="W50" s="8"/>
      <c r="X50" s="8"/>
    </row>
    <row r="51" spans="1:24" s="7" customFormat="1" ht="17.25" customHeight="1">
      <c r="A51" s="9"/>
      <c r="B51" s="368"/>
      <c r="C51" s="2"/>
      <c r="D51" s="2"/>
      <c r="E51" s="540" t="s">
        <v>670</v>
      </c>
      <c r="F51" s="541">
        <f>-1*F50</f>
        <v>0</v>
      </c>
      <c r="G51" s="541">
        <f t="shared" ref="G51:O51" si="18">-1*G50</f>
        <v>23630.899093420303</v>
      </c>
      <c r="H51" s="541">
        <f t="shared" si="18"/>
        <v>24457.980561690056</v>
      </c>
      <c r="I51" s="541">
        <f t="shared" si="18"/>
        <v>25314.009881349164</v>
      </c>
      <c r="J51" s="541">
        <f t="shared" si="18"/>
        <v>26200.000227196375</v>
      </c>
      <c r="K51" s="541">
        <f t="shared" si="18"/>
        <v>103383.56339650258</v>
      </c>
      <c r="L51" s="541">
        <f t="shared" si="18"/>
        <v>107001.98811538017</v>
      </c>
      <c r="M51" s="541">
        <f t="shared" si="18"/>
        <v>110747.05769941863</v>
      </c>
      <c r="N51" s="541">
        <f t="shared" si="18"/>
        <v>129318.62979873398</v>
      </c>
      <c r="O51" s="541">
        <f t="shared" si="18"/>
        <v>182338.82181492716</v>
      </c>
      <c r="P51" s="541">
        <f>-1*P50</f>
        <v>188554.74497347744</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554</v>
      </c>
      <c r="D55" s="10"/>
      <c r="E55" s="441" t="s">
        <v>205</v>
      </c>
      <c r="F55" s="200" t="s">
        <v>188</v>
      </c>
      <c r="G55" s="200" t="str">
        <f>G67</f>
        <v>CURRENT</v>
      </c>
      <c r="H55" s="200" t="str">
        <f t="shared" ref="H55:P55" si="19">H67</f>
        <v>FY25</v>
      </c>
      <c r="I55" s="200" t="str">
        <f t="shared" si="19"/>
        <v>FY26</v>
      </c>
      <c r="J55" s="200" t="str">
        <f t="shared" si="19"/>
        <v>FY27</v>
      </c>
      <c r="K55" s="200" t="str">
        <f t="shared" si="19"/>
        <v>FY28</v>
      </c>
      <c r="L55" s="200" t="str">
        <f t="shared" si="19"/>
        <v>FY29</v>
      </c>
      <c r="M55" s="200" t="str">
        <f t="shared" si="19"/>
        <v>FY30</v>
      </c>
      <c r="N55" s="200" t="str">
        <f t="shared" si="19"/>
        <v>FY31</v>
      </c>
      <c r="O55" s="200" t="str">
        <f t="shared" si="19"/>
        <v>FY32</v>
      </c>
      <c r="P55" s="200" t="str">
        <f t="shared" si="19"/>
        <v>FY33</v>
      </c>
      <c r="Q55" s="200" t="s">
        <v>84</v>
      </c>
      <c r="R55" s="992" t="s">
        <v>354</v>
      </c>
      <c r="S55" s="992"/>
      <c r="T55" s="992" t="s">
        <v>355</v>
      </c>
      <c r="U55" s="992"/>
      <c r="V55" s="992" t="s">
        <v>356</v>
      </c>
      <c r="W55" s="992"/>
      <c r="X55" s="8"/>
    </row>
    <row r="56" spans="1:24" ht="25.5" customHeight="1" thickTop="1">
      <c r="A56" s="438" t="s">
        <v>357</v>
      </c>
      <c r="B56" s="11"/>
      <c r="C56" s="442">
        <v>45016</v>
      </c>
      <c r="D56" s="159"/>
      <c r="E56" s="487" t="str">
        <f>A2</f>
        <v>420 George Street</v>
      </c>
      <c r="F56" s="440">
        <f t="shared" ref="F56:P56" si="20">F272</f>
        <v>5.448052881161086</v>
      </c>
      <c r="G56" s="440">
        <f t="shared" si="20"/>
        <v>5.448052881161086</v>
      </c>
      <c r="H56" s="440">
        <f t="shared" si="20"/>
        <v>5.5006819299584313</v>
      </c>
      <c r="I56" s="440">
        <f t="shared" si="20"/>
        <v>5.5006819299584313</v>
      </c>
      <c r="J56" s="440">
        <f t="shared" si="20"/>
        <v>5.5006819299584313</v>
      </c>
      <c r="K56" s="440">
        <f t="shared" si="20"/>
        <v>5.632254551951795</v>
      </c>
      <c r="L56" s="440">
        <f t="shared" si="20"/>
        <v>5.6487011297009655</v>
      </c>
      <c r="M56" s="440">
        <f t="shared" si="20"/>
        <v>5.6487011297009655</v>
      </c>
      <c r="N56" s="440">
        <f t="shared" si="20"/>
        <v>5.6413803315520532</v>
      </c>
      <c r="O56" s="440">
        <f t="shared" si="20"/>
        <v>5.6864549189699458</v>
      </c>
      <c r="P56" s="440">
        <f t="shared" si="20"/>
        <v>5.7061908122689511</v>
      </c>
      <c r="Q56" s="470">
        <f>IF(E56="",0,P56-F56)</f>
        <v>0.25813793110786509</v>
      </c>
      <c r="R56" s="473" t="s">
        <v>358</v>
      </c>
      <c r="S56" s="478">
        <v>1</v>
      </c>
      <c r="T56" s="473" t="s">
        <v>358</v>
      </c>
      <c r="U56" s="478">
        <v>1</v>
      </c>
      <c r="V56" s="473" t="s">
        <v>358</v>
      </c>
      <c r="W56" s="479" t="str">
        <f>IF(W58=1,"Complete",IF(W60&lt;&gt;0,"Complete","Outstanding"))</f>
        <v>Complete</v>
      </c>
      <c r="X56" s="14"/>
    </row>
    <row r="57" spans="1:24" ht="25.5" customHeight="1">
      <c r="A57" s="438" t="s">
        <v>6</v>
      </c>
      <c r="C57" s="275" t="s">
        <v>118</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2907000</v>
      </c>
      <c r="T57" s="473" t="s">
        <v>669</v>
      </c>
      <c r="U57" s="479">
        <f>IF(U56="Underway","",S115)</f>
        <v>3458000</v>
      </c>
      <c r="V57" s="473" t="s">
        <v>361</v>
      </c>
      <c r="W57" s="478" t="s">
        <v>680</v>
      </c>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72233.889035972999</v>
      </c>
      <c r="T58" s="473" t="s">
        <v>367</v>
      </c>
      <c r="U58" s="478">
        <f>IF(U56="Underway","",-1*S64)</f>
        <v>0.63410382321615311</v>
      </c>
      <c r="V58" s="473" t="s">
        <v>368</v>
      </c>
      <c r="W58" s="478">
        <v>1</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1.4837524001781515E-2</v>
      </c>
      <c r="T59" s="473" t="s">
        <v>371</v>
      </c>
      <c r="U59" s="483">
        <v>49369</v>
      </c>
      <c r="V59" s="482" t="s">
        <v>372</v>
      </c>
      <c r="W59" s="479">
        <f>T115</f>
        <v>126100</v>
      </c>
      <c r="X59" s="14"/>
    </row>
    <row r="60" spans="1:24" ht="25.5" customHeight="1">
      <c r="A60" s="438" t="s">
        <v>373</v>
      </c>
      <c r="B60" s="14"/>
      <c r="C60" s="275">
        <v>27708</v>
      </c>
      <c r="D60" s="160"/>
      <c r="Q60" s="10"/>
      <c r="R60" s="473" t="s">
        <v>374</v>
      </c>
      <c r="S60" s="481">
        <f>IF(S56="Underway","",U115)</f>
        <v>0.22772897833873443</v>
      </c>
      <c r="T60" s="10"/>
      <c r="U60" s="10"/>
      <c r="V60" s="473" t="s">
        <v>375</v>
      </c>
      <c r="W60" s="483" t="str">
        <f>IF(IF(W58=1,"Complete",_xlfn.MAXIFS(E69:E114,T69:T114,"Yes"))=0,"",IF(W58=1,"Complete",_xlfn.MAXIFS(E69:E114,T69:T114,"Yes")))</f>
        <v>Complete</v>
      </c>
      <c r="X60" s="14"/>
    </row>
    <row r="61" spans="1:24" ht="25.5" customHeight="1">
      <c r="A61" s="438" t="s">
        <v>376</v>
      </c>
      <c r="B61" s="14"/>
      <c r="C61" s="444">
        <v>51.5</v>
      </c>
      <c r="D61" s="162"/>
      <c r="H61" s="13"/>
      <c r="J61" s="14"/>
      <c r="K61" s="14"/>
      <c r="L61" s="14"/>
      <c r="M61" s="10"/>
      <c r="N61" s="10"/>
      <c r="O61" s="10"/>
      <c r="P61" s="10"/>
      <c r="Q61" s="10"/>
      <c r="R61" s="482" t="s">
        <v>377</v>
      </c>
      <c r="S61" s="481">
        <f>P272</f>
        <v>5.7061908122689511</v>
      </c>
      <c r="T61" s="10"/>
      <c r="U61" s="10"/>
      <c r="V61" s="473" t="s">
        <v>378</v>
      </c>
      <c r="W61" s="478">
        <v>0.75</v>
      </c>
      <c r="X61" s="14"/>
    </row>
    <row r="62" spans="1:24" ht="25.5" customHeight="1">
      <c r="A62" s="438" t="s">
        <v>379</v>
      </c>
      <c r="B62" s="14"/>
      <c r="C62" s="275">
        <v>1710.3420000000001</v>
      </c>
      <c r="H62" s="13"/>
      <c r="J62" s="14"/>
      <c r="K62" s="14"/>
      <c r="L62" s="347"/>
      <c r="M62" s="10"/>
      <c r="N62" s="10"/>
      <c r="O62" s="10"/>
      <c r="P62" s="10"/>
      <c r="Q62" s="10"/>
      <c r="R62" s="482" t="s">
        <v>380</v>
      </c>
      <c r="S62" s="481">
        <f>Q272</f>
        <v>5.7061908122689511</v>
      </c>
      <c r="T62" s="496" t="s">
        <v>381</v>
      </c>
      <c r="U62" s="10"/>
      <c r="V62" s="10"/>
      <c r="W62" s="14"/>
      <c r="X62" s="14"/>
    </row>
    <row r="63" spans="1:24" ht="25.5" customHeight="1">
      <c r="A63" s="438" t="s">
        <v>382</v>
      </c>
      <c r="B63" s="14"/>
      <c r="C63" s="275">
        <v>930.447</v>
      </c>
      <c r="H63" s="13"/>
      <c r="J63" s="14"/>
      <c r="K63" s="14"/>
      <c r="L63" s="10"/>
      <c r="M63" s="10"/>
      <c r="N63" s="10"/>
      <c r="O63" s="10"/>
      <c r="P63" s="10"/>
      <c r="Q63" s="10"/>
      <c r="R63" s="476" t="s">
        <v>383</v>
      </c>
      <c r="S63" s="478">
        <f>C115/C62</f>
        <v>-0.20756082701588335</v>
      </c>
      <c r="T63" s="496" t="s">
        <v>384</v>
      </c>
      <c r="U63" s="10"/>
      <c r="V63" s="10"/>
      <c r="W63" s="14"/>
      <c r="X63" s="14"/>
    </row>
    <row r="64" spans="1:24" ht="25.5" customHeight="1">
      <c r="A64" s="446" t="s">
        <v>385</v>
      </c>
      <c r="B64" s="447"/>
      <c r="C64" s="445">
        <v>54</v>
      </c>
      <c r="D64" s="495">
        <f>(AJ215-C64)/C64</f>
        <v>-0.16633165394255814</v>
      </c>
      <c r="H64" s="13"/>
      <c r="J64" s="14"/>
      <c r="K64" s="14"/>
      <c r="L64" s="10"/>
      <c r="M64" s="10"/>
      <c r="N64" s="10"/>
      <c r="O64" s="10"/>
      <c r="P64" s="10"/>
      <c r="Q64" s="10"/>
      <c r="R64" s="476" t="s">
        <v>386</v>
      </c>
      <c r="S64" s="478">
        <f>D115/C63</f>
        <v>-0.63410382321615311</v>
      </c>
      <c r="T64" s="10"/>
      <c r="U64" s="14"/>
      <c r="V64" s="10"/>
      <c r="W64" s="14"/>
      <c r="X64" s="14"/>
    </row>
    <row r="65" spans="1:25" ht="25.5" customHeight="1">
      <c r="B65" s="487" t="s">
        <v>387</v>
      </c>
      <c r="C65" s="489">
        <f>Z216</f>
        <v>5.448052881161086</v>
      </c>
      <c r="D65" s="16"/>
      <c r="J65" s="14"/>
      <c r="K65" s="14"/>
      <c r="L65" s="14"/>
      <c r="M65" s="14"/>
      <c r="N65" s="14"/>
      <c r="O65" s="14"/>
      <c r="P65" s="14"/>
      <c r="Q65" s="14"/>
      <c r="R65" s="350"/>
      <c r="S65" s="350"/>
      <c r="T65" s="14"/>
      <c r="U65" s="14"/>
      <c r="V65" s="14"/>
      <c r="W65" s="14"/>
      <c r="X65" s="14"/>
      <c r="Y65" s="14"/>
    </row>
    <row r="66" spans="1:25" ht="25.5" customHeight="1" thickBot="1">
      <c r="A66" s="9" t="s">
        <v>389</v>
      </c>
      <c r="B66" s="17"/>
      <c r="E66" s="17"/>
      <c r="F66" s="15"/>
      <c r="G66" s="416">
        <v>45473</v>
      </c>
      <c r="H66" s="416">
        <f>DATE(YEAR(G66)+1,MONTH(G66),DAY(G66))</f>
        <v>45838</v>
      </c>
      <c r="I66" s="416">
        <f t="shared" ref="I66:Q66" si="21">DATE(YEAR(H66)+1,MONTH(H66),DAY(H66))</f>
        <v>46203</v>
      </c>
      <c r="J66" s="416">
        <f t="shared" si="21"/>
        <v>46568</v>
      </c>
      <c r="K66" s="416">
        <f t="shared" si="21"/>
        <v>46934</v>
      </c>
      <c r="L66" s="416">
        <f t="shared" si="21"/>
        <v>47299</v>
      </c>
      <c r="M66" s="416">
        <f t="shared" si="21"/>
        <v>47664</v>
      </c>
      <c r="N66" s="416">
        <f t="shared" si="21"/>
        <v>48029</v>
      </c>
      <c r="O66" s="416">
        <f t="shared" si="21"/>
        <v>48395</v>
      </c>
      <c r="P66" s="416">
        <f t="shared" si="21"/>
        <v>48760</v>
      </c>
      <c r="Q66" s="416">
        <f t="shared" si="21"/>
        <v>49125</v>
      </c>
      <c r="R66" s="9" t="s">
        <v>390</v>
      </c>
      <c r="S66" s="364"/>
      <c r="T66" s="10"/>
      <c r="U66" s="10"/>
      <c r="V66" s="10"/>
      <c r="W66" s="14"/>
      <c r="X66" s="12"/>
      <c r="Y66" s="12"/>
    </row>
    <row r="67" spans="1:25"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398</v>
      </c>
      <c r="U67" s="200" t="s">
        <v>399</v>
      </c>
      <c r="V67" s="200" t="s">
        <v>370</v>
      </c>
      <c r="W67" s="200" t="s">
        <v>400</v>
      </c>
      <c r="X67" s="200" t="s">
        <v>401</v>
      </c>
    </row>
    <row r="68" spans="1:25" ht="17.25" hidden="1" customHeight="1" thickTop="1">
      <c r="A68" s="17"/>
      <c r="B68" s="371"/>
      <c r="C68" s="371"/>
      <c r="D68" s="371"/>
      <c r="E68" s="371"/>
      <c r="P68" s="372"/>
      <c r="Q68" s="372"/>
      <c r="S68" s="372"/>
      <c r="V68" s="12"/>
      <c r="W68" s="12"/>
      <c r="X68" s="12"/>
      <c r="Y68" s="12"/>
    </row>
    <row r="69" spans="1:25" ht="15.5" thickTop="1">
      <c r="A69" s="373"/>
      <c r="B69" s="374"/>
      <c r="C69" s="375">
        <v>0</v>
      </c>
      <c r="D69" s="376">
        <v>0</v>
      </c>
      <c r="E69" s="377"/>
      <c r="F69" s="378"/>
      <c r="G69" s="403">
        <f>IF(E69&lt;G66,F69,0)</f>
        <v>0</v>
      </c>
      <c r="H69" s="404">
        <f t="shared" ref="H69:Q78" si="22">IF($E69&gt;H$66,0,IF($E69&gt;H$66-365,$F69,0))</f>
        <v>0</v>
      </c>
      <c r="I69" s="404">
        <f t="shared" si="22"/>
        <v>0</v>
      </c>
      <c r="J69" s="404">
        <f t="shared" si="22"/>
        <v>0</v>
      </c>
      <c r="K69" s="404">
        <f t="shared" si="22"/>
        <v>0</v>
      </c>
      <c r="L69" s="404">
        <f t="shared" si="22"/>
        <v>0</v>
      </c>
      <c r="M69" s="404">
        <f t="shared" si="22"/>
        <v>0</v>
      </c>
      <c r="N69" s="404">
        <f t="shared" si="22"/>
        <v>0</v>
      </c>
      <c r="O69" s="404">
        <f t="shared" si="22"/>
        <v>0</v>
      </c>
      <c r="P69" s="404">
        <f t="shared" si="22"/>
        <v>0</v>
      </c>
      <c r="Q69" s="448">
        <f t="shared" si="22"/>
        <v>0</v>
      </c>
      <c r="R69" s="379"/>
      <c r="S69" s="379"/>
      <c r="T69" s="380"/>
      <c r="U69" s="411" t="str">
        <f>IF(-0.75*((C69/(VLOOKUP($A$2,Assumptions!$B$124:$G$147,2,0)))+D69/(VLOOKUP($A$2,Assumptions!$B$124:$G$147,5,0)))=0,"",-0.75*((C69/(VLOOKUP($A$2,Assumptions!$B$124:$G$147,2,0)))+D69/(VLOOKUP($A$2,Assumptions!$B$124:$G$147,5,0))))</f>
        <v/>
      </c>
      <c r="V69" s="503" t="str">
        <f t="shared" ref="V69:V88" si="23">IF(ISERROR(((-1*C69*1000*$D$6)+(-1*D69*$D$8))/F69),"",((-1*C69*1000*$D$6)+(-1*D69*$D$8))/F69)</f>
        <v/>
      </c>
      <c r="W69" s="506"/>
      <c r="X69" s="506"/>
      <c r="Y69" s="12"/>
    </row>
    <row r="70" spans="1:25" ht="30">
      <c r="A70" s="373" t="s">
        <v>555</v>
      </c>
      <c r="B70" s="374" t="s">
        <v>556</v>
      </c>
      <c r="C70" s="381">
        <v>-80</v>
      </c>
      <c r="D70" s="381"/>
      <c r="E70" s="377">
        <v>45382</v>
      </c>
      <c r="F70" s="378">
        <v>126100</v>
      </c>
      <c r="G70" s="403">
        <f t="shared" ref="G70:G78" si="24">IF($E70&lt;G$66,$F70,0)</f>
        <v>126100</v>
      </c>
      <c r="H70" s="404">
        <f t="shared" si="22"/>
        <v>0</v>
      </c>
      <c r="I70" s="404">
        <f t="shared" si="22"/>
        <v>0</v>
      </c>
      <c r="J70" s="405">
        <f t="shared" si="22"/>
        <v>0</v>
      </c>
      <c r="K70" s="405">
        <f t="shared" si="22"/>
        <v>0</v>
      </c>
      <c r="L70" s="405">
        <f t="shared" si="22"/>
        <v>0</v>
      </c>
      <c r="M70" s="405">
        <f t="shared" si="22"/>
        <v>0</v>
      </c>
      <c r="N70" s="405">
        <f t="shared" si="22"/>
        <v>0</v>
      </c>
      <c r="O70" s="405">
        <f t="shared" si="22"/>
        <v>0</v>
      </c>
      <c r="P70" s="406">
        <f t="shared" si="22"/>
        <v>0</v>
      </c>
      <c r="Q70" s="448">
        <f t="shared" si="22"/>
        <v>0</v>
      </c>
      <c r="R70" s="379"/>
      <c r="S70" s="379"/>
      <c r="T70" s="382" t="s">
        <v>32</v>
      </c>
      <c r="U70" s="413">
        <f>IF(-0.75*((C70/(VLOOKUP($A$2,Assumptions!$B$124:$G$147,2,0)))+D70/(VLOOKUP($A$2,Assumptions!$B$124:$G$147,5,0)))=0,"",-0.75*((C70/(VLOOKUP($A$2,Assumptions!$B$124:$G$147,2,0)))+D70/(VLOOKUP($A$2,Assumptions!$B$124:$G$147,5,0))))</f>
        <v>4.4345898004434586E-2</v>
      </c>
      <c r="V70" s="504">
        <f t="shared" si="23"/>
        <v>0.14415237658403168</v>
      </c>
      <c r="W70" s="507"/>
      <c r="X70" s="507"/>
      <c r="Y70" s="12"/>
    </row>
    <row r="71" spans="1:25" ht="15">
      <c r="A71" s="373" t="s">
        <v>557</v>
      </c>
      <c r="B71" s="374" t="s">
        <v>558</v>
      </c>
      <c r="C71" s="383"/>
      <c r="D71" s="383"/>
      <c r="E71" s="377">
        <v>45747</v>
      </c>
      <c r="F71" s="384"/>
      <c r="G71" s="403">
        <f t="shared" si="24"/>
        <v>0</v>
      </c>
      <c r="H71" s="404">
        <f t="shared" si="22"/>
        <v>0</v>
      </c>
      <c r="I71" s="405">
        <f t="shared" si="22"/>
        <v>0</v>
      </c>
      <c r="J71" s="405">
        <f t="shared" si="22"/>
        <v>0</v>
      </c>
      <c r="K71" s="405">
        <f t="shared" si="22"/>
        <v>0</v>
      </c>
      <c r="L71" s="405">
        <f t="shared" si="22"/>
        <v>0</v>
      </c>
      <c r="M71" s="405">
        <f t="shared" si="22"/>
        <v>0</v>
      </c>
      <c r="N71" s="405">
        <f t="shared" si="22"/>
        <v>0</v>
      </c>
      <c r="O71" s="405">
        <f t="shared" si="22"/>
        <v>0</v>
      </c>
      <c r="P71" s="406">
        <f t="shared" si="22"/>
        <v>0</v>
      </c>
      <c r="Q71" s="448">
        <f t="shared" si="22"/>
        <v>0</v>
      </c>
      <c r="R71" s="379"/>
      <c r="S71" s="379"/>
      <c r="T71" s="382"/>
      <c r="U71" s="413" t="str">
        <f>IF(-0.75*((C71/(VLOOKUP($A$2,Assumptions!$B$124:$G$147,2,0)))+D71/(VLOOKUP($A$2,Assumptions!$B$124:$G$147,5,0)))=0,"",-0.75*((C71/(VLOOKUP($A$2,Assumptions!$B$124:$G$147,2,0)))+D71/(VLOOKUP($A$2,Assumptions!$B$124:$G$147,5,0))))</f>
        <v/>
      </c>
      <c r="V71" s="504" t="str">
        <f t="shared" si="23"/>
        <v/>
      </c>
      <c r="W71" s="507"/>
      <c r="X71" s="507" t="s">
        <v>32</v>
      </c>
      <c r="Y71" s="12"/>
    </row>
    <row r="72" spans="1:25" ht="15">
      <c r="A72" s="373" t="s">
        <v>559</v>
      </c>
      <c r="B72" s="374" t="s">
        <v>560</v>
      </c>
      <c r="C72" s="375">
        <v>-200</v>
      </c>
      <c r="D72" s="375"/>
      <c r="E72" s="377">
        <v>46477</v>
      </c>
      <c r="F72" s="378">
        <v>1491000</v>
      </c>
      <c r="G72" s="403">
        <f t="shared" si="24"/>
        <v>0</v>
      </c>
      <c r="H72" s="404">
        <f t="shared" si="22"/>
        <v>0</v>
      </c>
      <c r="I72" s="405">
        <f t="shared" si="22"/>
        <v>0</v>
      </c>
      <c r="J72" s="405">
        <f t="shared" si="22"/>
        <v>1491000</v>
      </c>
      <c r="K72" s="405">
        <f t="shared" si="22"/>
        <v>0</v>
      </c>
      <c r="L72" s="405">
        <f t="shared" si="22"/>
        <v>0</v>
      </c>
      <c r="M72" s="405">
        <f t="shared" si="22"/>
        <v>0</v>
      </c>
      <c r="N72" s="405">
        <f t="shared" si="22"/>
        <v>0</v>
      </c>
      <c r="O72" s="405">
        <f t="shared" si="22"/>
        <v>0</v>
      </c>
      <c r="P72" s="406">
        <f t="shared" si="22"/>
        <v>0</v>
      </c>
      <c r="Q72" s="448">
        <f t="shared" si="22"/>
        <v>0</v>
      </c>
      <c r="R72" s="379" t="s">
        <v>32</v>
      </c>
      <c r="S72" s="379"/>
      <c r="T72" s="382"/>
      <c r="U72" s="413">
        <f>IF(-0.75*((C72/(VLOOKUP($A$2,Assumptions!$B$124:$G$147,2,0)))+D72/(VLOOKUP($A$2,Assumptions!$B$124:$G$147,5,0)))=0,"",-0.75*((C72/(VLOOKUP($A$2,Assumptions!$B$124:$G$147,2,0)))+D72/(VLOOKUP($A$2,Assumptions!$B$124:$G$147,5,0))))</f>
        <v>0.11086474501108648</v>
      </c>
      <c r="V72" s="504">
        <f t="shared" si="23"/>
        <v>3.047889786593963E-2</v>
      </c>
      <c r="W72" s="507"/>
      <c r="X72" s="507" t="s">
        <v>32</v>
      </c>
      <c r="Y72" s="12"/>
    </row>
    <row r="73" spans="1:25" ht="15">
      <c r="A73" s="373" t="s">
        <v>559</v>
      </c>
      <c r="B73" s="374" t="s">
        <v>561</v>
      </c>
      <c r="C73" s="381">
        <v>0</v>
      </c>
      <c r="D73" s="381"/>
      <c r="E73" s="377">
        <v>46112</v>
      </c>
      <c r="F73" s="378"/>
      <c r="G73" s="403">
        <f t="shared" si="24"/>
        <v>0</v>
      </c>
      <c r="H73" s="404">
        <f t="shared" si="22"/>
        <v>0</v>
      </c>
      <c r="I73" s="405">
        <f t="shared" si="22"/>
        <v>0</v>
      </c>
      <c r="J73" s="405">
        <f t="shared" si="22"/>
        <v>0</v>
      </c>
      <c r="K73" s="405">
        <f t="shared" si="22"/>
        <v>0</v>
      </c>
      <c r="L73" s="405">
        <f t="shared" si="22"/>
        <v>0</v>
      </c>
      <c r="M73" s="405">
        <f t="shared" si="22"/>
        <v>0</v>
      </c>
      <c r="N73" s="405">
        <f t="shared" si="22"/>
        <v>0</v>
      </c>
      <c r="O73" s="405">
        <f t="shared" si="22"/>
        <v>0</v>
      </c>
      <c r="P73" s="406">
        <f t="shared" si="22"/>
        <v>0</v>
      </c>
      <c r="Q73" s="448">
        <f t="shared" si="22"/>
        <v>0</v>
      </c>
      <c r="R73" s="379"/>
      <c r="S73" s="379"/>
      <c r="T73" s="382"/>
      <c r="U73" s="413" t="str">
        <f>IF(-0.75*((C73/(VLOOKUP($A$2,Assumptions!$B$124:$G$147,2,0)))+D73/(VLOOKUP($A$2,Assumptions!$B$124:$G$147,5,0)))=0,"",-0.75*((C73/(VLOOKUP($A$2,Assumptions!$B$124:$G$147,2,0)))+D73/(VLOOKUP($A$2,Assumptions!$B$124:$G$147,5,0))))</f>
        <v/>
      </c>
      <c r="V73" s="504" t="str">
        <f t="shared" si="23"/>
        <v/>
      </c>
      <c r="W73" s="507"/>
      <c r="X73" s="507"/>
      <c r="Y73" s="12"/>
    </row>
    <row r="74" spans="1:25" ht="15">
      <c r="A74" s="373" t="s">
        <v>562</v>
      </c>
      <c r="B74" s="374" t="s">
        <v>563</v>
      </c>
      <c r="C74" s="375">
        <v>0</v>
      </c>
      <c r="D74" s="375"/>
      <c r="E74" s="377">
        <v>47208</v>
      </c>
      <c r="F74" s="378"/>
      <c r="G74" s="403">
        <f t="shared" si="24"/>
        <v>0</v>
      </c>
      <c r="H74" s="404">
        <f t="shared" si="22"/>
        <v>0</v>
      </c>
      <c r="I74" s="405">
        <f t="shared" si="22"/>
        <v>0</v>
      </c>
      <c r="J74" s="405">
        <f t="shared" si="22"/>
        <v>0</v>
      </c>
      <c r="K74" s="405">
        <f t="shared" si="22"/>
        <v>0</v>
      </c>
      <c r="L74" s="405">
        <f t="shared" si="22"/>
        <v>0</v>
      </c>
      <c r="M74" s="405">
        <f t="shared" si="22"/>
        <v>0</v>
      </c>
      <c r="N74" s="405">
        <f t="shared" si="22"/>
        <v>0</v>
      </c>
      <c r="O74" s="405">
        <f t="shared" si="22"/>
        <v>0</v>
      </c>
      <c r="P74" s="406">
        <f t="shared" si="22"/>
        <v>0</v>
      </c>
      <c r="Q74" s="448">
        <f t="shared" si="22"/>
        <v>0</v>
      </c>
      <c r="R74" s="379"/>
      <c r="S74" s="379"/>
      <c r="T74" s="382"/>
      <c r="U74" s="413" t="str">
        <f>IF(-0.75*((C74/(VLOOKUP($A$2,Assumptions!$B$124:$G$147,2,0)))+D74/(VLOOKUP($A$2,Assumptions!$B$124:$G$147,5,0)))=0,"",-0.75*((C74/(VLOOKUP($A$2,Assumptions!$B$124:$G$147,2,0)))+D74/(VLOOKUP($A$2,Assumptions!$B$124:$G$147,5,0))))</f>
        <v/>
      </c>
      <c r="V74" s="504" t="str">
        <f t="shared" si="23"/>
        <v/>
      </c>
      <c r="W74" s="507"/>
      <c r="X74" s="507" t="s">
        <v>32</v>
      </c>
      <c r="Y74" s="12"/>
    </row>
    <row r="75" spans="1:25" ht="30">
      <c r="A75" s="373" t="s">
        <v>564</v>
      </c>
      <c r="B75" s="374" t="s">
        <v>565</v>
      </c>
      <c r="C75" s="375">
        <v>-40</v>
      </c>
      <c r="D75" s="375">
        <v>-450</v>
      </c>
      <c r="E75" s="377">
        <v>47938</v>
      </c>
      <c r="F75" s="378">
        <v>2316000</v>
      </c>
      <c r="G75" s="403">
        <f t="shared" si="24"/>
        <v>0</v>
      </c>
      <c r="H75" s="404">
        <f t="shared" si="22"/>
        <v>0</v>
      </c>
      <c r="I75" s="405">
        <f t="shared" si="22"/>
        <v>0</v>
      </c>
      <c r="J75" s="405">
        <f t="shared" si="22"/>
        <v>0</v>
      </c>
      <c r="K75" s="405">
        <f t="shared" si="22"/>
        <v>0</v>
      </c>
      <c r="L75" s="405">
        <f t="shared" si="22"/>
        <v>0</v>
      </c>
      <c r="M75" s="405">
        <f t="shared" si="22"/>
        <v>0</v>
      </c>
      <c r="N75" s="405">
        <f t="shared" si="22"/>
        <v>2316000</v>
      </c>
      <c r="O75" s="405">
        <f t="shared" si="22"/>
        <v>0</v>
      </c>
      <c r="P75" s="406">
        <f t="shared" si="22"/>
        <v>0</v>
      </c>
      <c r="Q75" s="448">
        <f t="shared" si="22"/>
        <v>0</v>
      </c>
      <c r="R75" s="379" t="s">
        <v>32</v>
      </c>
      <c r="S75" s="379" t="s">
        <v>32</v>
      </c>
      <c r="T75" s="382"/>
      <c r="U75" s="413">
        <f>IF(-0.75*((C75/(VLOOKUP($A$2,Assumptions!$B$124:$G$147,2,0)))+D75/(VLOOKUP($A$2,Assumptions!$B$124:$G$147,5,0)))=0,"",-0.75*((C75/(VLOOKUP($A$2,Assumptions!$B$124:$G$147,2,0)))+D75/(VLOOKUP($A$2,Assumptions!$B$124:$G$147,5,0))))</f>
        <v>4.57743476036159E-2</v>
      </c>
      <c r="V75" s="504">
        <f t="shared" si="23"/>
        <v>9.0778266339732027E-3</v>
      </c>
      <c r="W75" s="507"/>
      <c r="X75" s="507"/>
      <c r="Y75" s="502" t="s">
        <v>885</v>
      </c>
    </row>
    <row r="76" spans="1:25" ht="15" customHeight="1">
      <c r="A76" s="373" t="s">
        <v>566</v>
      </c>
      <c r="B76" s="374" t="s">
        <v>567</v>
      </c>
      <c r="C76" s="375">
        <v>20</v>
      </c>
      <c r="D76" s="375">
        <v>-140</v>
      </c>
      <c r="E76" s="377">
        <v>47573</v>
      </c>
      <c r="F76" s="378">
        <v>2300000</v>
      </c>
      <c r="G76" s="403">
        <f t="shared" si="24"/>
        <v>0</v>
      </c>
      <c r="H76" s="404">
        <f t="shared" si="22"/>
        <v>0</v>
      </c>
      <c r="I76" s="405">
        <f t="shared" si="22"/>
        <v>0</v>
      </c>
      <c r="J76" s="405">
        <f t="shared" si="22"/>
        <v>0</v>
      </c>
      <c r="K76" s="405">
        <f t="shared" si="22"/>
        <v>0</v>
      </c>
      <c r="L76" s="405">
        <f t="shared" si="22"/>
        <v>0</v>
      </c>
      <c r="M76" s="405">
        <f t="shared" si="22"/>
        <v>2300000</v>
      </c>
      <c r="N76" s="405">
        <f t="shared" si="22"/>
        <v>0</v>
      </c>
      <c r="O76" s="405">
        <f t="shared" si="22"/>
        <v>0</v>
      </c>
      <c r="P76" s="406">
        <f t="shared" si="22"/>
        <v>0</v>
      </c>
      <c r="Q76" s="448">
        <f t="shared" si="22"/>
        <v>0</v>
      </c>
      <c r="R76" s="379"/>
      <c r="S76" s="379" t="s">
        <v>32</v>
      </c>
      <c r="T76" s="382"/>
      <c r="U76" s="413">
        <f>IF(-0.75*((C76/(VLOOKUP($A$2,Assumptions!$B$124:$G$147,2,0)))+D76/(VLOOKUP($A$2,Assumptions!$B$124:$G$147,5,0)))=0,"",-0.75*((C76/(VLOOKUP($A$2,Assumptions!$B$124:$G$147,2,0)))+D76/(VLOOKUP($A$2,Assumptions!$B$124:$G$147,5,0))))</f>
        <v>-3.7438171584513041E-3</v>
      </c>
      <c r="V76" s="504">
        <f t="shared" si="23"/>
        <v>-3.6137214746183142E-4</v>
      </c>
      <c r="W76" s="507"/>
      <c r="X76" s="507" t="s">
        <v>32</v>
      </c>
      <c r="Y76" s="12" t="s">
        <v>886</v>
      </c>
    </row>
    <row r="77" spans="1:25" ht="15">
      <c r="A77" s="373" t="s">
        <v>568</v>
      </c>
      <c r="B77" s="374" t="s">
        <v>569</v>
      </c>
      <c r="C77" s="375">
        <v>-30</v>
      </c>
      <c r="D77" s="375"/>
      <c r="E77" s="377">
        <v>48304</v>
      </c>
      <c r="F77" s="378">
        <v>78000</v>
      </c>
      <c r="G77" s="403">
        <f t="shared" si="24"/>
        <v>0</v>
      </c>
      <c r="H77" s="404">
        <f t="shared" si="22"/>
        <v>0</v>
      </c>
      <c r="I77" s="405">
        <f t="shared" si="22"/>
        <v>0</v>
      </c>
      <c r="J77" s="405">
        <f t="shared" si="22"/>
        <v>0</v>
      </c>
      <c r="K77" s="405">
        <f t="shared" si="22"/>
        <v>0</v>
      </c>
      <c r="L77" s="405">
        <f t="shared" si="22"/>
        <v>0</v>
      </c>
      <c r="M77" s="405">
        <f t="shared" si="22"/>
        <v>0</v>
      </c>
      <c r="N77" s="405">
        <f t="shared" si="22"/>
        <v>0</v>
      </c>
      <c r="O77" s="405">
        <f t="shared" si="22"/>
        <v>78000</v>
      </c>
      <c r="P77" s="406">
        <f t="shared" si="22"/>
        <v>0</v>
      </c>
      <c r="Q77" s="448">
        <f t="shared" si="22"/>
        <v>0</v>
      </c>
      <c r="R77" s="379" t="s">
        <v>32</v>
      </c>
      <c r="S77" s="379"/>
      <c r="T77" s="385"/>
      <c r="U77" s="413">
        <f>IF(-0.75*((C77/(VLOOKUP($A$2,Assumptions!$B$124:$G$147,2,0)))+D77/(VLOOKUP($A$2,Assumptions!$B$124:$G$147,5,0)))=0,"",-0.75*((C77/(VLOOKUP($A$2,Assumptions!$B$124:$G$147,2,0)))+D77/(VLOOKUP($A$2,Assumptions!$B$124:$G$147,5,0))))</f>
        <v>1.6629711751662973E-2</v>
      </c>
      <c r="V77" s="504">
        <f t="shared" si="23"/>
        <v>8.7392378304069207E-2</v>
      </c>
      <c r="W77" s="507"/>
      <c r="X77" s="507" t="s">
        <v>32</v>
      </c>
      <c r="Y77" s="12"/>
    </row>
    <row r="78" spans="1:25" ht="15">
      <c r="A78" s="373" t="s">
        <v>570</v>
      </c>
      <c r="B78" s="374" t="s">
        <v>571</v>
      </c>
      <c r="C78" s="375">
        <v>-25</v>
      </c>
      <c r="D78" s="375"/>
      <c r="E78" s="377">
        <v>46843</v>
      </c>
      <c r="F78" s="378">
        <v>180000</v>
      </c>
      <c r="G78" s="403">
        <f t="shared" si="24"/>
        <v>0</v>
      </c>
      <c r="H78" s="404">
        <f t="shared" si="22"/>
        <v>0</v>
      </c>
      <c r="I78" s="405">
        <f t="shared" si="22"/>
        <v>0</v>
      </c>
      <c r="J78" s="405">
        <f t="shared" si="22"/>
        <v>0</v>
      </c>
      <c r="K78" s="405">
        <f t="shared" si="22"/>
        <v>180000</v>
      </c>
      <c r="L78" s="405">
        <f t="shared" si="22"/>
        <v>0</v>
      </c>
      <c r="M78" s="405">
        <f t="shared" si="22"/>
        <v>0</v>
      </c>
      <c r="N78" s="405">
        <f t="shared" si="22"/>
        <v>0</v>
      </c>
      <c r="O78" s="405">
        <f t="shared" si="22"/>
        <v>0</v>
      </c>
      <c r="P78" s="406">
        <f t="shared" si="22"/>
        <v>0</v>
      </c>
      <c r="Q78" s="448">
        <f t="shared" si="22"/>
        <v>0</v>
      </c>
      <c r="R78" s="379" t="s">
        <v>32</v>
      </c>
      <c r="S78" s="386"/>
      <c r="T78" s="387"/>
      <c r="U78" s="413">
        <f>IF(-0.75*((C78/(VLOOKUP($A$2,Assumptions!$B$124:$G$147,2,0)))+D78/(VLOOKUP($A$2,Assumptions!$B$124:$G$147,5,0)))=0,"",-0.75*((C78/(VLOOKUP($A$2,Assumptions!$B$124:$G$147,2,0)))+D78/(VLOOKUP($A$2,Assumptions!$B$124:$G$147,5,0))))</f>
        <v>1.385809312638581E-2</v>
      </c>
      <c r="V78" s="504">
        <f t="shared" si="23"/>
        <v>3.1558358832024992E-2</v>
      </c>
      <c r="W78" s="507"/>
      <c r="X78" s="507" t="s">
        <v>32</v>
      </c>
      <c r="Y78" s="12"/>
    </row>
    <row r="79" spans="1:25" ht="15">
      <c r="A79" s="373"/>
      <c r="B79" s="374"/>
      <c r="C79" s="375"/>
      <c r="D79" s="375"/>
      <c r="E79" s="377"/>
      <c r="F79" s="378"/>
      <c r="G79" s="403"/>
      <c r="H79" s="404"/>
      <c r="I79" s="405"/>
      <c r="J79" s="405"/>
      <c r="K79" s="405"/>
      <c r="L79" s="405"/>
      <c r="M79" s="405"/>
      <c r="N79" s="405"/>
      <c r="O79" s="405"/>
      <c r="P79" s="406"/>
      <c r="Q79" s="448"/>
      <c r="R79" s="379"/>
      <c r="S79" s="386"/>
      <c r="T79" s="387"/>
      <c r="U79" s="413" t="str">
        <f>IF(-0.75*((C79/(VLOOKUP($A$2,Assumptions!$B$124:$G$147,2,0)))+D79/(VLOOKUP($A$2,Assumptions!$B$124:$G$147,5,0)))=0,"",-0.75*((C79/(VLOOKUP($A$2,Assumptions!$B$124:$G$147,2,0)))+D79/(VLOOKUP($A$2,Assumptions!$B$124:$G$147,5,0))))</f>
        <v/>
      </c>
      <c r="V79" s="504" t="str">
        <f t="shared" si="23"/>
        <v/>
      </c>
      <c r="W79" s="507"/>
      <c r="X79" s="507"/>
      <c r="Y79" s="12"/>
    </row>
    <row r="80" spans="1:25" ht="15">
      <c r="A80" s="373"/>
      <c r="B80" s="374"/>
      <c r="C80" s="375"/>
      <c r="D80" s="375"/>
      <c r="E80" s="377"/>
      <c r="F80" s="378"/>
      <c r="G80" s="403"/>
      <c r="H80" s="404"/>
      <c r="I80" s="405"/>
      <c r="J80" s="405"/>
      <c r="K80" s="405"/>
      <c r="L80" s="405"/>
      <c r="M80" s="405"/>
      <c r="N80" s="405"/>
      <c r="O80" s="405"/>
      <c r="P80" s="406"/>
      <c r="Q80" s="448"/>
      <c r="R80" s="379"/>
      <c r="S80" s="386"/>
      <c r="T80" s="387"/>
      <c r="U80" s="413" t="str">
        <f>IF(-0.75*((C80/(VLOOKUP($A$2,Assumptions!$B$124:$G$147,2,0)))+D80/(VLOOKUP($A$2,Assumptions!$B$124:$G$147,5,0)))=0,"",-0.75*((C80/(VLOOKUP($A$2,Assumptions!$B$124:$G$147,2,0)))+D80/(VLOOKUP($A$2,Assumptions!$B$124:$G$147,5,0))))</f>
        <v/>
      </c>
      <c r="V80" s="504" t="str">
        <f t="shared" si="23"/>
        <v/>
      </c>
      <c r="W80" s="507"/>
      <c r="X80" s="507"/>
      <c r="Y80" s="12"/>
    </row>
    <row r="81" spans="1:25" ht="15">
      <c r="A81" s="373"/>
      <c r="B81" s="457"/>
      <c r="C81" s="375"/>
      <c r="D81" s="375"/>
      <c r="E81" s="377"/>
      <c r="F81" s="378"/>
      <c r="G81" s="403"/>
      <c r="H81" s="404"/>
      <c r="I81" s="405"/>
      <c r="J81" s="405"/>
      <c r="K81" s="405"/>
      <c r="L81" s="405"/>
      <c r="M81" s="405"/>
      <c r="N81" s="405"/>
      <c r="O81" s="405"/>
      <c r="P81" s="406"/>
      <c r="Q81" s="448"/>
      <c r="R81" s="379"/>
      <c r="S81" s="386"/>
      <c r="T81" s="387"/>
      <c r="U81" s="413" t="str">
        <f>IF(-0.75*((C81/(VLOOKUP($A$2,Assumptions!$B$124:$G$147,2,0)))+D81/(VLOOKUP($A$2,Assumptions!$B$124:$G$147,5,0)))=0,"",-0.75*((C81/(VLOOKUP($A$2,Assumptions!$B$124:$G$147,2,0)))+D81/(VLOOKUP($A$2,Assumptions!$B$124:$G$147,5,0))))</f>
        <v/>
      </c>
      <c r="V81" s="504" t="str">
        <f t="shared" si="23"/>
        <v/>
      </c>
      <c r="W81" s="507"/>
      <c r="X81" s="507"/>
      <c r="Y81" s="12"/>
    </row>
    <row r="82" spans="1:25" ht="15">
      <c r="A82" s="373"/>
      <c r="B82" s="457"/>
      <c r="C82" s="375"/>
      <c r="D82" s="375"/>
      <c r="E82" s="377"/>
      <c r="F82" s="378"/>
      <c r="G82" s="403"/>
      <c r="H82" s="404"/>
      <c r="I82" s="405"/>
      <c r="J82" s="405"/>
      <c r="K82" s="405"/>
      <c r="L82" s="405"/>
      <c r="M82" s="405"/>
      <c r="N82" s="405"/>
      <c r="O82" s="405"/>
      <c r="P82" s="406"/>
      <c r="Q82" s="448"/>
      <c r="R82" s="379"/>
      <c r="S82" s="386"/>
      <c r="T82" s="387"/>
      <c r="U82" s="413" t="str">
        <f>IF(-0.75*((C82/(VLOOKUP($A$2,Assumptions!$B$124:$G$147,2,0)))+D82/(VLOOKUP($A$2,Assumptions!$B$124:$G$147,5,0)))=0,"",-0.75*((C82/(VLOOKUP($A$2,Assumptions!$B$124:$G$147,2,0)))+D82/(VLOOKUP($A$2,Assumptions!$B$124:$G$147,5,0))))</f>
        <v/>
      </c>
      <c r="V82" s="504" t="str">
        <f t="shared" si="23"/>
        <v/>
      </c>
      <c r="W82" s="507"/>
      <c r="X82" s="507"/>
      <c r="Y82" s="12"/>
    </row>
    <row r="83" spans="1:25" ht="15">
      <c r="A83" s="373"/>
      <c r="B83" s="457"/>
      <c r="C83" s="375"/>
      <c r="D83" s="375"/>
      <c r="E83" s="377"/>
      <c r="F83" s="378"/>
      <c r="G83" s="403"/>
      <c r="H83" s="404"/>
      <c r="I83" s="405"/>
      <c r="J83" s="405"/>
      <c r="K83" s="405"/>
      <c r="L83" s="405"/>
      <c r="M83" s="405"/>
      <c r="N83" s="405"/>
      <c r="O83" s="405"/>
      <c r="P83" s="406"/>
      <c r="Q83" s="448"/>
      <c r="R83" s="379"/>
      <c r="S83" s="386"/>
      <c r="T83" s="387"/>
      <c r="U83" s="413" t="str">
        <f>IF(-0.75*((C83/(VLOOKUP($A$2,Assumptions!$B$124:$G$147,2,0)))+D83/(VLOOKUP($A$2,Assumptions!$B$124:$G$147,5,0)))=0,"",-0.75*((C83/(VLOOKUP($A$2,Assumptions!$B$124:$G$147,2,0)))+D83/(VLOOKUP($A$2,Assumptions!$B$124:$G$147,5,0))))</f>
        <v/>
      </c>
      <c r="V83" s="504" t="str">
        <f t="shared" si="23"/>
        <v/>
      </c>
      <c r="W83" s="507"/>
      <c r="X83" s="507"/>
      <c r="Y83" s="12"/>
    </row>
    <row r="84" spans="1:25" ht="15">
      <c r="A84" s="373"/>
      <c r="B84" s="457"/>
      <c r="C84" s="375"/>
      <c r="D84" s="375"/>
      <c r="E84" s="377"/>
      <c r="F84" s="378"/>
      <c r="G84" s="403"/>
      <c r="H84" s="404"/>
      <c r="I84" s="405"/>
      <c r="J84" s="405"/>
      <c r="K84" s="405"/>
      <c r="L84" s="405"/>
      <c r="M84" s="405"/>
      <c r="N84" s="405"/>
      <c r="O84" s="405"/>
      <c r="P84" s="406"/>
      <c r="Q84" s="448"/>
      <c r="R84" s="379"/>
      <c r="S84" s="386"/>
      <c r="T84" s="387"/>
      <c r="U84" s="413" t="str">
        <f>IF(-0.75*((C84/(VLOOKUP($A$2,Assumptions!$B$124:$G$147,2,0)))+D84/(VLOOKUP($A$2,Assumptions!$B$124:$G$147,5,0)))=0,"",-0.75*((C84/(VLOOKUP($A$2,Assumptions!$B$124:$G$147,2,0)))+D84/(VLOOKUP($A$2,Assumptions!$B$124:$G$147,5,0))))</f>
        <v/>
      </c>
      <c r="V84" s="504" t="str">
        <f t="shared" si="23"/>
        <v/>
      </c>
      <c r="W84" s="507"/>
      <c r="X84" s="507"/>
      <c r="Y84" s="12"/>
    </row>
    <row r="85" spans="1:25" ht="15">
      <c r="A85" s="373"/>
      <c r="B85" s="457"/>
      <c r="C85" s="375"/>
      <c r="D85" s="375"/>
      <c r="E85" s="377"/>
      <c r="F85" s="378"/>
      <c r="G85" s="403"/>
      <c r="H85" s="404"/>
      <c r="I85" s="405"/>
      <c r="J85" s="405"/>
      <c r="K85" s="405"/>
      <c r="L85" s="405"/>
      <c r="M85" s="405"/>
      <c r="N85" s="405"/>
      <c r="O85" s="405"/>
      <c r="P85" s="406"/>
      <c r="Q85" s="448"/>
      <c r="R85" s="379"/>
      <c r="S85" s="386"/>
      <c r="T85" s="387"/>
      <c r="U85" s="413" t="str">
        <f>IF(-0.75*((C85/(VLOOKUP($A$2,Assumptions!$B$124:$G$147,2,0)))+D85/(VLOOKUP($A$2,Assumptions!$B$124:$G$147,5,0)))=0,"",-0.75*((C85/(VLOOKUP($A$2,Assumptions!$B$124:$G$147,2,0)))+D85/(VLOOKUP($A$2,Assumptions!$B$124:$G$147,5,0))))</f>
        <v/>
      </c>
      <c r="V85" s="504" t="str">
        <f t="shared" si="23"/>
        <v/>
      </c>
      <c r="W85" s="507"/>
      <c r="X85" s="507"/>
      <c r="Y85" s="12"/>
    </row>
    <row r="86" spans="1:25" ht="15">
      <c r="A86" s="373"/>
      <c r="B86" s="457"/>
      <c r="C86" s="375"/>
      <c r="D86" s="375"/>
      <c r="E86" s="377"/>
      <c r="F86" s="378"/>
      <c r="G86" s="403"/>
      <c r="H86" s="404"/>
      <c r="I86" s="405"/>
      <c r="J86" s="405"/>
      <c r="K86" s="405"/>
      <c r="L86" s="405"/>
      <c r="M86" s="405"/>
      <c r="N86" s="405"/>
      <c r="O86" s="405"/>
      <c r="P86" s="406"/>
      <c r="Q86" s="448"/>
      <c r="R86" s="379"/>
      <c r="S86" s="386"/>
      <c r="T86" s="387"/>
      <c r="U86" s="413" t="str">
        <f>IF(-0.75*((C86/(VLOOKUP($A$2,Assumptions!$B$124:$G$147,2,0)))+D86/(VLOOKUP($A$2,Assumptions!$B$124:$G$147,5,0)))=0,"",-0.75*((C86/(VLOOKUP($A$2,Assumptions!$B$124:$G$147,2,0)))+D86/(VLOOKUP($A$2,Assumptions!$B$124:$G$147,5,0))))</f>
        <v/>
      </c>
      <c r="V86" s="504" t="str">
        <f t="shared" si="23"/>
        <v/>
      </c>
      <c r="W86" s="507"/>
      <c r="X86" s="507"/>
      <c r="Y86" s="12"/>
    </row>
    <row r="87" spans="1:25" ht="15">
      <c r="A87" s="373"/>
      <c r="B87" s="374"/>
      <c r="C87" s="375"/>
      <c r="D87" s="375"/>
      <c r="E87" s="377"/>
      <c r="F87" s="378"/>
      <c r="G87" s="403"/>
      <c r="H87" s="404"/>
      <c r="I87" s="405"/>
      <c r="J87" s="405"/>
      <c r="K87" s="405"/>
      <c r="L87" s="405"/>
      <c r="M87" s="405"/>
      <c r="N87" s="405"/>
      <c r="O87" s="405"/>
      <c r="P87" s="406"/>
      <c r="Q87" s="448"/>
      <c r="R87" s="379"/>
      <c r="S87" s="379"/>
      <c r="T87" s="387"/>
      <c r="U87" s="413" t="str">
        <f>IF(-0.75*((C87/(VLOOKUP($A$2,Assumptions!$B$124:$G$147,2,0)))+D87/(VLOOKUP($A$2,Assumptions!$B$124:$G$147,5,0)))=0,"",-0.75*((C87/(VLOOKUP($A$2,Assumptions!$B$124:$G$147,2,0)))+D87/(VLOOKUP($A$2,Assumptions!$B$124:$G$147,5,0))))</f>
        <v/>
      </c>
      <c r="V87" s="504" t="str">
        <f t="shared" si="23"/>
        <v/>
      </c>
      <c r="W87" s="507"/>
      <c r="X87" s="507"/>
      <c r="Y87" s="12"/>
    </row>
    <row r="88" spans="1:25" ht="15">
      <c r="A88" s="456"/>
      <c r="B88" s="397"/>
      <c r="C88" s="398"/>
      <c r="D88" s="398"/>
      <c r="E88" s="399"/>
      <c r="F88" s="400"/>
      <c r="G88" s="407"/>
      <c r="H88" s="408"/>
      <c r="I88" s="409"/>
      <c r="J88" s="409"/>
      <c r="K88" s="409"/>
      <c r="L88" s="409"/>
      <c r="M88" s="409"/>
      <c r="N88" s="409"/>
      <c r="O88" s="409"/>
      <c r="P88" s="410"/>
      <c r="Q88" s="449"/>
      <c r="R88" s="401"/>
      <c r="S88" s="401"/>
      <c r="T88" s="402"/>
      <c r="U88" s="413" t="str">
        <f>IF(-0.75*((C88/(VLOOKUP($A$2,Assumptions!$B$124:$G$147,2,0)))+D88/(VLOOKUP($A$2,Assumptions!$B$124:$G$147,5,0)))=0,"",-0.75*((C88/(VLOOKUP($A$2,Assumptions!$B$124:$G$147,2,0)))+D88/(VLOOKUP($A$2,Assumptions!$B$124:$G$147,5,0))))</f>
        <v/>
      </c>
      <c r="V88" s="505" t="str">
        <f t="shared" si="23"/>
        <v/>
      </c>
      <c r="W88" s="507"/>
      <c r="X88" s="507"/>
      <c r="Y88" s="12"/>
    </row>
    <row r="89" spans="1:25"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5">IF(ISERROR(((-C89*1000*$W$162)/F89)),"",((-C89*1000*$W$162)/F89))</f>
        <v/>
      </c>
      <c r="W89" s="304" t="str">
        <f t="shared" si="25"/>
        <v/>
      </c>
      <c r="X89" s="304"/>
    </row>
    <row r="90" spans="1:25"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5"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5"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5"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5"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5"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5"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31" ht="15">
      <c r="A115" s="13"/>
      <c r="B115" s="353"/>
      <c r="C115" s="354">
        <f>SUM(C69:C88)</f>
        <v>-355</v>
      </c>
      <c r="D115" s="354">
        <f>SUM(D69:D88)</f>
        <v>-590</v>
      </c>
      <c r="E115" s="355"/>
      <c r="F115" s="333">
        <f>SUM(F69:F114)</f>
        <v>6491100</v>
      </c>
      <c r="G115" s="388">
        <f>SUM(G69:G114)</f>
        <v>126100</v>
      </c>
      <c r="H115" s="388">
        <f t="shared" ref="H115:N115" si="26">SUM(H69:H114)</f>
        <v>0</v>
      </c>
      <c r="I115" s="388">
        <f t="shared" si="26"/>
        <v>0</v>
      </c>
      <c r="J115" s="388">
        <f t="shared" si="26"/>
        <v>1491000</v>
      </c>
      <c r="K115" s="388">
        <f t="shared" si="26"/>
        <v>180000</v>
      </c>
      <c r="L115" s="388">
        <f t="shared" si="26"/>
        <v>0</v>
      </c>
      <c r="M115" s="388">
        <f t="shared" si="26"/>
        <v>2300000</v>
      </c>
      <c r="N115" s="388">
        <f t="shared" si="26"/>
        <v>2316000</v>
      </c>
      <c r="O115" s="388">
        <f>SUM(O69:O114)</f>
        <v>78000</v>
      </c>
      <c r="P115" s="388">
        <f>SUM(P69:P114)</f>
        <v>0</v>
      </c>
      <c r="Q115" s="388">
        <f>SUM(Q69:Q114)</f>
        <v>0</v>
      </c>
      <c r="R115" s="388">
        <f>SUMIFS(F69:F114,R69:R114,"Yes")-0.5*SUMIFS(F69:F114,R69:R114,"Yes",S69:S114,"Yes")</f>
        <v>2907000</v>
      </c>
      <c r="S115" s="388">
        <f>SUMIFS(F69:F114,S69:S114,"Yes")-0.5*SUMIFS(F69:F114,S69:S114,"Yes",R69:R114,"Yes")</f>
        <v>3458000</v>
      </c>
      <c r="T115" s="388">
        <f>SUMIFS(F69:F114,T69:T114,"Yes")</f>
        <v>126100</v>
      </c>
      <c r="U115" s="389">
        <f>SUM(U69:U114)</f>
        <v>0.22772897833873443</v>
      </c>
      <c r="V115" s="390">
        <f>IF(ISERROR(((-1*C115*1000*$D$6)+(-1*D115*$D$8))/F115),"",((-1*C115*1000*$D$6)+(-1*D115*$D$8))/F115)</f>
        <v>1.4837524001781515E-2</v>
      </c>
      <c r="W115" s="391">
        <f>SUMIFS(F69:F114,W69:W114,"Yes")</f>
        <v>0</v>
      </c>
      <c r="X115" s="391">
        <f>SUMIFS(F69:F114,X69:X114,"Yes")</f>
        <v>4049000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c r="X116" s="510">
        <f>X115/F115</f>
        <v>0.62377717181987646</v>
      </c>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266.25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5.5084801043705154</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5.448052881161086</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5.5006819299584313</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5.5006819299584313</v>
      </c>
      <c r="AA126" s="22">
        <f t="shared" ref="AA126:AC126" si="27">AK216</f>
        <v>5.7061908122689511</v>
      </c>
      <c r="AB126" s="22">
        <f t="shared" si="27"/>
        <v>0</v>
      </c>
      <c r="AC126" s="22">
        <f t="shared" si="27"/>
        <v>0</v>
      </c>
      <c r="AD126" s="22">
        <f t="shared" ref="AD126:AE126" si="28">AI217</f>
        <v>0</v>
      </c>
      <c r="AE126" s="22">
        <f t="shared" si="28"/>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5.5006819299584313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5.632254551951795</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5.6487011297009655</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5.6487011297009655</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5.6413803315520532</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5.6864549189699458</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5.7061908122689511</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Y154" si="30">AV156*0.5</f>
        <v>69.5</v>
      </c>
      <c r="AW154" s="339">
        <f t="shared" si="30"/>
        <v>59.814999999999998</v>
      </c>
      <c r="AX154" s="339">
        <f t="shared" si="30"/>
        <v>33.69</v>
      </c>
      <c r="AY154" s="339">
        <f t="shared" si="30"/>
        <v>44.87</v>
      </c>
      <c r="AZ154" s="8"/>
      <c r="BA154" s="25">
        <v>6</v>
      </c>
      <c r="BB154" s="24">
        <f t="shared" ref="BB154:BB155" si="31">IF($C$58="Base",BF154,BG154)</f>
        <v>34.795000000000002</v>
      </c>
      <c r="BC154" s="24" t="s">
        <v>436</v>
      </c>
      <c r="BD154" s="8"/>
      <c r="BE154" s="8"/>
      <c r="BF154" s="24">
        <f t="shared" ref="BF154:BF155" si="32">IF($C$59&gt;7000,"error",IF($C$59&gt;5999,AR154,IF($C$59&gt;4999,AQ154,IF($C$59&gt;3999,AP154,IF($C$59&gt;2999,AO154,IF($C$59&gt;1999,AN154,"Error"))))))</f>
        <v>34.795000000000002</v>
      </c>
      <c r="BG154" s="24">
        <f t="shared" ref="BG154:BG164" si="33">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4">AQ156*0.75</f>
        <v>31.372499999999999</v>
      </c>
      <c r="AR155" s="338">
        <f t="shared" si="34"/>
        <v>40.47</v>
      </c>
      <c r="AS155" s="24"/>
      <c r="AT155" s="25">
        <v>5.5</v>
      </c>
      <c r="AU155" s="339">
        <f>AU156*0.75</f>
        <v>97.140000000000015</v>
      </c>
      <c r="AV155" s="339">
        <f t="shared" ref="AV155:AY155" si="35">AV156*0.75</f>
        <v>104.25</v>
      </c>
      <c r="AW155" s="339">
        <f t="shared" si="35"/>
        <v>89.722499999999997</v>
      </c>
      <c r="AX155" s="339">
        <f t="shared" si="35"/>
        <v>50.534999999999997</v>
      </c>
      <c r="AY155" s="339">
        <f t="shared" si="35"/>
        <v>67.304999999999993</v>
      </c>
      <c r="AZ155" s="24"/>
      <c r="BA155" s="25">
        <v>5.5</v>
      </c>
      <c r="BB155" s="24">
        <f t="shared" si="31"/>
        <v>52.192500000000003</v>
      </c>
      <c r="BC155" s="24" t="s">
        <v>436</v>
      </c>
      <c r="BE155" s="24"/>
      <c r="BF155" s="24">
        <f t="shared" si="32"/>
        <v>52.192500000000003</v>
      </c>
      <c r="BG155" s="24">
        <f t="shared" si="33"/>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3"/>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27708</v>
      </c>
      <c r="BW156" s="14" t="s">
        <v>445</v>
      </c>
      <c r="BX156" s="181" t="s">
        <v>13</v>
      </c>
      <c r="BY156" s="38">
        <f>BY157/BV156</f>
        <v>51.722854933954089</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6">IF($C$58="Base",BF157,BG157)</f>
        <v>84.92</v>
      </c>
      <c r="BC157" s="24" t="s">
        <v>436</v>
      </c>
      <c r="BD157" s="24">
        <f>BB157-BB156</f>
        <v>15.329999999999998</v>
      </c>
      <c r="BE157" s="24"/>
      <c r="BF157" s="24">
        <f t="shared" ref="BF157:BF164" si="37">IF($C$59&gt;7000,"error",IF($C$59&gt;5999,AR157,IF($C$59&gt;4999,AQ157,IF($C$59&gt;3999,AP157,IF($C$59&gt;2999,AO157,IF($C$59&gt;1999,AN157,"Error"))))))</f>
        <v>84.92</v>
      </c>
      <c r="BG157" s="24">
        <f t="shared" si="33"/>
        <v>158.69</v>
      </c>
      <c r="BH157" s="24"/>
      <c r="BI157" s="29" t="s">
        <v>118</v>
      </c>
      <c r="BJ157" s="29">
        <v>810</v>
      </c>
      <c r="BK157" s="29">
        <v>51.33</v>
      </c>
      <c r="BL157" s="24">
        <v>2000</v>
      </c>
      <c r="BM157" s="25"/>
      <c r="BN157" s="24">
        <f>BV161/BV158</f>
        <v>32.764903166666663</v>
      </c>
      <c r="BO157" s="32" t="s">
        <v>447</v>
      </c>
      <c r="BP157" s="179">
        <f>$BY$158/SUM($BY$158:$BY$159)*C64</f>
        <v>52.200428955944986</v>
      </c>
      <c r="BQ157" s="29" t="s">
        <v>448</v>
      </c>
      <c r="BR157" s="29" t="s">
        <v>449</v>
      </c>
      <c r="BS157" s="29" t="s">
        <v>450</v>
      </c>
      <c r="BT157" s="14"/>
      <c r="BU157" s="30" t="s">
        <v>451</v>
      </c>
      <c r="BV157" s="33">
        <f xml:space="preserve"> 5 - 0.5*(BV158-BB156)/BH166</f>
        <v>5.5671745285079917</v>
      </c>
      <c r="BW157" s="14" t="s">
        <v>452</v>
      </c>
      <c r="BX157" s="181" t="s">
        <v>453</v>
      </c>
      <c r="BY157" s="180">
        <f>SUM(BY158:BY159)</f>
        <v>1433136.86451</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6"/>
        <v>100.25</v>
      </c>
      <c r="BC158" s="24" t="s">
        <v>436</v>
      </c>
      <c r="BD158" s="24">
        <f t="shared" ref="BD158:BD164" si="38">BB158-BB157</f>
        <v>15.329999999999998</v>
      </c>
      <c r="BE158" s="24"/>
      <c r="BF158" s="24">
        <f t="shared" si="37"/>
        <v>100.25</v>
      </c>
      <c r="BG158" s="24">
        <f t="shared" si="33"/>
        <v>187.86</v>
      </c>
      <c r="BH158" s="24"/>
      <c r="BI158" s="29" t="s">
        <v>150</v>
      </c>
      <c r="BJ158" s="29">
        <v>810</v>
      </c>
      <c r="BK158" s="29">
        <v>51.33</v>
      </c>
      <c r="BL158" s="24">
        <v>3000</v>
      </c>
      <c r="BM158" s="25"/>
      <c r="BN158" s="179">
        <f>BV162/BV163</f>
        <v>517.03821478667453</v>
      </c>
      <c r="BO158" s="24" t="s">
        <v>454</v>
      </c>
      <c r="BP158" s="179">
        <f>$BY$159/SUM($BY$158:$BY$159)*C64</f>
        <v>1.799571044055021</v>
      </c>
      <c r="BQ158" s="29" t="s">
        <v>455</v>
      </c>
      <c r="BR158" s="29" t="s">
        <v>456</v>
      </c>
      <c r="BS158" s="29" t="s">
        <v>457</v>
      </c>
      <c r="BT158" s="14"/>
      <c r="BU158" s="30" t="s">
        <v>458</v>
      </c>
      <c r="BV158" s="31">
        <f>BP157</f>
        <v>52.200428955944986</v>
      </c>
      <c r="BW158" s="14" t="s">
        <v>436</v>
      </c>
      <c r="BX158" s="181" t="s">
        <v>459</v>
      </c>
      <c r="BY158" s="178">
        <f>INDEX($BJ$156:$BJ$161,MATCH($C$57,$BI$156:$BI$161,0))*$C$62</f>
        <v>1385377.02</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6"/>
        <v>115.57</v>
      </c>
      <c r="BC159" s="24" t="s">
        <v>436</v>
      </c>
      <c r="BD159" s="24">
        <f t="shared" si="38"/>
        <v>15.319999999999993</v>
      </c>
      <c r="BE159" s="24"/>
      <c r="BF159" s="24">
        <f t="shared" si="37"/>
        <v>115.57</v>
      </c>
      <c r="BG159" s="24">
        <f t="shared" si="33"/>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47759.844509999995</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6"/>
        <v>130.9</v>
      </c>
      <c r="BC160" s="24" t="s">
        <v>436</v>
      </c>
      <c r="BD160" s="24">
        <f t="shared" si="38"/>
        <v>15.330000000000013</v>
      </c>
      <c r="BE160" s="24"/>
      <c r="BF160" s="24">
        <f t="shared" si="37"/>
        <v>130.9</v>
      </c>
      <c r="BG160" s="24">
        <f t="shared" si="33"/>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50.216364013547661</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6"/>
        <v>146.22999999999999</v>
      </c>
      <c r="BC161" s="24" t="s">
        <v>436</v>
      </c>
      <c r="BD161" s="24">
        <f t="shared" si="38"/>
        <v>15.329999999999984</v>
      </c>
      <c r="BE161" s="24"/>
      <c r="BF161" s="24">
        <f t="shared" si="37"/>
        <v>146.22999999999999</v>
      </c>
      <c r="BG161" s="24">
        <f t="shared" si="33"/>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1710.3420000000001</v>
      </c>
      <c r="BW161" s="14" t="s">
        <v>311</v>
      </c>
      <c r="BX161" s="14"/>
      <c r="BY161" s="14"/>
      <c r="BZ161" s="38">
        <f>5-(0.5*(C64-CE177)/(CE176-CE177))</f>
        <v>5.5084801043705154</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6"/>
        <v>161.56</v>
      </c>
      <c r="BC162" s="24" t="s">
        <v>436</v>
      </c>
      <c r="BD162" s="24">
        <f t="shared" si="38"/>
        <v>15.330000000000013</v>
      </c>
      <c r="BE162" s="24"/>
      <c r="BF162" s="24">
        <f t="shared" si="37"/>
        <v>161.56</v>
      </c>
      <c r="BG162" s="24">
        <f t="shared" si="33"/>
        <v>304.55</v>
      </c>
      <c r="BH162" s="24"/>
      <c r="BI162" s="24"/>
      <c r="BJ162" s="24"/>
      <c r="BK162" s="24"/>
      <c r="BL162" s="24"/>
      <c r="BM162" s="37"/>
      <c r="BN162" s="37"/>
      <c r="BO162" s="37"/>
      <c r="BP162" s="37"/>
      <c r="BQ162" s="29" t="s">
        <v>473</v>
      </c>
      <c r="BR162" s="24"/>
      <c r="BS162" s="24"/>
      <c r="BT162" s="14"/>
      <c r="BU162" s="14" t="s">
        <v>474</v>
      </c>
      <c r="BV162" s="31">
        <f>C63</f>
        <v>930.447</v>
      </c>
      <c r="BW162" s="14" t="s">
        <v>314</v>
      </c>
      <c r="BX162" s="14"/>
      <c r="BY162" s="38">
        <f>C63*BK156</f>
        <v>47759.844509999995</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6"/>
        <v>176.89</v>
      </c>
      <c r="BC163" s="24" t="s">
        <v>436</v>
      </c>
      <c r="BD163" s="24">
        <f t="shared" si="38"/>
        <v>15.329999999999984</v>
      </c>
      <c r="BE163" s="24"/>
      <c r="BF163" s="24">
        <f t="shared" si="37"/>
        <v>176.89</v>
      </c>
      <c r="BG163" s="24">
        <f t="shared" si="33"/>
        <v>333.72</v>
      </c>
      <c r="BH163" s="24"/>
      <c r="BI163" s="24"/>
      <c r="BJ163" s="24"/>
      <c r="BK163" s="24"/>
      <c r="BL163" s="24"/>
      <c r="BM163" s="37"/>
      <c r="BN163" s="37"/>
      <c r="BO163" s="37"/>
      <c r="BP163" s="37"/>
      <c r="BQ163" s="29" t="s">
        <v>475</v>
      </c>
      <c r="BR163" s="24"/>
      <c r="BS163" s="24"/>
      <c r="BT163" s="14"/>
      <c r="BU163" s="14" t="s">
        <v>476</v>
      </c>
      <c r="BV163" s="38">
        <f>BP158</f>
        <v>1.799571044055021</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6"/>
        <v>192.21</v>
      </c>
      <c r="BC164" s="24" t="s">
        <v>436</v>
      </c>
      <c r="BD164" s="24">
        <f t="shared" si="38"/>
        <v>15.320000000000022</v>
      </c>
      <c r="BE164" s="24"/>
      <c r="BF164" s="24">
        <f t="shared" si="37"/>
        <v>192.21</v>
      </c>
      <c r="BG164" s="24">
        <f t="shared" si="33"/>
        <v>362.89</v>
      </c>
      <c r="BH164" s="24"/>
      <c r="BI164" s="24"/>
      <c r="BJ164" s="24"/>
      <c r="BK164" s="24"/>
      <c r="BL164" s="24"/>
      <c r="BM164" s="37"/>
      <c r="BN164" s="37"/>
      <c r="BO164" s="37"/>
      <c r="BP164" s="37"/>
      <c r="BQ164" s="29" t="s">
        <v>478</v>
      </c>
      <c r="BR164" s="24"/>
      <c r="BS164" s="24"/>
      <c r="BT164" s="14"/>
      <c r="BU164" s="14"/>
      <c r="BV164" s="38">
        <f>BV163+BV158</f>
        <v>54.000000000000007</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9">H66</f>
        <v>45838</v>
      </c>
      <c r="I166" s="177">
        <f t="shared" si="39"/>
        <v>46203</v>
      </c>
      <c r="J166" s="177">
        <f t="shared" si="39"/>
        <v>46568</v>
      </c>
      <c r="K166" s="177">
        <f t="shared" si="39"/>
        <v>46934</v>
      </c>
      <c r="L166" s="177">
        <f t="shared" si="39"/>
        <v>47299</v>
      </c>
      <c r="M166" s="177">
        <f t="shared" si="39"/>
        <v>47664</v>
      </c>
      <c r="N166" s="177">
        <f t="shared" si="39"/>
        <v>48029</v>
      </c>
      <c r="O166" s="177">
        <f t="shared" si="39"/>
        <v>48395</v>
      </c>
      <c r="P166" s="177">
        <f t="shared" si="39"/>
        <v>48760</v>
      </c>
      <c r="Q166" s="177">
        <f t="shared" si="39"/>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0">DATE(YEAR(AB166)+1,MONTH(AB166),DAY(AB166))</f>
        <v>46112</v>
      </c>
      <c r="AD166" s="46">
        <f t="shared" si="40"/>
        <v>46477</v>
      </c>
      <c r="AE166" s="46">
        <f t="shared" si="40"/>
        <v>46843</v>
      </c>
      <c r="AF166" s="46">
        <f t="shared" si="40"/>
        <v>47208</v>
      </c>
      <c r="AG166" s="46">
        <f t="shared" si="40"/>
        <v>47573</v>
      </c>
      <c r="AH166" s="46">
        <f t="shared" si="40"/>
        <v>47938</v>
      </c>
      <c r="AI166" s="46">
        <f t="shared" si="40"/>
        <v>48304</v>
      </c>
      <c r="AJ166" s="46">
        <f t="shared" si="40"/>
        <v>48669</v>
      </c>
      <c r="AK166" s="46">
        <f t="shared" si="40"/>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1">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2">IF($E69&lt;G$66,$C69,0)</f>
        <v>0</v>
      </c>
      <c r="H167" s="12">
        <f t="shared" ref="H167:J186" si="43">IF($E69&gt;H$66,0,IF($E69&lt;H$66-365,$C69,0))</f>
        <v>0</v>
      </c>
      <c r="I167" s="12">
        <f t="shared" si="43"/>
        <v>0</v>
      </c>
      <c r="J167" s="12">
        <f t="shared" si="43"/>
        <v>0</v>
      </c>
      <c r="K167" s="12">
        <f t="shared" ref="K167:K209" si="44">IF($E69&lt;K$66,$C69,0)</f>
        <v>0</v>
      </c>
      <c r="L167" s="12">
        <f t="shared" ref="L167:N186" si="45">IF($E69&gt;L$66,0,IF($E69&lt;L$66-365,$C69,0))</f>
        <v>0</v>
      </c>
      <c r="M167" s="12">
        <f t="shared" si="45"/>
        <v>0</v>
      </c>
      <c r="N167" s="12">
        <f t="shared" si="45"/>
        <v>0</v>
      </c>
      <c r="O167" s="12">
        <f t="shared" ref="O167:O209" si="46">IF($E69&lt;O$66,$C69,0)</f>
        <v>0</v>
      </c>
      <c r="P167" s="12">
        <f t="shared" ref="P167:Q186" si="47">IF($E69&gt;P$66,0,IF($E69&lt;P$66-365,$C69,0))</f>
        <v>0</v>
      </c>
      <c r="Q167" s="12">
        <f t="shared" si="47"/>
        <v>0</v>
      </c>
      <c r="T167" s="14"/>
      <c r="U167" s="14"/>
      <c r="V167" s="14"/>
      <c r="W167" s="53">
        <f t="shared" ref="W167:W211" si="48">C68*$BN$160*1000</f>
        <v>0</v>
      </c>
      <c r="X167" s="54" t="e">
        <f t="shared" ref="X167:X211" si="49">-1*F68/W167</f>
        <v>#DIV/0!</v>
      </c>
      <c r="Y167" s="25">
        <f>Z167/$BH$166</f>
        <v>0</v>
      </c>
      <c r="Z167" s="54">
        <f>C68/$BN$157</f>
        <v>0</v>
      </c>
      <c r="AA167" s="54">
        <f t="shared" ref="AA167:AJ182" si="50">IF($E68+365&lt;$C$56,0,IF($E68&lt;$C$56,(($E68+365-$C$56)/365)*(($C68/$BN$157)+($D68/$BN$158)),IF($E68&gt;AA$166,0,IF($E68+365&lt;AA$166,($C68/$BN$157)+($D68/$BN$158),((AA$166-$E68)/365)*(($C68/$BN$157)+($D68/$BN$158))))))</f>
        <v>0</v>
      </c>
      <c r="AB167" s="54">
        <f t="shared" si="50"/>
        <v>0</v>
      </c>
      <c r="AC167" s="54">
        <f>IF($E68+365&lt;$C$56,0,IF($E68&lt;$C$56,(($E68+365-$C$56)/365)*(($C68/$BN$157)+($D68/$BN$158)),IF($E68&gt;AC$166,0,IF($E68+365&lt;AC$166,($C68/$BN$157)+($D68/$BN$158),((AC$166-$E68)/365)*(($C68/$BN$157)+($D68/$BN$158))))))</f>
        <v>0</v>
      </c>
      <c r="AD167" s="54">
        <f t="shared" si="50"/>
        <v>0</v>
      </c>
      <c r="AE167" s="54">
        <f t="shared" si="50"/>
        <v>0</v>
      </c>
      <c r="AF167" s="54">
        <f>IF($E68+365&lt;$C$56,0,IF($E68&lt;$C$56,(($E68+365-$C$56)/365)*(($C68/$BN$157)+($D68/$BN$158)),IF($E68&gt;AF$166,0,IF($E68+365&lt;AF$166,($C68/$BN$157)+($D68/$BN$158),((AF$166-$E68)/365)*(($C68/$BN$157)+($D68/$BN$158))))))</f>
        <v>0</v>
      </c>
      <c r="AG167" s="54">
        <f t="shared" si="50"/>
        <v>0</v>
      </c>
      <c r="AH167" s="54">
        <f t="shared" si="50"/>
        <v>0</v>
      </c>
      <c r="AI167" s="54">
        <f t="shared" si="50"/>
        <v>0</v>
      </c>
      <c r="AJ167" s="54">
        <f t="shared" si="50"/>
        <v>0</v>
      </c>
      <c r="AK167" s="54">
        <f t="shared" ref="AK167" si="51">IF($E68+365&lt;$C$56,0,IF($E68&lt;$C$56,(($E68+365-$C$56)/365)*(($C68/$BN$157)+($D68/$BN$158)),IF($E68&gt;AK$166,0,IF($E68+365&lt;AK$166,($C68/$BN$157)+($D68/$BN$158),((AK$166-$E68)/365)*(($C68/$BN$157)+($D68/$BN$158))))))</f>
        <v>0</v>
      </c>
      <c r="AL167" s="24">
        <f t="shared" ref="AL167:AL213" si="52">IF(G68&lt;&gt;"",C68,0)</f>
        <v>0</v>
      </c>
      <c r="AM167" s="24">
        <f t="shared" ref="AM167:AM213" si="53">IF(G68&lt;&gt;"",D68,0)</f>
        <v>0</v>
      </c>
      <c r="AN167" s="55">
        <f t="shared" ref="AN167:AN213" si="54">IF(W68="Yes",0,F68)</f>
        <v>0</v>
      </c>
      <c r="AO167" s="55">
        <f t="shared" ref="AO167:AO213" si="55">IF(W68="Yes",F68,0)</f>
        <v>0</v>
      </c>
      <c r="AP167" s="24"/>
      <c r="AQ167" s="24"/>
      <c r="AR167" s="24"/>
      <c r="AS167" s="24"/>
      <c r="AT167" s="24"/>
      <c r="AU167" s="24"/>
      <c r="AV167" s="24"/>
      <c r="AW167" s="24"/>
      <c r="AX167" s="24"/>
      <c r="AY167" s="24"/>
      <c r="AZ167" s="24"/>
      <c r="BA167" s="24"/>
      <c r="BB167" s="25"/>
      <c r="BC167" s="24"/>
      <c r="BD167" s="24"/>
      <c r="BE167" s="24">
        <f t="shared" si="41"/>
        <v>84.92</v>
      </c>
      <c r="BF167" s="24" t="s">
        <v>486</v>
      </c>
      <c r="BG167" s="56">
        <f>BV158+($C$64-$BV$158)</f>
        <v>54</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2"/>
        <v>-80</v>
      </c>
      <c r="H168" s="12">
        <f t="shared" si="43"/>
        <v>-80</v>
      </c>
      <c r="I168" s="12">
        <f t="shared" si="43"/>
        <v>-80</v>
      </c>
      <c r="J168" s="12">
        <f t="shared" si="43"/>
        <v>-80</v>
      </c>
      <c r="K168" s="12">
        <f t="shared" si="44"/>
        <v>-80</v>
      </c>
      <c r="L168" s="12">
        <f t="shared" si="45"/>
        <v>-80</v>
      </c>
      <c r="M168" s="12">
        <f t="shared" si="45"/>
        <v>-80</v>
      </c>
      <c r="N168" s="12">
        <f t="shared" si="45"/>
        <v>-80</v>
      </c>
      <c r="O168" s="12">
        <f t="shared" si="46"/>
        <v>-80</v>
      </c>
      <c r="P168" s="12">
        <f t="shared" si="47"/>
        <v>-80</v>
      </c>
      <c r="Q168" s="12">
        <f t="shared" si="47"/>
        <v>-80</v>
      </c>
      <c r="T168" s="57"/>
      <c r="U168" s="57"/>
      <c r="V168" s="57"/>
      <c r="W168" s="53">
        <f t="shared" si="48"/>
        <v>0</v>
      </c>
      <c r="X168" s="54" t="e">
        <f t="shared" si="49"/>
        <v>#DIV/0!</v>
      </c>
      <c r="Y168" s="54">
        <f>Z168/$BH$166</f>
        <v>0</v>
      </c>
      <c r="Z168" s="28">
        <f>($C69/$BN$157)+($D69/$BN$158)</f>
        <v>0</v>
      </c>
      <c r="AA168" s="54">
        <f t="shared" si="50"/>
        <v>0</v>
      </c>
      <c r="AB168" s="54">
        <f>IF($E69+365&lt;$C$56,0,IF($E69&lt;$C$56,(($E69+365-$C$56)/365)*(($C69/$BN$157)+($D69/$BN$158)),IF($E69&gt;AB$166,0,IF($E69+365&lt;AB$166,($C69/$BN$157)+($D69/$BN$158),((AB$166-$E69)/365)*(($C69/$BN$157)+($D69/$BN$158))))))</f>
        <v>0</v>
      </c>
      <c r="AC168" s="54">
        <f>IF($E69+365&lt;$C$56,0,IF($E69&lt;$C$56,(($E69+365-$C$56)/365)*(($C69/$BN$157)+($D69/$BN$158)),IF($E69&gt;AC$166,0,IF($E69+365&lt;AC$166,($C69/$BN$157)+($D69/$BN$158),((AC$166-$E69)/365)*(($C69/$BN$157)+($D69/$BN$158))))))</f>
        <v>0</v>
      </c>
      <c r="AD168" s="54">
        <f>IF($E69+365&lt;$C$56,0,IF($E69&lt;$C$56,(($E69+365-$C$56)/365)*(($C69/$BN$157)+($D69/$BN$158)),IF($E69&gt;AD$166,0,IF($E69+365&lt;AD$166,($C69/$BN$157)+($D69/$BN$158),((AD$166-$E69)/365)*(($C69/$BN$157)+($D69/$BN$158))))))</f>
        <v>0</v>
      </c>
      <c r="AE168" s="54">
        <f t="shared" si="50"/>
        <v>0</v>
      </c>
      <c r="AF168" s="54">
        <f t="shared" si="50"/>
        <v>0</v>
      </c>
      <c r="AG168" s="54">
        <f t="shared" si="50"/>
        <v>0</v>
      </c>
      <c r="AH168" s="54">
        <f t="shared" si="50"/>
        <v>0</v>
      </c>
      <c r="AI168" s="54">
        <f t="shared" si="50"/>
        <v>0</v>
      </c>
      <c r="AJ168" s="54">
        <f t="shared" si="50"/>
        <v>0</v>
      </c>
      <c r="AK168" s="54">
        <f t="shared" ref="AK168" si="56">IF($E69+365&lt;$C$56,0,IF($E69&lt;$C$56,(($E69+365-$C$56)/365)*(($C69/$BN$157)+($D69/$BN$158)),IF($E69&gt;AK$166,0,IF($E69+365&lt;AK$166,($C69/$BN$157)+($D69/$BN$158),((AK$166-$E69)/365)*(($C69/$BN$157)+($D69/$BN$158))))))</f>
        <v>0</v>
      </c>
      <c r="AL168" s="24">
        <f t="shared" si="52"/>
        <v>0</v>
      </c>
      <c r="AM168" s="24">
        <f t="shared" si="53"/>
        <v>0</v>
      </c>
      <c r="AN168" s="55">
        <f t="shared" si="54"/>
        <v>0</v>
      </c>
      <c r="AO168" s="55">
        <f t="shared" si="55"/>
        <v>0</v>
      </c>
      <c r="AP168" s="24"/>
      <c r="AQ168" s="24"/>
      <c r="AR168" s="24"/>
      <c r="AS168" s="24"/>
      <c r="AT168" s="24"/>
      <c r="AU168" s="24"/>
      <c r="AV168" s="24"/>
      <c r="AW168" s="24"/>
      <c r="AX168" s="24"/>
      <c r="AY168" s="24"/>
      <c r="AZ168" s="24"/>
      <c r="BA168" s="24"/>
      <c r="BB168" s="24"/>
      <c r="BC168" s="24"/>
      <c r="BD168" s="24"/>
      <c r="BE168" s="24">
        <f t="shared" si="41"/>
        <v>84.92</v>
      </c>
      <c r="BF168" s="59">
        <f>AB166</f>
        <v>45747</v>
      </c>
      <c r="BG168" s="36">
        <f>(BV158+AB214)+($C$64-$BV$158)</f>
        <v>52.168772247096371</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2"/>
        <v>0</v>
      </c>
      <c r="H169" s="12">
        <f t="shared" si="43"/>
        <v>0</v>
      </c>
      <c r="I169" s="12">
        <f t="shared" si="43"/>
        <v>0</v>
      </c>
      <c r="J169" s="12">
        <f t="shared" si="43"/>
        <v>0</v>
      </c>
      <c r="K169" s="12">
        <f t="shared" si="44"/>
        <v>0</v>
      </c>
      <c r="L169" s="12">
        <f t="shared" si="45"/>
        <v>0</v>
      </c>
      <c r="M169" s="12">
        <f t="shared" si="45"/>
        <v>0</v>
      </c>
      <c r="N169" s="12">
        <f t="shared" si="45"/>
        <v>0</v>
      </c>
      <c r="O169" s="12">
        <f t="shared" si="46"/>
        <v>0</v>
      </c>
      <c r="P169" s="12">
        <f t="shared" si="47"/>
        <v>0</v>
      </c>
      <c r="Q169" s="12">
        <f t="shared" si="47"/>
        <v>0</v>
      </c>
      <c r="T169" s="61"/>
      <c r="U169" s="61"/>
      <c r="V169" s="61"/>
      <c r="W169" s="53">
        <f t="shared" si="48"/>
        <v>-12160</v>
      </c>
      <c r="X169" s="54">
        <f t="shared" si="49"/>
        <v>10.370065789473685</v>
      </c>
      <c r="Y169" s="343">
        <f>Z169/$BH$166</f>
        <v>-0.1592718202134055</v>
      </c>
      <c r="Z169" s="54">
        <f>($C70/$BN$157)+($D70/$BN$158)</f>
        <v>-2.4416370038715058</v>
      </c>
      <c r="AA169" s="54">
        <f t="shared" si="50"/>
        <v>0</v>
      </c>
      <c r="AB169" s="54">
        <f t="shared" si="50"/>
        <v>-2.4416370038715058</v>
      </c>
      <c r="AC169" s="54">
        <f t="shared" si="50"/>
        <v>-2.4416370038715058</v>
      </c>
      <c r="AD169" s="54">
        <f>IF($E70+365&lt;$C$56,0,IF($E70&lt;$C$56,(($E70+365-$C$56)/365)*(($C70/$BN$157)+($D70/$BN$158)),IF($E70&gt;AD$166,0,IF($E70+365&lt;AD$166,($C70/$BN$157)+($D70/$BN$158),((AD$166-$E70)/365)*(($C70/$BN$157)+($D70/$BN$158))))))</f>
        <v>-2.4416370038715058</v>
      </c>
      <c r="AE169" s="54">
        <f t="shared" si="50"/>
        <v>-2.4416370038715058</v>
      </c>
      <c r="AF169" s="54">
        <f t="shared" si="50"/>
        <v>-2.4416370038715058</v>
      </c>
      <c r="AG169" s="54">
        <f t="shared" si="50"/>
        <v>-2.4416370038715058</v>
      </c>
      <c r="AH169" s="54">
        <f t="shared" si="50"/>
        <v>-2.4416370038715058</v>
      </c>
      <c r="AI169" s="54">
        <f t="shared" si="50"/>
        <v>-2.4416370038715058</v>
      </c>
      <c r="AJ169" s="54">
        <f t="shared" si="50"/>
        <v>-2.4416370038715058</v>
      </c>
      <c r="AK169" s="54">
        <f t="shared" ref="AK169" si="57">IF($E70+365&lt;$C$56,0,IF($E70&lt;$C$56,(($E70+365-$C$56)/365)*(($C70/$BN$157)+($D70/$BN$158)),IF($E70&gt;AK$166,0,IF($E70+365&lt;AK$166,($C70/$BN$157)+($D70/$BN$158),((AK$166-$E70)/365)*(($C70/$BN$157)+($D70/$BN$158))))))</f>
        <v>-2.4416370038715058</v>
      </c>
      <c r="AL169" s="24">
        <f t="shared" si="52"/>
        <v>-80</v>
      </c>
      <c r="AM169" s="24">
        <f t="shared" si="53"/>
        <v>0</v>
      </c>
      <c r="AN169" s="55">
        <f t="shared" si="54"/>
        <v>126100</v>
      </c>
      <c r="AO169" s="55">
        <f t="shared" si="55"/>
        <v>0</v>
      </c>
      <c r="AP169" s="24"/>
      <c r="AQ169" s="24"/>
      <c r="AR169" s="24"/>
      <c r="AS169" s="24"/>
      <c r="AT169" s="24"/>
      <c r="AU169" s="24"/>
      <c r="AV169" s="24"/>
      <c r="AW169" s="24"/>
      <c r="AX169" s="24"/>
      <c r="AY169" s="24"/>
      <c r="AZ169" s="24"/>
      <c r="BA169" s="24"/>
      <c r="BB169" s="24"/>
      <c r="BC169" s="24"/>
      <c r="BD169" s="24"/>
      <c r="BE169" s="24">
        <f t="shared" si="41"/>
        <v>84.92</v>
      </c>
      <c r="BF169" s="59">
        <f>BF168+365</f>
        <v>46112</v>
      </c>
      <c r="BG169" s="36">
        <f>BV158+AC214+($C$64-$BV$158)</f>
        <v>52.168772247096371</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8">INDEX(AN156:AR156,MATCH($CE$168,$AN$165:$AR$165,0))</f>
        <v>69.59</v>
      </c>
      <c r="CJ169" s="14">
        <f t="shared" ref="CJ169:CJ177" si="59">INDEX(AU156:AY156,MATCH($CE$168,$AN$165:$AR$165,0))</f>
        <v>129.52000000000001</v>
      </c>
    </row>
    <row r="170" spans="7:88">
      <c r="G170" s="12">
        <f t="shared" si="42"/>
        <v>0</v>
      </c>
      <c r="H170" s="12">
        <f t="shared" si="43"/>
        <v>0</v>
      </c>
      <c r="I170" s="12">
        <f t="shared" si="43"/>
        <v>0</v>
      </c>
      <c r="J170" s="12">
        <f t="shared" si="43"/>
        <v>0</v>
      </c>
      <c r="K170" s="12">
        <f t="shared" si="44"/>
        <v>-200</v>
      </c>
      <c r="L170" s="12">
        <f t="shared" si="45"/>
        <v>-200</v>
      </c>
      <c r="M170" s="12">
        <f t="shared" si="45"/>
        <v>-200</v>
      </c>
      <c r="N170" s="12">
        <f t="shared" si="45"/>
        <v>-200</v>
      </c>
      <c r="O170" s="12">
        <f t="shared" si="46"/>
        <v>-200</v>
      </c>
      <c r="P170" s="12">
        <f t="shared" si="47"/>
        <v>-200</v>
      </c>
      <c r="Q170" s="12">
        <f t="shared" si="47"/>
        <v>-200</v>
      </c>
      <c r="T170" s="61"/>
      <c r="U170" s="61"/>
      <c r="V170" s="61"/>
      <c r="W170" s="53">
        <f t="shared" si="48"/>
        <v>0</v>
      </c>
      <c r="X170" s="54" t="e">
        <f t="shared" si="49"/>
        <v>#DIV/0!</v>
      </c>
      <c r="Y170" s="25">
        <f t="shared" ref="Y170:Y213" si="60">Z170/$BH$166</f>
        <v>0</v>
      </c>
      <c r="Z170" s="54">
        <f t="shared" ref="Z170:Z213" si="61">($C71/$BN$157)+($D71/$BN$158)</f>
        <v>0</v>
      </c>
      <c r="AA170" s="54">
        <f t="shared" si="50"/>
        <v>0</v>
      </c>
      <c r="AB170" s="54">
        <f t="shared" si="50"/>
        <v>0</v>
      </c>
      <c r="AC170" s="54">
        <f t="shared" si="50"/>
        <v>0</v>
      </c>
      <c r="AD170" s="54">
        <f t="shared" si="50"/>
        <v>0</v>
      </c>
      <c r="AE170" s="54">
        <f t="shared" si="50"/>
        <v>0</v>
      </c>
      <c r="AF170" s="54">
        <f t="shared" si="50"/>
        <v>0</v>
      </c>
      <c r="AG170" s="54">
        <f t="shared" si="50"/>
        <v>0</v>
      </c>
      <c r="AH170" s="54">
        <f t="shared" si="50"/>
        <v>0</v>
      </c>
      <c r="AI170" s="54">
        <f t="shared" si="50"/>
        <v>0</v>
      </c>
      <c r="AJ170" s="54">
        <f t="shared" si="50"/>
        <v>0</v>
      </c>
      <c r="AK170" s="54">
        <f t="shared" ref="AK170" si="62">IF($E71+365&lt;$C$56,0,IF($E71&lt;$C$56,(($E71+365-$C$56)/365)*(($C71/$BN$157)+($D71/$BN$158)),IF($E71&gt;AK$166,0,IF($E71+365&lt;AK$166,($C71/$BN$157)+($D71/$BN$158),((AK$166-$E71)/365)*(($C71/$BN$157)+($D71/$BN$158))))))</f>
        <v>0</v>
      </c>
      <c r="AL170" s="24">
        <f t="shared" si="52"/>
        <v>0</v>
      </c>
      <c r="AM170" s="24">
        <f t="shared" si="53"/>
        <v>0</v>
      </c>
      <c r="AN170" s="55">
        <f t="shared" si="54"/>
        <v>0</v>
      </c>
      <c r="AO170" s="55">
        <f t="shared" si="55"/>
        <v>0</v>
      </c>
      <c r="AP170" s="24"/>
      <c r="AQ170" s="24"/>
      <c r="AR170" s="24"/>
      <c r="AS170" s="24"/>
      <c r="AT170" s="24"/>
      <c r="AU170" s="24"/>
      <c r="AV170" s="24"/>
      <c r="AW170" s="24"/>
      <c r="AX170" s="24"/>
      <c r="AY170" s="24"/>
      <c r="AZ170" s="24"/>
      <c r="BA170" s="24"/>
      <c r="BB170" s="24"/>
      <c r="BC170" s="24"/>
      <c r="BD170" s="24"/>
      <c r="BE170" s="24">
        <f t="shared" si="41"/>
        <v>84.92</v>
      </c>
      <c r="BF170" s="59">
        <f>BF169+365</f>
        <v>46477</v>
      </c>
      <c r="BG170" s="36">
        <f>$BV$158+AD214+($C$64-$BV$158)</f>
        <v>52.168772247096371</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8"/>
        <v>84.92</v>
      </c>
      <c r="CJ170" s="14">
        <f t="shared" si="59"/>
        <v>158.69</v>
      </c>
    </row>
    <row r="171" spans="7:88">
      <c r="G171" s="12">
        <f t="shared" si="42"/>
        <v>0</v>
      </c>
      <c r="H171" s="12">
        <f t="shared" si="43"/>
        <v>0</v>
      </c>
      <c r="I171" s="12">
        <f t="shared" si="43"/>
        <v>0</v>
      </c>
      <c r="J171" s="12">
        <f t="shared" si="43"/>
        <v>0</v>
      </c>
      <c r="K171" s="12">
        <f t="shared" si="44"/>
        <v>0</v>
      </c>
      <c r="L171" s="12">
        <f t="shared" si="45"/>
        <v>0</v>
      </c>
      <c r="M171" s="12">
        <f t="shared" si="45"/>
        <v>0</v>
      </c>
      <c r="N171" s="12">
        <f t="shared" si="45"/>
        <v>0</v>
      </c>
      <c r="O171" s="12">
        <f t="shared" si="46"/>
        <v>0</v>
      </c>
      <c r="P171" s="12">
        <f t="shared" si="47"/>
        <v>0</v>
      </c>
      <c r="Q171" s="12">
        <f t="shared" si="47"/>
        <v>0</v>
      </c>
      <c r="T171" s="61"/>
      <c r="U171" s="61"/>
      <c r="V171" s="61"/>
      <c r="W171" s="53">
        <f t="shared" si="48"/>
        <v>-30400</v>
      </c>
      <c r="X171" s="54">
        <f t="shared" si="49"/>
        <v>49.046052631578945</v>
      </c>
      <c r="Y171" s="54">
        <f t="shared" si="60"/>
        <v>-0.39817955053351373</v>
      </c>
      <c r="Z171" s="54">
        <f>($C72/$BN$157)+($D72/$BN$158)</f>
        <v>-6.1040925096787646</v>
      </c>
      <c r="AA171" s="54">
        <f t="shared" si="50"/>
        <v>0</v>
      </c>
      <c r="AB171" s="54">
        <f t="shared" si="50"/>
        <v>0</v>
      </c>
      <c r="AC171" s="54">
        <f t="shared" si="50"/>
        <v>0</v>
      </c>
      <c r="AD171" s="54">
        <f t="shared" si="50"/>
        <v>0</v>
      </c>
      <c r="AE171" s="54">
        <f t="shared" si="50"/>
        <v>-6.1040925096787646</v>
      </c>
      <c r="AF171" s="54">
        <f>IF($E72+365&lt;$C$56,0,IF($E72&lt;$C$56,(($E72+365-$C$56)/365)*(($C72/$BN$157)+($D72/$BN$158)),IF($E72&gt;AF$166,0,IF($E72+365&lt;AF$166,($C72/$BN$157)+($D72/$BN$158),((AF$166-$E72)/365)*(($C72/$BN$157)+($D72/$BN$158))))))</f>
        <v>-6.1040925096787646</v>
      </c>
      <c r="AG171" s="54">
        <f t="shared" si="50"/>
        <v>-6.1040925096787646</v>
      </c>
      <c r="AH171" s="54">
        <f t="shared" si="50"/>
        <v>-6.1040925096787646</v>
      </c>
      <c r="AI171" s="54">
        <f t="shared" si="50"/>
        <v>-6.1040925096787646</v>
      </c>
      <c r="AJ171" s="54">
        <f t="shared" si="50"/>
        <v>-6.1040925096787646</v>
      </c>
      <c r="AK171" s="54">
        <f t="shared" ref="AK171" si="63">IF($E72+365&lt;$C$56,0,IF($E72&lt;$C$56,(($E72+365-$C$56)/365)*(($C72/$BN$157)+($D72/$BN$158)),IF($E72&gt;AK$166,0,IF($E72+365&lt;AK$166,($C72/$BN$157)+($D72/$BN$158),((AK$166-$E72)/365)*(($C72/$BN$157)+($D72/$BN$158))))))</f>
        <v>-6.1040925096787646</v>
      </c>
      <c r="AL171" s="24">
        <f t="shared" si="52"/>
        <v>-200</v>
      </c>
      <c r="AM171" s="24">
        <f t="shared" si="53"/>
        <v>0</v>
      </c>
      <c r="AN171" s="55">
        <f t="shared" si="54"/>
        <v>1491000</v>
      </c>
      <c r="AO171" s="55">
        <f t="shared" si="55"/>
        <v>0</v>
      </c>
      <c r="AP171" s="24"/>
      <c r="AQ171" s="24"/>
      <c r="AR171" s="24"/>
      <c r="AS171" s="24"/>
      <c r="AT171" s="24"/>
      <c r="AU171" s="24"/>
      <c r="AV171" s="24"/>
      <c r="AW171" s="24"/>
      <c r="AX171" s="24"/>
      <c r="AY171" s="24"/>
      <c r="AZ171" s="24"/>
      <c r="BA171" s="24"/>
      <c r="BB171" s="24"/>
      <c r="BC171" s="24"/>
      <c r="BD171" s="24"/>
      <c r="BE171" s="24">
        <f t="shared" si="41"/>
        <v>84.92</v>
      </c>
      <c r="BF171" s="59">
        <f t="shared" ref="BF171:BF176" si="64">BF170+365</f>
        <v>46842</v>
      </c>
      <c r="BG171" s="36">
        <f>$BV$158+AE214+($C$64-$BV$158)</f>
        <v>47.590702864837297</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8"/>
        <v>100.25</v>
      </c>
      <c r="CJ171" s="14">
        <f t="shared" si="59"/>
        <v>187.86</v>
      </c>
    </row>
    <row r="172" spans="7:88">
      <c r="G172" s="12">
        <f t="shared" si="42"/>
        <v>0</v>
      </c>
      <c r="H172" s="12">
        <f t="shared" si="43"/>
        <v>0</v>
      </c>
      <c r="I172" s="12">
        <f t="shared" si="43"/>
        <v>0</v>
      </c>
      <c r="J172" s="12">
        <f t="shared" si="43"/>
        <v>0</v>
      </c>
      <c r="K172" s="12">
        <f t="shared" si="44"/>
        <v>0</v>
      </c>
      <c r="L172" s="12">
        <f t="shared" si="45"/>
        <v>0</v>
      </c>
      <c r="M172" s="12">
        <f t="shared" si="45"/>
        <v>0</v>
      </c>
      <c r="N172" s="12">
        <f t="shared" si="45"/>
        <v>0</v>
      </c>
      <c r="O172" s="12">
        <f t="shared" si="46"/>
        <v>0</v>
      </c>
      <c r="P172" s="12">
        <f t="shared" si="47"/>
        <v>0</v>
      </c>
      <c r="Q172" s="12">
        <f t="shared" si="47"/>
        <v>0</v>
      </c>
      <c r="T172" s="61"/>
      <c r="U172" s="61"/>
      <c r="V172" s="61"/>
      <c r="W172" s="53">
        <f t="shared" si="48"/>
        <v>0</v>
      </c>
      <c r="X172" s="54" t="e">
        <f t="shared" si="49"/>
        <v>#DIV/0!</v>
      </c>
      <c r="Y172" s="25">
        <f>Z172/$BH$166</f>
        <v>0</v>
      </c>
      <c r="Z172" s="54">
        <f t="shared" si="61"/>
        <v>0</v>
      </c>
      <c r="AA172" s="54">
        <f t="shared" si="50"/>
        <v>0</v>
      </c>
      <c r="AB172" s="54">
        <f t="shared" si="50"/>
        <v>0</v>
      </c>
      <c r="AC172" s="54">
        <f t="shared" si="50"/>
        <v>0</v>
      </c>
      <c r="AD172" s="54">
        <f t="shared" si="50"/>
        <v>0</v>
      </c>
      <c r="AE172" s="54">
        <f t="shared" si="50"/>
        <v>0</v>
      </c>
      <c r="AF172" s="54">
        <f t="shared" si="50"/>
        <v>0</v>
      </c>
      <c r="AG172" s="54">
        <f t="shared" si="50"/>
        <v>0</v>
      </c>
      <c r="AH172" s="54">
        <f t="shared" si="50"/>
        <v>0</v>
      </c>
      <c r="AI172" s="54">
        <f t="shared" si="50"/>
        <v>0</v>
      </c>
      <c r="AJ172" s="54">
        <f t="shared" si="50"/>
        <v>0</v>
      </c>
      <c r="AK172" s="54">
        <f t="shared" ref="AK172" si="65">IF($E73+365&lt;$C$56,0,IF($E73&lt;$C$56,(($E73+365-$C$56)/365)*(($C73/$BN$157)+($D73/$BN$158)),IF($E73&gt;AK$166,0,IF($E73+365&lt;AK$166,($C73/$BN$157)+($D73/$BN$158),((AK$166-$E73)/365)*(($C73/$BN$157)+($D73/$BN$158))))))</f>
        <v>0</v>
      </c>
      <c r="AL172" s="24">
        <f t="shared" si="52"/>
        <v>0</v>
      </c>
      <c r="AM172" s="24">
        <f t="shared" si="53"/>
        <v>0</v>
      </c>
      <c r="AN172" s="55">
        <f t="shared" si="54"/>
        <v>0</v>
      </c>
      <c r="AO172" s="55">
        <f t="shared" si="55"/>
        <v>0</v>
      </c>
      <c r="AP172" s="24"/>
      <c r="AQ172" s="24"/>
      <c r="AR172" s="24"/>
      <c r="AS172" s="24"/>
      <c r="AT172" s="24"/>
      <c r="AU172" s="24"/>
      <c r="AV172" s="24"/>
      <c r="AW172" s="24"/>
      <c r="AX172" s="24"/>
      <c r="AY172" s="24"/>
      <c r="AZ172" s="24"/>
      <c r="BA172" s="24"/>
      <c r="BB172" s="24"/>
      <c r="BC172" s="24"/>
      <c r="BD172" s="24"/>
      <c r="BE172" s="24">
        <f t="shared" si="41"/>
        <v>84.92</v>
      </c>
      <c r="BF172" s="59">
        <f t="shared" si="64"/>
        <v>47207</v>
      </c>
      <c r="BG172" s="36">
        <f>$BV$158+AF214+($C$64-$BV$158)</f>
        <v>47.018444192054915</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8"/>
        <v>115.57</v>
      </c>
      <c r="CJ172" s="14">
        <f t="shared" si="59"/>
        <v>217.04</v>
      </c>
    </row>
    <row r="173" spans="7:88">
      <c r="G173" s="12">
        <f t="shared" si="42"/>
        <v>0</v>
      </c>
      <c r="H173" s="12">
        <f t="shared" si="43"/>
        <v>0</v>
      </c>
      <c r="I173" s="12">
        <f t="shared" si="43"/>
        <v>0</v>
      </c>
      <c r="J173" s="12">
        <f t="shared" si="43"/>
        <v>0</v>
      </c>
      <c r="K173" s="12">
        <f t="shared" si="44"/>
        <v>0</v>
      </c>
      <c r="L173" s="12">
        <f t="shared" si="45"/>
        <v>0</v>
      </c>
      <c r="M173" s="12">
        <f t="shared" si="45"/>
        <v>0</v>
      </c>
      <c r="N173" s="12">
        <f t="shared" si="45"/>
        <v>0</v>
      </c>
      <c r="O173" s="12">
        <f t="shared" si="46"/>
        <v>-40</v>
      </c>
      <c r="P173" s="12">
        <f t="shared" si="47"/>
        <v>-40</v>
      </c>
      <c r="Q173" s="12">
        <f t="shared" si="47"/>
        <v>-40</v>
      </c>
      <c r="T173" s="61"/>
      <c r="U173" s="61"/>
      <c r="V173" s="61"/>
      <c r="W173" s="53">
        <f t="shared" si="48"/>
        <v>0</v>
      </c>
      <c r="X173" s="54" t="e">
        <f t="shared" si="49"/>
        <v>#DIV/0!</v>
      </c>
      <c r="Y173" s="25">
        <f t="shared" si="60"/>
        <v>0</v>
      </c>
      <c r="Z173" s="54">
        <f t="shared" si="61"/>
        <v>0</v>
      </c>
      <c r="AA173" s="54">
        <f t="shared" si="50"/>
        <v>0</v>
      </c>
      <c r="AB173" s="54">
        <f t="shared" si="50"/>
        <v>0</v>
      </c>
      <c r="AC173" s="54">
        <f t="shared" si="50"/>
        <v>0</v>
      </c>
      <c r="AD173" s="54">
        <f t="shared" si="50"/>
        <v>0</v>
      </c>
      <c r="AE173" s="54">
        <f t="shared" si="50"/>
        <v>0</v>
      </c>
      <c r="AF173" s="54">
        <f t="shared" si="50"/>
        <v>0</v>
      </c>
      <c r="AG173" s="54">
        <f t="shared" si="50"/>
        <v>0</v>
      </c>
      <c r="AH173" s="54">
        <f t="shared" si="50"/>
        <v>0</v>
      </c>
      <c r="AI173" s="54">
        <f t="shared" si="50"/>
        <v>0</v>
      </c>
      <c r="AJ173" s="54">
        <f t="shared" si="50"/>
        <v>0</v>
      </c>
      <c r="AK173" s="54">
        <f t="shared" ref="AK173" si="66">IF($E74+365&lt;$C$56,0,IF($E74&lt;$C$56,(($E74+365-$C$56)/365)*(($C74/$BN$157)+($D74/$BN$158)),IF($E74&gt;AK$166,0,IF($E74+365&lt;AK$166,($C74/$BN$157)+($D74/$BN$158),((AK$166-$E74)/365)*(($C74/$BN$157)+($D74/$BN$158))))))</f>
        <v>0</v>
      </c>
      <c r="AL173" s="24">
        <f t="shared" si="52"/>
        <v>0</v>
      </c>
      <c r="AM173" s="24">
        <f t="shared" si="53"/>
        <v>0</v>
      </c>
      <c r="AN173" s="55">
        <f t="shared" si="54"/>
        <v>0</v>
      </c>
      <c r="AO173" s="55">
        <f t="shared" si="55"/>
        <v>0</v>
      </c>
      <c r="AP173" s="24"/>
      <c r="AQ173" s="24"/>
      <c r="AR173" s="24"/>
      <c r="AS173" s="24"/>
      <c r="AT173" s="24"/>
      <c r="AU173" s="24"/>
      <c r="AV173" s="24"/>
      <c r="AW173" s="24"/>
      <c r="AX173" s="24"/>
      <c r="AY173" s="24"/>
      <c r="AZ173" s="24"/>
      <c r="BA173" s="24"/>
      <c r="BB173" s="24"/>
      <c r="BC173" s="24"/>
      <c r="BD173" s="24"/>
      <c r="BE173" s="24">
        <f t="shared" si="41"/>
        <v>84.92</v>
      </c>
      <c r="BF173" s="59">
        <f t="shared" si="64"/>
        <v>47572</v>
      </c>
      <c r="BG173" s="36">
        <f>$BV$158+AG214+($C$64-$BV$158)</f>
        <v>47.018444192054915</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8"/>
        <v>130.9</v>
      </c>
      <c r="CJ173" s="14">
        <f t="shared" si="59"/>
        <v>246.21</v>
      </c>
    </row>
    <row r="174" spans="7:88">
      <c r="G174" s="12">
        <f t="shared" si="42"/>
        <v>0</v>
      </c>
      <c r="H174" s="12">
        <f t="shared" si="43"/>
        <v>0</v>
      </c>
      <c r="I174" s="12">
        <f t="shared" si="43"/>
        <v>0</v>
      </c>
      <c r="J174" s="12">
        <f t="shared" si="43"/>
        <v>0</v>
      </c>
      <c r="K174" s="12">
        <f t="shared" si="44"/>
        <v>0</v>
      </c>
      <c r="L174" s="12">
        <f t="shared" si="45"/>
        <v>0</v>
      </c>
      <c r="M174" s="12">
        <f t="shared" si="45"/>
        <v>0</v>
      </c>
      <c r="N174" s="12">
        <f t="shared" si="45"/>
        <v>20</v>
      </c>
      <c r="O174" s="12">
        <f t="shared" si="46"/>
        <v>20</v>
      </c>
      <c r="P174" s="12">
        <f t="shared" si="47"/>
        <v>20</v>
      </c>
      <c r="Q174" s="12">
        <f t="shared" si="47"/>
        <v>20</v>
      </c>
      <c r="T174" s="61"/>
      <c r="U174" s="61"/>
      <c r="V174" s="61"/>
      <c r="W174" s="53">
        <f t="shared" si="48"/>
        <v>-6080</v>
      </c>
      <c r="X174" s="54">
        <f t="shared" si="49"/>
        <v>380.92105263157896</v>
      </c>
      <c r="Y174" s="25">
        <f t="shared" si="60"/>
        <v>-0.13640967768693957</v>
      </c>
      <c r="Z174" s="54">
        <f t="shared" si="61"/>
        <v>-2.0911603589407832</v>
      </c>
      <c r="AA174" s="54">
        <f t="shared" si="50"/>
        <v>0</v>
      </c>
      <c r="AB174" s="54">
        <f t="shared" si="50"/>
        <v>0</v>
      </c>
      <c r="AC174" s="54">
        <f t="shared" si="50"/>
        <v>0</v>
      </c>
      <c r="AD174" s="54">
        <f t="shared" si="50"/>
        <v>0</v>
      </c>
      <c r="AE174" s="54">
        <f t="shared" si="50"/>
        <v>0</v>
      </c>
      <c r="AF174" s="54">
        <f t="shared" si="50"/>
        <v>0</v>
      </c>
      <c r="AG174" s="54">
        <f t="shared" si="50"/>
        <v>0</v>
      </c>
      <c r="AH174" s="54">
        <f t="shared" si="50"/>
        <v>0</v>
      </c>
      <c r="AI174" s="54">
        <f t="shared" si="50"/>
        <v>-2.0911603589407832</v>
      </c>
      <c r="AJ174" s="54">
        <f t="shared" si="50"/>
        <v>-2.0911603589407832</v>
      </c>
      <c r="AK174" s="54">
        <f t="shared" ref="AK174" si="67">IF($E75+365&lt;$C$56,0,IF($E75&lt;$C$56,(($E75+365-$C$56)/365)*(($C75/$BN$157)+($D75/$BN$158)),IF($E75&gt;AK$166,0,IF($E75+365&lt;AK$166,($C75/$BN$157)+($D75/$BN$158),((AK$166-$E75)/365)*(($C75/$BN$157)+($D75/$BN$158))))))</f>
        <v>-2.0911603589407832</v>
      </c>
      <c r="AL174" s="24">
        <f t="shared" si="52"/>
        <v>-40</v>
      </c>
      <c r="AM174" s="24">
        <f t="shared" si="53"/>
        <v>-450</v>
      </c>
      <c r="AN174" s="55">
        <f t="shared" si="54"/>
        <v>2316000</v>
      </c>
      <c r="AO174" s="55">
        <f t="shared" si="55"/>
        <v>0</v>
      </c>
      <c r="AP174" s="24"/>
      <c r="AQ174" s="24"/>
      <c r="AR174" s="24"/>
      <c r="AS174" s="24"/>
      <c r="AT174" s="24"/>
      <c r="AU174" s="24"/>
      <c r="AV174" s="24"/>
      <c r="AW174" s="24"/>
      <c r="AX174" s="24"/>
      <c r="AY174" s="24"/>
      <c r="AZ174" s="24"/>
      <c r="BA174" s="24"/>
      <c r="BB174" s="24"/>
      <c r="BC174" s="24"/>
      <c r="BD174" s="24"/>
      <c r="BE174" s="24">
        <f t="shared" si="41"/>
        <v>84.92</v>
      </c>
      <c r="BF174" s="59">
        <f t="shared" si="64"/>
        <v>47937</v>
      </c>
      <c r="BG174" s="36">
        <f>$BV$158+AH214+($C$64-$BV$158)</f>
        <v>47.273171363646313</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8"/>
        <v>146.22999999999999</v>
      </c>
      <c r="CJ174" s="14">
        <f t="shared" si="59"/>
        <v>275.38</v>
      </c>
    </row>
    <row r="175" spans="7:88">
      <c r="G175" s="12">
        <f t="shared" si="42"/>
        <v>0</v>
      </c>
      <c r="H175" s="12">
        <f t="shared" si="43"/>
        <v>0</v>
      </c>
      <c r="I175" s="12">
        <f t="shared" si="43"/>
        <v>0</v>
      </c>
      <c r="J175" s="12">
        <f t="shared" si="43"/>
        <v>0</v>
      </c>
      <c r="K175" s="12">
        <f t="shared" si="44"/>
        <v>0</v>
      </c>
      <c r="L175" s="12">
        <f t="shared" si="45"/>
        <v>0</v>
      </c>
      <c r="M175" s="12">
        <f t="shared" si="45"/>
        <v>0</v>
      </c>
      <c r="N175" s="12">
        <f t="shared" si="45"/>
        <v>0</v>
      </c>
      <c r="O175" s="12">
        <f t="shared" si="46"/>
        <v>-30</v>
      </c>
      <c r="P175" s="12">
        <f t="shared" si="47"/>
        <v>-30</v>
      </c>
      <c r="Q175" s="12">
        <f t="shared" si="47"/>
        <v>-30</v>
      </c>
      <c r="T175" s="61"/>
      <c r="U175" s="61"/>
      <c r="V175" s="61"/>
      <c r="W175" s="53">
        <f t="shared" si="48"/>
        <v>3040</v>
      </c>
      <c r="X175" s="54">
        <f t="shared" si="49"/>
        <v>-756.57894736842104</v>
      </c>
      <c r="Y175" s="25">
        <f t="shared" si="60"/>
        <v>2.215500513949992E-2</v>
      </c>
      <c r="Z175" s="54">
        <f t="shared" si="61"/>
        <v>0.33963622878853372</v>
      </c>
      <c r="AA175" s="54">
        <f t="shared" si="50"/>
        <v>0</v>
      </c>
      <c r="AB175" s="54">
        <f t="shared" si="50"/>
        <v>0</v>
      </c>
      <c r="AC175" s="54">
        <f t="shared" si="50"/>
        <v>0</v>
      </c>
      <c r="AD175" s="54">
        <f t="shared" si="50"/>
        <v>0</v>
      </c>
      <c r="AE175" s="54">
        <f t="shared" si="50"/>
        <v>0</v>
      </c>
      <c r="AF175" s="54">
        <f t="shared" si="50"/>
        <v>0</v>
      </c>
      <c r="AG175" s="54">
        <f t="shared" si="50"/>
        <v>0</v>
      </c>
      <c r="AH175" s="54">
        <f t="shared" si="50"/>
        <v>0.33963622878853372</v>
      </c>
      <c r="AI175" s="54">
        <f t="shared" si="50"/>
        <v>0.33963622878853372</v>
      </c>
      <c r="AJ175" s="54">
        <f t="shared" si="50"/>
        <v>0.33963622878853372</v>
      </c>
      <c r="AK175" s="54">
        <f t="shared" ref="AK175" si="68">IF($E76+365&lt;$C$56,0,IF($E76&lt;$C$56,(($E76+365-$C$56)/365)*(($C76/$BN$157)+($D76/$BN$158)),IF($E76&gt;AK$166,0,IF($E76+365&lt;AK$166,($C76/$BN$157)+($D76/$BN$158),((AK$166-$E76)/365)*(($C76/$BN$157)+($D76/$BN$158))))))</f>
        <v>0.33963622878853372</v>
      </c>
      <c r="AL175" s="24">
        <f t="shared" si="52"/>
        <v>20</v>
      </c>
      <c r="AM175" s="24">
        <f t="shared" si="53"/>
        <v>-140</v>
      </c>
      <c r="AN175" s="55">
        <f t="shared" si="54"/>
        <v>2300000</v>
      </c>
      <c r="AO175" s="55">
        <f t="shared" si="55"/>
        <v>0</v>
      </c>
      <c r="AP175" s="24"/>
      <c r="AQ175" s="24"/>
      <c r="AR175" s="24"/>
      <c r="AS175" s="24"/>
      <c r="AT175" s="24"/>
      <c r="AU175" s="24"/>
      <c r="AV175" s="24"/>
      <c r="AW175" s="24"/>
      <c r="AX175" s="24"/>
      <c r="AY175" s="24"/>
      <c r="AZ175" s="24"/>
      <c r="BA175" s="24"/>
      <c r="BB175" s="24"/>
      <c r="BC175" s="24"/>
      <c r="BD175" s="24"/>
      <c r="BE175" s="24">
        <f t="shared" si="41"/>
        <v>84.92</v>
      </c>
      <c r="BF175" s="59">
        <f t="shared" si="64"/>
        <v>48302</v>
      </c>
      <c r="BG175" s="36">
        <f>$BV$158+AI214+($C$64-$BV$158)</f>
        <v>45.704801094440725</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8"/>
        <v>161.56</v>
      </c>
      <c r="CJ175" s="14">
        <f t="shared" si="59"/>
        <v>304.55</v>
      </c>
    </row>
    <row r="176" spans="7:88">
      <c r="G176" s="12">
        <f t="shared" si="42"/>
        <v>0</v>
      </c>
      <c r="H176" s="12">
        <f t="shared" si="43"/>
        <v>0</v>
      </c>
      <c r="I176" s="12">
        <f t="shared" si="43"/>
        <v>0</v>
      </c>
      <c r="J176" s="12">
        <f t="shared" si="43"/>
        <v>0</v>
      </c>
      <c r="K176" s="12">
        <f t="shared" si="44"/>
        <v>-25</v>
      </c>
      <c r="L176" s="12">
        <f t="shared" si="45"/>
        <v>-25</v>
      </c>
      <c r="M176" s="12">
        <f t="shared" si="45"/>
        <v>-25</v>
      </c>
      <c r="N176" s="12">
        <f t="shared" si="45"/>
        <v>-25</v>
      </c>
      <c r="O176" s="12">
        <f t="shared" si="46"/>
        <v>-25</v>
      </c>
      <c r="P176" s="12">
        <f t="shared" si="47"/>
        <v>-25</v>
      </c>
      <c r="Q176" s="12">
        <f t="shared" si="47"/>
        <v>-25</v>
      </c>
      <c r="T176" s="61"/>
      <c r="U176" s="61"/>
      <c r="V176" s="61"/>
      <c r="W176" s="53">
        <f t="shared" si="48"/>
        <v>-4560</v>
      </c>
      <c r="X176" s="54">
        <f t="shared" si="49"/>
        <v>17.105263157894736</v>
      </c>
      <c r="Y176" s="25">
        <f t="shared" si="60"/>
        <v>-5.9726932580027051E-2</v>
      </c>
      <c r="Z176" s="54">
        <f t="shared" si="61"/>
        <v>-0.91561387645181458</v>
      </c>
      <c r="AA176" s="54">
        <f t="shared" si="50"/>
        <v>0</v>
      </c>
      <c r="AB176" s="54">
        <f t="shared" si="50"/>
        <v>0</v>
      </c>
      <c r="AC176" s="54">
        <f t="shared" si="50"/>
        <v>0</v>
      </c>
      <c r="AD176" s="54">
        <f t="shared" si="50"/>
        <v>0</v>
      </c>
      <c r="AE176" s="54">
        <f t="shared" si="50"/>
        <v>0</v>
      </c>
      <c r="AF176" s="54">
        <f t="shared" si="50"/>
        <v>0</v>
      </c>
      <c r="AG176" s="54">
        <f t="shared" si="50"/>
        <v>0</v>
      </c>
      <c r="AH176" s="54">
        <f t="shared" si="50"/>
        <v>0</v>
      </c>
      <c r="AI176" s="54">
        <f t="shared" si="50"/>
        <v>0</v>
      </c>
      <c r="AJ176" s="54">
        <f t="shared" si="50"/>
        <v>-0.91561387645181458</v>
      </c>
      <c r="AK176" s="54">
        <f t="shared" ref="AK176" si="69">IF($E77+365&lt;$C$56,0,IF($E77&lt;$C$56,(($E77+365-$C$56)/365)*(($C77/$BN$157)+($D77/$BN$158)),IF($E77&gt;AK$166,0,IF($E77+365&lt;AK$166,($C77/$BN$157)+($D77/$BN$158),((AK$166-$E77)/365)*(($C77/$BN$157)+($D77/$BN$158))))))</f>
        <v>-0.91561387645181458</v>
      </c>
      <c r="AL176" s="24">
        <f t="shared" si="52"/>
        <v>-30</v>
      </c>
      <c r="AM176" s="24">
        <f t="shared" si="53"/>
        <v>0</v>
      </c>
      <c r="AN176" s="55">
        <f t="shared" si="54"/>
        <v>78000</v>
      </c>
      <c r="AO176" s="55">
        <f t="shared" si="55"/>
        <v>0</v>
      </c>
      <c r="AP176" s="24"/>
      <c r="AQ176" s="24"/>
      <c r="AR176" s="24"/>
      <c r="AS176" s="24"/>
      <c r="AT176" s="24"/>
      <c r="AU176" s="24"/>
      <c r="AV176" s="24"/>
      <c r="AW176" s="24"/>
      <c r="AX176" s="24"/>
      <c r="AY176" s="24"/>
      <c r="AZ176" s="24"/>
      <c r="BA176" s="24"/>
      <c r="BB176" s="24"/>
      <c r="BC176" s="24"/>
      <c r="BD176" s="24"/>
      <c r="BE176" s="24">
        <f t="shared" si="41"/>
        <v>84.92</v>
      </c>
      <c r="BF176" s="59">
        <f t="shared" si="64"/>
        <v>48667</v>
      </c>
      <c r="BG176" s="36">
        <f>$BV$158+AJ214+($C$64-$BV$158)</f>
        <v>45.018090687101861</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8"/>
        <v>176.89</v>
      </c>
      <c r="CJ176" s="14">
        <f t="shared" si="59"/>
        <v>333.72</v>
      </c>
    </row>
    <row r="177" spans="7:88">
      <c r="G177" s="12">
        <f t="shared" si="42"/>
        <v>0</v>
      </c>
      <c r="H177" s="12">
        <f t="shared" si="43"/>
        <v>0</v>
      </c>
      <c r="I177" s="12">
        <f t="shared" si="43"/>
        <v>0</v>
      </c>
      <c r="J177" s="12">
        <f t="shared" si="43"/>
        <v>0</v>
      </c>
      <c r="K177" s="12">
        <f t="shared" si="44"/>
        <v>0</v>
      </c>
      <c r="L177" s="12">
        <f t="shared" si="45"/>
        <v>0</v>
      </c>
      <c r="M177" s="12">
        <f t="shared" si="45"/>
        <v>0</v>
      </c>
      <c r="N177" s="12">
        <f t="shared" si="45"/>
        <v>0</v>
      </c>
      <c r="O177" s="12">
        <f t="shared" si="46"/>
        <v>0</v>
      </c>
      <c r="P177" s="12">
        <f t="shared" si="47"/>
        <v>0</v>
      </c>
      <c r="Q177" s="12">
        <f t="shared" si="47"/>
        <v>0</v>
      </c>
      <c r="T177" s="61"/>
      <c r="U177" s="61"/>
      <c r="V177" s="61"/>
      <c r="W177" s="53">
        <f t="shared" si="48"/>
        <v>-3800</v>
      </c>
      <c r="X177" s="54">
        <f t="shared" si="49"/>
        <v>47.368421052631582</v>
      </c>
      <c r="Y177" s="25">
        <f t="shared" si="60"/>
        <v>-4.9772443816689216E-2</v>
      </c>
      <c r="Z177" s="54">
        <f t="shared" si="61"/>
        <v>-0.76301156370984557</v>
      </c>
      <c r="AA177" s="54">
        <f t="shared" si="50"/>
        <v>0</v>
      </c>
      <c r="AB177" s="54">
        <f t="shared" si="50"/>
        <v>0</v>
      </c>
      <c r="AC177" s="54">
        <f t="shared" si="50"/>
        <v>0</v>
      </c>
      <c r="AD177" s="54">
        <f t="shared" si="50"/>
        <v>0</v>
      </c>
      <c r="AE177" s="54">
        <f t="shared" si="50"/>
        <v>0</v>
      </c>
      <c r="AF177" s="54">
        <f t="shared" si="50"/>
        <v>-0.76301156370984557</v>
      </c>
      <c r="AG177" s="54">
        <f t="shared" si="50"/>
        <v>-0.76301156370984557</v>
      </c>
      <c r="AH177" s="54">
        <f t="shared" si="50"/>
        <v>-0.76301156370984557</v>
      </c>
      <c r="AI177" s="54">
        <f t="shared" si="50"/>
        <v>-0.76301156370984557</v>
      </c>
      <c r="AJ177" s="54">
        <f t="shared" si="50"/>
        <v>-0.76301156370984557</v>
      </c>
      <c r="AK177" s="54">
        <f t="shared" ref="AK177" si="70">IF($E78+365&lt;$C$56,0,IF($E78&lt;$C$56,(($E78+365-$C$56)/365)*(($C78/$BN$157)+($D78/$BN$158)),IF($E78&gt;AK$166,0,IF($E78+365&lt;AK$166,($C78/$BN$157)+($D78/$BN$158),((AK$166-$E78)/365)*(($C78/$BN$157)+($D78/$BN$158))))))</f>
        <v>-0.76301156370984557</v>
      </c>
      <c r="AL177" s="24">
        <f t="shared" si="52"/>
        <v>-25</v>
      </c>
      <c r="AM177" s="24">
        <f t="shared" si="53"/>
        <v>0</v>
      </c>
      <c r="AN177" s="55">
        <f t="shared" si="54"/>
        <v>180000</v>
      </c>
      <c r="AO177" s="55">
        <f t="shared" si="55"/>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8"/>
        <v>192.21</v>
      </c>
      <c r="CJ177" s="14">
        <f t="shared" si="59"/>
        <v>362.89</v>
      </c>
    </row>
    <row r="178" spans="7:88">
      <c r="G178" s="12">
        <f t="shared" si="42"/>
        <v>0</v>
      </c>
      <c r="H178" s="12">
        <f t="shared" si="43"/>
        <v>0</v>
      </c>
      <c r="I178" s="12">
        <f t="shared" si="43"/>
        <v>0</v>
      </c>
      <c r="J178" s="12">
        <f t="shared" si="43"/>
        <v>0</v>
      </c>
      <c r="K178" s="12">
        <f t="shared" si="44"/>
        <v>0</v>
      </c>
      <c r="L178" s="12">
        <f t="shared" si="45"/>
        <v>0</v>
      </c>
      <c r="M178" s="12">
        <f t="shared" si="45"/>
        <v>0</v>
      </c>
      <c r="N178" s="12">
        <f t="shared" si="45"/>
        <v>0</v>
      </c>
      <c r="O178" s="12">
        <f t="shared" si="46"/>
        <v>0</v>
      </c>
      <c r="P178" s="12">
        <f t="shared" si="47"/>
        <v>0</v>
      </c>
      <c r="Q178" s="12">
        <f t="shared" si="47"/>
        <v>0</v>
      </c>
      <c r="T178" s="61"/>
      <c r="U178" s="61"/>
      <c r="V178" s="61"/>
      <c r="W178" s="53">
        <f t="shared" si="48"/>
        <v>0</v>
      </c>
      <c r="X178" s="54" t="e">
        <f t="shared" si="49"/>
        <v>#DIV/0!</v>
      </c>
      <c r="Y178" s="25">
        <f t="shared" si="60"/>
        <v>0</v>
      </c>
      <c r="Z178" s="54">
        <f t="shared" si="61"/>
        <v>0</v>
      </c>
      <c r="AA178" s="54">
        <f t="shared" si="50"/>
        <v>0</v>
      </c>
      <c r="AB178" s="54">
        <f t="shared" si="50"/>
        <v>0</v>
      </c>
      <c r="AC178" s="54">
        <f>IF($E79+365&lt;$C$56,0,IF($E79&lt;$C$56,(($E79+365-$C$56)/365)*(($C79/$BN$157)+($D79/$BN$158)),IF($E79&gt;AC$166,0,IF($E79+365&lt;AC$166,($C79/$BN$157)+($D79/$BN$158),((AC$166-$E79)/365)*(($C79/$BN$157)+($D79/$BN$158))))))</f>
        <v>0</v>
      </c>
      <c r="AD178" s="54">
        <f t="shared" si="50"/>
        <v>0</v>
      </c>
      <c r="AE178" s="54">
        <f t="shared" si="50"/>
        <v>0</v>
      </c>
      <c r="AF178" s="54">
        <f t="shared" si="50"/>
        <v>0</v>
      </c>
      <c r="AG178" s="54">
        <f t="shared" si="50"/>
        <v>0</v>
      </c>
      <c r="AH178" s="54">
        <f t="shared" si="50"/>
        <v>0</v>
      </c>
      <c r="AI178" s="54">
        <f t="shared" si="50"/>
        <v>0</v>
      </c>
      <c r="AJ178" s="54">
        <f t="shared" si="50"/>
        <v>0</v>
      </c>
      <c r="AK178" s="54">
        <f t="shared" ref="AK178" si="71">IF($E79+365&lt;$C$56,0,IF($E79&lt;$C$56,(($E79+365-$C$56)/365)*(($C79/$BN$157)+($D79/$BN$158)),IF($E79&gt;AK$166,0,IF($E79+365&lt;AK$166,($C79/$BN$157)+($D79/$BN$158),((AK$166-$E79)/365)*(($C79/$BN$157)+($D79/$BN$158))))))</f>
        <v>0</v>
      </c>
      <c r="AL178" s="24">
        <f t="shared" si="52"/>
        <v>0</v>
      </c>
      <c r="AM178" s="24">
        <f t="shared" si="53"/>
        <v>0</v>
      </c>
      <c r="AN178" s="55">
        <f t="shared" si="54"/>
        <v>0</v>
      </c>
      <c r="AO178" s="55">
        <f t="shared" si="55"/>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2"/>
        <v>0</v>
      </c>
      <c r="H179" s="12">
        <f t="shared" si="43"/>
        <v>0</v>
      </c>
      <c r="I179" s="12">
        <f t="shared" si="43"/>
        <v>0</v>
      </c>
      <c r="J179" s="12">
        <f t="shared" si="43"/>
        <v>0</v>
      </c>
      <c r="K179" s="12">
        <f t="shared" si="44"/>
        <v>0</v>
      </c>
      <c r="L179" s="12">
        <f t="shared" si="45"/>
        <v>0</v>
      </c>
      <c r="M179" s="12">
        <f t="shared" si="45"/>
        <v>0</v>
      </c>
      <c r="N179" s="12">
        <f t="shared" si="45"/>
        <v>0</v>
      </c>
      <c r="O179" s="12">
        <f t="shared" si="46"/>
        <v>0</v>
      </c>
      <c r="P179" s="12">
        <f t="shared" si="47"/>
        <v>0</v>
      </c>
      <c r="Q179" s="12">
        <f t="shared" si="47"/>
        <v>0</v>
      </c>
      <c r="T179" s="61"/>
      <c r="U179" s="61"/>
      <c r="V179" s="61"/>
      <c r="W179" s="53">
        <f t="shared" si="48"/>
        <v>0</v>
      </c>
      <c r="X179" s="54" t="e">
        <f t="shared" si="49"/>
        <v>#DIV/0!</v>
      </c>
      <c r="Y179" s="25">
        <f t="shared" si="60"/>
        <v>0</v>
      </c>
      <c r="Z179" s="54">
        <f t="shared" si="61"/>
        <v>0</v>
      </c>
      <c r="AA179" s="54">
        <f t="shared" si="50"/>
        <v>0</v>
      </c>
      <c r="AB179" s="54">
        <f t="shared" si="50"/>
        <v>0</v>
      </c>
      <c r="AC179" s="54">
        <f t="shared" si="50"/>
        <v>0</v>
      </c>
      <c r="AD179" s="54">
        <f t="shared" si="50"/>
        <v>0</v>
      </c>
      <c r="AE179" s="54">
        <f t="shared" si="50"/>
        <v>0</v>
      </c>
      <c r="AF179" s="54">
        <f t="shared" si="50"/>
        <v>0</v>
      </c>
      <c r="AG179" s="54">
        <f t="shared" si="50"/>
        <v>0</v>
      </c>
      <c r="AH179" s="54">
        <f t="shared" si="50"/>
        <v>0</v>
      </c>
      <c r="AI179" s="54">
        <f t="shared" si="50"/>
        <v>0</v>
      </c>
      <c r="AJ179" s="54">
        <f t="shared" si="50"/>
        <v>0</v>
      </c>
      <c r="AK179" s="54">
        <f t="shared" ref="AK179" si="72">IF($E80+365&lt;$C$56,0,IF($E80&lt;$C$56,(($E80+365-$C$56)/365)*(($C80/$BN$157)+($D80/$BN$158)),IF($E80&gt;AK$166,0,IF($E80+365&lt;AK$166,($C80/$BN$157)+($D80/$BN$158),((AK$166-$E80)/365)*(($C80/$BN$157)+($D80/$BN$158))))))</f>
        <v>0</v>
      </c>
      <c r="AL179" s="24">
        <f t="shared" si="52"/>
        <v>0</v>
      </c>
      <c r="AM179" s="24">
        <f t="shared" si="53"/>
        <v>0</v>
      </c>
      <c r="AN179" s="55">
        <f t="shared" si="54"/>
        <v>0</v>
      </c>
      <c r="AO179" s="55">
        <f t="shared" si="55"/>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2"/>
        <v>0</v>
      </c>
      <c r="H180" s="12">
        <f t="shared" si="43"/>
        <v>0</v>
      </c>
      <c r="I180" s="12">
        <f t="shared" si="43"/>
        <v>0</v>
      </c>
      <c r="J180" s="12">
        <f t="shared" si="43"/>
        <v>0</v>
      </c>
      <c r="K180" s="12">
        <f t="shared" si="44"/>
        <v>0</v>
      </c>
      <c r="L180" s="12">
        <f t="shared" si="45"/>
        <v>0</v>
      </c>
      <c r="M180" s="12">
        <f t="shared" si="45"/>
        <v>0</v>
      </c>
      <c r="N180" s="12">
        <f t="shared" si="45"/>
        <v>0</v>
      </c>
      <c r="O180" s="12">
        <f t="shared" si="46"/>
        <v>0</v>
      </c>
      <c r="P180" s="12">
        <f t="shared" si="47"/>
        <v>0</v>
      </c>
      <c r="Q180" s="12">
        <f t="shared" si="47"/>
        <v>0</v>
      </c>
      <c r="T180" s="61"/>
      <c r="U180" s="61"/>
      <c r="V180" s="61"/>
      <c r="W180" s="53">
        <f t="shared" si="48"/>
        <v>0</v>
      </c>
      <c r="X180" s="54" t="e">
        <f t="shared" si="49"/>
        <v>#DIV/0!</v>
      </c>
      <c r="Y180" s="25">
        <f t="shared" si="60"/>
        <v>0</v>
      </c>
      <c r="Z180" s="54">
        <f t="shared" si="61"/>
        <v>0</v>
      </c>
      <c r="AA180" s="54">
        <f t="shared" si="50"/>
        <v>0</v>
      </c>
      <c r="AB180" s="54">
        <f t="shared" si="50"/>
        <v>0</v>
      </c>
      <c r="AC180" s="54">
        <f t="shared" si="50"/>
        <v>0</v>
      </c>
      <c r="AD180" s="54">
        <f t="shared" si="50"/>
        <v>0</v>
      </c>
      <c r="AE180" s="54">
        <f t="shared" si="50"/>
        <v>0</v>
      </c>
      <c r="AF180" s="54">
        <f t="shared" si="50"/>
        <v>0</v>
      </c>
      <c r="AG180" s="54">
        <f t="shared" si="50"/>
        <v>0</v>
      </c>
      <c r="AH180" s="54">
        <f t="shared" si="50"/>
        <v>0</v>
      </c>
      <c r="AI180" s="54">
        <f t="shared" si="50"/>
        <v>0</v>
      </c>
      <c r="AJ180" s="54">
        <f t="shared" si="50"/>
        <v>0</v>
      </c>
      <c r="AK180" s="54">
        <f t="shared" ref="AK180" si="73">IF($E81+365&lt;$C$56,0,IF($E81&lt;$C$56,(($E81+365-$C$56)/365)*(($C81/$BN$157)+($D81/$BN$158)),IF($E81&gt;AK$166,0,IF($E81+365&lt;AK$166,($C81/$BN$157)+($D81/$BN$158),((AK$166-$E81)/365)*(($C81/$BN$157)+($D81/$BN$158))))))</f>
        <v>0</v>
      </c>
      <c r="AL180" s="24">
        <f t="shared" si="52"/>
        <v>0</v>
      </c>
      <c r="AM180" s="24">
        <f t="shared" si="53"/>
        <v>0</v>
      </c>
      <c r="AN180" s="55">
        <f t="shared" si="54"/>
        <v>0</v>
      </c>
      <c r="AO180" s="55">
        <f t="shared" si="55"/>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2"/>
        <v>0</v>
      </c>
      <c r="H181" s="12">
        <f t="shared" si="43"/>
        <v>0</v>
      </c>
      <c r="I181" s="12">
        <f t="shared" si="43"/>
        <v>0</v>
      </c>
      <c r="J181" s="12">
        <f t="shared" si="43"/>
        <v>0</v>
      </c>
      <c r="K181" s="12">
        <f t="shared" si="44"/>
        <v>0</v>
      </c>
      <c r="L181" s="12">
        <f t="shared" si="45"/>
        <v>0</v>
      </c>
      <c r="M181" s="12">
        <f t="shared" si="45"/>
        <v>0</v>
      </c>
      <c r="N181" s="12">
        <f t="shared" si="45"/>
        <v>0</v>
      </c>
      <c r="O181" s="12">
        <f t="shared" si="46"/>
        <v>0</v>
      </c>
      <c r="P181" s="12">
        <f t="shared" si="47"/>
        <v>0</v>
      </c>
      <c r="Q181" s="12">
        <f t="shared" si="47"/>
        <v>0</v>
      </c>
      <c r="T181" s="61"/>
      <c r="U181" s="61"/>
      <c r="V181" s="61"/>
      <c r="W181" s="53">
        <f t="shared" si="48"/>
        <v>0</v>
      </c>
      <c r="X181" s="54" t="e">
        <f t="shared" si="49"/>
        <v>#DIV/0!</v>
      </c>
      <c r="Y181" s="25">
        <f t="shared" si="60"/>
        <v>0</v>
      </c>
      <c r="Z181" s="54">
        <f t="shared" si="61"/>
        <v>0</v>
      </c>
      <c r="AA181" s="54">
        <f t="shared" si="50"/>
        <v>0</v>
      </c>
      <c r="AB181" s="54">
        <f t="shared" si="50"/>
        <v>0</v>
      </c>
      <c r="AC181" s="54">
        <f t="shared" si="50"/>
        <v>0</v>
      </c>
      <c r="AD181" s="54">
        <f t="shared" si="50"/>
        <v>0</v>
      </c>
      <c r="AE181" s="54">
        <f t="shared" si="50"/>
        <v>0</v>
      </c>
      <c r="AF181" s="54">
        <f t="shared" si="50"/>
        <v>0</v>
      </c>
      <c r="AG181" s="54">
        <f t="shared" si="50"/>
        <v>0</v>
      </c>
      <c r="AH181" s="54">
        <f t="shared" si="50"/>
        <v>0</v>
      </c>
      <c r="AI181" s="54">
        <f t="shared" si="50"/>
        <v>0</v>
      </c>
      <c r="AJ181" s="54">
        <f t="shared" si="50"/>
        <v>0</v>
      </c>
      <c r="AK181" s="54">
        <f t="shared" ref="AK181" si="74">IF($E82+365&lt;$C$56,0,IF($E82&lt;$C$56,(($E82+365-$C$56)/365)*(($C82/$BN$157)+($D82/$BN$158)),IF($E82&gt;AK$166,0,IF($E82+365&lt;AK$166,($C82/$BN$157)+($D82/$BN$158),((AK$166-$E82)/365)*(($C82/$BN$157)+($D82/$BN$158))))))</f>
        <v>0</v>
      </c>
      <c r="AL181" s="24">
        <f t="shared" si="52"/>
        <v>0</v>
      </c>
      <c r="AM181" s="24">
        <f t="shared" si="53"/>
        <v>0</v>
      </c>
      <c r="AN181" s="55">
        <f t="shared" si="54"/>
        <v>0</v>
      </c>
      <c r="AO181" s="55">
        <f t="shared" si="55"/>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2"/>
        <v>0</v>
      </c>
      <c r="H182" s="12">
        <f t="shared" si="43"/>
        <v>0</v>
      </c>
      <c r="I182" s="12">
        <f t="shared" si="43"/>
        <v>0</v>
      </c>
      <c r="J182" s="12">
        <f t="shared" si="43"/>
        <v>0</v>
      </c>
      <c r="K182" s="12">
        <f t="shared" si="44"/>
        <v>0</v>
      </c>
      <c r="L182" s="12">
        <f t="shared" si="45"/>
        <v>0</v>
      </c>
      <c r="M182" s="12">
        <f t="shared" si="45"/>
        <v>0</v>
      </c>
      <c r="N182" s="12">
        <f t="shared" si="45"/>
        <v>0</v>
      </c>
      <c r="O182" s="12">
        <f t="shared" si="46"/>
        <v>0</v>
      </c>
      <c r="P182" s="12">
        <f t="shared" si="47"/>
        <v>0</v>
      </c>
      <c r="Q182" s="12">
        <f t="shared" si="47"/>
        <v>0</v>
      </c>
      <c r="T182" s="61"/>
      <c r="U182" s="61"/>
      <c r="V182" s="61"/>
      <c r="W182" s="53">
        <f t="shared" si="48"/>
        <v>0</v>
      </c>
      <c r="X182" s="54" t="e">
        <f t="shared" si="49"/>
        <v>#DIV/0!</v>
      </c>
      <c r="Y182" s="25">
        <f t="shared" si="60"/>
        <v>0</v>
      </c>
      <c r="Z182" s="54">
        <f t="shared" si="61"/>
        <v>0</v>
      </c>
      <c r="AA182" s="54">
        <f t="shared" si="50"/>
        <v>0</v>
      </c>
      <c r="AB182" s="54">
        <f t="shared" si="50"/>
        <v>0</v>
      </c>
      <c r="AC182" s="54">
        <f t="shared" si="50"/>
        <v>0</v>
      </c>
      <c r="AD182" s="54">
        <f t="shared" si="50"/>
        <v>0</v>
      </c>
      <c r="AE182" s="54">
        <f t="shared" si="50"/>
        <v>0</v>
      </c>
      <c r="AF182" s="54">
        <f t="shared" si="50"/>
        <v>0</v>
      </c>
      <c r="AG182" s="54">
        <f t="shared" si="50"/>
        <v>0</v>
      </c>
      <c r="AH182" s="54">
        <f t="shared" si="50"/>
        <v>0</v>
      </c>
      <c r="AI182" s="54">
        <f t="shared" si="50"/>
        <v>0</v>
      </c>
      <c r="AJ182" s="54">
        <f t="shared" si="50"/>
        <v>0</v>
      </c>
      <c r="AK182" s="54">
        <f t="shared" ref="AK182" si="75">IF($E83+365&lt;$C$56,0,IF($E83&lt;$C$56,(($E83+365-$C$56)/365)*(($C83/$BN$157)+($D83/$BN$158)),IF($E83&gt;AK$166,0,IF($E83+365&lt;AK$166,($C83/$BN$157)+($D83/$BN$158),((AK$166-$E83)/365)*(($C83/$BN$157)+($D83/$BN$158))))))</f>
        <v>0</v>
      </c>
      <c r="AL182" s="24">
        <f t="shared" si="52"/>
        <v>0</v>
      </c>
      <c r="AM182" s="24">
        <f t="shared" si="53"/>
        <v>0</v>
      </c>
      <c r="AN182" s="55">
        <f t="shared" si="54"/>
        <v>0</v>
      </c>
      <c r="AO182" s="55">
        <f t="shared" si="55"/>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2"/>
        <v>0</v>
      </c>
      <c r="H183" s="12">
        <f t="shared" si="43"/>
        <v>0</v>
      </c>
      <c r="I183" s="12">
        <f t="shared" si="43"/>
        <v>0</v>
      </c>
      <c r="J183" s="12">
        <f t="shared" si="43"/>
        <v>0</v>
      </c>
      <c r="K183" s="12">
        <f t="shared" si="44"/>
        <v>0</v>
      </c>
      <c r="L183" s="12">
        <f t="shared" si="45"/>
        <v>0</v>
      </c>
      <c r="M183" s="12">
        <f t="shared" si="45"/>
        <v>0</v>
      </c>
      <c r="N183" s="12">
        <f t="shared" si="45"/>
        <v>0</v>
      </c>
      <c r="O183" s="12">
        <f t="shared" si="46"/>
        <v>0</v>
      </c>
      <c r="P183" s="12">
        <f t="shared" si="47"/>
        <v>0</v>
      </c>
      <c r="Q183" s="12">
        <f t="shared" si="47"/>
        <v>0</v>
      </c>
      <c r="T183" s="61"/>
      <c r="U183" s="61"/>
      <c r="V183" s="61"/>
      <c r="W183" s="53">
        <f t="shared" si="48"/>
        <v>0</v>
      </c>
      <c r="X183" s="54" t="e">
        <f t="shared" si="49"/>
        <v>#DIV/0!</v>
      </c>
      <c r="Y183" s="25">
        <f t="shared" si="60"/>
        <v>0</v>
      </c>
      <c r="Z183" s="54">
        <f t="shared" si="61"/>
        <v>0</v>
      </c>
      <c r="AA183" s="54">
        <f t="shared" ref="AA183:AJ198" si="76">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ref="AK183" si="77">IF($E84+365&lt;$C$56,0,IF($E84&lt;$C$56,(($E84+365-$C$56)/365)*(($C84/$BN$157)+($D84/$BN$158)),IF($E84&gt;AK$166,0,IF($E84+365&lt;AK$166,($C84/$BN$157)+($D84/$BN$158),((AK$166-$E84)/365)*(($C84/$BN$157)+($D84/$BN$158))))))</f>
        <v>0</v>
      </c>
      <c r="AL183" s="24">
        <f t="shared" si="52"/>
        <v>0</v>
      </c>
      <c r="AM183" s="24">
        <f t="shared" si="53"/>
        <v>0</v>
      </c>
      <c r="AN183" s="55">
        <f t="shared" si="54"/>
        <v>0</v>
      </c>
      <c r="AO183" s="55">
        <f t="shared" si="55"/>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2"/>
        <v>0</v>
      </c>
      <c r="H184" s="12">
        <f t="shared" si="43"/>
        <v>0</v>
      </c>
      <c r="I184" s="12">
        <f t="shared" si="43"/>
        <v>0</v>
      </c>
      <c r="J184" s="12">
        <f t="shared" si="43"/>
        <v>0</v>
      </c>
      <c r="K184" s="12">
        <f t="shared" si="44"/>
        <v>0</v>
      </c>
      <c r="L184" s="12">
        <f t="shared" si="45"/>
        <v>0</v>
      </c>
      <c r="M184" s="12">
        <f t="shared" si="45"/>
        <v>0</v>
      </c>
      <c r="N184" s="12">
        <f t="shared" si="45"/>
        <v>0</v>
      </c>
      <c r="O184" s="12">
        <f t="shared" si="46"/>
        <v>0</v>
      </c>
      <c r="P184" s="12">
        <f t="shared" si="47"/>
        <v>0</v>
      </c>
      <c r="Q184" s="12">
        <f t="shared" si="47"/>
        <v>0</v>
      </c>
      <c r="T184" s="61"/>
      <c r="U184" s="61"/>
      <c r="V184" s="61"/>
      <c r="W184" s="53">
        <f t="shared" si="48"/>
        <v>0</v>
      </c>
      <c r="X184" s="54" t="e">
        <f t="shared" si="49"/>
        <v>#DIV/0!</v>
      </c>
      <c r="Y184" s="25">
        <f t="shared" si="60"/>
        <v>0</v>
      </c>
      <c r="Z184" s="54">
        <f t="shared" si="61"/>
        <v>0</v>
      </c>
      <c r="AA184" s="54">
        <f t="shared" si="76"/>
        <v>0</v>
      </c>
      <c r="AB184" s="54">
        <f t="shared" si="76"/>
        <v>0</v>
      </c>
      <c r="AC184" s="54">
        <f t="shared" si="76"/>
        <v>0</v>
      </c>
      <c r="AD184" s="54">
        <f t="shared" si="76"/>
        <v>0</v>
      </c>
      <c r="AE184" s="54">
        <f t="shared" si="76"/>
        <v>0</v>
      </c>
      <c r="AF184" s="54">
        <f t="shared" si="76"/>
        <v>0</v>
      </c>
      <c r="AG184" s="54">
        <f t="shared" si="76"/>
        <v>0</v>
      </c>
      <c r="AH184" s="54">
        <f t="shared" si="76"/>
        <v>0</v>
      </c>
      <c r="AI184" s="54">
        <f t="shared" si="76"/>
        <v>0</v>
      </c>
      <c r="AJ184" s="54">
        <f t="shared" si="76"/>
        <v>0</v>
      </c>
      <c r="AK184" s="54">
        <f t="shared" ref="AK184" si="78">IF($E85+365&lt;$C$56,0,IF($E85&lt;$C$56,(($E85+365-$C$56)/365)*(($C85/$BN$157)+($D85/$BN$158)),IF($E85&gt;AK$166,0,IF($E85+365&lt;AK$166,($C85/$BN$157)+($D85/$BN$158),((AK$166-$E85)/365)*(($C85/$BN$157)+($D85/$BN$158))))))</f>
        <v>0</v>
      </c>
      <c r="AL184" s="24">
        <f t="shared" si="52"/>
        <v>0</v>
      </c>
      <c r="AM184" s="24">
        <f t="shared" si="53"/>
        <v>0</v>
      </c>
      <c r="AN184" s="55">
        <f t="shared" si="54"/>
        <v>0</v>
      </c>
      <c r="AO184" s="55">
        <f t="shared" si="55"/>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2"/>
        <v>0</v>
      </c>
      <c r="H185" s="12">
        <f t="shared" si="43"/>
        <v>0</v>
      </c>
      <c r="I185" s="12">
        <f t="shared" si="43"/>
        <v>0</v>
      </c>
      <c r="J185" s="12">
        <f t="shared" si="43"/>
        <v>0</v>
      </c>
      <c r="K185" s="12">
        <f t="shared" si="44"/>
        <v>0</v>
      </c>
      <c r="L185" s="12">
        <f t="shared" si="45"/>
        <v>0</v>
      </c>
      <c r="M185" s="12">
        <f t="shared" si="45"/>
        <v>0</v>
      </c>
      <c r="N185" s="12">
        <f t="shared" si="45"/>
        <v>0</v>
      </c>
      <c r="O185" s="12">
        <f t="shared" si="46"/>
        <v>0</v>
      </c>
      <c r="P185" s="12">
        <f t="shared" si="47"/>
        <v>0</v>
      </c>
      <c r="Q185" s="12">
        <f t="shared" si="47"/>
        <v>0</v>
      </c>
      <c r="T185" s="61"/>
      <c r="U185" s="61"/>
      <c r="V185" s="61"/>
      <c r="W185" s="53">
        <f t="shared" si="48"/>
        <v>0</v>
      </c>
      <c r="X185" s="54" t="e">
        <f t="shared" si="49"/>
        <v>#DIV/0!</v>
      </c>
      <c r="Y185" s="25">
        <f t="shared" si="60"/>
        <v>0</v>
      </c>
      <c r="Z185" s="54">
        <f t="shared" si="61"/>
        <v>0</v>
      </c>
      <c r="AA185" s="54">
        <f t="shared" si="76"/>
        <v>0</v>
      </c>
      <c r="AB185" s="54">
        <f t="shared" si="76"/>
        <v>0</v>
      </c>
      <c r="AC185" s="54">
        <f t="shared" si="76"/>
        <v>0</v>
      </c>
      <c r="AD185" s="54">
        <f t="shared" si="76"/>
        <v>0</v>
      </c>
      <c r="AE185" s="54">
        <f t="shared" si="76"/>
        <v>0</v>
      </c>
      <c r="AF185" s="54">
        <f t="shared" si="76"/>
        <v>0</v>
      </c>
      <c r="AG185" s="54">
        <f t="shared" si="76"/>
        <v>0</v>
      </c>
      <c r="AH185" s="54">
        <f t="shared" si="76"/>
        <v>0</v>
      </c>
      <c r="AI185" s="54">
        <f t="shared" si="76"/>
        <v>0</v>
      </c>
      <c r="AJ185" s="54">
        <f t="shared" si="76"/>
        <v>0</v>
      </c>
      <c r="AK185" s="54">
        <f t="shared" ref="AK185" si="79">IF($E86+365&lt;$C$56,0,IF($E86&lt;$C$56,(($E86+365-$C$56)/365)*(($C86/$BN$157)+($D86/$BN$158)),IF($E86&gt;AK$166,0,IF($E86+365&lt;AK$166,($C86/$BN$157)+($D86/$BN$158),((AK$166-$E86)/365)*(($C86/$BN$157)+($D86/$BN$158))))))</f>
        <v>0</v>
      </c>
      <c r="AL185" s="24">
        <f t="shared" si="52"/>
        <v>0</v>
      </c>
      <c r="AM185" s="24">
        <f t="shared" si="53"/>
        <v>0</v>
      </c>
      <c r="AN185" s="55">
        <f t="shared" si="54"/>
        <v>0</v>
      </c>
      <c r="AO185" s="55">
        <f t="shared" si="55"/>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2"/>
        <v>0</v>
      </c>
      <c r="H186" s="12">
        <f t="shared" si="43"/>
        <v>0</v>
      </c>
      <c r="I186" s="12">
        <f t="shared" si="43"/>
        <v>0</v>
      </c>
      <c r="J186" s="12">
        <f t="shared" si="43"/>
        <v>0</v>
      </c>
      <c r="K186" s="12">
        <f t="shared" si="44"/>
        <v>0</v>
      </c>
      <c r="L186" s="12">
        <f t="shared" si="45"/>
        <v>0</v>
      </c>
      <c r="M186" s="12">
        <f t="shared" si="45"/>
        <v>0</v>
      </c>
      <c r="N186" s="12">
        <f t="shared" si="45"/>
        <v>0</v>
      </c>
      <c r="O186" s="12">
        <f t="shared" si="46"/>
        <v>0</v>
      </c>
      <c r="P186" s="12">
        <f t="shared" si="47"/>
        <v>0</v>
      </c>
      <c r="Q186" s="12">
        <f t="shared" si="47"/>
        <v>0</v>
      </c>
      <c r="T186" s="61"/>
      <c r="U186" s="61"/>
      <c r="V186" s="61"/>
      <c r="W186" s="53">
        <f t="shared" si="48"/>
        <v>0</v>
      </c>
      <c r="X186" s="54" t="e">
        <f t="shared" si="49"/>
        <v>#DIV/0!</v>
      </c>
      <c r="Y186" s="25">
        <f t="shared" si="60"/>
        <v>0</v>
      </c>
      <c r="Z186" s="54">
        <f t="shared" si="61"/>
        <v>0</v>
      </c>
      <c r="AA186" s="54">
        <f t="shared" si="76"/>
        <v>0</v>
      </c>
      <c r="AB186" s="54">
        <f t="shared" si="76"/>
        <v>0</v>
      </c>
      <c r="AC186" s="54">
        <f t="shared" si="76"/>
        <v>0</v>
      </c>
      <c r="AD186" s="54">
        <f t="shared" si="76"/>
        <v>0</v>
      </c>
      <c r="AE186" s="54">
        <f t="shared" si="76"/>
        <v>0</v>
      </c>
      <c r="AF186" s="54">
        <f t="shared" si="76"/>
        <v>0</v>
      </c>
      <c r="AG186" s="54">
        <f t="shared" si="76"/>
        <v>0</v>
      </c>
      <c r="AH186" s="54">
        <f t="shared" si="76"/>
        <v>0</v>
      </c>
      <c r="AI186" s="54">
        <f t="shared" si="76"/>
        <v>0</v>
      </c>
      <c r="AJ186" s="54">
        <f t="shared" si="76"/>
        <v>0</v>
      </c>
      <c r="AK186" s="54">
        <f t="shared" ref="AK186" si="80">IF($E87+365&lt;$C$56,0,IF($E87&lt;$C$56,(($E87+365-$C$56)/365)*(($C87/$BN$157)+($D87/$BN$158)),IF($E87&gt;AK$166,0,IF($E87+365&lt;AK$166,($C87/$BN$157)+($D87/$BN$158),((AK$166-$E87)/365)*(($C87/$BN$157)+($D87/$BN$158))))))</f>
        <v>0</v>
      </c>
      <c r="AL186" s="24">
        <f t="shared" si="52"/>
        <v>0</v>
      </c>
      <c r="AM186" s="24">
        <f t="shared" si="53"/>
        <v>0</v>
      </c>
      <c r="AN186" s="55">
        <f t="shared" si="54"/>
        <v>0</v>
      </c>
      <c r="AO186" s="55">
        <f t="shared" si="55"/>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2"/>
        <v>0</v>
      </c>
      <c r="H187" s="12">
        <f t="shared" ref="H187:J206" si="81">IF($E89&gt;H$66,0,IF($E89&lt;H$66-365,$C89,0))</f>
        <v>0</v>
      </c>
      <c r="I187" s="12">
        <f t="shared" si="81"/>
        <v>0</v>
      </c>
      <c r="J187" s="12">
        <f t="shared" si="81"/>
        <v>0</v>
      </c>
      <c r="K187" s="12">
        <f t="shared" si="44"/>
        <v>0</v>
      </c>
      <c r="L187" s="12">
        <f t="shared" ref="L187:N206" si="82">IF($E89&gt;L$66,0,IF($E89&lt;L$66-365,$C89,0))</f>
        <v>0</v>
      </c>
      <c r="M187" s="12">
        <f t="shared" si="82"/>
        <v>0</v>
      </c>
      <c r="N187" s="12">
        <f t="shared" si="82"/>
        <v>0</v>
      </c>
      <c r="O187" s="12">
        <f t="shared" si="46"/>
        <v>0</v>
      </c>
      <c r="P187" s="12">
        <f t="shared" ref="P187:Q206" si="83">IF($E89&gt;P$66,0,IF($E89&lt;P$66-365,$C89,0))</f>
        <v>0</v>
      </c>
      <c r="Q187" s="12">
        <f t="shared" si="83"/>
        <v>0</v>
      </c>
      <c r="T187" s="61"/>
      <c r="U187" s="61"/>
      <c r="V187" s="61"/>
      <c r="W187" s="53">
        <f t="shared" si="48"/>
        <v>0</v>
      </c>
      <c r="X187" s="54" t="e">
        <f t="shared" si="49"/>
        <v>#DIV/0!</v>
      </c>
      <c r="Y187" s="25">
        <f t="shared" si="60"/>
        <v>0</v>
      </c>
      <c r="Z187" s="54">
        <f t="shared" si="61"/>
        <v>0</v>
      </c>
      <c r="AA187" s="54">
        <f t="shared" si="76"/>
        <v>0</v>
      </c>
      <c r="AB187" s="54">
        <f t="shared" si="76"/>
        <v>0</v>
      </c>
      <c r="AC187" s="54">
        <f t="shared" si="76"/>
        <v>0</v>
      </c>
      <c r="AD187" s="54">
        <f t="shared" si="76"/>
        <v>0</v>
      </c>
      <c r="AE187" s="54">
        <f t="shared" si="76"/>
        <v>0</v>
      </c>
      <c r="AF187" s="54">
        <f t="shared" si="76"/>
        <v>0</v>
      </c>
      <c r="AG187" s="54">
        <f t="shared" si="76"/>
        <v>0</v>
      </c>
      <c r="AH187" s="54">
        <f t="shared" si="76"/>
        <v>0</v>
      </c>
      <c r="AI187" s="54">
        <f t="shared" si="76"/>
        <v>0</v>
      </c>
      <c r="AJ187" s="54">
        <f t="shared" si="76"/>
        <v>0</v>
      </c>
      <c r="AK187" s="54">
        <f t="shared" ref="AK187" si="84">IF($E88+365&lt;$C$56,0,IF($E88&lt;$C$56,(($E88+365-$C$56)/365)*(($C88/$BN$157)+($D88/$BN$158)),IF($E88&gt;AK$166,0,IF($E88+365&lt;AK$166,($C88/$BN$157)+($D88/$BN$158),((AK$166-$E88)/365)*(($C88/$BN$157)+($D88/$BN$158))))))</f>
        <v>0</v>
      </c>
      <c r="AL187" s="24">
        <f t="shared" si="52"/>
        <v>0</v>
      </c>
      <c r="AM187" s="24">
        <f t="shared" si="53"/>
        <v>0</v>
      </c>
      <c r="AN187" s="55">
        <f t="shared" si="54"/>
        <v>0</v>
      </c>
      <c r="AO187" s="55">
        <f t="shared" si="55"/>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2"/>
        <v>0</v>
      </c>
      <c r="H188" s="12">
        <f t="shared" si="81"/>
        <v>0</v>
      </c>
      <c r="I188" s="12">
        <f t="shared" si="81"/>
        <v>0</v>
      </c>
      <c r="J188" s="12">
        <f t="shared" si="81"/>
        <v>0</v>
      </c>
      <c r="K188" s="12">
        <f t="shared" si="44"/>
        <v>0</v>
      </c>
      <c r="L188" s="12">
        <f t="shared" si="82"/>
        <v>0</v>
      </c>
      <c r="M188" s="12">
        <f t="shared" si="82"/>
        <v>0</v>
      </c>
      <c r="N188" s="12">
        <f t="shared" si="82"/>
        <v>0</v>
      </c>
      <c r="O188" s="12">
        <f t="shared" si="46"/>
        <v>0</v>
      </c>
      <c r="P188" s="12">
        <f t="shared" si="83"/>
        <v>0</v>
      </c>
      <c r="Q188" s="12">
        <f t="shared" si="83"/>
        <v>0</v>
      </c>
      <c r="T188" s="61"/>
      <c r="U188" s="61"/>
      <c r="V188" s="61"/>
      <c r="W188" s="53">
        <f t="shared" si="48"/>
        <v>0</v>
      </c>
      <c r="X188" s="54" t="e">
        <f t="shared" si="49"/>
        <v>#DIV/0!</v>
      </c>
      <c r="Y188" s="25">
        <f t="shared" si="60"/>
        <v>0</v>
      </c>
      <c r="Z188" s="54">
        <f t="shared" si="61"/>
        <v>0</v>
      </c>
      <c r="AA188" s="54">
        <f t="shared" si="76"/>
        <v>0</v>
      </c>
      <c r="AB188" s="54">
        <f t="shared" si="76"/>
        <v>0</v>
      </c>
      <c r="AC188" s="54">
        <f t="shared" si="76"/>
        <v>0</v>
      </c>
      <c r="AD188" s="54">
        <f t="shared" si="76"/>
        <v>0</v>
      </c>
      <c r="AE188" s="54">
        <f t="shared" si="76"/>
        <v>0</v>
      </c>
      <c r="AF188" s="54">
        <f t="shared" si="76"/>
        <v>0</v>
      </c>
      <c r="AG188" s="54">
        <f t="shared" si="76"/>
        <v>0</v>
      </c>
      <c r="AH188" s="54">
        <f t="shared" si="76"/>
        <v>0</v>
      </c>
      <c r="AI188" s="54">
        <f t="shared" si="76"/>
        <v>0</v>
      </c>
      <c r="AJ188" s="54">
        <f t="shared" si="76"/>
        <v>0</v>
      </c>
      <c r="AK188" s="54">
        <f t="shared" ref="AK188" si="85">IF($E89+365&lt;$C$56,0,IF($E89&lt;$C$56,(($E89+365-$C$56)/365)*(($C89/$BN$157)+($D89/$BN$158)),IF($E89&gt;AK$166,0,IF($E89+365&lt;AK$166,($C89/$BN$157)+($D89/$BN$158),((AK$166-$E89)/365)*(($C89/$BN$157)+($D89/$BN$158))))))</f>
        <v>0</v>
      </c>
      <c r="AL188" s="24">
        <f t="shared" si="52"/>
        <v>0</v>
      </c>
      <c r="AM188" s="24">
        <f t="shared" si="53"/>
        <v>0</v>
      </c>
      <c r="AN188" s="55">
        <f t="shared" si="54"/>
        <v>0</v>
      </c>
      <c r="AO188" s="55">
        <f t="shared" si="55"/>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2"/>
        <v>0</v>
      </c>
      <c r="H189" s="12">
        <f t="shared" si="81"/>
        <v>0</v>
      </c>
      <c r="I189" s="12">
        <f t="shared" si="81"/>
        <v>0</v>
      </c>
      <c r="J189" s="12">
        <f t="shared" si="81"/>
        <v>0</v>
      </c>
      <c r="K189" s="12">
        <f t="shared" si="44"/>
        <v>0</v>
      </c>
      <c r="L189" s="12">
        <f t="shared" si="82"/>
        <v>0</v>
      </c>
      <c r="M189" s="12">
        <f t="shared" si="82"/>
        <v>0</v>
      </c>
      <c r="N189" s="12">
        <f t="shared" si="82"/>
        <v>0</v>
      </c>
      <c r="O189" s="12">
        <f t="shared" si="46"/>
        <v>0</v>
      </c>
      <c r="P189" s="12">
        <f t="shared" si="83"/>
        <v>0</v>
      </c>
      <c r="Q189" s="12">
        <f t="shared" si="83"/>
        <v>0</v>
      </c>
      <c r="T189" s="61"/>
      <c r="U189" s="61"/>
      <c r="V189" s="61"/>
      <c r="W189" s="53">
        <f t="shared" si="48"/>
        <v>0</v>
      </c>
      <c r="X189" s="54" t="e">
        <f t="shared" si="49"/>
        <v>#DIV/0!</v>
      </c>
      <c r="Y189" s="25">
        <f t="shared" si="60"/>
        <v>0</v>
      </c>
      <c r="Z189" s="54">
        <f t="shared" si="61"/>
        <v>0</v>
      </c>
      <c r="AA189" s="54">
        <f t="shared" si="76"/>
        <v>0</v>
      </c>
      <c r="AB189" s="54">
        <f t="shared" si="76"/>
        <v>0</v>
      </c>
      <c r="AC189" s="54">
        <f t="shared" si="76"/>
        <v>0</v>
      </c>
      <c r="AD189" s="54">
        <f t="shared" si="76"/>
        <v>0</v>
      </c>
      <c r="AE189" s="54">
        <f t="shared" si="76"/>
        <v>0</v>
      </c>
      <c r="AF189" s="54">
        <f t="shared" si="76"/>
        <v>0</v>
      </c>
      <c r="AG189" s="54">
        <f t="shared" si="76"/>
        <v>0</v>
      </c>
      <c r="AH189" s="54">
        <f t="shared" si="76"/>
        <v>0</v>
      </c>
      <c r="AI189" s="54">
        <f t="shared" si="76"/>
        <v>0</v>
      </c>
      <c r="AJ189" s="54">
        <f t="shared" si="76"/>
        <v>0</v>
      </c>
      <c r="AK189" s="54">
        <f t="shared" ref="AK189" si="86">IF($E90+365&lt;$C$56,0,IF($E90&lt;$C$56,(($E90+365-$C$56)/365)*(($C90/$BN$157)+($D90/$BN$158)),IF($E90&gt;AK$166,0,IF($E90+365&lt;AK$166,($C90/$BN$157)+($D90/$BN$158),((AK$166-$E90)/365)*(($C90/$BN$157)+($D90/$BN$158))))))</f>
        <v>0</v>
      </c>
      <c r="AL189" s="24">
        <f t="shared" si="52"/>
        <v>0</v>
      </c>
      <c r="AM189" s="24">
        <f t="shared" si="53"/>
        <v>0</v>
      </c>
      <c r="AN189" s="55">
        <f t="shared" si="54"/>
        <v>0</v>
      </c>
      <c r="AO189" s="55">
        <f t="shared" si="55"/>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2"/>
        <v>0</v>
      </c>
      <c r="H190" s="12">
        <f t="shared" si="81"/>
        <v>0</v>
      </c>
      <c r="I190" s="12">
        <f t="shared" si="81"/>
        <v>0</v>
      </c>
      <c r="J190" s="12">
        <f t="shared" si="81"/>
        <v>0</v>
      </c>
      <c r="K190" s="12">
        <f t="shared" si="44"/>
        <v>0</v>
      </c>
      <c r="L190" s="12">
        <f t="shared" si="82"/>
        <v>0</v>
      </c>
      <c r="M190" s="12">
        <f t="shared" si="82"/>
        <v>0</v>
      </c>
      <c r="N190" s="12">
        <f t="shared" si="82"/>
        <v>0</v>
      </c>
      <c r="O190" s="12">
        <f t="shared" si="46"/>
        <v>0</v>
      </c>
      <c r="P190" s="12">
        <f t="shared" si="83"/>
        <v>0</v>
      </c>
      <c r="Q190" s="12">
        <f t="shared" si="83"/>
        <v>0</v>
      </c>
      <c r="T190" s="61"/>
      <c r="U190" s="61"/>
      <c r="V190" s="61"/>
      <c r="W190" s="53">
        <f t="shared" si="48"/>
        <v>0</v>
      </c>
      <c r="X190" s="54" t="e">
        <f t="shared" si="49"/>
        <v>#DIV/0!</v>
      </c>
      <c r="Y190" s="25">
        <f t="shared" si="60"/>
        <v>0</v>
      </c>
      <c r="Z190" s="54">
        <f t="shared" si="61"/>
        <v>0</v>
      </c>
      <c r="AA190" s="54">
        <f t="shared" si="76"/>
        <v>0</v>
      </c>
      <c r="AB190" s="54">
        <f t="shared" si="76"/>
        <v>0</v>
      </c>
      <c r="AC190" s="54">
        <f t="shared" si="76"/>
        <v>0</v>
      </c>
      <c r="AD190" s="54">
        <f t="shared" si="76"/>
        <v>0</v>
      </c>
      <c r="AE190" s="54">
        <f t="shared" si="76"/>
        <v>0</v>
      </c>
      <c r="AF190" s="54">
        <f t="shared" si="76"/>
        <v>0</v>
      </c>
      <c r="AG190" s="54">
        <f t="shared" si="76"/>
        <v>0</v>
      </c>
      <c r="AH190" s="54">
        <f t="shared" si="76"/>
        <v>0</v>
      </c>
      <c r="AI190" s="54">
        <f t="shared" si="76"/>
        <v>0</v>
      </c>
      <c r="AJ190" s="54">
        <f t="shared" si="76"/>
        <v>0</v>
      </c>
      <c r="AK190" s="54">
        <f t="shared" ref="AK190" si="87">IF($E91+365&lt;$C$56,0,IF($E91&lt;$C$56,(($E91+365-$C$56)/365)*(($C91/$BN$157)+($D91/$BN$158)),IF($E91&gt;AK$166,0,IF($E91+365&lt;AK$166,($C91/$BN$157)+($D91/$BN$158),((AK$166-$E91)/365)*(($C91/$BN$157)+($D91/$BN$158))))))</f>
        <v>0</v>
      </c>
      <c r="AL190" s="24">
        <f t="shared" si="52"/>
        <v>0</v>
      </c>
      <c r="AM190" s="24">
        <f t="shared" si="53"/>
        <v>0</v>
      </c>
      <c r="AN190" s="55">
        <f t="shared" si="54"/>
        <v>0</v>
      </c>
      <c r="AO190" s="55">
        <f t="shared" si="55"/>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2"/>
        <v>0</v>
      </c>
      <c r="H191" s="12">
        <f t="shared" si="81"/>
        <v>0</v>
      </c>
      <c r="I191" s="12">
        <f t="shared" si="81"/>
        <v>0</v>
      </c>
      <c r="J191" s="12">
        <f t="shared" si="81"/>
        <v>0</v>
      </c>
      <c r="K191" s="12">
        <f t="shared" si="44"/>
        <v>0</v>
      </c>
      <c r="L191" s="12">
        <f t="shared" si="82"/>
        <v>0</v>
      </c>
      <c r="M191" s="12">
        <f t="shared" si="82"/>
        <v>0</v>
      </c>
      <c r="N191" s="12">
        <f t="shared" si="82"/>
        <v>0</v>
      </c>
      <c r="O191" s="12">
        <f t="shared" si="46"/>
        <v>0</v>
      </c>
      <c r="P191" s="12">
        <f t="shared" si="83"/>
        <v>0</v>
      </c>
      <c r="Q191" s="12">
        <f t="shared" si="83"/>
        <v>0</v>
      </c>
      <c r="T191" s="61"/>
      <c r="U191" s="61"/>
      <c r="V191" s="61"/>
      <c r="W191" s="53">
        <f t="shared" si="48"/>
        <v>0</v>
      </c>
      <c r="X191" s="54" t="e">
        <f t="shared" si="49"/>
        <v>#DIV/0!</v>
      </c>
      <c r="Y191" s="25">
        <f t="shared" si="60"/>
        <v>0</v>
      </c>
      <c r="Z191" s="54">
        <f t="shared" si="61"/>
        <v>0</v>
      </c>
      <c r="AA191" s="54">
        <f t="shared" si="76"/>
        <v>0</v>
      </c>
      <c r="AB191" s="54">
        <f t="shared" si="76"/>
        <v>0</v>
      </c>
      <c r="AC191" s="54">
        <f t="shared" si="76"/>
        <v>0</v>
      </c>
      <c r="AD191" s="54">
        <f t="shared" si="76"/>
        <v>0</v>
      </c>
      <c r="AE191" s="54">
        <f t="shared" si="76"/>
        <v>0</v>
      </c>
      <c r="AF191" s="54">
        <f t="shared" si="76"/>
        <v>0</v>
      </c>
      <c r="AG191" s="54">
        <f t="shared" si="76"/>
        <v>0</v>
      </c>
      <c r="AH191" s="54">
        <f t="shared" si="76"/>
        <v>0</v>
      </c>
      <c r="AI191" s="54">
        <f t="shared" si="76"/>
        <v>0</v>
      </c>
      <c r="AJ191" s="54">
        <f t="shared" si="76"/>
        <v>0</v>
      </c>
      <c r="AK191" s="54">
        <f t="shared" ref="AK191" si="88">IF($E92+365&lt;$C$56,0,IF($E92&lt;$C$56,(($E92+365-$C$56)/365)*(($C92/$BN$157)+($D92/$BN$158)),IF($E92&gt;AK$166,0,IF($E92+365&lt;AK$166,($C92/$BN$157)+($D92/$BN$158),((AK$166-$E92)/365)*(($C92/$BN$157)+($D92/$BN$158))))))</f>
        <v>0</v>
      </c>
      <c r="AL191" s="24">
        <f t="shared" si="52"/>
        <v>0</v>
      </c>
      <c r="AM191" s="24">
        <f t="shared" si="53"/>
        <v>0</v>
      </c>
      <c r="AN191" s="55">
        <f t="shared" si="54"/>
        <v>0</v>
      </c>
      <c r="AO191" s="55">
        <f t="shared" si="55"/>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2"/>
        <v>0</v>
      </c>
      <c r="H192" s="12">
        <f t="shared" si="81"/>
        <v>0</v>
      </c>
      <c r="I192" s="12">
        <f t="shared" si="81"/>
        <v>0</v>
      </c>
      <c r="J192" s="12">
        <f t="shared" si="81"/>
        <v>0</v>
      </c>
      <c r="K192" s="12">
        <f t="shared" si="44"/>
        <v>0</v>
      </c>
      <c r="L192" s="12">
        <f t="shared" si="82"/>
        <v>0</v>
      </c>
      <c r="M192" s="12">
        <f t="shared" si="82"/>
        <v>0</v>
      </c>
      <c r="N192" s="12">
        <f t="shared" si="82"/>
        <v>0</v>
      </c>
      <c r="O192" s="12">
        <f t="shared" si="46"/>
        <v>0</v>
      </c>
      <c r="P192" s="12">
        <f t="shared" si="83"/>
        <v>0</v>
      </c>
      <c r="Q192" s="12">
        <f t="shared" si="83"/>
        <v>0</v>
      </c>
      <c r="T192" s="61"/>
      <c r="U192" s="61"/>
      <c r="V192" s="61"/>
      <c r="W192" s="53">
        <f t="shared" si="48"/>
        <v>0</v>
      </c>
      <c r="X192" s="54" t="e">
        <f t="shared" si="49"/>
        <v>#DIV/0!</v>
      </c>
      <c r="Y192" s="25">
        <f t="shared" si="60"/>
        <v>0</v>
      </c>
      <c r="Z192" s="54">
        <f t="shared" si="61"/>
        <v>0</v>
      </c>
      <c r="AA192" s="54">
        <f t="shared" si="76"/>
        <v>0</v>
      </c>
      <c r="AB192" s="54">
        <f t="shared" si="76"/>
        <v>0</v>
      </c>
      <c r="AC192" s="54">
        <f t="shared" si="76"/>
        <v>0</v>
      </c>
      <c r="AD192" s="54">
        <f t="shared" si="76"/>
        <v>0</v>
      </c>
      <c r="AE192" s="54">
        <f t="shared" si="76"/>
        <v>0</v>
      </c>
      <c r="AF192" s="54">
        <f t="shared" si="76"/>
        <v>0</v>
      </c>
      <c r="AG192" s="54">
        <f t="shared" si="76"/>
        <v>0</v>
      </c>
      <c r="AH192" s="54">
        <f t="shared" si="76"/>
        <v>0</v>
      </c>
      <c r="AI192" s="54">
        <f t="shared" si="76"/>
        <v>0</v>
      </c>
      <c r="AJ192" s="54">
        <f t="shared" si="76"/>
        <v>0</v>
      </c>
      <c r="AK192" s="54">
        <f t="shared" ref="AK192" si="89">IF($E93+365&lt;$C$56,0,IF($E93&lt;$C$56,(($E93+365-$C$56)/365)*(($C93/$BN$157)+($D93/$BN$158)),IF($E93&gt;AK$166,0,IF($E93+365&lt;AK$166,($C93/$BN$157)+($D93/$BN$158),((AK$166-$E93)/365)*(($C93/$BN$157)+($D93/$BN$158))))))</f>
        <v>0</v>
      </c>
      <c r="AL192" s="24">
        <f t="shared" si="52"/>
        <v>0</v>
      </c>
      <c r="AM192" s="24">
        <f t="shared" si="53"/>
        <v>0</v>
      </c>
      <c r="AN192" s="55">
        <f t="shared" si="54"/>
        <v>0</v>
      </c>
      <c r="AO192" s="55">
        <f t="shared" si="55"/>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2"/>
        <v>0</v>
      </c>
      <c r="H193" s="12">
        <f t="shared" si="81"/>
        <v>0</v>
      </c>
      <c r="I193" s="12">
        <f t="shared" si="81"/>
        <v>0</v>
      </c>
      <c r="J193" s="12">
        <f t="shared" si="81"/>
        <v>0</v>
      </c>
      <c r="K193" s="12">
        <f t="shared" si="44"/>
        <v>0</v>
      </c>
      <c r="L193" s="12">
        <f t="shared" si="82"/>
        <v>0</v>
      </c>
      <c r="M193" s="12">
        <f t="shared" si="82"/>
        <v>0</v>
      </c>
      <c r="N193" s="12">
        <f t="shared" si="82"/>
        <v>0</v>
      </c>
      <c r="O193" s="12">
        <f t="shared" si="46"/>
        <v>0</v>
      </c>
      <c r="P193" s="12">
        <f t="shared" si="83"/>
        <v>0</v>
      </c>
      <c r="Q193" s="12">
        <f t="shared" si="83"/>
        <v>0</v>
      </c>
      <c r="T193" s="61"/>
      <c r="U193" s="61"/>
      <c r="V193" s="61"/>
      <c r="W193" s="53">
        <f t="shared" si="48"/>
        <v>0</v>
      </c>
      <c r="X193" s="54" t="e">
        <f t="shared" si="49"/>
        <v>#DIV/0!</v>
      </c>
      <c r="Y193" s="25">
        <f t="shared" si="60"/>
        <v>0</v>
      </c>
      <c r="Z193" s="54">
        <f t="shared" si="61"/>
        <v>0</v>
      </c>
      <c r="AA193" s="54">
        <f t="shared" si="76"/>
        <v>0</v>
      </c>
      <c r="AB193" s="54">
        <f t="shared" si="76"/>
        <v>0</v>
      </c>
      <c r="AC193" s="54">
        <f t="shared" si="76"/>
        <v>0</v>
      </c>
      <c r="AD193" s="54">
        <f t="shared" si="76"/>
        <v>0</v>
      </c>
      <c r="AE193" s="54">
        <f t="shared" si="76"/>
        <v>0</v>
      </c>
      <c r="AF193" s="54">
        <f t="shared" si="76"/>
        <v>0</v>
      </c>
      <c r="AG193" s="54">
        <f t="shared" si="76"/>
        <v>0</v>
      </c>
      <c r="AH193" s="54">
        <f t="shared" si="76"/>
        <v>0</v>
      </c>
      <c r="AI193" s="54">
        <f t="shared" si="76"/>
        <v>0</v>
      </c>
      <c r="AJ193" s="54">
        <f t="shared" si="76"/>
        <v>0</v>
      </c>
      <c r="AK193" s="54">
        <f t="shared" ref="AK193" si="90">IF($E94+365&lt;$C$56,0,IF($E94&lt;$C$56,(($E94+365-$C$56)/365)*(($C94/$BN$157)+($D94/$BN$158)),IF($E94&gt;AK$166,0,IF($E94+365&lt;AK$166,($C94/$BN$157)+($D94/$BN$158),((AK$166-$E94)/365)*(($C94/$BN$157)+($D94/$BN$158))))))</f>
        <v>0</v>
      </c>
      <c r="AL193" s="24">
        <f t="shared" si="52"/>
        <v>0</v>
      </c>
      <c r="AM193" s="24">
        <f t="shared" si="53"/>
        <v>0</v>
      </c>
      <c r="AN193" s="55">
        <f t="shared" si="54"/>
        <v>0</v>
      </c>
      <c r="AO193" s="55">
        <f t="shared" si="55"/>
        <v>0</v>
      </c>
      <c r="AP193" s="24"/>
      <c r="AQ193" s="24"/>
      <c r="AR193" s="24"/>
      <c r="AS193" s="24"/>
      <c r="AT193" s="24"/>
      <c r="AU193" s="24"/>
      <c r="AV193" s="24"/>
      <c r="AW193" s="24"/>
      <c r="AX193" s="24"/>
      <c r="AY193" s="24"/>
    </row>
    <row r="194" spans="7:51">
      <c r="G194" s="12">
        <f t="shared" si="42"/>
        <v>0</v>
      </c>
      <c r="H194" s="12">
        <f t="shared" si="81"/>
        <v>0</v>
      </c>
      <c r="I194" s="12">
        <f t="shared" si="81"/>
        <v>0</v>
      </c>
      <c r="J194" s="12">
        <f t="shared" si="81"/>
        <v>0</v>
      </c>
      <c r="K194" s="12">
        <f t="shared" si="44"/>
        <v>0</v>
      </c>
      <c r="L194" s="12">
        <f t="shared" si="82"/>
        <v>0</v>
      </c>
      <c r="M194" s="12">
        <f t="shared" si="82"/>
        <v>0</v>
      </c>
      <c r="N194" s="12">
        <f t="shared" si="82"/>
        <v>0</v>
      </c>
      <c r="O194" s="12">
        <f t="shared" si="46"/>
        <v>0</v>
      </c>
      <c r="P194" s="12">
        <f t="shared" si="83"/>
        <v>0</v>
      </c>
      <c r="Q194" s="12">
        <f t="shared" si="83"/>
        <v>0</v>
      </c>
      <c r="T194" s="61"/>
      <c r="U194" s="61"/>
      <c r="V194" s="61"/>
      <c r="W194" s="53">
        <f t="shared" si="48"/>
        <v>0</v>
      </c>
      <c r="X194" s="54" t="e">
        <f t="shared" si="49"/>
        <v>#DIV/0!</v>
      </c>
      <c r="Y194" s="25">
        <f t="shared" si="60"/>
        <v>0</v>
      </c>
      <c r="Z194" s="54">
        <f t="shared" si="61"/>
        <v>0</v>
      </c>
      <c r="AA194" s="54">
        <f t="shared" si="76"/>
        <v>0</v>
      </c>
      <c r="AB194" s="54">
        <f t="shared" si="76"/>
        <v>0</v>
      </c>
      <c r="AC194" s="54">
        <f t="shared" si="76"/>
        <v>0</v>
      </c>
      <c r="AD194" s="54">
        <f t="shared" si="76"/>
        <v>0</v>
      </c>
      <c r="AE194" s="54">
        <f t="shared" si="76"/>
        <v>0</v>
      </c>
      <c r="AF194" s="54">
        <f t="shared" si="76"/>
        <v>0</v>
      </c>
      <c r="AG194" s="54">
        <f t="shared" si="76"/>
        <v>0</v>
      </c>
      <c r="AH194" s="54">
        <f t="shared" si="76"/>
        <v>0</v>
      </c>
      <c r="AI194" s="54">
        <f t="shared" si="76"/>
        <v>0</v>
      </c>
      <c r="AJ194" s="54">
        <f t="shared" si="76"/>
        <v>0</v>
      </c>
      <c r="AK194" s="54">
        <f t="shared" ref="AK194" si="91">IF($E95+365&lt;$C$56,0,IF($E95&lt;$C$56,(($E95+365-$C$56)/365)*(($C95/$BN$157)+($D95/$BN$158)),IF($E95&gt;AK$166,0,IF($E95+365&lt;AK$166,($C95/$BN$157)+($D95/$BN$158),((AK$166-$E95)/365)*(($C95/$BN$157)+($D95/$BN$158))))))</f>
        <v>0</v>
      </c>
      <c r="AL194" s="24">
        <f t="shared" si="52"/>
        <v>0</v>
      </c>
      <c r="AM194" s="24">
        <f t="shared" si="53"/>
        <v>0</v>
      </c>
      <c r="AN194" s="55">
        <f t="shared" si="54"/>
        <v>0</v>
      </c>
      <c r="AO194" s="55">
        <f t="shared" si="55"/>
        <v>0</v>
      </c>
      <c r="AP194" s="24"/>
      <c r="AQ194" s="24"/>
      <c r="AR194" s="24"/>
      <c r="AS194" s="24"/>
      <c r="AT194" s="24"/>
      <c r="AU194" s="24"/>
      <c r="AV194" s="24"/>
      <c r="AW194" s="24"/>
      <c r="AX194" s="24"/>
      <c r="AY194" s="24"/>
    </row>
    <row r="195" spans="7:51">
      <c r="G195" s="12">
        <f t="shared" si="42"/>
        <v>0</v>
      </c>
      <c r="H195" s="12">
        <f t="shared" si="81"/>
        <v>0</v>
      </c>
      <c r="I195" s="12">
        <f t="shared" si="81"/>
        <v>0</v>
      </c>
      <c r="J195" s="12">
        <f t="shared" si="81"/>
        <v>0</v>
      </c>
      <c r="K195" s="12">
        <f t="shared" si="44"/>
        <v>0</v>
      </c>
      <c r="L195" s="12">
        <f t="shared" si="82"/>
        <v>0</v>
      </c>
      <c r="M195" s="12">
        <f t="shared" si="82"/>
        <v>0</v>
      </c>
      <c r="N195" s="12">
        <f t="shared" si="82"/>
        <v>0</v>
      </c>
      <c r="O195" s="12">
        <f t="shared" si="46"/>
        <v>0</v>
      </c>
      <c r="P195" s="12">
        <f t="shared" si="83"/>
        <v>0</v>
      </c>
      <c r="Q195" s="12">
        <f t="shared" si="83"/>
        <v>0</v>
      </c>
      <c r="T195" s="61"/>
      <c r="U195" s="61"/>
      <c r="V195" s="61"/>
      <c r="W195" s="53">
        <f t="shared" si="48"/>
        <v>0</v>
      </c>
      <c r="X195" s="54" t="e">
        <f t="shared" si="49"/>
        <v>#DIV/0!</v>
      </c>
      <c r="Y195" s="25">
        <f t="shared" si="60"/>
        <v>0</v>
      </c>
      <c r="Z195" s="54">
        <f t="shared" si="61"/>
        <v>0</v>
      </c>
      <c r="AA195" s="54">
        <f t="shared" si="76"/>
        <v>0</v>
      </c>
      <c r="AB195" s="54">
        <f t="shared" si="76"/>
        <v>0</v>
      </c>
      <c r="AC195" s="54">
        <f t="shared" si="76"/>
        <v>0</v>
      </c>
      <c r="AD195" s="54">
        <f t="shared" si="76"/>
        <v>0</v>
      </c>
      <c r="AE195" s="54">
        <f t="shared" si="76"/>
        <v>0</v>
      </c>
      <c r="AF195" s="54">
        <f t="shared" si="76"/>
        <v>0</v>
      </c>
      <c r="AG195" s="54">
        <f t="shared" si="76"/>
        <v>0</v>
      </c>
      <c r="AH195" s="54">
        <f t="shared" si="76"/>
        <v>0</v>
      </c>
      <c r="AI195" s="54">
        <f t="shared" si="76"/>
        <v>0</v>
      </c>
      <c r="AJ195" s="54">
        <f t="shared" si="76"/>
        <v>0</v>
      </c>
      <c r="AK195" s="54">
        <f t="shared" ref="AK195" si="92">IF($E96+365&lt;$C$56,0,IF($E96&lt;$C$56,(($E96+365-$C$56)/365)*(($C96/$BN$157)+($D96/$BN$158)),IF($E96&gt;AK$166,0,IF($E96+365&lt;AK$166,($C96/$BN$157)+($D96/$BN$158),((AK$166-$E96)/365)*(($C96/$BN$157)+($D96/$BN$158))))))</f>
        <v>0</v>
      </c>
      <c r="AL195" s="24">
        <f t="shared" si="52"/>
        <v>0</v>
      </c>
      <c r="AM195" s="24">
        <f t="shared" si="53"/>
        <v>0</v>
      </c>
      <c r="AN195" s="55">
        <f t="shared" si="54"/>
        <v>0</v>
      </c>
      <c r="AO195" s="55">
        <f t="shared" si="55"/>
        <v>0</v>
      </c>
      <c r="AP195" s="24"/>
      <c r="AQ195" s="24"/>
      <c r="AR195" s="24"/>
      <c r="AS195" s="24"/>
      <c r="AT195" s="24"/>
      <c r="AU195" s="24"/>
      <c r="AV195" s="24"/>
      <c r="AW195" s="24"/>
      <c r="AX195" s="24"/>
      <c r="AY195" s="24"/>
    </row>
    <row r="196" spans="7:51">
      <c r="G196" s="12">
        <f t="shared" si="42"/>
        <v>0</v>
      </c>
      <c r="H196" s="12">
        <f t="shared" si="81"/>
        <v>0</v>
      </c>
      <c r="I196" s="12">
        <f t="shared" si="81"/>
        <v>0</v>
      </c>
      <c r="J196" s="12">
        <f t="shared" si="81"/>
        <v>0</v>
      </c>
      <c r="K196" s="12">
        <f t="shared" si="44"/>
        <v>0</v>
      </c>
      <c r="L196" s="12">
        <f t="shared" si="82"/>
        <v>0</v>
      </c>
      <c r="M196" s="12">
        <f t="shared" si="82"/>
        <v>0</v>
      </c>
      <c r="N196" s="12">
        <f t="shared" si="82"/>
        <v>0</v>
      </c>
      <c r="O196" s="12">
        <f t="shared" si="46"/>
        <v>0</v>
      </c>
      <c r="P196" s="12">
        <f t="shared" si="83"/>
        <v>0</v>
      </c>
      <c r="Q196" s="12">
        <f t="shared" si="83"/>
        <v>0</v>
      </c>
      <c r="T196" s="61"/>
      <c r="U196" s="61"/>
      <c r="V196" s="61"/>
      <c r="W196" s="53">
        <f t="shared" si="48"/>
        <v>0</v>
      </c>
      <c r="X196" s="54" t="e">
        <f t="shared" si="49"/>
        <v>#DIV/0!</v>
      </c>
      <c r="Y196" s="25">
        <f t="shared" si="60"/>
        <v>0</v>
      </c>
      <c r="Z196" s="54">
        <f t="shared" si="61"/>
        <v>0</v>
      </c>
      <c r="AA196" s="54">
        <f t="shared" si="76"/>
        <v>0</v>
      </c>
      <c r="AB196" s="54">
        <f t="shared" si="76"/>
        <v>0</v>
      </c>
      <c r="AC196" s="54">
        <f t="shared" si="76"/>
        <v>0</v>
      </c>
      <c r="AD196" s="54">
        <f t="shared" si="76"/>
        <v>0</v>
      </c>
      <c r="AE196" s="54">
        <f t="shared" si="76"/>
        <v>0</v>
      </c>
      <c r="AF196" s="54">
        <f t="shared" si="76"/>
        <v>0</v>
      </c>
      <c r="AG196" s="54">
        <f t="shared" si="76"/>
        <v>0</v>
      </c>
      <c r="AH196" s="54">
        <f t="shared" si="76"/>
        <v>0</v>
      </c>
      <c r="AI196" s="54">
        <f t="shared" si="76"/>
        <v>0</v>
      </c>
      <c r="AJ196" s="54">
        <f t="shared" si="76"/>
        <v>0</v>
      </c>
      <c r="AK196" s="54">
        <f t="shared" ref="AK196" si="93">IF($E97+365&lt;$C$56,0,IF($E97&lt;$C$56,(($E97+365-$C$56)/365)*(($C97/$BN$157)+($D97/$BN$158)),IF($E97&gt;AK$166,0,IF($E97+365&lt;AK$166,($C97/$BN$157)+($D97/$BN$158),((AK$166-$E97)/365)*(($C97/$BN$157)+($D97/$BN$158))))))</f>
        <v>0</v>
      </c>
      <c r="AL196" s="24">
        <f t="shared" si="52"/>
        <v>0</v>
      </c>
      <c r="AM196" s="24">
        <f t="shared" si="53"/>
        <v>0</v>
      </c>
      <c r="AN196" s="55">
        <f t="shared" si="54"/>
        <v>0</v>
      </c>
      <c r="AO196" s="55">
        <f t="shared" si="55"/>
        <v>0</v>
      </c>
      <c r="AP196" s="24"/>
      <c r="AQ196" s="24"/>
      <c r="AR196" s="24"/>
      <c r="AS196" s="24"/>
      <c r="AT196" s="24"/>
      <c r="AU196" s="24"/>
      <c r="AV196" s="24"/>
      <c r="AW196" s="24"/>
      <c r="AX196" s="24"/>
      <c r="AY196" s="24"/>
    </row>
    <row r="197" spans="7:51">
      <c r="G197" s="12">
        <f t="shared" si="42"/>
        <v>0</v>
      </c>
      <c r="H197" s="12">
        <f t="shared" si="81"/>
        <v>0</v>
      </c>
      <c r="I197" s="12">
        <f t="shared" si="81"/>
        <v>0</v>
      </c>
      <c r="J197" s="12">
        <f t="shared" si="81"/>
        <v>0</v>
      </c>
      <c r="K197" s="12">
        <f t="shared" si="44"/>
        <v>0</v>
      </c>
      <c r="L197" s="12">
        <f t="shared" si="82"/>
        <v>0</v>
      </c>
      <c r="M197" s="12">
        <f t="shared" si="82"/>
        <v>0</v>
      </c>
      <c r="N197" s="12">
        <f t="shared" si="82"/>
        <v>0</v>
      </c>
      <c r="O197" s="12">
        <f t="shared" si="46"/>
        <v>0</v>
      </c>
      <c r="P197" s="12">
        <f t="shared" si="83"/>
        <v>0</v>
      </c>
      <c r="Q197" s="12">
        <f t="shared" si="83"/>
        <v>0</v>
      </c>
      <c r="T197" s="61"/>
      <c r="U197" s="61"/>
      <c r="V197" s="61"/>
      <c r="W197" s="53">
        <f t="shared" si="48"/>
        <v>0</v>
      </c>
      <c r="X197" s="54" t="e">
        <f t="shared" si="49"/>
        <v>#DIV/0!</v>
      </c>
      <c r="Y197" s="25">
        <f t="shared" si="60"/>
        <v>0</v>
      </c>
      <c r="Z197" s="54">
        <f t="shared" si="61"/>
        <v>0</v>
      </c>
      <c r="AA197" s="54">
        <f t="shared" si="76"/>
        <v>0</v>
      </c>
      <c r="AB197" s="54">
        <f t="shared" si="76"/>
        <v>0</v>
      </c>
      <c r="AC197" s="54">
        <f t="shared" si="76"/>
        <v>0</v>
      </c>
      <c r="AD197" s="54">
        <f t="shared" si="76"/>
        <v>0</v>
      </c>
      <c r="AE197" s="54">
        <f t="shared" si="76"/>
        <v>0</v>
      </c>
      <c r="AF197" s="54">
        <f t="shared" si="76"/>
        <v>0</v>
      </c>
      <c r="AG197" s="54">
        <f t="shared" si="76"/>
        <v>0</v>
      </c>
      <c r="AH197" s="54">
        <f t="shared" si="76"/>
        <v>0</v>
      </c>
      <c r="AI197" s="54">
        <f t="shared" si="76"/>
        <v>0</v>
      </c>
      <c r="AJ197" s="54">
        <f t="shared" si="76"/>
        <v>0</v>
      </c>
      <c r="AK197" s="54">
        <f t="shared" ref="AK197" si="94">IF($E98+365&lt;$C$56,0,IF($E98&lt;$C$56,(($E98+365-$C$56)/365)*(($C98/$BN$157)+($D98/$BN$158)),IF($E98&gt;AK$166,0,IF($E98+365&lt;AK$166,($C98/$BN$157)+($D98/$BN$158),((AK$166-$E98)/365)*(($C98/$BN$157)+($D98/$BN$158))))))</f>
        <v>0</v>
      </c>
      <c r="AL197" s="24">
        <f t="shared" si="52"/>
        <v>0</v>
      </c>
      <c r="AM197" s="24">
        <f t="shared" si="53"/>
        <v>0</v>
      </c>
      <c r="AN197" s="55">
        <f t="shared" si="54"/>
        <v>0</v>
      </c>
      <c r="AO197" s="55">
        <f t="shared" si="55"/>
        <v>0</v>
      </c>
      <c r="AP197" s="24"/>
      <c r="AQ197" s="24"/>
      <c r="AR197" s="24"/>
      <c r="AS197" s="24"/>
      <c r="AT197" s="24"/>
      <c r="AU197" s="24"/>
      <c r="AV197" s="24"/>
      <c r="AW197" s="24"/>
      <c r="AX197" s="24"/>
      <c r="AY197" s="24"/>
    </row>
    <row r="198" spans="7:51">
      <c r="G198" s="12">
        <f t="shared" si="42"/>
        <v>0</v>
      </c>
      <c r="H198" s="12">
        <f t="shared" si="81"/>
        <v>0</v>
      </c>
      <c r="I198" s="12">
        <f t="shared" si="81"/>
        <v>0</v>
      </c>
      <c r="J198" s="12">
        <f t="shared" si="81"/>
        <v>0</v>
      </c>
      <c r="K198" s="12">
        <f t="shared" si="44"/>
        <v>0</v>
      </c>
      <c r="L198" s="12">
        <f t="shared" si="82"/>
        <v>0</v>
      </c>
      <c r="M198" s="12">
        <f t="shared" si="82"/>
        <v>0</v>
      </c>
      <c r="N198" s="12">
        <f t="shared" si="82"/>
        <v>0</v>
      </c>
      <c r="O198" s="12">
        <f t="shared" si="46"/>
        <v>0</v>
      </c>
      <c r="P198" s="12">
        <f t="shared" si="83"/>
        <v>0</v>
      </c>
      <c r="Q198" s="12">
        <f t="shared" si="83"/>
        <v>0</v>
      </c>
      <c r="T198" s="61"/>
      <c r="U198" s="61"/>
      <c r="V198" s="61"/>
      <c r="W198" s="53">
        <f t="shared" si="48"/>
        <v>0</v>
      </c>
      <c r="X198" s="54" t="e">
        <f t="shared" si="49"/>
        <v>#DIV/0!</v>
      </c>
      <c r="Y198" s="25">
        <f t="shared" si="60"/>
        <v>0</v>
      </c>
      <c r="Z198" s="54">
        <f t="shared" si="61"/>
        <v>0</v>
      </c>
      <c r="AA198" s="54">
        <f t="shared" si="76"/>
        <v>0</v>
      </c>
      <c r="AB198" s="54">
        <f t="shared" si="76"/>
        <v>0</v>
      </c>
      <c r="AC198" s="54">
        <f t="shared" si="76"/>
        <v>0</v>
      </c>
      <c r="AD198" s="54">
        <f t="shared" si="76"/>
        <v>0</v>
      </c>
      <c r="AE198" s="54">
        <f t="shared" si="76"/>
        <v>0</v>
      </c>
      <c r="AF198" s="54">
        <f t="shared" si="76"/>
        <v>0</v>
      </c>
      <c r="AG198" s="54">
        <f t="shared" si="76"/>
        <v>0</v>
      </c>
      <c r="AH198" s="54">
        <f t="shared" si="76"/>
        <v>0</v>
      </c>
      <c r="AI198" s="54">
        <f t="shared" si="76"/>
        <v>0</v>
      </c>
      <c r="AJ198" s="54">
        <f t="shared" si="76"/>
        <v>0</v>
      </c>
      <c r="AK198" s="54">
        <f t="shared" ref="AK198" si="95">IF($E99+365&lt;$C$56,0,IF($E99&lt;$C$56,(($E99+365-$C$56)/365)*(($C99/$BN$157)+($D99/$BN$158)),IF($E99&gt;AK$166,0,IF($E99+365&lt;AK$166,($C99/$BN$157)+($D99/$BN$158),((AK$166-$E99)/365)*(($C99/$BN$157)+($D99/$BN$158))))))</f>
        <v>0</v>
      </c>
      <c r="AL198" s="24">
        <f t="shared" si="52"/>
        <v>0</v>
      </c>
      <c r="AM198" s="24">
        <f t="shared" si="53"/>
        <v>0</v>
      </c>
      <c r="AN198" s="55">
        <f t="shared" si="54"/>
        <v>0</v>
      </c>
      <c r="AO198" s="55">
        <f t="shared" si="55"/>
        <v>0</v>
      </c>
      <c r="AP198" s="24"/>
      <c r="AQ198" s="24"/>
      <c r="AR198" s="24"/>
      <c r="AS198" s="24"/>
      <c r="AT198" s="24"/>
      <c r="AU198" s="24"/>
      <c r="AV198" s="24"/>
      <c r="AW198" s="24"/>
      <c r="AX198" s="24"/>
      <c r="AY198" s="24"/>
    </row>
    <row r="199" spans="7:51">
      <c r="G199" s="12">
        <f t="shared" si="42"/>
        <v>0</v>
      </c>
      <c r="H199" s="12">
        <f t="shared" si="81"/>
        <v>0</v>
      </c>
      <c r="I199" s="12">
        <f t="shared" si="81"/>
        <v>0</v>
      </c>
      <c r="J199" s="12">
        <f t="shared" si="81"/>
        <v>0</v>
      </c>
      <c r="K199" s="12">
        <f t="shared" si="44"/>
        <v>0</v>
      </c>
      <c r="L199" s="12">
        <f t="shared" si="82"/>
        <v>0</v>
      </c>
      <c r="M199" s="12">
        <f t="shared" si="82"/>
        <v>0</v>
      </c>
      <c r="N199" s="12">
        <f t="shared" si="82"/>
        <v>0</v>
      </c>
      <c r="O199" s="12">
        <f t="shared" si="46"/>
        <v>0</v>
      </c>
      <c r="P199" s="12">
        <f t="shared" si="83"/>
        <v>0</v>
      </c>
      <c r="Q199" s="12">
        <f t="shared" si="83"/>
        <v>0</v>
      </c>
      <c r="T199" s="61"/>
      <c r="U199" s="61"/>
      <c r="V199" s="61"/>
      <c r="W199" s="53">
        <f t="shared" si="48"/>
        <v>0</v>
      </c>
      <c r="X199" s="54" t="e">
        <f t="shared" si="49"/>
        <v>#DIV/0!</v>
      </c>
      <c r="Y199" s="25">
        <f t="shared" si="60"/>
        <v>0</v>
      </c>
      <c r="Z199" s="54">
        <f t="shared" si="61"/>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2"/>
        <v>0</v>
      </c>
      <c r="AM199" s="24">
        <f t="shared" si="53"/>
        <v>0</v>
      </c>
      <c r="AN199" s="55">
        <f t="shared" si="54"/>
        <v>0</v>
      </c>
      <c r="AO199" s="55">
        <f t="shared" si="55"/>
        <v>0</v>
      </c>
      <c r="AP199" s="24"/>
      <c r="AQ199" s="24"/>
      <c r="AR199" s="24"/>
      <c r="AS199" s="24"/>
      <c r="AT199" s="24"/>
      <c r="AU199" s="24"/>
      <c r="AV199" s="24"/>
      <c r="AW199" s="24"/>
      <c r="AX199" s="24"/>
      <c r="AY199" s="24"/>
    </row>
    <row r="200" spans="7:51">
      <c r="G200" s="12">
        <f t="shared" si="42"/>
        <v>0</v>
      </c>
      <c r="H200" s="12">
        <f t="shared" si="81"/>
        <v>0</v>
      </c>
      <c r="I200" s="12">
        <f t="shared" si="81"/>
        <v>0</v>
      </c>
      <c r="J200" s="12">
        <f t="shared" si="81"/>
        <v>0</v>
      </c>
      <c r="K200" s="12">
        <f t="shared" si="44"/>
        <v>0</v>
      </c>
      <c r="L200" s="12">
        <f t="shared" si="82"/>
        <v>0</v>
      </c>
      <c r="M200" s="12">
        <f t="shared" si="82"/>
        <v>0</v>
      </c>
      <c r="N200" s="12">
        <f t="shared" si="82"/>
        <v>0</v>
      </c>
      <c r="O200" s="12">
        <f t="shared" si="46"/>
        <v>0</v>
      </c>
      <c r="P200" s="12">
        <f t="shared" si="83"/>
        <v>0</v>
      </c>
      <c r="Q200" s="12">
        <f t="shared" si="83"/>
        <v>0</v>
      </c>
      <c r="T200" s="61"/>
      <c r="U200" s="61"/>
      <c r="V200" s="61"/>
      <c r="W200" s="53">
        <f t="shared" si="48"/>
        <v>0</v>
      </c>
      <c r="X200" s="54" t="e">
        <f t="shared" si="49"/>
        <v>#DIV/0!</v>
      </c>
      <c r="Y200" s="25">
        <f t="shared" si="60"/>
        <v>0</v>
      </c>
      <c r="Z200" s="54">
        <f t="shared" si="61"/>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2"/>
        <v>0</v>
      </c>
      <c r="AM200" s="24">
        <f t="shared" si="53"/>
        <v>0</v>
      </c>
      <c r="AN200" s="55">
        <f t="shared" si="54"/>
        <v>0</v>
      </c>
      <c r="AO200" s="55">
        <f t="shared" si="55"/>
        <v>0</v>
      </c>
      <c r="AP200" s="24"/>
      <c r="AQ200" s="24"/>
      <c r="AR200" s="24"/>
      <c r="AS200" s="24"/>
      <c r="AT200" s="24"/>
      <c r="AU200" s="24"/>
      <c r="AV200" s="24"/>
      <c r="AW200" s="24"/>
      <c r="AX200" s="24"/>
      <c r="AY200" s="24"/>
    </row>
    <row r="201" spans="7:51">
      <c r="G201" s="12">
        <f t="shared" si="42"/>
        <v>0</v>
      </c>
      <c r="H201" s="12">
        <f t="shared" si="81"/>
        <v>0</v>
      </c>
      <c r="I201" s="12">
        <f t="shared" si="81"/>
        <v>0</v>
      </c>
      <c r="J201" s="12">
        <f t="shared" si="81"/>
        <v>0</v>
      </c>
      <c r="K201" s="12">
        <f t="shared" si="44"/>
        <v>0</v>
      </c>
      <c r="L201" s="12">
        <f t="shared" si="82"/>
        <v>0</v>
      </c>
      <c r="M201" s="12">
        <f t="shared" si="82"/>
        <v>0</v>
      </c>
      <c r="N201" s="12">
        <f t="shared" si="82"/>
        <v>0</v>
      </c>
      <c r="O201" s="12">
        <f t="shared" si="46"/>
        <v>0</v>
      </c>
      <c r="P201" s="12">
        <f t="shared" si="83"/>
        <v>0</v>
      </c>
      <c r="Q201" s="12">
        <f t="shared" si="83"/>
        <v>0</v>
      </c>
      <c r="T201" s="61"/>
      <c r="U201" s="61"/>
      <c r="V201" s="61"/>
      <c r="W201" s="53">
        <f t="shared" si="48"/>
        <v>0</v>
      </c>
      <c r="X201" s="54" t="e">
        <f t="shared" si="49"/>
        <v>#DIV/0!</v>
      </c>
      <c r="Y201" s="25">
        <f t="shared" si="60"/>
        <v>0</v>
      </c>
      <c r="Z201" s="54">
        <f t="shared" si="61"/>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2"/>
        <v>0</v>
      </c>
      <c r="AM201" s="24">
        <f t="shared" si="53"/>
        <v>0</v>
      </c>
      <c r="AN201" s="55">
        <f t="shared" si="54"/>
        <v>0</v>
      </c>
      <c r="AO201" s="55">
        <f t="shared" si="55"/>
        <v>0</v>
      </c>
      <c r="AP201" s="24"/>
      <c r="AQ201" s="24"/>
      <c r="AR201" s="24"/>
      <c r="AS201" s="24"/>
      <c r="AT201" s="24"/>
      <c r="AU201" s="24"/>
      <c r="AV201" s="24"/>
      <c r="AW201" s="24"/>
      <c r="AX201" s="24"/>
      <c r="AY201" s="24"/>
    </row>
    <row r="202" spans="7:51">
      <c r="G202" s="12">
        <f t="shared" si="42"/>
        <v>0</v>
      </c>
      <c r="H202" s="12">
        <f t="shared" si="81"/>
        <v>0</v>
      </c>
      <c r="I202" s="12">
        <f t="shared" si="81"/>
        <v>0</v>
      </c>
      <c r="J202" s="12">
        <f t="shared" si="81"/>
        <v>0</v>
      </c>
      <c r="K202" s="12">
        <f t="shared" si="44"/>
        <v>0</v>
      </c>
      <c r="L202" s="12">
        <f t="shared" si="82"/>
        <v>0</v>
      </c>
      <c r="M202" s="12">
        <f t="shared" si="82"/>
        <v>0</v>
      </c>
      <c r="N202" s="12">
        <f t="shared" si="82"/>
        <v>0</v>
      </c>
      <c r="O202" s="12">
        <f t="shared" si="46"/>
        <v>0</v>
      </c>
      <c r="P202" s="12">
        <f t="shared" si="83"/>
        <v>0</v>
      </c>
      <c r="Q202" s="12">
        <f t="shared" si="83"/>
        <v>0</v>
      </c>
      <c r="T202" s="61"/>
      <c r="U202" s="61"/>
      <c r="V202" s="61"/>
      <c r="W202" s="53">
        <f t="shared" si="48"/>
        <v>0</v>
      </c>
      <c r="X202" s="54" t="e">
        <f t="shared" si="49"/>
        <v>#DIV/0!</v>
      </c>
      <c r="Y202" s="25">
        <f t="shared" si="60"/>
        <v>0</v>
      </c>
      <c r="Z202" s="54">
        <f t="shared" si="61"/>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2"/>
        <v>0</v>
      </c>
      <c r="AM202" s="24">
        <f t="shared" si="53"/>
        <v>0</v>
      </c>
      <c r="AN202" s="55">
        <f t="shared" si="54"/>
        <v>0</v>
      </c>
      <c r="AO202" s="55">
        <f t="shared" si="55"/>
        <v>0</v>
      </c>
      <c r="AP202" s="24"/>
      <c r="AQ202" s="24"/>
      <c r="AR202" s="24"/>
      <c r="AS202" s="24"/>
      <c r="AT202" s="24"/>
      <c r="AU202" s="24"/>
      <c r="AV202" s="24"/>
      <c r="AW202" s="24"/>
      <c r="AX202" s="24"/>
      <c r="AY202" s="24"/>
    </row>
    <row r="203" spans="7:51">
      <c r="G203" s="12">
        <f t="shared" si="42"/>
        <v>0</v>
      </c>
      <c r="H203" s="12">
        <f t="shared" si="81"/>
        <v>0</v>
      </c>
      <c r="I203" s="12">
        <f t="shared" si="81"/>
        <v>0</v>
      </c>
      <c r="J203" s="12">
        <f t="shared" si="81"/>
        <v>0</v>
      </c>
      <c r="K203" s="12">
        <f t="shared" si="44"/>
        <v>0</v>
      </c>
      <c r="L203" s="12">
        <f t="shared" si="82"/>
        <v>0</v>
      </c>
      <c r="M203" s="12">
        <f t="shared" si="82"/>
        <v>0</v>
      </c>
      <c r="N203" s="12">
        <f t="shared" si="82"/>
        <v>0</v>
      </c>
      <c r="O203" s="12">
        <f t="shared" si="46"/>
        <v>0</v>
      </c>
      <c r="P203" s="12">
        <f t="shared" si="83"/>
        <v>0</v>
      </c>
      <c r="Q203" s="12">
        <f t="shared" si="83"/>
        <v>0</v>
      </c>
      <c r="T203" s="61"/>
      <c r="U203" s="61"/>
      <c r="V203" s="61"/>
      <c r="W203" s="53">
        <f t="shared" si="48"/>
        <v>0</v>
      </c>
      <c r="X203" s="54" t="e">
        <f t="shared" si="49"/>
        <v>#DIV/0!</v>
      </c>
      <c r="Y203" s="25">
        <f t="shared" si="60"/>
        <v>0</v>
      </c>
      <c r="Z203" s="54">
        <f t="shared" si="61"/>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2"/>
        <v>0</v>
      </c>
      <c r="AM203" s="24">
        <f t="shared" si="53"/>
        <v>0</v>
      </c>
      <c r="AN203" s="55">
        <f t="shared" si="54"/>
        <v>0</v>
      </c>
      <c r="AO203" s="55">
        <f t="shared" si="55"/>
        <v>0</v>
      </c>
      <c r="AP203" s="24"/>
      <c r="AQ203" s="24"/>
      <c r="AR203" s="24"/>
      <c r="AS203" s="24"/>
      <c r="AT203" s="24"/>
      <c r="AU203" s="24"/>
      <c r="AV203" s="24"/>
      <c r="AW203" s="24"/>
      <c r="AX203" s="24"/>
      <c r="AY203" s="24"/>
    </row>
    <row r="204" spans="7:51">
      <c r="G204" s="12">
        <f t="shared" si="42"/>
        <v>0</v>
      </c>
      <c r="H204" s="12">
        <f t="shared" si="81"/>
        <v>0</v>
      </c>
      <c r="I204" s="12">
        <f t="shared" si="81"/>
        <v>0</v>
      </c>
      <c r="J204" s="12">
        <f t="shared" si="81"/>
        <v>0</v>
      </c>
      <c r="K204" s="12">
        <f t="shared" si="44"/>
        <v>0</v>
      </c>
      <c r="L204" s="12">
        <f t="shared" si="82"/>
        <v>0</v>
      </c>
      <c r="M204" s="12">
        <f t="shared" si="82"/>
        <v>0</v>
      </c>
      <c r="N204" s="12">
        <f t="shared" si="82"/>
        <v>0</v>
      </c>
      <c r="O204" s="12">
        <f t="shared" si="46"/>
        <v>0</v>
      </c>
      <c r="P204" s="12">
        <f t="shared" si="83"/>
        <v>0</v>
      </c>
      <c r="Q204" s="12">
        <f t="shared" si="83"/>
        <v>0</v>
      </c>
      <c r="T204" s="61"/>
      <c r="U204" s="61"/>
      <c r="V204" s="61"/>
      <c r="W204" s="53">
        <f t="shared" si="48"/>
        <v>0</v>
      </c>
      <c r="X204" s="54" t="e">
        <f t="shared" si="49"/>
        <v>#DIV/0!</v>
      </c>
      <c r="Y204" s="25">
        <f t="shared" si="60"/>
        <v>0</v>
      </c>
      <c r="Z204" s="54">
        <f t="shared" si="61"/>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2"/>
        <v>0</v>
      </c>
      <c r="AM204" s="24">
        <f t="shared" si="53"/>
        <v>0</v>
      </c>
      <c r="AN204" s="55">
        <f t="shared" si="54"/>
        <v>0</v>
      </c>
      <c r="AO204" s="55">
        <f t="shared" si="55"/>
        <v>0</v>
      </c>
      <c r="AP204" s="24"/>
      <c r="AQ204" s="24"/>
      <c r="AR204" s="24"/>
      <c r="AS204" s="24"/>
      <c r="AT204" s="24"/>
      <c r="AU204" s="24"/>
      <c r="AV204" s="24"/>
      <c r="AW204" s="24"/>
      <c r="AX204" s="24"/>
      <c r="AY204" s="24"/>
    </row>
    <row r="205" spans="7:51">
      <c r="G205" s="12">
        <f t="shared" si="42"/>
        <v>0</v>
      </c>
      <c r="H205" s="12">
        <f t="shared" si="81"/>
        <v>0</v>
      </c>
      <c r="I205" s="12">
        <f t="shared" si="81"/>
        <v>0</v>
      </c>
      <c r="J205" s="12">
        <f t="shared" si="81"/>
        <v>0</v>
      </c>
      <c r="K205" s="12">
        <f t="shared" si="44"/>
        <v>0</v>
      </c>
      <c r="L205" s="12">
        <f t="shared" si="82"/>
        <v>0</v>
      </c>
      <c r="M205" s="12">
        <f t="shared" si="82"/>
        <v>0</v>
      </c>
      <c r="N205" s="12">
        <f t="shared" si="82"/>
        <v>0</v>
      </c>
      <c r="O205" s="12">
        <f t="shared" si="46"/>
        <v>0</v>
      </c>
      <c r="P205" s="12">
        <f t="shared" si="83"/>
        <v>0</v>
      </c>
      <c r="Q205" s="12">
        <f t="shared" si="83"/>
        <v>0</v>
      </c>
      <c r="T205" s="61"/>
      <c r="U205" s="61"/>
      <c r="V205" s="61"/>
      <c r="W205" s="53">
        <f t="shared" si="48"/>
        <v>0</v>
      </c>
      <c r="X205" s="54" t="e">
        <f t="shared" si="49"/>
        <v>#DIV/0!</v>
      </c>
      <c r="Y205" s="25">
        <f t="shared" si="60"/>
        <v>0</v>
      </c>
      <c r="Z205" s="54">
        <f t="shared" si="61"/>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2"/>
        <v>0</v>
      </c>
      <c r="AM205" s="24">
        <f t="shared" si="53"/>
        <v>0</v>
      </c>
      <c r="AN205" s="55">
        <f t="shared" si="54"/>
        <v>0</v>
      </c>
      <c r="AO205" s="55">
        <f t="shared" si="55"/>
        <v>0</v>
      </c>
      <c r="AP205" s="24"/>
      <c r="AQ205" s="24"/>
      <c r="AR205" s="24"/>
      <c r="AS205" s="24"/>
      <c r="AT205" s="24"/>
      <c r="AU205" s="24"/>
      <c r="AV205" s="24"/>
      <c r="AW205" s="24"/>
      <c r="AX205" s="24"/>
      <c r="AY205" s="24"/>
    </row>
    <row r="206" spans="7:51">
      <c r="G206" s="12">
        <f t="shared" si="42"/>
        <v>0</v>
      </c>
      <c r="H206" s="12">
        <f t="shared" si="81"/>
        <v>0</v>
      </c>
      <c r="I206" s="12">
        <f t="shared" si="81"/>
        <v>0</v>
      </c>
      <c r="J206" s="12">
        <f t="shared" si="81"/>
        <v>0</v>
      </c>
      <c r="K206" s="12">
        <f t="shared" si="44"/>
        <v>0</v>
      </c>
      <c r="L206" s="12">
        <f t="shared" si="82"/>
        <v>0</v>
      </c>
      <c r="M206" s="12">
        <f t="shared" si="82"/>
        <v>0</v>
      </c>
      <c r="N206" s="12">
        <f t="shared" si="82"/>
        <v>0</v>
      </c>
      <c r="O206" s="12">
        <f t="shared" si="46"/>
        <v>0</v>
      </c>
      <c r="P206" s="12">
        <f t="shared" si="83"/>
        <v>0</v>
      </c>
      <c r="Q206" s="12">
        <f t="shared" si="83"/>
        <v>0</v>
      </c>
      <c r="T206" s="61"/>
      <c r="U206" s="61"/>
      <c r="V206" s="61"/>
      <c r="W206" s="53">
        <f t="shared" si="48"/>
        <v>0</v>
      </c>
      <c r="X206" s="54" t="e">
        <f t="shared" si="49"/>
        <v>#DIV/0!</v>
      </c>
      <c r="Y206" s="25">
        <f t="shared" si="60"/>
        <v>0</v>
      </c>
      <c r="Z206" s="54">
        <f t="shared" si="61"/>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2"/>
        <v>0</v>
      </c>
      <c r="AM206" s="24">
        <f t="shared" si="53"/>
        <v>0</v>
      </c>
      <c r="AN206" s="55">
        <f t="shared" si="54"/>
        <v>0</v>
      </c>
      <c r="AO206" s="55">
        <f t="shared" si="55"/>
        <v>0</v>
      </c>
      <c r="AP206" s="24"/>
      <c r="AQ206" s="24"/>
      <c r="AR206" s="24"/>
      <c r="AS206" s="24"/>
      <c r="AT206" s="24"/>
      <c r="AU206" s="24"/>
      <c r="AV206" s="24"/>
      <c r="AW206" s="24"/>
      <c r="AX206" s="24"/>
      <c r="AY206" s="24"/>
    </row>
    <row r="207" spans="7:51">
      <c r="G207" s="12">
        <f t="shared" si="42"/>
        <v>0</v>
      </c>
      <c r="H207" s="12">
        <f t="shared" ref="H207:J209" si="105">IF($E109&gt;H$66,0,IF($E109&lt;H$66-365,$C109,0))</f>
        <v>0</v>
      </c>
      <c r="I207" s="12">
        <f t="shared" si="105"/>
        <v>0</v>
      </c>
      <c r="J207" s="12">
        <f t="shared" si="105"/>
        <v>0</v>
      </c>
      <c r="K207" s="12">
        <f t="shared" si="44"/>
        <v>0</v>
      </c>
      <c r="L207" s="12">
        <f t="shared" ref="L207:N209" si="106">IF($E109&gt;L$66,0,IF($E109&lt;L$66-365,$C109,0))</f>
        <v>0</v>
      </c>
      <c r="M207" s="12">
        <f t="shared" si="106"/>
        <v>0</v>
      </c>
      <c r="N207" s="12">
        <f t="shared" si="106"/>
        <v>0</v>
      </c>
      <c r="O207" s="12">
        <f t="shared" si="46"/>
        <v>0</v>
      </c>
      <c r="P207" s="12">
        <f t="shared" ref="P207:Q209" si="107">IF($E109&gt;P$66,0,IF($E109&lt;P$66-365,$C109,0))</f>
        <v>0</v>
      </c>
      <c r="Q207" s="12">
        <f t="shared" si="107"/>
        <v>0</v>
      </c>
      <c r="T207" s="61"/>
      <c r="U207" s="61"/>
      <c r="V207" s="61"/>
      <c r="W207" s="53">
        <f t="shared" si="48"/>
        <v>0</v>
      </c>
      <c r="X207" s="54" t="e">
        <f t="shared" si="49"/>
        <v>#DIV/0!</v>
      </c>
      <c r="Y207" s="25">
        <f t="shared" si="60"/>
        <v>0</v>
      </c>
      <c r="Z207" s="54">
        <f t="shared" si="61"/>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2"/>
        <v>0</v>
      </c>
      <c r="AM207" s="24">
        <f t="shared" si="53"/>
        <v>0</v>
      </c>
      <c r="AN207" s="55">
        <f t="shared" si="54"/>
        <v>0</v>
      </c>
      <c r="AO207" s="55">
        <f t="shared" si="55"/>
        <v>0</v>
      </c>
      <c r="AP207" s="24"/>
      <c r="AQ207" s="24"/>
      <c r="AR207" s="24"/>
      <c r="AS207" s="24"/>
      <c r="AT207" s="24"/>
      <c r="AU207" s="24"/>
      <c r="AV207" s="24"/>
      <c r="AW207" s="24"/>
      <c r="AX207" s="24"/>
      <c r="AY207" s="24"/>
    </row>
    <row r="208" spans="7:51">
      <c r="G208" s="12">
        <f t="shared" si="42"/>
        <v>0</v>
      </c>
      <c r="H208" s="12">
        <f t="shared" si="105"/>
        <v>0</v>
      </c>
      <c r="I208" s="12">
        <f t="shared" si="105"/>
        <v>0</v>
      </c>
      <c r="J208" s="12">
        <f t="shared" si="105"/>
        <v>0</v>
      </c>
      <c r="K208" s="12">
        <f t="shared" si="44"/>
        <v>0</v>
      </c>
      <c r="L208" s="12">
        <f t="shared" si="106"/>
        <v>0</v>
      </c>
      <c r="M208" s="12">
        <f t="shared" si="106"/>
        <v>0</v>
      </c>
      <c r="N208" s="12">
        <f t="shared" si="106"/>
        <v>0</v>
      </c>
      <c r="O208" s="12">
        <f t="shared" si="46"/>
        <v>0</v>
      </c>
      <c r="P208" s="12">
        <f t="shared" si="107"/>
        <v>0</v>
      </c>
      <c r="Q208" s="12">
        <f t="shared" si="107"/>
        <v>0</v>
      </c>
      <c r="T208" s="61"/>
      <c r="U208" s="61"/>
      <c r="V208" s="61"/>
      <c r="W208" s="53">
        <f t="shared" si="48"/>
        <v>0</v>
      </c>
      <c r="X208" s="54" t="e">
        <f t="shared" si="49"/>
        <v>#DIV/0!</v>
      </c>
      <c r="Y208" s="25">
        <f t="shared" si="60"/>
        <v>0</v>
      </c>
      <c r="Z208" s="54">
        <f t="shared" si="61"/>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2"/>
        <v>0</v>
      </c>
      <c r="AM208" s="24">
        <f t="shared" si="53"/>
        <v>0</v>
      </c>
      <c r="AN208" s="55">
        <f t="shared" si="54"/>
        <v>0</v>
      </c>
      <c r="AO208" s="55">
        <f t="shared" si="55"/>
        <v>0</v>
      </c>
      <c r="AP208" s="24"/>
      <c r="AQ208" s="24"/>
      <c r="AR208" s="24"/>
      <c r="AS208" s="24"/>
      <c r="AT208" s="24"/>
      <c r="AU208" s="24"/>
      <c r="AV208" s="24"/>
      <c r="AW208" s="24"/>
      <c r="AX208" s="24"/>
      <c r="AY208" s="24"/>
    </row>
    <row r="209" spans="6:51">
      <c r="G209" s="12">
        <f t="shared" si="42"/>
        <v>0</v>
      </c>
      <c r="H209" s="12">
        <f t="shared" si="105"/>
        <v>0</v>
      </c>
      <c r="I209" s="12">
        <f t="shared" si="105"/>
        <v>0</v>
      </c>
      <c r="J209" s="12">
        <f t="shared" si="105"/>
        <v>0</v>
      </c>
      <c r="K209" s="12">
        <f t="shared" si="44"/>
        <v>0</v>
      </c>
      <c r="L209" s="12">
        <f t="shared" si="106"/>
        <v>0</v>
      </c>
      <c r="M209" s="12">
        <f t="shared" si="106"/>
        <v>0</v>
      </c>
      <c r="N209" s="12">
        <f t="shared" si="106"/>
        <v>0</v>
      </c>
      <c r="O209" s="12">
        <f t="shared" si="46"/>
        <v>0</v>
      </c>
      <c r="P209" s="12">
        <f t="shared" si="107"/>
        <v>0</v>
      </c>
      <c r="Q209" s="12">
        <f t="shared" si="107"/>
        <v>0</v>
      </c>
      <c r="T209" s="61"/>
      <c r="U209" s="61"/>
      <c r="V209" s="61"/>
      <c r="W209" s="53">
        <f t="shared" si="48"/>
        <v>0</v>
      </c>
      <c r="X209" s="54" t="e">
        <f t="shared" si="49"/>
        <v>#DIV/0!</v>
      </c>
      <c r="Y209" s="25">
        <f t="shared" si="60"/>
        <v>0</v>
      </c>
      <c r="Z209" s="54">
        <f t="shared" si="61"/>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2"/>
        <v>0</v>
      </c>
      <c r="AM209" s="24">
        <f t="shared" si="53"/>
        <v>0</v>
      </c>
      <c r="AN209" s="55">
        <f t="shared" si="54"/>
        <v>0</v>
      </c>
      <c r="AO209" s="55">
        <f t="shared" si="55"/>
        <v>0</v>
      </c>
      <c r="AP209" s="24"/>
      <c r="AQ209" s="24"/>
      <c r="AR209" s="24"/>
      <c r="AS209" s="24"/>
      <c r="AT209" s="24"/>
      <c r="AU209" s="24"/>
      <c r="AV209" s="24"/>
      <c r="AW209" s="24"/>
      <c r="AX209" s="24"/>
      <c r="AY209" s="24"/>
    </row>
    <row r="210" spans="6:51">
      <c r="T210" s="61"/>
      <c r="U210" s="61"/>
      <c r="V210" s="61"/>
      <c r="W210" s="53">
        <f t="shared" si="48"/>
        <v>0</v>
      </c>
      <c r="X210" s="54" t="e">
        <f t="shared" si="49"/>
        <v>#DIV/0!</v>
      </c>
      <c r="Y210" s="25">
        <f t="shared" si="60"/>
        <v>0</v>
      </c>
      <c r="Z210" s="54">
        <f t="shared" si="61"/>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2"/>
        <v>0</v>
      </c>
      <c r="AM210" s="24">
        <f t="shared" si="53"/>
        <v>0</v>
      </c>
      <c r="AN210" s="55">
        <f t="shared" si="54"/>
        <v>0</v>
      </c>
      <c r="AO210" s="55">
        <f t="shared" si="55"/>
        <v>0</v>
      </c>
      <c r="AP210" s="24"/>
      <c r="AQ210" s="24"/>
      <c r="AR210" s="24"/>
      <c r="AS210" s="24"/>
      <c r="AT210" s="24"/>
      <c r="AU210" s="24"/>
      <c r="AV210" s="24"/>
      <c r="AW210" s="24"/>
      <c r="AX210" s="24"/>
      <c r="AY210" s="24"/>
    </row>
    <row r="211" spans="6:51">
      <c r="T211" s="61"/>
      <c r="U211" s="61"/>
      <c r="V211" s="61"/>
      <c r="W211" s="53">
        <f t="shared" si="48"/>
        <v>0</v>
      </c>
      <c r="X211" s="54" t="e">
        <f t="shared" si="49"/>
        <v>#DIV/0!</v>
      </c>
      <c r="Y211" s="25">
        <f t="shared" si="60"/>
        <v>0</v>
      </c>
      <c r="Z211" s="54">
        <f t="shared" si="61"/>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2"/>
        <v>0</v>
      </c>
      <c r="AM211" s="24">
        <f t="shared" si="53"/>
        <v>0</v>
      </c>
      <c r="AN211" s="55">
        <f t="shared" si="54"/>
        <v>0</v>
      </c>
      <c r="AO211" s="55">
        <f t="shared" si="55"/>
        <v>0</v>
      </c>
      <c r="AP211" s="25"/>
      <c r="AQ211" s="24"/>
      <c r="AR211" s="24"/>
      <c r="AS211" s="24"/>
      <c r="AT211" s="24"/>
      <c r="AU211" s="24"/>
      <c r="AV211" s="24"/>
      <c r="AW211" s="24"/>
      <c r="AX211" s="24"/>
      <c r="AY211" s="24"/>
    </row>
    <row r="212" spans="6:51">
      <c r="T212" s="61"/>
      <c r="U212" s="61"/>
      <c r="V212" s="61"/>
      <c r="W212" s="53"/>
      <c r="X212" s="54"/>
      <c r="Y212" s="25">
        <f t="shared" si="60"/>
        <v>0</v>
      </c>
      <c r="Z212" s="54">
        <f t="shared" si="61"/>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2"/>
        <v>0</v>
      </c>
      <c r="AM212" s="24">
        <f t="shared" si="53"/>
        <v>0</v>
      </c>
      <c r="AN212" s="55">
        <f t="shared" si="54"/>
        <v>0</v>
      </c>
      <c r="AO212" s="55">
        <f t="shared" si="55"/>
        <v>0</v>
      </c>
      <c r="AP212" s="24"/>
      <c r="AQ212" s="24"/>
      <c r="AR212" s="24"/>
      <c r="AS212" s="24"/>
      <c r="AT212" s="24"/>
      <c r="AU212" s="24"/>
      <c r="AV212" s="24"/>
      <c r="AW212" s="24"/>
      <c r="AX212" s="24"/>
      <c r="AY212" s="24"/>
    </row>
    <row r="213" spans="6:51">
      <c r="T213" s="61"/>
      <c r="U213" s="61"/>
      <c r="V213" s="61"/>
      <c r="W213" s="53"/>
      <c r="X213" s="54"/>
      <c r="Y213" s="25">
        <f t="shared" si="60"/>
        <v>0</v>
      </c>
      <c r="Z213" s="54">
        <f t="shared" si="61"/>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2"/>
        <v>0</v>
      </c>
      <c r="AM213" s="24">
        <f t="shared" si="53"/>
        <v>0</v>
      </c>
      <c r="AN213" s="55">
        <f t="shared" si="54"/>
        <v>0</v>
      </c>
      <c r="AO213" s="55">
        <f t="shared" si="55"/>
        <v>0</v>
      </c>
      <c r="AP213" s="24"/>
      <c r="AQ213" s="24"/>
      <c r="AR213" s="24"/>
      <c r="AS213" s="24"/>
      <c r="AT213" s="24"/>
      <c r="AU213" s="24"/>
      <c r="AV213" s="24"/>
      <c r="AW213" s="24"/>
      <c r="AX213" s="24"/>
      <c r="AY213" s="24"/>
    </row>
    <row r="214" spans="6:51" ht="13">
      <c r="F214" s="187" t="s">
        <v>490</v>
      </c>
      <c r="G214" s="187">
        <f>SUM(G167:G213)</f>
        <v>-80</v>
      </c>
      <c r="H214" s="187">
        <f t="shared" ref="H214:Q214" si="115">SUM(H167:H213)</f>
        <v>-80</v>
      </c>
      <c r="I214" s="187">
        <f t="shared" si="115"/>
        <v>-80</v>
      </c>
      <c r="J214" s="187">
        <f t="shared" si="115"/>
        <v>-80</v>
      </c>
      <c r="K214" s="187">
        <f t="shared" si="115"/>
        <v>-305</v>
      </c>
      <c r="L214" s="187">
        <f t="shared" si="115"/>
        <v>-305</v>
      </c>
      <c r="M214" s="187">
        <f t="shared" si="115"/>
        <v>-305</v>
      </c>
      <c r="N214" s="187">
        <f t="shared" si="115"/>
        <v>-285</v>
      </c>
      <c r="O214" s="187">
        <f t="shared" si="115"/>
        <v>-355</v>
      </c>
      <c r="P214" s="187">
        <f t="shared" si="115"/>
        <v>-355</v>
      </c>
      <c r="Q214" s="187">
        <f t="shared" si="115"/>
        <v>-355</v>
      </c>
      <c r="T214" s="14"/>
      <c r="U214" s="14"/>
      <c r="V214" s="14"/>
      <c r="W214" s="24"/>
      <c r="X214" s="62" t="e">
        <f>SUM(X168:X213)</f>
        <v>#DIV/0!</v>
      </c>
      <c r="Y214" s="157" t="s">
        <v>84</v>
      </c>
      <c r="AA214" s="155">
        <f>VLOOKUP($A$2,Assumptions!$B$124:$G$147,6,0)*SUM(AA167:AA213)</f>
        <v>0</v>
      </c>
      <c r="AB214" s="155">
        <f>VLOOKUP($A$2,Assumptions!$B$124:$G$147,6,0)*SUM(AB167:AB213)</f>
        <v>-1.8312277529036294</v>
      </c>
      <c r="AC214" s="155">
        <f>VLOOKUP($A$2,Assumptions!$B$124:$G$147,6,0)*SUM(AC167:AC213)</f>
        <v>-1.8312277529036294</v>
      </c>
      <c r="AD214" s="155">
        <f>VLOOKUP($A$2,Assumptions!$B$124:$G$147,6,0)*SUM(AD167:AD213)</f>
        <v>-1.8312277529036294</v>
      </c>
      <c r="AE214" s="155">
        <f>VLOOKUP($A$2,Assumptions!$B$124:$G$147,6,0)*SUM(AE167:AE213)</f>
        <v>-6.4092971351627028</v>
      </c>
      <c r="AF214" s="155">
        <f>VLOOKUP($A$2,Assumptions!$B$124:$G$147,6,0)*SUM(AF167:AF213)</f>
        <v>-6.981555807945087</v>
      </c>
      <c r="AG214" s="155">
        <f>VLOOKUP($A$2,Assumptions!$B$124:$G$147,6,0)*SUM(AG167:AG213)</f>
        <v>-6.981555807945087</v>
      </c>
      <c r="AH214" s="155">
        <f>VLOOKUP($A$2,Assumptions!$B$124:$G$147,6,0)*SUM(AH167:AH213)</f>
        <v>-6.7268286363536873</v>
      </c>
      <c r="AI214" s="155">
        <f>VLOOKUP($A$2,Assumptions!$B$124:$G$147,6,0)*SUM(AI167:AI213)</f>
        <v>-8.2951989055592747</v>
      </c>
      <c r="AJ214" s="155">
        <f>VLOOKUP($A$2,Assumptions!$B$124:$G$147,6,0)*SUM(AJ167:AJ213)</f>
        <v>-8.9819093128981358</v>
      </c>
      <c r="AK214" s="155">
        <f>VLOOKUP($A$2,Assumptions!$B$124:$G$147,6,0)*SUM(AK167:AK213)</f>
        <v>-8.9819093128981358</v>
      </c>
      <c r="AL214" s="155">
        <f>VLOOKUP($A$2,Assumptions!$B$124:$G$147,6,0)*SUM(AL167:AL213)</f>
        <v>-266.25</v>
      </c>
      <c r="AM214" s="155">
        <f>VLOOKUP($A$2,Assumptions!$B$124:$G$147,6,0)*SUM(AM167:AM213)</f>
        <v>-442.5</v>
      </c>
      <c r="AN214" s="55">
        <f>SUM(AN167:AN213)</f>
        <v>6491100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54</v>
      </c>
      <c r="AA215" s="156">
        <f>$C$64+AA214</f>
        <v>54</v>
      </c>
      <c r="AB215" s="156">
        <f t="shared" ref="AB215:AE215" si="116">$C$64+AB214</f>
        <v>52.168772247096371</v>
      </c>
      <c r="AC215" s="156">
        <f t="shared" si="116"/>
        <v>52.168772247096371</v>
      </c>
      <c r="AD215" s="156">
        <f t="shared" si="116"/>
        <v>52.168772247096371</v>
      </c>
      <c r="AE215" s="156">
        <f t="shared" si="116"/>
        <v>47.590702864837297</v>
      </c>
      <c r="AF215" s="156">
        <f>$C$64+AF214</f>
        <v>47.018444192054915</v>
      </c>
      <c r="AG215" s="156">
        <f t="shared" ref="AG215:AJ215" si="117">$C$64+AG214</f>
        <v>47.018444192054915</v>
      </c>
      <c r="AH215" s="156">
        <f>$C$64+AH214</f>
        <v>47.273171363646313</v>
      </c>
      <c r="AI215" s="156">
        <f t="shared" si="117"/>
        <v>45.704801094440725</v>
      </c>
      <c r="AJ215" s="156">
        <f t="shared" si="117"/>
        <v>45.018090687101861</v>
      </c>
      <c r="AK215" s="156">
        <f t="shared" ref="AK215" si="118">$C$64+AK214</f>
        <v>45.018090687101861</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9">IF(Z215&lt;$BB$154,(6+(1-Z215/$BB$154)),IF(Z215&lt;$BB$155,5.5+(0.5*(($BB$155-Z215)/($BB$155-$BB$154))),IF(Z215&lt;$BB$156,5-0.5*((Z215)-$BB$156)/($BB$156-$BB$155),IF(Z215&lt;$BB$157,4.5-0.5*((Z215-$BB$157)/($BB$157-$BB$156)),5-0.5*((Z215-$BB$156)/$BH$166)))))</f>
        <v>5.448052881161086</v>
      </c>
      <c r="AA216" s="154">
        <f t="shared" si="119"/>
        <v>5.448052881161086</v>
      </c>
      <c r="AB216" s="154">
        <f t="shared" si="119"/>
        <v>5.5006819299584313</v>
      </c>
      <c r="AC216" s="154">
        <f t="shared" si="119"/>
        <v>5.5006819299584313</v>
      </c>
      <c r="AD216" s="154">
        <f t="shared" si="119"/>
        <v>5.5006819299584313</v>
      </c>
      <c r="AE216" s="154">
        <f t="shared" si="119"/>
        <v>5.632254551951795</v>
      </c>
      <c r="AF216" s="154">
        <f t="shared" si="119"/>
        <v>5.6487011297009655</v>
      </c>
      <c r="AG216" s="154">
        <f t="shared" si="119"/>
        <v>5.6487011297009655</v>
      </c>
      <c r="AH216" s="154">
        <f t="shared" si="119"/>
        <v>5.6413803315520532</v>
      </c>
      <c r="AI216" s="154">
        <f t="shared" si="119"/>
        <v>5.6864549189699458</v>
      </c>
      <c r="AJ216" s="154">
        <f t="shared" si="119"/>
        <v>5.7061908122689511</v>
      </c>
      <c r="AK216" s="154">
        <f>IF(AK215&lt;$BB$154,(6+(1-AK215/$BB$154)),IF(AK215&lt;$BB$155,5.5+(0.5*(($BB$155-AK215)/($BB$155-$BB$154))),IF(AK215&lt;$BB$156,5-0.5*((AK215)-$BB$156)/($BB$156-$BB$155),IF(AK215&lt;$BB$157,4.5-0.5*((AK215-$BB$157)/($BB$157-$BB$156)),5-0.5*((AK215-$BB$156)/$BH$166)))))</f>
        <v>5.7061908122689511</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0">IF($E69&lt;G$66,$D69,0)</f>
        <v>0</v>
      </c>
      <c r="H220" s="12">
        <f t="shared" ref="H220:Q220" si="121">IF($E69&gt;H$66,0,IF($E69&lt;H$66-365,$D69,0))</f>
        <v>0</v>
      </c>
      <c r="I220" s="12">
        <f t="shared" si="121"/>
        <v>0</v>
      </c>
      <c r="J220" s="12">
        <f t="shared" si="121"/>
        <v>0</v>
      </c>
      <c r="K220" s="12">
        <f t="shared" si="121"/>
        <v>0</v>
      </c>
      <c r="L220" s="12">
        <f t="shared" si="121"/>
        <v>0</v>
      </c>
      <c r="M220" s="12">
        <f t="shared" si="121"/>
        <v>0</v>
      </c>
      <c r="N220" s="12">
        <f t="shared" si="121"/>
        <v>0</v>
      </c>
      <c r="O220" s="12">
        <f t="shared" si="121"/>
        <v>0</v>
      </c>
      <c r="P220" s="12">
        <f t="shared" si="121"/>
        <v>0</v>
      </c>
      <c r="Q220" s="12">
        <f t="shared" si="121"/>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0"/>
        <v>0</v>
      </c>
      <c r="H221" s="12">
        <f t="shared" ref="H221:Q221" si="122">IF($E70&gt;H$66,0,IF($E70&lt;H$66-365,$D70,0))</f>
        <v>0</v>
      </c>
      <c r="I221" s="12">
        <f t="shared" si="122"/>
        <v>0</v>
      </c>
      <c r="J221" s="12">
        <f t="shared" si="122"/>
        <v>0</v>
      </c>
      <c r="K221" s="12">
        <f t="shared" si="122"/>
        <v>0</v>
      </c>
      <c r="L221" s="12">
        <f t="shared" si="122"/>
        <v>0</v>
      </c>
      <c r="M221" s="12">
        <f t="shared" si="122"/>
        <v>0</v>
      </c>
      <c r="N221" s="12">
        <f t="shared" si="122"/>
        <v>0</v>
      </c>
      <c r="O221" s="12">
        <f t="shared" si="122"/>
        <v>0</v>
      </c>
      <c r="P221" s="12">
        <f t="shared" si="122"/>
        <v>0</v>
      </c>
      <c r="Q221" s="12">
        <f t="shared" si="122"/>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0"/>
        <v>0</v>
      </c>
      <c r="H222" s="12">
        <f t="shared" ref="H222:Q222" si="123">IF($E71&gt;H$66,0,IF($E71&lt;H$66-365,$D71,0))</f>
        <v>0</v>
      </c>
      <c r="I222" s="12">
        <f t="shared" si="123"/>
        <v>0</v>
      </c>
      <c r="J222" s="12">
        <f t="shared" si="123"/>
        <v>0</v>
      </c>
      <c r="K222" s="12">
        <f t="shared" si="123"/>
        <v>0</v>
      </c>
      <c r="L222" s="12">
        <f t="shared" si="123"/>
        <v>0</v>
      </c>
      <c r="M222" s="12">
        <f t="shared" si="123"/>
        <v>0</v>
      </c>
      <c r="N222" s="12">
        <f t="shared" si="123"/>
        <v>0</v>
      </c>
      <c r="O222" s="12">
        <f t="shared" si="123"/>
        <v>0</v>
      </c>
      <c r="P222" s="12">
        <f t="shared" si="123"/>
        <v>0</v>
      </c>
      <c r="Q222" s="12">
        <f t="shared" si="123"/>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0"/>
        <v>0</v>
      </c>
      <c r="H223" s="12">
        <f t="shared" ref="H223:Q223" si="124">IF($E72&gt;H$66,0,IF($E72&lt;H$66-365,$D72,0))</f>
        <v>0</v>
      </c>
      <c r="I223" s="12">
        <f t="shared" si="124"/>
        <v>0</v>
      </c>
      <c r="J223" s="12">
        <f t="shared" si="124"/>
        <v>0</v>
      </c>
      <c r="K223" s="12">
        <f t="shared" si="124"/>
        <v>0</v>
      </c>
      <c r="L223" s="12">
        <f t="shared" si="124"/>
        <v>0</v>
      </c>
      <c r="M223" s="12">
        <f t="shared" si="124"/>
        <v>0</v>
      </c>
      <c r="N223" s="12">
        <f t="shared" si="124"/>
        <v>0</v>
      </c>
      <c r="O223" s="12">
        <f t="shared" si="124"/>
        <v>0</v>
      </c>
      <c r="P223" s="12">
        <f t="shared" si="124"/>
        <v>0</v>
      </c>
      <c r="Q223" s="12">
        <f t="shared" si="124"/>
        <v>0</v>
      </c>
      <c r="T223" s="20"/>
      <c r="U223" s="20"/>
      <c r="V223" s="20"/>
    </row>
    <row r="224" spans="6:51">
      <c r="G224" s="12">
        <f t="shared" si="120"/>
        <v>0</v>
      </c>
      <c r="H224" s="12">
        <f t="shared" ref="H224:Q224" si="125">IF($E73&gt;H$66,0,IF($E73&lt;H$66-365,$D73,0))</f>
        <v>0</v>
      </c>
      <c r="I224" s="12">
        <f t="shared" si="125"/>
        <v>0</v>
      </c>
      <c r="J224" s="12">
        <f t="shared" si="125"/>
        <v>0</v>
      </c>
      <c r="K224" s="12">
        <f t="shared" si="125"/>
        <v>0</v>
      </c>
      <c r="L224" s="12">
        <f t="shared" si="125"/>
        <v>0</v>
      </c>
      <c r="M224" s="12">
        <f t="shared" si="125"/>
        <v>0</v>
      </c>
      <c r="N224" s="12">
        <f t="shared" si="125"/>
        <v>0</v>
      </c>
      <c r="O224" s="12">
        <f t="shared" si="125"/>
        <v>0</v>
      </c>
      <c r="P224" s="12">
        <f t="shared" si="125"/>
        <v>0</v>
      </c>
      <c r="Q224" s="12">
        <f t="shared" si="125"/>
        <v>0</v>
      </c>
      <c r="T224" s="20"/>
      <c r="U224" s="20"/>
      <c r="V224" s="20"/>
    </row>
    <row r="225" spans="7:28">
      <c r="G225" s="12">
        <f t="shared" si="120"/>
        <v>0</v>
      </c>
      <c r="H225" s="12">
        <f t="shared" ref="H225:Q225" si="126">IF($E74&gt;H$66,0,IF($E74&lt;H$66-365,$D74,0))</f>
        <v>0</v>
      </c>
      <c r="I225" s="12">
        <f t="shared" si="126"/>
        <v>0</v>
      </c>
      <c r="J225" s="12">
        <f t="shared" si="126"/>
        <v>0</v>
      </c>
      <c r="K225" s="12">
        <f t="shared" si="126"/>
        <v>0</v>
      </c>
      <c r="L225" s="12">
        <f t="shared" si="126"/>
        <v>0</v>
      </c>
      <c r="M225" s="12">
        <f t="shared" si="126"/>
        <v>0</v>
      </c>
      <c r="N225" s="12">
        <f t="shared" si="126"/>
        <v>0</v>
      </c>
      <c r="O225" s="12">
        <f t="shared" si="126"/>
        <v>0</v>
      </c>
      <c r="P225" s="12">
        <f t="shared" si="126"/>
        <v>0</v>
      </c>
      <c r="Q225" s="12">
        <f t="shared" si="126"/>
        <v>0</v>
      </c>
      <c r="T225" s="20"/>
      <c r="U225" s="20"/>
      <c r="V225" s="20"/>
      <c r="AA225" s="55">
        <f>SUM(AN167:AN213)</f>
        <v>6491100</v>
      </c>
      <c r="AB225" s="24">
        <f>SUM(AO167:AO213)</f>
        <v>0</v>
      </c>
    </row>
    <row r="226" spans="7:28">
      <c r="G226" s="12">
        <f t="shared" si="120"/>
        <v>0</v>
      </c>
      <c r="H226" s="12">
        <f t="shared" ref="H226:Q226" si="127">IF($E75&gt;H$66,0,IF($E75&lt;H$66-365,$D75,0))</f>
        <v>0</v>
      </c>
      <c r="I226" s="12">
        <f t="shared" si="127"/>
        <v>0</v>
      </c>
      <c r="J226" s="12">
        <f t="shared" si="127"/>
        <v>0</v>
      </c>
      <c r="K226" s="12">
        <f t="shared" si="127"/>
        <v>0</v>
      </c>
      <c r="L226" s="12">
        <f t="shared" si="127"/>
        <v>0</v>
      </c>
      <c r="M226" s="12">
        <f t="shared" si="127"/>
        <v>0</v>
      </c>
      <c r="N226" s="12">
        <f t="shared" si="127"/>
        <v>0</v>
      </c>
      <c r="O226" s="12">
        <f t="shared" si="127"/>
        <v>-450</v>
      </c>
      <c r="P226" s="12">
        <f t="shared" si="127"/>
        <v>-450</v>
      </c>
      <c r="Q226" s="12">
        <f t="shared" si="127"/>
        <v>-450</v>
      </c>
      <c r="T226" s="20"/>
      <c r="U226" s="20"/>
      <c r="V226" s="20"/>
      <c r="AA226" s="24">
        <f>AA225*1.35</f>
        <v>8762985</v>
      </c>
      <c r="AB226" s="24">
        <f>AB225*1.35</f>
        <v>0</v>
      </c>
    </row>
    <row r="227" spans="7:28">
      <c r="G227" s="12">
        <f t="shared" si="120"/>
        <v>0</v>
      </c>
      <c r="H227" s="12">
        <f t="shared" ref="H227:Q227" si="128">IF($E76&gt;H$66,0,IF($E76&lt;H$66-365,$D76,0))</f>
        <v>0</v>
      </c>
      <c r="I227" s="12">
        <f t="shared" si="128"/>
        <v>0</v>
      </c>
      <c r="J227" s="12">
        <f t="shared" si="128"/>
        <v>0</v>
      </c>
      <c r="K227" s="12">
        <f t="shared" si="128"/>
        <v>0</v>
      </c>
      <c r="L227" s="12">
        <f t="shared" si="128"/>
        <v>0</v>
      </c>
      <c r="M227" s="12">
        <f t="shared" si="128"/>
        <v>0</v>
      </c>
      <c r="N227" s="12">
        <f t="shared" si="128"/>
        <v>-140</v>
      </c>
      <c r="O227" s="12">
        <f t="shared" si="128"/>
        <v>-140</v>
      </c>
      <c r="P227" s="12">
        <f t="shared" si="128"/>
        <v>-140</v>
      </c>
      <c r="Q227" s="12">
        <f t="shared" si="128"/>
        <v>-140</v>
      </c>
    </row>
    <row r="228" spans="7:28">
      <c r="G228" s="12">
        <f t="shared" si="120"/>
        <v>0</v>
      </c>
      <c r="H228" s="12">
        <f t="shared" ref="H228:Q228" si="129">IF($E77&gt;H$66,0,IF($E77&lt;H$66-365,$D77,0))</f>
        <v>0</v>
      </c>
      <c r="I228" s="12">
        <f t="shared" si="129"/>
        <v>0</v>
      </c>
      <c r="J228" s="12">
        <f t="shared" si="129"/>
        <v>0</v>
      </c>
      <c r="K228" s="12">
        <f t="shared" si="129"/>
        <v>0</v>
      </c>
      <c r="L228" s="12">
        <f t="shared" si="129"/>
        <v>0</v>
      </c>
      <c r="M228" s="12">
        <f t="shared" si="129"/>
        <v>0</v>
      </c>
      <c r="N228" s="12">
        <f t="shared" si="129"/>
        <v>0</v>
      </c>
      <c r="O228" s="12">
        <f t="shared" si="129"/>
        <v>0</v>
      </c>
      <c r="P228" s="12">
        <f t="shared" si="129"/>
        <v>0</v>
      </c>
      <c r="Q228" s="12">
        <f t="shared" si="129"/>
        <v>0</v>
      </c>
    </row>
    <row r="229" spans="7:28">
      <c r="G229" s="12">
        <f t="shared" si="120"/>
        <v>0</v>
      </c>
      <c r="H229" s="12">
        <f t="shared" ref="H229:Q229" si="130">IF($E78&gt;H$66,0,IF($E78&lt;H$66-365,$D78,0))</f>
        <v>0</v>
      </c>
      <c r="I229" s="12">
        <f t="shared" si="130"/>
        <v>0</v>
      </c>
      <c r="J229" s="12">
        <f t="shared" si="130"/>
        <v>0</v>
      </c>
      <c r="K229" s="12">
        <f t="shared" si="130"/>
        <v>0</v>
      </c>
      <c r="L229" s="12">
        <f t="shared" si="130"/>
        <v>0</v>
      </c>
      <c r="M229" s="12">
        <f t="shared" si="130"/>
        <v>0</v>
      </c>
      <c r="N229" s="12">
        <f t="shared" si="130"/>
        <v>0</v>
      </c>
      <c r="O229" s="12">
        <f t="shared" si="130"/>
        <v>0</v>
      </c>
      <c r="P229" s="12">
        <f t="shared" si="130"/>
        <v>0</v>
      </c>
      <c r="Q229" s="12">
        <f t="shared" si="130"/>
        <v>0</v>
      </c>
    </row>
    <row r="230" spans="7:28">
      <c r="G230" s="12">
        <f t="shared" si="120"/>
        <v>0</v>
      </c>
      <c r="H230" s="12">
        <f t="shared" ref="H230:Q230" si="131">IF($E79&gt;H$66,0,IF($E79&lt;H$66-365,$D79,0))</f>
        <v>0</v>
      </c>
      <c r="I230" s="12">
        <f t="shared" si="131"/>
        <v>0</v>
      </c>
      <c r="J230" s="12">
        <f t="shared" si="131"/>
        <v>0</v>
      </c>
      <c r="K230" s="12">
        <f t="shared" si="131"/>
        <v>0</v>
      </c>
      <c r="L230" s="12">
        <f t="shared" si="131"/>
        <v>0</v>
      </c>
      <c r="M230" s="12">
        <f t="shared" si="131"/>
        <v>0</v>
      </c>
      <c r="N230" s="12">
        <f t="shared" si="131"/>
        <v>0</v>
      </c>
      <c r="O230" s="12">
        <f t="shared" si="131"/>
        <v>0</v>
      </c>
      <c r="P230" s="12">
        <f t="shared" si="131"/>
        <v>0</v>
      </c>
      <c r="Q230" s="12">
        <f t="shared" si="131"/>
        <v>0</v>
      </c>
    </row>
    <row r="231" spans="7:28">
      <c r="G231" s="12">
        <f t="shared" si="120"/>
        <v>0</v>
      </c>
      <c r="H231" s="12">
        <f t="shared" ref="H231:Q231" si="132">IF($E80&gt;H$66,0,IF($E80&lt;H$66-365,$D80,0))</f>
        <v>0</v>
      </c>
      <c r="I231" s="12">
        <f t="shared" si="132"/>
        <v>0</v>
      </c>
      <c r="J231" s="12">
        <f t="shared" si="132"/>
        <v>0</v>
      </c>
      <c r="K231" s="12">
        <f t="shared" si="132"/>
        <v>0</v>
      </c>
      <c r="L231" s="12">
        <f t="shared" si="132"/>
        <v>0</v>
      </c>
      <c r="M231" s="12">
        <f t="shared" si="132"/>
        <v>0</v>
      </c>
      <c r="N231" s="12">
        <f t="shared" si="132"/>
        <v>0</v>
      </c>
      <c r="O231" s="12">
        <f t="shared" si="132"/>
        <v>0</v>
      </c>
      <c r="P231" s="12">
        <f t="shared" si="132"/>
        <v>0</v>
      </c>
      <c r="Q231" s="12">
        <f t="shared" si="132"/>
        <v>0</v>
      </c>
    </row>
    <row r="232" spans="7:28">
      <c r="G232" s="12">
        <f t="shared" si="120"/>
        <v>0</v>
      </c>
      <c r="H232" s="12">
        <f t="shared" ref="H232:Q232" si="133">IF($E81&gt;H$66,0,IF($E81&lt;H$66-365,$D81,0))</f>
        <v>0</v>
      </c>
      <c r="I232" s="12">
        <f t="shared" si="133"/>
        <v>0</v>
      </c>
      <c r="J232" s="12">
        <f t="shared" si="133"/>
        <v>0</v>
      </c>
      <c r="K232" s="12">
        <f t="shared" si="133"/>
        <v>0</v>
      </c>
      <c r="L232" s="12">
        <f t="shared" si="133"/>
        <v>0</v>
      </c>
      <c r="M232" s="12">
        <f t="shared" si="133"/>
        <v>0</v>
      </c>
      <c r="N232" s="12">
        <f t="shared" si="133"/>
        <v>0</v>
      </c>
      <c r="O232" s="12">
        <f t="shared" si="133"/>
        <v>0</v>
      </c>
      <c r="P232" s="12">
        <f t="shared" si="133"/>
        <v>0</v>
      </c>
      <c r="Q232" s="12">
        <f t="shared" si="133"/>
        <v>0</v>
      </c>
    </row>
    <row r="233" spans="7:28">
      <c r="G233" s="12">
        <f t="shared" si="120"/>
        <v>0</v>
      </c>
      <c r="H233" s="12">
        <f t="shared" ref="H233:Q233" si="134">IF($E82&gt;H$66,0,IF($E82&lt;H$66-365,$D82,0))</f>
        <v>0</v>
      </c>
      <c r="I233" s="12">
        <f t="shared" si="134"/>
        <v>0</v>
      </c>
      <c r="J233" s="12">
        <f t="shared" si="134"/>
        <v>0</v>
      </c>
      <c r="K233" s="12">
        <f t="shared" si="134"/>
        <v>0</v>
      </c>
      <c r="L233" s="12">
        <f t="shared" si="134"/>
        <v>0</v>
      </c>
      <c r="M233" s="12">
        <f t="shared" si="134"/>
        <v>0</v>
      </c>
      <c r="N233" s="12">
        <f t="shared" si="134"/>
        <v>0</v>
      </c>
      <c r="O233" s="12">
        <f t="shared" si="134"/>
        <v>0</v>
      </c>
      <c r="P233" s="12">
        <f t="shared" si="134"/>
        <v>0</v>
      </c>
      <c r="Q233" s="12">
        <f t="shared" si="134"/>
        <v>0</v>
      </c>
    </row>
    <row r="234" spans="7:28">
      <c r="G234" s="12">
        <f t="shared" si="120"/>
        <v>0</v>
      </c>
      <c r="H234" s="12">
        <f t="shared" ref="H234:Q234" si="135">IF($E83&gt;H$66,0,IF($E83&lt;H$66-365,$D83,0))</f>
        <v>0</v>
      </c>
      <c r="I234" s="12">
        <f t="shared" si="135"/>
        <v>0</v>
      </c>
      <c r="J234" s="12">
        <f t="shared" si="135"/>
        <v>0</v>
      </c>
      <c r="K234" s="12">
        <f t="shared" si="135"/>
        <v>0</v>
      </c>
      <c r="L234" s="12">
        <f t="shared" si="135"/>
        <v>0</v>
      </c>
      <c r="M234" s="12">
        <f t="shared" si="135"/>
        <v>0</v>
      </c>
      <c r="N234" s="12">
        <f t="shared" si="135"/>
        <v>0</v>
      </c>
      <c r="O234" s="12">
        <f t="shared" si="135"/>
        <v>0</v>
      </c>
      <c r="P234" s="12">
        <f t="shared" si="135"/>
        <v>0</v>
      </c>
      <c r="Q234" s="12">
        <f t="shared" si="135"/>
        <v>0</v>
      </c>
    </row>
    <row r="235" spans="7:28">
      <c r="G235" s="12">
        <f t="shared" si="120"/>
        <v>0</v>
      </c>
      <c r="H235" s="12">
        <f t="shared" ref="H235:Q235" si="136">IF($E84&gt;H$66,0,IF($E84&lt;H$66-365,$D84,0))</f>
        <v>0</v>
      </c>
      <c r="I235" s="12">
        <f t="shared" si="136"/>
        <v>0</v>
      </c>
      <c r="J235" s="12">
        <f t="shared" si="136"/>
        <v>0</v>
      </c>
      <c r="K235" s="12">
        <f t="shared" si="136"/>
        <v>0</v>
      </c>
      <c r="L235" s="12">
        <f t="shared" si="136"/>
        <v>0</v>
      </c>
      <c r="M235" s="12">
        <f t="shared" si="136"/>
        <v>0</v>
      </c>
      <c r="N235" s="12">
        <f t="shared" si="136"/>
        <v>0</v>
      </c>
      <c r="O235" s="12">
        <f t="shared" si="136"/>
        <v>0</v>
      </c>
      <c r="P235" s="12">
        <f t="shared" si="136"/>
        <v>0</v>
      </c>
      <c r="Q235" s="12">
        <f t="shared" si="136"/>
        <v>0</v>
      </c>
    </row>
    <row r="236" spans="7:28">
      <c r="G236" s="12">
        <f t="shared" si="120"/>
        <v>0</v>
      </c>
      <c r="H236" s="12">
        <f t="shared" ref="H236:Q236" si="137">IF($E85&gt;H$66,0,IF($E85&lt;H$66-365,$D85,0))</f>
        <v>0</v>
      </c>
      <c r="I236" s="12">
        <f t="shared" si="137"/>
        <v>0</v>
      </c>
      <c r="J236" s="12">
        <f t="shared" si="137"/>
        <v>0</v>
      </c>
      <c r="K236" s="12">
        <f t="shared" si="137"/>
        <v>0</v>
      </c>
      <c r="L236" s="12">
        <f t="shared" si="137"/>
        <v>0</v>
      </c>
      <c r="M236" s="12">
        <f t="shared" si="137"/>
        <v>0</v>
      </c>
      <c r="N236" s="12">
        <f t="shared" si="137"/>
        <v>0</v>
      </c>
      <c r="O236" s="12">
        <f t="shared" si="137"/>
        <v>0</v>
      </c>
      <c r="P236" s="12">
        <f t="shared" si="137"/>
        <v>0</v>
      </c>
      <c r="Q236" s="12">
        <f t="shared" si="137"/>
        <v>0</v>
      </c>
    </row>
    <row r="237" spans="7:28">
      <c r="G237" s="12">
        <f t="shared" si="120"/>
        <v>0</v>
      </c>
      <c r="H237" s="12">
        <f t="shared" ref="H237:Q237" si="138">IF($E86&gt;H$66,0,IF($E86&lt;H$66-365,$D86,0))</f>
        <v>0</v>
      </c>
      <c r="I237" s="12">
        <f t="shared" si="138"/>
        <v>0</v>
      </c>
      <c r="J237" s="12">
        <f t="shared" si="138"/>
        <v>0</v>
      </c>
      <c r="K237" s="12">
        <f t="shared" si="138"/>
        <v>0</v>
      </c>
      <c r="L237" s="12">
        <f t="shared" si="138"/>
        <v>0</v>
      </c>
      <c r="M237" s="12">
        <f t="shared" si="138"/>
        <v>0</v>
      </c>
      <c r="N237" s="12">
        <f t="shared" si="138"/>
        <v>0</v>
      </c>
      <c r="O237" s="12">
        <f t="shared" si="138"/>
        <v>0</v>
      </c>
      <c r="P237" s="12">
        <f t="shared" si="138"/>
        <v>0</v>
      </c>
      <c r="Q237" s="12">
        <f t="shared" si="138"/>
        <v>0</v>
      </c>
    </row>
    <row r="238" spans="7:28">
      <c r="G238" s="12">
        <f t="shared" si="120"/>
        <v>0</v>
      </c>
      <c r="H238" s="12">
        <f t="shared" ref="H238:Q238" si="139">IF($E87&gt;H$66,0,IF($E87&lt;H$66-365,$D87,0))</f>
        <v>0</v>
      </c>
      <c r="I238" s="12">
        <f t="shared" si="139"/>
        <v>0</v>
      </c>
      <c r="J238" s="12">
        <f t="shared" si="139"/>
        <v>0</v>
      </c>
      <c r="K238" s="12">
        <f t="shared" si="139"/>
        <v>0</v>
      </c>
      <c r="L238" s="12">
        <f t="shared" si="139"/>
        <v>0</v>
      </c>
      <c r="M238" s="12">
        <f t="shared" si="139"/>
        <v>0</v>
      </c>
      <c r="N238" s="12">
        <f t="shared" si="139"/>
        <v>0</v>
      </c>
      <c r="O238" s="12">
        <f t="shared" si="139"/>
        <v>0</v>
      </c>
      <c r="P238" s="12">
        <f t="shared" si="139"/>
        <v>0</v>
      </c>
      <c r="Q238" s="12">
        <f t="shared" si="139"/>
        <v>0</v>
      </c>
    </row>
    <row r="239" spans="7:28">
      <c r="G239" s="12">
        <f t="shared" si="120"/>
        <v>0</v>
      </c>
      <c r="H239" s="12">
        <f t="shared" ref="H239:Q239" si="140">IF($E88&gt;H$66,0,IF($E88&lt;H$66-365,$D88,0))</f>
        <v>0</v>
      </c>
      <c r="I239" s="12">
        <f t="shared" si="140"/>
        <v>0</v>
      </c>
      <c r="J239" s="12">
        <f t="shared" si="140"/>
        <v>0</v>
      </c>
      <c r="K239" s="12">
        <f t="shared" si="140"/>
        <v>0</v>
      </c>
      <c r="L239" s="12">
        <f t="shared" si="140"/>
        <v>0</v>
      </c>
      <c r="M239" s="12">
        <f t="shared" si="140"/>
        <v>0</v>
      </c>
      <c r="N239" s="12">
        <f t="shared" si="140"/>
        <v>0</v>
      </c>
      <c r="O239" s="12">
        <f t="shared" si="140"/>
        <v>0</v>
      </c>
      <c r="P239" s="12">
        <f t="shared" si="140"/>
        <v>0</v>
      </c>
      <c r="Q239" s="12">
        <f t="shared" si="140"/>
        <v>0</v>
      </c>
    </row>
    <row r="240" spans="7:28">
      <c r="G240" s="12">
        <f t="shared" si="120"/>
        <v>0</v>
      </c>
      <c r="H240" s="12">
        <f t="shared" ref="H240:Q240" si="141">IF($E89&gt;H$66,0,IF($E89&lt;H$66-365,$D89,0))</f>
        <v>0</v>
      </c>
      <c r="I240" s="12">
        <f t="shared" si="141"/>
        <v>0</v>
      </c>
      <c r="J240" s="12">
        <f t="shared" si="141"/>
        <v>0</v>
      </c>
      <c r="K240" s="12">
        <f t="shared" si="141"/>
        <v>0</v>
      </c>
      <c r="L240" s="12">
        <f t="shared" si="141"/>
        <v>0</v>
      </c>
      <c r="M240" s="12">
        <f t="shared" si="141"/>
        <v>0</v>
      </c>
      <c r="N240" s="12">
        <f t="shared" si="141"/>
        <v>0</v>
      </c>
      <c r="O240" s="12">
        <f t="shared" si="141"/>
        <v>0</v>
      </c>
      <c r="P240" s="12">
        <f t="shared" si="141"/>
        <v>0</v>
      </c>
      <c r="Q240" s="12">
        <f t="shared" si="141"/>
        <v>0</v>
      </c>
    </row>
    <row r="241" spans="7:17">
      <c r="G241" s="12">
        <f t="shared" si="120"/>
        <v>0</v>
      </c>
      <c r="H241" s="12">
        <f t="shared" ref="H241:Q241" si="142">IF($E90&gt;H$66,0,IF($E90&lt;H$66-365,$D90,0))</f>
        <v>0</v>
      </c>
      <c r="I241" s="12">
        <f t="shared" si="142"/>
        <v>0</v>
      </c>
      <c r="J241" s="12">
        <f t="shared" si="142"/>
        <v>0</v>
      </c>
      <c r="K241" s="12">
        <f t="shared" si="142"/>
        <v>0</v>
      </c>
      <c r="L241" s="12">
        <f t="shared" si="142"/>
        <v>0</v>
      </c>
      <c r="M241" s="12">
        <f t="shared" si="142"/>
        <v>0</v>
      </c>
      <c r="N241" s="12">
        <f t="shared" si="142"/>
        <v>0</v>
      </c>
      <c r="O241" s="12">
        <f t="shared" si="142"/>
        <v>0</v>
      </c>
      <c r="P241" s="12">
        <f t="shared" si="142"/>
        <v>0</v>
      </c>
      <c r="Q241" s="12">
        <f t="shared" si="142"/>
        <v>0</v>
      </c>
    </row>
    <row r="242" spans="7:17">
      <c r="G242" s="12">
        <f t="shared" si="120"/>
        <v>0</v>
      </c>
      <c r="H242" s="12">
        <f t="shared" ref="H242:Q242" si="143">IF($E91&gt;H$66,0,IF($E91&lt;H$66-365,$D91,0))</f>
        <v>0</v>
      </c>
      <c r="I242" s="12">
        <f t="shared" si="143"/>
        <v>0</v>
      </c>
      <c r="J242" s="12">
        <f t="shared" si="143"/>
        <v>0</v>
      </c>
      <c r="K242" s="12">
        <f t="shared" si="143"/>
        <v>0</v>
      </c>
      <c r="L242" s="12">
        <f t="shared" si="143"/>
        <v>0</v>
      </c>
      <c r="M242" s="12">
        <f t="shared" si="143"/>
        <v>0</v>
      </c>
      <c r="N242" s="12">
        <f t="shared" si="143"/>
        <v>0</v>
      </c>
      <c r="O242" s="12">
        <f t="shared" si="143"/>
        <v>0</v>
      </c>
      <c r="P242" s="12">
        <f t="shared" si="143"/>
        <v>0</v>
      </c>
      <c r="Q242" s="12">
        <f t="shared" si="143"/>
        <v>0</v>
      </c>
    </row>
    <row r="243" spans="7:17">
      <c r="G243" s="12">
        <f t="shared" si="120"/>
        <v>0</v>
      </c>
      <c r="H243" s="12">
        <f t="shared" ref="H243:Q243" si="144">IF($E92&gt;H$66,0,IF($E92&lt;H$66-365,$D92,0))</f>
        <v>0</v>
      </c>
      <c r="I243" s="12">
        <f t="shared" si="144"/>
        <v>0</v>
      </c>
      <c r="J243" s="12">
        <f t="shared" si="144"/>
        <v>0</v>
      </c>
      <c r="K243" s="12">
        <f t="shared" si="144"/>
        <v>0</v>
      </c>
      <c r="L243" s="12">
        <f t="shared" si="144"/>
        <v>0</v>
      </c>
      <c r="M243" s="12">
        <f t="shared" si="144"/>
        <v>0</v>
      </c>
      <c r="N243" s="12">
        <f t="shared" si="144"/>
        <v>0</v>
      </c>
      <c r="O243" s="12">
        <f t="shared" si="144"/>
        <v>0</v>
      </c>
      <c r="P243" s="12">
        <f t="shared" si="144"/>
        <v>0</v>
      </c>
      <c r="Q243" s="12">
        <f t="shared" si="144"/>
        <v>0</v>
      </c>
    </row>
    <row r="244" spans="7:17">
      <c r="G244" s="12">
        <f t="shared" si="120"/>
        <v>0</v>
      </c>
      <c r="H244" s="12">
        <f t="shared" ref="H244:Q244" si="145">IF($E93&gt;H$66,0,IF($E93&lt;H$66-365,$D93,0))</f>
        <v>0</v>
      </c>
      <c r="I244" s="12">
        <f t="shared" si="145"/>
        <v>0</v>
      </c>
      <c r="J244" s="12">
        <f t="shared" si="145"/>
        <v>0</v>
      </c>
      <c r="K244" s="12">
        <f t="shared" si="145"/>
        <v>0</v>
      </c>
      <c r="L244" s="12">
        <f t="shared" si="145"/>
        <v>0</v>
      </c>
      <c r="M244" s="12">
        <f t="shared" si="145"/>
        <v>0</v>
      </c>
      <c r="N244" s="12">
        <f t="shared" si="145"/>
        <v>0</v>
      </c>
      <c r="O244" s="12">
        <f t="shared" si="145"/>
        <v>0</v>
      </c>
      <c r="P244" s="12">
        <f t="shared" si="145"/>
        <v>0</v>
      </c>
      <c r="Q244" s="12">
        <f t="shared" si="145"/>
        <v>0</v>
      </c>
    </row>
    <row r="245" spans="7:17">
      <c r="G245" s="12">
        <f t="shared" si="120"/>
        <v>0</v>
      </c>
      <c r="H245" s="12">
        <f t="shared" ref="H245:Q245" si="146">IF($E94&gt;H$66,0,IF($E94&lt;H$66-365,$D94,0))</f>
        <v>0</v>
      </c>
      <c r="I245" s="12">
        <f t="shared" si="146"/>
        <v>0</v>
      </c>
      <c r="J245" s="12">
        <f t="shared" si="146"/>
        <v>0</v>
      </c>
      <c r="K245" s="12">
        <f t="shared" si="146"/>
        <v>0</v>
      </c>
      <c r="L245" s="12">
        <f t="shared" si="146"/>
        <v>0</v>
      </c>
      <c r="M245" s="12">
        <f t="shared" si="146"/>
        <v>0</v>
      </c>
      <c r="N245" s="12">
        <f t="shared" si="146"/>
        <v>0</v>
      </c>
      <c r="O245" s="12">
        <f t="shared" si="146"/>
        <v>0</v>
      </c>
      <c r="P245" s="12">
        <f t="shared" si="146"/>
        <v>0</v>
      </c>
      <c r="Q245" s="12">
        <f t="shared" si="146"/>
        <v>0</v>
      </c>
    </row>
    <row r="246" spans="7:17">
      <c r="G246" s="12">
        <f t="shared" si="120"/>
        <v>0</v>
      </c>
      <c r="H246" s="12">
        <f t="shared" ref="H246:Q246" si="147">IF($E95&gt;H$66,0,IF($E95&lt;H$66-365,$D95,0))</f>
        <v>0</v>
      </c>
      <c r="I246" s="12">
        <f t="shared" si="147"/>
        <v>0</v>
      </c>
      <c r="J246" s="12">
        <f t="shared" si="147"/>
        <v>0</v>
      </c>
      <c r="K246" s="12">
        <f t="shared" si="147"/>
        <v>0</v>
      </c>
      <c r="L246" s="12">
        <f t="shared" si="147"/>
        <v>0</v>
      </c>
      <c r="M246" s="12">
        <f t="shared" si="147"/>
        <v>0</v>
      </c>
      <c r="N246" s="12">
        <f t="shared" si="147"/>
        <v>0</v>
      </c>
      <c r="O246" s="12">
        <f t="shared" si="147"/>
        <v>0</v>
      </c>
      <c r="P246" s="12">
        <f t="shared" si="147"/>
        <v>0</v>
      </c>
      <c r="Q246" s="12">
        <f t="shared" si="147"/>
        <v>0</v>
      </c>
    </row>
    <row r="247" spans="7:17">
      <c r="G247" s="12">
        <f t="shared" si="120"/>
        <v>0</v>
      </c>
      <c r="H247" s="12">
        <f t="shared" ref="H247:Q247" si="148">IF($E96&gt;H$66,0,IF($E96&lt;H$66-365,$D96,0))</f>
        <v>0</v>
      </c>
      <c r="I247" s="12">
        <f t="shared" si="148"/>
        <v>0</v>
      </c>
      <c r="J247" s="12">
        <f t="shared" si="148"/>
        <v>0</v>
      </c>
      <c r="K247" s="12">
        <f t="shared" si="148"/>
        <v>0</v>
      </c>
      <c r="L247" s="12">
        <f t="shared" si="148"/>
        <v>0</v>
      </c>
      <c r="M247" s="12">
        <f t="shared" si="148"/>
        <v>0</v>
      </c>
      <c r="N247" s="12">
        <f t="shared" si="148"/>
        <v>0</v>
      </c>
      <c r="O247" s="12">
        <f t="shared" si="148"/>
        <v>0</v>
      </c>
      <c r="P247" s="12">
        <f t="shared" si="148"/>
        <v>0</v>
      </c>
      <c r="Q247" s="12">
        <f t="shared" si="148"/>
        <v>0</v>
      </c>
    </row>
    <row r="248" spans="7:17">
      <c r="G248" s="12">
        <f t="shared" si="120"/>
        <v>0</v>
      </c>
      <c r="H248" s="12">
        <f t="shared" ref="H248:Q248" si="149">IF($E97&gt;H$66,0,IF($E97&lt;H$66-365,$D97,0))</f>
        <v>0</v>
      </c>
      <c r="I248" s="12">
        <f t="shared" si="149"/>
        <v>0</v>
      </c>
      <c r="J248" s="12">
        <f t="shared" si="149"/>
        <v>0</v>
      </c>
      <c r="K248" s="12">
        <f t="shared" si="149"/>
        <v>0</v>
      </c>
      <c r="L248" s="12">
        <f t="shared" si="149"/>
        <v>0</v>
      </c>
      <c r="M248" s="12">
        <f t="shared" si="149"/>
        <v>0</v>
      </c>
      <c r="N248" s="12">
        <f t="shared" si="149"/>
        <v>0</v>
      </c>
      <c r="O248" s="12">
        <f t="shared" si="149"/>
        <v>0</v>
      </c>
      <c r="P248" s="12">
        <f t="shared" si="149"/>
        <v>0</v>
      </c>
      <c r="Q248" s="12">
        <f t="shared" si="149"/>
        <v>0</v>
      </c>
    </row>
    <row r="249" spans="7:17">
      <c r="G249" s="12">
        <f t="shared" si="120"/>
        <v>0</v>
      </c>
      <c r="H249" s="12">
        <f t="shared" ref="H249:Q249" si="150">IF($E98&gt;H$66,0,IF($E98&lt;H$66-365,$D98,0))</f>
        <v>0</v>
      </c>
      <c r="I249" s="12">
        <f t="shared" si="150"/>
        <v>0</v>
      </c>
      <c r="J249" s="12">
        <f t="shared" si="150"/>
        <v>0</v>
      </c>
      <c r="K249" s="12">
        <f t="shared" si="150"/>
        <v>0</v>
      </c>
      <c r="L249" s="12">
        <f t="shared" si="150"/>
        <v>0</v>
      </c>
      <c r="M249" s="12">
        <f t="shared" si="150"/>
        <v>0</v>
      </c>
      <c r="N249" s="12">
        <f t="shared" si="150"/>
        <v>0</v>
      </c>
      <c r="O249" s="12">
        <f t="shared" si="150"/>
        <v>0</v>
      </c>
      <c r="P249" s="12">
        <f t="shared" si="150"/>
        <v>0</v>
      </c>
      <c r="Q249" s="12">
        <f t="shared" si="150"/>
        <v>0</v>
      </c>
    </row>
    <row r="250" spans="7:17">
      <c r="G250" s="12">
        <f t="shared" si="120"/>
        <v>0</v>
      </c>
      <c r="H250" s="12">
        <f t="shared" ref="H250:Q250" si="151">IF($E99&gt;H$66,0,IF($E99&lt;H$66-365,$D99,0))</f>
        <v>0</v>
      </c>
      <c r="I250" s="12">
        <f t="shared" si="151"/>
        <v>0</v>
      </c>
      <c r="J250" s="12">
        <f t="shared" si="151"/>
        <v>0</v>
      </c>
      <c r="K250" s="12">
        <f t="shared" si="151"/>
        <v>0</v>
      </c>
      <c r="L250" s="12">
        <f t="shared" si="151"/>
        <v>0</v>
      </c>
      <c r="M250" s="12">
        <f t="shared" si="151"/>
        <v>0</v>
      </c>
      <c r="N250" s="12">
        <f t="shared" si="151"/>
        <v>0</v>
      </c>
      <c r="O250" s="12">
        <f t="shared" si="151"/>
        <v>0</v>
      </c>
      <c r="P250" s="12">
        <f t="shared" si="151"/>
        <v>0</v>
      </c>
      <c r="Q250" s="12">
        <f t="shared" si="151"/>
        <v>0</v>
      </c>
    </row>
    <row r="251" spans="7:17">
      <c r="G251" s="12">
        <f t="shared" si="120"/>
        <v>0</v>
      </c>
      <c r="H251" s="12">
        <f t="shared" ref="H251:Q251" si="152">IF($E100&gt;H$66,0,IF($E100&lt;H$66-365,$D100,0))</f>
        <v>0</v>
      </c>
      <c r="I251" s="12">
        <f t="shared" si="152"/>
        <v>0</v>
      </c>
      <c r="J251" s="12">
        <f t="shared" si="152"/>
        <v>0</v>
      </c>
      <c r="K251" s="12">
        <f t="shared" si="152"/>
        <v>0</v>
      </c>
      <c r="L251" s="12">
        <f t="shared" si="152"/>
        <v>0</v>
      </c>
      <c r="M251" s="12">
        <f t="shared" si="152"/>
        <v>0</v>
      </c>
      <c r="N251" s="12">
        <f t="shared" si="152"/>
        <v>0</v>
      </c>
      <c r="O251" s="12">
        <f t="shared" si="152"/>
        <v>0</v>
      </c>
      <c r="P251" s="12">
        <f t="shared" si="152"/>
        <v>0</v>
      </c>
      <c r="Q251" s="12">
        <f t="shared" si="152"/>
        <v>0</v>
      </c>
    </row>
    <row r="252" spans="7:17">
      <c r="G252" s="12">
        <f t="shared" si="120"/>
        <v>0</v>
      </c>
      <c r="H252" s="12">
        <f t="shared" ref="H252:Q252" si="153">IF($E101&gt;H$66,0,IF($E101&lt;H$66-365,$D101,0))</f>
        <v>0</v>
      </c>
      <c r="I252" s="12">
        <f t="shared" si="153"/>
        <v>0</v>
      </c>
      <c r="J252" s="12">
        <f t="shared" si="153"/>
        <v>0</v>
      </c>
      <c r="K252" s="12">
        <f t="shared" si="153"/>
        <v>0</v>
      </c>
      <c r="L252" s="12">
        <f t="shared" si="153"/>
        <v>0</v>
      </c>
      <c r="M252" s="12">
        <f t="shared" si="153"/>
        <v>0</v>
      </c>
      <c r="N252" s="12">
        <f t="shared" si="153"/>
        <v>0</v>
      </c>
      <c r="O252" s="12">
        <f t="shared" si="153"/>
        <v>0</v>
      </c>
      <c r="P252" s="12">
        <f t="shared" si="153"/>
        <v>0</v>
      </c>
      <c r="Q252" s="12">
        <f t="shared" si="153"/>
        <v>0</v>
      </c>
    </row>
    <row r="253" spans="7:17">
      <c r="G253" s="12">
        <f t="shared" si="120"/>
        <v>0</v>
      </c>
      <c r="H253" s="12">
        <f t="shared" ref="H253:Q253" si="154">IF($E102&gt;H$66,0,IF($E102&lt;H$66-365,$D102,0))</f>
        <v>0</v>
      </c>
      <c r="I253" s="12">
        <f t="shared" si="154"/>
        <v>0</v>
      </c>
      <c r="J253" s="12">
        <f t="shared" si="154"/>
        <v>0</v>
      </c>
      <c r="K253" s="12">
        <f t="shared" si="154"/>
        <v>0</v>
      </c>
      <c r="L253" s="12">
        <f t="shared" si="154"/>
        <v>0</v>
      </c>
      <c r="M253" s="12">
        <f t="shared" si="154"/>
        <v>0</v>
      </c>
      <c r="N253" s="12">
        <f t="shared" si="154"/>
        <v>0</v>
      </c>
      <c r="O253" s="12">
        <f t="shared" si="154"/>
        <v>0</v>
      </c>
      <c r="P253" s="12">
        <f t="shared" si="154"/>
        <v>0</v>
      </c>
      <c r="Q253" s="12">
        <f t="shared" si="154"/>
        <v>0</v>
      </c>
    </row>
    <row r="254" spans="7:17">
      <c r="G254" s="12">
        <f t="shared" si="120"/>
        <v>0</v>
      </c>
      <c r="H254" s="12">
        <f t="shared" ref="H254:Q254" si="155">IF($E103&gt;H$66,0,IF($E103&lt;H$66-365,$D103,0))</f>
        <v>0</v>
      </c>
      <c r="I254" s="12">
        <f t="shared" si="155"/>
        <v>0</v>
      </c>
      <c r="J254" s="12">
        <f t="shared" si="155"/>
        <v>0</v>
      </c>
      <c r="K254" s="12">
        <f t="shared" si="155"/>
        <v>0</v>
      </c>
      <c r="L254" s="12">
        <f t="shared" si="155"/>
        <v>0</v>
      </c>
      <c r="M254" s="12">
        <f t="shared" si="155"/>
        <v>0</v>
      </c>
      <c r="N254" s="12">
        <f t="shared" si="155"/>
        <v>0</v>
      </c>
      <c r="O254" s="12">
        <f t="shared" si="155"/>
        <v>0</v>
      </c>
      <c r="P254" s="12">
        <f t="shared" si="155"/>
        <v>0</v>
      </c>
      <c r="Q254" s="12">
        <f t="shared" si="155"/>
        <v>0</v>
      </c>
    </row>
    <row r="255" spans="7:17">
      <c r="G255" s="12">
        <f t="shared" si="120"/>
        <v>0</v>
      </c>
      <c r="H255" s="12">
        <f t="shared" ref="H255:Q255" si="156">IF($E104&gt;H$66,0,IF($E104&lt;H$66-365,$D104,0))</f>
        <v>0</v>
      </c>
      <c r="I255" s="12">
        <f t="shared" si="156"/>
        <v>0</v>
      </c>
      <c r="J255" s="12">
        <f t="shared" si="156"/>
        <v>0</v>
      </c>
      <c r="K255" s="12">
        <f t="shared" si="156"/>
        <v>0</v>
      </c>
      <c r="L255" s="12">
        <f t="shared" si="156"/>
        <v>0</v>
      </c>
      <c r="M255" s="12">
        <f t="shared" si="156"/>
        <v>0</v>
      </c>
      <c r="N255" s="12">
        <f t="shared" si="156"/>
        <v>0</v>
      </c>
      <c r="O255" s="12">
        <f t="shared" si="156"/>
        <v>0</v>
      </c>
      <c r="P255" s="12">
        <f t="shared" si="156"/>
        <v>0</v>
      </c>
      <c r="Q255" s="12">
        <f t="shared" si="156"/>
        <v>0</v>
      </c>
    </row>
    <row r="256" spans="7:17">
      <c r="G256" s="12">
        <f t="shared" si="120"/>
        <v>0</v>
      </c>
      <c r="H256" s="12">
        <f t="shared" ref="H256:Q256" si="157">IF($E105&gt;H$66,0,IF($E105&lt;H$66-365,$D105,0))</f>
        <v>0</v>
      </c>
      <c r="I256" s="12">
        <f t="shared" si="157"/>
        <v>0</v>
      </c>
      <c r="J256" s="12">
        <f t="shared" si="157"/>
        <v>0</v>
      </c>
      <c r="K256" s="12">
        <f t="shared" si="157"/>
        <v>0</v>
      </c>
      <c r="L256" s="12">
        <f t="shared" si="157"/>
        <v>0</v>
      </c>
      <c r="M256" s="12">
        <f t="shared" si="157"/>
        <v>0</v>
      </c>
      <c r="N256" s="12">
        <f t="shared" si="157"/>
        <v>0</v>
      </c>
      <c r="O256" s="12">
        <f t="shared" si="157"/>
        <v>0</v>
      </c>
      <c r="P256" s="12">
        <f t="shared" si="157"/>
        <v>0</v>
      </c>
      <c r="Q256" s="12">
        <f t="shared" si="157"/>
        <v>0</v>
      </c>
    </row>
    <row r="257" spans="5:18">
      <c r="G257" s="12">
        <f t="shared" si="120"/>
        <v>0</v>
      </c>
      <c r="H257" s="12">
        <f t="shared" ref="H257:Q257" si="158">IF($E106&gt;H$66,0,IF($E106&lt;H$66-365,$D106,0))</f>
        <v>0</v>
      </c>
      <c r="I257" s="12">
        <f t="shared" si="158"/>
        <v>0</v>
      </c>
      <c r="J257" s="12">
        <f t="shared" si="158"/>
        <v>0</v>
      </c>
      <c r="K257" s="12">
        <f t="shared" si="158"/>
        <v>0</v>
      </c>
      <c r="L257" s="12">
        <f t="shared" si="158"/>
        <v>0</v>
      </c>
      <c r="M257" s="12">
        <f t="shared" si="158"/>
        <v>0</v>
      </c>
      <c r="N257" s="12">
        <f t="shared" si="158"/>
        <v>0</v>
      </c>
      <c r="O257" s="12">
        <f t="shared" si="158"/>
        <v>0</v>
      </c>
      <c r="P257" s="12">
        <f t="shared" si="158"/>
        <v>0</v>
      </c>
      <c r="Q257" s="12">
        <f t="shared" si="158"/>
        <v>0</v>
      </c>
    </row>
    <row r="258" spans="5:18">
      <c r="G258" s="12">
        <f t="shared" si="120"/>
        <v>0</v>
      </c>
      <c r="H258" s="12">
        <f t="shared" ref="H258:Q258" si="159">IF($E107&gt;H$66,0,IF($E107&lt;H$66-365,$D107,0))</f>
        <v>0</v>
      </c>
      <c r="I258" s="12">
        <f t="shared" si="159"/>
        <v>0</v>
      </c>
      <c r="J258" s="12">
        <f t="shared" si="159"/>
        <v>0</v>
      </c>
      <c r="K258" s="12">
        <f t="shared" si="159"/>
        <v>0</v>
      </c>
      <c r="L258" s="12">
        <f t="shared" si="159"/>
        <v>0</v>
      </c>
      <c r="M258" s="12">
        <f t="shared" si="159"/>
        <v>0</v>
      </c>
      <c r="N258" s="12">
        <f t="shared" si="159"/>
        <v>0</v>
      </c>
      <c r="O258" s="12">
        <f t="shared" si="159"/>
        <v>0</v>
      </c>
      <c r="P258" s="12">
        <f t="shared" si="159"/>
        <v>0</v>
      </c>
      <c r="Q258" s="12">
        <f t="shared" si="159"/>
        <v>0</v>
      </c>
    </row>
    <row r="259" spans="5:18">
      <c r="G259" s="12">
        <f t="shared" si="120"/>
        <v>0</v>
      </c>
      <c r="H259" s="12">
        <f t="shared" ref="H259:Q259" si="160">IF($E108&gt;H$66,0,IF($E108&lt;H$66-365,$D108,0))</f>
        <v>0</v>
      </c>
      <c r="I259" s="12">
        <f t="shared" si="160"/>
        <v>0</v>
      </c>
      <c r="J259" s="12">
        <f t="shared" si="160"/>
        <v>0</v>
      </c>
      <c r="K259" s="12">
        <f t="shared" si="160"/>
        <v>0</v>
      </c>
      <c r="L259" s="12">
        <f t="shared" si="160"/>
        <v>0</v>
      </c>
      <c r="M259" s="12">
        <f t="shared" si="160"/>
        <v>0</v>
      </c>
      <c r="N259" s="12">
        <f t="shared" si="160"/>
        <v>0</v>
      </c>
      <c r="O259" s="12">
        <f t="shared" si="160"/>
        <v>0</v>
      </c>
      <c r="P259" s="12">
        <f t="shared" si="160"/>
        <v>0</v>
      </c>
      <c r="Q259" s="12">
        <f t="shared" si="160"/>
        <v>0</v>
      </c>
    </row>
    <row r="260" spans="5:18">
      <c r="G260" s="12">
        <f t="shared" si="120"/>
        <v>0</v>
      </c>
      <c r="H260" s="12">
        <f t="shared" ref="H260:Q260" si="161">IF($E109&gt;H$66,0,IF($E109&lt;H$66-365,$D109,0))</f>
        <v>0</v>
      </c>
      <c r="I260" s="12">
        <f t="shared" si="161"/>
        <v>0</v>
      </c>
      <c r="J260" s="12">
        <f t="shared" si="161"/>
        <v>0</v>
      </c>
      <c r="K260" s="12">
        <f t="shared" si="161"/>
        <v>0</v>
      </c>
      <c r="L260" s="12">
        <f t="shared" si="161"/>
        <v>0</v>
      </c>
      <c r="M260" s="12">
        <f t="shared" si="161"/>
        <v>0</v>
      </c>
      <c r="N260" s="12">
        <f t="shared" si="161"/>
        <v>0</v>
      </c>
      <c r="O260" s="12">
        <f t="shared" si="161"/>
        <v>0</v>
      </c>
      <c r="P260" s="12">
        <f t="shared" si="161"/>
        <v>0</v>
      </c>
      <c r="Q260" s="12">
        <f t="shared" si="161"/>
        <v>0</v>
      </c>
    </row>
    <row r="261" spans="5:18">
      <c r="G261" s="12">
        <f t="shared" si="120"/>
        <v>0</v>
      </c>
      <c r="H261" s="12">
        <f t="shared" ref="H261:Q261" si="162">IF($E110&gt;H$66,0,IF($E110&lt;H$66-365,$D110,0))</f>
        <v>0</v>
      </c>
      <c r="I261" s="12">
        <f t="shared" si="162"/>
        <v>0</v>
      </c>
      <c r="J261" s="12">
        <f t="shared" si="162"/>
        <v>0</v>
      </c>
      <c r="K261" s="12">
        <f t="shared" si="162"/>
        <v>0</v>
      </c>
      <c r="L261" s="12">
        <f t="shared" si="162"/>
        <v>0</v>
      </c>
      <c r="M261" s="12">
        <f t="shared" si="162"/>
        <v>0</v>
      </c>
      <c r="N261" s="12">
        <f t="shared" si="162"/>
        <v>0</v>
      </c>
      <c r="O261" s="12">
        <f t="shared" si="162"/>
        <v>0</v>
      </c>
      <c r="P261" s="12">
        <f t="shared" si="162"/>
        <v>0</v>
      </c>
      <c r="Q261" s="12">
        <f t="shared" si="162"/>
        <v>0</v>
      </c>
    </row>
    <row r="262" spans="5:18">
      <c r="G262" s="12">
        <f t="shared" si="120"/>
        <v>0</v>
      </c>
      <c r="H262" s="12">
        <f t="shared" ref="H262:Q262" si="163">IF($E111&gt;H$66,0,IF($E111&lt;H$66-365,$D111,0))</f>
        <v>0</v>
      </c>
      <c r="I262" s="12">
        <f t="shared" si="163"/>
        <v>0</v>
      </c>
      <c r="J262" s="12">
        <f t="shared" si="163"/>
        <v>0</v>
      </c>
      <c r="K262" s="12">
        <f t="shared" si="163"/>
        <v>0</v>
      </c>
      <c r="L262" s="12">
        <f t="shared" si="163"/>
        <v>0</v>
      </c>
      <c r="M262" s="12">
        <f t="shared" si="163"/>
        <v>0</v>
      </c>
      <c r="N262" s="12">
        <f t="shared" si="163"/>
        <v>0</v>
      </c>
      <c r="O262" s="12">
        <f t="shared" si="163"/>
        <v>0</v>
      </c>
      <c r="P262" s="12">
        <f t="shared" si="163"/>
        <v>0</v>
      </c>
      <c r="Q262" s="12">
        <f t="shared" si="163"/>
        <v>0</v>
      </c>
    </row>
    <row r="263" spans="5:18">
      <c r="G263" s="12">
        <f t="shared" si="120"/>
        <v>0</v>
      </c>
      <c r="H263" s="12">
        <f t="shared" ref="H263:Q263" si="164">IF($E112&gt;H$66,0,IF($E112&lt;H$66-365,$D112,0))</f>
        <v>0</v>
      </c>
      <c r="I263" s="12">
        <f t="shared" si="164"/>
        <v>0</v>
      </c>
      <c r="J263" s="12">
        <f t="shared" si="164"/>
        <v>0</v>
      </c>
      <c r="K263" s="12">
        <f t="shared" si="164"/>
        <v>0</v>
      </c>
      <c r="L263" s="12">
        <f t="shared" si="164"/>
        <v>0</v>
      </c>
      <c r="M263" s="12">
        <f t="shared" si="164"/>
        <v>0</v>
      </c>
      <c r="N263" s="12">
        <f t="shared" si="164"/>
        <v>0</v>
      </c>
      <c r="O263" s="12">
        <f t="shared" si="164"/>
        <v>0</v>
      </c>
      <c r="P263" s="12">
        <f t="shared" si="164"/>
        <v>0</v>
      </c>
      <c r="Q263" s="12">
        <f t="shared" si="164"/>
        <v>0</v>
      </c>
    </row>
    <row r="264" spans="5:18">
      <c r="G264" s="12">
        <f t="shared" si="120"/>
        <v>0</v>
      </c>
      <c r="H264" s="12">
        <f t="shared" ref="H264:Q264" si="165">IF($E113&gt;H$66,0,IF($E113&lt;H$66-365,$D113,0))</f>
        <v>0</v>
      </c>
      <c r="I264" s="12">
        <f t="shared" si="165"/>
        <v>0</v>
      </c>
      <c r="J264" s="12">
        <f t="shared" si="165"/>
        <v>0</v>
      </c>
      <c r="K264" s="12">
        <f t="shared" si="165"/>
        <v>0</v>
      </c>
      <c r="L264" s="12">
        <f t="shared" si="165"/>
        <v>0</v>
      </c>
      <c r="M264" s="12">
        <f t="shared" si="165"/>
        <v>0</v>
      </c>
      <c r="N264" s="12">
        <f t="shared" si="165"/>
        <v>0</v>
      </c>
      <c r="O264" s="12">
        <f t="shared" si="165"/>
        <v>0</v>
      </c>
      <c r="P264" s="12">
        <f t="shared" si="165"/>
        <v>0</v>
      </c>
      <c r="Q264" s="12">
        <f t="shared" si="165"/>
        <v>0</v>
      </c>
    </row>
    <row r="265" spans="5:18">
      <c r="G265" s="12">
        <f t="shared" si="120"/>
        <v>0</v>
      </c>
      <c r="H265" s="12">
        <f t="shared" ref="H265:Q265" si="166">IF($E114&gt;H$66,0,IF($E114&lt;H$66-365,$D114,0))</f>
        <v>0</v>
      </c>
      <c r="I265" s="12">
        <f t="shared" si="166"/>
        <v>0</v>
      </c>
      <c r="J265" s="12">
        <f t="shared" si="166"/>
        <v>0</v>
      </c>
      <c r="K265" s="12">
        <f t="shared" si="166"/>
        <v>0</v>
      </c>
      <c r="L265" s="12">
        <f t="shared" si="166"/>
        <v>0</v>
      </c>
      <c r="M265" s="12">
        <f t="shared" si="166"/>
        <v>0</v>
      </c>
      <c r="N265" s="12">
        <f t="shared" si="166"/>
        <v>0</v>
      </c>
      <c r="O265" s="12">
        <f t="shared" si="166"/>
        <v>0</v>
      </c>
      <c r="P265" s="12">
        <f t="shared" si="166"/>
        <v>0</v>
      </c>
      <c r="Q265" s="12">
        <f t="shared" si="166"/>
        <v>0</v>
      </c>
    </row>
    <row r="267" spans="5:18">
      <c r="F267" s="187" t="s">
        <v>493</v>
      </c>
      <c r="G267" s="187">
        <f>SUM(G220:G265)</f>
        <v>0</v>
      </c>
      <c r="H267" s="187">
        <f t="shared" ref="H267:Q267" si="167">SUM(H220:H265)</f>
        <v>0</v>
      </c>
      <c r="I267" s="187">
        <f t="shared" si="167"/>
        <v>0</v>
      </c>
      <c r="J267" s="187">
        <f t="shared" si="167"/>
        <v>0</v>
      </c>
      <c r="K267" s="187">
        <f t="shared" si="167"/>
        <v>0</v>
      </c>
      <c r="L267" s="187">
        <f t="shared" si="167"/>
        <v>0</v>
      </c>
      <c r="M267" s="187">
        <f t="shared" si="167"/>
        <v>0</v>
      </c>
      <c r="N267" s="187">
        <f t="shared" si="167"/>
        <v>-140</v>
      </c>
      <c r="O267" s="187">
        <f t="shared" si="167"/>
        <v>-590</v>
      </c>
      <c r="P267" s="187">
        <f t="shared" si="167"/>
        <v>-590</v>
      </c>
      <c r="Q267" s="187">
        <f t="shared" si="167"/>
        <v>-590</v>
      </c>
    </row>
    <row r="271" spans="5:18">
      <c r="F271" s="207" t="s">
        <v>486</v>
      </c>
      <c r="G271" s="206">
        <f>G66</f>
        <v>45473</v>
      </c>
      <c r="H271" s="206">
        <f t="shared" ref="H271:Q271" si="168">H66</f>
        <v>45838</v>
      </c>
      <c r="I271" s="206">
        <f t="shared" si="168"/>
        <v>46203</v>
      </c>
      <c r="J271" s="206">
        <f t="shared" si="168"/>
        <v>46568</v>
      </c>
      <c r="K271" s="206">
        <f t="shared" si="168"/>
        <v>46934</v>
      </c>
      <c r="L271" s="206">
        <f t="shared" si="168"/>
        <v>47299</v>
      </c>
      <c r="M271" s="206">
        <f t="shared" si="168"/>
        <v>47664</v>
      </c>
      <c r="N271" s="206">
        <f t="shared" si="168"/>
        <v>48029</v>
      </c>
      <c r="O271" s="206">
        <f t="shared" si="168"/>
        <v>48395</v>
      </c>
      <c r="P271" s="206">
        <f t="shared" si="168"/>
        <v>48760</v>
      </c>
      <c r="Q271" s="206">
        <f t="shared" si="168"/>
        <v>49125</v>
      </c>
      <c r="R271" s="206">
        <f t="shared" ref="R271" si="169">Q271+365</f>
        <v>49490</v>
      </c>
    </row>
    <row r="272" spans="5:18">
      <c r="E272" s="12" t="s">
        <v>399</v>
      </c>
      <c r="F272" s="348">
        <f t="shared" ref="F272:P272" si="170">Z216</f>
        <v>5.448052881161086</v>
      </c>
      <c r="G272" s="348">
        <f t="shared" si="170"/>
        <v>5.448052881161086</v>
      </c>
      <c r="H272" s="348">
        <f t="shared" si="170"/>
        <v>5.5006819299584313</v>
      </c>
      <c r="I272" s="348">
        <f t="shared" si="170"/>
        <v>5.5006819299584313</v>
      </c>
      <c r="J272" s="348">
        <f t="shared" si="170"/>
        <v>5.5006819299584313</v>
      </c>
      <c r="K272" s="348">
        <f t="shared" si="170"/>
        <v>5.632254551951795</v>
      </c>
      <c r="L272" s="348">
        <f t="shared" si="170"/>
        <v>5.6487011297009655</v>
      </c>
      <c r="M272" s="348">
        <f t="shared" si="170"/>
        <v>5.6487011297009655</v>
      </c>
      <c r="N272" s="348">
        <f t="shared" si="170"/>
        <v>5.6413803315520532</v>
      </c>
      <c r="O272" s="348">
        <f t="shared" si="170"/>
        <v>5.6864549189699458</v>
      </c>
      <c r="P272" s="348">
        <f t="shared" si="170"/>
        <v>5.7061908122689511</v>
      </c>
      <c r="Q272" s="348">
        <f>AK216</f>
        <v>5.7061908122689511</v>
      </c>
    </row>
  </sheetData>
  <sheetProtection formatCells="0" formatColumns="0" formatRows="0" selectLockedCells="1"/>
  <customSheetViews>
    <customSheetView guid="{0FAFE012-8D9E-4ED0-86A4-A997E430971B}" scale="70" showGridLines="0" fitToPage="1" hiddenRows="1" topLeftCell="C5">
      <selection activeCell="V77" sqref="A77:V77"/>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26" priority="1" operator="lessThan">
      <formula>0</formula>
    </cfRule>
  </conditionalFormatting>
  <conditionalFormatting sqref="F46:Q47">
    <cfRule type="cellIs" dxfId="25" priority="3" operator="lessThan">
      <formula>0</formula>
    </cfRule>
  </conditionalFormatting>
  <conditionalFormatting sqref="F50:Q50">
    <cfRule type="cellIs" dxfId="24" priority="2" operator="lessThan">
      <formula>0</formula>
    </cfRule>
  </conditionalFormatting>
  <dataValidations disablePrompts="1" count="3">
    <dataValidation type="list" allowBlank="1" showInputMessage="1" showErrorMessage="1" sqref="O114:Q114" xr:uid="{80055E16-77BA-4EDC-9215-9A4632470906}">
      <formula1>$BS$156:$BS$159</formula1>
    </dataValidation>
    <dataValidation type="list" allowBlank="1" showInputMessage="1" showErrorMessage="1" sqref="E114" xr:uid="{4A931DC7-B1BF-4261-BBF7-71AE375CD86D}">
      <formula1>$BQ$155:$BQ$169</formula1>
    </dataValidation>
    <dataValidation type="list" allowBlank="1" showInputMessage="1" showErrorMessage="1" sqref="F141:G141" xr:uid="{24FBF86C-D2BC-4459-8EB2-4D155B0FBDAA}">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50039-B01E-402F-9211-D97B8FCA4D81}">
  <sheetPr codeName="Sheet50">
    <tabColor theme="5"/>
    <pageSetUpPr fitToPage="1"/>
  </sheetPr>
  <dimension ref="A1:CJ272"/>
  <sheetViews>
    <sheetView showGridLines="0" topLeftCell="C1" zoomScale="55" zoomScaleNormal="55" workbookViewId="0">
      <selection activeCell="Z40" sqref="Z40"/>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1.5429687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55</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VIC2</v>
      </c>
      <c r="B6" s="368" t="s">
        <v>309</v>
      </c>
      <c r="C6" s="484" t="s">
        <v>41</v>
      </c>
      <c r="D6" s="485">
        <f>(VLOOKUP($A$2,Assumptions!$B$41:$C$63,2,0))/1000</f>
        <v>0.30588435755196569</v>
      </c>
      <c r="E6" s="367" t="s">
        <v>311</v>
      </c>
      <c r="F6" s="517">
        <f>VLOOKUP($A$2,'Footprint Summary'!$B$4:$R$26,COLUMNS('Footprint Summary'!$B$4:F$26)+1,0)</f>
        <v>1278.2635</v>
      </c>
      <c r="G6" s="517">
        <f>VLOOKUP($A$2,'Footprint Summary'!$B$4:$R$26,COLUMNS('Footprint Summary'!$B$4:G$26)+1,0)</f>
        <v>1192.1635000000001</v>
      </c>
      <c r="H6" s="517">
        <f>VLOOKUP($A$2,'Footprint Summary'!$B$4:$R$26,COLUMNS('Footprint Summary'!$B$4:H$26)+1,0)</f>
        <v>1192.1635000000001</v>
      </c>
      <c r="I6" s="517">
        <f>VLOOKUP($A$2,'Footprint Summary'!$B$4:$R$26,COLUMNS('Footprint Summary'!$B$4:I$26)+1,0)</f>
        <v>1132.4635000000001</v>
      </c>
      <c r="J6" s="517">
        <f>VLOOKUP($A$2,'Footprint Summary'!$B$4:$R$26,COLUMNS('Footprint Summary'!$B$4:J$26)+1,0)</f>
        <v>1119.4635000000001</v>
      </c>
      <c r="K6" s="517">
        <f>VLOOKUP($A$2,'Footprint Summary'!$B$4:$R$26,COLUMNS('Footprint Summary'!$B$4:K$26)+1,0)</f>
        <v>998.26350000000002</v>
      </c>
      <c r="L6" s="517">
        <f>VLOOKUP($A$2,'Footprint Summary'!$B$4:$R$26,COLUMNS('Footprint Summary'!$B$4:L$26)+1,0)</f>
        <v>998.26350000000002</v>
      </c>
      <c r="M6" s="517">
        <f>VLOOKUP($A$2,'Footprint Summary'!$B$4:$R$26,COLUMNS('Footprint Summary'!$B$4:M$26)+1,0)</f>
        <v>1185.2635</v>
      </c>
      <c r="N6" s="517">
        <f>VLOOKUP($A$2,'Footprint Summary'!$B$4:$R$26,COLUMNS('Footprint Summary'!$B$4:N$26)+1,0)</f>
        <v>1185.2635</v>
      </c>
      <c r="O6" s="517">
        <f>VLOOKUP($A$2,'Footprint Summary'!$B$4:$R$26,COLUMNS('Footprint Summary'!$B$4:O$26)+1,0)</f>
        <v>1185.2635</v>
      </c>
      <c r="P6" s="517">
        <f>VLOOKUP($A$2,'Footprint Summary'!$B$4:$R$26,COLUMNS('Footprint Summary'!$B$4:P$26)+1,0)</f>
        <v>1185.2635</v>
      </c>
      <c r="Q6" s="429">
        <f>(P6-F6)/F6</f>
        <v>-7.2754952323992664E-2</v>
      </c>
      <c r="R6" s="366"/>
      <c r="S6" s="357"/>
      <c r="T6" s="8"/>
      <c r="U6" s="8"/>
    </row>
    <row r="7" spans="1:21" s="7" customFormat="1" ht="17.25" customHeight="1">
      <c r="A7" s="368" t="str">
        <f>VLOOKUP($A$2,'Asset Attributes'!$B$3:$D$25,2,0)</f>
        <v>VIC2</v>
      </c>
      <c r="B7" s="368" t="s">
        <v>312</v>
      </c>
      <c r="E7" s="367" t="s">
        <v>311</v>
      </c>
      <c r="F7" s="518">
        <f>F6-$F$6</f>
        <v>0</v>
      </c>
      <c r="G7" s="518">
        <f t="shared" ref="G7:P7" si="1">G6-$F$6</f>
        <v>-86.099999999999909</v>
      </c>
      <c r="H7" s="518">
        <f t="shared" si="1"/>
        <v>-86.099999999999909</v>
      </c>
      <c r="I7" s="518">
        <f t="shared" si="1"/>
        <v>-145.79999999999995</v>
      </c>
      <c r="J7" s="518">
        <f t="shared" si="1"/>
        <v>-158.79999999999995</v>
      </c>
      <c r="K7" s="518">
        <f t="shared" si="1"/>
        <v>-280</v>
      </c>
      <c r="L7" s="518">
        <f t="shared" si="1"/>
        <v>-280</v>
      </c>
      <c r="M7" s="518">
        <f t="shared" si="1"/>
        <v>-93</v>
      </c>
      <c r="N7" s="518">
        <f t="shared" si="1"/>
        <v>-93</v>
      </c>
      <c r="O7" s="518">
        <f t="shared" si="1"/>
        <v>-93</v>
      </c>
      <c r="P7" s="518">
        <f t="shared" si="1"/>
        <v>-93</v>
      </c>
      <c r="Q7" s="490">
        <f>SUM(F7:P7)</f>
        <v>-1408.7999999999997</v>
      </c>
      <c r="R7" s="366"/>
      <c r="S7" s="357"/>
      <c r="T7" s="8"/>
      <c r="U7" s="8"/>
    </row>
    <row r="8" spans="1:21" s="7" customFormat="1" ht="17.25" customHeight="1">
      <c r="A8" s="419" t="s">
        <v>284</v>
      </c>
      <c r="B8" s="368" t="s">
        <v>313</v>
      </c>
      <c r="C8" s="2"/>
      <c r="D8" s="486">
        <f>(VLOOKUP($A$2,Assumptions!$B$69:$C$91,2,0))</f>
        <v>30.590179316567607</v>
      </c>
      <c r="E8" s="422" t="s">
        <v>314</v>
      </c>
      <c r="F8" s="519">
        <f>VLOOKUP($A$2,'Footprint Summary'!$B$33:$R$55,COLUMNS('Footprint Summary'!$B$33:F$55)+1,0)</f>
        <v>5473.3249999999998</v>
      </c>
      <c r="G8" s="519">
        <f>VLOOKUP($A$2,'Footprint Summary'!$B$33:$R$55,COLUMNS('Footprint Summary'!$B$33:G$55)+1,0)</f>
        <v>5264.5767891209134</v>
      </c>
      <c r="H8" s="519">
        <f>VLOOKUP($A$2,'Footprint Summary'!$B$33:$R$55,COLUMNS('Footprint Summary'!$B$33:H$55)+1,0)</f>
        <v>5264.5767891209134</v>
      </c>
      <c r="I8" s="519">
        <f>VLOOKUP($A$2,'Footprint Summary'!$B$33:$R$55,COLUMNS('Footprint Summary'!$B$33:I$55)+1,0)</f>
        <v>5264.5767891209134</v>
      </c>
      <c r="J8" s="519">
        <f>VLOOKUP($A$2,'Footprint Summary'!$B$33:$R$55,COLUMNS('Footprint Summary'!$B$33:J$55)+1,0)</f>
        <v>5264.5767891209134</v>
      </c>
      <c r="K8" s="519">
        <f>VLOOKUP($A$2,'Footprint Summary'!$B$33:$R$55,COLUMNS('Footprint Summary'!$B$33:K$55)+1,0)</f>
        <v>4742.5702696034068</v>
      </c>
      <c r="L8" s="519">
        <f>VLOOKUP($A$2,'Footprint Summary'!$B$33:$R$55,COLUMNS('Footprint Summary'!$B$33:L$55)+1,0)</f>
        <v>4499.0080248578415</v>
      </c>
      <c r="M8" s="519">
        <f>VLOOKUP($A$2,'Footprint Summary'!$B$33:$R$55,COLUMNS('Footprint Summary'!$B$33:M$55)+1,0)</f>
        <v>552.00802485784152</v>
      </c>
      <c r="N8" s="519">
        <f>VLOOKUP($A$2,'Footprint Summary'!$B$33:$R$55,COLUMNS('Footprint Summary'!$B$33:N$55)+1,0)</f>
        <v>552.00802485784152</v>
      </c>
      <c r="O8" s="519">
        <f>VLOOKUP($A$2,'Footprint Summary'!$B$33:$R$55,COLUMNS('Footprint Summary'!$B$33:O$55)+1,0)</f>
        <v>552.00802485784152</v>
      </c>
      <c r="P8" s="519">
        <f>VLOOKUP($A$2,'Footprint Summary'!$B$33:$R$55,COLUMNS('Footprint Summary'!$B$33:P$55)+1,0)</f>
        <v>552.00802485784152</v>
      </c>
      <c r="Q8" s="429">
        <f>(P8-F8)/F8</f>
        <v>-0.89914576151464753</v>
      </c>
      <c r="R8" s="366"/>
      <c r="S8" s="357"/>
      <c r="T8" s="8"/>
      <c r="U8" s="8"/>
    </row>
    <row r="9" spans="1:21" s="7" customFormat="1" ht="17.25" customHeight="1">
      <c r="A9" s="419" t="s">
        <v>284</v>
      </c>
      <c r="B9" s="368" t="s">
        <v>315</v>
      </c>
      <c r="C9" s="2"/>
      <c r="D9" s="2"/>
      <c r="E9" s="422" t="s">
        <v>314</v>
      </c>
      <c r="F9" s="518">
        <f t="shared" ref="F9:P9" si="2">F8-$F$8</f>
        <v>0</v>
      </c>
      <c r="G9" s="518">
        <f t="shared" si="2"/>
        <v>-208.7482108790864</v>
      </c>
      <c r="H9" s="518">
        <f t="shared" si="2"/>
        <v>-208.7482108790864</v>
      </c>
      <c r="I9" s="518">
        <f t="shared" si="2"/>
        <v>-208.7482108790864</v>
      </c>
      <c r="J9" s="518">
        <f t="shared" si="2"/>
        <v>-208.7482108790864</v>
      </c>
      <c r="K9" s="518">
        <f t="shared" si="2"/>
        <v>-730.754730396593</v>
      </c>
      <c r="L9" s="518">
        <f t="shared" si="2"/>
        <v>-974.3169751421583</v>
      </c>
      <c r="M9" s="518">
        <f t="shared" si="2"/>
        <v>-4921.3169751421583</v>
      </c>
      <c r="N9" s="518">
        <f t="shared" si="2"/>
        <v>-4921.3169751421583</v>
      </c>
      <c r="O9" s="518">
        <f t="shared" si="2"/>
        <v>-4921.3169751421583</v>
      </c>
      <c r="P9" s="518">
        <f t="shared" si="2"/>
        <v>-4921.3169751421583</v>
      </c>
      <c r="Q9" s="490">
        <f>SUM(F9:P9)</f>
        <v>-22225.332449623733</v>
      </c>
      <c r="R9" s="366"/>
      <c r="S9" s="357"/>
      <c r="T9" s="8"/>
      <c r="U9" s="8"/>
    </row>
    <row r="10" spans="1:21" s="7" customFormat="1" ht="36.75" customHeight="1">
      <c r="F10" s="633"/>
      <c r="G10" s="633"/>
      <c r="H10" s="634"/>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VIC2</v>
      </c>
      <c r="B13" s="368" t="s">
        <v>317</v>
      </c>
      <c r="C13" s="367"/>
      <c r="D13" s="2"/>
      <c r="E13" s="367" t="s">
        <v>321</v>
      </c>
      <c r="F13" s="367">
        <f>VLOOKUP($A$2,'Footprint Summary'!$B$4:$R$26,COLUMNS('Footprint Summary'!$B$4:F$26)+1,0)*VLOOKUP($A$13,Assumptions!$A$4:$N$14,COLUMNS(Assumptions!$A$4:B$14)+1,0)</f>
        <v>1176.00242</v>
      </c>
      <c r="G13" s="367">
        <f>VLOOKUP($A$2,'Footprint Summary'!$B$4:$R$26,COLUMNS('Footprint Summary'!$B$4:G$26)+1,0)*VLOOKUP($A$13,Assumptions!$A$4:$N$14,COLUMNS(Assumptions!$A$4:C$14)+1,0)</f>
        <v>526.3401852500001</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282.04043725000002</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106.314639384</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1564.357496634</v>
      </c>
      <c r="G16" s="434">
        <f t="shared" ref="G16:P16" si="4">SUM(G13:G15)</f>
        <v>526.3401852500001</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28.416513716989702</v>
      </c>
      <c r="G17" s="428">
        <f>1000*G16/(VLOOKUP($A$2,'Asset Attributes'!$B$3:$D$25,3,0))</f>
        <v>9.5609559363136025</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76.026299999999921</v>
      </c>
      <c r="H20" s="499">
        <f>-1*(VLOOKUP($A$2,'Footprint Summary'!$B$244:T$266,COLUMNS('Footprint Summary'!$B$244:H$266)+1,0))</f>
        <v>66.46919999999993</v>
      </c>
      <c r="I20" s="499">
        <f>-1*(VLOOKUP($A$2,'Footprint Summary'!$B$244:U$266,COLUMNS('Footprint Summary'!$B$244:I$266)+1,0))</f>
        <v>106.87139999999997</v>
      </c>
      <c r="J20" s="499">
        <f>-1*(VLOOKUP($A$2,'Footprint Summary'!$B$244:V$266,COLUMNS('Footprint Summary'!$B$244:J$266)+1,0))</f>
        <v>113.22439999999996</v>
      </c>
      <c r="K20" s="499">
        <f>-1*(VLOOKUP($A$2,'Footprint Summary'!$B$244:W$266,COLUMNS('Footprint Summary'!$B$244:K$266)+1,0))</f>
        <v>195.72</v>
      </c>
      <c r="L20" s="499">
        <f>-1*(VLOOKUP($A$2,'Footprint Summary'!$B$244:X$266,COLUMNS('Footprint Summary'!$B$244:L$266)+1,0))</f>
        <v>184.24</v>
      </c>
      <c r="M20" s="499">
        <f>-1*(VLOOKUP($A$2,'Footprint Summary'!$B$244:Y$266,COLUMNS('Footprint Summary'!$B$244:M$266)+1,0))</f>
        <v>54.590999999999994</v>
      </c>
      <c r="N20" s="499">
        <f>-1*(VLOOKUP($A$2,'Footprint Summary'!$B$244:Z$266,COLUMNS('Footprint Summary'!$B$244:N$266)+1,0))</f>
        <v>47.988</v>
      </c>
      <c r="O20" s="499">
        <f>-1*(VLOOKUP($A$2,'Footprint Summary'!$B$244:AA$266,COLUMNS('Footprint Summary'!$B$244:O$266)+1,0))</f>
        <v>42.873000000000005</v>
      </c>
      <c r="P20" s="499">
        <f>-1*(VLOOKUP($A$2,'Footprint Summary'!$B$244:AB$266,COLUMNS('Footprint Summary'!$B$244:P$266)+1,0))</f>
        <v>40.734000000000002</v>
      </c>
      <c r="Q20" s="499">
        <f>SUM(G20:P20)</f>
        <v>928.73729999999989</v>
      </c>
      <c r="R20" s="366"/>
      <c r="S20" s="357"/>
      <c r="T20" s="8"/>
      <c r="U20" s="8"/>
    </row>
    <row r="21" spans="1:21" s="7" customFormat="1" ht="19.5" customHeight="1">
      <c r="A21" s="368" t="str">
        <f>VLOOKUP($A$2,'Asset Attributes'!$B$3:$D$25,2,0)</f>
        <v>VIC2</v>
      </c>
      <c r="B21" s="368" t="s">
        <v>326</v>
      </c>
      <c r="E21" s="367" t="s">
        <v>321</v>
      </c>
      <c r="F21" s="499">
        <f>-1*(VLOOKUP($A$2,'Footprint Summary'!$B$302:$R$324,COLUMNS('Footprint Summary'!$B$302:F324)+1,0))</f>
        <v>0</v>
      </c>
      <c r="G21" s="499">
        <f>-1*(VLOOKUP($A$2,'Footprint Summary'!$B$302:$R$324,COLUMNS('Footprint Summary'!$B$302:G324)+1,0))</f>
        <v>526.3401852500001</v>
      </c>
      <c r="H21" s="499">
        <f>-1*(VLOOKUP($A$2,'Footprint Summary'!$B$302:$R$324,COLUMNS('Footprint Summary'!$B$302:H324)+1,0))</f>
        <v>920.35022200000014</v>
      </c>
      <c r="I21" s="499">
        <f>-1*(VLOOKUP($A$2,'Footprint Summary'!$B$302:$R$324,COLUMNS('Footprint Summary'!$B$302:I324)+1,0))</f>
        <v>830.09574550000002</v>
      </c>
      <c r="J21" s="499">
        <f>-1*(VLOOKUP($A$2,'Footprint Summary'!$B$302:$R$324,COLUMNS('Footprint Summary'!$B$302:J324)+1,0))</f>
        <v>798.17747550000001</v>
      </c>
      <c r="K21" s="499">
        <f>-1*(VLOOKUP($A$2,'Footprint Summary'!$B$302:$R$324,COLUMNS('Footprint Summary'!$B$302:K324)+1,0))</f>
        <v>697.78618649999999</v>
      </c>
      <c r="L21" s="499">
        <f>-1*(VLOOKUP($A$2,'Footprint Summary'!$B$302:$R$324,COLUMNS('Footprint Summary'!$B$302:L324)+1,0))</f>
        <v>656.85738300000003</v>
      </c>
      <c r="M21" s="499">
        <f>-1*(VLOOKUP($A$2,'Footprint Summary'!$B$302:$R$324,COLUMNS('Footprint Summary'!$B$302:M324)+1,0))</f>
        <v>695.74967449999997</v>
      </c>
      <c r="N21" s="499">
        <f>-1*(VLOOKUP($A$2,'Footprint Summary'!$B$302:$R$324,COLUMNS('Footprint Summary'!$B$302:N324)+1,0))</f>
        <v>611.59596599999998</v>
      </c>
      <c r="O21" s="499">
        <f>-1*(VLOOKUP($A$2,'Footprint Summary'!$B$302:$R$324,COLUMNS('Footprint Summary'!$B$302:O324)+1,0))</f>
        <v>546.40647350000006</v>
      </c>
      <c r="P21" s="499">
        <f>-1*(VLOOKUP($A$2,'Footprint Summary'!$B$302:$R$324,COLUMNS('Footprint Summary'!$B$302:P324)+1,0))</f>
        <v>519.14541299999996</v>
      </c>
      <c r="Q21" s="499">
        <f t="shared" ref="Q21:Q27" si="6">SUM(G21:P21)</f>
        <v>6802.5047247499997</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271.28364194340065</v>
      </c>
      <c r="H22" s="499">
        <f>(VLOOKUP($A$2,'Footprint Summary'!$B$33:$R$55,COLUMNS('Footprint Summary'!$B$33:H$55)+1,0)*VLOOKUP($B$14,Assumptions!$B$17:$N$29,COLUMNS(Assumptions!$B$18:D$29)+1,0)/1000)</f>
        <v>271.28364194340065</v>
      </c>
      <c r="I22" s="499">
        <f>(VLOOKUP($A$2,'Footprint Summary'!$B$33:$R$55,COLUMNS('Footprint Summary'!$B$33:I$55)+1,0)*VLOOKUP($B$14,Assumptions!$B$17:$N$29,COLUMNS(Assumptions!$B$18:E$29)+1,0)/1000)</f>
        <v>271.28364194340065</v>
      </c>
      <c r="J22" s="499">
        <f>(VLOOKUP($A$2,'Footprint Summary'!$B$33:$R$55,COLUMNS('Footprint Summary'!$B$33:J$55)+1,0)*VLOOKUP($B$14,Assumptions!$B$17:$N$29,COLUMNS(Assumptions!$B$18:F$29)+1,0)/1000)</f>
        <v>271.28364194340065</v>
      </c>
      <c r="K22" s="499">
        <f>(VLOOKUP($A$2,'Footprint Summary'!$B$33:$R$55,COLUMNS('Footprint Summary'!$B$33:K$55)+1,0)*VLOOKUP($B$14,Assumptions!$B$17:$N$29,COLUMNS(Assumptions!$B$18:G$29)+1,0)/1000)</f>
        <v>244.38464599266356</v>
      </c>
      <c r="L22" s="499">
        <f>(VLOOKUP($A$2,'Footprint Summary'!$B$33:$R$55,COLUMNS('Footprint Summary'!$B$33:L$55)+1,0)*VLOOKUP($B$14,Assumptions!$B$17:$N$29,COLUMNS(Assumptions!$B$18:H$29)+1,0)/1000)</f>
        <v>231.83388352092459</v>
      </c>
      <c r="M22" s="499">
        <f>(VLOOKUP($A$2,'Footprint Summary'!$B$33:$R$55,COLUMNS('Footprint Summary'!$B$33:M$55)+1,0)*VLOOKUP($B$14,Assumptions!$B$17:$N$29,COLUMNS(Assumptions!$B$18:I$29)+1,0)/1000)</f>
        <v>28.444973520924574</v>
      </c>
      <c r="N22" s="499">
        <f>(VLOOKUP($A$2,'Footprint Summary'!$B$33:$R$55,COLUMNS('Footprint Summary'!$B$33:N$55)+1,0)*VLOOKUP($B$14,Assumptions!$B$17:$N$29,COLUMNS(Assumptions!$B$18:J$29)+1,0)/1000)</f>
        <v>28.444973520924574</v>
      </c>
      <c r="O22" s="499">
        <f>(VLOOKUP($A$2,'Footprint Summary'!$B$33:$R$55,COLUMNS('Footprint Summary'!$B$33:O$55)+1,0)*VLOOKUP($B$14,Assumptions!$B$17:$N$29,COLUMNS(Assumptions!$B$18:K$29)+1,0)/1000)</f>
        <v>28.444973520924574</v>
      </c>
      <c r="P22" s="499">
        <f>(VLOOKUP($A$2,'Footprint Summary'!$B$33:$R$55,COLUMNS('Footprint Summary'!$B$33:P$55)+1,0)*VLOOKUP($B$14,Assumptions!$B$17:$N$29,COLUMNS(Assumptions!$B$18:L$29)+1,0)/1000)</f>
        <v>28.444973520924574</v>
      </c>
      <c r="Q22" s="499">
        <f t="shared" si="6"/>
        <v>1675.1329913708892</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10.756795306599322</v>
      </c>
      <c r="H23" s="499">
        <f>-1*(VLOOKUP($A$2,'Footprint Summary'!$B$273:T$295,COLUMNS('Footprint Summary'!$B$273:H$295)+1,0))</f>
        <v>10.756795306599322</v>
      </c>
      <c r="I23" s="499">
        <f>-1*(VLOOKUP($A$2,'Footprint Summary'!$B$273:U$295,COLUMNS('Footprint Summary'!$B$273:I$295)+1,0))</f>
        <v>10.756795306599322</v>
      </c>
      <c r="J23" s="499">
        <f>-1*(VLOOKUP($A$2,'Footprint Summary'!$B$273:V$295,COLUMNS('Footprint Summary'!$B$273:J$295)+1,0))</f>
        <v>10.756795306599322</v>
      </c>
      <c r="K23" s="499">
        <f>-1*(VLOOKUP($A$2,'Footprint Summary'!$B$273:W$295,COLUMNS('Footprint Summary'!$B$273:K$295)+1,0))</f>
        <v>37.655791257336439</v>
      </c>
      <c r="L23" s="499">
        <f>-1*(VLOOKUP($A$2,'Footprint Summary'!$B$273:X$295,COLUMNS('Footprint Summary'!$B$273:L$295)+1,0))</f>
        <v>50.206553729075424</v>
      </c>
      <c r="M23" s="499">
        <f>-1*(VLOOKUP($A$2,'Footprint Summary'!$B$273:Y$295,COLUMNS('Footprint Summary'!$B$273:M$295)+1,0))</f>
        <v>253.59546372907542</v>
      </c>
      <c r="N23" s="499">
        <f>-1*(VLOOKUP($A$2,'Footprint Summary'!$B$273:Z$295,COLUMNS('Footprint Summary'!$B$273:N$295)+1,0))</f>
        <v>253.59546372907542</v>
      </c>
      <c r="O23" s="499">
        <f>-1*(VLOOKUP($A$2,'Footprint Summary'!$B$273:AA$295,COLUMNS('Footprint Summary'!$B$273:O$295)+1,0))</f>
        <v>253.59546372907542</v>
      </c>
      <c r="P23" s="499">
        <f>-1*(VLOOKUP($A$2,'Footprint Summary'!$B$273:AB$295,COLUMNS('Footprint Summary'!$B$273:P$295)+1,0))</f>
        <v>253.59546372907542</v>
      </c>
      <c r="Q23" s="499">
        <f t="shared" si="6"/>
        <v>1145.2713811291108</v>
      </c>
      <c r="R23" s="366"/>
      <c r="S23" s="357"/>
      <c r="T23" s="8"/>
      <c r="U23" s="8"/>
    </row>
    <row r="24" spans="1:21" s="7" customFormat="1" ht="19.5" customHeight="1">
      <c r="A24" s="419" t="s">
        <v>319</v>
      </c>
      <c r="B24" s="419" t="s">
        <v>329</v>
      </c>
      <c r="E24" s="425" t="s">
        <v>321</v>
      </c>
      <c r="F24" s="499">
        <v>0</v>
      </c>
      <c r="G24" s="499">
        <f>VLOOKUP($A$2,'Footprint Summary'!$B$216:$R$238,COLUMNS('Footprint Summary'!$B$216:G238)+1,0)</f>
        <v>99.565693868000011</v>
      </c>
      <c r="H24" s="499">
        <f>VLOOKUP($A$2,'Footprint Summary'!$B$216:$R$238,COLUMNS('Footprint Summary'!$B$216:H238)+1,0)</f>
        <v>92.816748352000005</v>
      </c>
      <c r="I24" s="499">
        <f>VLOOKUP($A$2,'Footprint Summary'!$B$216:$R$238,COLUMNS('Footprint Summary'!$B$216:I238)+1,0)</f>
        <v>86.067802835999998</v>
      </c>
      <c r="J24" s="499">
        <f>VLOOKUP($A$2,'Footprint Summary'!$B$216:$R$238,COLUMNS('Footprint Summary'!$B$216:J238)+1,0)</f>
        <v>79.318857320000006</v>
      </c>
      <c r="K24" s="499">
        <f>VLOOKUP($A$2,'Footprint Summary'!$B$216:$R$238,COLUMNS('Footprint Summary'!$B$216:K238)+1,0)</f>
        <v>72.569911804000014</v>
      </c>
      <c r="L24" s="499">
        <f>VLOOKUP($A$2,'Footprint Summary'!$B$216:$R$238,COLUMNS('Footprint Summary'!$B$216:L238)+1,0)</f>
        <v>65.820966288000008</v>
      </c>
      <c r="M24" s="499">
        <f>VLOOKUP($A$2,'Footprint Summary'!$B$216:$R$238,COLUMNS('Footprint Summary'!$B$216:M238)+1,0)</f>
        <v>59.072020772000009</v>
      </c>
      <c r="N24" s="499">
        <f>VLOOKUP($A$2,'Footprint Summary'!$B$216:$R$238,COLUMNS('Footprint Summary'!$B$216:N238)+1,0)</f>
        <v>52.32307525600001</v>
      </c>
      <c r="O24" s="499">
        <f>VLOOKUP($A$2,'Footprint Summary'!$B$216:$R$238,COLUMNS('Footprint Summary'!$B$216:O238)+1,0)</f>
        <v>45.574129740000004</v>
      </c>
      <c r="P24" s="499">
        <f>VLOOKUP($A$2,'Footprint Summary'!$B$216:$R$238,COLUMNS('Footprint Summary'!$B$216:P238)+1,0)</f>
        <v>45.574129739999997</v>
      </c>
      <c r="Q24" s="499">
        <f t="shared" si="6"/>
        <v>698.70333597600006</v>
      </c>
      <c r="R24" s="366"/>
      <c r="S24" s="357"/>
      <c r="T24" s="8"/>
      <c r="U24" s="8"/>
    </row>
    <row r="25" spans="1:21" s="7" customFormat="1" ht="19.5" customHeight="1">
      <c r="A25" s="662" t="s">
        <v>319</v>
      </c>
      <c r="B25" s="662" t="s">
        <v>319</v>
      </c>
      <c r="C25" s="663"/>
      <c r="D25" s="663"/>
      <c r="E25" s="664" t="s">
        <v>321</v>
      </c>
      <c r="F25" s="665">
        <f>VLOOKUP($A$2,'Footprint Summary'!$B$216:$R$238,COLUMNS('Footprint Summary'!$B$216:F238)+1,0)-F24</f>
        <v>106.314639384</v>
      </c>
      <c r="G25" s="665">
        <f>VLOOKUP($A$2,'Footprint Summary'!$B$216:$R$238,COLUMNS('Footprint Summary'!$B$216:G238)+1,0)-G24</f>
        <v>0</v>
      </c>
      <c r="H25" s="665">
        <f>VLOOKUP($A$2,'Footprint Summary'!$B$216:$R$238,COLUMNS('Footprint Summary'!$B$216:H238)+1,0)-H24</f>
        <v>0</v>
      </c>
      <c r="I25" s="665">
        <f>VLOOKUP($A$2,'Footprint Summary'!$B$216:$R$238,COLUMNS('Footprint Summary'!$B$216:I238)+1,0)-I24</f>
        <v>0</v>
      </c>
      <c r="J25" s="665">
        <f>VLOOKUP($A$2,'Footprint Summary'!$B$216:$R$238,COLUMNS('Footprint Summary'!$B$216:J238)+1,0)-J24</f>
        <v>0</v>
      </c>
      <c r="K25" s="665">
        <f>VLOOKUP($A$2,'Footprint Summary'!$B$216:$R$238,COLUMNS('Footprint Summary'!$B$216:K238)+1,0)-K24</f>
        <v>0</v>
      </c>
      <c r="L25" s="665">
        <f>VLOOKUP($A$2,'Footprint Summary'!$B$216:$R$238,COLUMNS('Footprint Summary'!$B$216:L238)+1,0)-L24</f>
        <v>0</v>
      </c>
      <c r="M25" s="665">
        <f>VLOOKUP($A$2,'Footprint Summary'!$B$216:$R$238,COLUMNS('Footprint Summary'!$B$216:M238)+1,0)-M24</f>
        <v>0</v>
      </c>
      <c r="N25" s="665">
        <f>VLOOKUP($A$2,'Footprint Summary'!$B$216:$R$238,COLUMNS('Footprint Summary'!$B$216:N238)+1,0)-N24</f>
        <v>0</v>
      </c>
      <c r="O25" s="665">
        <f>VLOOKUP($A$2,'Footprint Summary'!$B$216:$R$238,COLUMNS('Footprint Summary'!$B$216:O238)+1,0)-O24</f>
        <v>0</v>
      </c>
      <c r="P25" s="665">
        <f>VLOOKUP($A$2,'Footprint Summary'!$B$216:$R$238,COLUMNS('Footprint Summary'!$B$216:P238)+1,0)-P24</f>
        <v>0</v>
      </c>
      <c r="Q25" s="665">
        <f t="shared" si="6"/>
        <v>0</v>
      </c>
      <c r="R25" s="366"/>
      <c r="S25" s="357"/>
      <c r="T25" s="8"/>
      <c r="U25" s="8"/>
    </row>
    <row r="26" spans="1:21" s="7" customFormat="1" ht="19.5" customHeight="1">
      <c r="A26" s="662" t="s">
        <v>284</v>
      </c>
      <c r="B26" s="666" t="s">
        <v>285</v>
      </c>
      <c r="C26" s="663"/>
      <c r="D26" s="663"/>
      <c r="E26" s="664" t="s">
        <v>321</v>
      </c>
      <c r="F26" s="665">
        <f>(VLOOKUP($A$2,'Footprint Summary'!$B$33:$R$55,COLUMNS('Footprint Summary'!$B$33:F$55)+1,0)*VLOOKUP($B$14,Assumptions!$B$17:$N$29,COLUMNS(Assumptions!$B$18:B$29)+1,0)/1000)-F22</f>
        <v>282.04043725000002</v>
      </c>
      <c r="G26" s="665">
        <f>(VLOOKUP($A$2,'Footprint Summary'!$B$33:$R$55,COLUMNS('Footprint Summary'!$B$33:G$55)+1,0)*VLOOKUP($B$14,Assumptions!$B$17:$N$29,COLUMNS(Assumptions!$B$18:C$29)+1,0)/1000)-G22</f>
        <v>0</v>
      </c>
      <c r="H26" s="665">
        <f>(VLOOKUP($A$2,'Footprint Summary'!$B$33:$R$55,COLUMNS('Footprint Summary'!$B$33:H$55)+1,0)*VLOOKUP($B$14,Assumptions!$B$17:$N$29,COLUMNS(Assumptions!$B$18:D$29)+1,0)/1000)-H22</f>
        <v>0</v>
      </c>
      <c r="I26" s="665">
        <f>(VLOOKUP($A$2,'Footprint Summary'!$B$33:$R$55,COLUMNS('Footprint Summary'!$B$33:I$55)+1,0)*VLOOKUP($B$14,Assumptions!$B$17:$N$29,COLUMNS(Assumptions!$B$18:E$29)+1,0)/1000)-I22</f>
        <v>0</v>
      </c>
      <c r="J26" s="665">
        <f>(VLOOKUP($A$2,'Footprint Summary'!$B$33:$R$55,COLUMNS('Footprint Summary'!$B$33:J$55)+1,0)*VLOOKUP($B$14,Assumptions!$B$17:$N$29,COLUMNS(Assumptions!$B$18:F$29)+1,0)/1000)-J22</f>
        <v>0</v>
      </c>
      <c r="K26" s="665">
        <f>(VLOOKUP($A$2,'Footprint Summary'!$B$33:$R$55,COLUMNS('Footprint Summary'!$B$33:K$55)+1,0)*VLOOKUP($B$14,Assumptions!$B$17:$N$29,COLUMNS(Assumptions!$B$18:G$29)+1,0)/1000)-K22</f>
        <v>0</v>
      </c>
      <c r="L26" s="665">
        <f>(VLOOKUP($A$2,'Footprint Summary'!$B$33:$R$55,COLUMNS('Footprint Summary'!$B$33:L$55)+1,0)*VLOOKUP($B$14,Assumptions!$B$17:$N$29,COLUMNS(Assumptions!$B$18:H$29)+1,0)/1000)-L22</f>
        <v>0</v>
      </c>
      <c r="M26" s="665">
        <f>(VLOOKUP($A$2,'Footprint Summary'!$B$33:$R$55,COLUMNS('Footprint Summary'!$B$33:M$55)+1,0)*VLOOKUP($B$14,Assumptions!$B$17:$N$29,COLUMNS(Assumptions!$B$18:I$29)+1,0)/1000)-M22</f>
        <v>0</v>
      </c>
      <c r="N26" s="665">
        <f>(VLOOKUP($A$2,'Footprint Summary'!$B$33:$R$55,COLUMNS('Footprint Summary'!$B$33:N$55)+1,0)*VLOOKUP($B$14,Assumptions!$B$17:$N$29,COLUMNS(Assumptions!$B$18:J$29)+1,0)/1000)-N22</f>
        <v>0</v>
      </c>
      <c r="O26" s="665">
        <f>(VLOOKUP($A$2,'Footprint Summary'!$B$33:$R$55,COLUMNS('Footprint Summary'!$B$33:O$55)+1,0)*VLOOKUP($B$14,Assumptions!$B$17:$N$29,COLUMNS(Assumptions!$B$18:K$29)+1,0)/1000)-O22</f>
        <v>0</v>
      </c>
      <c r="P26" s="665">
        <f>(VLOOKUP($A$2,'Footprint Summary'!$B$33:$R$55,COLUMNS('Footprint Summary'!$B$33:P$55)+1,0)*VLOOKUP($B$14,Assumptions!$B$17:$N$29,COLUMNS(Assumptions!$B$18:L$29)+1,0)/1000)-P22</f>
        <v>0</v>
      </c>
      <c r="Q26" s="665">
        <f t="shared" si="6"/>
        <v>0</v>
      </c>
      <c r="R26" s="366"/>
      <c r="S26" s="357"/>
      <c r="T26" s="8"/>
      <c r="U26" s="8"/>
    </row>
    <row r="27" spans="1:21" s="7" customFormat="1" ht="19.5" customHeight="1">
      <c r="A27" s="666" t="str">
        <f>VLOOKUP($A$2,'Asset Attributes'!$B$3:$D$25,2,0)</f>
        <v>VIC2</v>
      </c>
      <c r="B27" s="666" t="s">
        <v>330</v>
      </c>
      <c r="C27" s="663"/>
      <c r="D27" s="663"/>
      <c r="E27" s="664" t="s">
        <v>321</v>
      </c>
      <c r="F27" s="667">
        <f>VLOOKUP($A$2,'Footprint Summary'!$B$4:$R$26,COLUMNS('Footprint Summary'!$B$4:F$26)+1,0)*VLOOKUP($A$13,Assumptions!$A$4:$N$14,COLUMNS(Assumptions!$A$4:B$14)+1,0)</f>
        <v>1176.00242</v>
      </c>
      <c r="G27" s="665">
        <f>VLOOKUP($A$2,'Footprint Summary'!$B$4:$R$26,COLUMNS('Footprint Summary'!$B$4:G$26)+1,0)*VLOOKUP($A$13,Assumptions!$A$4:$N$14,COLUMNS(Assumptions!$A$4:C$14)+1,0)</f>
        <v>526.3401852500001</v>
      </c>
      <c r="H27" s="665">
        <f>VLOOKUP($A$2,'Footprint Summary'!$B$4:$R$26,COLUMNS('Footprint Summary'!$B$4:H$26)+1,0)*VLOOKUP($A$13,Assumptions!$A$4:$N$14,COLUMNS(Assumptions!$A$4:D$14)+1,0)</f>
        <v>0</v>
      </c>
      <c r="I27" s="665">
        <f>VLOOKUP($A$2,'Footprint Summary'!$B$4:$R$26,COLUMNS('Footprint Summary'!$B$4:I$26)+1,0)*VLOOKUP($A$13,Assumptions!$A$4:$N$14,COLUMNS(Assumptions!$A$4:E$14)+1,0)</f>
        <v>0</v>
      </c>
      <c r="J27" s="665">
        <f>VLOOKUP($A$2,'Footprint Summary'!$B$4:$R$26,COLUMNS('Footprint Summary'!$B$4:J$26)+1,0)*VLOOKUP($A$13,Assumptions!$A$4:$N$14,COLUMNS(Assumptions!$A$4:F$14)+1,0)</f>
        <v>0</v>
      </c>
      <c r="K27" s="665">
        <f>VLOOKUP($A$2,'Footprint Summary'!$B$4:$R$26,COLUMNS('Footprint Summary'!$B$4:K$26)+1,0)*VLOOKUP($A$13,Assumptions!$A$4:$N$14,COLUMNS(Assumptions!$A$4:G$14)+1,0)</f>
        <v>0</v>
      </c>
      <c r="L27" s="665">
        <f>VLOOKUP($A$2,'Footprint Summary'!$B$4:$R$26,COLUMNS('Footprint Summary'!$B$4:L$26)+1,0)*VLOOKUP($A$13,Assumptions!$A$4:$N$14,COLUMNS(Assumptions!$A$4:H$14)+1,0)</f>
        <v>0</v>
      </c>
      <c r="M27" s="665">
        <f>VLOOKUP($A$2,'Footprint Summary'!$B$4:$R$26,COLUMNS('Footprint Summary'!$B$4:M$26)+1,0)*VLOOKUP($A$13,Assumptions!$A$4:$N$14,COLUMNS(Assumptions!$A$4:I$14)+1,0)</f>
        <v>0</v>
      </c>
      <c r="N27" s="665">
        <f>VLOOKUP($A$2,'Footprint Summary'!$B$4:$R$26,COLUMNS('Footprint Summary'!$B$4:N$26)+1,0)*VLOOKUP($A$13,Assumptions!$A$4:$N$14,COLUMNS(Assumptions!$A$4:J$14)+1,0)</f>
        <v>0</v>
      </c>
      <c r="O27" s="665">
        <f>VLOOKUP($A$2,'Footprint Summary'!$B$4:$R$26,COLUMNS('Footprint Summary'!$B$4:O$26)+1,0)*VLOOKUP($A$13,Assumptions!$A$4:$N$14,COLUMNS(Assumptions!$A$4:K$14)+1,0)</f>
        <v>0</v>
      </c>
      <c r="P27" s="665">
        <f>VLOOKUP($A$2,'Footprint Summary'!$B$4:$R$26,COLUMNS('Footprint Summary'!$B$4:P$26)+1,0)*VLOOKUP($A$13,Assumptions!$A$4:$N$14,COLUMNS(Assumptions!$A$4:L$14)+1,0)</f>
        <v>0</v>
      </c>
      <c r="Q27" s="665">
        <f t="shared" si="6"/>
        <v>526.3401852500001</v>
      </c>
      <c r="R27" s="366"/>
      <c r="S27" s="357"/>
      <c r="T27" s="8"/>
      <c r="U27" s="8"/>
    </row>
    <row r="28" spans="1:21" s="7" customFormat="1" ht="19.5" customHeight="1" thickBot="1">
      <c r="E28" s="425" t="s">
        <v>321</v>
      </c>
      <c r="F28" s="434">
        <f>SUM(F20:F24)</f>
        <v>0</v>
      </c>
      <c r="G28" s="434">
        <f>SUM(G20:G24)</f>
        <v>983.97261636799999</v>
      </c>
      <c r="H28" s="434">
        <f>SUM(H20:H24)</f>
        <v>1361.6766076020001</v>
      </c>
      <c r="I28" s="434">
        <f t="shared" ref="I28:Q28" si="7">SUM(I20:I24)</f>
        <v>1305.075385586</v>
      </c>
      <c r="J28" s="434">
        <f t="shared" si="7"/>
        <v>1272.7611700699999</v>
      </c>
      <c r="K28" s="434">
        <f t="shared" si="7"/>
        <v>1248.1165355539999</v>
      </c>
      <c r="L28" s="434">
        <f t="shared" si="7"/>
        <v>1188.9587865379999</v>
      </c>
      <c r="M28" s="434">
        <f t="shared" si="7"/>
        <v>1091.453132522</v>
      </c>
      <c r="N28" s="434">
        <f t="shared" si="7"/>
        <v>993.94747850599992</v>
      </c>
      <c r="O28" s="434">
        <f t="shared" si="7"/>
        <v>916.89404049000007</v>
      </c>
      <c r="P28" s="434">
        <f t="shared" si="7"/>
        <v>887.49397998999996</v>
      </c>
      <c r="Q28" s="434">
        <f t="shared" si="7"/>
        <v>11250.349733225999</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8">G55</f>
        <v>CURRENT</v>
      </c>
      <c r="H30" s="200" t="str">
        <f t="shared" si="8"/>
        <v>FY25</v>
      </c>
      <c r="I30" s="200" t="str">
        <f t="shared" si="8"/>
        <v>FY26</v>
      </c>
      <c r="J30" s="200" t="str">
        <f t="shared" si="8"/>
        <v>FY27</v>
      </c>
      <c r="K30" s="200" t="str">
        <f t="shared" si="8"/>
        <v>FY28</v>
      </c>
      <c r="L30" s="200" t="str">
        <f t="shared" si="8"/>
        <v>FY29</v>
      </c>
      <c r="M30" s="200" t="str">
        <f t="shared" si="8"/>
        <v>FY30</v>
      </c>
      <c r="N30" s="200" t="str">
        <f t="shared" si="8"/>
        <v>FY31</v>
      </c>
      <c r="O30" s="200" t="str">
        <f t="shared" si="8"/>
        <v>FY32</v>
      </c>
      <c r="P30" s="200" t="str">
        <f t="shared" si="8"/>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439770.21999999991</v>
      </c>
      <c r="G32" s="424">
        <f>VLOOKUP($A$2,'Costs Summary'!$B$154:$R$176,COLUMNS('Costs Summary'!$B$154:G$176)+1,0)</f>
        <v>508301.05232351529</v>
      </c>
      <c r="H32" s="424">
        <f>VLOOKUP($A$2,'Costs Summary'!$B$154:$R$176,COLUMNS('Costs Summary'!$B$154:H$176)+1,0)</f>
        <v>526091.58915483835</v>
      </c>
      <c r="I32" s="424">
        <f>VLOOKUP($A$2,'Costs Summary'!$B$154:$R$176,COLUMNS('Costs Summary'!$B$154:I$176)+1,0)</f>
        <v>544504.79477525759</v>
      </c>
      <c r="J32" s="424">
        <f>VLOOKUP($A$2,'Costs Summary'!$B$154:$R$176,COLUMNS('Costs Summary'!$B$154:J$176)+1,0)</f>
        <v>563562.46259239153</v>
      </c>
      <c r="K32" s="424">
        <f>VLOOKUP($A$2,'Costs Summary'!$B$154:$R$176,COLUMNS('Costs Summary'!$B$154:K$176)+1,0)</f>
        <v>583287.14878312522</v>
      </c>
      <c r="L32" s="424">
        <f>VLOOKUP($A$2,'Costs Summary'!$B$154:$R$176,COLUMNS('Costs Summary'!$B$154:L$176)+1,0)</f>
        <v>603702.19899053453</v>
      </c>
      <c r="M32" s="424">
        <f>VLOOKUP($A$2,'Costs Summary'!$B$154:$R$176,COLUMNS('Costs Summary'!$B$154:M$176)+1,0)</f>
        <v>624831.77595520322</v>
      </c>
      <c r="N32" s="424">
        <f>VLOOKUP($A$2,'Costs Summary'!$B$154:$R$176,COLUMNS('Costs Summary'!$B$154:N$176)+1,0)</f>
        <v>749798.13114624389</v>
      </c>
      <c r="O32" s="424">
        <f>VLOOKUP($A$2,'Costs Summary'!$B$154:$R$176,COLUMNS('Costs Summary'!$B$154:O$176)+1,0)</f>
        <v>776041.06573636236</v>
      </c>
      <c r="P32" s="424">
        <f>VLOOKUP($A$2,'Costs Summary'!$B$154:$R$176,COLUMNS('Costs Summary'!$B$154:P$176)+1,0)</f>
        <v>803202.503037135</v>
      </c>
      <c r="Q32" s="433">
        <f>SUM(G32:P32)</f>
        <v>6283322.7224946078</v>
      </c>
      <c r="R32" s="366"/>
      <c r="S32" s="357"/>
      <c r="T32" s="8"/>
      <c r="U32" s="8"/>
    </row>
    <row r="33" spans="1:21" s="7" customFormat="1" ht="17.25" customHeight="1">
      <c r="A33" s="368" t="s">
        <v>284</v>
      </c>
      <c r="B33" s="368" t="s">
        <v>335</v>
      </c>
      <c r="C33" s="423"/>
      <c r="D33" s="423"/>
      <c r="E33" s="423"/>
      <c r="F33" s="424">
        <f>VLOOKUP($A$2,'Costs Summary'!$B$183:$R$205,COLUMNS('Costs Summary'!$B$183:F$205)+1,0)</f>
        <v>162815.5</v>
      </c>
      <c r="G33" s="424">
        <f>VLOOKUP($A$2,'Costs Summary'!$B$183:$R$205,COLUMNS('Costs Summary'!$B$183:G$205)+1,0)</f>
        <v>172452.89300408796</v>
      </c>
      <c r="H33" s="424">
        <f>VLOOKUP($A$2,'Costs Summary'!$B$183:$R$205,COLUMNS('Costs Summary'!$B$183:H$205)+1,0)</f>
        <v>177626.47979421064</v>
      </c>
      <c r="I33" s="424">
        <f>VLOOKUP($A$2,'Costs Summary'!$B$183:$R$205,COLUMNS('Costs Summary'!$B$183:I$205)+1,0)</f>
        <v>182955.27418803697</v>
      </c>
      <c r="J33" s="424">
        <f>VLOOKUP($A$2,'Costs Summary'!$B$183:$R$205,COLUMNS('Costs Summary'!$B$183:J$205)+1,0)</f>
        <v>188443.93241367809</v>
      </c>
      <c r="K33" s="424">
        <f>VLOOKUP($A$2,'Costs Summary'!$B$183:$R$205,COLUMNS('Costs Summary'!$B$183:K$205)+1,0)</f>
        <v>194097.25038608842</v>
      </c>
      <c r="L33" s="424">
        <f>VLOOKUP($A$2,'Costs Summary'!$B$183:$R$205,COLUMNS('Costs Summary'!$B$183:L$205)+1,0)</f>
        <v>199920.16789767108</v>
      </c>
      <c r="M33" s="424">
        <f>VLOOKUP($A$2,'Costs Summary'!$B$183:$R$205,COLUMNS('Costs Summary'!$B$183:M$205)+1,0)</f>
        <v>205917.77293460121</v>
      </c>
      <c r="N33" s="424">
        <f>VLOOKUP($A$2,'Costs Summary'!$B$183:$R$205,COLUMNS('Costs Summary'!$B$183:N$205)+1,0)</f>
        <v>212095.30612263925</v>
      </c>
      <c r="O33" s="424">
        <f>VLOOKUP($A$2,'Costs Summary'!$B$183:$R$205,COLUMNS('Costs Summary'!$B$183:O$205)+1,0)</f>
        <v>218458.16530631843</v>
      </c>
      <c r="P33" s="424">
        <f>VLOOKUP($A$2,'Costs Summary'!$B$183:$R$205,COLUMNS('Costs Summary'!$B$183:P$205)+1,0)</f>
        <v>225011.91026550799</v>
      </c>
      <c r="Q33" s="433">
        <f>SUM(G33:P33)</f>
        <v>1976979.1523128399</v>
      </c>
      <c r="R33" s="509"/>
      <c r="S33" s="357"/>
      <c r="T33" s="8"/>
      <c r="U33" s="8"/>
    </row>
    <row r="34" spans="1:21" s="7" customFormat="1" ht="17.25" customHeight="1">
      <c r="A34" s="368" t="s">
        <v>284</v>
      </c>
      <c r="B34" s="368" t="s">
        <v>336</v>
      </c>
      <c r="H34" s="424">
        <f>VLOOKUP($A$2,'Costs Summary'!$B$241:$R$263,COLUMNS('Costs Summary'!$B$241:H263)+1,0)</f>
        <v>16277.018516604039</v>
      </c>
      <c r="I34" s="424">
        <f>VLOOKUP($A$2,'Costs Summary'!$B$241:$R$263,COLUMNS('Costs Summary'!$B$241:I263)+1,0)</f>
        <v>16277.018516604039</v>
      </c>
      <c r="J34" s="424">
        <f>VLOOKUP($A$2,'Costs Summary'!$B$241:$R$263,COLUMNS('Costs Summary'!$B$241:J263)+1,0)</f>
        <v>16277.018516604039</v>
      </c>
      <c r="K34" s="424">
        <f>VLOOKUP($A$2,'Costs Summary'!$B$241:$R$263,COLUMNS('Costs Summary'!$B$241:K263)+1,0)</f>
        <v>16277.018516604039</v>
      </c>
      <c r="L34" s="424">
        <f>VLOOKUP($A$2,'Costs Summary'!$B$241:$R$263,COLUMNS('Costs Summary'!$B$241:L263)+1,0)</f>
        <v>16277.018516604039</v>
      </c>
      <c r="M34" s="424">
        <f>VLOOKUP($A$2,'Costs Summary'!$B$241:$R$263,COLUMNS('Costs Summary'!$B$241:M263)+1,0)</f>
        <v>16277.018516604039</v>
      </c>
      <c r="N34" s="424">
        <f>VLOOKUP($A$2,'Costs Summary'!$B$241:$R$263,COLUMNS('Costs Summary'!$B$241:N263)+1,0)</f>
        <v>16277.018516604039</v>
      </c>
      <c r="O34" s="424">
        <f>VLOOKUP($A$2,'Costs Summary'!$B$241:$R$263,COLUMNS('Costs Summary'!$B$241:O263)+1,0)</f>
        <v>16277.018516604039</v>
      </c>
      <c r="P34" s="424">
        <f>VLOOKUP($A$2,'Costs Summary'!$B$241:$R$263,COLUMNS('Costs Summary'!$B$241:P263)+1,0)</f>
        <v>16277.018516604039</v>
      </c>
      <c r="Q34" s="433">
        <f>SUM(G34:P34)</f>
        <v>146493.16664943632</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5569.0049011199999</v>
      </c>
      <c r="I35" s="424">
        <f>VLOOKUP($A$2,'Costs Summary'!$B$212:$R$234,COLUMNS('Costs Summary'!$B$212:I$234)+1,0)</f>
        <v>5164.0681701599997</v>
      </c>
      <c r="J35" s="424">
        <f>VLOOKUP($A$2,'Costs Summary'!$B$212:$R$234,COLUMNS('Costs Summary'!$B$212:J$234)+1,0)</f>
        <v>4759.1314392000004</v>
      </c>
      <c r="K35" s="424">
        <f>VLOOKUP($A$2,'Costs Summary'!$B$212:$R$234,COLUMNS('Costs Summary'!$B$212:K$234)+1,0)</f>
        <v>4354.1947082400011</v>
      </c>
      <c r="L35" s="424">
        <f>VLOOKUP($A$2,'Costs Summary'!$B$212:$R$234,COLUMNS('Costs Summary'!$B$212:L$234)+1,0)</f>
        <v>3949.2579772800004</v>
      </c>
      <c r="M35" s="424">
        <f>VLOOKUP($A$2,'Costs Summary'!$B$212:$R$234,COLUMNS('Costs Summary'!$B$212:M$234)+1,0)</f>
        <v>3544.3212463200007</v>
      </c>
      <c r="N35" s="424">
        <f>VLOOKUP($A$2,'Costs Summary'!$B$212:$R$234,COLUMNS('Costs Summary'!$B$212:N$234)+1,0)</f>
        <v>3139.3845153600005</v>
      </c>
      <c r="O35" s="424">
        <f>VLOOKUP($A$2,'Costs Summary'!$B$212:$R$234,COLUMNS('Costs Summary'!$B$212:O$234)+1,0)</f>
        <v>2734.4477844000003</v>
      </c>
      <c r="P35" s="424">
        <f>VLOOKUP($A$2,'Costs Summary'!$B$212:$R$234,COLUMNS('Costs Summary'!$B$212:P$234)+1,0)</f>
        <v>2734.4477843999998</v>
      </c>
      <c r="Q35" s="433">
        <f>SUM(G35:P35)</f>
        <v>35948.258526480007</v>
      </c>
      <c r="R35" s="366"/>
      <c r="S35" s="357"/>
      <c r="T35" s="8"/>
      <c r="U35" s="8"/>
    </row>
    <row r="36" spans="1:21" s="7" customFormat="1" ht="17.25" customHeight="1" thickBot="1">
      <c r="A36" s="437" t="s">
        <v>338</v>
      </c>
      <c r="C36" s="423"/>
      <c r="D36" s="423"/>
      <c r="E36" s="368" t="s">
        <v>669</v>
      </c>
      <c r="F36" s="461">
        <f t="shared" ref="F36:P36" si="9">SUM(F32:F35)</f>
        <v>602585.72</v>
      </c>
      <c r="G36" s="461">
        <f t="shared" si="9"/>
        <v>680753.94532760326</v>
      </c>
      <c r="H36" s="461">
        <f t="shared" si="9"/>
        <v>725564.09236677305</v>
      </c>
      <c r="I36" s="461">
        <f t="shared" si="9"/>
        <v>748901.15565005876</v>
      </c>
      <c r="J36" s="461">
        <f t="shared" si="9"/>
        <v>773042.54496187379</v>
      </c>
      <c r="K36" s="461">
        <f t="shared" si="9"/>
        <v>798015.61239405768</v>
      </c>
      <c r="L36" s="461">
        <f t="shared" si="9"/>
        <v>823848.64338208968</v>
      </c>
      <c r="M36" s="461">
        <f t="shared" si="9"/>
        <v>850570.88865272852</v>
      </c>
      <c r="N36" s="461">
        <f t="shared" si="9"/>
        <v>981309.84030084719</v>
      </c>
      <c r="O36" s="461">
        <f t="shared" si="9"/>
        <v>1013510.6973436848</v>
      </c>
      <c r="P36" s="461">
        <f t="shared" si="9"/>
        <v>1047225.879603647</v>
      </c>
      <c r="Q36" s="462">
        <f t="shared" ref="Q36" si="10">SUM(Q32:Q35)</f>
        <v>8442743.2999833636</v>
      </c>
      <c r="R36" s="366"/>
      <c r="S36" s="357"/>
      <c r="T36" s="8"/>
      <c r="U36" s="8"/>
    </row>
    <row r="37" spans="1:21" s="7" customFormat="1" ht="17.25" customHeight="1" thickTop="1" thickBot="1">
      <c r="C37" s="423"/>
      <c r="D37" s="423"/>
      <c r="E37" s="368" t="s">
        <v>340</v>
      </c>
      <c r="F37" s="468">
        <f>F36/(VLOOKUP($A$2,'Asset Attributes'!$B$3:$D$25,3,0))</f>
        <v>10.945954115274926</v>
      </c>
      <c r="G37" s="468">
        <f>G36/(VLOOKUP($A$2,'Asset Attributes'!$B$3:$D$25,3,0))</f>
        <v>12.365877919158658</v>
      </c>
      <c r="H37" s="468">
        <f>H36/(VLOOKUP($A$2,'Asset Attributes'!$B$3:$D$25,3,0))</f>
        <v>13.179853088350313</v>
      </c>
      <c r="I37" s="468">
        <f>I36/(VLOOKUP($A$2,'Asset Attributes'!$B$3:$D$25,3,0))</f>
        <v>13.603770243048423</v>
      </c>
      <c r="J37" s="468">
        <f>J36/(VLOOKUP($A$2,'Asset Attributes'!$B$3:$D$25,3,0))</f>
        <v>14.042297959380825</v>
      </c>
      <c r="K37" s="468">
        <f>K36/(VLOOKUP($A$2,'Asset Attributes'!$B$3:$D$25,3,0))</f>
        <v>14.495933087392739</v>
      </c>
      <c r="L37" s="468">
        <f>L36/(VLOOKUP($A$2,'Asset Attributes'!$B$3:$D$25,3,0))</f>
        <v>14.965189431292615</v>
      </c>
      <c r="M37" s="468">
        <f>M36/(VLOOKUP($A$2,'Asset Attributes'!$B$3:$D$25,3,0))</f>
        <v>15.450598329780178</v>
      </c>
      <c r="N37" s="468">
        <f>N36/(VLOOKUP($A$2,'Asset Attributes'!$B$3:$D$25,3,0))</f>
        <v>17.825468026027632</v>
      </c>
      <c r="O37" s="468">
        <f>O36/(VLOOKUP($A$2,'Asset Attributes'!$B$3:$D$25,3,0))</f>
        <v>18.410395766538027</v>
      </c>
      <c r="P37" s="468">
        <f>P36/(VLOOKUP($A$2,'Asset Attributes'!$B$3:$D$25,3,0))</f>
        <v>19.02283118569412</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VIC2</v>
      </c>
      <c r="B39" s="368" t="s">
        <v>342</v>
      </c>
      <c r="C39" s="423"/>
      <c r="D39" s="423"/>
      <c r="E39" s="367"/>
      <c r="F39" s="424">
        <f>VLOOKUP($A$2,'Costs Summary'!$B$4:$R$26,COLUMNS('Costs Summary'!$B$4:F$26)+1,0)</f>
        <v>439770.21999999991</v>
      </c>
      <c r="G39" s="424">
        <f>VLOOKUP($A$2,'Costs Summary'!$B$4:$R$26,COLUMNS('Costs Summary'!$B$4:G$26)+1,0)</f>
        <v>474063.41618272383</v>
      </c>
      <c r="H39" s="424">
        <f>VLOOKUP($A$2,'Costs Summary'!$B$4:$R$26,COLUMNS('Costs Summary'!$B$4:H$26)+1,0)</f>
        <v>490655.6357491191</v>
      </c>
      <c r="I39" s="424">
        <f>VLOOKUP($A$2,'Costs Summary'!$B$4:$R$26,COLUMNS('Costs Summary'!$B$4:I$26)+1,0)</f>
        <v>482398.03894734534</v>
      </c>
      <c r="J39" s="424">
        <f>VLOOKUP($A$2,'Costs Summary'!$B$4:$R$26,COLUMNS('Costs Summary'!$B$4:J$26)+1,0)</f>
        <v>493550.51352267963</v>
      </c>
      <c r="K39" s="424">
        <f>VLOOKUP($A$2,'Costs Summary'!$B$4:$R$26,COLUMNS('Costs Summary'!$B$4:K$26)+1,0)</f>
        <v>455519.75054381462</v>
      </c>
      <c r="L39" s="424">
        <f>VLOOKUP($A$2,'Costs Summary'!$B$4:$R$26,COLUMNS('Costs Summary'!$B$4:L$26)+1,0)</f>
        <v>471462.94181284803</v>
      </c>
      <c r="M39" s="424">
        <f>VLOOKUP($A$2,'Costs Summary'!$B$4:$R$26,COLUMNS('Costs Summary'!$B$4:M$26)+1,0)</f>
        <v>579372.1698850668</v>
      </c>
      <c r="N39" s="424">
        <f>VLOOKUP($A$2,'Costs Summary'!$B$4:$R$26,COLUMNS('Costs Summary'!$B$4:N$26)+1,0)</f>
        <v>695246.60386208014</v>
      </c>
      <c r="O39" s="424">
        <f>VLOOKUP($A$2,'Costs Summary'!$B$4:$R$26,COLUMNS('Costs Summary'!$B$4:O$26)+1,0)</f>
        <v>719580.23499725293</v>
      </c>
      <c r="P39" s="424">
        <f>VLOOKUP($A$2,'Costs Summary'!$B$4:$R$26,COLUMNS('Costs Summary'!$B$4:P$26)+1,0)</f>
        <v>744765.5432221567</v>
      </c>
      <c r="Q39" s="433">
        <f>SUM(G39:P39)</f>
        <v>5606614.848725087</v>
      </c>
      <c r="R39" s="366"/>
      <c r="S39" s="357"/>
      <c r="T39" s="8"/>
      <c r="U39" s="8"/>
    </row>
    <row r="40" spans="1:21" s="7" customFormat="1" ht="17.25" customHeight="1">
      <c r="A40" s="368" t="s">
        <v>284</v>
      </c>
      <c r="B40" s="368" t="s">
        <v>343</v>
      </c>
      <c r="C40" s="423"/>
      <c r="D40" s="423"/>
      <c r="E40" s="423"/>
      <c r="F40" s="424">
        <f>VLOOKUP($A$2,'Costs Summary'!$B$33:$R$55,COLUMNS('Costs Summary'!$B$33:F$55)+1,0)</f>
        <v>162815.5</v>
      </c>
      <c r="G40" s="424">
        <f>VLOOKUP($A$2,'Costs Summary'!$B$33:$R$55,COLUMNS('Costs Summary'!$B$33:G$55)+1,0)</f>
        <v>165875.67844519994</v>
      </c>
      <c r="H40" s="424">
        <f>VLOOKUP($A$2,'Costs Summary'!$B$33:$R$55,COLUMNS('Costs Summary'!$B$33:H$55)+1,0)</f>
        <v>170851.94879855594</v>
      </c>
      <c r="I40" s="424">
        <f>VLOOKUP($A$2,'Costs Summary'!$B$33:$R$55,COLUMNS('Costs Summary'!$B$33:I$55)+1,0)</f>
        <v>175977.50726251263</v>
      </c>
      <c r="J40" s="424">
        <f>VLOOKUP($A$2,'Costs Summary'!$B$33:$R$55,COLUMNS('Costs Summary'!$B$33:J$55)+1,0)</f>
        <v>181256.83248038805</v>
      </c>
      <c r="K40" s="424">
        <f>VLOOKUP($A$2,'Costs Summary'!$B$33:$R$55,COLUMNS('Costs Summary'!$B$33:K$55)+1,0)</f>
        <v>168182.93251229031</v>
      </c>
      <c r="L40" s="424">
        <f>VLOOKUP($A$2,'Costs Summary'!$B$33:$R$55,COLUMNS('Costs Summary'!$B$33:L$55)+1,0)</f>
        <v>164331.99923310769</v>
      </c>
      <c r="M40" s="424">
        <f>VLOOKUP($A$2,'Costs Summary'!$B$33:$R$55,COLUMNS('Costs Summary'!$B$33:M$55)+1,0)</f>
        <v>20767.68017991892</v>
      </c>
      <c r="N40" s="424">
        <f>VLOOKUP($A$2,'Costs Summary'!$B$33:$R$55,COLUMNS('Costs Summary'!$B$33:N$55)+1,0)</f>
        <v>21390.710585316487</v>
      </c>
      <c r="O40" s="424">
        <f>VLOOKUP($A$2,'Costs Summary'!$B$33:$R$55,COLUMNS('Costs Summary'!$B$33:O$55)+1,0)</f>
        <v>22032.431902875982</v>
      </c>
      <c r="P40" s="424">
        <f>VLOOKUP($A$2,'Costs Summary'!$B$33:$R$55,COLUMNS('Costs Summary'!$B$33:P$55)+1,0)</f>
        <v>22693.404859962262</v>
      </c>
      <c r="Q40" s="433">
        <f>SUM(G40:P40)</f>
        <v>1113361.1262601279</v>
      </c>
      <c r="R40" s="366"/>
      <c r="S40" s="357"/>
      <c r="T40" s="8"/>
      <c r="U40" s="8"/>
    </row>
    <row r="41" spans="1:21" s="7" customFormat="1" ht="17.25" customHeight="1">
      <c r="A41" s="368" t="s">
        <v>284</v>
      </c>
      <c r="B41" s="368" t="s">
        <v>336</v>
      </c>
      <c r="H41" s="424">
        <f>VLOOKUP($A$2,'Costs Summary'!$B$125:$R$147,COLUMNS('Costs Summary'!$B$125:H$147)+1,0)</f>
        <v>16277.018516604039</v>
      </c>
      <c r="I41" s="424">
        <f>VLOOKUP($A$2,'Costs Summary'!$B$125:$R$147,COLUMNS('Costs Summary'!$B$125:I$147)+1,0)</f>
        <v>16277.018516604039</v>
      </c>
      <c r="J41" s="424">
        <f>VLOOKUP($A$2,'Costs Summary'!$B$125:$R$147,COLUMNS('Costs Summary'!$B$125:J$147)+1,0)</f>
        <v>16277.018516604039</v>
      </c>
      <c r="K41" s="424">
        <f>VLOOKUP($A$2,'Costs Summary'!$B$125:$R$147,COLUMNS('Costs Summary'!$B$125:K$147)+1,0)</f>
        <v>14663.078759559814</v>
      </c>
      <c r="L41" s="424">
        <f>VLOOKUP($A$2,'Costs Summary'!$B$125:$R$147,COLUMNS('Costs Summary'!$B$125:L$147)+1,0)</f>
        <v>13910.033011255475</v>
      </c>
      <c r="M41" s="424">
        <f>VLOOKUP($A$2,'Costs Summary'!$B$125:$R$147,COLUMNS('Costs Summary'!$B$125:M$147)+1,0)</f>
        <v>1706.6984112554744</v>
      </c>
      <c r="N41" s="424">
        <f>VLOOKUP($A$2,'Costs Summary'!$B$125:$R$147,COLUMNS('Costs Summary'!$B$125:N$147)+1,0)</f>
        <v>1706.6984112554744</v>
      </c>
      <c r="O41" s="424">
        <f>VLOOKUP($A$2,'Costs Summary'!$B$125:$R$147,COLUMNS('Costs Summary'!$B$125:O$147)+1,0)</f>
        <v>1706.6984112554744</v>
      </c>
      <c r="P41" s="424">
        <f>VLOOKUP($A$2,'Costs Summary'!$B$125:$R$147,COLUMNS('Costs Summary'!$B$125:P$147)+1,0)</f>
        <v>1706.6984112554744</v>
      </c>
      <c r="Q41" s="433">
        <f t="shared" ref="Q41:Q42" si="11">SUM(G41:P41)</f>
        <v>84230.960965649327</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5569.0049011199999</v>
      </c>
      <c r="I42" s="424">
        <f>VLOOKUP($A$2,'Costs Summary'!$B$212:$R$234,COLUMNS('Costs Summary'!$B$212:I$234)+1,0)</f>
        <v>5164.0681701599997</v>
      </c>
      <c r="J42" s="424">
        <f>VLOOKUP($A$2,'Costs Summary'!$B$212:$R$234,COLUMNS('Costs Summary'!$B$212:J$234)+1,0)</f>
        <v>4759.1314392000004</v>
      </c>
      <c r="K42" s="424">
        <f>VLOOKUP($A$2,'Costs Summary'!$B$212:$R$234,COLUMNS('Costs Summary'!$B$212:K$234)+1,0)</f>
        <v>4354.1947082400011</v>
      </c>
      <c r="L42" s="424">
        <f>VLOOKUP($A$2,'Costs Summary'!$B$212:$R$234,COLUMNS('Costs Summary'!$B$212:L$234)+1,0)</f>
        <v>3949.2579772800004</v>
      </c>
      <c r="M42" s="424">
        <f>VLOOKUP($A$2,'Costs Summary'!$B$212:$R$234,COLUMNS('Costs Summary'!$B$212:M$234)+1,0)</f>
        <v>3544.3212463200007</v>
      </c>
      <c r="N42" s="424">
        <f>VLOOKUP($A$2,'Costs Summary'!$B$212:$R$234,COLUMNS('Costs Summary'!$B$212:N$234)+1,0)</f>
        <v>3139.3845153600005</v>
      </c>
      <c r="O42" s="424">
        <f>VLOOKUP($A$2,'Costs Summary'!$B$212:$R$234,COLUMNS('Costs Summary'!$B$212:O$234)+1,0)</f>
        <v>2734.4477844000003</v>
      </c>
      <c r="P42" s="424">
        <f>VLOOKUP($A$2,'Costs Summary'!$B$212:$R$234,COLUMNS('Costs Summary'!$B$212:P$234)+1,0)</f>
        <v>2734.4477843999998</v>
      </c>
      <c r="Q42" s="433">
        <f t="shared" si="11"/>
        <v>35948.258526480007</v>
      </c>
      <c r="R42" s="366"/>
      <c r="S42" s="357"/>
      <c r="T42" s="8"/>
      <c r="U42" s="8"/>
    </row>
    <row r="43" spans="1:21" s="7" customFormat="1" ht="17.25" customHeight="1" thickBot="1">
      <c r="A43" s="437" t="s">
        <v>338</v>
      </c>
      <c r="E43" s="368" t="s">
        <v>669</v>
      </c>
      <c r="F43" s="461">
        <f t="shared" ref="F43:P43" si="12">SUM(F39:F42)</f>
        <v>602585.72</v>
      </c>
      <c r="G43" s="461">
        <f t="shared" si="12"/>
        <v>639939.0946279238</v>
      </c>
      <c r="H43" s="461">
        <f t="shared" si="12"/>
        <v>683353.60796539905</v>
      </c>
      <c r="I43" s="461">
        <f t="shared" si="12"/>
        <v>679816.63289662218</v>
      </c>
      <c r="J43" s="461">
        <f t="shared" si="12"/>
        <v>695843.49595887179</v>
      </c>
      <c r="K43" s="461">
        <f t="shared" si="12"/>
        <v>642719.95652390469</v>
      </c>
      <c r="L43" s="461">
        <f t="shared" si="12"/>
        <v>653654.23203449114</v>
      </c>
      <c r="M43" s="461">
        <f t="shared" si="12"/>
        <v>605390.86972256121</v>
      </c>
      <c r="N43" s="461">
        <f t="shared" si="12"/>
        <v>721483.39737401216</v>
      </c>
      <c r="O43" s="461">
        <f t="shared" si="12"/>
        <v>746053.8130957844</v>
      </c>
      <c r="P43" s="461">
        <f t="shared" si="12"/>
        <v>771900.09427777445</v>
      </c>
      <c r="Q43" s="462">
        <f t="shared" ref="Q43" si="13">SUM(Q39:Q42)</f>
        <v>6840155.1944773439</v>
      </c>
      <c r="R43" s="366"/>
      <c r="S43" s="357"/>
      <c r="T43" s="8"/>
      <c r="U43" s="8"/>
    </row>
    <row r="44" spans="1:21" s="7" customFormat="1" ht="17.25" customHeight="1" thickTop="1" thickBot="1">
      <c r="E44" s="368" t="s">
        <v>340</v>
      </c>
      <c r="F44" s="468">
        <f>F43/(VLOOKUP($A$2,'Asset Attributes'!$B$3:$D$25,3,0))</f>
        <v>10.945954115274926</v>
      </c>
      <c r="G44" s="468">
        <f>G43/(VLOOKUP($A$2,'Asset Attributes'!$B$3:$D$25,3,0))</f>
        <v>11.624477205280991</v>
      </c>
      <c r="H44" s="468">
        <f>H43/(VLOOKUP($A$2,'Asset Attributes'!$B$3:$D$25,3,0))</f>
        <v>12.413100724153949</v>
      </c>
      <c r="I44" s="468">
        <f>I43/(VLOOKUP($A$2,'Asset Attributes'!$B$3:$D$25,3,0))</f>
        <v>12.348851662942039</v>
      </c>
      <c r="J44" s="468">
        <f>J43/(VLOOKUP($A$2,'Asset Attributes'!$B$3:$D$25,3,0))</f>
        <v>12.639979218522312</v>
      </c>
      <c r="K44" s="468">
        <f>K43/(VLOOKUP($A$2,'Asset Attributes'!$B$3:$D$25,3,0))</f>
        <v>11.674991490143769</v>
      </c>
      <c r="L44" s="468">
        <f>L43/(VLOOKUP($A$2,'Asset Attributes'!$B$3:$D$25,3,0))</f>
        <v>11.873612323745094</v>
      </c>
      <c r="M44" s="468">
        <f>M43/(VLOOKUP($A$2,'Asset Attributes'!$B$3:$D$25,3,0))</f>
        <v>10.996909587883257</v>
      </c>
      <c r="N44" s="468">
        <f>N43/(VLOOKUP($A$2,'Asset Attributes'!$B$3:$D$25,3,0))</f>
        <v>13.105727368694705</v>
      </c>
      <c r="O44" s="468">
        <f>O43/(VLOOKUP($A$2,'Asset Attributes'!$B$3:$D$25,3,0))</f>
        <v>13.552048338736524</v>
      </c>
      <c r="P44" s="468">
        <f>P43/(VLOOKUP($A$2,'Asset Attributes'!$B$3:$D$25,3,0))</f>
        <v>14.021545372069072</v>
      </c>
      <c r="Q44" s="460">
        <f>Q43/(VLOOKUP($A$2,'Asset Attributes'!$B$3:$D$25,3,0))</f>
        <v>124.25124329217169</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4">G43-G36</f>
        <v>-40814.85069967946</v>
      </c>
      <c r="H46" s="461">
        <f t="shared" si="14"/>
        <v>-42210.484401374008</v>
      </c>
      <c r="I46" s="461">
        <f t="shared" si="14"/>
        <v>-69084.522753436584</v>
      </c>
      <c r="J46" s="461">
        <f t="shared" si="14"/>
        <v>-77199.049003002001</v>
      </c>
      <c r="K46" s="461">
        <f t="shared" si="14"/>
        <v>-155295.65587015299</v>
      </c>
      <c r="L46" s="461">
        <f t="shared" si="14"/>
        <v>-170194.41134759854</v>
      </c>
      <c r="M46" s="461">
        <f t="shared" si="14"/>
        <v>-245180.01893016731</v>
      </c>
      <c r="N46" s="461">
        <f t="shared" si="14"/>
        <v>-259826.44292683504</v>
      </c>
      <c r="O46" s="461">
        <f t="shared" si="14"/>
        <v>-267456.88424790045</v>
      </c>
      <c r="P46" s="461">
        <f t="shared" si="14"/>
        <v>-275325.7853258726</v>
      </c>
      <c r="Q46" s="462">
        <f>SUM(F46:P46)</f>
        <v>-1602588.1055060192</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-0.74140071387766726</v>
      </c>
      <c r="H47" s="468">
        <f>H46/(VLOOKUP($A$2,'Asset Attributes'!$B$3:$D$25,3,0))</f>
        <v>-0.7667523641963635</v>
      </c>
      <c r="I47" s="468">
        <f>I46/(VLOOKUP($A$2,'Asset Attributes'!$B$3:$D$25,3,0))</f>
        <v>-1.2549185801063847</v>
      </c>
      <c r="J47" s="468">
        <f>J46/(VLOOKUP($A$2,'Asset Attributes'!$B$3:$D$25,3,0))</f>
        <v>-1.4023187408585129</v>
      </c>
      <c r="K47" s="468">
        <f>K46/(VLOOKUP($A$2,'Asset Attributes'!$B$3:$D$25,3,0))</f>
        <v>-2.8209415972489689</v>
      </c>
      <c r="L47" s="468">
        <f>L46/(VLOOKUP($A$2,'Asset Attributes'!$B$3:$D$25,3,0))</f>
        <v>-3.0915771075475202</v>
      </c>
      <c r="M47" s="468">
        <f>M46/(VLOOKUP($A$2,'Asset Attributes'!$B$3:$D$25,3,0))</f>
        <v>-4.4536887418969195</v>
      </c>
      <c r="N47" s="468">
        <f>N46/(VLOOKUP($A$2,'Asset Attributes'!$B$3:$D$25,3,0))</f>
        <v>-4.7197406573329284</v>
      </c>
      <c r="O47" s="468">
        <f>O46/(VLOOKUP($A$2,'Asset Attributes'!$B$3:$D$25,3,0))</f>
        <v>-4.8583474278015011</v>
      </c>
      <c r="P47" s="468">
        <f>P46/(VLOOKUP($A$2,'Asset Attributes'!$B$3:$D$25,3,0))</f>
        <v>-5.0012858136250493</v>
      </c>
      <c r="Q47" s="460">
        <f>Q46/(VLOOKUP($A$2,'Asset Attributes'!$B$3:$D$25,3,0))</f>
        <v>-29.11097174449182</v>
      </c>
      <c r="R47" s="366"/>
      <c r="S47" s="357"/>
      <c r="T47" s="8"/>
      <c r="U47" s="8"/>
    </row>
    <row r="48" spans="1:21" s="7" customFormat="1" ht="17.25" customHeight="1" thickTop="1">
      <c r="A48" s="436" t="s">
        <v>887</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5">G115</f>
        <v>9500</v>
      </c>
      <c r="H49" s="464">
        <f t="shared" si="15"/>
        <v>5000</v>
      </c>
      <c r="I49" s="464">
        <f t="shared" si="15"/>
        <v>5000</v>
      </c>
      <c r="J49" s="464">
        <f t="shared" si="15"/>
        <v>127700</v>
      </c>
      <c r="K49" s="464">
        <f t="shared" si="15"/>
        <v>10000</v>
      </c>
      <c r="L49" s="464">
        <f t="shared" si="15"/>
        <v>4500000</v>
      </c>
      <c r="M49" s="464">
        <f t="shared" si="15"/>
        <v>0</v>
      </c>
      <c r="N49" s="464">
        <f t="shared" si="15"/>
        <v>0</v>
      </c>
      <c r="O49" s="464">
        <f t="shared" si="15"/>
        <v>0</v>
      </c>
      <c r="P49" s="464">
        <f t="shared" si="15"/>
        <v>0</v>
      </c>
      <c r="Q49" s="465">
        <f>+SUM(F49:P49)</f>
        <v>4657200</v>
      </c>
      <c r="R49" s="366"/>
      <c r="S49" s="357"/>
      <c r="T49" s="8"/>
      <c r="U49" s="8"/>
      <c r="V49" s="8"/>
      <c r="W49" s="8"/>
      <c r="X49" s="8"/>
    </row>
    <row r="50" spans="1:24" s="7" customFormat="1" ht="17.25" customHeight="1">
      <c r="A50" s="9"/>
      <c r="B50" s="368"/>
      <c r="C50" s="2"/>
      <c r="D50" s="2"/>
      <c r="E50" s="459" t="s">
        <v>348</v>
      </c>
      <c r="F50" s="466">
        <f>F46</f>
        <v>0</v>
      </c>
      <c r="G50" s="466">
        <f t="shared" ref="G50:P50" si="16">G46</f>
        <v>-40814.85069967946</v>
      </c>
      <c r="H50" s="466">
        <f t="shared" si="16"/>
        <v>-42210.484401374008</v>
      </c>
      <c r="I50" s="466">
        <f t="shared" si="16"/>
        <v>-69084.522753436584</v>
      </c>
      <c r="J50" s="466">
        <f t="shared" si="16"/>
        <v>-77199.049003002001</v>
      </c>
      <c r="K50" s="466">
        <f t="shared" si="16"/>
        <v>-155295.65587015299</v>
      </c>
      <c r="L50" s="466">
        <f t="shared" si="16"/>
        <v>-170194.41134759854</v>
      </c>
      <c r="M50" s="466">
        <f t="shared" si="16"/>
        <v>-245180.01893016731</v>
      </c>
      <c r="N50" s="466">
        <f t="shared" si="16"/>
        <v>-259826.44292683504</v>
      </c>
      <c r="O50" s="466">
        <f t="shared" si="16"/>
        <v>-267456.88424790045</v>
      </c>
      <c r="P50" s="466">
        <f t="shared" si="16"/>
        <v>-275325.7853258726</v>
      </c>
      <c r="Q50" s="467">
        <f>Q46</f>
        <v>-1602588.1055060192</v>
      </c>
      <c r="R50" s="366"/>
      <c r="S50" s="357"/>
      <c r="T50" s="8"/>
      <c r="U50" s="8"/>
      <c r="V50" s="8"/>
      <c r="W50" s="8"/>
      <c r="X50" s="8"/>
    </row>
    <row r="51" spans="1:24" s="7" customFormat="1" ht="17.25" customHeight="1">
      <c r="A51" s="9"/>
      <c r="B51" s="368"/>
      <c r="C51" s="2"/>
      <c r="D51" s="2"/>
      <c r="E51" s="540" t="s">
        <v>717</v>
      </c>
      <c r="F51" s="431">
        <f>-1*F50</f>
        <v>0</v>
      </c>
      <c r="G51" s="431">
        <f>-1*G50/(VLOOKUP($A$2,'Asset Attributes'!$B$3:$D$25,3,0))</f>
        <v>0.74140071387766726</v>
      </c>
      <c r="H51" s="431">
        <f>-1*H50/(VLOOKUP($A$2,'Asset Attributes'!$B$3:$D$25,3,0))</f>
        <v>0.7667523641963635</v>
      </c>
      <c r="I51" s="431">
        <f>-1*I50/(VLOOKUP($A$2,'Asset Attributes'!$B$3:$D$25,3,0))</f>
        <v>1.2549185801063847</v>
      </c>
      <c r="J51" s="431">
        <f>-1*J50/(VLOOKUP($A$2,'Asset Attributes'!$B$3:$D$25,3,0))</f>
        <v>1.4023187408585129</v>
      </c>
      <c r="K51" s="431">
        <f>-1*K50/(VLOOKUP($A$2,'Asset Attributes'!$B$3:$D$25,3,0))</f>
        <v>2.8209415972489689</v>
      </c>
      <c r="L51" s="431">
        <f>-1*L50/(VLOOKUP($A$2,'Asset Attributes'!$B$3:$D$25,3,0))</f>
        <v>3.0915771075475202</v>
      </c>
      <c r="M51" s="431">
        <f>-1*M50/(VLOOKUP($A$2,'Asset Attributes'!$B$3:$D$25,3,0))</f>
        <v>4.4536887418969195</v>
      </c>
      <c r="N51" s="431">
        <f>-1*N50/(VLOOKUP($A$2,'Asset Attributes'!$B$3:$D$25,3,0))</f>
        <v>4.7197406573329284</v>
      </c>
      <c r="O51" s="431">
        <f>-1*O50/(VLOOKUP($A$2,'Asset Attributes'!$B$3:$D$25,3,0))</f>
        <v>4.8583474278015011</v>
      </c>
      <c r="P51" s="431">
        <f>-1*P50/(VLOOKUP($A$2,'Asset Attributes'!$B$3:$D$25,3,0))</f>
        <v>5.0012858136250493</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637</v>
      </c>
      <c r="D55" s="10"/>
      <c r="E55" s="441" t="s">
        <v>205</v>
      </c>
      <c r="F55" s="200" t="s">
        <v>188</v>
      </c>
      <c r="G55" s="200" t="str">
        <f>G67</f>
        <v>CURRENT</v>
      </c>
      <c r="H55" s="200" t="str">
        <f t="shared" ref="H55:P55" si="17">H67</f>
        <v>FY25</v>
      </c>
      <c r="I55" s="200" t="str">
        <f t="shared" si="17"/>
        <v>FY26</v>
      </c>
      <c r="J55" s="200" t="str">
        <f t="shared" si="17"/>
        <v>FY27</v>
      </c>
      <c r="K55" s="200" t="str">
        <f t="shared" si="17"/>
        <v>FY28</v>
      </c>
      <c r="L55" s="200" t="str">
        <f t="shared" si="17"/>
        <v>FY29</v>
      </c>
      <c r="M55" s="200" t="str">
        <f t="shared" si="17"/>
        <v>FY30</v>
      </c>
      <c r="N55" s="200" t="str">
        <f t="shared" si="17"/>
        <v>FY31</v>
      </c>
      <c r="O55" s="200" t="str">
        <f t="shared" si="17"/>
        <v>FY32</v>
      </c>
      <c r="P55" s="200" t="str">
        <f t="shared" si="17"/>
        <v>FY33</v>
      </c>
      <c r="Q55" s="200" t="s">
        <v>84</v>
      </c>
      <c r="R55" s="993" t="s">
        <v>354</v>
      </c>
      <c r="S55" s="993"/>
      <c r="T55" s="993" t="s">
        <v>355</v>
      </c>
      <c r="U55" s="993"/>
      <c r="V55" s="993" t="s">
        <v>356</v>
      </c>
      <c r="W55" s="993"/>
      <c r="X55" s="8"/>
    </row>
    <row r="56" spans="1:24" ht="25.5" customHeight="1" thickTop="1">
      <c r="A56" s="438" t="s">
        <v>357</v>
      </c>
      <c r="B56" s="11"/>
      <c r="C56" s="442">
        <v>45016</v>
      </c>
      <c r="D56" s="159"/>
      <c r="E56" s="487" t="str">
        <f>A2</f>
        <v>567 Collins Street</v>
      </c>
      <c r="F56" s="440">
        <f t="shared" ref="F56:P56" si="18">F272</f>
        <v>5.7139636967611818</v>
      </c>
      <c r="G56" s="440">
        <f t="shared" si="18"/>
        <v>5.7617711039606681</v>
      </c>
      <c r="H56" s="440">
        <f t="shared" si="18"/>
        <v>5.7937039159584529</v>
      </c>
      <c r="I56" s="440">
        <f t="shared" si="18"/>
        <v>5.8427640888844419</v>
      </c>
      <c r="J56" s="440">
        <f t="shared" si="18"/>
        <v>5.8534472086170686</v>
      </c>
      <c r="K56" s="440">
        <f t="shared" si="18"/>
        <v>5.9377135394345757</v>
      </c>
      <c r="L56" s="440">
        <f t="shared" si="18"/>
        <v>5.9859989346342308</v>
      </c>
      <c r="M56" s="440">
        <f t="shared" si="18"/>
        <v>6.0022160697127509</v>
      </c>
      <c r="N56" s="440">
        <f t="shared" si="18"/>
        <v>6.0022160697127509</v>
      </c>
      <c r="O56" s="440">
        <f t="shared" si="18"/>
        <v>6.0022160697127509</v>
      </c>
      <c r="P56" s="440">
        <f t="shared" si="18"/>
        <v>6.0022160697127509</v>
      </c>
      <c r="Q56" s="470">
        <f>IF(E56="",0,P56-F56)</f>
        <v>0.28825237295156914</v>
      </c>
      <c r="R56" s="473" t="s">
        <v>358</v>
      </c>
      <c r="S56" s="478" t="s">
        <v>18</v>
      </c>
      <c r="T56" s="473" t="s">
        <v>358</v>
      </c>
      <c r="U56" s="478" t="s">
        <v>18</v>
      </c>
      <c r="V56" s="473" t="s">
        <v>358</v>
      </c>
      <c r="W56" s="479" t="str">
        <f>IF(W58=1,"Complete",IF(W60&lt;&gt;0,"Complete","Outstanding"))</f>
        <v>Complete</v>
      </c>
      <c r="X56" s="14"/>
    </row>
    <row r="57" spans="1:24" ht="25.5" customHeight="1">
      <c r="A57" s="438" t="s">
        <v>6</v>
      </c>
      <c r="C57" s="275" t="s">
        <v>129</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2722700</v>
      </c>
      <c r="T57" s="473" t="s">
        <v>669</v>
      </c>
      <c r="U57" s="479">
        <f>IF(U56="Underway","",S115)</f>
        <v>2290000</v>
      </c>
      <c r="V57" s="473" t="s">
        <v>361</v>
      </c>
      <c r="W57" s="478" t="s">
        <v>680</v>
      </c>
      <c r="X57" s="14"/>
    </row>
    <row r="58" spans="1:24" ht="25.5" customHeight="1">
      <c r="A58" s="438" t="s">
        <v>363</v>
      </c>
      <c r="B58" s="14"/>
      <c r="C58" s="275" t="s">
        <v>364</v>
      </c>
      <c r="D58" s="160" t="s">
        <v>888</v>
      </c>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227006.86327036924</v>
      </c>
      <c r="T58" s="473" t="s">
        <v>367</v>
      </c>
      <c r="U58" s="478">
        <f>IF(U56="Underway","",-1*S64)</f>
        <v>0.93143363398126</v>
      </c>
      <c r="V58" s="473" t="s">
        <v>368</v>
      </c>
      <c r="W58" s="478">
        <v>1</v>
      </c>
      <c r="X58" s="14"/>
    </row>
    <row r="59" spans="1:24" ht="25.5" customHeight="1">
      <c r="A59" s="438" t="s">
        <v>369</v>
      </c>
      <c r="B59" s="14"/>
      <c r="C59" s="443">
        <v>3000</v>
      </c>
      <c r="D59" s="161"/>
      <c r="E59" s="488" t="str">
        <f>IF(VLOOKUP($A$2,'Asset Attributes'!B3:G25,5,0)&gt;0.001,"IGO","")</f>
        <v>IGO</v>
      </c>
      <c r="F59" s="439">
        <f>IF($E$59="IGO",SUMPRODUCT('Footprint Summary'!G153:G175,'Footprint Summary'!$C153:$C175,'Footprint Summary'!$E153:$E175)/SUMPRODUCT('Footprint Summary'!$C153:$C175,'Footprint Summary'!$E153:$E175),"")</f>
        <v>5.3773163530915085</v>
      </c>
      <c r="G59" s="439">
        <f>IF($E$59="IGO",SUMPRODUCT('Footprint Summary'!H153:H175,'Footprint Summary'!$C153:$C175,'Footprint Summary'!$E153:$E175)/SUMPRODUCT('Footprint Summary'!$C153:$C175,'Footprint Summary'!$E153:$E175),"")</f>
        <v>5.3897415030978291</v>
      </c>
      <c r="H59" s="439">
        <f>IF($E$59="IGO",SUMPRODUCT('Footprint Summary'!I153:I175,'Footprint Summary'!$C153:$C175,'Footprint Summary'!$E153:$E175)/SUMPRODUCT('Footprint Summary'!$C153:$C175,'Footprint Summary'!$E153:$E175),"")</f>
        <v>5.3989086851726711</v>
      </c>
      <c r="I59" s="439">
        <f>IF($E$59="IGO",SUMPRODUCT('Footprint Summary'!J153:J175,'Footprint Summary'!$C153:$C175,'Footprint Summary'!$E153:$E175)/SUMPRODUCT('Footprint Summary'!$C153:$C175,'Footprint Summary'!$E153:$E175),"")</f>
        <v>5.4212093179158183</v>
      </c>
      <c r="J59" s="439">
        <f>IF($E$59="IGO",SUMPRODUCT('Footprint Summary'!K153:K175,'Footprint Summary'!$C153:$C175,'Footprint Summary'!$E153:$E175)/SUMPRODUCT('Footprint Summary'!$C153:$C175,'Footprint Summary'!$E153:$E175),"")</f>
        <v>5.4717936463248549</v>
      </c>
      <c r="K59" s="439">
        <f>IF($E$59="IGO",SUMPRODUCT('Footprint Summary'!L153:L175,'Footprint Summary'!$C153:$C175,'Footprint Summary'!$E153:$E175)/SUMPRODUCT('Footprint Summary'!$C153:$C175,'Footprint Summary'!$E153:$E175),"")</f>
        <v>5.4936944742974081</v>
      </c>
      <c r="L59" s="439">
        <f>IF($E$59="IGO",SUMPRODUCT('Footprint Summary'!M153:M175,'Footprint Summary'!$C153:$C175,'Footprint Summary'!$E153:$E175)/SUMPRODUCT('Footprint Summary'!$C153:$C175,'Footprint Summary'!$E153:$E175),"")</f>
        <v>5.5096998051417883</v>
      </c>
      <c r="M59" s="439">
        <f>IF($E$59="IGO",SUMPRODUCT('Footprint Summary'!N153:N175,'Footprint Summary'!$C153:$C175,'Footprint Summary'!$E153:$E175)/SUMPRODUCT('Footprint Summary'!$C153:$C175,'Footprint Summary'!$E153:$E175),"")</f>
        <v>5.5139146402024437</v>
      </c>
      <c r="N59" s="439">
        <f>IF($E$59="IGO",SUMPRODUCT('Footprint Summary'!O153:O175,'Footprint Summary'!$C153:$C175,'Footprint Summary'!$E153:$E175)/SUMPRODUCT('Footprint Summary'!$C153:$C175,'Footprint Summary'!$E153:$E175),"")</f>
        <v>5.5351632663682917</v>
      </c>
      <c r="O59" s="439">
        <f>IF($E$59="IGO",SUMPRODUCT('Footprint Summary'!P153:P175,'Footprint Summary'!$C153:$C175,'Footprint Summary'!$E153:$E175)/SUMPRODUCT('Footprint Summary'!$C153:$C175,'Footprint Summary'!$E153:$E175),"")</f>
        <v>5.5351632663682917</v>
      </c>
      <c r="P59" s="439">
        <f>IF($E$59="IGO",SUMPRODUCT('Footprint Summary'!Q153:Q175,'Footprint Summary'!$C153:$C175,'Footprint Summary'!$E153:$E175)/SUMPRODUCT('Footprint Summary'!$C153:$C175,'Footprint Summary'!$E153:$E175),"")</f>
        <v>5.5316015265321372</v>
      </c>
      <c r="Q59" s="470">
        <f>IF(E59="","",P59-G59)</f>
        <v>0.14186002343430815</v>
      </c>
      <c r="R59" s="473" t="s">
        <v>370</v>
      </c>
      <c r="S59" s="480">
        <f>V115</f>
        <v>4.5286345336918075E-2</v>
      </c>
      <c r="T59" s="473" t="s">
        <v>371</v>
      </c>
      <c r="U59" s="483" t="e">
        <f ca="1">IF(U56="Underway","",_xlfn.MAXIFS(E69:E88,S69:S88,"Yes"))</f>
        <v>#NAME?</v>
      </c>
      <c r="V59" s="482" t="s">
        <v>372</v>
      </c>
      <c r="W59" s="479">
        <f>T115</f>
        <v>0</v>
      </c>
      <c r="X59" s="14"/>
    </row>
    <row r="60" spans="1:24" ht="25.5" customHeight="1">
      <c r="A60" s="438" t="s">
        <v>373</v>
      </c>
      <c r="B60" s="14"/>
      <c r="C60" s="275">
        <v>47563.3</v>
      </c>
      <c r="D60" s="160"/>
      <c r="Q60" s="10"/>
      <c r="R60" s="473" t="s">
        <v>374</v>
      </c>
      <c r="S60" s="481">
        <f>IF(S56="Underway","",U115)</f>
        <v>0.25886153686495467</v>
      </c>
      <c r="T60" s="10"/>
      <c r="U60" s="10"/>
      <c r="V60" s="473" t="s">
        <v>375</v>
      </c>
      <c r="W60" s="483" t="str">
        <f>IF(IF(W58=1,"Complete",_xlfn.MAXIFS(E69:E114,T69:T114,"Yes"))=0,"",IF(W58=1,"Complete",_xlfn.MAXIFS(E69:E114,T69:T114,"Yes")))</f>
        <v>Complete</v>
      </c>
      <c r="X60" s="14"/>
    </row>
    <row r="61" spans="1:24" ht="25.5" customHeight="1">
      <c r="A61" s="438" t="s">
        <v>376</v>
      </c>
      <c r="B61" s="14"/>
      <c r="C61" s="444">
        <v>52.4</v>
      </c>
      <c r="D61" s="162"/>
      <c r="E61" s="342"/>
      <c r="H61" s="13"/>
      <c r="J61" s="14"/>
      <c r="K61" s="14"/>
      <c r="L61" s="14"/>
      <c r="M61" s="10"/>
      <c r="N61" s="10"/>
      <c r="O61" s="10"/>
      <c r="P61" s="10"/>
      <c r="Q61" s="10"/>
      <c r="R61" s="482" t="s">
        <v>377</v>
      </c>
      <c r="S61" s="481">
        <f>P272</f>
        <v>6.0022160697127509</v>
      </c>
      <c r="T61" s="10"/>
      <c r="U61" s="10"/>
      <c r="V61" s="473" t="s">
        <v>378</v>
      </c>
      <c r="W61" s="478">
        <v>1</v>
      </c>
      <c r="X61" s="14"/>
    </row>
    <row r="62" spans="1:24" ht="25.5" customHeight="1">
      <c r="A62" s="438" t="s">
        <v>379</v>
      </c>
      <c r="B62" s="14"/>
      <c r="C62" s="275">
        <v>1278.2635</v>
      </c>
      <c r="E62" s="609"/>
      <c r="F62" s="536"/>
      <c r="H62" s="13"/>
      <c r="J62" s="14"/>
      <c r="K62" s="14"/>
      <c r="L62" s="347"/>
      <c r="M62" s="10"/>
      <c r="N62" s="10"/>
      <c r="O62" s="10"/>
      <c r="P62" s="10"/>
      <c r="Q62" s="10"/>
      <c r="R62" s="482" t="s">
        <v>380</v>
      </c>
      <c r="S62" s="481">
        <f>Q272</f>
        <v>6.0022160697127509</v>
      </c>
      <c r="T62" s="10"/>
      <c r="U62" s="10"/>
      <c r="V62" s="10"/>
      <c r="W62" s="14"/>
      <c r="X62" s="14"/>
    </row>
    <row r="63" spans="1:24" ht="25.5" customHeight="1">
      <c r="A63" s="438" t="s">
        <v>382</v>
      </c>
      <c r="B63" s="14"/>
      <c r="C63" s="275">
        <v>5473.3249999999998</v>
      </c>
      <c r="E63" s="610"/>
      <c r="F63" s="536"/>
      <c r="H63" s="13"/>
      <c r="J63" s="14"/>
      <c r="K63" s="14"/>
      <c r="L63" s="10"/>
      <c r="M63" s="10"/>
      <c r="N63" s="10"/>
      <c r="O63" s="10"/>
      <c r="P63" s="10"/>
      <c r="Q63" s="10"/>
      <c r="R63" s="476" t="s">
        <v>383</v>
      </c>
      <c r="S63" s="478">
        <f>C115/C62</f>
        <v>-0.18173091854691931</v>
      </c>
      <c r="T63" s="10"/>
      <c r="U63" s="10"/>
      <c r="V63" s="10"/>
      <c r="W63" s="14"/>
      <c r="X63" s="14"/>
    </row>
    <row r="64" spans="1:24" ht="25.5" customHeight="1">
      <c r="A64" s="446" t="s">
        <v>385</v>
      </c>
      <c r="B64" s="447"/>
      <c r="C64" s="629">
        <v>54.2</v>
      </c>
      <c r="D64" s="611"/>
      <c r="F64" s="536"/>
      <c r="H64" s="13"/>
      <c r="J64" s="14"/>
      <c r="K64" s="14"/>
      <c r="L64" s="10"/>
      <c r="M64" s="10"/>
      <c r="N64" s="10"/>
      <c r="O64" s="10"/>
      <c r="P64" s="10"/>
      <c r="Q64" s="10"/>
      <c r="R64" s="476" t="s">
        <v>386</v>
      </c>
      <c r="S64" s="478">
        <f>D115/C63</f>
        <v>-0.93143363398126</v>
      </c>
      <c r="T64" s="10"/>
      <c r="U64" s="14"/>
      <c r="V64" s="10"/>
      <c r="W64" s="14"/>
      <c r="X64" s="14"/>
    </row>
    <row r="65" spans="1:24" ht="25.5" customHeight="1">
      <c r="B65" s="487" t="s">
        <v>387</v>
      </c>
      <c r="C65" s="489">
        <f>Z216</f>
        <v>5.7139636967611818</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19">DATE(YEAR(H66)+1,MONTH(H66),DAY(H66))</f>
        <v>46203</v>
      </c>
      <c r="J66" s="416">
        <f t="shared" si="19"/>
        <v>46568</v>
      </c>
      <c r="K66" s="416">
        <f t="shared" si="19"/>
        <v>46934</v>
      </c>
      <c r="L66" s="416">
        <f t="shared" si="19"/>
        <v>47299</v>
      </c>
      <c r="M66" s="416">
        <f t="shared" si="19"/>
        <v>47664</v>
      </c>
      <c r="N66" s="416">
        <f t="shared" si="19"/>
        <v>48029</v>
      </c>
      <c r="O66" s="416">
        <f t="shared" si="19"/>
        <v>48395</v>
      </c>
      <c r="P66" s="416">
        <f t="shared" si="19"/>
        <v>48760</v>
      </c>
      <c r="Q66" s="416">
        <f t="shared" si="19"/>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667</v>
      </c>
      <c r="R67" s="200" t="s">
        <v>397</v>
      </c>
      <c r="S67" s="200" t="s">
        <v>328</v>
      </c>
      <c r="T67" s="200" t="s">
        <v>730</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t="s">
        <v>889</v>
      </c>
      <c r="B69" s="374" t="s">
        <v>638</v>
      </c>
      <c r="C69" s="375">
        <v>-98.7</v>
      </c>
      <c r="D69" s="508">
        <v>0</v>
      </c>
      <c r="E69" s="694">
        <v>49034</v>
      </c>
      <c r="F69" s="378">
        <v>165500</v>
      </c>
      <c r="G69" s="403">
        <f>IF(E69&lt;G66,F69,0)</f>
        <v>0</v>
      </c>
      <c r="H69" s="404">
        <f t="shared" ref="H69:Q78" si="20">IF($E69&gt;H$66,0,IF($E69&gt;H$66-365,$F69,0))</f>
        <v>0</v>
      </c>
      <c r="I69" s="404">
        <f t="shared" si="20"/>
        <v>0</v>
      </c>
      <c r="J69" s="404">
        <f t="shared" si="20"/>
        <v>0</v>
      </c>
      <c r="K69" s="404">
        <f t="shared" si="20"/>
        <v>0</v>
      </c>
      <c r="L69" s="404">
        <f t="shared" si="20"/>
        <v>0</v>
      </c>
      <c r="M69" s="404">
        <f t="shared" si="20"/>
        <v>0</v>
      </c>
      <c r="N69" s="404">
        <f t="shared" si="20"/>
        <v>0</v>
      </c>
      <c r="O69" s="404">
        <f t="shared" si="20"/>
        <v>0</v>
      </c>
      <c r="P69" s="404">
        <f t="shared" si="20"/>
        <v>0</v>
      </c>
      <c r="Q69" s="635">
        <f t="shared" si="20"/>
        <v>165500</v>
      </c>
      <c r="R69" s="379" t="s">
        <v>32</v>
      </c>
      <c r="S69" s="379"/>
      <c r="T69" s="380"/>
      <c r="U69" s="411">
        <f>IF(-0.75*((C69/(VLOOKUP($A$2,Assumptions!$B$124:$G$147,2,0)))+D69/(VLOOKUP($A$2,Assumptions!$B$124:$G$147,5,0)))=0,"",-0.75*((C69/(VLOOKUP($A$2,Assumptions!$B$124:$G$147,2,0)))+D69/(VLOOKUP($A$2,Assumptions!$B$124:$G$147,5,0))))</f>
        <v>6.8351800554016628E-2</v>
      </c>
      <c r="V69" s="412">
        <f t="shared" ref="V69:V88" si="21">IF(ISERROR(((-1*C69*1000*$D$6)+(-1*D69*$D$8))/F69),"",((-1*C69*1000*$D$6)+(-1*D69*$D$8))/F69)</f>
        <v>0.18242166821981276</v>
      </c>
      <c r="W69" s="450"/>
      <c r="X69" s="506" t="s">
        <v>32</v>
      </c>
    </row>
    <row r="70" spans="1:24" ht="15">
      <c r="A70" s="373" t="s">
        <v>889</v>
      </c>
      <c r="B70" s="374" t="s">
        <v>639</v>
      </c>
      <c r="C70" s="381">
        <v>-94</v>
      </c>
      <c r="D70" s="381">
        <v>0</v>
      </c>
      <c r="E70" s="694">
        <v>49034</v>
      </c>
      <c r="F70" s="378">
        <v>110000</v>
      </c>
      <c r="G70" s="403">
        <f t="shared" ref="G70:G87" si="22">IF($E70&lt;G$66,$F70,0)</f>
        <v>0</v>
      </c>
      <c r="H70" s="404">
        <f t="shared" si="20"/>
        <v>0</v>
      </c>
      <c r="I70" s="404">
        <f t="shared" si="20"/>
        <v>0</v>
      </c>
      <c r="J70" s="405">
        <f t="shared" si="20"/>
        <v>0</v>
      </c>
      <c r="K70" s="405">
        <f t="shared" si="20"/>
        <v>0</v>
      </c>
      <c r="L70" s="405">
        <f t="shared" si="20"/>
        <v>0</v>
      </c>
      <c r="M70" s="405">
        <f t="shared" si="20"/>
        <v>0</v>
      </c>
      <c r="N70" s="405">
        <f t="shared" si="20"/>
        <v>0</v>
      </c>
      <c r="O70" s="405">
        <f t="shared" si="20"/>
        <v>0</v>
      </c>
      <c r="P70" s="406">
        <f t="shared" si="20"/>
        <v>0</v>
      </c>
      <c r="Q70" s="635">
        <f t="shared" si="20"/>
        <v>110000</v>
      </c>
      <c r="R70" s="379" t="s">
        <v>32</v>
      </c>
      <c r="S70" s="379"/>
      <c r="T70" s="382"/>
      <c r="U70" s="413">
        <f>IF(-0.75*((C70/(VLOOKUP($A$2,Assumptions!$B$124:$G$147,2,0)))+D70/(VLOOKUP($A$2,Assumptions!$B$124:$G$147,5,0)))=0,"",-0.75*((C70/(VLOOKUP($A$2,Assumptions!$B$124:$G$147,2,0)))+D70/(VLOOKUP($A$2,Assumptions!$B$124:$G$147,5,0))))</f>
        <v>6.5096952908587261E-2</v>
      </c>
      <c r="V70" s="414">
        <f t="shared" si="21"/>
        <v>0.26139208736258884</v>
      </c>
      <c r="W70" s="450"/>
      <c r="X70" s="507" t="s">
        <v>32</v>
      </c>
    </row>
    <row r="71" spans="1:24" ht="15">
      <c r="A71" s="373" t="s">
        <v>18</v>
      </c>
      <c r="B71" s="374" t="s">
        <v>640</v>
      </c>
      <c r="C71" s="383">
        <v>-67.8</v>
      </c>
      <c r="D71" s="383">
        <v>-34.746037706584097</v>
      </c>
      <c r="E71" s="694">
        <v>45077</v>
      </c>
      <c r="F71" s="384">
        <v>4500</v>
      </c>
      <c r="G71" s="403">
        <f t="shared" si="22"/>
        <v>4500</v>
      </c>
      <c r="H71" s="404">
        <f t="shared" si="20"/>
        <v>0</v>
      </c>
      <c r="I71" s="405">
        <f t="shared" si="20"/>
        <v>0</v>
      </c>
      <c r="J71" s="405">
        <f t="shared" si="20"/>
        <v>0</v>
      </c>
      <c r="K71" s="405">
        <f t="shared" si="20"/>
        <v>0</v>
      </c>
      <c r="L71" s="405">
        <f t="shared" si="20"/>
        <v>0</v>
      </c>
      <c r="M71" s="405">
        <f t="shared" si="20"/>
        <v>0</v>
      </c>
      <c r="N71" s="405">
        <f t="shared" si="20"/>
        <v>0</v>
      </c>
      <c r="O71" s="405">
        <f t="shared" si="20"/>
        <v>0</v>
      </c>
      <c r="P71" s="406">
        <f t="shared" si="20"/>
        <v>0</v>
      </c>
      <c r="Q71" s="635">
        <f t="shared" si="20"/>
        <v>0</v>
      </c>
      <c r="R71" s="379" t="s">
        <v>32</v>
      </c>
      <c r="S71" s="379"/>
      <c r="T71" s="382"/>
      <c r="U71" s="413">
        <f>IF(-0.75*((C71/(VLOOKUP($A$2,Assumptions!$B$124:$G$147,2,0)))+D71/(VLOOKUP($A$2,Assumptions!$B$124:$G$147,5,0)))=0,"",-0.75*((C71/(VLOOKUP($A$2,Assumptions!$B$124:$G$147,2,0)))+D71/(VLOOKUP($A$2,Assumptions!$B$124:$G$147,5,0))))</f>
        <v>4.7620759132617381E-2</v>
      </c>
      <c r="V71" s="414">
        <f t="shared" si="21"/>
        <v>4.8448548813350891</v>
      </c>
      <c r="W71" s="450" t="s">
        <v>32</v>
      </c>
      <c r="X71" s="507"/>
    </row>
    <row r="72" spans="1:24" ht="15">
      <c r="A72" s="373" t="s">
        <v>400</v>
      </c>
      <c r="B72" s="374" t="s">
        <v>641</v>
      </c>
      <c r="C72" s="381">
        <v>-59.7</v>
      </c>
      <c r="D72" s="381">
        <v>0</v>
      </c>
      <c r="E72" s="694">
        <v>45747</v>
      </c>
      <c r="F72" s="378">
        <v>5000</v>
      </c>
      <c r="G72" s="403">
        <f t="shared" si="22"/>
        <v>0</v>
      </c>
      <c r="H72" s="404">
        <f t="shared" si="20"/>
        <v>5000</v>
      </c>
      <c r="I72" s="405">
        <f t="shared" si="20"/>
        <v>0</v>
      </c>
      <c r="J72" s="405">
        <f t="shared" si="20"/>
        <v>0</v>
      </c>
      <c r="K72" s="405">
        <f t="shared" si="20"/>
        <v>0</v>
      </c>
      <c r="L72" s="405">
        <f t="shared" si="20"/>
        <v>0</v>
      </c>
      <c r="M72" s="405">
        <f t="shared" si="20"/>
        <v>0</v>
      </c>
      <c r="N72" s="405">
        <f t="shared" si="20"/>
        <v>0</v>
      </c>
      <c r="O72" s="405">
        <f t="shared" si="20"/>
        <v>0</v>
      </c>
      <c r="P72" s="406">
        <f t="shared" si="20"/>
        <v>0</v>
      </c>
      <c r="Q72" s="635">
        <f t="shared" si="20"/>
        <v>0</v>
      </c>
      <c r="R72" s="379" t="s">
        <v>32</v>
      </c>
      <c r="S72" s="379"/>
      <c r="T72" s="382"/>
      <c r="U72" s="413">
        <f>IF(-0.75*((C72/(VLOOKUP($A$2,Assumptions!$B$124:$G$147,2,0)))+D72/(VLOOKUP($A$2,Assumptions!$B$124:$G$147,5,0)))=0,"",-0.75*((C72/(VLOOKUP($A$2,Assumptions!$B$124:$G$147,2,0)))+D72/(VLOOKUP($A$2,Assumptions!$B$124:$G$147,5,0))))</f>
        <v>4.1343490304709143E-2</v>
      </c>
      <c r="V72" s="414">
        <f t="shared" si="21"/>
        <v>3.6522592291704705</v>
      </c>
      <c r="W72" s="450"/>
      <c r="X72" s="507"/>
    </row>
    <row r="73" spans="1:24" ht="15">
      <c r="A73" s="373" t="s">
        <v>889</v>
      </c>
      <c r="B73" s="374" t="s">
        <v>642</v>
      </c>
      <c r="C73" s="375">
        <v>-20.3</v>
      </c>
      <c r="D73" s="375">
        <v>-522.00651951750694</v>
      </c>
      <c r="E73" s="694">
        <v>46477</v>
      </c>
      <c r="F73" s="378">
        <v>122700</v>
      </c>
      <c r="G73" s="403">
        <f t="shared" si="22"/>
        <v>0</v>
      </c>
      <c r="H73" s="404">
        <f t="shared" si="20"/>
        <v>0</v>
      </c>
      <c r="I73" s="405">
        <f t="shared" si="20"/>
        <v>0</v>
      </c>
      <c r="J73" s="405">
        <f t="shared" si="20"/>
        <v>122700</v>
      </c>
      <c r="K73" s="405">
        <f t="shared" si="20"/>
        <v>0</v>
      </c>
      <c r="L73" s="405">
        <f t="shared" si="20"/>
        <v>0</v>
      </c>
      <c r="M73" s="405">
        <f t="shared" si="20"/>
        <v>0</v>
      </c>
      <c r="N73" s="405">
        <f t="shared" si="20"/>
        <v>0</v>
      </c>
      <c r="O73" s="405">
        <f t="shared" si="20"/>
        <v>0</v>
      </c>
      <c r="P73" s="406">
        <f t="shared" si="20"/>
        <v>0</v>
      </c>
      <c r="Q73" s="635">
        <f t="shared" si="20"/>
        <v>0</v>
      </c>
      <c r="R73" s="379" t="s">
        <v>32</v>
      </c>
      <c r="S73" s="379"/>
      <c r="T73" s="382"/>
      <c r="U73" s="413">
        <f>IF(-0.75*((C73/(VLOOKUP($A$2,Assumptions!$B$124:$G$147,2,0)))+D73/(VLOOKUP($A$2,Assumptions!$B$124:$G$147,5,0)))=0,"",-0.75*((C73/(VLOOKUP($A$2,Assumptions!$B$124:$G$147,2,0)))+D73/(VLOOKUP($A$2,Assumptions!$B$124:$G$147,5,0))))</f>
        <v>2.409161330430485E-2</v>
      </c>
      <c r="V73" s="414">
        <f t="shared" si="21"/>
        <v>0.1807475590445215</v>
      </c>
      <c r="W73" s="450" t="s">
        <v>32</v>
      </c>
      <c r="X73" s="507"/>
    </row>
    <row r="74" spans="1:24" ht="15">
      <c r="A74" s="373" t="s">
        <v>400</v>
      </c>
      <c r="B74" s="374" t="s">
        <v>643</v>
      </c>
      <c r="C74" s="375">
        <v>-54.9</v>
      </c>
      <c r="D74" s="375">
        <v>0</v>
      </c>
      <c r="E74" s="694">
        <v>46477</v>
      </c>
      <c r="F74" s="378">
        <v>5000</v>
      </c>
      <c r="G74" s="403">
        <f t="shared" si="22"/>
        <v>0</v>
      </c>
      <c r="H74" s="404">
        <f t="shared" si="20"/>
        <v>0</v>
      </c>
      <c r="I74" s="405">
        <f t="shared" si="20"/>
        <v>0</v>
      </c>
      <c r="J74" s="405">
        <f t="shared" si="20"/>
        <v>5000</v>
      </c>
      <c r="K74" s="405">
        <f t="shared" si="20"/>
        <v>0</v>
      </c>
      <c r="L74" s="405">
        <f t="shared" si="20"/>
        <v>0</v>
      </c>
      <c r="M74" s="405">
        <f t="shared" si="20"/>
        <v>0</v>
      </c>
      <c r="N74" s="405">
        <f t="shared" si="20"/>
        <v>0</v>
      </c>
      <c r="O74" s="405">
        <f t="shared" si="20"/>
        <v>0</v>
      </c>
      <c r="P74" s="406">
        <f t="shared" si="20"/>
        <v>0</v>
      </c>
      <c r="Q74" s="635">
        <f t="shared" si="20"/>
        <v>0</v>
      </c>
      <c r="R74" s="379" t="s">
        <v>32</v>
      </c>
      <c r="S74" s="379"/>
      <c r="T74" s="382"/>
      <c r="U74" s="413">
        <f>IF(-0.75*((C74/(VLOOKUP($A$2,Assumptions!$B$124:$G$147,2,0)))+D74/(VLOOKUP($A$2,Assumptions!$B$124:$G$147,5,0)))=0,"",-0.75*((C74/(VLOOKUP($A$2,Assumptions!$B$124:$G$147,2,0)))+D74/(VLOOKUP($A$2,Assumptions!$B$124:$G$147,5,0))))</f>
        <v>3.8019390581717452E-2</v>
      </c>
      <c r="V74" s="414">
        <f t="shared" si="21"/>
        <v>3.3586102459205831</v>
      </c>
      <c r="W74" s="450"/>
      <c r="X74" s="507" t="s">
        <v>32</v>
      </c>
    </row>
    <row r="75" spans="1:24" ht="15">
      <c r="A75" s="373" t="s">
        <v>400</v>
      </c>
      <c r="B75" s="374" t="s">
        <v>644</v>
      </c>
      <c r="C75" s="375">
        <v>-25.7</v>
      </c>
      <c r="D75" s="375">
        <v>-174.00217317250201</v>
      </c>
      <c r="E75" s="694">
        <v>46843</v>
      </c>
      <c r="F75" s="378">
        <v>5000</v>
      </c>
      <c r="G75" s="403">
        <f t="shared" si="22"/>
        <v>0</v>
      </c>
      <c r="H75" s="404">
        <f t="shared" si="20"/>
        <v>0</v>
      </c>
      <c r="I75" s="405">
        <f t="shared" si="20"/>
        <v>0</v>
      </c>
      <c r="J75" s="405">
        <f t="shared" si="20"/>
        <v>0</v>
      </c>
      <c r="K75" s="405">
        <f t="shared" si="20"/>
        <v>5000</v>
      </c>
      <c r="L75" s="405">
        <f t="shared" si="20"/>
        <v>0</v>
      </c>
      <c r="M75" s="405">
        <f t="shared" si="20"/>
        <v>0</v>
      </c>
      <c r="N75" s="405">
        <f t="shared" si="20"/>
        <v>0</v>
      </c>
      <c r="O75" s="405">
        <f t="shared" si="20"/>
        <v>0</v>
      </c>
      <c r="P75" s="406">
        <f t="shared" si="20"/>
        <v>0</v>
      </c>
      <c r="Q75" s="635">
        <f t="shared" si="20"/>
        <v>0</v>
      </c>
      <c r="R75" s="379" t="s">
        <v>32</v>
      </c>
      <c r="S75" s="379"/>
      <c r="T75" s="382"/>
      <c r="U75" s="413">
        <f>IF(-0.75*((C75/(VLOOKUP($A$2,Assumptions!$B$124:$G$147,2,0)))+D75/(VLOOKUP($A$2,Assumptions!$B$124:$G$147,5,0)))=0,"",-0.75*((C75/(VLOOKUP($A$2,Assumptions!$B$124:$G$147,2,0)))+D75/(VLOOKUP($A$2,Assumptions!$B$124:$G$147,5,0))))</f>
        <v>2.1142264453235495E-2</v>
      </c>
      <c r="V75" s="414">
        <f t="shared" si="21"/>
        <v>2.636797133580961</v>
      </c>
      <c r="W75" s="450" t="s">
        <v>32</v>
      </c>
      <c r="X75" s="507"/>
    </row>
    <row r="76" spans="1:24" ht="15">
      <c r="A76" s="373" t="s">
        <v>400</v>
      </c>
      <c r="B76" s="374" t="s">
        <v>645</v>
      </c>
      <c r="C76" s="375">
        <v>-18.3</v>
      </c>
      <c r="D76" s="375">
        <v>-174.00217317250201</v>
      </c>
      <c r="E76" s="694">
        <v>45382</v>
      </c>
      <c r="F76" s="378">
        <v>5000</v>
      </c>
      <c r="G76" s="403">
        <f t="shared" si="22"/>
        <v>5000</v>
      </c>
      <c r="H76" s="404">
        <f t="shared" si="20"/>
        <v>0</v>
      </c>
      <c r="I76" s="405">
        <f t="shared" si="20"/>
        <v>0</v>
      </c>
      <c r="J76" s="405">
        <f t="shared" si="20"/>
        <v>0</v>
      </c>
      <c r="K76" s="405">
        <f t="shared" si="20"/>
        <v>0</v>
      </c>
      <c r="L76" s="405">
        <f t="shared" si="20"/>
        <v>0</v>
      </c>
      <c r="M76" s="405">
        <f t="shared" si="20"/>
        <v>0</v>
      </c>
      <c r="N76" s="405">
        <f t="shared" si="20"/>
        <v>0</v>
      </c>
      <c r="O76" s="405">
        <f t="shared" si="20"/>
        <v>0</v>
      </c>
      <c r="P76" s="406">
        <f t="shared" si="20"/>
        <v>0</v>
      </c>
      <c r="Q76" s="635">
        <f t="shared" si="20"/>
        <v>0</v>
      </c>
      <c r="R76" s="379" t="s">
        <v>32</v>
      </c>
      <c r="S76" s="379"/>
      <c r="T76" s="382"/>
      <c r="U76" s="413">
        <f>IF(-0.75*((C76/(VLOOKUP($A$2,Assumptions!$B$124:$G$147,2,0)))+D76/(VLOOKUP($A$2,Assumptions!$B$124:$G$147,5,0)))=0,"",-0.75*((C76/(VLOOKUP($A$2,Assumptions!$B$124:$G$147,2,0)))+D76/(VLOOKUP($A$2,Assumptions!$B$124:$G$147,5,0))))</f>
        <v>1.6017610713623308E-2</v>
      </c>
      <c r="V76" s="414">
        <f t="shared" si="21"/>
        <v>2.1840882844040519</v>
      </c>
      <c r="W76" s="450" t="s">
        <v>32</v>
      </c>
      <c r="X76" s="507"/>
    </row>
    <row r="77" spans="1:24" ht="15">
      <c r="A77" s="373" t="s">
        <v>400</v>
      </c>
      <c r="B77" s="374" t="s">
        <v>646</v>
      </c>
      <c r="C77" s="375">
        <v>-20.3</v>
      </c>
      <c r="D77" s="375">
        <v>-69.560071573063595</v>
      </c>
      <c r="E77" s="694">
        <v>46843</v>
      </c>
      <c r="F77" s="378">
        <v>5000</v>
      </c>
      <c r="G77" s="403">
        <f t="shared" si="22"/>
        <v>0</v>
      </c>
      <c r="H77" s="404">
        <f t="shared" si="20"/>
        <v>0</v>
      </c>
      <c r="I77" s="405">
        <f t="shared" si="20"/>
        <v>0</v>
      </c>
      <c r="J77" s="405">
        <f t="shared" si="20"/>
        <v>0</v>
      </c>
      <c r="K77" s="405">
        <f t="shared" si="20"/>
        <v>5000</v>
      </c>
      <c r="L77" s="405">
        <f t="shared" si="20"/>
        <v>0</v>
      </c>
      <c r="M77" s="405">
        <f t="shared" si="20"/>
        <v>0</v>
      </c>
      <c r="N77" s="405">
        <f t="shared" si="20"/>
        <v>0</v>
      </c>
      <c r="O77" s="405">
        <f t="shared" si="20"/>
        <v>0</v>
      </c>
      <c r="P77" s="406">
        <f t="shared" si="20"/>
        <v>0</v>
      </c>
      <c r="Q77" s="635">
        <f t="shared" si="20"/>
        <v>0</v>
      </c>
      <c r="R77" s="379" t="s">
        <v>32</v>
      </c>
      <c r="S77" s="379"/>
      <c r="T77" s="385"/>
      <c r="U77" s="413">
        <f>IF(-0.75*((C77/(VLOOKUP($A$2,Assumptions!$B$124:$G$147,2,0)))+D77/(VLOOKUP($A$2,Assumptions!$B$124:$G$147,5,0)))=0,"",-0.75*((C77/(VLOOKUP($A$2,Assumptions!$B$124:$G$147,2,0)))+D77/(VLOOKUP($A$2,Assumptions!$B$124:$G$147,5,0))))</f>
        <v>1.5395179784101553E-2</v>
      </c>
      <c r="V77" s="414">
        <f t="shared" si="21"/>
        <v>1.6674615041996392</v>
      </c>
      <c r="W77" s="450" t="s">
        <v>32</v>
      </c>
      <c r="X77" s="507"/>
    </row>
    <row r="78" spans="1:24" ht="15">
      <c r="A78" s="373" t="s">
        <v>400</v>
      </c>
      <c r="B78" s="457" t="s">
        <v>648</v>
      </c>
      <c r="C78" s="375">
        <v>-13</v>
      </c>
      <c r="D78" s="375">
        <v>0</v>
      </c>
      <c r="E78" s="694">
        <v>46112</v>
      </c>
      <c r="F78" s="378">
        <v>5000</v>
      </c>
      <c r="G78" s="403">
        <f t="shared" si="22"/>
        <v>0</v>
      </c>
      <c r="H78" s="404">
        <f t="shared" si="20"/>
        <v>0</v>
      </c>
      <c r="I78" s="405">
        <f t="shared" si="20"/>
        <v>5000</v>
      </c>
      <c r="J78" s="405">
        <f t="shared" si="20"/>
        <v>0</v>
      </c>
      <c r="K78" s="405">
        <f t="shared" si="20"/>
        <v>0</v>
      </c>
      <c r="L78" s="405">
        <f t="shared" si="20"/>
        <v>0</v>
      </c>
      <c r="M78" s="405">
        <f t="shared" si="20"/>
        <v>0</v>
      </c>
      <c r="N78" s="405">
        <f t="shared" si="20"/>
        <v>0</v>
      </c>
      <c r="O78" s="405">
        <f t="shared" si="20"/>
        <v>0</v>
      </c>
      <c r="P78" s="406">
        <f t="shared" si="20"/>
        <v>0</v>
      </c>
      <c r="Q78" s="635">
        <f t="shared" si="20"/>
        <v>0</v>
      </c>
      <c r="R78" s="379" t="s">
        <v>32</v>
      </c>
      <c r="S78" s="379"/>
      <c r="T78" s="387"/>
      <c r="U78" s="413">
        <f>IF(-0.75*((C78/(VLOOKUP($A$2,Assumptions!$B$124:$G$147,2,0)))+D78/(VLOOKUP($A$2,Assumptions!$B$124:$G$147,5,0)))=0,"",-0.75*((C78/(VLOOKUP($A$2,Assumptions!$B$124:$G$147,2,0)))+D78/(VLOOKUP($A$2,Assumptions!$B$124:$G$147,5,0))))</f>
        <v>9.0027700831024939E-3</v>
      </c>
      <c r="V78" s="414">
        <f t="shared" si="21"/>
        <v>0.79529932963511085</v>
      </c>
      <c r="W78" s="450" t="s">
        <v>32</v>
      </c>
      <c r="X78" s="507" t="s">
        <v>32</v>
      </c>
    </row>
    <row r="79" spans="1:24" ht="15">
      <c r="A79" s="373" t="s">
        <v>889</v>
      </c>
      <c r="B79" s="457" t="s">
        <v>649</v>
      </c>
      <c r="C79" s="375">
        <v>187</v>
      </c>
      <c r="D79" s="375">
        <v>-3947</v>
      </c>
      <c r="E79" s="694">
        <v>47208</v>
      </c>
      <c r="F79" s="378">
        <v>4500000</v>
      </c>
      <c r="G79" s="403">
        <f t="shared" si="22"/>
        <v>0</v>
      </c>
      <c r="H79" s="404">
        <f t="shared" ref="H79:Q87" si="23">IF($E79&gt;H$66,0,IF($E79&gt;H$66-365,$F79,0))</f>
        <v>0</v>
      </c>
      <c r="I79" s="405">
        <f t="shared" si="23"/>
        <v>0</v>
      </c>
      <c r="J79" s="405">
        <f t="shared" si="23"/>
        <v>0</v>
      </c>
      <c r="K79" s="405">
        <f t="shared" si="23"/>
        <v>0</v>
      </c>
      <c r="L79" s="405">
        <f t="shared" si="23"/>
        <v>4500000</v>
      </c>
      <c r="M79" s="405">
        <f t="shared" si="23"/>
        <v>0</v>
      </c>
      <c r="N79" s="405">
        <f t="shared" si="23"/>
        <v>0</v>
      </c>
      <c r="O79" s="405">
        <f t="shared" si="23"/>
        <v>0</v>
      </c>
      <c r="P79" s="406">
        <f t="shared" si="23"/>
        <v>0</v>
      </c>
      <c r="Q79" s="635">
        <f t="shared" si="23"/>
        <v>0</v>
      </c>
      <c r="R79" s="379" t="s">
        <v>32</v>
      </c>
      <c r="S79" s="379" t="s">
        <v>32</v>
      </c>
      <c r="T79" s="387"/>
      <c r="U79" s="413">
        <f>IF(-0.75*((C79/(VLOOKUP($A$2,Assumptions!$B$124:$G$147,2,0)))+D79/(VLOOKUP($A$2,Assumptions!$B$124:$G$147,5,0)))=0,"",-0.75*((C79/(VLOOKUP($A$2,Assumptions!$B$124:$G$147,2,0)))+D79/(VLOOKUP($A$2,Assumptions!$B$124:$G$147,5,0))))</f>
        <v>-5.3636443985682451E-2</v>
      </c>
      <c r="V79" s="414">
        <f t="shared" si="21"/>
        <v>1.4119791755616614E-2</v>
      </c>
      <c r="W79" s="450" t="s">
        <v>32</v>
      </c>
      <c r="X79" s="507"/>
    </row>
    <row r="80" spans="1:24" ht="15">
      <c r="A80" s="373" t="s">
        <v>889</v>
      </c>
      <c r="B80" s="457" t="s">
        <v>650</v>
      </c>
      <c r="C80" s="375">
        <v>53.4</v>
      </c>
      <c r="D80" s="375">
        <v>-176.722019568321</v>
      </c>
      <c r="E80" s="694">
        <v>50860</v>
      </c>
      <c r="F80" s="378">
        <v>80000</v>
      </c>
      <c r="G80" s="403">
        <f t="shared" si="22"/>
        <v>0</v>
      </c>
      <c r="H80" s="404">
        <f t="shared" si="23"/>
        <v>0</v>
      </c>
      <c r="I80" s="405">
        <f t="shared" si="23"/>
        <v>0</v>
      </c>
      <c r="J80" s="405">
        <f t="shared" si="23"/>
        <v>0</v>
      </c>
      <c r="K80" s="405">
        <f t="shared" si="23"/>
        <v>0</v>
      </c>
      <c r="L80" s="405">
        <f t="shared" si="23"/>
        <v>0</v>
      </c>
      <c r="M80" s="405">
        <f t="shared" si="23"/>
        <v>0</v>
      </c>
      <c r="N80" s="405">
        <f t="shared" si="23"/>
        <v>0</v>
      </c>
      <c r="O80" s="405">
        <f t="shared" si="23"/>
        <v>0</v>
      </c>
      <c r="P80" s="406">
        <f t="shared" si="23"/>
        <v>0</v>
      </c>
      <c r="Q80" s="635">
        <f t="shared" si="23"/>
        <v>0</v>
      </c>
      <c r="R80" s="379" t="s">
        <v>32</v>
      </c>
      <c r="S80" s="379" t="s">
        <v>32</v>
      </c>
      <c r="T80" s="387"/>
      <c r="U80" s="413">
        <f>IF(-0.75*((C80/(VLOOKUP($A$2,Assumptions!$B$124:$G$147,2,0)))+D80/(VLOOKUP($A$2,Assumptions!$B$124:$G$147,5,0)))=0,"",-0.75*((C80/(VLOOKUP($A$2,Assumptions!$B$124:$G$147,2,0)))+D80/(VLOOKUP($A$2,Assumptions!$B$124:$G$147,5,0))))</f>
        <v>-3.3583850969378375E-2</v>
      </c>
      <c r="V80" s="414">
        <f t="shared" si="21"/>
        <v>-0.13660333031867572</v>
      </c>
      <c r="W80" s="450" t="s">
        <v>32</v>
      </c>
      <c r="X80" s="507" t="s">
        <v>32</v>
      </c>
    </row>
    <row r="81" spans="1:24" ht="15">
      <c r="A81" s="373"/>
      <c r="B81" s="457"/>
      <c r="C81" s="375"/>
      <c r="D81" s="375"/>
      <c r="E81" s="694"/>
      <c r="F81" s="378"/>
      <c r="G81" s="403">
        <f t="shared" si="22"/>
        <v>0</v>
      </c>
      <c r="H81" s="404">
        <f t="shared" si="23"/>
        <v>0</v>
      </c>
      <c r="I81" s="405">
        <f t="shared" si="23"/>
        <v>0</v>
      </c>
      <c r="J81" s="405">
        <f t="shared" si="23"/>
        <v>0</v>
      </c>
      <c r="K81" s="405">
        <f t="shared" si="23"/>
        <v>0</v>
      </c>
      <c r="L81" s="405">
        <f t="shared" si="23"/>
        <v>0</v>
      </c>
      <c r="M81" s="405">
        <f t="shared" si="23"/>
        <v>0</v>
      </c>
      <c r="N81" s="405">
        <f t="shared" si="23"/>
        <v>0</v>
      </c>
      <c r="O81" s="405">
        <f t="shared" si="23"/>
        <v>0</v>
      </c>
      <c r="P81" s="406">
        <f t="shared" si="23"/>
        <v>0</v>
      </c>
      <c r="Q81" s="635">
        <f t="shared" si="23"/>
        <v>0</v>
      </c>
      <c r="R81" s="379"/>
      <c r="S81" s="379"/>
      <c r="T81" s="387"/>
      <c r="U81" s="413" t="str">
        <f>IF(-0.75*((C81/(VLOOKUP($A$2,Assumptions!$B$124:$G$147,2,0)))+D81/(VLOOKUP($A$2,Assumptions!$B$124:$G$147,5,0)))=0,"",-0.75*((C81/(VLOOKUP($A$2,Assumptions!$B$124:$G$147,2,0)))+D81/(VLOOKUP($A$2,Assumptions!$B$124:$G$147,5,0))))</f>
        <v/>
      </c>
      <c r="V81" s="414" t="str">
        <f t="shared" si="21"/>
        <v/>
      </c>
      <c r="W81" s="450" t="s">
        <v>32</v>
      </c>
      <c r="X81" s="507"/>
    </row>
    <row r="82" spans="1:24" ht="15">
      <c r="A82" s="373"/>
      <c r="B82" s="457"/>
      <c r="C82" s="375"/>
      <c r="D82" s="375"/>
      <c r="E82" s="694"/>
      <c r="F82" s="378"/>
      <c r="G82" s="403">
        <f t="shared" si="22"/>
        <v>0</v>
      </c>
      <c r="H82" s="404">
        <f t="shared" si="23"/>
        <v>0</v>
      </c>
      <c r="I82" s="405">
        <f t="shared" si="23"/>
        <v>0</v>
      </c>
      <c r="J82" s="405">
        <f t="shared" si="23"/>
        <v>0</v>
      </c>
      <c r="K82" s="405">
        <f t="shared" si="23"/>
        <v>0</v>
      </c>
      <c r="L82" s="405">
        <f t="shared" si="23"/>
        <v>0</v>
      </c>
      <c r="M82" s="405">
        <f t="shared" si="23"/>
        <v>0</v>
      </c>
      <c r="N82" s="405">
        <f t="shared" si="23"/>
        <v>0</v>
      </c>
      <c r="O82" s="405">
        <f t="shared" si="23"/>
        <v>0</v>
      </c>
      <c r="P82" s="406">
        <f t="shared" si="23"/>
        <v>0</v>
      </c>
      <c r="Q82" s="635">
        <f t="shared" si="23"/>
        <v>0</v>
      </c>
      <c r="R82" s="379"/>
      <c r="S82" s="379"/>
      <c r="T82" s="387"/>
      <c r="U82" s="413" t="str">
        <f>IF(-0.75*((C82/(VLOOKUP($A$2,Assumptions!$B$124:$G$147,2,0)))+D82/(VLOOKUP($A$2,Assumptions!$B$124:$G$147,5,0)))=0,"",-0.75*((C82/(VLOOKUP($A$2,Assumptions!$B$124:$G$147,2,0)))+D82/(VLOOKUP($A$2,Assumptions!$B$124:$G$147,5,0))))</f>
        <v/>
      </c>
      <c r="V82" s="414" t="str">
        <f t="shared" si="21"/>
        <v/>
      </c>
      <c r="W82" s="450"/>
      <c r="X82" s="507"/>
    </row>
    <row r="83" spans="1:24" ht="15">
      <c r="A83" s="373"/>
      <c r="B83" s="457"/>
      <c r="C83" s="375"/>
      <c r="D83" s="375"/>
      <c r="E83" s="694"/>
      <c r="F83" s="378"/>
      <c r="G83" s="403">
        <f t="shared" si="22"/>
        <v>0</v>
      </c>
      <c r="H83" s="404">
        <f t="shared" si="23"/>
        <v>0</v>
      </c>
      <c r="I83" s="405">
        <f t="shared" si="23"/>
        <v>0</v>
      </c>
      <c r="J83" s="405">
        <f t="shared" si="23"/>
        <v>0</v>
      </c>
      <c r="K83" s="405">
        <f t="shared" si="23"/>
        <v>0</v>
      </c>
      <c r="L83" s="405">
        <f t="shared" si="23"/>
        <v>0</v>
      </c>
      <c r="M83" s="405">
        <f t="shared" si="23"/>
        <v>0</v>
      </c>
      <c r="N83" s="405">
        <f t="shared" si="23"/>
        <v>0</v>
      </c>
      <c r="O83" s="405">
        <f t="shared" si="23"/>
        <v>0</v>
      </c>
      <c r="P83" s="406">
        <f t="shared" si="23"/>
        <v>0</v>
      </c>
      <c r="Q83" s="635">
        <f t="shared" si="23"/>
        <v>0</v>
      </c>
      <c r="R83" s="379"/>
      <c r="S83" s="379"/>
      <c r="T83" s="387"/>
      <c r="U83" s="413" t="str">
        <f>IF(-0.75*((C83/(VLOOKUP($A$2,Assumptions!$B$124:$G$147,2,0)))+D83/(VLOOKUP($A$2,Assumptions!$B$124:$G$147,5,0)))=0,"",-0.75*((C83/(VLOOKUP($A$2,Assumptions!$B$124:$G$147,2,0)))+D83/(VLOOKUP($A$2,Assumptions!$B$124:$G$147,5,0))))</f>
        <v/>
      </c>
      <c r="V83" s="414" t="str">
        <f t="shared" si="21"/>
        <v/>
      </c>
      <c r="W83" s="451"/>
      <c r="X83" s="507"/>
    </row>
    <row r="84" spans="1:24" ht="15">
      <c r="A84" s="373"/>
      <c r="B84" s="457"/>
      <c r="C84" s="375"/>
      <c r="D84" s="375"/>
      <c r="E84" s="694"/>
      <c r="F84" s="378"/>
      <c r="G84" s="403">
        <f t="shared" si="22"/>
        <v>0</v>
      </c>
      <c r="H84" s="404">
        <f t="shared" si="23"/>
        <v>0</v>
      </c>
      <c r="I84" s="405">
        <f t="shared" si="23"/>
        <v>0</v>
      </c>
      <c r="J84" s="405">
        <f t="shared" si="23"/>
        <v>0</v>
      </c>
      <c r="K84" s="405">
        <f t="shared" si="23"/>
        <v>0</v>
      </c>
      <c r="L84" s="405">
        <f t="shared" si="23"/>
        <v>0</v>
      </c>
      <c r="M84" s="405">
        <f t="shared" si="23"/>
        <v>0</v>
      </c>
      <c r="N84" s="405">
        <f t="shared" si="23"/>
        <v>0</v>
      </c>
      <c r="O84" s="405">
        <f t="shared" si="23"/>
        <v>0</v>
      </c>
      <c r="P84" s="406">
        <f t="shared" si="23"/>
        <v>0</v>
      </c>
      <c r="Q84" s="635">
        <f t="shared" si="23"/>
        <v>0</v>
      </c>
      <c r="R84" s="379"/>
      <c r="S84" s="379"/>
      <c r="T84" s="387"/>
      <c r="U84" s="413" t="str">
        <f>IF(-0.75*((C84/(VLOOKUP($A$2,Assumptions!$B$124:$G$147,2,0)))+D84/(VLOOKUP($A$2,Assumptions!$B$124:$G$147,5,0)))=0,"",-0.75*((C84/(VLOOKUP($A$2,Assumptions!$B$124:$G$147,2,0)))+D84/(VLOOKUP($A$2,Assumptions!$B$124:$G$147,5,0))))</f>
        <v/>
      </c>
      <c r="V84" s="414" t="str">
        <f t="shared" si="21"/>
        <v/>
      </c>
      <c r="W84" s="450"/>
      <c r="X84" s="507"/>
    </row>
    <row r="85" spans="1:24" ht="15">
      <c r="A85" s="373"/>
      <c r="B85" s="548"/>
      <c r="C85" s="375"/>
      <c r="D85" s="375"/>
      <c r="E85" s="377"/>
      <c r="F85" s="378"/>
      <c r="G85" s="403">
        <f t="shared" si="22"/>
        <v>0</v>
      </c>
      <c r="H85" s="404">
        <f t="shared" si="23"/>
        <v>0</v>
      </c>
      <c r="I85" s="405">
        <f t="shared" si="23"/>
        <v>0</v>
      </c>
      <c r="J85" s="405">
        <f t="shared" si="23"/>
        <v>0</v>
      </c>
      <c r="K85" s="405">
        <f t="shared" si="23"/>
        <v>0</v>
      </c>
      <c r="L85" s="405">
        <f t="shared" si="23"/>
        <v>0</v>
      </c>
      <c r="M85" s="405">
        <f t="shared" si="23"/>
        <v>0</v>
      </c>
      <c r="N85" s="405">
        <f t="shared" si="23"/>
        <v>0</v>
      </c>
      <c r="O85" s="405">
        <f t="shared" si="23"/>
        <v>0</v>
      </c>
      <c r="P85" s="406">
        <f t="shared" si="23"/>
        <v>0</v>
      </c>
      <c r="Q85" s="635">
        <f t="shared" si="23"/>
        <v>0</v>
      </c>
      <c r="R85" s="379"/>
      <c r="S85" s="386"/>
      <c r="T85" s="387"/>
      <c r="U85" s="413" t="str">
        <f>IF(-0.75*((C85/(VLOOKUP($A$2,Assumptions!$B$124:$G$147,2,0)))+D85/(VLOOKUP($A$2,Assumptions!$B$124:$G$147,5,0)))=0,"",-0.75*((C85/(VLOOKUP($A$2,Assumptions!$B$124:$G$147,2,0)))+D85/(VLOOKUP($A$2,Assumptions!$B$124:$G$147,5,0))))</f>
        <v/>
      </c>
      <c r="V85" s="414" t="str">
        <f t="shared" si="21"/>
        <v/>
      </c>
      <c r="W85" s="451"/>
      <c r="X85" s="507"/>
    </row>
    <row r="86" spans="1:24" ht="15">
      <c r="A86" s="373"/>
      <c r="B86" s="457"/>
      <c r="C86" s="375"/>
      <c r="D86" s="375"/>
      <c r="E86" s="377"/>
      <c r="F86" s="378"/>
      <c r="G86" s="403">
        <f t="shared" si="22"/>
        <v>0</v>
      </c>
      <c r="H86" s="404">
        <f t="shared" si="23"/>
        <v>0</v>
      </c>
      <c r="I86" s="405">
        <f t="shared" si="23"/>
        <v>0</v>
      </c>
      <c r="J86" s="405">
        <f t="shared" si="23"/>
        <v>0</v>
      </c>
      <c r="K86" s="405">
        <f t="shared" si="23"/>
        <v>0</v>
      </c>
      <c r="L86" s="405">
        <f t="shared" si="23"/>
        <v>0</v>
      </c>
      <c r="M86" s="405">
        <f t="shared" si="23"/>
        <v>0</v>
      </c>
      <c r="N86" s="405">
        <f t="shared" si="23"/>
        <v>0</v>
      </c>
      <c r="O86" s="405">
        <f t="shared" si="23"/>
        <v>0</v>
      </c>
      <c r="P86" s="406">
        <f t="shared" si="23"/>
        <v>0</v>
      </c>
      <c r="Q86" s="635">
        <f t="shared" si="23"/>
        <v>0</v>
      </c>
      <c r="R86" s="379"/>
      <c r="S86" s="386"/>
      <c r="T86" s="387"/>
      <c r="U86" s="413" t="str">
        <f>IF(-0.75*((C86/(VLOOKUP($A$2,Assumptions!$B$124:$G$147,2,0)))+D86/(VLOOKUP($A$2,Assumptions!$B$124:$G$147,5,0)))=0,"",-0.75*((C86/(VLOOKUP($A$2,Assumptions!$B$124:$G$147,2,0)))+D86/(VLOOKUP($A$2,Assumptions!$B$124:$G$147,5,0))))</f>
        <v/>
      </c>
      <c r="V86" s="414" t="str">
        <f t="shared" si="21"/>
        <v/>
      </c>
      <c r="W86" s="451"/>
      <c r="X86" s="507"/>
    </row>
    <row r="87" spans="1:24" ht="15">
      <c r="A87" s="373"/>
      <c r="B87" s="374"/>
      <c r="C87" s="375"/>
      <c r="D87" s="375"/>
      <c r="E87" s="377"/>
      <c r="F87" s="378"/>
      <c r="G87" s="403">
        <f t="shared" si="22"/>
        <v>0</v>
      </c>
      <c r="H87" s="404">
        <f t="shared" si="23"/>
        <v>0</v>
      </c>
      <c r="I87" s="405">
        <f t="shared" si="23"/>
        <v>0</v>
      </c>
      <c r="J87" s="405">
        <f t="shared" si="23"/>
        <v>0</v>
      </c>
      <c r="K87" s="405">
        <f t="shared" si="23"/>
        <v>0</v>
      </c>
      <c r="L87" s="405">
        <f t="shared" si="23"/>
        <v>0</v>
      </c>
      <c r="M87" s="405">
        <f t="shared" si="23"/>
        <v>0</v>
      </c>
      <c r="N87" s="405">
        <f t="shared" si="23"/>
        <v>0</v>
      </c>
      <c r="O87" s="405">
        <f t="shared" si="23"/>
        <v>0</v>
      </c>
      <c r="P87" s="406">
        <f t="shared" si="23"/>
        <v>0</v>
      </c>
      <c r="Q87" s="635">
        <f t="shared" si="23"/>
        <v>0</v>
      </c>
      <c r="R87" s="379"/>
      <c r="S87" s="379"/>
      <c r="T87" s="387"/>
      <c r="U87" s="413" t="str">
        <f>IF(-0.75*((C87/(VLOOKUP($A$2,Assumptions!$B$124:$G$147,2,0)))+D87/(VLOOKUP($A$2,Assumptions!$B$124:$G$147,5,0)))=0,"",-0.75*((C87/(VLOOKUP($A$2,Assumptions!$B$124:$G$147,2,0)))+D87/(VLOOKUP($A$2,Assumptions!$B$124:$G$147,5,0))))</f>
        <v/>
      </c>
      <c r="V87" s="414" t="str">
        <f t="shared" si="21"/>
        <v/>
      </c>
      <c r="W87" s="451"/>
      <c r="X87" s="507"/>
    </row>
    <row r="88" spans="1:24" ht="15">
      <c r="A88" s="456"/>
      <c r="B88" s="397"/>
      <c r="C88" s="398"/>
      <c r="D88" s="398"/>
      <c r="E88" s="399"/>
      <c r="F88" s="400"/>
      <c r="G88" s="407"/>
      <c r="H88" s="408"/>
      <c r="I88" s="409"/>
      <c r="J88" s="409"/>
      <c r="K88" s="409"/>
      <c r="L88" s="409"/>
      <c r="M88" s="409"/>
      <c r="N88" s="409"/>
      <c r="O88" s="409"/>
      <c r="P88" s="410"/>
      <c r="Q88" s="636"/>
      <c r="R88" s="401"/>
      <c r="S88" s="401"/>
      <c r="T88" s="402"/>
      <c r="U88" s="413" t="str">
        <f>IF(-0.75*((C88/(VLOOKUP($A$2,Assumptions!$B$124:$G$147,2,0)))+D88/(VLOOKUP($A$2,Assumptions!$B$124:$G$147,5,0)))=0,"",-0.75*((C88/(VLOOKUP($A$2,Assumptions!$B$124:$G$147,2,0)))+D88/(VLOOKUP($A$2,Assumptions!$B$124:$G$147,5,0))))</f>
        <v/>
      </c>
      <c r="V88" s="415" t="str">
        <f t="shared" si="21"/>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-232.29999999999998</v>
      </c>
      <c r="D115" s="354">
        <f>SUM(D69:D88)</f>
        <v>-5098.0389947104795</v>
      </c>
      <c r="E115" s="355"/>
      <c r="F115" s="333">
        <f>SUM(F69:F114)</f>
        <v>5012700</v>
      </c>
      <c r="G115" s="388">
        <f>SUM(G69:G114)</f>
        <v>9500</v>
      </c>
      <c r="H115" s="388">
        <f t="shared" ref="H115:N115" si="25">SUM(H69:H114)</f>
        <v>5000</v>
      </c>
      <c r="I115" s="388">
        <f t="shared" si="25"/>
        <v>5000</v>
      </c>
      <c r="J115" s="388">
        <f t="shared" si="25"/>
        <v>127700</v>
      </c>
      <c r="K115" s="388">
        <f t="shared" si="25"/>
        <v>10000</v>
      </c>
      <c r="L115" s="388">
        <f t="shared" si="25"/>
        <v>4500000</v>
      </c>
      <c r="M115" s="388">
        <f t="shared" si="25"/>
        <v>0</v>
      </c>
      <c r="N115" s="388">
        <f t="shared" si="25"/>
        <v>0</v>
      </c>
      <c r="O115" s="388">
        <f>SUM(O69:O114)</f>
        <v>0</v>
      </c>
      <c r="P115" s="388">
        <f>SUM(P69:P114)</f>
        <v>0</v>
      </c>
      <c r="Q115" s="388">
        <f>SUM(Q69:Q114)</f>
        <v>275500</v>
      </c>
      <c r="R115" s="388">
        <f>SUMIFS(F69:F114,R69:R114,"Yes")-0.5*SUMIFS(F69:F114,R69:R114,"Yes",S69:S114,"Yes")</f>
        <v>2722700</v>
      </c>
      <c r="S115" s="388">
        <f>SUMIFS(F69:F114,S69:S114,"Yes")-0.5*SUMIFS(F69:F114,S69:S114,"Yes",R69:R114,"Yes")</f>
        <v>2290000</v>
      </c>
      <c r="T115" s="388">
        <f>SUMIFS(F69:F114,T69:T114,"Yes")</f>
        <v>0</v>
      </c>
      <c r="U115" s="389">
        <f>SUM(U69:U114)</f>
        <v>0.25886153686495467</v>
      </c>
      <c r="V115" s="390">
        <f>IF(ISERROR(((-1*C115*1000*$D$6)+(-1*D115*$D$8))/F115),"",((-1*C115*1000*$D$6)+(-1*D115*$D$8))/F115)</f>
        <v>4.5286345336918075E-2</v>
      </c>
      <c r="W115" s="388">
        <f>SUMIFS(F69:F114,W69:W114,"Yes")</f>
        <v>4727200</v>
      </c>
      <c r="X115" s="388">
        <f>SUMIFS(F69:F114,X69:X114,"Yes")</f>
        <v>365500</v>
      </c>
    </row>
    <row r="116" spans="1:31" ht="15">
      <c r="A116" s="13"/>
      <c r="B116" s="13"/>
      <c r="C116" s="535">
        <f>SUM(C69:C81)</f>
        <v>-232.29999999999998</v>
      </c>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232.29999999999998</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5.8616838487972514</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5.7617711039606681</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5.7937039159584529</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5.8427640888844419</v>
      </c>
      <c r="AA126" s="22">
        <f t="shared" ref="AA126:AC126" si="26">AK216</f>
        <v>6.0022160697127509</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5.8534472086170686</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5.9377135394345757</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5.9859989346342308</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6.0022160697127509</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6.0022160697127509</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6.0022160697127509</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6.0022160697127509</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v>1521</v>
      </c>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42.145000000000003</v>
      </c>
      <c r="BC154" s="24" t="s">
        <v>436</v>
      </c>
      <c r="BD154" s="8"/>
      <c r="BE154" s="8"/>
      <c r="BF154" s="24">
        <f t="shared" ref="BF154:BF155" si="31">IF($C$59&gt;7000,"error",IF($C$59&gt;5999,AR154,IF($C$59&gt;4999,AQ154,IF($C$59&gt;3999,AP154,IF($C$59&gt;2999,AO154,IF($C$59&gt;1999,AN154,"Error"))))))</f>
        <v>42.145000000000003</v>
      </c>
      <c r="BG154" s="24">
        <f t="shared" ref="BG154:BG164" si="32">IF($C$59&gt;7000,"error",IF($C$59&gt;5999,AY154,IF($C$59&gt;4999,AX154,IF($C$59&gt;3999,AW154,IF($C$59&gt;2999,AV154,IF($C$59&gt;1999,AU154,"Error"))))))</f>
        <v>69.5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63.217500000000001</v>
      </c>
      <c r="BC155" s="24" t="s">
        <v>436</v>
      </c>
      <c r="BE155" s="24"/>
      <c r="BF155" s="24">
        <f t="shared" si="31"/>
        <v>63.217500000000001</v>
      </c>
      <c r="BG155" s="24">
        <f t="shared" si="32"/>
        <v>104.25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84.29</v>
      </c>
      <c r="BC156" s="24" t="s">
        <v>436</v>
      </c>
      <c r="BD156" s="24">
        <f>IF(C58="base",BF156,BG156)</f>
        <v>84.29</v>
      </c>
      <c r="BE156" s="24"/>
      <c r="BF156" s="24">
        <f>IF($C$59&gt;7000,"error",IF($C$59&gt;5999,AR156,IF($C$59&gt;4999,AQ156,IF($C$59&gt;3999,AP156,IF($C$59&gt;2999,AO156,IF($C$59&gt;1999,AN156,"Error"))))))</f>
        <v>84.29</v>
      </c>
      <c r="BG156" s="24">
        <f t="shared" si="32"/>
        <v>139</v>
      </c>
      <c r="BH156" s="24"/>
      <c r="BI156" s="29" t="s">
        <v>142</v>
      </c>
      <c r="BJ156" s="29">
        <v>790</v>
      </c>
      <c r="BK156" s="29">
        <v>51.33</v>
      </c>
      <c r="BL156" s="24">
        <v>2000</v>
      </c>
      <c r="BM156" s="25"/>
      <c r="BN156" s="24"/>
      <c r="BO156" s="24"/>
      <c r="BP156" s="24"/>
      <c r="BQ156" s="29" t="s">
        <v>441</v>
      </c>
      <c r="BR156" s="29" t="s">
        <v>442</v>
      </c>
      <c r="BS156" s="29" t="s">
        <v>443</v>
      </c>
      <c r="BT156" s="14"/>
      <c r="BU156" s="30" t="s">
        <v>444</v>
      </c>
      <c r="BV156" s="31">
        <f>C60</f>
        <v>47563.3</v>
      </c>
      <c r="BW156" s="14" t="s">
        <v>445</v>
      </c>
      <c r="BX156" s="181" t="s">
        <v>13</v>
      </c>
      <c r="BY156" s="38">
        <f>BY157/BV156</f>
        <v>32.244272416968542</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101.75</v>
      </c>
      <c r="BC157" s="24" t="s">
        <v>436</v>
      </c>
      <c r="BD157" s="24">
        <f>BB157-BB156</f>
        <v>17.459999999999994</v>
      </c>
      <c r="BE157" s="24"/>
      <c r="BF157" s="24">
        <f t="shared" ref="BF157:BF164" si="36">IF($C$59&gt;7000,"error",IF($C$59&gt;5999,AR157,IF($C$59&gt;4999,AQ157,IF($C$59&gt;3999,AP157,IF($C$59&gt;2999,AO157,IF($C$59&gt;1999,AN157,"Error"))))))</f>
        <v>101.75</v>
      </c>
      <c r="BG157" s="24">
        <f t="shared" si="32"/>
        <v>166.57</v>
      </c>
      <c r="BH157" s="24"/>
      <c r="BI157" s="29" t="s">
        <v>118</v>
      </c>
      <c r="BJ157" s="29">
        <v>790</v>
      </c>
      <c r="BK157" s="29">
        <v>51.33</v>
      </c>
      <c r="BL157" s="24">
        <v>2000</v>
      </c>
      <c r="BM157" s="25"/>
      <c r="BN157" s="24">
        <f>BV161/BV158</f>
        <v>28.873484491490323</v>
      </c>
      <c r="BO157" s="32" t="s">
        <v>447</v>
      </c>
      <c r="BP157" s="179">
        <f>$BY$158/SUM($BY$158:$BY$159)*C64</f>
        <v>44.271189380579735</v>
      </c>
      <c r="BQ157" s="29" t="s">
        <v>448</v>
      </c>
      <c r="BR157" s="29" t="s">
        <v>449</v>
      </c>
      <c r="BS157" s="29" t="s">
        <v>450</v>
      </c>
      <c r="BT157" s="14"/>
      <c r="BU157" s="30" t="s">
        <v>451</v>
      </c>
      <c r="BV157" s="33">
        <f xml:space="preserve"> 5 - 0.5*(BV158-BB156)/BH166</f>
        <v>6.1460140498115772</v>
      </c>
      <c r="BW157" s="14" t="s">
        <v>452</v>
      </c>
      <c r="BX157" s="181" t="s">
        <v>890</v>
      </c>
      <c r="BY157" s="180">
        <f>SUM(BY158:BY159)</f>
        <v>1533644.0022499999</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120.31</v>
      </c>
      <c r="BC158" s="24" t="s">
        <v>436</v>
      </c>
      <c r="BD158" s="24">
        <f t="shared" ref="BD158:BD164" si="37">BB158-BB157</f>
        <v>18.560000000000002</v>
      </c>
      <c r="BE158" s="24"/>
      <c r="BF158" s="24">
        <f t="shared" si="36"/>
        <v>120.31</v>
      </c>
      <c r="BG158" s="24">
        <f t="shared" si="32"/>
        <v>194.15</v>
      </c>
      <c r="BH158" s="24"/>
      <c r="BI158" s="29" t="s">
        <v>150</v>
      </c>
      <c r="BJ158" s="29">
        <v>810</v>
      </c>
      <c r="BK158" s="29">
        <v>51.33</v>
      </c>
      <c r="BL158" s="24">
        <v>4000</v>
      </c>
      <c r="BM158" s="25"/>
      <c r="BN158" s="179">
        <f>BV162/BV163</f>
        <v>551.25686346504017</v>
      </c>
      <c r="BO158" s="24" t="s">
        <v>454</v>
      </c>
      <c r="BP158" s="179">
        <f>$BY$159/SUM($BY$158:$BY$159)*C64</f>
        <v>9.9288106194202683</v>
      </c>
      <c r="BQ158" s="29" t="s">
        <v>455</v>
      </c>
      <c r="BR158" s="29" t="s">
        <v>456</v>
      </c>
      <c r="BS158" s="29" t="s">
        <v>457</v>
      </c>
      <c r="BT158" s="14"/>
      <c r="BU158" s="30" t="s">
        <v>458</v>
      </c>
      <c r="BV158" s="31">
        <f>BP157</f>
        <v>44.271189380579735</v>
      </c>
      <c r="BW158" s="14" t="s">
        <v>436</v>
      </c>
      <c r="BX158" s="181" t="s">
        <v>459</v>
      </c>
      <c r="BY158" s="178">
        <f>INDEX($BJ$156:$BJ$161,MATCH($C$57,$BI$156:$BI$161,0))*$C$62</f>
        <v>1252698.23</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138.88</v>
      </c>
      <c r="BC159" s="24" t="s">
        <v>436</v>
      </c>
      <c r="BD159" s="24">
        <f t="shared" si="37"/>
        <v>18.569999999999993</v>
      </c>
      <c r="BE159" s="24"/>
      <c r="BF159" s="24">
        <f t="shared" si="36"/>
        <v>138.88</v>
      </c>
      <c r="BG159" s="24">
        <f t="shared" si="32"/>
        <v>221.73</v>
      </c>
      <c r="BH159" s="24"/>
      <c r="BI159" s="29" t="s">
        <v>460</v>
      </c>
      <c r="BJ159" s="29">
        <v>770</v>
      </c>
      <c r="BK159" s="29">
        <v>51.33</v>
      </c>
      <c r="BL159" s="24">
        <v>5000</v>
      </c>
      <c r="BM159" s="25"/>
      <c r="BN159" s="24"/>
      <c r="BO159" s="24"/>
      <c r="BP159" s="179">
        <f>BP158+BP157</f>
        <v>54.2</v>
      </c>
      <c r="BQ159" s="29" t="s">
        <v>461</v>
      </c>
      <c r="BR159" s="29" t="s">
        <v>462</v>
      </c>
      <c r="BS159" s="29" t="s">
        <v>463</v>
      </c>
      <c r="BT159" s="34"/>
      <c r="BU159" s="30" t="s">
        <v>464</v>
      </c>
      <c r="BV159" s="35"/>
      <c r="BW159" s="14" t="s">
        <v>452</v>
      </c>
      <c r="BX159" s="181" t="s">
        <v>465</v>
      </c>
      <c r="BY159" s="178">
        <f>INDEX($BK$156:$BK$161,MATCH($C$57,$BI$156:$BI$161,0))*$C$63</f>
        <v>280945.77224999998</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157.44999999999999</v>
      </c>
      <c r="BC160" s="24" t="s">
        <v>436</v>
      </c>
      <c r="BD160" s="24">
        <f t="shared" si="37"/>
        <v>18.569999999999993</v>
      </c>
      <c r="BE160" s="24"/>
      <c r="BF160" s="24">
        <f t="shared" si="36"/>
        <v>157.44999999999999</v>
      </c>
      <c r="BG160" s="24">
        <f t="shared" si="32"/>
        <v>249.31</v>
      </c>
      <c r="BH160" s="24"/>
      <c r="BI160" s="29" t="s">
        <v>129</v>
      </c>
      <c r="BJ160" s="29">
        <v>980</v>
      </c>
      <c r="BK160" s="29">
        <v>51.33</v>
      </c>
      <c r="BL160" s="24">
        <v>3000</v>
      </c>
      <c r="BM160" s="25"/>
      <c r="BN160" s="24">
        <f>W162</f>
        <v>0.152</v>
      </c>
      <c r="BO160" s="24"/>
      <c r="BP160" s="24"/>
      <c r="BQ160" s="29" t="s">
        <v>466</v>
      </c>
      <c r="BR160" s="29" t="s">
        <v>467</v>
      </c>
      <c r="BS160" s="29"/>
      <c r="BT160" s="34"/>
      <c r="BU160" s="30" t="s">
        <v>468</v>
      </c>
      <c r="BV160" s="30" t="s">
        <v>469</v>
      </c>
      <c r="BW160" s="30" t="s">
        <v>433</v>
      </c>
      <c r="BX160" s="14"/>
      <c r="BY160" s="179">
        <f>((BY158+BY159)/$C$60)*(50/$C$61)</f>
        <v>30.767435512374565</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176.01</v>
      </c>
      <c r="BC161" s="24" t="s">
        <v>436</v>
      </c>
      <c r="BD161" s="24">
        <f t="shared" si="37"/>
        <v>18.560000000000002</v>
      </c>
      <c r="BE161" s="24"/>
      <c r="BF161" s="24">
        <f t="shared" si="36"/>
        <v>176.01</v>
      </c>
      <c r="BG161" s="24">
        <f t="shared" si="32"/>
        <v>276.89</v>
      </c>
      <c r="BH161" s="24"/>
      <c r="BI161" s="29" t="s">
        <v>147</v>
      </c>
      <c r="BJ161" s="29">
        <v>680</v>
      </c>
      <c r="BK161" s="29">
        <v>51.33</v>
      </c>
      <c r="BL161" s="24">
        <v>6000</v>
      </c>
      <c r="BM161" s="37"/>
      <c r="BN161" s="37"/>
      <c r="BO161" s="37"/>
      <c r="BP161" s="37"/>
      <c r="BQ161" s="29" t="s">
        <v>470</v>
      </c>
      <c r="BR161" s="29" t="s">
        <v>18</v>
      </c>
      <c r="BS161" s="29"/>
      <c r="BT161" s="14"/>
      <c r="BU161" s="14" t="s">
        <v>471</v>
      </c>
      <c r="BV161" s="31">
        <f>C62</f>
        <v>1278.2635</v>
      </c>
      <c r="BW161" s="14" t="s">
        <v>311</v>
      </c>
      <c r="BX161" s="14"/>
      <c r="BY161" s="14"/>
      <c r="BZ161" s="38">
        <f>5-(0.5*(C64-CE177)/(CE176-CE177))</f>
        <v>5.8616838487972514</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194.58</v>
      </c>
      <c r="BC162" s="24" t="s">
        <v>436</v>
      </c>
      <c r="BD162" s="24">
        <f t="shared" si="37"/>
        <v>18.570000000000022</v>
      </c>
      <c r="BE162" s="24"/>
      <c r="BF162" s="24">
        <f t="shared" si="36"/>
        <v>194.58</v>
      </c>
      <c r="BG162" s="24">
        <f t="shared" si="32"/>
        <v>304.47000000000003</v>
      </c>
      <c r="BH162" s="24"/>
      <c r="BI162" s="24"/>
      <c r="BJ162" s="24"/>
      <c r="BK162" s="24"/>
      <c r="BL162" s="24"/>
      <c r="BM162" s="37"/>
      <c r="BN162" s="37"/>
      <c r="BO162" s="37"/>
      <c r="BP162" s="37"/>
      <c r="BQ162" s="29" t="s">
        <v>473</v>
      </c>
      <c r="BR162" s="24"/>
      <c r="BS162" s="24"/>
      <c r="BT162" s="14"/>
      <c r="BU162" s="14" t="s">
        <v>474</v>
      </c>
      <c r="BV162" s="31">
        <f>C63</f>
        <v>5473.3249999999998</v>
      </c>
      <c r="BW162" s="14" t="s">
        <v>314</v>
      </c>
      <c r="BX162" s="14"/>
      <c r="BY162" s="38">
        <f>C63*BK156</f>
        <v>280945.77224999998</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213.15</v>
      </c>
      <c r="BC163" s="24" t="s">
        <v>436</v>
      </c>
      <c r="BD163" s="24">
        <f t="shared" si="37"/>
        <v>18.569999999999993</v>
      </c>
      <c r="BE163" s="24"/>
      <c r="BF163" s="24">
        <f t="shared" si="36"/>
        <v>213.15</v>
      </c>
      <c r="BG163" s="24">
        <f t="shared" si="32"/>
        <v>332.05</v>
      </c>
      <c r="BH163" s="24"/>
      <c r="BI163" s="24"/>
      <c r="BJ163" s="24"/>
      <c r="BK163" s="24"/>
      <c r="BL163" s="24"/>
      <c r="BM163" s="37"/>
      <c r="BN163" s="37"/>
      <c r="BO163" s="37"/>
      <c r="BP163" s="37"/>
      <c r="BQ163" s="29" t="s">
        <v>475</v>
      </c>
      <c r="BR163" s="24"/>
      <c r="BS163" s="24"/>
      <c r="BT163" s="14"/>
      <c r="BU163" s="14" t="s">
        <v>476</v>
      </c>
      <c r="BV163" s="38">
        <f>BP158</f>
        <v>9.9288106194202683</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231.71</v>
      </c>
      <c r="BC164" s="24" t="s">
        <v>436</v>
      </c>
      <c r="BD164" s="24">
        <f t="shared" si="37"/>
        <v>18.560000000000002</v>
      </c>
      <c r="BE164" s="24"/>
      <c r="BF164" s="24">
        <f t="shared" si="36"/>
        <v>231.71</v>
      </c>
      <c r="BG164" s="24">
        <f t="shared" si="32"/>
        <v>359.62</v>
      </c>
      <c r="BH164" s="24"/>
      <c r="BI164" s="24"/>
      <c r="BJ164" s="24"/>
      <c r="BK164" s="24"/>
      <c r="BL164" s="24"/>
      <c r="BM164" s="37"/>
      <c r="BN164" s="37"/>
      <c r="BO164" s="37"/>
      <c r="BP164" s="37"/>
      <c r="BQ164" s="29" t="s">
        <v>478</v>
      </c>
      <c r="BR164" s="24"/>
      <c r="BS164" s="24"/>
      <c r="BT164" s="14"/>
      <c r="BU164" s="14"/>
      <c r="BV164" s="38">
        <f>BV163+BV158</f>
        <v>54.2</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8">H66</f>
        <v>45838</v>
      </c>
      <c r="I166" s="177">
        <f t="shared" si="38"/>
        <v>46203</v>
      </c>
      <c r="J166" s="177">
        <f t="shared" si="38"/>
        <v>46568</v>
      </c>
      <c r="K166" s="177">
        <f t="shared" si="38"/>
        <v>46934</v>
      </c>
      <c r="L166" s="177">
        <f t="shared" si="38"/>
        <v>47299</v>
      </c>
      <c r="M166" s="177">
        <f t="shared" si="38"/>
        <v>47664</v>
      </c>
      <c r="N166" s="177">
        <f t="shared" si="38"/>
        <v>48029</v>
      </c>
      <c r="O166" s="177">
        <f t="shared" si="38"/>
        <v>48395</v>
      </c>
      <c r="P166" s="177">
        <f t="shared" si="38"/>
        <v>48760</v>
      </c>
      <c r="Q166" s="177">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0">IF($C$58="base",INDEX($AN$157:$AR$157,MATCH($C$57,$AN$165:$AR$165,0)),INDEX($AU$157:$AY$157,MATCH($C$57,$AU$165:$AY$165,0)))</f>
        <v>101.75</v>
      </c>
      <c r="BF166" s="47" t="s">
        <v>388</v>
      </c>
      <c r="BG166" s="47">
        <f>BD156</f>
        <v>84.29</v>
      </c>
      <c r="BH166" s="47">
        <f>BD157</f>
        <v>17.459999999999994</v>
      </c>
      <c r="BI166" s="47">
        <f>BD158</f>
        <v>18.560000000000002</v>
      </c>
      <c r="BJ166" s="47">
        <f>BD159</f>
        <v>18.569999999999993</v>
      </c>
      <c r="BK166" s="47">
        <f>BD160</f>
        <v>18.569999999999993</v>
      </c>
      <c r="BL166" s="47">
        <f>BD161</f>
        <v>18.560000000000002</v>
      </c>
      <c r="BM166" s="47">
        <f>BD162</f>
        <v>18.570000000000022</v>
      </c>
      <c r="BN166" s="47">
        <f>BD163</f>
        <v>18.569999999999993</v>
      </c>
      <c r="BO166" s="47">
        <f>BD164</f>
        <v>18.560000000000002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0</v>
      </c>
      <c r="K167" s="12">
        <f t="shared" ref="K167:K209" si="43">IF($E69&lt;K$66,$C69,0)</f>
        <v>0</v>
      </c>
      <c r="L167" s="12">
        <f t="shared" ref="L167:N186" si="44">IF($E69&gt;L$66,0,IF($E69&lt;L$66-365,$C69,0))</f>
        <v>0</v>
      </c>
      <c r="M167" s="12">
        <f t="shared" si="44"/>
        <v>0</v>
      </c>
      <c r="N167" s="12">
        <f t="shared" si="44"/>
        <v>0</v>
      </c>
      <c r="O167" s="12">
        <f t="shared" ref="O167:O209" si="45">IF($E69&lt;O$66,$C69,0)</f>
        <v>0</v>
      </c>
      <c r="P167" s="12">
        <f t="shared" ref="P167:Q186" si="46">IF($E69&gt;P$66,0,IF($E69&lt;P$66-365,$C69,0))</f>
        <v>0</v>
      </c>
      <c r="Q167" s="12">
        <f t="shared" si="46"/>
        <v>0</v>
      </c>
      <c r="T167" s="14"/>
      <c r="U167" s="14"/>
      <c r="V167" s="14"/>
      <c r="W167" s="53">
        <f t="shared" ref="W167:W211" si="47">C68*$BN$160*1000</f>
        <v>0</v>
      </c>
      <c r="X167" s="54" t="e">
        <f t="shared" ref="X167:X211" si="48">-1*F68/W167</f>
        <v>#DIV/0!</v>
      </c>
      <c r="Y167" s="25">
        <f>Z167/$BH$166</f>
        <v>0</v>
      </c>
      <c r="Z167" s="54">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si="40"/>
        <v>101.75</v>
      </c>
      <c r="BF167" s="24" t="s">
        <v>486</v>
      </c>
      <c r="BG167" s="56">
        <f>BV158+($C$64-$BV$158)</f>
        <v>54.2</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0</v>
      </c>
      <c r="K168" s="12">
        <f t="shared" si="43"/>
        <v>0</v>
      </c>
      <c r="L168" s="12">
        <f t="shared" si="44"/>
        <v>0</v>
      </c>
      <c r="M168" s="12">
        <f t="shared" si="44"/>
        <v>0</v>
      </c>
      <c r="N168" s="12">
        <f t="shared" si="44"/>
        <v>0</v>
      </c>
      <c r="O168" s="12">
        <f t="shared" si="45"/>
        <v>0</v>
      </c>
      <c r="P168" s="12">
        <f t="shared" si="46"/>
        <v>0</v>
      </c>
      <c r="Q168" s="12">
        <f t="shared" si="46"/>
        <v>0</v>
      </c>
      <c r="T168" s="57"/>
      <c r="U168" s="57"/>
      <c r="V168" s="57"/>
      <c r="W168" s="53">
        <f t="shared" si="47"/>
        <v>-15002.4</v>
      </c>
      <c r="X168" s="54">
        <f t="shared" si="48"/>
        <v>11.031568282408148</v>
      </c>
      <c r="Y168" s="54">
        <f t="shared" ref="Y168:Y213" si="55">Z168/$BH$166</f>
        <v>-0.19578243020392497</v>
      </c>
      <c r="Z168" s="54">
        <f>($C69/$BN$157)+($D69/$BN$158)</f>
        <v>-3.4183612313605289</v>
      </c>
      <c r="AA168" s="54">
        <f t="shared" si="49"/>
        <v>0</v>
      </c>
      <c r="AB168" s="54">
        <f t="shared" si="49"/>
        <v>0</v>
      </c>
      <c r="AC168" s="54">
        <f t="shared" si="49"/>
        <v>0</v>
      </c>
      <c r="AD168" s="54">
        <f>IF($E69+365&lt;$C$56,0,IF($E69&lt;$C$56,(($E69+365-$C$56)/365)*(($C69/$BN$157)+($D69/$BN$158)),IF($E69&gt;AD$166,0,IF($E69+365&lt;AD$166,($C69/$BN$157)+($D69/$BN$158),((AD$166-$E69)/365)*(($C69/$BN$157)+($D69/$BN$158))))))</f>
        <v>0</v>
      </c>
      <c r="AE168" s="54">
        <f t="shared" si="49"/>
        <v>0</v>
      </c>
      <c r="AF168" s="54">
        <f t="shared" si="49"/>
        <v>0</v>
      </c>
      <c r="AG168" s="54">
        <f t="shared" si="49"/>
        <v>0</v>
      </c>
      <c r="AH168" s="54">
        <f t="shared" si="49"/>
        <v>0</v>
      </c>
      <c r="AI168" s="54">
        <f t="shared" si="49"/>
        <v>0</v>
      </c>
      <c r="AJ168" s="54">
        <f t="shared" si="49"/>
        <v>0</v>
      </c>
      <c r="AK168" s="54">
        <f t="shared" ref="AK168" si="56">IF($E69+365&lt;$C$56,0,IF($E69&lt;$C$56,(($E69+365-$C$56)/365)*(($C69/$BN$157)+($D69/$BN$158)),IF($E69&gt;AK$166,0,IF($E69+365&lt;AK$166,($C69/$BN$157)+($D69/$BN$158),((AK$166-$E69)/365)*(($C69/$BN$157)+($D69/$BN$158))))))</f>
        <v>0</v>
      </c>
      <c r="AL168" s="24">
        <f t="shared" si="51"/>
        <v>-98.7</v>
      </c>
      <c r="AM168" s="24">
        <f t="shared" si="52"/>
        <v>0</v>
      </c>
      <c r="AN168" s="55">
        <f t="shared" si="53"/>
        <v>165500</v>
      </c>
      <c r="AO168" s="55">
        <f t="shared" si="54"/>
        <v>0</v>
      </c>
      <c r="AP168" s="24"/>
      <c r="AQ168" s="24"/>
      <c r="AR168" s="24"/>
      <c r="AS168" s="24"/>
      <c r="AT168" s="24"/>
      <c r="AU168" s="24"/>
      <c r="AV168" s="24"/>
      <c r="AW168" s="24"/>
      <c r="AX168" s="24"/>
      <c r="AY168" s="24"/>
      <c r="AZ168" s="24"/>
      <c r="BA168" s="24"/>
      <c r="BB168" s="24"/>
      <c r="BC168" s="24"/>
      <c r="BD168" s="24"/>
      <c r="BE168" s="24">
        <f t="shared" si="40"/>
        <v>101.75</v>
      </c>
      <c r="BF168" s="59">
        <f>AB166</f>
        <v>45747</v>
      </c>
      <c r="BG168" s="36">
        <f>(BV158+AB214)+($C$64-$BV$158)</f>
        <v>50.83934846193101</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VIC</v>
      </c>
      <c r="CF168" s="14" t="str">
        <f>C57</f>
        <v>VIC</v>
      </c>
      <c r="CG168" s="14"/>
      <c r="CH168" s="25" t="s">
        <v>388</v>
      </c>
      <c r="CI168" s="14" t="s">
        <v>488</v>
      </c>
      <c r="CJ168" s="14"/>
    </row>
    <row r="169" spans="7:88">
      <c r="G169" s="12">
        <f t="shared" si="41"/>
        <v>-67.8</v>
      </c>
      <c r="H169" s="12">
        <f t="shared" si="42"/>
        <v>-67.8</v>
      </c>
      <c r="I169" s="12">
        <f t="shared" si="42"/>
        <v>-67.8</v>
      </c>
      <c r="J169" s="12">
        <f t="shared" si="42"/>
        <v>-67.8</v>
      </c>
      <c r="K169" s="12">
        <f t="shared" si="43"/>
        <v>-67.8</v>
      </c>
      <c r="L169" s="12">
        <f t="shared" si="44"/>
        <v>-67.8</v>
      </c>
      <c r="M169" s="12">
        <f t="shared" si="44"/>
        <v>-67.8</v>
      </c>
      <c r="N169" s="12">
        <f t="shared" si="44"/>
        <v>-67.8</v>
      </c>
      <c r="O169" s="12">
        <f t="shared" si="45"/>
        <v>-67.8</v>
      </c>
      <c r="P169" s="12">
        <f t="shared" si="46"/>
        <v>-67.8</v>
      </c>
      <c r="Q169" s="12">
        <f t="shared" si="46"/>
        <v>-67.8</v>
      </c>
      <c r="T169" s="61"/>
      <c r="U169" s="61"/>
      <c r="V169" s="61"/>
      <c r="W169" s="53">
        <f t="shared" si="47"/>
        <v>-14288</v>
      </c>
      <c r="X169" s="54">
        <f t="shared" si="48"/>
        <v>7.6987681970884658</v>
      </c>
      <c r="Y169" s="343">
        <f>Z169/$BH$166</f>
        <v>-0.18645945733707142</v>
      </c>
      <c r="Z169" s="54">
        <f>($C70/$BN$157)+($D70/$BN$158)</f>
        <v>-3.2555821251052657</v>
      </c>
      <c r="AA169" s="54">
        <f t="shared" si="49"/>
        <v>0</v>
      </c>
      <c r="AB169" s="54">
        <f t="shared" si="49"/>
        <v>0</v>
      </c>
      <c r="AC169" s="54">
        <f t="shared" si="49"/>
        <v>0</v>
      </c>
      <c r="AD169" s="54">
        <f>IF($E70+365&lt;$C$56,0,IF($E70&lt;$C$56,(($E70+365-$C$56)/365)*(($C70/$BN$157)+($D70/$BN$158)),IF($E70&gt;AD$166,0,IF($E70+365&lt;AD$166,($C70/$BN$157)+($D70/$BN$158),((AD$166-$E70)/365)*(($C70/$BN$157)+($D70/$BN$158))))))</f>
        <v>0</v>
      </c>
      <c r="AE169" s="54">
        <f t="shared" si="49"/>
        <v>0</v>
      </c>
      <c r="AF169" s="54">
        <f t="shared" si="49"/>
        <v>0</v>
      </c>
      <c r="AG169" s="54">
        <f t="shared" si="49"/>
        <v>0</v>
      </c>
      <c r="AH169" s="54">
        <f t="shared" si="49"/>
        <v>0</v>
      </c>
      <c r="AI169" s="54">
        <f t="shared" si="49"/>
        <v>0</v>
      </c>
      <c r="AJ169" s="54">
        <f t="shared" si="49"/>
        <v>0</v>
      </c>
      <c r="AK169" s="54">
        <f t="shared" ref="AK169" si="57">IF($E70+365&lt;$C$56,0,IF($E70&lt;$C$56,(($E70+365-$C$56)/365)*(($C70/$BN$157)+($D70/$BN$158)),IF($E70&gt;AK$166,0,IF($E70+365&lt;AK$166,($C70/$BN$157)+($D70/$BN$158),((AK$166-$E70)/365)*(($C70/$BN$157)+($D70/$BN$158))))))</f>
        <v>0</v>
      </c>
      <c r="AL169" s="24">
        <f t="shared" si="51"/>
        <v>-94</v>
      </c>
      <c r="AM169" s="24">
        <f t="shared" si="52"/>
        <v>0</v>
      </c>
      <c r="AN169" s="55">
        <f t="shared" si="53"/>
        <v>110000</v>
      </c>
      <c r="AO169" s="55">
        <f t="shared" si="54"/>
        <v>0</v>
      </c>
      <c r="AP169" s="24"/>
      <c r="AQ169" s="24"/>
      <c r="AR169" s="24"/>
      <c r="AS169" s="24"/>
      <c r="AT169" s="24"/>
      <c r="AU169" s="24"/>
      <c r="AV169" s="24"/>
      <c r="AW169" s="24"/>
      <c r="AX169" s="24"/>
      <c r="AY169" s="24"/>
      <c r="AZ169" s="24"/>
      <c r="BA169" s="24"/>
      <c r="BB169" s="24"/>
      <c r="BC169" s="24"/>
      <c r="BD169" s="24"/>
      <c r="BE169" s="24">
        <f t="shared" si="40"/>
        <v>101.75</v>
      </c>
      <c r="BF169" s="59">
        <f>BF168+365</f>
        <v>46112</v>
      </c>
      <c r="BG169" s="36">
        <f>BV158+AC214+($C$64-$BV$158)</f>
        <v>48.771707473965215</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231.71</v>
      </c>
      <c r="CF169" s="14">
        <f>CJ177</f>
        <v>359.62</v>
      </c>
      <c r="CG169" s="14"/>
      <c r="CH169" s="25">
        <v>5</v>
      </c>
      <c r="CI169" s="14">
        <f t="shared" ref="CI169:CI177" si="58">INDEX(AN156:AR156,MATCH($CE$168,$AN$165:$AR$165,0))</f>
        <v>84.29</v>
      </c>
      <c r="CJ169" s="14">
        <f t="shared" ref="CJ169:CJ177" si="59">INDEX(AU156:AY156,MATCH($CE$168,$AN$165:$AR$165,0))</f>
        <v>139</v>
      </c>
    </row>
    <row r="170" spans="7:88">
      <c r="G170" s="12">
        <f t="shared" si="41"/>
        <v>0</v>
      </c>
      <c r="H170" s="12">
        <f t="shared" si="42"/>
        <v>0</v>
      </c>
      <c r="I170" s="12">
        <f t="shared" si="42"/>
        <v>-59.7</v>
      </c>
      <c r="J170" s="12">
        <f t="shared" si="42"/>
        <v>-59.7</v>
      </c>
      <c r="K170" s="12">
        <f t="shared" si="43"/>
        <v>-59.7</v>
      </c>
      <c r="L170" s="12">
        <f t="shared" si="44"/>
        <v>-59.7</v>
      </c>
      <c r="M170" s="12">
        <f t="shared" si="44"/>
        <v>-59.7</v>
      </c>
      <c r="N170" s="12">
        <f t="shared" si="44"/>
        <v>-59.7</v>
      </c>
      <c r="O170" s="12">
        <f t="shared" si="45"/>
        <v>-59.7</v>
      </c>
      <c r="P170" s="12">
        <f t="shared" si="46"/>
        <v>-59.7</v>
      </c>
      <c r="Q170" s="12">
        <f t="shared" si="46"/>
        <v>-59.7</v>
      </c>
      <c r="T170" s="61"/>
      <c r="U170" s="61"/>
      <c r="V170" s="61"/>
      <c r="W170" s="53">
        <f t="shared" si="47"/>
        <v>-10305.6</v>
      </c>
      <c r="X170" s="54">
        <f t="shared" si="48"/>
        <v>0.4366557987890079</v>
      </c>
      <c r="Y170" s="25">
        <f t="shared" si="55"/>
        <v>-0.13809884126606151</v>
      </c>
      <c r="Z170" s="54">
        <f t="shared" ref="Z170:Z213" si="60">($C71/$BN$157)+($D71/$BN$158)</f>
        <v>-2.4112057685054329</v>
      </c>
      <c r="AA170" s="54">
        <f t="shared" si="49"/>
        <v>-2.0148431764223482</v>
      </c>
      <c r="AB170" s="54">
        <f t="shared" si="49"/>
        <v>-2.4112057685054329</v>
      </c>
      <c r="AC170" s="54">
        <f t="shared" si="49"/>
        <v>-2.4112057685054329</v>
      </c>
      <c r="AD170" s="54">
        <f t="shared" si="49"/>
        <v>-2.4112057685054329</v>
      </c>
      <c r="AE170" s="54">
        <f t="shared" si="49"/>
        <v>-2.4112057685054329</v>
      </c>
      <c r="AF170" s="54">
        <f t="shared" si="49"/>
        <v>-2.4112057685054329</v>
      </c>
      <c r="AG170" s="54">
        <f t="shared" si="49"/>
        <v>-2.4112057685054329</v>
      </c>
      <c r="AH170" s="54">
        <f t="shared" si="49"/>
        <v>-2.4112057685054329</v>
      </c>
      <c r="AI170" s="54">
        <f t="shared" si="49"/>
        <v>-2.4112057685054329</v>
      </c>
      <c r="AJ170" s="54">
        <f t="shared" si="49"/>
        <v>-2.4112057685054329</v>
      </c>
      <c r="AK170" s="54">
        <f t="shared" ref="AK170" si="61">IF($E71+365&lt;$C$56,0,IF($E71&lt;$C$56,(($E71+365-$C$56)/365)*(($C71/$BN$157)+($D71/$BN$158)),IF($E71&gt;AK$166,0,IF($E71+365&lt;AK$166,($C71/$BN$157)+($D71/$BN$158),((AK$166-$E71)/365)*(($C71/$BN$157)+($D71/$BN$158))))))</f>
        <v>-2.4112057685054329</v>
      </c>
      <c r="AL170" s="24">
        <f t="shared" si="51"/>
        <v>-67.8</v>
      </c>
      <c r="AM170" s="24">
        <f t="shared" si="52"/>
        <v>-34.746037706584097</v>
      </c>
      <c r="AN170" s="55">
        <f t="shared" si="53"/>
        <v>0</v>
      </c>
      <c r="AO170" s="55">
        <f t="shared" si="54"/>
        <v>4500</v>
      </c>
      <c r="AP170" s="24"/>
      <c r="AQ170" s="24"/>
      <c r="AR170" s="24"/>
      <c r="AS170" s="24"/>
      <c r="AT170" s="24"/>
      <c r="AU170" s="24"/>
      <c r="AV170" s="24"/>
      <c r="AW170" s="24"/>
      <c r="AX170" s="24"/>
      <c r="AY170" s="24"/>
      <c r="AZ170" s="24"/>
      <c r="BA170" s="24"/>
      <c r="BB170" s="24"/>
      <c r="BC170" s="24"/>
      <c r="BD170" s="24"/>
      <c r="BE170" s="24">
        <f t="shared" si="40"/>
        <v>101.75</v>
      </c>
      <c r="BF170" s="59">
        <f>BF169+365</f>
        <v>46477</v>
      </c>
      <c r="BG170" s="36">
        <f>$BV$158+AD214+($C$64-$BV$158)</f>
        <v>48.321467392833632</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213.15</v>
      </c>
      <c r="CF170" s="14">
        <f>CJ176</f>
        <v>332.05</v>
      </c>
      <c r="CG170" s="14"/>
      <c r="CH170" s="25">
        <v>4.5</v>
      </c>
      <c r="CI170" s="14">
        <f t="shared" si="58"/>
        <v>101.75</v>
      </c>
      <c r="CJ170" s="14">
        <f t="shared" si="59"/>
        <v>166.57</v>
      </c>
    </row>
    <row r="171" spans="7:88">
      <c r="G171" s="12">
        <f t="shared" si="41"/>
        <v>0</v>
      </c>
      <c r="H171" s="12">
        <f t="shared" si="42"/>
        <v>0</v>
      </c>
      <c r="I171" s="12">
        <f t="shared" si="42"/>
        <v>0</v>
      </c>
      <c r="J171" s="12">
        <f t="shared" si="42"/>
        <v>0</v>
      </c>
      <c r="K171" s="12">
        <f t="shared" si="43"/>
        <v>-20.3</v>
      </c>
      <c r="L171" s="12">
        <f t="shared" si="44"/>
        <v>-20.3</v>
      </c>
      <c r="M171" s="12">
        <f t="shared" si="44"/>
        <v>-20.3</v>
      </c>
      <c r="N171" s="12">
        <f t="shared" si="44"/>
        <v>-20.3</v>
      </c>
      <c r="O171" s="12">
        <f t="shared" si="45"/>
        <v>-20.3</v>
      </c>
      <c r="P171" s="12">
        <f t="shared" si="46"/>
        <v>-20.3</v>
      </c>
      <c r="Q171" s="12">
        <f t="shared" si="46"/>
        <v>-20.3</v>
      </c>
      <c r="T171" s="61"/>
      <c r="U171" s="61"/>
      <c r="V171" s="61"/>
      <c r="W171" s="53">
        <f t="shared" si="47"/>
        <v>-9074.4000000000015</v>
      </c>
      <c r="X171" s="54">
        <f t="shared" si="48"/>
        <v>0.55100061712069104</v>
      </c>
      <c r="Y171" s="54">
        <f t="shared" si="55"/>
        <v>-0.11842159152152303</v>
      </c>
      <c r="Z171" s="54">
        <f>($C72/$BN$157)+($D72/$BN$158)</f>
        <v>-2.0676409879657913</v>
      </c>
      <c r="AA171" s="54">
        <f t="shared" si="49"/>
        <v>0</v>
      </c>
      <c r="AB171" s="54">
        <f t="shared" si="49"/>
        <v>0</v>
      </c>
      <c r="AC171" s="54">
        <f t="shared" si="49"/>
        <v>-2.0676409879657913</v>
      </c>
      <c r="AD171" s="54">
        <f t="shared" si="49"/>
        <v>-2.0676409879657913</v>
      </c>
      <c r="AE171" s="54">
        <f t="shared" si="49"/>
        <v>-2.0676409879657913</v>
      </c>
      <c r="AF171" s="54">
        <f>IF($E72+365&lt;$C$56,0,IF($E72&lt;$C$56,(($E72+365-$C$56)/365)*(($C72/$BN$157)+($D72/$BN$158)),IF($E72&gt;AF$166,0,IF($E72+365&lt;AF$166,($C72/$BN$157)+($D72/$BN$158),((AF$166-$E72)/365)*(($C72/$BN$157)+($D72/$BN$158))))))</f>
        <v>-2.0676409879657913</v>
      </c>
      <c r="AG171" s="54">
        <f t="shared" si="49"/>
        <v>-2.0676409879657913</v>
      </c>
      <c r="AH171" s="54">
        <f t="shared" si="49"/>
        <v>-2.0676409879657913</v>
      </c>
      <c r="AI171" s="54">
        <f t="shared" si="49"/>
        <v>-2.0676409879657913</v>
      </c>
      <c r="AJ171" s="54">
        <f t="shared" si="49"/>
        <v>-2.0676409879657913</v>
      </c>
      <c r="AK171" s="54">
        <f t="shared" ref="AK171" si="62">IF($E72+365&lt;$C$56,0,IF($E72&lt;$C$56,(($E72+365-$C$56)/365)*(($C72/$BN$157)+($D72/$BN$158)),IF($E72&gt;AK$166,0,IF($E72+365&lt;AK$166,($C72/$BN$157)+($D72/$BN$158),((AK$166-$E72)/365)*(($C72/$BN$157)+($D72/$BN$158))))))</f>
        <v>-2.0676409879657913</v>
      </c>
      <c r="AL171" s="24">
        <f t="shared" si="51"/>
        <v>-59.7</v>
      </c>
      <c r="AM171" s="24">
        <f t="shared" si="52"/>
        <v>0</v>
      </c>
      <c r="AN171" s="55">
        <f t="shared" si="53"/>
        <v>5000</v>
      </c>
      <c r="AO171" s="55">
        <f t="shared" si="54"/>
        <v>0</v>
      </c>
      <c r="AP171" s="24"/>
      <c r="AQ171" s="24"/>
      <c r="AR171" s="24"/>
      <c r="AS171" s="24"/>
      <c r="AT171" s="24"/>
      <c r="AU171" s="24"/>
      <c r="AV171" s="24"/>
      <c r="AW171" s="24"/>
      <c r="AX171" s="24"/>
      <c r="AY171" s="24"/>
      <c r="AZ171" s="24"/>
      <c r="BA171" s="24"/>
      <c r="BB171" s="24"/>
      <c r="BC171" s="24"/>
      <c r="BD171" s="24"/>
      <c r="BE171" s="24">
        <f t="shared" si="40"/>
        <v>101.75</v>
      </c>
      <c r="BF171" s="59">
        <f t="shared" ref="BF171:BF176" si="63">BF170+365</f>
        <v>46842</v>
      </c>
      <c r="BG171" s="36">
        <f>$BV$158+AE214+($C$64-$BV$158)</f>
        <v>44.770062880529785</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194.58</v>
      </c>
      <c r="CF171" s="14">
        <f>CJ175</f>
        <v>304.47000000000003</v>
      </c>
      <c r="CG171" s="14"/>
      <c r="CH171" s="25">
        <v>4</v>
      </c>
      <c r="CI171" s="14">
        <f t="shared" si="58"/>
        <v>120.31</v>
      </c>
      <c r="CJ171" s="14">
        <f t="shared" si="59"/>
        <v>194.15</v>
      </c>
    </row>
    <row r="172" spans="7:88">
      <c r="G172" s="12">
        <f t="shared" si="41"/>
        <v>0</v>
      </c>
      <c r="H172" s="12">
        <f t="shared" si="42"/>
        <v>0</v>
      </c>
      <c r="I172" s="12">
        <f t="shared" si="42"/>
        <v>0</v>
      </c>
      <c r="J172" s="12">
        <f t="shared" si="42"/>
        <v>0</v>
      </c>
      <c r="K172" s="12">
        <f t="shared" si="43"/>
        <v>-54.9</v>
      </c>
      <c r="L172" s="12">
        <f t="shared" si="44"/>
        <v>-54.9</v>
      </c>
      <c r="M172" s="12">
        <f t="shared" si="44"/>
        <v>-54.9</v>
      </c>
      <c r="N172" s="12">
        <f t="shared" si="44"/>
        <v>-54.9</v>
      </c>
      <c r="O172" s="12">
        <f t="shared" si="45"/>
        <v>-54.9</v>
      </c>
      <c r="P172" s="12">
        <f t="shared" si="46"/>
        <v>-54.9</v>
      </c>
      <c r="Q172" s="12">
        <f t="shared" si="46"/>
        <v>-54.9</v>
      </c>
      <c r="T172" s="61"/>
      <c r="U172" s="61"/>
      <c r="V172" s="61"/>
      <c r="W172" s="53">
        <f t="shared" si="47"/>
        <v>-3085.6</v>
      </c>
      <c r="X172" s="54">
        <f t="shared" si="48"/>
        <v>39.765361680062227</v>
      </c>
      <c r="Y172" s="25">
        <f>Z172/$BH$166</f>
        <v>-9.4502062762473915E-2</v>
      </c>
      <c r="Z172" s="54">
        <f t="shared" si="60"/>
        <v>-1.650006015832794</v>
      </c>
      <c r="AA172" s="54">
        <f t="shared" si="49"/>
        <v>0</v>
      </c>
      <c r="AB172" s="54">
        <f t="shared" si="49"/>
        <v>0</v>
      </c>
      <c r="AC172" s="54">
        <f t="shared" si="49"/>
        <v>0</v>
      </c>
      <c r="AD172" s="54">
        <f t="shared" si="49"/>
        <v>0</v>
      </c>
      <c r="AE172" s="54">
        <f t="shared" si="49"/>
        <v>-1.650006015832794</v>
      </c>
      <c r="AF172" s="54">
        <f t="shared" si="49"/>
        <v>-1.650006015832794</v>
      </c>
      <c r="AG172" s="54">
        <f t="shared" si="49"/>
        <v>-1.650006015832794</v>
      </c>
      <c r="AH172" s="54">
        <f t="shared" si="49"/>
        <v>-1.650006015832794</v>
      </c>
      <c r="AI172" s="54">
        <f t="shared" si="49"/>
        <v>-1.650006015832794</v>
      </c>
      <c r="AJ172" s="54">
        <f t="shared" si="49"/>
        <v>-1.650006015832794</v>
      </c>
      <c r="AK172" s="54">
        <f t="shared" ref="AK172" si="64">IF($E73+365&lt;$C$56,0,IF($E73&lt;$C$56,(($E73+365-$C$56)/365)*(($C73/$BN$157)+($D73/$BN$158)),IF($E73&gt;AK$166,0,IF($E73+365&lt;AK$166,($C73/$BN$157)+($D73/$BN$158),((AK$166-$E73)/365)*(($C73/$BN$157)+($D73/$BN$158))))))</f>
        <v>-1.650006015832794</v>
      </c>
      <c r="AL172" s="24">
        <f t="shared" si="51"/>
        <v>-20.3</v>
      </c>
      <c r="AM172" s="24">
        <f t="shared" si="52"/>
        <v>-522.00651951750694</v>
      </c>
      <c r="AN172" s="55">
        <f t="shared" si="53"/>
        <v>0</v>
      </c>
      <c r="AO172" s="55">
        <f t="shared" si="54"/>
        <v>122700</v>
      </c>
      <c r="AP172" s="24"/>
      <c r="AQ172" s="24"/>
      <c r="AR172" s="24"/>
      <c r="AS172" s="24"/>
      <c r="AT172" s="24"/>
      <c r="AU172" s="24"/>
      <c r="AV172" s="24"/>
      <c r="AW172" s="24"/>
      <c r="AX172" s="24"/>
      <c r="AY172" s="24"/>
      <c r="AZ172" s="24"/>
      <c r="BA172" s="24"/>
      <c r="BB172" s="24"/>
      <c r="BC172" s="24"/>
      <c r="BD172" s="24"/>
      <c r="BE172" s="24">
        <f t="shared" si="40"/>
        <v>101.75</v>
      </c>
      <c r="BF172" s="59">
        <f t="shared" si="63"/>
        <v>47207</v>
      </c>
      <c r="BG172" s="36">
        <f>$BV$158+AF214+($C$64-$BV$158)</f>
        <v>42.735074899840342</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176.01</v>
      </c>
      <c r="CF172" s="14">
        <f>CJ174</f>
        <v>276.89</v>
      </c>
      <c r="CG172" s="14"/>
      <c r="CH172" s="25">
        <v>3.5</v>
      </c>
      <c r="CI172" s="14">
        <f t="shared" si="58"/>
        <v>138.88</v>
      </c>
      <c r="CJ172" s="14">
        <f t="shared" si="59"/>
        <v>221.73</v>
      </c>
    </row>
    <row r="173" spans="7:88">
      <c r="G173" s="12">
        <f t="shared" si="41"/>
        <v>0</v>
      </c>
      <c r="H173" s="12">
        <f t="shared" si="42"/>
        <v>0</v>
      </c>
      <c r="I173" s="12">
        <f t="shared" si="42"/>
        <v>0</v>
      </c>
      <c r="J173" s="12">
        <f t="shared" si="42"/>
        <v>0</v>
      </c>
      <c r="K173" s="12">
        <f t="shared" si="43"/>
        <v>-25.7</v>
      </c>
      <c r="L173" s="12">
        <f t="shared" si="44"/>
        <v>-25.7</v>
      </c>
      <c r="M173" s="12">
        <f t="shared" si="44"/>
        <v>-25.7</v>
      </c>
      <c r="N173" s="12">
        <f t="shared" si="44"/>
        <v>-25.7</v>
      </c>
      <c r="O173" s="12">
        <f t="shared" si="45"/>
        <v>-25.7</v>
      </c>
      <c r="P173" s="12">
        <f t="shared" si="46"/>
        <v>-25.7</v>
      </c>
      <c r="Q173" s="12">
        <f t="shared" si="46"/>
        <v>-25.7</v>
      </c>
      <c r="T173" s="61"/>
      <c r="U173" s="61"/>
      <c r="V173" s="61"/>
      <c r="W173" s="53">
        <f t="shared" si="47"/>
        <v>-8344.7999999999993</v>
      </c>
      <c r="X173" s="54">
        <f t="shared" si="48"/>
        <v>0.59917553446457683</v>
      </c>
      <c r="Y173" s="25">
        <f t="shared" si="55"/>
        <v>-0.10890025752984278</v>
      </c>
      <c r="Z173" s="54">
        <f t="shared" si="60"/>
        <v>-1.9013984964710542</v>
      </c>
      <c r="AA173" s="54">
        <f t="shared" si="49"/>
        <v>0</v>
      </c>
      <c r="AB173" s="54">
        <f t="shared" si="49"/>
        <v>0</v>
      </c>
      <c r="AC173" s="54">
        <f t="shared" si="49"/>
        <v>0</v>
      </c>
      <c r="AD173" s="54">
        <f t="shared" si="49"/>
        <v>0</v>
      </c>
      <c r="AE173" s="54">
        <f t="shared" si="49"/>
        <v>-1.9013984964710542</v>
      </c>
      <c r="AF173" s="54">
        <f t="shared" si="49"/>
        <v>-1.9013984964710542</v>
      </c>
      <c r="AG173" s="54">
        <f t="shared" si="49"/>
        <v>-1.9013984964710542</v>
      </c>
      <c r="AH173" s="54">
        <f t="shared" si="49"/>
        <v>-1.9013984964710542</v>
      </c>
      <c r="AI173" s="54">
        <f t="shared" si="49"/>
        <v>-1.9013984964710542</v>
      </c>
      <c r="AJ173" s="54">
        <f t="shared" si="49"/>
        <v>-1.9013984964710542</v>
      </c>
      <c r="AK173" s="54">
        <f t="shared" ref="AK173" si="65">IF($E74+365&lt;$C$56,0,IF($E74&lt;$C$56,(($E74+365-$C$56)/365)*(($C74/$BN$157)+($D74/$BN$158)),IF($E74&gt;AK$166,0,IF($E74+365&lt;AK$166,($C74/$BN$157)+($D74/$BN$158),((AK$166-$E74)/365)*(($C74/$BN$157)+($D74/$BN$158))))))</f>
        <v>-1.9013984964710542</v>
      </c>
      <c r="AL173" s="24">
        <f t="shared" si="51"/>
        <v>-54.9</v>
      </c>
      <c r="AM173" s="24">
        <f t="shared" si="52"/>
        <v>0</v>
      </c>
      <c r="AN173" s="55">
        <f t="shared" si="53"/>
        <v>5000</v>
      </c>
      <c r="AO173" s="55">
        <f t="shared" si="54"/>
        <v>0</v>
      </c>
      <c r="AP173" s="24"/>
      <c r="AQ173" s="24"/>
      <c r="AR173" s="24"/>
      <c r="AS173" s="24"/>
      <c r="AT173" s="24"/>
      <c r="AU173" s="24"/>
      <c r="AV173" s="24"/>
      <c r="AW173" s="24"/>
      <c r="AX173" s="24"/>
      <c r="AY173" s="24"/>
      <c r="AZ173" s="24"/>
      <c r="BA173" s="24"/>
      <c r="BB173" s="24"/>
      <c r="BC173" s="24"/>
      <c r="BD173" s="24"/>
      <c r="BE173" s="24">
        <f t="shared" si="40"/>
        <v>101.75</v>
      </c>
      <c r="BF173" s="59">
        <f t="shared" si="63"/>
        <v>47572</v>
      </c>
      <c r="BG173" s="36">
        <f>$BV$158+AG214+($C$64-$BV$158)</f>
        <v>42.051603741956121</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157.44999999999999</v>
      </c>
      <c r="CF173" s="14">
        <f>CJ173</f>
        <v>249.31</v>
      </c>
      <c r="CG173" s="14"/>
      <c r="CH173" s="25">
        <v>3</v>
      </c>
      <c r="CI173" s="14">
        <f t="shared" si="58"/>
        <v>157.44999999999999</v>
      </c>
      <c r="CJ173" s="14">
        <f t="shared" si="59"/>
        <v>249.31</v>
      </c>
    </row>
    <row r="174" spans="7:88">
      <c r="G174" s="12">
        <f t="shared" si="41"/>
        <v>-18.3</v>
      </c>
      <c r="H174" s="12">
        <f t="shared" si="42"/>
        <v>-18.3</v>
      </c>
      <c r="I174" s="12">
        <f t="shared" si="42"/>
        <v>-18.3</v>
      </c>
      <c r="J174" s="12">
        <f t="shared" si="42"/>
        <v>-18.3</v>
      </c>
      <c r="K174" s="12">
        <f t="shared" si="43"/>
        <v>-18.3</v>
      </c>
      <c r="L174" s="12">
        <f t="shared" si="44"/>
        <v>-18.3</v>
      </c>
      <c r="M174" s="12">
        <f t="shared" si="44"/>
        <v>-18.3</v>
      </c>
      <c r="N174" s="12">
        <f t="shared" si="44"/>
        <v>-18.3</v>
      </c>
      <c r="O174" s="12">
        <f t="shared" si="45"/>
        <v>-18.3</v>
      </c>
      <c r="P174" s="12">
        <f t="shared" si="46"/>
        <v>-18.3</v>
      </c>
      <c r="Q174" s="12">
        <f t="shared" si="46"/>
        <v>-18.3</v>
      </c>
      <c r="T174" s="61"/>
      <c r="U174" s="61"/>
      <c r="V174" s="61"/>
      <c r="W174" s="53">
        <f t="shared" si="47"/>
        <v>-3906.3999999999996</v>
      </c>
      <c r="X174" s="54">
        <f t="shared" si="48"/>
        <v>1.2799508498873644</v>
      </c>
      <c r="Y174" s="25">
        <f t="shared" si="55"/>
        <v>-6.9057060554674449E-2</v>
      </c>
      <c r="Z174" s="54">
        <f t="shared" si="60"/>
        <v>-1.2057362772846154</v>
      </c>
      <c r="AA174" s="54">
        <f t="shared" si="49"/>
        <v>0</v>
      </c>
      <c r="AB174" s="54">
        <f t="shared" si="49"/>
        <v>0</v>
      </c>
      <c r="AC174" s="54">
        <f t="shared" si="49"/>
        <v>0</v>
      </c>
      <c r="AD174" s="54">
        <f t="shared" si="49"/>
        <v>0</v>
      </c>
      <c r="AE174" s="54">
        <f t="shared" si="49"/>
        <v>0</v>
      </c>
      <c r="AF174" s="54">
        <f t="shared" si="49"/>
        <v>-1.2057362772846154</v>
      </c>
      <c r="AG174" s="54">
        <f t="shared" si="49"/>
        <v>-1.2057362772846154</v>
      </c>
      <c r="AH174" s="54">
        <f t="shared" si="49"/>
        <v>-1.2057362772846154</v>
      </c>
      <c r="AI174" s="54">
        <f t="shared" si="49"/>
        <v>-1.2057362772846154</v>
      </c>
      <c r="AJ174" s="54">
        <f t="shared" si="49"/>
        <v>-1.2057362772846154</v>
      </c>
      <c r="AK174" s="54">
        <f t="shared" ref="AK174" si="66">IF($E75+365&lt;$C$56,0,IF($E75&lt;$C$56,(($E75+365-$C$56)/365)*(($C75/$BN$157)+($D75/$BN$158)),IF($E75&gt;AK$166,0,IF($E75+365&lt;AK$166,($C75/$BN$157)+($D75/$BN$158),((AK$166-$E75)/365)*(($C75/$BN$157)+($D75/$BN$158))))))</f>
        <v>-1.2057362772846154</v>
      </c>
      <c r="AL174" s="24">
        <f t="shared" si="51"/>
        <v>-25.7</v>
      </c>
      <c r="AM174" s="24">
        <f t="shared" si="52"/>
        <v>-174.00217317250201</v>
      </c>
      <c r="AN174" s="55">
        <f t="shared" si="53"/>
        <v>0</v>
      </c>
      <c r="AO174" s="55">
        <f t="shared" si="54"/>
        <v>5000</v>
      </c>
      <c r="AP174" s="24"/>
      <c r="AQ174" s="24"/>
      <c r="AR174" s="24"/>
      <c r="AS174" s="24"/>
      <c r="AT174" s="24"/>
      <c r="AU174" s="24"/>
      <c r="AV174" s="24"/>
      <c r="AW174" s="24"/>
      <c r="AX174" s="24"/>
      <c r="AY174" s="24"/>
      <c r="AZ174" s="24"/>
      <c r="BA174" s="24"/>
      <c r="BB174" s="24"/>
      <c r="BC174" s="24"/>
      <c r="BD174" s="24"/>
      <c r="BE174" s="24">
        <f t="shared" si="40"/>
        <v>101.75</v>
      </c>
      <c r="BF174" s="59">
        <f t="shared" si="63"/>
        <v>47937</v>
      </c>
      <c r="BG174" s="36">
        <f>$BV$158+AH214+($C$64-$BV$158)</f>
        <v>42.051603741956121</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138.88</v>
      </c>
      <c r="CF174" s="14">
        <f>CJ172</f>
        <v>221.73</v>
      </c>
      <c r="CG174" s="14"/>
      <c r="CH174" s="25">
        <v>2.5</v>
      </c>
      <c r="CI174" s="14">
        <f t="shared" si="58"/>
        <v>176.01</v>
      </c>
      <c r="CJ174" s="14">
        <f t="shared" si="59"/>
        <v>276.89</v>
      </c>
    </row>
    <row r="175" spans="7:88">
      <c r="G175" s="12">
        <f t="shared" si="41"/>
        <v>0</v>
      </c>
      <c r="H175" s="12">
        <f t="shared" si="42"/>
        <v>0</v>
      </c>
      <c r="I175" s="12">
        <f t="shared" si="42"/>
        <v>0</v>
      </c>
      <c r="J175" s="12">
        <f t="shared" si="42"/>
        <v>0</v>
      </c>
      <c r="K175" s="12">
        <f t="shared" si="43"/>
        <v>-20.3</v>
      </c>
      <c r="L175" s="12">
        <f t="shared" si="44"/>
        <v>-20.3</v>
      </c>
      <c r="M175" s="12">
        <f t="shared" si="44"/>
        <v>-20.3</v>
      </c>
      <c r="N175" s="12">
        <f t="shared" si="44"/>
        <v>-20.3</v>
      </c>
      <c r="O175" s="12">
        <f t="shared" si="45"/>
        <v>-20.3</v>
      </c>
      <c r="P175" s="12">
        <f t="shared" si="46"/>
        <v>-20.3</v>
      </c>
      <c r="Q175" s="12">
        <f t="shared" si="46"/>
        <v>-20.3</v>
      </c>
      <c r="T175" s="61"/>
      <c r="U175" s="61"/>
      <c r="V175" s="61"/>
      <c r="W175" s="53">
        <f t="shared" si="47"/>
        <v>-2781.6</v>
      </c>
      <c r="X175" s="54">
        <f t="shared" si="48"/>
        <v>1.7975266033937303</v>
      </c>
      <c r="Y175" s="25">
        <f t="shared" si="55"/>
        <v>-5.437833731750074E-2</v>
      </c>
      <c r="Z175" s="54">
        <f t="shared" si="60"/>
        <v>-0.94944576956356264</v>
      </c>
      <c r="AA175" s="54">
        <f t="shared" si="49"/>
        <v>0</v>
      </c>
      <c r="AB175" s="54">
        <f t="shared" si="49"/>
        <v>-0.94944576956356264</v>
      </c>
      <c r="AC175" s="54">
        <f t="shared" si="49"/>
        <v>-0.94944576956356264</v>
      </c>
      <c r="AD175" s="54">
        <f t="shared" si="49"/>
        <v>-0.94944576956356264</v>
      </c>
      <c r="AE175" s="54">
        <f t="shared" si="49"/>
        <v>-0.94944576956356264</v>
      </c>
      <c r="AF175" s="54">
        <f t="shared" si="49"/>
        <v>-0.94944576956356264</v>
      </c>
      <c r="AG175" s="54">
        <f t="shared" si="49"/>
        <v>-0.94944576956356264</v>
      </c>
      <c r="AH175" s="54">
        <f t="shared" si="49"/>
        <v>-0.94944576956356264</v>
      </c>
      <c r="AI175" s="54">
        <f t="shared" si="49"/>
        <v>-0.94944576956356264</v>
      </c>
      <c r="AJ175" s="54">
        <f t="shared" si="49"/>
        <v>-0.94944576956356264</v>
      </c>
      <c r="AK175" s="54">
        <f t="shared" ref="AK175" si="67">IF($E76+365&lt;$C$56,0,IF($E76&lt;$C$56,(($E76+365-$C$56)/365)*(($C76/$BN$157)+($D76/$BN$158)),IF($E76&gt;AK$166,0,IF($E76+365&lt;AK$166,($C76/$BN$157)+($D76/$BN$158),((AK$166-$E76)/365)*(($C76/$BN$157)+($D76/$BN$158))))))</f>
        <v>-0.94944576956356264</v>
      </c>
      <c r="AL175" s="24">
        <f t="shared" si="51"/>
        <v>-18.3</v>
      </c>
      <c r="AM175" s="24">
        <f t="shared" si="52"/>
        <v>-174.00217317250201</v>
      </c>
      <c r="AN175" s="55">
        <f t="shared" si="53"/>
        <v>0</v>
      </c>
      <c r="AO175" s="55">
        <f t="shared" si="54"/>
        <v>5000</v>
      </c>
      <c r="AP175" s="24"/>
      <c r="AQ175" s="24"/>
      <c r="AR175" s="24"/>
      <c r="AS175" s="24"/>
      <c r="AT175" s="24"/>
      <c r="AU175" s="24"/>
      <c r="AV175" s="24"/>
      <c r="AW175" s="24"/>
      <c r="AX175" s="24"/>
      <c r="AY175" s="24"/>
      <c r="AZ175" s="24"/>
      <c r="BA175" s="24"/>
      <c r="BB175" s="24"/>
      <c r="BC175" s="24"/>
      <c r="BD175" s="24"/>
      <c r="BE175" s="24">
        <f t="shared" si="40"/>
        <v>101.75</v>
      </c>
      <c r="BF175" s="59">
        <f t="shared" si="63"/>
        <v>48302</v>
      </c>
      <c r="BG175" s="36">
        <f>$BV$158+AI214+($C$64-$BV$158)</f>
        <v>42.051603741956121</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120.31</v>
      </c>
      <c r="CF175" s="14">
        <f>CJ171</f>
        <v>194.15</v>
      </c>
      <c r="CG175" s="14"/>
      <c r="CH175" s="25">
        <v>2</v>
      </c>
      <c r="CI175" s="14">
        <f t="shared" si="58"/>
        <v>194.58</v>
      </c>
      <c r="CJ175" s="14">
        <f t="shared" si="59"/>
        <v>304.47000000000003</v>
      </c>
    </row>
    <row r="176" spans="7:88">
      <c r="G176" s="12">
        <f t="shared" si="41"/>
        <v>0</v>
      </c>
      <c r="H176" s="12">
        <f t="shared" si="42"/>
        <v>0</v>
      </c>
      <c r="I176" s="12">
        <f t="shared" si="42"/>
        <v>0</v>
      </c>
      <c r="J176" s="12">
        <f t="shared" si="42"/>
        <v>-13</v>
      </c>
      <c r="K176" s="12">
        <f t="shared" si="43"/>
        <v>-13</v>
      </c>
      <c r="L176" s="12">
        <f t="shared" si="44"/>
        <v>-13</v>
      </c>
      <c r="M176" s="12">
        <f t="shared" si="44"/>
        <v>-13</v>
      </c>
      <c r="N176" s="12">
        <f t="shared" si="44"/>
        <v>-13</v>
      </c>
      <c r="O176" s="12">
        <f t="shared" si="45"/>
        <v>-13</v>
      </c>
      <c r="P176" s="12">
        <f t="shared" si="46"/>
        <v>-13</v>
      </c>
      <c r="Q176" s="12">
        <f t="shared" si="46"/>
        <v>-13</v>
      </c>
      <c r="T176" s="61"/>
      <c r="U176" s="61"/>
      <c r="V176" s="61"/>
      <c r="W176" s="53">
        <f t="shared" si="47"/>
        <v>-3085.6</v>
      </c>
      <c r="X176" s="54">
        <f t="shared" si="48"/>
        <v>1.6204303863106042</v>
      </c>
      <c r="Y176" s="25">
        <f t="shared" si="55"/>
        <v>-4.7494370183552889E-2</v>
      </c>
      <c r="Z176" s="54">
        <f t="shared" si="60"/>
        <v>-0.82925170340483312</v>
      </c>
      <c r="AA176" s="54">
        <f t="shared" si="49"/>
        <v>0</v>
      </c>
      <c r="AB176" s="54">
        <f t="shared" si="49"/>
        <v>0</v>
      </c>
      <c r="AC176" s="54">
        <f t="shared" si="49"/>
        <v>0</v>
      </c>
      <c r="AD176" s="54">
        <f t="shared" si="49"/>
        <v>0</v>
      </c>
      <c r="AE176" s="54">
        <f t="shared" si="49"/>
        <v>0</v>
      </c>
      <c r="AF176" s="54">
        <f t="shared" si="49"/>
        <v>-0.82925170340483312</v>
      </c>
      <c r="AG176" s="54">
        <f t="shared" si="49"/>
        <v>-0.82925170340483312</v>
      </c>
      <c r="AH176" s="54">
        <f t="shared" si="49"/>
        <v>-0.82925170340483312</v>
      </c>
      <c r="AI176" s="54">
        <f t="shared" si="49"/>
        <v>-0.82925170340483312</v>
      </c>
      <c r="AJ176" s="54">
        <f t="shared" si="49"/>
        <v>-0.82925170340483312</v>
      </c>
      <c r="AK176" s="54">
        <f t="shared" ref="AK176" si="68">IF($E77+365&lt;$C$56,0,IF($E77&lt;$C$56,(($E77+365-$C$56)/365)*(($C77/$BN$157)+($D77/$BN$158)),IF($E77&gt;AK$166,0,IF($E77+365&lt;AK$166,($C77/$BN$157)+($D77/$BN$158),((AK$166-$E77)/365)*(($C77/$BN$157)+($D77/$BN$158))))))</f>
        <v>-0.82925170340483312</v>
      </c>
      <c r="AL176" s="24">
        <f t="shared" si="51"/>
        <v>-20.3</v>
      </c>
      <c r="AM176" s="24">
        <f t="shared" si="52"/>
        <v>-69.560071573063595</v>
      </c>
      <c r="AN176" s="55">
        <f t="shared" si="53"/>
        <v>0</v>
      </c>
      <c r="AO176" s="55">
        <f t="shared" si="54"/>
        <v>5000</v>
      </c>
      <c r="AP176" s="24"/>
      <c r="AQ176" s="24"/>
      <c r="AR176" s="24"/>
      <c r="AS176" s="24"/>
      <c r="AT176" s="24"/>
      <c r="AU176" s="24"/>
      <c r="AV176" s="24"/>
      <c r="AW176" s="24"/>
      <c r="AX176" s="24"/>
      <c r="AY176" s="24"/>
      <c r="AZ176" s="24"/>
      <c r="BA176" s="24"/>
      <c r="BB176" s="24"/>
      <c r="BC176" s="24"/>
      <c r="BD176" s="24"/>
      <c r="BE176" s="24">
        <f t="shared" si="40"/>
        <v>101.75</v>
      </c>
      <c r="BF176" s="59">
        <f t="shared" si="63"/>
        <v>48667</v>
      </c>
      <c r="BG176" s="36">
        <f>$BV$158+AJ214+($C$64-$BV$158)</f>
        <v>42.051603741956121</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101.75</v>
      </c>
      <c r="CF176" s="14">
        <f>CJ170</f>
        <v>166.57</v>
      </c>
      <c r="CG176" s="14"/>
      <c r="CH176" s="25">
        <v>1.5</v>
      </c>
      <c r="CI176" s="14">
        <f t="shared" si="58"/>
        <v>213.15</v>
      </c>
      <c r="CJ176" s="14">
        <f t="shared" si="59"/>
        <v>332.05</v>
      </c>
    </row>
    <row r="177" spans="7:88">
      <c r="G177" s="12">
        <f t="shared" si="41"/>
        <v>0</v>
      </c>
      <c r="H177" s="12">
        <f t="shared" si="42"/>
        <v>0</v>
      </c>
      <c r="I177" s="12">
        <f t="shared" si="42"/>
        <v>0</v>
      </c>
      <c r="J177" s="12">
        <f t="shared" si="42"/>
        <v>0</v>
      </c>
      <c r="K177" s="12">
        <f t="shared" si="43"/>
        <v>0</v>
      </c>
      <c r="L177" s="12">
        <f t="shared" si="44"/>
        <v>0</v>
      </c>
      <c r="M177" s="12">
        <f t="shared" si="44"/>
        <v>187</v>
      </c>
      <c r="N177" s="12">
        <f t="shared" si="44"/>
        <v>187</v>
      </c>
      <c r="O177" s="12">
        <f t="shared" si="45"/>
        <v>187</v>
      </c>
      <c r="P177" s="12">
        <f t="shared" si="46"/>
        <v>187</v>
      </c>
      <c r="Q177" s="12">
        <f t="shared" si="46"/>
        <v>187</v>
      </c>
      <c r="T177" s="61"/>
      <c r="U177" s="61"/>
      <c r="V177" s="61"/>
      <c r="W177" s="53">
        <f t="shared" si="47"/>
        <v>-1976</v>
      </c>
      <c r="X177" s="54">
        <f t="shared" si="48"/>
        <v>2.5303643724696356</v>
      </c>
      <c r="Y177" s="25">
        <f t="shared" si="55"/>
        <v>-2.5786946227467324E-2</v>
      </c>
      <c r="Z177" s="54">
        <f t="shared" si="60"/>
        <v>-0.45024008113157932</v>
      </c>
      <c r="AA177" s="54">
        <f t="shared" si="49"/>
        <v>0</v>
      </c>
      <c r="AB177" s="54">
        <f t="shared" si="49"/>
        <v>0</v>
      </c>
      <c r="AC177" s="54">
        <f t="shared" si="49"/>
        <v>0</v>
      </c>
      <c r="AD177" s="54">
        <f t="shared" si="49"/>
        <v>-0.45024008113157932</v>
      </c>
      <c r="AE177" s="54">
        <f t="shared" si="49"/>
        <v>-0.45024008113157932</v>
      </c>
      <c r="AF177" s="54">
        <f t="shared" si="49"/>
        <v>-0.45024008113157932</v>
      </c>
      <c r="AG177" s="54">
        <f t="shared" si="49"/>
        <v>-0.45024008113157932</v>
      </c>
      <c r="AH177" s="54">
        <f t="shared" si="49"/>
        <v>-0.45024008113157932</v>
      </c>
      <c r="AI177" s="54">
        <f t="shared" si="49"/>
        <v>-0.45024008113157932</v>
      </c>
      <c r="AJ177" s="54">
        <f t="shared" si="49"/>
        <v>-0.45024008113157932</v>
      </c>
      <c r="AK177" s="54">
        <f t="shared" ref="AK177" si="69">IF($E78+365&lt;$C$56,0,IF($E78&lt;$C$56,(($E78+365-$C$56)/365)*(($C78/$BN$157)+($D78/$BN$158)),IF($E78&gt;AK$166,0,IF($E78+365&lt;AK$166,($C78/$BN$157)+($D78/$BN$158),((AK$166-$E78)/365)*(($C78/$BN$157)+($D78/$BN$158))))))</f>
        <v>-0.45024008113157932</v>
      </c>
      <c r="AL177" s="24">
        <f t="shared" si="51"/>
        <v>-13</v>
      </c>
      <c r="AM177" s="24">
        <f t="shared" si="52"/>
        <v>0</v>
      </c>
      <c r="AN177" s="55">
        <f t="shared" si="53"/>
        <v>0</v>
      </c>
      <c r="AO177" s="55">
        <f t="shared" si="54"/>
        <v>5000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84.29</v>
      </c>
      <c r="CF177" s="14">
        <f>CJ169</f>
        <v>139</v>
      </c>
      <c r="CG177" s="14"/>
      <c r="CH177" s="25">
        <v>1</v>
      </c>
      <c r="CI177" s="14">
        <f t="shared" si="58"/>
        <v>231.71</v>
      </c>
      <c r="CJ177" s="14">
        <f t="shared" si="59"/>
        <v>359.62</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28424</v>
      </c>
      <c r="X178" s="54">
        <f t="shared" si="48"/>
        <v>-158.31691528285955</v>
      </c>
      <c r="Y178" s="25">
        <f t="shared" si="55"/>
        <v>-3.9144968950986438E-2</v>
      </c>
      <c r="Z178" s="54">
        <f t="shared" si="60"/>
        <v>-0.68347115788422297</v>
      </c>
      <c r="AA178" s="54">
        <f t="shared" si="49"/>
        <v>0</v>
      </c>
      <c r="AB178" s="54">
        <f t="shared" si="49"/>
        <v>0</v>
      </c>
      <c r="AC178" s="54">
        <f>IF($E79+365&lt;$C$56,0,IF($E79&lt;$C$56,(($E79+365-$C$56)/365)*(($C79/$BN$157)+($D79/$BN$158)),IF($E79&gt;AC$166,0,IF($E79+365&lt;AC$166,($C79/$BN$157)+($D79/$BN$158),((AC$166-$E79)/365)*(($C79/$BN$157)+($D79/$BN$158))))))</f>
        <v>0</v>
      </c>
      <c r="AD178" s="54">
        <f t="shared" si="49"/>
        <v>0</v>
      </c>
      <c r="AE178" s="54">
        <f t="shared" si="49"/>
        <v>0</v>
      </c>
      <c r="AF178" s="54">
        <f t="shared" si="49"/>
        <v>0</v>
      </c>
      <c r="AG178" s="54">
        <f t="shared" si="49"/>
        <v>-0.68347115788422297</v>
      </c>
      <c r="AH178" s="54">
        <f t="shared" si="49"/>
        <v>-0.68347115788422297</v>
      </c>
      <c r="AI178" s="54">
        <f t="shared" si="49"/>
        <v>-0.68347115788422297</v>
      </c>
      <c r="AJ178" s="54">
        <f t="shared" si="49"/>
        <v>-0.68347115788422297</v>
      </c>
      <c r="AK178" s="54">
        <f t="shared" ref="AK178" si="70">IF($E79+365&lt;$C$56,0,IF($E79&lt;$C$56,(($E79+365-$C$56)/365)*(($C79/$BN$157)+($D79/$BN$158)),IF($E79&gt;AK$166,0,IF($E79+365&lt;AK$166,($C79/$BN$157)+($D79/$BN$158),((AK$166-$E79)/365)*(($C79/$BN$157)+($D79/$BN$158))))))</f>
        <v>-0.68347115788422297</v>
      </c>
      <c r="AL178" s="24">
        <f t="shared" si="51"/>
        <v>187</v>
      </c>
      <c r="AM178" s="24">
        <f t="shared" si="52"/>
        <v>-3947</v>
      </c>
      <c r="AN178" s="55">
        <f>IF(W79="Yes",0,F79)</f>
        <v>0</v>
      </c>
      <c r="AO178" s="55">
        <f>IF(W79="Yes",F79,0)</f>
        <v>4500000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8116.7999999999993</v>
      </c>
      <c r="X179" s="54">
        <f t="shared" si="48"/>
        <v>-9.8561009264734878</v>
      </c>
      <c r="Y179" s="25">
        <f t="shared" si="55"/>
        <v>8.7564006119929053E-2</v>
      </c>
      <c r="Z179" s="54">
        <f t="shared" si="60"/>
        <v>1.5288675468539608</v>
      </c>
      <c r="AA179" s="54">
        <f t="shared" si="49"/>
        <v>0</v>
      </c>
      <c r="AB179" s="54">
        <f t="shared" si="49"/>
        <v>0</v>
      </c>
      <c r="AC179" s="54">
        <f t="shared" si="49"/>
        <v>0</v>
      </c>
      <c r="AD179" s="54">
        <f t="shared" si="49"/>
        <v>0</v>
      </c>
      <c r="AE179" s="54">
        <f t="shared" si="49"/>
        <v>0</v>
      </c>
      <c r="AF179" s="54">
        <f t="shared" si="49"/>
        <v>0</v>
      </c>
      <c r="AG179" s="54">
        <f t="shared" si="49"/>
        <v>0</v>
      </c>
      <c r="AH179" s="54">
        <f t="shared" si="49"/>
        <v>0</v>
      </c>
      <c r="AI179" s="54">
        <f t="shared" si="49"/>
        <v>0</v>
      </c>
      <c r="AJ179" s="54">
        <f t="shared" si="49"/>
        <v>0</v>
      </c>
      <c r="AK179" s="54">
        <f t="shared" ref="AK179" si="71">IF($E80+365&lt;$C$56,0,IF($E80&lt;$C$56,(($E80+365-$C$56)/365)*(($C80/$BN$157)+($D80/$BN$158)),IF($E80&gt;AK$166,0,IF($E80+365&lt;AK$166,($C80/$BN$157)+($D80/$BN$158),((AK$166-$E80)/365)*(($C80/$BN$157)+($D80/$BN$158))))))</f>
        <v>0</v>
      </c>
      <c r="AL179" s="24">
        <f t="shared" si="51"/>
        <v>53.4</v>
      </c>
      <c r="AM179" s="24">
        <f t="shared" si="52"/>
        <v>-176.722019568321</v>
      </c>
      <c r="AN179" s="55">
        <f t="shared" si="53"/>
        <v>0</v>
      </c>
      <c r="AO179" s="55">
        <f t="shared" si="54"/>
        <v>80000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48"/>
        <v>#DIV/0!</v>
      </c>
      <c r="Y180" s="25">
        <f t="shared" si="55"/>
        <v>0</v>
      </c>
      <c r="Z180" s="54">
        <f t="shared" si="60"/>
        <v>0</v>
      </c>
      <c r="AA180" s="54">
        <f t="shared" si="49"/>
        <v>0</v>
      </c>
      <c r="AB180" s="54">
        <f t="shared" si="49"/>
        <v>0</v>
      </c>
      <c r="AC180" s="54">
        <f t="shared" si="49"/>
        <v>0</v>
      </c>
      <c r="AD180" s="54">
        <f t="shared" si="49"/>
        <v>0</v>
      </c>
      <c r="AE180" s="54">
        <f t="shared" si="49"/>
        <v>0</v>
      </c>
      <c r="AF180" s="54">
        <f t="shared" si="49"/>
        <v>0</v>
      </c>
      <c r="AG180" s="54">
        <f t="shared" si="49"/>
        <v>0</v>
      </c>
      <c r="AH180" s="54">
        <f t="shared" si="49"/>
        <v>0</v>
      </c>
      <c r="AI180" s="54">
        <f t="shared" si="49"/>
        <v>0</v>
      </c>
      <c r="AJ180" s="54">
        <f t="shared" si="49"/>
        <v>0</v>
      </c>
      <c r="AK180" s="54">
        <f t="shared" ref="AK180" si="72">IF($E81+365&lt;$C$56,0,IF($E81&lt;$C$56,(($E81+365-$C$56)/365)*(($C81/$BN$157)+($D81/$BN$158)),IF($E81&gt;AK$166,0,IF($E81+365&lt;AK$166,($C81/$BN$157)+($D81/$BN$158),((AK$166-$E81)/365)*(($C81/$BN$157)+($D81/$BN$158))))))</f>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48"/>
        <v>#DIV/0!</v>
      </c>
      <c r="Y181" s="25">
        <f t="shared" si="55"/>
        <v>0</v>
      </c>
      <c r="Z181" s="54">
        <f t="shared" si="60"/>
        <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48"/>
        <v>#DIV/0!</v>
      </c>
      <c r="Y182" s="25">
        <f t="shared" si="55"/>
        <v>0</v>
      </c>
      <c r="Z182" s="54">
        <f t="shared" si="60"/>
        <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48"/>
        <v>#DIV/0!</v>
      </c>
      <c r="Y183" s="25">
        <f t="shared" si="55"/>
        <v>0</v>
      </c>
      <c r="Z183" s="54">
        <f t="shared" si="60"/>
        <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48"/>
        <v>#DIV/0!</v>
      </c>
      <c r="Y184" s="25">
        <f t="shared" si="55"/>
        <v>0</v>
      </c>
      <c r="Z184" s="54">
        <f t="shared" si="60"/>
        <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48"/>
        <v>#DIV/0!</v>
      </c>
      <c r="Y185" s="25">
        <f t="shared" si="55"/>
        <v>0</v>
      </c>
      <c r="Z185" s="54">
        <f t="shared" si="60"/>
        <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48"/>
        <v>#DIV/0!</v>
      </c>
      <c r="Y186" s="25">
        <f t="shared" si="55"/>
        <v>0</v>
      </c>
      <c r="Z186" s="54">
        <f t="shared" si="60"/>
        <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48"/>
        <v>#DIV/0!</v>
      </c>
      <c r="Y187" s="25">
        <f t="shared" si="55"/>
        <v>0</v>
      </c>
      <c r="Z187" s="54">
        <f t="shared" si="60"/>
        <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48"/>
        <v>#DIV/0!</v>
      </c>
      <c r="Y188" s="25">
        <f t="shared" si="55"/>
        <v>0</v>
      </c>
      <c r="Z188" s="54">
        <f t="shared" si="60"/>
        <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48"/>
        <v>#DIV/0!</v>
      </c>
      <c r="Y189" s="25">
        <f t="shared" si="55"/>
        <v>0</v>
      </c>
      <c r="Z189" s="54">
        <f t="shared" si="60"/>
        <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48"/>
        <v>#DIV/0!</v>
      </c>
      <c r="Y190" s="25">
        <f t="shared" si="55"/>
        <v>0</v>
      </c>
      <c r="Z190" s="54">
        <f t="shared" si="60"/>
        <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48"/>
        <v>#DIV/0!</v>
      </c>
      <c r="Y191" s="25">
        <f t="shared" si="55"/>
        <v>0</v>
      </c>
      <c r="Z191" s="54">
        <f t="shared" si="60"/>
        <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48"/>
        <v>#DIV/0!</v>
      </c>
      <c r="Y192" s="25">
        <f t="shared" si="55"/>
        <v>0</v>
      </c>
      <c r="Z192" s="54">
        <f t="shared" si="60"/>
        <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48"/>
        <v>#DIV/0!</v>
      </c>
      <c r="Y193" s="25">
        <f t="shared" si="55"/>
        <v>0</v>
      </c>
      <c r="Z193" s="54">
        <f t="shared" si="60"/>
        <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48"/>
        <v>#DIV/0!</v>
      </c>
      <c r="Y194" s="25">
        <f t="shared" si="55"/>
        <v>0</v>
      </c>
      <c r="Z194" s="54">
        <f t="shared" si="60"/>
        <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0">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48"/>
        <v>#DIV/0!</v>
      </c>
      <c r="Y195" s="25">
        <f t="shared" si="55"/>
        <v>0</v>
      </c>
      <c r="Z195" s="54">
        <f t="shared" si="60"/>
        <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1">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48"/>
        <v>#DIV/0!</v>
      </c>
      <c r="Y196" s="25">
        <f t="shared" si="55"/>
        <v>0</v>
      </c>
      <c r="Z196" s="54">
        <f t="shared" si="60"/>
        <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2">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48"/>
        <v>#DIV/0!</v>
      </c>
      <c r="Y197" s="25">
        <f t="shared" si="55"/>
        <v>0</v>
      </c>
      <c r="Z197" s="54">
        <f t="shared" si="60"/>
        <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3">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48"/>
        <v>#DIV/0!</v>
      </c>
      <c r="Y198" s="25">
        <f t="shared" si="55"/>
        <v>0</v>
      </c>
      <c r="Z198" s="54">
        <f t="shared" si="60"/>
        <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4">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48"/>
        <v>#DIV/0!</v>
      </c>
      <c r="Y199" s="25">
        <f t="shared" si="55"/>
        <v>0</v>
      </c>
      <c r="Z199" s="54">
        <f t="shared" si="60"/>
        <v>0</v>
      </c>
      <c r="AA199" s="54">
        <f t="shared" ref="AA199:AJ213" si="95">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ref="AK199" si="96">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v>5.5</v>
      </c>
      <c r="AU199" s="24">
        <v>63</v>
      </c>
      <c r="AV199" s="24">
        <f>AU199-AU201</f>
        <v>21</v>
      </c>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48"/>
        <v>#DIV/0!</v>
      </c>
      <c r="Y200" s="25">
        <f t="shared" si="55"/>
        <v>0</v>
      </c>
      <c r="Z200" s="54">
        <f t="shared" si="60"/>
        <v>0</v>
      </c>
      <c r="AA200" s="54">
        <f t="shared" si="95"/>
        <v>0</v>
      </c>
      <c r="AB200" s="54">
        <f t="shared" si="95"/>
        <v>0</v>
      </c>
      <c r="AC200" s="54">
        <f t="shared" si="95"/>
        <v>0</v>
      </c>
      <c r="AD200" s="54">
        <f t="shared" si="95"/>
        <v>0</v>
      </c>
      <c r="AE200" s="54">
        <f t="shared" si="95"/>
        <v>0</v>
      </c>
      <c r="AF200" s="54">
        <f t="shared" si="95"/>
        <v>0</v>
      </c>
      <c r="AG200" s="54">
        <f t="shared" si="95"/>
        <v>0</v>
      </c>
      <c r="AH200" s="54">
        <f t="shared" si="95"/>
        <v>0</v>
      </c>
      <c r="AI200" s="54">
        <f t="shared" si="95"/>
        <v>0</v>
      </c>
      <c r="AJ200" s="54">
        <f t="shared" si="95"/>
        <v>0</v>
      </c>
      <c r="AK200" s="54">
        <f t="shared" ref="AK200" si="97">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f>AT201-AT200</f>
        <v>5.7142857142857144</v>
      </c>
      <c r="AT200" s="24">
        <f>(AT201-AT199)*AW200</f>
        <v>0.2857142857142857</v>
      </c>
      <c r="AU200" s="24">
        <v>54</v>
      </c>
      <c r="AV200" s="24">
        <f>AU200-AU201</f>
        <v>12</v>
      </c>
      <c r="AW200" s="607">
        <f>AV200/AV199</f>
        <v>0.5714285714285714</v>
      </c>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48"/>
        <v>#DIV/0!</v>
      </c>
      <c r="Y201" s="25">
        <f t="shared" si="55"/>
        <v>0</v>
      </c>
      <c r="Z201" s="54">
        <f t="shared" si="60"/>
        <v>0</v>
      </c>
      <c r="AA201" s="54">
        <f t="shared" si="95"/>
        <v>0</v>
      </c>
      <c r="AB201" s="54">
        <f t="shared" si="95"/>
        <v>0</v>
      </c>
      <c r="AC201" s="54">
        <f t="shared" si="95"/>
        <v>0</v>
      </c>
      <c r="AD201" s="54">
        <f t="shared" si="95"/>
        <v>0</v>
      </c>
      <c r="AE201" s="54">
        <f t="shared" si="95"/>
        <v>0</v>
      </c>
      <c r="AF201" s="54">
        <f t="shared" si="95"/>
        <v>0</v>
      </c>
      <c r="AG201" s="54">
        <f t="shared" si="95"/>
        <v>0</v>
      </c>
      <c r="AH201" s="54">
        <f t="shared" si="95"/>
        <v>0</v>
      </c>
      <c r="AI201" s="54">
        <f t="shared" si="95"/>
        <v>0</v>
      </c>
      <c r="AJ201" s="54">
        <f t="shared" si="95"/>
        <v>0</v>
      </c>
      <c r="AK201" s="54">
        <f t="shared" ref="AK201" si="98">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v>6</v>
      </c>
      <c r="AU201" s="24">
        <v>42</v>
      </c>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48"/>
        <v>#DIV/0!</v>
      </c>
      <c r="Y202" s="25">
        <f t="shared" si="55"/>
        <v>0</v>
      </c>
      <c r="Z202" s="54">
        <f t="shared" si="60"/>
        <v>0</v>
      </c>
      <c r="AA202" s="54">
        <f t="shared" si="95"/>
        <v>0</v>
      </c>
      <c r="AB202" s="54">
        <f t="shared" si="95"/>
        <v>0</v>
      </c>
      <c r="AC202" s="54">
        <f t="shared" si="95"/>
        <v>0</v>
      </c>
      <c r="AD202" s="54">
        <f t="shared" si="95"/>
        <v>0</v>
      </c>
      <c r="AE202" s="54">
        <f t="shared" si="95"/>
        <v>0</v>
      </c>
      <c r="AF202" s="54">
        <f t="shared" si="95"/>
        <v>0</v>
      </c>
      <c r="AG202" s="54">
        <f t="shared" si="95"/>
        <v>0</v>
      </c>
      <c r="AH202" s="54">
        <f t="shared" si="95"/>
        <v>0</v>
      </c>
      <c r="AI202" s="54">
        <f t="shared" si="95"/>
        <v>0</v>
      </c>
      <c r="AJ202" s="54">
        <f t="shared" si="95"/>
        <v>0</v>
      </c>
      <c r="AK202" s="54">
        <f t="shared" ref="AK202" si="99">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48"/>
        <v>#DIV/0!</v>
      </c>
      <c r="Y203" s="25">
        <f t="shared" si="55"/>
        <v>0</v>
      </c>
      <c r="Z203" s="54">
        <f t="shared" si="60"/>
        <v>0</v>
      </c>
      <c r="AA203" s="54">
        <f t="shared" si="95"/>
        <v>0</v>
      </c>
      <c r="AB203" s="54">
        <f t="shared" si="95"/>
        <v>0</v>
      </c>
      <c r="AC203" s="54">
        <f t="shared" si="95"/>
        <v>0</v>
      </c>
      <c r="AD203" s="54">
        <f t="shared" si="95"/>
        <v>0</v>
      </c>
      <c r="AE203" s="54">
        <f t="shared" si="95"/>
        <v>0</v>
      </c>
      <c r="AF203" s="54">
        <f t="shared" si="95"/>
        <v>0</v>
      </c>
      <c r="AG203" s="54">
        <f t="shared" si="95"/>
        <v>0</v>
      </c>
      <c r="AH203" s="54">
        <f t="shared" si="95"/>
        <v>0</v>
      </c>
      <c r="AI203" s="54">
        <f t="shared" si="95"/>
        <v>0</v>
      </c>
      <c r="AJ203" s="54">
        <f t="shared" si="95"/>
        <v>0</v>
      </c>
      <c r="AK203" s="54">
        <f t="shared" ref="AK203" si="100">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48"/>
        <v>#DIV/0!</v>
      </c>
      <c r="Y204" s="25">
        <f t="shared" si="55"/>
        <v>0</v>
      </c>
      <c r="Z204" s="54">
        <f t="shared" si="60"/>
        <v>0</v>
      </c>
      <c r="AA204" s="54">
        <f t="shared" si="95"/>
        <v>0</v>
      </c>
      <c r="AB204" s="54">
        <f t="shared" si="95"/>
        <v>0</v>
      </c>
      <c r="AC204" s="54">
        <f t="shared" si="95"/>
        <v>0</v>
      </c>
      <c r="AD204" s="54">
        <f t="shared" si="95"/>
        <v>0</v>
      </c>
      <c r="AE204" s="54">
        <f t="shared" si="95"/>
        <v>0</v>
      </c>
      <c r="AF204" s="54">
        <f t="shared" si="95"/>
        <v>0</v>
      </c>
      <c r="AG204" s="54">
        <f t="shared" si="95"/>
        <v>0</v>
      </c>
      <c r="AH204" s="54">
        <f t="shared" si="95"/>
        <v>0</v>
      </c>
      <c r="AI204" s="54">
        <f t="shared" si="95"/>
        <v>0</v>
      </c>
      <c r="AJ204" s="54">
        <f t="shared" si="95"/>
        <v>0</v>
      </c>
      <c r="AK204" s="54">
        <f t="shared" ref="AK204" si="101">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48"/>
        <v>#DIV/0!</v>
      </c>
      <c r="Y205" s="25">
        <f t="shared" si="55"/>
        <v>0</v>
      </c>
      <c r="Z205" s="54">
        <f t="shared" si="60"/>
        <v>0</v>
      </c>
      <c r="AA205" s="54">
        <f t="shared" si="95"/>
        <v>0</v>
      </c>
      <c r="AB205" s="54">
        <f t="shared" si="95"/>
        <v>0</v>
      </c>
      <c r="AC205" s="54">
        <f t="shared" si="95"/>
        <v>0</v>
      </c>
      <c r="AD205" s="54">
        <f t="shared" si="95"/>
        <v>0</v>
      </c>
      <c r="AE205" s="54">
        <f t="shared" si="95"/>
        <v>0</v>
      </c>
      <c r="AF205" s="54">
        <f t="shared" si="95"/>
        <v>0</v>
      </c>
      <c r="AG205" s="54">
        <f t="shared" si="95"/>
        <v>0</v>
      </c>
      <c r="AH205" s="54">
        <f t="shared" si="95"/>
        <v>0</v>
      </c>
      <c r="AI205" s="54">
        <f t="shared" si="95"/>
        <v>0</v>
      </c>
      <c r="AJ205" s="54">
        <f t="shared" si="95"/>
        <v>0</v>
      </c>
      <c r="AK205" s="54">
        <f t="shared" ref="AK205" si="102">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48"/>
        <v>#DIV/0!</v>
      </c>
      <c r="Y206" s="25">
        <f t="shared" si="55"/>
        <v>0</v>
      </c>
      <c r="Z206" s="54">
        <f t="shared" si="60"/>
        <v>0</v>
      </c>
      <c r="AA206" s="54">
        <f t="shared" si="95"/>
        <v>0</v>
      </c>
      <c r="AB206" s="54">
        <f t="shared" si="95"/>
        <v>0</v>
      </c>
      <c r="AC206" s="54">
        <f t="shared" si="95"/>
        <v>0</v>
      </c>
      <c r="AD206" s="54">
        <f t="shared" si="95"/>
        <v>0</v>
      </c>
      <c r="AE206" s="54">
        <f t="shared" si="95"/>
        <v>0</v>
      </c>
      <c r="AF206" s="54">
        <f t="shared" si="95"/>
        <v>0</v>
      </c>
      <c r="AG206" s="54">
        <f t="shared" si="95"/>
        <v>0</v>
      </c>
      <c r="AH206" s="54">
        <f t="shared" si="95"/>
        <v>0</v>
      </c>
      <c r="AI206" s="54">
        <f t="shared" si="95"/>
        <v>0</v>
      </c>
      <c r="AJ206" s="54">
        <f t="shared" si="95"/>
        <v>0</v>
      </c>
      <c r="AK206" s="54">
        <f t="shared" ref="AK206" si="103">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4">IF($E109&gt;H$66,0,IF($E109&lt;H$66-365,$C109,0))</f>
        <v>0</v>
      </c>
      <c r="I207" s="12">
        <f t="shared" si="104"/>
        <v>0</v>
      </c>
      <c r="J207" s="12">
        <f t="shared" si="104"/>
        <v>0</v>
      </c>
      <c r="K207" s="12">
        <f t="shared" si="43"/>
        <v>0</v>
      </c>
      <c r="L207" s="12">
        <f t="shared" ref="L207:N209" si="105">IF($E109&gt;L$66,0,IF($E109&lt;L$66-365,$C109,0))</f>
        <v>0</v>
      </c>
      <c r="M207" s="12">
        <f t="shared" si="105"/>
        <v>0</v>
      </c>
      <c r="N207" s="12">
        <f t="shared" si="105"/>
        <v>0</v>
      </c>
      <c r="O207" s="12">
        <f t="shared" si="45"/>
        <v>0</v>
      </c>
      <c r="P207" s="12">
        <f t="shared" ref="P207:Q209" si="106">IF($E109&gt;P$66,0,IF($E109&lt;P$66-365,$C109,0))</f>
        <v>0</v>
      </c>
      <c r="Q207" s="12">
        <f t="shared" si="106"/>
        <v>0</v>
      </c>
      <c r="T207" s="61"/>
      <c r="U207" s="61"/>
      <c r="V207" s="61"/>
      <c r="W207" s="53">
        <f t="shared" si="47"/>
        <v>0</v>
      </c>
      <c r="X207" s="54" t="e">
        <f t="shared" si="48"/>
        <v>#DIV/0!</v>
      </c>
      <c r="Y207" s="25">
        <f t="shared" si="55"/>
        <v>0</v>
      </c>
      <c r="Z207" s="54">
        <f t="shared" si="60"/>
        <v>0</v>
      </c>
      <c r="AA207" s="54">
        <f t="shared" si="95"/>
        <v>0</v>
      </c>
      <c r="AB207" s="54">
        <f t="shared" si="95"/>
        <v>0</v>
      </c>
      <c r="AC207" s="54">
        <f t="shared" si="95"/>
        <v>0</v>
      </c>
      <c r="AD207" s="54">
        <f t="shared" si="95"/>
        <v>0</v>
      </c>
      <c r="AE207" s="54">
        <f t="shared" si="95"/>
        <v>0</v>
      </c>
      <c r="AF207" s="54">
        <f t="shared" si="95"/>
        <v>0</v>
      </c>
      <c r="AG207" s="54">
        <f t="shared" si="95"/>
        <v>0</v>
      </c>
      <c r="AH207" s="54">
        <f t="shared" si="95"/>
        <v>0</v>
      </c>
      <c r="AI207" s="54">
        <f t="shared" si="95"/>
        <v>0</v>
      </c>
      <c r="AJ207" s="54">
        <f t="shared" si="95"/>
        <v>0</v>
      </c>
      <c r="AK207" s="54">
        <f t="shared" ref="AK207" si="107">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4"/>
        <v>0</v>
      </c>
      <c r="I208" s="12">
        <f t="shared" si="104"/>
        <v>0</v>
      </c>
      <c r="J208" s="12">
        <f t="shared" si="104"/>
        <v>0</v>
      </c>
      <c r="K208" s="12">
        <f t="shared" si="43"/>
        <v>0</v>
      </c>
      <c r="L208" s="12">
        <f t="shared" si="105"/>
        <v>0</v>
      </c>
      <c r="M208" s="12">
        <f t="shared" si="105"/>
        <v>0</v>
      </c>
      <c r="N208" s="12">
        <f t="shared" si="105"/>
        <v>0</v>
      </c>
      <c r="O208" s="12">
        <f t="shared" si="45"/>
        <v>0</v>
      </c>
      <c r="P208" s="12">
        <f t="shared" si="106"/>
        <v>0</v>
      </c>
      <c r="Q208" s="12">
        <f t="shared" si="106"/>
        <v>0</v>
      </c>
      <c r="T208" s="61"/>
      <c r="U208" s="61"/>
      <c r="V208" s="61"/>
      <c r="W208" s="53">
        <f t="shared" si="47"/>
        <v>0</v>
      </c>
      <c r="X208" s="54" t="e">
        <f t="shared" si="48"/>
        <v>#DIV/0!</v>
      </c>
      <c r="Y208" s="25">
        <f t="shared" si="55"/>
        <v>0</v>
      </c>
      <c r="Z208" s="54">
        <f t="shared" si="60"/>
        <v>0</v>
      </c>
      <c r="AA208" s="54">
        <f t="shared" si="95"/>
        <v>0</v>
      </c>
      <c r="AB208" s="54">
        <f t="shared" si="95"/>
        <v>0</v>
      </c>
      <c r="AC208" s="54">
        <f t="shared" si="95"/>
        <v>0</v>
      </c>
      <c r="AD208" s="54">
        <f t="shared" si="95"/>
        <v>0</v>
      </c>
      <c r="AE208" s="54">
        <f t="shared" si="95"/>
        <v>0</v>
      </c>
      <c r="AF208" s="54">
        <f t="shared" si="95"/>
        <v>0</v>
      </c>
      <c r="AG208" s="54">
        <f t="shared" si="95"/>
        <v>0</v>
      </c>
      <c r="AH208" s="54">
        <f t="shared" si="95"/>
        <v>0</v>
      </c>
      <c r="AI208" s="54">
        <f t="shared" si="95"/>
        <v>0</v>
      </c>
      <c r="AJ208" s="54">
        <f t="shared" si="95"/>
        <v>0</v>
      </c>
      <c r="AK208" s="54">
        <f t="shared" ref="AK208" si="108">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4"/>
        <v>0</v>
      </c>
      <c r="I209" s="12">
        <f t="shared" si="104"/>
        <v>0</v>
      </c>
      <c r="J209" s="12">
        <f t="shared" si="104"/>
        <v>0</v>
      </c>
      <c r="K209" s="12">
        <f t="shared" si="43"/>
        <v>0</v>
      </c>
      <c r="L209" s="12">
        <f t="shared" si="105"/>
        <v>0</v>
      </c>
      <c r="M209" s="12">
        <f t="shared" si="105"/>
        <v>0</v>
      </c>
      <c r="N209" s="12">
        <f t="shared" si="105"/>
        <v>0</v>
      </c>
      <c r="O209" s="12">
        <f t="shared" si="45"/>
        <v>0</v>
      </c>
      <c r="P209" s="12">
        <f t="shared" si="106"/>
        <v>0</v>
      </c>
      <c r="Q209" s="12">
        <f t="shared" si="106"/>
        <v>0</v>
      </c>
      <c r="T209" s="61"/>
      <c r="U209" s="61"/>
      <c r="V209" s="61"/>
      <c r="W209" s="53">
        <f t="shared" si="47"/>
        <v>0</v>
      </c>
      <c r="X209" s="54" t="e">
        <f t="shared" si="48"/>
        <v>#DIV/0!</v>
      </c>
      <c r="Y209" s="25">
        <f t="shared" si="55"/>
        <v>0</v>
      </c>
      <c r="Z209" s="54">
        <f t="shared" si="60"/>
        <v>0</v>
      </c>
      <c r="AA209" s="54">
        <f t="shared" si="95"/>
        <v>0</v>
      </c>
      <c r="AB209" s="54">
        <f t="shared" si="95"/>
        <v>0</v>
      </c>
      <c r="AC209" s="54">
        <f t="shared" si="95"/>
        <v>0</v>
      </c>
      <c r="AD209" s="54">
        <f t="shared" si="95"/>
        <v>0</v>
      </c>
      <c r="AE209" s="54">
        <f t="shared" si="95"/>
        <v>0</v>
      </c>
      <c r="AF209" s="54">
        <f t="shared" si="95"/>
        <v>0</v>
      </c>
      <c r="AG209" s="54">
        <f t="shared" si="95"/>
        <v>0</v>
      </c>
      <c r="AH209" s="54">
        <f t="shared" si="95"/>
        <v>0</v>
      </c>
      <c r="AI209" s="54">
        <f t="shared" si="95"/>
        <v>0</v>
      </c>
      <c r="AJ209" s="54">
        <f t="shared" si="95"/>
        <v>0</v>
      </c>
      <c r="AK209" s="54">
        <f t="shared" ref="AK209" si="109">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48"/>
        <v>#DIV/0!</v>
      </c>
      <c r="Y210" s="25">
        <f t="shared" si="55"/>
        <v>0</v>
      </c>
      <c r="Z210" s="54">
        <f t="shared" si="60"/>
        <v>0</v>
      </c>
      <c r="AA210" s="54">
        <f t="shared" si="95"/>
        <v>0</v>
      </c>
      <c r="AB210" s="54">
        <f t="shared" si="95"/>
        <v>0</v>
      </c>
      <c r="AC210" s="54">
        <f t="shared" si="95"/>
        <v>0</v>
      </c>
      <c r="AD210" s="54">
        <f t="shared" si="95"/>
        <v>0</v>
      </c>
      <c r="AE210" s="54">
        <f t="shared" si="95"/>
        <v>0</v>
      </c>
      <c r="AF210" s="54">
        <f t="shared" si="95"/>
        <v>0</v>
      </c>
      <c r="AG210" s="54">
        <f t="shared" si="95"/>
        <v>0</v>
      </c>
      <c r="AH210" s="54">
        <f t="shared" si="95"/>
        <v>0</v>
      </c>
      <c r="AI210" s="54">
        <f t="shared" si="95"/>
        <v>0</v>
      </c>
      <c r="AJ210" s="54">
        <f t="shared" si="95"/>
        <v>0</v>
      </c>
      <c r="AK210" s="54">
        <f t="shared" ref="AK210" si="110">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48"/>
        <v>#DIV/0!</v>
      </c>
      <c r="Y211" s="25">
        <f t="shared" si="55"/>
        <v>0</v>
      </c>
      <c r="Z211" s="54">
        <f t="shared" si="60"/>
        <v>0</v>
      </c>
      <c r="AA211" s="54">
        <f t="shared" si="95"/>
        <v>0</v>
      </c>
      <c r="AB211" s="54">
        <f t="shared" si="95"/>
        <v>0</v>
      </c>
      <c r="AC211" s="54">
        <f t="shared" si="95"/>
        <v>0</v>
      </c>
      <c r="AD211" s="54">
        <f t="shared" si="95"/>
        <v>0</v>
      </c>
      <c r="AE211" s="54">
        <f t="shared" si="95"/>
        <v>0</v>
      </c>
      <c r="AF211" s="54">
        <f t="shared" si="95"/>
        <v>0</v>
      </c>
      <c r="AG211" s="54">
        <f t="shared" si="95"/>
        <v>0</v>
      </c>
      <c r="AH211" s="54">
        <f t="shared" si="95"/>
        <v>0</v>
      </c>
      <c r="AI211" s="54">
        <f t="shared" si="95"/>
        <v>0</v>
      </c>
      <c r="AJ211" s="54">
        <f t="shared" si="95"/>
        <v>0</v>
      </c>
      <c r="AK211" s="54">
        <f t="shared" ref="AK211" si="111">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c r="Y212" s="25">
        <f t="shared" si="55"/>
        <v>0</v>
      </c>
      <c r="Z212" s="54">
        <f t="shared" si="60"/>
        <v>0</v>
      </c>
      <c r="AA212" s="54">
        <f t="shared" si="95"/>
        <v>0</v>
      </c>
      <c r="AB212" s="54">
        <f t="shared" si="95"/>
        <v>0</v>
      </c>
      <c r="AC212" s="54">
        <f t="shared" si="95"/>
        <v>0</v>
      </c>
      <c r="AD212" s="54">
        <f t="shared" si="95"/>
        <v>0</v>
      </c>
      <c r="AE212" s="54">
        <f t="shared" si="95"/>
        <v>0</v>
      </c>
      <c r="AF212" s="54">
        <f t="shared" si="95"/>
        <v>0</v>
      </c>
      <c r="AG212" s="54">
        <f t="shared" si="95"/>
        <v>0</v>
      </c>
      <c r="AH212" s="54">
        <f t="shared" si="95"/>
        <v>0</v>
      </c>
      <c r="AI212" s="54">
        <f t="shared" si="95"/>
        <v>0</v>
      </c>
      <c r="AJ212" s="54">
        <f t="shared" si="95"/>
        <v>0</v>
      </c>
      <c r="AK212" s="54">
        <f t="shared" ref="AK212" si="112">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c r="Y213" s="25">
        <f t="shared" si="55"/>
        <v>0</v>
      </c>
      <c r="Z213" s="54">
        <f t="shared" si="60"/>
        <v>0</v>
      </c>
      <c r="AA213" s="54">
        <f t="shared" si="95"/>
        <v>0</v>
      </c>
      <c r="AB213" s="54">
        <f t="shared" si="95"/>
        <v>0</v>
      </c>
      <c r="AC213" s="54">
        <f t="shared" si="95"/>
        <v>0</v>
      </c>
      <c r="AD213" s="54">
        <f t="shared" si="95"/>
        <v>0</v>
      </c>
      <c r="AE213" s="54">
        <f t="shared" si="95"/>
        <v>0</v>
      </c>
      <c r="AF213" s="54">
        <f t="shared" si="95"/>
        <v>0</v>
      </c>
      <c r="AG213" s="54">
        <f t="shared" si="95"/>
        <v>0</v>
      </c>
      <c r="AH213" s="54">
        <f t="shared" si="95"/>
        <v>0</v>
      </c>
      <c r="AI213" s="54">
        <f t="shared" si="95"/>
        <v>0</v>
      </c>
      <c r="AJ213" s="54">
        <f t="shared" si="95"/>
        <v>0</v>
      </c>
      <c r="AK213" s="54">
        <f t="shared" ref="AK213" si="113">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-86.1</v>
      </c>
      <c r="H214" s="187">
        <f t="shared" ref="H214:Q214" si="114">SUM(H167:H213)</f>
        <v>-86.1</v>
      </c>
      <c r="I214" s="187">
        <f t="shared" si="114"/>
        <v>-145.80000000000001</v>
      </c>
      <c r="J214" s="187">
        <f t="shared" si="114"/>
        <v>-158.80000000000001</v>
      </c>
      <c r="K214" s="187">
        <f t="shared" si="114"/>
        <v>-280</v>
      </c>
      <c r="L214" s="187">
        <f t="shared" si="114"/>
        <v>-280</v>
      </c>
      <c r="M214" s="187">
        <f t="shared" si="114"/>
        <v>-93</v>
      </c>
      <c r="N214" s="187">
        <f t="shared" si="114"/>
        <v>-93</v>
      </c>
      <c r="O214" s="187">
        <f t="shared" si="114"/>
        <v>-93</v>
      </c>
      <c r="P214" s="187">
        <f t="shared" si="114"/>
        <v>-93</v>
      </c>
      <c r="Q214" s="187">
        <f t="shared" si="114"/>
        <v>-93</v>
      </c>
      <c r="T214" s="14"/>
      <c r="U214" s="14"/>
      <c r="V214" s="14"/>
      <c r="W214" s="24"/>
      <c r="X214" s="62" t="e">
        <f>SUM(X168:X213)</f>
        <v>#DIV/0!</v>
      </c>
      <c r="Y214" s="157" t="s">
        <v>84</v>
      </c>
      <c r="AA214" s="155">
        <f>VLOOKUP($A$2,Assumptions!$B$124:$G$147,6,0)*SUM(AA167:AA213)</f>
        <v>-2.0148431764223482</v>
      </c>
      <c r="AB214" s="155">
        <f>VLOOKUP($A$2,Assumptions!$B$124:$G$147,6,0)*SUM(AB167:AB213)</f>
        <v>-3.3606515380689954</v>
      </c>
      <c r="AC214" s="155">
        <f>VLOOKUP($A$2,Assumptions!$B$124:$G$147,6,0)*SUM(AC167:AC213)</f>
        <v>-5.4282925260347872</v>
      </c>
      <c r="AD214" s="155">
        <f>VLOOKUP($A$2,Assumptions!$B$124:$G$147,6,0)*SUM(AD167:AD213)</f>
        <v>-5.8785326071663668</v>
      </c>
      <c r="AE214" s="155">
        <f>VLOOKUP($A$2,Assumptions!$B$124:$G$147,6,0)*SUM(AE167:AE213)</f>
        <v>-9.429937119470214</v>
      </c>
      <c r="AF214" s="155">
        <f>VLOOKUP($A$2,Assumptions!$B$124:$G$147,6,0)*SUM(AF167:AF213)</f>
        <v>-11.464925100159661</v>
      </c>
      <c r="AG214" s="155">
        <f>VLOOKUP($A$2,Assumptions!$B$124:$G$147,6,0)*SUM(AG167:AG213)</f>
        <v>-12.148396258043885</v>
      </c>
      <c r="AH214" s="155">
        <f>VLOOKUP($A$2,Assumptions!$B$124:$G$147,6,0)*SUM(AH167:AH213)</f>
        <v>-12.148396258043885</v>
      </c>
      <c r="AI214" s="155">
        <f>VLOOKUP($A$2,Assumptions!$B$124:$G$147,6,0)*SUM(AI167:AI213)</f>
        <v>-12.148396258043885</v>
      </c>
      <c r="AJ214" s="155">
        <f>VLOOKUP($A$2,Assumptions!$B$124:$G$147,6,0)*SUM(AJ167:AJ213)</f>
        <v>-12.148396258043885</v>
      </c>
      <c r="AK214" s="155">
        <f>VLOOKUP($A$2,Assumptions!$B$124:$G$147,6,0)*SUM(AK167:AK213)</f>
        <v>-12.148396258043885</v>
      </c>
      <c r="AL214" s="155">
        <f>VLOOKUP($A$2,Assumptions!$B$124:$G$147,6,0)*SUM(AL167:AL213)</f>
        <v>-232.29999999999998</v>
      </c>
      <c r="AM214" s="155">
        <f>VLOOKUP($A$2,Assumptions!$B$124:$G$147,6,0)*SUM(AM167:AM213)</f>
        <v>-5098.0389947104795</v>
      </c>
      <c r="AN214" s="55">
        <f>SUM(AN167:AN213)</f>
        <v>285500</v>
      </c>
      <c r="AO214" s="55">
        <f>SUM(AO167:AO213)</f>
        <v>4727200</v>
      </c>
      <c r="AP214" s="24"/>
      <c r="AQ214" s="24"/>
      <c r="AR214" s="24"/>
      <c r="AS214" s="24"/>
      <c r="AT214" s="24"/>
      <c r="AU214" s="24"/>
      <c r="AV214" s="24"/>
      <c r="AW214" s="24"/>
      <c r="AX214" s="24"/>
      <c r="AY214" s="24"/>
    </row>
    <row r="215" spans="6:51">
      <c r="T215" s="24"/>
      <c r="U215" s="24"/>
      <c r="V215" s="24"/>
      <c r="W215" s="24"/>
      <c r="X215" s="24"/>
      <c r="Y215" s="158" t="s">
        <v>491</v>
      </c>
      <c r="Z215" s="351">
        <f>C64</f>
        <v>54.2</v>
      </c>
      <c r="AA215" s="156">
        <f>$C$64+AA214</f>
        <v>52.185156823577657</v>
      </c>
      <c r="AB215" s="156">
        <f t="shared" ref="AB215:AE215" si="115">$C$64+AB214</f>
        <v>50.83934846193101</v>
      </c>
      <c r="AC215" s="156">
        <f t="shared" si="115"/>
        <v>48.771707473965215</v>
      </c>
      <c r="AD215" s="156">
        <f t="shared" si="115"/>
        <v>48.32146739283364</v>
      </c>
      <c r="AE215" s="156">
        <f t="shared" si="115"/>
        <v>44.770062880529792</v>
      </c>
      <c r="AF215" s="156">
        <f>$C$64+AF214</f>
        <v>42.735074899840342</v>
      </c>
      <c r="AG215" s="156">
        <f t="shared" ref="AG215:AJ215" si="116">$C$64+AG214</f>
        <v>42.051603741956114</v>
      </c>
      <c r="AH215" s="156">
        <f>$C$64+AH214</f>
        <v>42.051603741956114</v>
      </c>
      <c r="AI215" s="156">
        <f t="shared" si="116"/>
        <v>42.051603741956114</v>
      </c>
      <c r="AJ215" s="156">
        <f t="shared" si="116"/>
        <v>42.051603741956114</v>
      </c>
      <c r="AK215" s="156">
        <f t="shared" ref="AK215" si="117">$C$64+AK214</f>
        <v>42.051603741956114</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8">IF(Z215&lt;$BB$154,(6+(1-Z215/$BB$154)),IF(Z215&lt;$BB$155,5.5+(0.5*(($BB$155-Z215)/($BB$155-$BB$154))),IF(Z215&lt;$BB$156,5-0.5*((Z215)-$BB$156)/($BB$156-$BB$155),IF(Z215&lt;$BB$157,4.5-0.5*((Z215-$BB$157)/($BB$157-$BB$156)),5-0.5*((Z215-$BB$156)/$BH$166)))))</f>
        <v>5.7139636967611818</v>
      </c>
      <c r="AA216" s="154">
        <f t="shared" si="118"/>
        <v>5.7617711039606681</v>
      </c>
      <c r="AB216" s="154">
        <f t="shared" si="118"/>
        <v>5.7937039159584529</v>
      </c>
      <c r="AC216" s="154">
        <f t="shared" si="118"/>
        <v>5.8427640888844419</v>
      </c>
      <c r="AD216" s="154">
        <f t="shared" si="118"/>
        <v>5.8534472086170686</v>
      </c>
      <c r="AE216" s="154">
        <f t="shared" si="118"/>
        <v>5.9377135394345757</v>
      </c>
      <c r="AF216" s="154">
        <f t="shared" si="118"/>
        <v>5.9859989346342308</v>
      </c>
      <c r="AG216" s="154">
        <f t="shared" si="118"/>
        <v>6.0022160697127509</v>
      </c>
      <c r="AH216" s="154">
        <f t="shared" si="118"/>
        <v>6.0022160697127509</v>
      </c>
      <c r="AI216" s="154">
        <f t="shared" si="118"/>
        <v>6.0022160697127509</v>
      </c>
      <c r="AJ216" s="154">
        <f t="shared" si="118"/>
        <v>6.0022160697127509</v>
      </c>
      <c r="AK216" s="154">
        <f>IF(AK215&lt;$BB$154,(6+(1-AK215/$BB$154)),IF(AK215&lt;$BB$155,5.5+(0.5*(($BB$155-AK215)/($BB$155-$BB$154))),IF(AK215&lt;$BB$156,5-0.5*((AK215)-$BB$156)/($BB$156-$BB$155),IF(AK215&lt;$BB$157,4.5-0.5*((AK215-$BB$157)/($BB$157-$BB$156)),5-0.5*((AK215-$BB$156)/$BH$166)))))</f>
        <v>6.0022160697127509</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9">IF($E69&lt;G$66,$D69,0)</f>
        <v>0</v>
      </c>
      <c r="H220" s="12">
        <f t="shared" ref="H220:Q220" si="120">IF($E69&gt;H$66,0,IF($E69&lt;H$66-365,$D69,0))</f>
        <v>0</v>
      </c>
      <c r="I220" s="12">
        <f t="shared" si="120"/>
        <v>0</v>
      </c>
      <c r="J220" s="12">
        <f t="shared" si="120"/>
        <v>0</v>
      </c>
      <c r="K220" s="12">
        <f t="shared" si="120"/>
        <v>0</v>
      </c>
      <c r="L220" s="12">
        <f t="shared" si="120"/>
        <v>0</v>
      </c>
      <c r="M220" s="12">
        <f t="shared" si="120"/>
        <v>0</v>
      </c>
      <c r="N220" s="12">
        <f t="shared" si="120"/>
        <v>0</v>
      </c>
      <c r="O220" s="12">
        <f t="shared" si="120"/>
        <v>0</v>
      </c>
      <c r="P220" s="12">
        <f t="shared" si="120"/>
        <v>0</v>
      </c>
      <c r="Q220" s="12">
        <f t="shared" si="120"/>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9"/>
        <v>0</v>
      </c>
      <c r="H221" s="12">
        <f t="shared" ref="H221:Q221" si="121">IF($E70&gt;H$66,0,IF($E70&lt;H$66-365,$D70,0))</f>
        <v>0</v>
      </c>
      <c r="I221" s="12">
        <f t="shared" si="121"/>
        <v>0</v>
      </c>
      <c r="J221" s="12">
        <f t="shared" si="121"/>
        <v>0</v>
      </c>
      <c r="K221" s="12">
        <f t="shared" si="121"/>
        <v>0</v>
      </c>
      <c r="L221" s="12">
        <f t="shared" si="121"/>
        <v>0</v>
      </c>
      <c r="M221" s="12">
        <f t="shared" si="121"/>
        <v>0</v>
      </c>
      <c r="N221" s="12">
        <f t="shared" si="121"/>
        <v>0</v>
      </c>
      <c r="O221" s="12">
        <f t="shared" si="121"/>
        <v>0</v>
      </c>
      <c r="P221" s="12">
        <f t="shared" si="121"/>
        <v>0</v>
      </c>
      <c r="Q221" s="12">
        <f t="shared" si="12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9"/>
        <v>-34.746037706584097</v>
      </c>
      <c r="H222" s="12">
        <f t="shared" ref="H222:Q222" si="122">IF($E71&gt;H$66,0,IF($E71&lt;H$66-365,$D71,0))</f>
        <v>-34.746037706584097</v>
      </c>
      <c r="I222" s="12">
        <f t="shared" si="122"/>
        <v>-34.746037706584097</v>
      </c>
      <c r="J222" s="12">
        <f t="shared" si="122"/>
        <v>-34.746037706584097</v>
      </c>
      <c r="K222" s="12">
        <f t="shared" si="122"/>
        <v>-34.746037706584097</v>
      </c>
      <c r="L222" s="12">
        <f t="shared" si="122"/>
        <v>-34.746037706584097</v>
      </c>
      <c r="M222" s="12">
        <f t="shared" si="122"/>
        <v>-34.746037706584097</v>
      </c>
      <c r="N222" s="12">
        <f t="shared" si="122"/>
        <v>-34.746037706584097</v>
      </c>
      <c r="O222" s="12">
        <f t="shared" si="122"/>
        <v>-34.746037706584097</v>
      </c>
      <c r="P222" s="12">
        <f t="shared" si="122"/>
        <v>-34.746037706584097</v>
      </c>
      <c r="Q222" s="12">
        <f t="shared" si="122"/>
        <v>-34.746037706584097</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9"/>
        <v>0</v>
      </c>
      <c r="H223" s="12">
        <f t="shared" ref="H223:Q223" si="123">IF($E72&gt;H$66,0,IF($E72&lt;H$66-365,$D72,0))</f>
        <v>0</v>
      </c>
      <c r="I223" s="12">
        <f t="shared" si="123"/>
        <v>0</v>
      </c>
      <c r="J223" s="12">
        <f t="shared" si="123"/>
        <v>0</v>
      </c>
      <c r="K223" s="12">
        <f t="shared" si="123"/>
        <v>0</v>
      </c>
      <c r="L223" s="12">
        <f t="shared" si="123"/>
        <v>0</v>
      </c>
      <c r="M223" s="12">
        <f t="shared" si="123"/>
        <v>0</v>
      </c>
      <c r="N223" s="12">
        <f t="shared" si="123"/>
        <v>0</v>
      </c>
      <c r="O223" s="12">
        <f t="shared" si="123"/>
        <v>0</v>
      </c>
      <c r="P223" s="12">
        <f t="shared" si="123"/>
        <v>0</v>
      </c>
      <c r="Q223" s="12">
        <f t="shared" si="123"/>
        <v>0</v>
      </c>
      <c r="T223" s="20"/>
      <c r="U223" s="20"/>
      <c r="V223" s="20"/>
    </row>
    <row r="224" spans="6:51">
      <c r="G224" s="12">
        <f t="shared" si="119"/>
        <v>0</v>
      </c>
      <c r="H224" s="12">
        <f t="shared" ref="H224:Q224" si="124">IF($E73&gt;H$66,0,IF($E73&lt;H$66-365,$D73,0))</f>
        <v>0</v>
      </c>
      <c r="I224" s="12">
        <f t="shared" si="124"/>
        <v>0</v>
      </c>
      <c r="J224" s="12">
        <f t="shared" si="124"/>
        <v>0</v>
      </c>
      <c r="K224" s="12">
        <f t="shared" si="124"/>
        <v>-522.00651951750694</v>
      </c>
      <c r="L224" s="12">
        <f t="shared" si="124"/>
        <v>-522.00651951750694</v>
      </c>
      <c r="M224" s="12">
        <f t="shared" si="124"/>
        <v>-522.00651951750694</v>
      </c>
      <c r="N224" s="12">
        <f t="shared" si="124"/>
        <v>-522.00651951750694</v>
      </c>
      <c r="O224" s="12">
        <f t="shared" si="124"/>
        <v>-522.00651951750694</v>
      </c>
      <c r="P224" s="12">
        <f t="shared" si="124"/>
        <v>-522.00651951750694</v>
      </c>
      <c r="Q224" s="12">
        <f t="shared" si="124"/>
        <v>-522.00651951750694</v>
      </c>
      <c r="T224" s="20"/>
      <c r="U224" s="20"/>
      <c r="V224" s="20"/>
    </row>
    <row r="225" spans="7:28">
      <c r="G225" s="12">
        <f t="shared" si="119"/>
        <v>0</v>
      </c>
      <c r="H225" s="12">
        <f t="shared" ref="H225:Q225" si="125">IF($E74&gt;H$66,0,IF($E74&lt;H$66-365,$D74,0))</f>
        <v>0</v>
      </c>
      <c r="I225" s="12">
        <f t="shared" si="125"/>
        <v>0</v>
      </c>
      <c r="J225" s="12">
        <f t="shared" si="125"/>
        <v>0</v>
      </c>
      <c r="K225" s="12">
        <f t="shared" si="125"/>
        <v>0</v>
      </c>
      <c r="L225" s="12">
        <f t="shared" si="125"/>
        <v>0</v>
      </c>
      <c r="M225" s="12">
        <f t="shared" si="125"/>
        <v>0</v>
      </c>
      <c r="N225" s="12">
        <f t="shared" si="125"/>
        <v>0</v>
      </c>
      <c r="O225" s="12">
        <f t="shared" si="125"/>
        <v>0</v>
      </c>
      <c r="P225" s="12">
        <f t="shared" si="125"/>
        <v>0</v>
      </c>
      <c r="Q225" s="12">
        <f t="shared" si="125"/>
        <v>0</v>
      </c>
      <c r="T225" s="20"/>
      <c r="U225" s="20"/>
      <c r="V225" s="20"/>
      <c r="AA225" s="55">
        <f>SUM(AN167:AN213)</f>
        <v>285500</v>
      </c>
      <c r="AB225" s="24">
        <f>SUM(AO167:AO213)</f>
        <v>4727200</v>
      </c>
    </row>
    <row r="226" spans="7:28">
      <c r="G226" s="12">
        <f t="shared" si="119"/>
        <v>0</v>
      </c>
      <c r="H226" s="12">
        <f t="shared" ref="H226:Q226" si="126">IF($E75&gt;H$66,0,IF($E75&lt;H$66-365,$D75,0))</f>
        <v>0</v>
      </c>
      <c r="I226" s="12">
        <f t="shared" si="126"/>
        <v>0</v>
      </c>
      <c r="J226" s="12">
        <f t="shared" si="126"/>
        <v>0</v>
      </c>
      <c r="K226" s="12">
        <f t="shared" si="126"/>
        <v>0</v>
      </c>
      <c r="L226" s="12">
        <f t="shared" si="126"/>
        <v>-174.00217317250201</v>
      </c>
      <c r="M226" s="12">
        <f t="shared" si="126"/>
        <v>-174.00217317250201</v>
      </c>
      <c r="N226" s="12">
        <f t="shared" si="126"/>
        <v>-174.00217317250201</v>
      </c>
      <c r="O226" s="12">
        <f t="shared" si="126"/>
        <v>-174.00217317250201</v>
      </c>
      <c r="P226" s="12">
        <f t="shared" si="126"/>
        <v>-174.00217317250201</v>
      </c>
      <c r="Q226" s="12">
        <f t="shared" si="126"/>
        <v>-174.00217317250201</v>
      </c>
      <c r="T226" s="20"/>
      <c r="U226" s="20"/>
      <c r="V226" s="20"/>
      <c r="AA226" s="24">
        <f>AA225*1.35</f>
        <v>385425</v>
      </c>
      <c r="AB226" s="24">
        <f>AB225*1.35</f>
        <v>6381720</v>
      </c>
    </row>
    <row r="227" spans="7:28">
      <c r="G227" s="12">
        <f t="shared" si="119"/>
        <v>-174.00217317250201</v>
      </c>
      <c r="H227" s="12">
        <f t="shared" ref="H227:Q227" si="127">IF($E76&gt;H$66,0,IF($E76&lt;H$66-365,$D76,0))</f>
        <v>-174.00217317250201</v>
      </c>
      <c r="I227" s="12">
        <f t="shared" si="127"/>
        <v>-174.00217317250201</v>
      </c>
      <c r="J227" s="12">
        <f t="shared" si="127"/>
        <v>-174.00217317250201</v>
      </c>
      <c r="K227" s="12">
        <f t="shared" si="127"/>
        <v>-174.00217317250201</v>
      </c>
      <c r="L227" s="12">
        <f t="shared" si="127"/>
        <v>-174.00217317250201</v>
      </c>
      <c r="M227" s="12">
        <f t="shared" si="127"/>
        <v>-174.00217317250201</v>
      </c>
      <c r="N227" s="12">
        <f t="shared" si="127"/>
        <v>-174.00217317250201</v>
      </c>
      <c r="O227" s="12">
        <f t="shared" si="127"/>
        <v>-174.00217317250201</v>
      </c>
      <c r="P227" s="12">
        <f t="shared" si="127"/>
        <v>-174.00217317250201</v>
      </c>
      <c r="Q227" s="12">
        <f t="shared" si="127"/>
        <v>-174.00217317250201</v>
      </c>
    </row>
    <row r="228" spans="7:28">
      <c r="G228" s="12">
        <f t="shared" si="119"/>
        <v>0</v>
      </c>
      <c r="H228" s="12">
        <f t="shared" ref="H228:Q228" si="128">IF($E77&gt;H$66,0,IF($E77&lt;H$66-365,$D77,0))</f>
        <v>0</v>
      </c>
      <c r="I228" s="12">
        <f t="shared" si="128"/>
        <v>0</v>
      </c>
      <c r="J228" s="12">
        <f t="shared" si="128"/>
        <v>0</v>
      </c>
      <c r="K228" s="12">
        <f t="shared" si="128"/>
        <v>0</v>
      </c>
      <c r="L228" s="12">
        <f t="shared" si="128"/>
        <v>-69.560071573063595</v>
      </c>
      <c r="M228" s="12">
        <f t="shared" si="128"/>
        <v>-69.560071573063595</v>
      </c>
      <c r="N228" s="12">
        <f t="shared" si="128"/>
        <v>-69.560071573063595</v>
      </c>
      <c r="O228" s="12">
        <f t="shared" si="128"/>
        <v>-69.560071573063595</v>
      </c>
      <c r="P228" s="12">
        <f t="shared" si="128"/>
        <v>-69.560071573063595</v>
      </c>
      <c r="Q228" s="12">
        <f t="shared" si="128"/>
        <v>-69.560071573063595</v>
      </c>
    </row>
    <row r="229" spans="7:28">
      <c r="G229" s="12">
        <f t="shared" si="119"/>
        <v>0</v>
      </c>
      <c r="H229" s="12">
        <f t="shared" ref="H229:Q229" si="129">IF($E78&gt;H$66,0,IF($E78&lt;H$66-365,$D78,0))</f>
        <v>0</v>
      </c>
      <c r="I229" s="12">
        <f t="shared" si="129"/>
        <v>0</v>
      </c>
      <c r="J229" s="12">
        <f t="shared" si="129"/>
        <v>0</v>
      </c>
      <c r="K229" s="12">
        <f t="shared" si="129"/>
        <v>0</v>
      </c>
      <c r="L229" s="12">
        <f t="shared" si="129"/>
        <v>0</v>
      </c>
      <c r="M229" s="12">
        <f t="shared" si="129"/>
        <v>0</v>
      </c>
      <c r="N229" s="12">
        <f t="shared" si="129"/>
        <v>0</v>
      </c>
      <c r="O229" s="12">
        <f t="shared" si="129"/>
        <v>0</v>
      </c>
      <c r="P229" s="12">
        <f t="shared" si="129"/>
        <v>0</v>
      </c>
      <c r="Q229" s="12">
        <f t="shared" si="129"/>
        <v>0</v>
      </c>
    </row>
    <row r="230" spans="7:28">
      <c r="G230" s="12">
        <f t="shared" si="119"/>
        <v>0</v>
      </c>
      <c r="H230" s="12">
        <f t="shared" ref="H230:Q230" si="130">IF($E79&gt;H$66,0,IF($E79&lt;H$66-365,$D79,0))</f>
        <v>0</v>
      </c>
      <c r="I230" s="12">
        <f t="shared" si="130"/>
        <v>0</v>
      </c>
      <c r="J230" s="12">
        <f t="shared" si="130"/>
        <v>0</v>
      </c>
      <c r="K230" s="12">
        <f t="shared" si="130"/>
        <v>0</v>
      </c>
      <c r="L230" s="12">
        <f t="shared" si="130"/>
        <v>0</v>
      </c>
      <c r="M230" s="12">
        <f t="shared" si="130"/>
        <v>-3947</v>
      </c>
      <c r="N230" s="12">
        <f t="shared" si="130"/>
        <v>-3947</v>
      </c>
      <c r="O230" s="12">
        <f t="shared" si="130"/>
        <v>-3947</v>
      </c>
      <c r="P230" s="12">
        <f t="shared" si="130"/>
        <v>-3947</v>
      </c>
      <c r="Q230" s="12">
        <f t="shared" si="130"/>
        <v>-3947</v>
      </c>
    </row>
    <row r="231" spans="7:28">
      <c r="G231" s="12">
        <f t="shared" si="119"/>
        <v>0</v>
      </c>
      <c r="H231" s="12">
        <f t="shared" ref="H231:Q231" si="131">IF($E80&gt;H$66,0,IF($E80&lt;H$66-365,$D80,0))</f>
        <v>0</v>
      </c>
      <c r="I231" s="12">
        <f t="shared" si="131"/>
        <v>0</v>
      </c>
      <c r="J231" s="12">
        <f t="shared" si="131"/>
        <v>0</v>
      </c>
      <c r="K231" s="12">
        <f t="shared" si="131"/>
        <v>0</v>
      </c>
      <c r="L231" s="12">
        <f t="shared" si="131"/>
        <v>0</v>
      </c>
      <c r="M231" s="12">
        <f t="shared" si="131"/>
        <v>0</v>
      </c>
      <c r="N231" s="12">
        <f t="shared" si="131"/>
        <v>0</v>
      </c>
      <c r="O231" s="12">
        <f t="shared" si="131"/>
        <v>0</v>
      </c>
      <c r="P231" s="12">
        <f t="shared" si="131"/>
        <v>0</v>
      </c>
      <c r="Q231" s="12">
        <f t="shared" si="131"/>
        <v>0</v>
      </c>
    </row>
    <row r="232" spans="7:28">
      <c r="G232" s="12">
        <f t="shared" si="119"/>
        <v>0</v>
      </c>
      <c r="H232" s="12">
        <f t="shared" ref="H232:Q232" si="132">IF($E81&gt;H$66,0,IF($E81&lt;H$66-365,$D81,0))</f>
        <v>0</v>
      </c>
      <c r="I232" s="12">
        <f t="shared" si="132"/>
        <v>0</v>
      </c>
      <c r="J232" s="12">
        <f t="shared" si="132"/>
        <v>0</v>
      </c>
      <c r="K232" s="12">
        <f t="shared" si="132"/>
        <v>0</v>
      </c>
      <c r="L232" s="12">
        <f t="shared" si="132"/>
        <v>0</v>
      </c>
      <c r="M232" s="12">
        <f t="shared" si="132"/>
        <v>0</v>
      </c>
      <c r="N232" s="12">
        <f t="shared" si="132"/>
        <v>0</v>
      </c>
      <c r="O232" s="12">
        <f t="shared" si="132"/>
        <v>0</v>
      </c>
      <c r="P232" s="12">
        <f t="shared" si="132"/>
        <v>0</v>
      </c>
      <c r="Q232" s="12">
        <f t="shared" si="132"/>
        <v>0</v>
      </c>
    </row>
    <row r="233" spans="7:28">
      <c r="G233" s="12">
        <f t="shared" si="119"/>
        <v>0</v>
      </c>
      <c r="H233" s="12">
        <f t="shared" ref="H233:Q233" si="133">IF($E82&gt;H$66,0,IF($E82&lt;H$66-365,$D82,0))</f>
        <v>0</v>
      </c>
      <c r="I233" s="12">
        <f t="shared" si="133"/>
        <v>0</v>
      </c>
      <c r="J233" s="12">
        <f t="shared" si="133"/>
        <v>0</v>
      </c>
      <c r="K233" s="12">
        <f t="shared" si="133"/>
        <v>0</v>
      </c>
      <c r="L233" s="12">
        <f t="shared" si="133"/>
        <v>0</v>
      </c>
      <c r="M233" s="12">
        <f t="shared" si="133"/>
        <v>0</v>
      </c>
      <c r="N233" s="12">
        <f t="shared" si="133"/>
        <v>0</v>
      </c>
      <c r="O233" s="12">
        <f t="shared" si="133"/>
        <v>0</v>
      </c>
      <c r="P233" s="12">
        <f t="shared" si="133"/>
        <v>0</v>
      </c>
      <c r="Q233" s="12">
        <f t="shared" si="133"/>
        <v>0</v>
      </c>
    </row>
    <row r="234" spans="7:28">
      <c r="G234" s="12">
        <f t="shared" si="119"/>
        <v>0</v>
      </c>
      <c r="H234" s="12">
        <f t="shared" ref="H234:Q234" si="134">IF($E83&gt;H$66,0,IF($E83&lt;H$66-365,$D83,0))</f>
        <v>0</v>
      </c>
      <c r="I234" s="12">
        <f t="shared" si="134"/>
        <v>0</v>
      </c>
      <c r="J234" s="12">
        <f t="shared" si="134"/>
        <v>0</v>
      </c>
      <c r="K234" s="12">
        <f t="shared" si="134"/>
        <v>0</v>
      </c>
      <c r="L234" s="12">
        <f t="shared" si="134"/>
        <v>0</v>
      </c>
      <c r="M234" s="12">
        <f t="shared" si="134"/>
        <v>0</v>
      </c>
      <c r="N234" s="12">
        <f t="shared" si="134"/>
        <v>0</v>
      </c>
      <c r="O234" s="12">
        <f t="shared" si="134"/>
        <v>0</v>
      </c>
      <c r="P234" s="12">
        <f t="shared" si="134"/>
        <v>0</v>
      </c>
      <c r="Q234" s="12">
        <f t="shared" si="134"/>
        <v>0</v>
      </c>
    </row>
    <row r="235" spans="7:28">
      <c r="G235" s="12">
        <f t="shared" si="119"/>
        <v>0</v>
      </c>
      <c r="H235" s="12">
        <f t="shared" ref="H235:Q235" si="135">IF($E84&gt;H$66,0,IF($E84&lt;H$66-365,$D84,0))</f>
        <v>0</v>
      </c>
      <c r="I235" s="12">
        <f t="shared" si="135"/>
        <v>0</v>
      </c>
      <c r="J235" s="12">
        <f t="shared" si="135"/>
        <v>0</v>
      </c>
      <c r="K235" s="12">
        <f t="shared" si="135"/>
        <v>0</v>
      </c>
      <c r="L235" s="12">
        <f t="shared" si="135"/>
        <v>0</v>
      </c>
      <c r="M235" s="12">
        <f t="shared" si="135"/>
        <v>0</v>
      </c>
      <c r="N235" s="12">
        <f t="shared" si="135"/>
        <v>0</v>
      </c>
      <c r="O235" s="12">
        <f t="shared" si="135"/>
        <v>0</v>
      </c>
      <c r="P235" s="12">
        <f t="shared" si="135"/>
        <v>0</v>
      </c>
      <c r="Q235" s="12">
        <f t="shared" si="135"/>
        <v>0</v>
      </c>
    </row>
    <row r="236" spans="7:28">
      <c r="G236" s="12">
        <f t="shared" si="119"/>
        <v>0</v>
      </c>
      <c r="H236" s="12">
        <f t="shared" ref="H236:Q236" si="136">IF($E85&gt;H$66,0,IF($E85&lt;H$66-365,$D85,0))</f>
        <v>0</v>
      </c>
      <c r="I236" s="12">
        <f t="shared" si="136"/>
        <v>0</v>
      </c>
      <c r="J236" s="12">
        <f t="shared" si="136"/>
        <v>0</v>
      </c>
      <c r="K236" s="12">
        <f t="shared" si="136"/>
        <v>0</v>
      </c>
      <c r="L236" s="12">
        <f t="shared" si="136"/>
        <v>0</v>
      </c>
      <c r="M236" s="12">
        <f t="shared" si="136"/>
        <v>0</v>
      </c>
      <c r="N236" s="12">
        <f t="shared" si="136"/>
        <v>0</v>
      </c>
      <c r="O236" s="12">
        <f t="shared" si="136"/>
        <v>0</v>
      </c>
      <c r="P236" s="12">
        <f t="shared" si="136"/>
        <v>0</v>
      </c>
      <c r="Q236" s="12">
        <f t="shared" si="136"/>
        <v>0</v>
      </c>
    </row>
    <row r="237" spans="7:28">
      <c r="G237" s="12">
        <f t="shared" si="119"/>
        <v>0</v>
      </c>
      <c r="H237" s="12">
        <f t="shared" ref="H237:Q237" si="137">IF($E86&gt;H$66,0,IF($E86&lt;H$66-365,$D86,0))</f>
        <v>0</v>
      </c>
      <c r="I237" s="12">
        <f t="shared" si="137"/>
        <v>0</v>
      </c>
      <c r="J237" s="12">
        <f t="shared" si="137"/>
        <v>0</v>
      </c>
      <c r="K237" s="12">
        <f t="shared" si="137"/>
        <v>0</v>
      </c>
      <c r="L237" s="12">
        <f t="shared" si="137"/>
        <v>0</v>
      </c>
      <c r="M237" s="12">
        <f t="shared" si="137"/>
        <v>0</v>
      </c>
      <c r="N237" s="12">
        <f t="shared" si="137"/>
        <v>0</v>
      </c>
      <c r="O237" s="12">
        <f t="shared" si="137"/>
        <v>0</v>
      </c>
      <c r="P237" s="12">
        <f t="shared" si="137"/>
        <v>0</v>
      </c>
      <c r="Q237" s="12">
        <f t="shared" si="137"/>
        <v>0</v>
      </c>
    </row>
    <row r="238" spans="7:28">
      <c r="G238" s="12">
        <f t="shared" si="119"/>
        <v>0</v>
      </c>
      <c r="H238" s="12">
        <f t="shared" ref="H238:Q238" si="138">IF($E87&gt;H$66,0,IF($E87&lt;H$66-365,$D87,0))</f>
        <v>0</v>
      </c>
      <c r="I238" s="12">
        <f t="shared" si="138"/>
        <v>0</v>
      </c>
      <c r="J238" s="12">
        <f t="shared" si="138"/>
        <v>0</v>
      </c>
      <c r="K238" s="12">
        <f t="shared" si="138"/>
        <v>0</v>
      </c>
      <c r="L238" s="12">
        <f t="shared" si="138"/>
        <v>0</v>
      </c>
      <c r="M238" s="12">
        <f t="shared" si="138"/>
        <v>0</v>
      </c>
      <c r="N238" s="12">
        <f t="shared" si="138"/>
        <v>0</v>
      </c>
      <c r="O238" s="12">
        <f t="shared" si="138"/>
        <v>0</v>
      </c>
      <c r="P238" s="12">
        <f t="shared" si="138"/>
        <v>0</v>
      </c>
      <c r="Q238" s="12">
        <f t="shared" si="138"/>
        <v>0</v>
      </c>
    </row>
    <row r="239" spans="7:28">
      <c r="G239" s="12">
        <f t="shared" si="119"/>
        <v>0</v>
      </c>
      <c r="H239" s="12">
        <f t="shared" ref="H239:Q239" si="139">IF($E88&gt;H$66,0,IF($E88&lt;H$66-365,$D88,0))</f>
        <v>0</v>
      </c>
      <c r="I239" s="12">
        <f t="shared" si="139"/>
        <v>0</v>
      </c>
      <c r="J239" s="12">
        <f t="shared" si="139"/>
        <v>0</v>
      </c>
      <c r="K239" s="12">
        <f t="shared" si="139"/>
        <v>0</v>
      </c>
      <c r="L239" s="12">
        <f t="shared" si="139"/>
        <v>0</v>
      </c>
      <c r="M239" s="12">
        <f t="shared" si="139"/>
        <v>0</v>
      </c>
      <c r="N239" s="12">
        <f t="shared" si="139"/>
        <v>0</v>
      </c>
      <c r="O239" s="12">
        <f t="shared" si="139"/>
        <v>0</v>
      </c>
      <c r="P239" s="12">
        <f t="shared" si="139"/>
        <v>0</v>
      </c>
      <c r="Q239" s="12">
        <f t="shared" si="139"/>
        <v>0</v>
      </c>
    </row>
    <row r="240" spans="7:28">
      <c r="G240" s="12">
        <f t="shared" si="119"/>
        <v>0</v>
      </c>
      <c r="H240" s="12">
        <f t="shared" ref="H240:Q240" si="140">IF($E89&gt;H$66,0,IF($E89&lt;H$66-365,$D89,0))</f>
        <v>0</v>
      </c>
      <c r="I240" s="12">
        <f t="shared" si="140"/>
        <v>0</v>
      </c>
      <c r="J240" s="12">
        <f t="shared" si="140"/>
        <v>0</v>
      </c>
      <c r="K240" s="12">
        <f t="shared" si="140"/>
        <v>0</v>
      </c>
      <c r="L240" s="12">
        <f t="shared" si="140"/>
        <v>0</v>
      </c>
      <c r="M240" s="12">
        <f t="shared" si="140"/>
        <v>0</v>
      </c>
      <c r="N240" s="12">
        <f t="shared" si="140"/>
        <v>0</v>
      </c>
      <c r="O240" s="12">
        <f t="shared" si="140"/>
        <v>0</v>
      </c>
      <c r="P240" s="12">
        <f t="shared" si="140"/>
        <v>0</v>
      </c>
      <c r="Q240" s="12">
        <f t="shared" si="140"/>
        <v>0</v>
      </c>
    </row>
    <row r="241" spans="7:17">
      <c r="G241" s="12">
        <f t="shared" si="119"/>
        <v>0</v>
      </c>
      <c r="H241" s="12">
        <f t="shared" ref="H241:Q241" si="141">IF($E90&gt;H$66,0,IF($E90&lt;H$66-365,$D90,0))</f>
        <v>0</v>
      </c>
      <c r="I241" s="12">
        <f t="shared" si="141"/>
        <v>0</v>
      </c>
      <c r="J241" s="12">
        <f t="shared" si="141"/>
        <v>0</v>
      </c>
      <c r="K241" s="12">
        <f t="shared" si="141"/>
        <v>0</v>
      </c>
      <c r="L241" s="12">
        <f t="shared" si="141"/>
        <v>0</v>
      </c>
      <c r="M241" s="12">
        <f t="shared" si="141"/>
        <v>0</v>
      </c>
      <c r="N241" s="12">
        <f t="shared" si="141"/>
        <v>0</v>
      </c>
      <c r="O241" s="12">
        <f t="shared" si="141"/>
        <v>0</v>
      </c>
      <c r="P241" s="12">
        <f t="shared" si="141"/>
        <v>0</v>
      </c>
      <c r="Q241" s="12">
        <f t="shared" si="141"/>
        <v>0</v>
      </c>
    </row>
    <row r="242" spans="7:17">
      <c r="G242" s="12">
        <f t="shared" si="119"/>
        <v>0</v>
      </c>
      <c r="H242" s="12">
        <f t="shared" ref="H242:Q242" si="142">IF($E91&gt;H$66,0,IF($E91&lt;H$66-365,$D91,0))</f>
        <v>0</v>
      </c>
      <c r="I242" s="12">
        <f t="shared" si="142"/>
        <v>0</v>
      </c>
      <c r="J242" s="12">
        <f t="shared" si="142"/>
        <v>0</v>
      </c>
      <c r="K242" s="12">
        <f t="shared" si="142"/>
        <v>0</v>
      </c>
      <c r="L242" s="12">
        <f t="shared" si="142"/>
        <v>0</v>
      </c>
      <c r="M242" s="12">
        <f t="shared" si="142"/>
        <v>0</v>
      </c>
      <c r="N242" s="12">
        <f t="shared" si="142"/>
        <v>0</v>
      </c>
      <c r="O242" s="12">
        <f t="shared" si="142"/>
        <v>0</v>
      </c>
      <c r="P242" s="12">
        <f t="shared" si="142"/>
        <v>0</v>
      </c>
      <c r="Q242" s="12">
        <f t="shared" si="142"/>
        <v>0</v>
      </c>
    </row>
    <row r="243" spans="7:17">
      <c r="G243" s="12">
        <f t="shared" si="119"/>
        <v>0</v>
      </c>
      <c r="H243" s="12">
        <f t="shared" ref="H243:Q243" si="143">IF($E92&gt;H$66,0,IF($E92&lt;H$66-365,$D92,0))</f>
        <v>0</v>
      </c>
      <c r="I243" s="12">
        <f t="shared" si="143"/>
        <v>0</v>
      </c>
      <c r="J243" s="12">
        <f t="shared" si="143"/>
        <v>0</v>
      </c>
      <c r="K243" s="12">
        <f t="shared" si="143"/>
        <v>0</v>
      </c>
      <c r="L243" s="12">
        <f t="shared" si="143"/>
        <v>0</v>
      </c>
      <c r="M243" s="12">
        <f t="shared" si="143"/>
        <v>0</v>
      </c>
      <c r="N243" s="12">
        <f t="shared" si="143"/>
        <v>0</v>
      </c>
      <c r="O243" s="12">
        <f t="shared" si="143"/>
        <v>0</v>
      </c>
      <c r="P243" s="12">
        <f t="shared" si="143"/>
        <v>0</v>
      </c>
      <c r="Q243" s="12">
        <f t="shared" si="143"/>
        <v>0</v>
      </c>
    </row>
    <row r="244" spans="7:17">
      <c r="G244" s="12">
        <f t="shared" si="119"/>
        <v>0</v>
      </c>
      <c r="H244" s="12">
        <f t="shared" ref="H244:Q244" si="144">IF($E93&gt;H$66,0,IF($E93&lt;H$66-365,$D93,0))</f>
        <v>0</v>
      </c>
      <c r="I244" s="12">
        <f t="shared" si="144"/>
        <v>0</v>
      </c>
      <c r="J244" s="12">
        <f t="shared" si="144"/>
        <v>0</v>
      </c>
      <c r="K244" s="12">
        <f t="shared" si="144"/>
        <v>0</v>
      </c>
      <c r="L244" s="12">
        <f t="shared" si="144"/>
        <v>0</v>
      </c>
      <c r="M244" s="12">
        <f t="shared" si="144"/>
        <v>0</v>
      </c>
      <c r="N244" s="12">
        <f t="shared" si="144"/>
        <v>0</v>
      </c>
      <c r="O244" s="12">
        <f t="shared" si="144"/>
        <v>0</v>
      </c>
      <c r="P244" s="12">
        <f t="shared" si="144"/>
        <v>0</v>
      </c>
      <c r="Q244" s="12">
        <f t="shared" si="144"/>
        <v>0</v>
      </c>
    </row>
    <row r="245" spans="7:17">
      <c r="G245" s="12">
        <f t="shared" si="119"/>
        <v>0</v>
      </c>
      <c r="H245" s="12">
        <f t="shared" ref="H245:Q245" si="145">IF($E94&gt;H$66,0,IF($E94&lt;H$66-365,$D94,0))</f>
        <v>0</v>
      </c>
      <c r="I245" s="12">
        <f t="shared" si="145"/>
        <v>0</v>
      </c>
      <c r="J245" s="12">
        <f t="shared" si="145"/>
        <v>0</v>
      </c>
      <c r="K245" s="12">
        <f t="shared" si="145"/>
        <v>0</v>
      </c>
      <c r="L245" s="12">
        <f t="shared" si="145"/>
        <v>0</v>
      </c>
      <c r="M245" s="12">
        <f t="shared" si="145"/>
        <v>0</v>
      </c>
      <c r="N245" s="12">
        <f t="shared" si="145"/>
        <v>0</v>
      </c>
      <c r="O245" s="12">
        <f t="shared" si="145"/>
        <v>0</v>
      </c>
      <c r="P245" s="12">
        <f t="shared" si="145"/>
        <v>0</v>
      </c>
      <c r="Q245" s="12">
        <f t="shared" si="145"/>
        <v>0</v>
      </c>
    </row>
    <row r="246" spans="7:17">
      <c r="G246" s="12">
        <f t="shared" si="119"/>
        <v>0</v>
      </c>
      <c r="H246" s="12">
        <f t="shared" ref="H246:Q246" si="146">IF($E95&gt;H$66,0,IF($E95&lt;H$66-365,$D95,0))</f>
        <v>0</v>
      </c>
      <c r="I246" s="12">
        <f t="shared" si="146"/>
        <v>0</v>
      </c>
      <c r="J246" s="12">
        <f t="shared" si="146"/>
        <v>0</v>
      </c>
      <c r="K246" s="12">
        <f t="shared" si="146"/>
        <v>0</v>
      </c>
      <c r="L246" s="12">
        <f t="shared" si="146"/>
        <v>0</v>
      </c>
      <c r="M246" s="12">
        <f t="shared" si="146"/>
        <v>0</v>
      </c>
      <c r="N246" s="12">
        <f t="shared" si="146"/>
        <v>0</v>
      </c>
      <c r="O246" s="12">
        <f t="shared" si="146"/>
        <v>0</v>
      </c>
      <c r="P246" s="12">
        <f t="shared" si="146"/>
        <v>0</v>
      </c>
      <c r="Q246" s="12">
        <f t="shared" si="146"/>
        <v>0</v>
      </c>
    </row>
    <row r="247" spans="7:17">
      <c r="G247" s="12">
        <f t="shared" si="119"/>
        <v>0</v>
      </c>
      <c r="H247" s="12">
        <f t="shared" ref="H247:Q247" si="147">IF($E96&gt;H$66,0,IF($E96&lt;H$66-365,$D96,0))</f>
        <v>0</v>
      </c>
      <c r="I247" s="12">
        <f t="shared" si="147"/>
        <v>0</v>
      </c>
      <c r="J247" s="12">
        <f t="shared" si="147"/>
        <v>0</v>
      </c>
      <c r="K247" s="12">
        <f t="shared" si="147"/>
        <v>0</v>
      </c>
      <c r="L247" s="12">
        <f t="shared" si="147"/>
        <v>0</v>
      </c>
      <c r="M247" s="12">
        <f t="shared" si="147"/>
        <v>0</v>
      </c>
      <c r="N247" s="12">
        <f t="shared" si="147"/>
        <v>0</v>
      </c>
      <c r="O247" s="12">
        <f t="shared" si="147"/>
        <v>0</v>
      </c>
      <c r="P247" s="12">
        <f t="shared" si="147"/>
        <v>0</v>
      </c>
      <c r="Q247" s="12">
        <f t="shared" si="147"/>
        <v>0</v>
      </c>
    </row>
    <row r="248" spans="7:17">
      <c r="G248" s="12">
        <f t="shared" si="119"/>
        <v>0</v>
      </c>
      <c r="H248" s="12">
        <f t="shared" ref="H248:Q248" si="148">IF($E97&gt;H$66,0,IF($E97&lt;H$66-365,$D97,0))</f>
        <v>0</v>
      </c>
      <c r="I248" s="12">
        <f t="shared" si="148"/>
        <v>0</v>
      </c>
      <c r="J248" s="12">
        <f t="shared" si="148"/>
        <v>0</v>
      </c>
      <c r="K248" s="12">
        <f t="shared" si="148"/>
        <v>0</v>
      </c>
      <c r="L248" s="12">
        <f t="shared" si="148"/>
        <v>0</v>
      </c>
      <c r="M248" s="12">
        <f t="shared" si="148"/>
        <v>0</v>
      </c>
      <c r="N248" s="12">
        <f t="shared" si="148"/>
        <v>0</v>
      </c>
      <c r="O248" s="12">
        <f t="shared" si="148"/>
        <v>0</v>
      </c>
      <c r="P248" s="12">
        <f t="shared" si="148"/>
        <v>0</v>
      </c>
      <c r="Q248" s="12">
        <f t="shared" si="148"/>
        <v>0</v>
      </c>
    </row>
    <row r="249" spans="7:17">
      <c r="G249" s="12">
        <f t="shared" si="119"/>
        <v>0</v>
      </c>
      <c r="H249" s="12">
        <f t="shared" ref="H249:Q249" si="149">IF($E98&gt;H$66,0,IF($E98&lt;H$66-365,$D98,0))</f>
        <v>0</v>
      </c>
      <c r="I249" s="12">
        <f t="shared" si="149"/>
        <v>0</v>
      </c>
      <c r="J249" s="12">
        <f t="shared" si="149"/>
        <v>0</v>
      </c>
      <c r="K249" s="12">
        <f t="shared" si="149"/>
        <v>0</v>
      </c>
      <c r="L249" s="12">
        <f t="shared" si="149"/>
        <v>0</v>
      </c>
      <c r="M249" s="12">
        <f t="shared" si="149"/>
        <v>0</v>
      </c>
      <c r="N249" s="12">
        <f t="shared" si="149"/>
        <v>0</v>
      </c>
      <c r="O249" s="12">
        <f t="shared" si="149"/>
        <v>0</v>
      </c>
      <c r="P249" s="12">
        <f t="shared" si="149"/>
        <v>0</v>
      </c>
      <c r="Q249" s="12">
        <f t="shared" si="149"/>
        <v>0</v>
      </c>
    </row>
    <row r="250" spans="7:17">
      <c r="G250" s="12">
        <f t="shared" si="119"/>
        <v>0</v>
      </c>
      <c r="H250" s="12">
        <f t="shared" ref="H250:Q250" si="150">IF($E99&gt;H$66,0,IF($E99&lt;H$66-365,$D99,0))</f>
        <v>0</v>
      </c>
      <c r="I250" s="12">
        <f t="shared" si="150"/>
        <v>0</v>
      </c>
      <c r="J250" s="12">
        <f t="shared" si="150"/>
        <v>0</v>
      </c>
      <c r="K250" s="12">
        <f t="shared" si="150"/>
        <v>0</v>
      </c>
      <c r="L250" s="12">
        <f t="shared" si="150"/>
        <v>0</v>
      </c>
      <c r="M250" s="12">
        <f t="shared" si="150"/>
        <v>0</v>
      </c>
      <c r="N250" s="12">
        <f t="shared" si="150"/>
        <v>0</v>
      </c>
      <c r="O250" s="12">
        <f t="shared" si="150"/>
        <v>0</v>
      </c>
      <c r="P250" s="12">
        <f t="shared" si="150"/>
        <v>0</v>
      </c>
      <c r="Q250" s="12">
        <f t="shared" si="150"/>
        <v>0</v>
      </c>
    </row>
    <row r="251" spans="7:17">
      <c r="G251" s="12">
        <f t="shared" si="119"/>
        <v>0</v>
      </c>
      <c r="H251" s="12">
        <f t="shared" ref="H251:Q251" si="151">IF($E100&gt;H$66,0,IF($E100&lt;H$66-365,$D100,0))</f>
        <v>0</v>
      </c>
      <c r="I251" s="12">
        <f t="shared" si="151"/>
        <v>0</v>
      </c>
      <c r="J251" s="12">
        <f t="shared" si="151"/>
        <v>0</v>
      </c>
      <c r="K251" s="12">
        <f t="shared" si="151"/>
        <v>0</v>
      </c>
      <c r="L251" s="12">
        <f t="shared" si="151"/>
        <v>0</v>
      </c>
      <c r="M251" s="12">
        <f t="shared" si="151"/>
        <v>0</v>
      </c>
      <c r="N251" s="12">
        <f t="shared" si="151"/>
        <v>0</v>
      </c>
      <c r="O251" s="12">
        <f t="shared" si="151"/>
        <v>0</v>
      </c>
      <c r="P251" s="12">
        <f t="shared" si="151"/>
        <v>0</v>
      </c>
      <c r="Q251" s="12">
        <f t="shared" si="151"/>
        <v>0</v>
      </c>
    </row>
    <row r="252" spans="7:17">
      <c r="G252" s="12">
        <f t="shared" si="119"/>
        <v>0</v>
      </c>
      <c r="H252" s="12">
        <f t="shared" ref="H252:Q252" si="152">IF($E101&gt;H$66,0,IF($E101&lt;H$66-365,$D101,0))</f>
        <v>0</v>
      </c>
      <c r="I252" s="12">
        <f t="shared" si="152"/>
        <v>0</v>
      </c>
      <c r="J252" s="12">
        <f t="shared" si="152"/>
        <v>0</v>
      </c>
      <c r="K252" s="12">
        <f t="shared" si="152"/>
        <v>0</v>
      </c>
      <c r="L252" s="12">
        <f t="shared" si="152"/>
        <v>0</v>
      </c>
      <c r="M252" s="12">
        <f t="shared" si="152"/>
        <v>0</v>
      </c>
      <c r="N252" s="12">
        <f t="shared" si="152"/>
        <v>0</v>
      </c>
      <c r="O252" s="12">
        <f t="shared" si="152"/>
        <v>0</v>
      </c>
      <c r="P252" s="12">
        <f t="shared" si="152"/>
        <v>0</v>
      </c>
      <c r="Q252" s="12">
        <f t="shared" si="152"/>
        <v>0</v>
      </c>
    </row>
    <row r="253" spans="7:17">
      <c r="G253" s="12">
        <f t="shared" si="119"/>
        <v>0</v>
      </c>
      <c r="H253" s="12">
        <f t="shared" ref="H253:Q253" si="153">IF($E102&gt;H$66,0,IF($E102&lt;H$66-365,$D102,0))</f>
        <v>0</v>
      </c>
      <c r="I253" s="12">
        <f t="shared" si="153"/>
        <v>0</v>
      </c>
      <c r="J253" s="12">
        <f t="shared" si="153"/>
        <v>0</v>
      </c>
      <c r="K253" s="12">
        <f t="shared" si="153"/>
        <v>0</v>
      </c>
      <c r="L253" s="12">
        <f t="shared" si="153"/>
        <v>0</v>
      </c>
      <c r="M253" s="12">
        <f t="shared" si="153"/>
        <v>0</v>
      </c>
      <c r="N253" s="12">
        <f t="shared" si="153"/>
        <v>0</v>
      </c>
      <c r="O253" s="12">
        <f t="shared" si="153"/>
        <v>0</v>
      </c>
      <c r="P253" s="12">
        <f t="shared" si="153"/>
        <v>0</v>
      </c>
      <c r="Q253" s="12">
        <f t="shared" si="153"/>
        <v>0</v>
      </c>
    </row>
    <row r="254" spans="7:17">
      <c r="G254" s="12">
        <f t="shared" si="119"/>
        <v>0</v>
      </c>
      <c r="H254" s="12">
        <f t="shared" ref="H254:Q254" si="154">IF($E103&gt;H$66,0,IF($E103&lt;H$66-365,$D103,0))</f>
        <v>0</v>
      </c>
      <c r="I254" s="12">
        <f t="shared" si="154"/>
        <v>0</v>
      </c>
      <c r="J254" s="12">
        <f t="shared" si="154"/>
        <v>0</v>
      </c>
      <c r="K254" s="12">
        <f t="shared" si="154"/>
        <v>0</v>
      </c>
      <c r="L254" s="12">
        <f t="shared" si="154"/>
        <v>0</v>
      </c>
      <c r="M254" s="12">
        <f t="shared" si="154"/>
        <v>0</v>
      </c>
      <c r="N254" s="12">
        <f t="shared" si="154"/>
        <v>0</v>
      </c>
      <c r="O254" s="12">
        <f t="shared" si="154"/>
        <v>0</v>
      </c>
      <c r="P254" s="12">
        <f t="shared" si="154"/>
        <v>0</v>
      </c>
      <c r="Q254" s="12">
        <f t="shared" si="154"/>
        <v>0</v>
      </c>
    </row>
    <row r="255" spans="7:17">
      <c r="G255" s="12">
        <f t="shared" si="119"/>
        <v>0</v>
      </c>
      <c r="H255" s="12">
        <f t="shared" ref="H255:Q255" si="155">IF($E104&gt;H$66,0,IF($E104&lt;H$66-365,$D104,0))</f>
        <v>0</v>
      </c>
      <c r="I255" s="12">
        <f t="shared" si="155"/>
        <v>0</v>
      </c>
      <c r="J255" s="12">
        <f t="shared" si="155"/>
        <v>0</v>
      </c>
      <c r="K255" s="12">
        <f t="shared" si="155"/>
        <v>0</v>
      </c>
      <c r="L255" s="12">
        <f t="shared" si="155"/>
        <v>0</v>
      </c>
      <c r="M255" s="12">
        <f t="shared" si="155"/>
        <v>0</v>
      </c>
      <c r="N255" s="12">
        <f t="shared" si="155"/>
        <v>0</v>
      </c>
      <c r="O255" s="12">
        <f t="shared" si="155"/>
        <v>0</v>
      </c>
      <c r="P255" s="12">
        <f t="shared" si="155"/>
        <v>0</v>
      </c>
      <c r="Q255" s="12">
        <f t="shared" si="155"/>
        <v>0</v>
      </c>
    </row>
    <row r="256" spans="7:17">
      <c r="G256" s="12">
        <f t="shared" si="119"/>
        <v>0</v>
      </c>
      <c r="H256" s="12">
        <f t="shared" ref="H256:Q256" si="156">IF($E105&gt;H$66,0,IF($E105&lt;H$66-365,$D105,0))</f>
        <v>0</v>
      </c>
      <c r="I256" s="12">
        <f t="shared" si="156"/>
        <v>0</v>
      </c>
      <c r="J256" s="12">
        <f t="shared" si="156"/>
        <v>0</v>
      </c>
      <c r="K256" s="12">
        <f t="shared" si="156"/>
        <v>0</v>
      </c>
      <c r="L256" s="12">
        <f t="shared" si="156"/>
        <v>0</v>
      </c>
      <c r="M256" s="12">
        <f t="shared" si="156"/>
        <v>0</v>
      </c>
      <c r="N256" s="12">
        <f t="shared" si="156"/>
        <v>0</v>
      </c>
      <c r="O256" s="12">
        <f t="shared" si="156"/>
        <v>0</v>
      </c>
      <c r="P256" s="12">
        <f t="shared" si="156"/>
        <v>0</v>
      </c>
      <c r="Q256" s="12">
        <f t="shared" si="156"/>
        <v>0</v>
      </c>
    </row>
    <row r="257" spans="5:18">
      <c r="G257" s="12">
        <f t="shared" si="119"/>
        <v>0</v>
      </c>
      <c r="H257" s="12">
        <f t="shared" ref="H257:Q257" si="157">IF($E106&gt;H$66,0,IF($E106&lt;H$66-365,$D106,0))</f>
        <v>0</v>
      </c>
      <c r="I257" s="12">
        <f t="shared" si="157"/>
        <v>0</v>
      </c>
      <c r="J257" s="12">
        <f t="shared" si="157"/>
        <v>0</v>
      </c>
      <c r="K257" s="12">
        <f t="shared" si="157"/>
        <v>0</v>
      </c>
      <c r="L257" s="12">
        <f t="shared" si="157"/>
        <v>0</v>
      </c>
      <c r="M257" s="12">
        <f t="shared" si="157"/>
        <v>0</v>
      </c>
      <c r="N257" s="12">
        <f t="shared" si="157"/>
        <v>0</v>
      </c>
      <c r="O257" s="12">
        <f t="shared" si="157"/>
        <v>0</v>
      </c>
      <c r="P257" s="12">
        <f t="shared" si="157"/>
        <v>0</v>
      </c>
      <c r="Q257" s="12">
        <f t="shared" si="157"/>
        <v>0</v>
      </c>
    </row>
    <row r="258" spans="5:18">
      <c r="G258" s="12">
        <f t="shared" si="119"/>
        <v>0</v>
      </c>
      <c r="H258" s="12">
        <f t="shared" ref="H258:Q258" si="158">IF($E107&gt;H$66,0,IF($E107&lt;H$66-365,$D107,0))</f>
        <v>0</v>
      </c>
      <c r="I258" s="12">
        <f t="shared" si="158"/>
        <v>0</v>
      </c>
      <c r="J258" s="12">
        <f t="shared" si="158"/>
        <v>0</v>
      </c>
      <c r="K258" s="12">
        <f t="shared" si="158"/>
        <v>0</v>
      </c>
      <c r="L258" s="12">
        <f t="shared" si="158"/>
        <v>0</v>
      </c>
      <c r="M258" s="12">
        <f t="shared" si="158"/>
        <v>0</v>
      </c>
      <c r="N258" s="12">
        <f t="shared" si="158"/>
        <v>0</v>
      </c>
      <c r="O258" s="12">
        <f t="shared" si="158"/>
        <v>0</v>
      </c>
      <c r="P258" s="12">
        <f t="shared" si="158"/>
        <v>0</v>
      </c>
      <c r="Q258" s="12">
        <f t="shared" si="158"/>
        <v>0</v>
      </c>
    </row>
    <row r="259" spans="5:18">
      <c r="G259" s="12">
        <f t="shared" si="119"/>
        <v>0</v>
      </c>
      <c r="H259" s="12">
        <f t="shared" ref="H259:Q259" si="159">IF($E108&gt;H$66,0,IF($E108&lt;H$66-365,$D108,0))</f>
        <v>0</v>
      </c>
      <c r="I259" s="12">
        <f t="shared" si="159"/>
        <v>0</v>
      </c>
      <c r="J259" s="12">
        <f t="shared" si="159"/>
        <v>0</v>
      </c>
      <c r="K259" s="12">
        <f t="shared" si="159"/>
        <v>0</v>
      </c>
      <c r="L259" s="12">
        <f t="shared" si="159"/>
        <v>0</v>
      </c>
      <c r="M259" s="12">
        <f t="shared" si="159"/>
        <v>0</v>
      </c>
      <c r="N259" s="12">
        <f t="shared" si="159"/>
        <v>0</v>
      </c>
      <c r="O259" s="12">
        <f t="shared" si="159"/>
        <v>0</v>
      </c>
      <c r="P259" s="12">
        <f t="shared" si="159"/>
        <v>0</v>
      </c>
      <c r="Q259" s="12">
        <f t="shared" si="159"/>
        <v>0</v>
      </c>
    </row>
    <row r="260" spans="5:18">
      <c r="G260" s="12">
        <f t="shared" si="119"/>
        <v>0</v>
      </c>
      <c r="H260" s="12">
        <f t="shared" ref="H260:Q260" si="160">IF($E109&gt;H$66,0,IF($E109&lt;H$66-365,$D109,0))</f>
        <v>0</v>
      </c>
      <c r="I260" s="12">
        <f t="shared" si="160"/>
        <v>0</v>
      </c>
      <c r="J260" s="12">
        <f t="shared" si="160"/>
        <v>0</v>
      </c>
      <c r="K260" s="12">
        <f t="shared" si="160"/>
        <v>0</v>
      </c>
      <c r="L260" s="12">
        <f t="shared" si="160"/>
        <v>0</v>
      </c>
      <c r="M260" s="12">
        <f t="shared" si="160"/>
        <v>0</v>
      </c>
      <c r="N260" s="12">
        <f t="shared" si="160"/>
        <v>0</v>
      </c>
      <c r="O260" s="12">
        <f t="shared" si="160"/>
        <v>0</v>
      </c>
      <c r="P260" s="12">
        <f t="shared" si="160"/>
        <v>0</v>
      </c>
      <c r="Q260" s="12">
        <f t="shared" si="160"/>
        <v>0</v>
      </c>
    </row>
    <row r="261" spans="5:18">
      <c r="G261" s="12">
        <f t="shared" si="119"/>
        <v>0</v>
      </c>
      <c r="H261" s="12">
        <f t="shared" ref="H261:Q261" si="161">IF($E110&gt;H$66,0,IF($E110&lt;H$66-365,$D110,0))</f>
        <v>0</v>
      </c>
      <c r="I261" s="12">
        <f t="shared" si="161"/>
        <v>0</v>
      </c>
      <c r="J261" s="12">
        <f t="shared" si="161"/>
        <v>0</v>
      </c>
      <c r="K261" s="12">
        <f t="shared" si="161"/>
        <v>0</v>
      </c>
      <c r="L261" s="12">
        <f t="shared" si="161"/>
        <v>0</v>
      </c>
      <c r="M261" s="12">
        <f t="shared" si="161"/>
        <v>0</v>
      </c>
      <c r="N261" s="12">
        <f t="shared" si="161"/>
        <v>0</v>
      </c>
      <c r="O261" s="12">
        <f t="shared" si="161"/>
        <v>0</v>
      </c>
      <c r="P261" s="12">
        <f t="shared" si="161"/>
        <v>0</v>
      </c>
      <c r="Q261" s="12">
        <f t="shared" si="161"/>
        <v>0</v>
      </c>
    </row>
    <row r="262" spans="5:18">
      <c r="G262" s="12">
        <f t="shared" si="119"/>
        <v>0</v>
      </c>
      <c r="H262" s="12">
        <f t="shared" ref="H262:Q262" si="162">IF($E111&gt;H$66,0,IF($E111&lt;H$66-365,$D111,0))</f>
        <v>0</v>
      </c>
      <c r="I262" s="12">
        <f t="shared" si="162"/>
        <v>0</v>
      </c>
      <c r="J262" s="12">
        <f t="shared" si="162"/>
        <v>0</v>
      </c>
      <c r="K262" s="12">
        <f t="shared" si="162"/>
        <v>0</v>
      </c>
      <c r="L262" s="12">
        <f t="shared" si="162"/>
        <v>0</v>
      </c>
      <c r="M262" s="12">
        <f t="shared" si="162"/>
        <v>0</v>
      </c>
      <c r="N262" s="12">
        <f t="shared" si="162"/>
        <v>0</v>
      </c>
      <c r="O262" s="12">
        <f t="shared" si="162"/>
        <v>0</v>
      </c>
      <c r="P262" s="12">
        <f t="shared" si="162"/>
        <v>0</v>
      </c>
      <c r="Q262" s="12">
        <f t="shared" si="162"/>
        <v>0</v>
      </c>
    </row>
    <row r="263" spans="5:18">
      <c r="G263" s="12">
        <f t="shared" si="119"/>
        <v>0</v>
      </c>
      <c r="H263" s="12">
        <f t="shared" ref="H263:Q263" si="163">IF($E112&gt;H$66,0,IF($E112&lt;H$66-365,$D112,0))</f>
        <v>0</v>
      </c>
      <c r="I263" s="12">
        <f t="shared" si="163"/>
        <v>0</v>
      </c>
      <c r="J263" s="12">
        <f t="shared" si="163"/>
        <v>0</v>
      </c>
      <c r="K263" s="12">
        <f t="shared" si="163"/>
        <v>0</v>
      </c>
      <c r="L263" s="12">
        <f t="shared" si="163"/>
        <v>0</v>
      </c>
      <c r="M263" s="12">
        <f t="shared" si="163"/>
        <v>0</v>
      </c>
      <c r="N263" s="12">
        <f t="shared" si="163"/>
        <v>0</v>
      </c>
      <c r="O263" s="12">
        <f t="shared" si="163"/>
        <v>0</v>
      </c>
      <c r="P263" s="12">
        <f t="shared" si="163"/>
        <v>0</v>
      </c>
      <c r="Q263" s="12">
        <f t="shared" si="163"/>
        <v>0</v>
      </c>
    </row>
    <row r="264" spans="5:18">
      <c r="G264" s="12">
        <f t="shared" si="119"/>
        <v>0</v>
      </c>
      <c r="H264" s="12">
        <f t="shared" ref="H264:Q264" si="164">IF($E113&gt;H$66,0,IF($E113&lt;H$66-365,$D113,0))</f>
        <v>0</v>
      </c>
      <c r="I264" s="12">
        <f t="shared" si="164"/>
        <v>0</v>
      </c>
      <c r="J264" s="12">
        <f t="shared" si="164"/>
        <v>0</v>
      </c>
      <c r="K264" s="12">
        <f t="shared" si="164"/>
        <v>0</v>
      </c>
      <c r="L264" s="12">
        <f t="shared" si="164"/>
        <v>0</v>
      </c>
      <c r="M264" s="12">
        <f t="shared" si="164"/>
        <v>0</v>
      </c>
      <c r="N264" s="12">
        <f t="shared" si="164"/>
        <v>0</v>
      </c>
      <c r="O264" s="12">
        <f t="shared" si="164"/>
        <v>0</v>
      </c>
      <c r="P264" s="12">
        <f t="shared" si="164"/>
        <v>0</v>
      </c>
      <c r="Q264" s="12">
        <f t="shared" si="164"/>
        <v>0</v>
      </c>
    </row>
    <row r="265" spans="5:18">
      <c r="G265" s="12">
        <f t="shared" si="119"/>
        <v>0</v>
      </c>
      <c r="H265" s="12">
        <f t="shared" ref="H265:Q265" si="165">IF($E114&gt;H$66,0,IF($E114&lt;H$66-365,$D114,0))</f>
        <v>0</v>
      </c>
      <c r="I265" s="12">
        <f t="shared" si="165"/>
        <v>0</v>
      </c>
      <c r="J265" s="12">
        <f t="shared" si="165"/>
        <v>0</v>
      </c>
      <c r="K265" s="12">
        <f t="shared" si="165"/>
        <v>0</v>
      </c>
      <c r="L265" s="12">
        <f t="shared" si="165"/>
        <v>0</v>
      </c>
      <c r="M265" s="12">
        <f t="shared" si="165"/>
        <v>0</v>
      </c>
      <c r="N265" s="12">
        <f t="shared" si="165"/>
        <v>0</v>
      </c>
      <c r="O265" s="12">
        <f t="shared" si="165"/>
        <v>0</v>
      </c>
      <c r="P265" s="12">
        <f t="shared" si="165"/>
        <v>0</v>
      </c>
      <c r="Q265" s="12">
        <f t="shared" si="165"/>
        <v>0</v>
      </c>
    </row>
    <row r="267" spans="5:18">
      <c r="F267" s="187" t="s">
        <v>493</v>
      </c>
      <c r="G267" s="187">
        <f>SUM(G220:G265)</f>
        <v>-208.74821087908612</v>
      </c>
      <c r="H267" s="187">
        <f t="shared" ref="H267:Q267" si="166">SUM(H220:H265)</f>
        <v>-208.74821087908612</v>
      </c>
      <c r="I267" s="187">
        <f t="shared" si="166"/>
        <v>-208.74821087908612</v>
      </c>
      <c r="J267" s="187">
        <f t="shared" si="166"/>
        <v>-208.74821087908612</v>
      </c>
      <c r="K267" s="187">
        <f t="shared" si="166"/>
        <v>-730.754730396593</v>
      </c>
      <c r="L267" s="187">
        <f t="shared" si="166"/>
        <v>-974.31697514215864</v>
      </c>
      <c r="M267" s="187">
        <f t="shared" si="166"/>
        <v>-4921.3169751421583</v>
      </c>
      <c r="N267" s="187">
        <f t="shared" si="166"/>
        <v>-4921.3169751421583</v>
      </c>
      <c r="O267" s="187">
        <f t="shared" si="166"/>
        <v>-4921.3169751421583</v>
      </c>
      <c r="P267" s="187">
        <f t="shared" si="166"/>
        <v>-4921.3169751421583</v>
      </c>
      <c r="Q267" s="187">
        <f t="shared" si="166"/>
        <v>-4921.3169751421583</v>
      </c>
    </row>
    <row r="271" spans="5:18">
      <c r="F271" s="207" t="s">
        <v>486</v>
      </c>
      <c r="G271" s="206">
        <f>G66</f>
        <v>45473</v>
      </c>
      <c r="H271" s="206">
        <f t="shared" ref="H271:Q271" si="167">H66</f>
        <v>45838</v>
      </c>
      <c r="I271" s="206">
        <f t="shared" si="167"/>
        <v>46203</v>
      </c>
      <c r="J271" s="206">
        <f t="shared" si="167"/>
        <v>46568</v>
      </c>
      <c r="K271" s="206">
        <f t="shared" si="167"/>
        <v>46934</v>
      </c>
      <c r="L271" s="206">
        <f t="shared" si="167"/>
        <v>47299</v>
      </c>
      <c r="M271" s="206">
        <f t="shared" si="167"/>
        <v>47664</v>
      </c>
      <c r="N271" s="206">
        <f t="shared" si="167"/>
        <v>48029</v>
      </c>
      <c r="O271" s="206">
        <f t="shared" si="167"/>
        <v>48395</v>
      </c>
      <c r="P271" s="206">
        <f t="shared" si="167"/>
        <v>48760</v>
      </c>
      <c r="Q271" s="206">
        <f t="shared" si="167"/>
        <v>49125</v>
      </c>
      <c r="R271" s="206">
        <f t="shared" ref="R271" si="168">Q271+365</f>
        <v>49490</v>
      </c>
    </row>
    <row r="272" spans="5:18">
      <c r="E272" s="12" t="s">
        <v>399</v>
      </c>
      <c r="F272" s="348">
        <f t="shared" ref="F272:P272" si="169">Z216</f>
        <v>5.7139636967611818</v>
      </c>
      <c r="G272" s="348">
        <f t="shared" si="169"/>
        <v>5.7617711039606681</v>
      </c>
      <c r="H272" s="348">
        <f t="shared" si="169"/>
        <v>5.7937039159584529</v>
      </c>
      <c r="I272" s="348">
        <f t="shared" si="169"/>
        <v>5.8427640888844419</v>
      </c>
      <c r="J272" s="348">
        <f t="shared" si="169"/>
        <v>5.8534472086170686</v>
      </c>
      <c r="K272" s="348">
        <f t="shared" si="169"/>
        <v>5.9377135394345757</v>
      </c>
      <c r="L272" s="348">
        <f t="shared" si="169"/>
        <v>5.9859989346342308</v>
      </c>
      <c r="M272" s="348">
        <f t="shared" si="169"/>
        <v>6.0022160697127509</v>
      </c>
      <c r="N272" s="348">
        <f t="shared" si="169"/>
        <v>6.0022160697127509</v>
      </c>
      <c r="O272" s="348">
        <f t="shared" si="169"/>
        <v>6.0022160697127509</v>
      </c>
      <c r="P272" s="348">
        <f t="shared" si="169"/>
        <v>6.0022160697127509</v>
      </c>
      <c r="Q272" s="348">
        <f>AK216</f>
        <v>6.0022160697127509</v>
      </c>
    </row>
  </sheetData>
  <sheetProtection formatCells="0" formatColumns="0" formatRows="0" selectLockedCells="1"/>
  <customSheetViews>
    <customSheetView guid="{0FAFE012-8D9E-4ED0-86A4-A997E430971B}" scale="55" showGridLines="0" fitToPage="1" hiddenRows="1" topLeftCell="C1">
      <selection activeCell="Z40" sqref="Z40"/>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23" priority="1" operator="lessThan">
      <formula>0</formula>
    </cfRule>
  </conditionalFormatting>
  <conditionalFormatting sqref="F46:Q47">
    <cfRule type="cellIs" dxfId="22" priority="3" operator="lessThan">
      <formula>0</formula>
    </cfRule>
  </conditionalFormatting>
  <conditionalFormatting sqref="F50:Q50">
    <cfRule type="cellIs" dxfId="21" priority="2" operator="lessThan">
      <formula>0</formula>
    </cfRule>
  </conditionalFormatting>
  <dataValidations disablePrompts="1" count="3">
    <dataValidation type="list" allowBlank="1" showInputMessage="1" showErrorMessage="1" sqref="O114:Q114" xr:uid="{7548C2F7-7B3B-4978-AAEA-EE92DAD5112F}">
      <formula1>$BS$156:$BS$159</formula1>
    </dataValidation>
    <dataValidation type="list" allowBlank="1" showInputMessage="1" showErrorMessage="1" sqref="E114" xr:uid="{E1648543-0D35-4586-8B4B-94E018234787}">
      <formula1>$BQ$155:$BQ$169</formula1>
    </dataValidation>
    <dataValidation type="list" allowBlank="1" showInputMessage="1" showErrorMessage="1" sqref="F141:G141" xr:uid="{545C63EE-11EC-4EFB-99EA-2091135EF878}">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ignoredErrors>
    <ignoredError sqref="F56:Q56 E56 F58:Q59 G57:Q57" unlockedFormula="1"/>
    <ignoredError sqref="F57" formulaRange="1" unlockedFormula="1"/>
  </ignoredErrors>
  <drawing r:id="rId3"/>
  <legacyDrawing r:id="rId4"/>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D662D-94DF-4860-A984-116095E9155A}">
  <sheetPr codeName="Sheet39">
    <tabColor theme="5"/>
    <pageSetUpPr fitToPage="1"/>
  </sheetPr>
  <dimension ref="A1:CJ272"/>
  <sheetViews>
    <sheetView showGridLines="0" topLeftCell="A32" zoomScale="55" zoomScaleNormal="55" workbookViewId="0">
      <selection activeCell="G32" sqref="G32"/>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2.72656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67</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NSW3</v>
      </c>
      <c r="B6" s="368" t="s">
        <v>309</v>
      </c>
      <c r="C6" s="484" t="s">
        <v>41</v>
      </c>
      <c r="D6" s="485">
        <f>(VLOOKUP($A$2,Assumptions!$B$41:$C$63,2,0))/1000</f>
        <v>0.23334542691636834</v>
      </c>
      <c r="E6" s="367" t="s">
        <v>311</v>
      </c>
      <c r="F6" s="517">
        <f>VLOOKUP($A$2,'Footprint Summary'!$B$4:$R$26,COLUMNS('Footprint Summary'!$B$4:F$26)+1,0)</f>
        <v>981.13499999999999</v>
      </c>
      <c r="G6" s="517">
        <f>VLOOKUP($A$2,'Footprint Summary'!$B$4:$R$26,COLUMNS('Footprint Summary'!$B$4:G$26)+1,0)</f>
        <v>981.13499999999999</v>
      </c>
      <c r="H6" s="517">
        <f>VLOOKUP($A$2,'Footprint Summary'!$B$4:$R$26,COLUMNS('Footprint Summary'!$B$4:H$26)+1,0)</f>
        <v>981.13499999999999</v>
      </c>
      <c r="I6" s="517">
        <f>VLOOKUP($A$2,'Footprint Summary'!$B$4:$R$26,COLUMNS('Footprint Summary'!$B$4:I$26)+1,0)</f>
        <v>981.13499999999999</v>
      </c>
      <c r="J6" s="517">
        <f>VLOOKUP($A$2,'Footprint Summary'!$B$4:$R$26,COLUMNS('Footprint Summary'!$B$4:J$26)+1,0)</f>
        <v>562.84799999999996</v>
      </c>
      <c r="K6" s="517">
        <f>VLOOKUP($A$2,'Footprint Summary'!$B$4:$R$26,COLUMNS('Footprint Summary'!$B$4:K$26)+1,0)</f>
        <v>562.84799999999996</v>
      </c>
      <c r="L6" s="517">
        <f>VLOOKUP($A$2,'Footprint Summary'!$B$4:$R$26,COLUMNS('Footprint Summary'!$B$4:L$26)+1,0)</f>
        <v>562.84799999999996</v>
      </c>
      <c r="M6" s="517">
        <f>VLOOKUP($A$2,'Footprint Summary'!$B$4:$R$26,COLUMNS('Footprint Summary'!$B$4:M$26)+1,0)</f>
        <v>562.84799999999996</v>
      </c>
      <c r="N6" s="517">
        <f>VLOOKUP($A$2,'Footprint Summary'!$B$4:$R$26,COLUMNS('Footprint Summary'!$B$4:N$26)+1,0)</f>
        <v>562.84799999999996</v>
      </c>
      <c r="O6" s="517">
        <f>VLOOKUP($A$2,'Footprint Summary'!$B$4:$R$26,COLUMNS('Footprint Summary'!$B$4:O$26)+1,0)</f>
        <v>478.20999999999992</v>
      </c>
      <c r="P6" s="517">
        <f>VLOOKUP($A$2,'Footprint Summary'!$B$4:$R$26,COLUMNS('Footprint Summary'!$B$4:P$26)+1,0)</f>
        <v>478.20999999999992</v>
      </c>
      <c r="Q6" s="429">
        <f>(P6-F6)/F6</f>
        <v>-0.51259510668766284</v>
      </c>
      <c r="R6" s="366"/>
      <c r="S6" s="357"/>
      <c r="T6" s="8"/>
      <c r="U6" s="8"/>
    </row>
    <row r="7" spans="1:21" s="7" customFormat="1" ht="17.25" customHeight="1">
      <c r="A7" s="368" t="str">
        <f>VLOOKUP($A$2,'Asset Attributes'!$B$3:$D$25,2,0)</f>
        <v>NSW3</v>
      </c>
      <c r="B7" s="368" t="s">
        <v>312</v>
      </c>
      <c r="E7" s="367" t="s">
        <v>311</v>
      </c>
      <c r="F7" s="518">
        <f>F6-$F$6</f>
        <v>0</v>
      </c>
      <c r="G7" s="518">
        <f t="shared" ref="G7:P7" si="1">G6-$F$6</f>
        <v>0</v>
      </c>
      <c r="H7" s="518">
        <f t="shared" si="1"/>
        <v>0</v>
      </c>
      <c r="I7" s="518">
        <f t="shared" si="1"/>
        <v>0</v>
      </c>
      <c r="J7" s="518">
        <f t="shared" si="1"/>
        <v>-418.28700000000003</v>
      </c>
      <c r="K7" s="518">
        <f t="shared" si="1"/>
        <v>-418.28700000000003</v>
      </c>
      <c r="L7" s="518">
        <f t="shared" si="1"/>
        <v>-418.28700000000003</v>
      </c>
      <c r="M7" s="518">
        <f t="shared" si="1"/>
        <v>-418.28700000000003</v>
      </c>
      <c r="N7" s="518">
        <f t="shared" si="1"/>
        <v>-418.28700000000003</v>
      </c>
      <c r="O7" s="518">
        <f t="shared" si="1"/>
        <v>-502.92500000000007</v>
      </c>
      <c r="P7" s="518">
        <f t="shared" si="1"/>
        <v>-502.92500000000007</v>
      </c>
      <c r="Q7" s="490">
        <f>SUM(F7:P7)</f>
        <v>-3097.2850000000008</v>
      </c>
      <c r="R7" s="366"/>
      <c r="S7" s="357"/>
      <c r="T7" s="8"/>
      <c r="U7" s="8"/>
    </row>
    <row r="8" spans="1:21" s="7" customFormat="1" ht="17.25" customHeight="1">
      <c r="A8" s="419" t="s">
        <v>284</v>
      </c>
      <c r="B8" s="368" t="s">
        <v>313</v>
      </c>
      <c r="C8" s="2"/>
      <c r="D8" s="486">
        <f>(VLOOKUP($A$2,Assumptions!$B$69:$C$91,2,0))</f>
        <v>28.66247137272434</v>
      </c>
      <c r="E8" s="422" t="s">
        <v>314</v>
      </c>
      <c r="F8" s="519">
        <f>VLOOKUP($A$2,'Footprint Summary'!$B$33:$R$55,COLUMNS('Footprint Summary'!$B$33:F$55)+1,0)</f>
        <v>2892.9479999999999</v>
      </c>
      <c r="G8" s="519">
        <f>VLOOKUP($A$2,'Footprint Summary'!$B$33:$R$55,COLUMNS('Footprint Summary'!$B$33:G$55)+1,0)</f>
        <v>2892.9479999999999</v>
      </c>
      <c r="H8" s="519">
        <f>VLOOKUP($A$2,'Footprint Summary'!$B$33:$R$55,COLUMNS('Footprint Summary'!$B$33:H$55)+1,0)</f>
        <v>2892.9479999999999</v>
      </c>
      <c r="I8" s="519">
        <f>VLOOKUP($A$2,'Footprint Summary'!$B$33:$R$55,COLUMNS('Footprint Summary'!$B$33:I$55)+1,0)</f>
        <v>2892.9479999999999</v>
      </c>
      <c r="J8" s="519">
        <f>VLOOKUP($A$2,'Footprint Summary'!$B$33:$R$55,COLUMNS('Footprint Summary'!$B$33:J$55)+1,0)</f>
        <v>2792.5219999999999</v>
      </c>
      <c r="K8" s="519">
        <f>VLOOKUP($A$2,'Footprint Summary'!$B$33:$R$55,COLUMNS('Footprint Summary'!$B$33:K$55)+1,0)</f>
        <v>2792.5219999999999</v>
      </c>
      <c r="L8" s="519">
        <f>VLOOKUP($A$2,'Footprint Summary'!$B$33:$R$55,COLUMNS('Footprint Summary'!$B$33:L$55)+1,0)</f>
        <v>2792.5219999999999</v>
      </c>
      <c r="M8" s="519">
        <f>VLOOKUP($A$2,'Footprint Summary'!$B$33:$R$55,COLUMNS('Footprint Summary'!$B$33:M$55)+1,0)</f>
        <v>2792.5219999999999</v>
      </c>
      <c r="N8" s="519">
        <f>VLOOKUP($A$2,'Footprint Summary'!$B$33:$R$55,COLUMNS('Footprint Summary'!$B$33:N$55)+1,0)</f>
        <v>2792.5219999999999</v>
      </c>
      <c r="O8" s="519">
        <f>VLOOKUP($A$2,'Footprint Summary'!$B$33:$R$55,COLUMNS('Footprint Summary'!$B$33:O$55)+1,0)</f>
        <v>1765.4829999999999</v>
      </c>
      <c r="P8" s="519">
        <f>VLOOKUP($A$2,'Footprint Summary'!$B$33:$R$55,COLUMNS('Footprint Summary'!$B$33:P$55)+1,0)</f>
        <v>1765.4829999999999</v>
      </c>
      <c r="Q8" s="429">
        <f>(P8-F8)/F8</f>
        <v>-0.38972874728477663</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-100.42599999999993</v>
      </c>
      <c r="K9" s="518">
        <f t="shared" si="2"/>
        <v>-100.42599999999993</v>
      </c>
      <c r="L9" s="518">
        <f t="shared" si="2"/>
        <v>-100.42599999999993</v>
      </c>
      <c r="M9" s="518">
        <f t="shared" si="2"/>
        <v>-100.42599999999993</v>
      </c>
      <c r="N9" s="518">
        <f t="shared" si="2"/>
        <v>-100.42599999999993</v>
      </c>
      <c r="O9" s="518">
        <f t="shared" si="2"/>
        <v>-1127.4649999999999</v>
      </c>
      <c r="P9" s="518">
        <f t="shared" si="2"/>
        <v>-1127.4649999999999</v>
      </c>
      <c r="Q9" s="490">
        <f>SUM(F9:P9)</f>
        <v>-2757.0599999999995</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NSW3</v>
      </c>
      <c r="B13" s="368" t="s">
        <v>317</v>
      </c>
      <c r="C13" s="367"/>
      <c r="D13" s="2"/>
      <c r="E13" s="367" t="s">
        <v>321</v>
      </c>
      <c r="F13" s="367">
        <f>VLOOKUP($A$2,'Footprint Summary'!$B$4:$R$26,COLUMNS('Footprint Summary'!$B$4:F$26)+1,0)*VLOOKUP($A$13,Assumptions!$A$4:$N$14,COLUMNS(Assumptions!$A$4:B$14)+1,0)</f>
        <v>775.09665000000007</v>
      </c>
      <c r="G13" s="367">
        <f>VLOOKUP($A$2,'Footprint Summary'!$B$4:$R$26,COLUMNS('Footprint Summary'!$B$4:G$26)+1,0)*VLOOKUP($A$13,Assumptions!$A$4:$N$14,COLUMNS(Assumptions!$A$4:C$14)+1,0)</f>
        <v>364.00108499999999</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149.07361043999998</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75.513339619454001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999.68360005945397</v>
      </c>
      <c r="G16" s="434">
        <f t="shared" ref="G16:P16" si="4">SUM(G13:G15)</f>
        <v>364.00108499999999</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4" s="7" customFormat="1" ht="17.25" customHeight="1" thickTop="1">
      <c r="E17" s="367" t="s">
        <v>322</v>
      </c>
      <c r="F17" s="428">
        <f>1000*F16/(VLOOKUP($A$2,'Asset Attributes'!$B$3:$D$25,3,0))</f>
        <v>77.870927039847786</v>
      </c>
      <c r="G17" s="428">
        <f>1000*G16/(VLOOKUP($A$2,'Asset Attributes'!$B$3:$D$25,3,0))</f>
        <v>28.35407315952234</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row>
    <row r="18" spans="1:24" s="7" customFormat="1" ht="28.5" customHeight="1" thickBot="1">
      <c r="A18" s="9" t="s">
        <v>323</v>
      </c>
      <c r="E18" s="367"/>
      <c r="F18" s="428"/>
      <c r="G18" s="428"/>
      <c r="H18" s="428"/>
      <c r="I18" s="428"/>
      <c r="J18" s="428"/>
      <c r="K18" s="428"/>
      <c r="L18" s="428"/>
      <c r="M18" s="428"/>
      <c r="N18" s="428"/>
      <c r="O18" s="428"/>
      <c r="P18" s="428"/>
      <c r="R18" s="366"/>
      <c r="S18" s="357"/>
      <c r="T18" s="8"/>
      <c r="U18" s="8"/>
      <c r="V18" s="8"/>
      <c r="W18" s="8"/>
      <c r="X18" s="8"/>
    </row>
    <row r="19" spans="1:24"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c r="V19" s="8"/>
      <c r="W19" s="8"/>
      <c r="X19" s="8" t="s">
        <v>710</v>
      </c>
    </row>
    <row r="20" spans="1:24"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261.01108800000003</v>
      </c>
      <c r="K20" s="499">
        <f>-1*(VLOOKUP($A$2,'Footprint Summary'!$B$244:W$266,COLUMNS('Footprint Summary'!$B$244:K$266)+1,0))</f>
        <v>228.80298900000003</v>
      </c>
      <c r="L20" s="499">
        <f>-1*(VLOOKUP($A$2,'Footprint Summary'!$B$244:X$266,COLUMNS('Footprint Summary'!$B$244:L$266)+1,0))</f>
        <v>192.41202000000001</v>
      </c>
      <c r="M20" s="499">
        <f>-1*(VLOOKUP($A$2,'Footprint Summary'!$B$244:Y$266,COLUMNS('Footprint Summary'!$B$244:M$266)+1,0))</f>
        <v>160.20392100000001</v>
      </c>
      <c r="N20" s="499">
        <f>-1*(VLOOKUP($A$2,'Footprint Summary'!$B$244:Z$266,COLUMNS('Footprint Summary'!$B$244:N$266)+1,0))</f>
        <v>135.94327500000003</v>
      </c>
      <c r="O20" s="499">
        <f>-1*(VLOOKUP($A$2,'Footprint Summary'!$B$244:AA$266,COLUMNS('Footprint Summary'!$B$244:O$266)+1,0))</f>
        <v>144.8424</v>
      </c>
      <c r="P20" s="499">
        <f>-1*(VLOOKUP($A$2,'Footprint Summary'!$B$244:AB$266,COLUMNS('Footprint Summary'!$B$244:P$266)+1,0))</f>
        <v>132.77220000000003</v>
      </c>
      <c r="Q20" s="499">
        <f>SUM(G20:P20)</f>
        <v>1255.9878930000002</v>
      </c>
      <c r="R20" s="366"/>
      <c r="S20" s="357"/>
      <c r="T20" s="8"/>
      <c r="U20" s="8"/>
      <c r="V20" s="8"/>
      <c r="W20" s="8"/>
      <c r="X20" s="8"/>
    </row>
    <row r="21" spans="1:24" s="7" customFormat="1" ht="19.5" customHeight="1">
      <c r="A21" s="368" t="str">
        <f>VLOOKUP($A$2,'Asset Attributes'!$B$3:$D$25,2,0)</f>
        <v>NSW3</v>
      </c>
      <c r="B21" s="368" t="s">
        <v>326</v>
      </c>
      <c r="E21" s="367" t="s">
        <v>321</v>
      </c>
      <c r="F21" s="499">
        <f>-1*(VLOOKUP($A$2,'Footprint Summary'!$B$302:$R$324,COLUMNS('Footprint Summary'!$B$302:F324)+1,0))</f>
        <v>0</v>
      </c>
      <c r="G21" s="499">
        <f>-1*(VLOOKUP($A$2,'Footprint Summary'!$B$302:$R$324,COLUMNS('Footprint Summary'!$B$302:G324)+1,0))</f>
        <v>364.00108499999999</v>
      </c>
      <c r="H21" s="499">
        <f>-1*(VLOOKUP($A$2,'Footprint Summary'!$B$302:$R$324,COLUMNS('Footprint Summary'!$B$302:H324)+1,0))</f>
        <v>716.22854999999993</v>
      </c>
      <c r="I21" s="499">
        <f>-1*(VLOOKUP($A$2,'Footprint Summary'!$B$302:$R$324,COLUMNS('Footprint Summary'!$B$302:I324)+1,0))</f>
        <v>649.51137000000006</v>
      </c>
      <c r="J21" s="499">
        <f>-1*(VLOOKUP($A$2,'Footprint Summary'!$B$302:$R$324,COLUMNS('Footprint Summary'!$B$302:J324)+1,0))</f>
        <v>351.217152</v>
      </c>
      <c r="K21" s="499">
        <f>-1*(VLOOKUP($A$2,'Footprint Summary'!$B$302:$R$324,COLUMNS('Footprint Summary'!$B$302:K324)+1,0))</f>
        <v>307.87785600000001</v>
      </c>
      <c r="L21" s="499">
        <f>-1*(VLOOKUP($A$2,'Footprint Summary'!$B$302:$R$324,COLUMNS('Footprint Summary'!$B$302:L324)+1,0))</f>
        <v>258.91007999999999</v>
      </c>
      <c r="M21" s="499">
        <f>-1*(VLOOKUP($A$2,'Footprint Summary'!$B$302:$R$324,COLUMNS('Footprint Summary'!$B$302:M324)+1,0))</f>
        <v>215.57078399999997</v>
      </c>
      <c r="N21" s="499">
        <f>-1*(VLOOKUP($A$2,'Footprint Summary'!$B$302:$R$324,COLUMNS('Footprint Summary'!$B$302:N324)+1,0))</f>
        <v>182.9256</v>
      </c>
      <c r="O21" s="499">
        <f>-1*(VLOOKUP($A$2,'Footprint Summary'!$B$302:$R$324,COLUMNS('Footprint Summary'!$B$302:O324)+1,0))</f>
        <v>137.72447999999997</v>
      </c>
      <c r="P21" s="499">
        <f>-1*(VLOOKUP($A$2,'Footprint Summary'!$B$302:$R$324,COLUMNS('Footprint Summary'!$B$302:P324)+1,0))</f>
        <v>126.24743999999998</v>
      </c>
      <c r="Q21" s="499">
        <f t="shared" ref="Q21:Q27" si="6">SUM(G21:P21)</f>
        <v>3310.2143970000002</v>
      </c>
      <c r="R21" s="366"/>
      <c r="S21" s="357"/>
      <c r="T21" s="8"/>
      <c r="U21" s="8"/>
      <c r="V21" s="8"/>
      <c r="W21" s="8"/>
      <c r="X21" s="8"/>
    </row>
    <row r="22" spans="1:24" s="7" customFormat="1" ht="19.5" customHeight="1">
      <c r="A22" s="368" t="s">
        <v>284</v>
      </c>
      <c r="B22" s="368" t="s">
        <v>327</v>
      </c>
      <c r="E22" s="425" t="s">
        <v>321</v>
      </c>
      <c r="F22" s="499">
        <v>0</v>
      </c>
      <c r="G22" s="499">
        <f>(VLOOKUP($A$2,'Footprint Summary'!$B$33:$R$55,COLUMNS('Footprint Summary'!$B$33:G$55)+1,0)*VLOOKUP($B$14,Assumptions!$B$17:$N$29,COLUMNS(Assumptions!$B$18:C$29)+1,0)/1000)</f>
        <v>149.07361043999998</v>
      </c>
      <c r="H22" s="499">
        <f>(VLOOKUP($A$2,'Footprint Summary'!$B$33:$R$55,COLUMNS('Footprint Summary'!$B$33:H$55)+1,0)*VLOOKUP($B$14,Assumptions!$B$17:$N$29,COLUMNS(Assumptions!$B$18:D$29)+1,0)/1000)</f>
        <v>149.07361043999998</v>
      </c>
      <c r="I22" s="499">
        <f>(VLOOKUP($A$2,'Footprint Summary'!$B$33:$R$55,COLUMNS('Footprint Summary'!$B$33:I$55)+1,0)*VLOOKUP($B$14,Assumptions!$B$17:$N$29,COLUMNS(Assumptions!$B$18:E$29)+1,0)/1000)</f>
        <v>149.07361043999998</v>
      </c>
      <c r="J22" s="499">
        <f>(VLOOKUP($A$2,'Footprint Summary'!$B$33:$R$55,COLUMNS('Footprint Summary'!$B$33:J$55)+1,0)*VLOOKUP($B$14,Assumptions!$B$17:$N$29,COLUMNS(Assumptions!$B$18:F$29)+1,0)/1000)</f>
        <v>143.89865866</v>
      </c>
      <c r="K22" s="499">
        <f>(VLOOKUP($A$2,'Footprint Summary'!$B$33:$R$55,COLUMNS('Footprint Summary'!$B$33:K$55)+1,0)*VLOOKUP($B$14,Assumptions!$B$17:$N$29,COLUMNS(Assumptions!$B$18:G$29)+1,0)/1000)</f>
        <v>143.89865866</v>
      </c>
      <c r="L22" s="499">
        <f>(VLOOKUP($A$2,'Footprint Summary'!$B$33:$R$55,COLUMNS('Footprint Summary'!$B$33:L$55)+1,0)*VLOOKUP($B$14,Assumptions!$B$17:$N$29,COLUMNS(Assumptions!$B$18:H$29)+1,0)/1000)</f>
        <v>143.89865866</v>
      </c>
      <c r="M22" s="499">
        <f>(VLOOKUP($A$2,'Footprint Summary'!$B$33:$R$55,COLUMNS('Footprint Summary'!$B$33:M$55)+1,0)*VLOOKUP($B$14,Assumptions!$B$17:$N$29,COLUMNS(Assumptions!$B$18:I$29)+1,0)/1000)</f>
        <v>143.89865866</v>
      </c>
      <c r="N22" s="499">
        <f>(VLOOKUP($A$2,'Footprint Summary'!$B$33:$R$55,COLUMNS('Footprint Summary'!$B$33:N$55)+1,0)*VLOOKUP($B$14,Assumptions!$B$17:$N$29,COLUMNS(Assumptions!$B$18:J$29)+1,0)/1000)</f>
        <v>143.89865866</v>
      </c>
      <c r="O22" s="499">
        <f>(VLOOKUP($A$2,'Footprint Summary'!$B$33:$R$55,COLUMNS('Footprint Summary'!$B$33:O$55)+1,0)*VLOOKUP($B$14,Assumptions!$B$17:$N$29,COLUMNS(Assumptions!$B$18:K$29)+1,0)/1000)</f>
        <v>90.975338989999997</v>
      </c>
      <c r="P22" s="499">
        <f>(VLOOKUP($A$2,'Footprint Summary'!$B$33:$R$55,COLUMNS('Footprint Summary'!$B$33:P$55)+1,0)*VLOOKUP($B$14,Assumptions!$B$17:$N$29,COLUMNS(Assumptions!$B$18:L$29)+1,0)/1000)</f>
        <v>90.975338989999997</v>
      </c>
      <c r="Q22" s="499">
        <f t="shared" si="6"/>
        <v>1348.6648025999998</v>
      </c>
      <c r="R22" s="366"/>
      <c r="S22" s="357"/>
      <c r="T22" s="8"/>
      <c r="U22" s="8"/>
      <c r="V22" s="8"/>
      <c r="W22" s="8"/>
      <c r="X22" s="8"/>
    </row>
    <row r="23" spans="1:24"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5.1749517799999971</v>
      </c>
      <c r="K23" s="499">
        <f>-1*(VLOOKUP($A$2,'Footprint Summary'!$B$273:W$295,COLUMNS('Footprint Summary'!$B$273:K$295)+1,0))</f>
        <v>5.1749517799999971</v>
      </c>
      <c r="L23" s="499">
        <f>-1*(VLOOKUP($A$2,'Footprint Summary'!$B$273:X$295,COLUMNS('Footprint Summary'!$B$273:L$295)+1,0))</f>
        <v>5.1749517799999971</v>
      </c>
      <c r="M23" s="499">
        <f>-1*(VLOOKUP($A$2,'Footprint Summary'!$B$273:Y$295,COLUMNS('Footprint Summary'!$B$273:M$295)+1,0))</f>
        <v>5.1749517799999971</v>
      </c>
      <c r="N23" s="499">
        <f>-1*(VLOOKUP($A$2,'Footprint Summary'!$B$273:Z$295,COLUMNS('Footprint Summary'!$B$273:N$295)+1,0))</f>
        <v>5.1749517799999971</v>
      </c>
      <c r="O23" s="499">
        <f>-1*(VLOOKUP($A$2,'Footprint Summary'!$B$273:AA$295,COLUMNS('Footprint Summary'!$B$273:O$295)+1,0))</f>
        <v>58.098271449999999</v>
      </c>
      <c r="P23" s="499">
        <f>-1*(VLOOKUP($A$2,'Footprint Summary'!$B$273:AB$295,COLUMNS('Footprint Summary'!$B$273:P$295)+1,0))</f>
        <v>58.098271449999999</v>
      </c>
      <c r="Q23" s="499">
        <f t="shared" si="6"/>
        <v>142.07130179999999</v>
      </c>
      <c r="R23" s="366"/>
      <c r="S23" s="357"/>
      <c r="T23" s="8"/>
      <c r="U23" s="8"/>
      <c r="V23" s="8"/>
      <c r="W23" s="8"/>
      <c r="X23" s="8"/>
    </row>
    <row r="24" spans="1:24" s="7" customFormat="1" ht="19.5" customHeight="1">
      <c r="A24" s="419" t="s">
        <v>319</v>
      </c>
      <c r="B24" s="419" t="s">
        <v>329</v>
      </c>
      <c r="E24" s="425" t="s">
        <v>321</v>
      </c>
      <c r="F24" s="499">
        <v>0</v>
      </c>
      <c r="G24" s="499">
        <f>VLOOKUP($A$2,'Footprint Summary'!$B$216:$R$238,COLUMNS('Footprint Summary'!$B$216:G238)+1,0)</f>
        <v>70.090973697848</v>
      </c>
      <c r="H24" s="499">
        <f>VLOOKUP($A$2,'Footprint Summary'!$B$216:$R$238,COLUMNS('Footprint Summary'!$B$216:H238)+1,0)</f>
        <v>64.668607776241998</v>
      </c>
      <c r="I24" s="499">
        <f>VLOOKUP($A$2,'Footprint Summary'!$B$216:$R$238,COLUMNS('Footprint Summary'!$B$216:I238)+1,0)</f>
        <v>59.246241854635997</v>
      </c>
      <c r="J24" s="499">
        <f>VLOOKUP($A$2,'Footprint Summary'!$B$216:$R$238,COLUMNS('Footprint Summary'!$B$216:J238)+1,0)</f>
        <v>53.823875933029996</v>
      </c>
      <c r="K24" s="499">
        <f>VLOOKUP($A$2,'Footprint Summary'!$B$216:$R$238,COLUMNS('Footprint Summary'!$B$216:K238)+1,0)</f>
        <v>48.401510011423994</v>
      </c>
      <c r="L24" s="499">
        <f>VLOOKUP($A$2,'Footprint Summary'!$B$216:$R$238,COLUMNS('Footprint Summary'!$B$216:L238)+1,0)</f>
        <v>42.979144089817993</v>
      </c>
      <c r="M24" s="499">
        <f>VLOOKUP($A$2,'Footprint Summary'!$B$216:$R$238,COLUMNS('Footprint Summary'!$B$216:M238)+1,0)</f>
        <v>37.556778168211991</v>
      </c>
      <c r="N24" s="499">
        <f>VLOOKUP($A$2,'Footprint Summary'!$B$216:$R$238,COLUMNS('Footprint Summary'!$B$216:N238)+1,0)</f>
        <v>32.13441224660599</v>
      </c>
      <c r="O24" s="499">
        <f>VLOOKUP($A$2,'Footprint Summary'!$B$216:$R$238,COLUMNS('Footprint Summary'!$B$216:O238)+1,0)</f>
        <v>26.712046324999989</v>
      </c>
      <c r="P24" s="499">
        <f>VLOOKUP($A$2,'Footprint Summary'!$B$216:$R$238,COLUMNS('Footprint Summary'!$B$216:P238)+1,0)</f>
        <v>26.712046324999999</v>
      </c>
      <c r="Q24" s="499">
        <f t="shared" si="6"/>
        <v>462.32563642781582</v>
      </c>
      <c r="R24" s="366"/>
      <c r="S24" s="357"/>
      <c r="T24" s="8"/>
      <c r="U24" s="8"/>
      <c r="V24" s="8"/>
      <c r="W24" s="8"/>
      <c r="X24" s="8"/>
    </row>
    <row r="25" spans="1:24" s="7" customFormat="1" ht="19.5" customHeight="1">
      <c r="A25" s="419" t="s">
        <v>319</v>
      </c>
      <c r="B25" s="419" t="s">
        <v>319</v>
      </c>
      <c r="E25" s="425" t="s">
        <v>321</v>
      </c>
      <c r="F25" s="499">
        <f>VLOOKUP($A$2,'Footprint Summary'!$B$216:$R$238,COLUMNS('Footprint Summary'!$B$216:F238)+1,0)-F24</f>
        <v>75.513339619454001</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c r="V25" s="8"/>
      <c r="W25" s="8"/>
      <c r="X25" s="8"/>
    </row>
    <row r="26" spans="1:24" s="7" customFormat="1" ht="19.5" customHeight="1">
      <c r="A26" s="419" t="s">
        <v>284</v>
      </c>
      <c r="B26" s="368" t="s">
        <v>285</v>
      </c>
      <c r="E26" s="425" t="s">
        <v>321</v>
      </c>
      <c r="F26" s="499">
        <f>(VLOOKUP($A$2,'Footprint Summary'!$B$33:$R$55,COLUMNS('Footprint Summary'!$B$33:F$55)+1,0)*VLOOKUP($B$14,Assumptions!$B$17:$N$29,COLUMNS(Assumptions!$B$18:B$29)+1,0)/1000)-F22</f>
        <v>149.07361043999998</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c r="V26" s="8"/>
      <c r="W26" s="8"/>
      <c r="X26" s="8"/>
    </row>
    <row r="27" spans="1:24" s="7" customFormat="1" ht="19.5" customHeight="1">
      <c r="A27" s="368" t="str">
        <f>VLOOKUP($A$2,'Asset Attributes'!$B$3:$D$25,2,0)</f>
        <v>NSW3</v>
      </c>
      <c r="B27" s="368" t="s">
        <v>330</v>
      </c>
      <c r="E27" s="425" t="s">
        <v>321</v>
      </c>
      <c r="F27" s="367">
        <f>VLOOKUP($A$2,'Footprint Summary'!$B$4:$R$26,COLUMNS('Footprint Summary'!$B$4:F$26)+1,0)*VLOOKUP($A$13,Assumptions!$A$4:$N$14,COLUMNS(Assumptions!$A$4:B$14)+1,0)</f>
        <v>775.09665000000007</v>
      </c>
      <c r="G27" s="499">
        <f>VLOOKUP($A$2,'Footprint Summary'!$B$4:$R$26,COLUMNS('Footprint Summary'!$B$4:G$26)+1,0)*VLOOKUP($A$13,Assumptions!$A$4:$N$14,COLUMNS(Assumptions!$A$4:C$14)+1,0)</f>
        <v>364.00108499999999</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364.00108499999999</v>
      </c>
      <c r="R27" s="366"/>
      <c r="S27" s="357"/>
      <c r="T27" s="8"/>
      <c r="U27" s="8"/>
      <c r="V27" s="8"/>
      <c r="W27" s="8"/>
      <c r="X27" s="8" t="s">
        <v>891</v>
      </c>
    </row>
    <row r="28" spans="1:24" s="7" customFormat="1" ht="19.5" customHeight="1" thickBot="1">
      <c r="E28" s="425" t="s">
        <v>321</v>
      </c>
      <c r="F28" s="434">
        <f>SUM(F20:F23)</f>
        <v>0</v>
      </c>
      <c r="G28" s="434">
        <f t="shared" ref="G28:P28" si="7">SUM(G20:G23)</f>
        <v>513.07469543999991</v>
      </c>
      <c r="H28" s="434">
        <f t="shared" si="7"/>
        <v>865.30216043999985</v>
      </c>
      <c r="I28" s="434">
        <f t="shared" si="7"/>
        <v>798.58498043999998</v>
      </c>
      <c r="J28" s="434">
        <f t="shared" si="7"/>
        <v>761.30185044000007</v>
      </c>
      <c r="K28" s="434">
        <f t="shared" si="7"/>
        <v>685.75445544000013</v>
      </c>
      <c r="L28" s="434">
        <f t="shared" si="7"/>
        <v>600.39571044000002</v>
      </c>
      <c r="M28" s="434">
        <f t="shared" si="7"/>
        <v>524.84831543999996</v>
      </c>
      <c r="N28" s="434">
        <f t="shared" si="7"/>
        <v>467.94248544000004</v>
      </c>
      <c r="O28" s="434">
        <f t="shared" si="7"/>
        <v>431.64049044000001</v>
      </c>
      <c r="P28" s="434">
        <f t="shared" si="7"/>
        <v>408.09325044000002</v>
      </c>
      <c r="Q28" s="434">
        <f t="shared" ref="Q28" si="8">SUM(Q20:Q24)</f>
        <v>6519.2640308278151</v>
      </c>
      <c r="R28" s="366"/>
      <c r="S28" s="357"/>
      <c r="T28" s="8"/>
      <c r="U28" s="8"/>
      <c r="V28" s="8"/>
      <c r="W28" s="8"/>
      <c r="X28" s="7" t="s">
        <v>892</v>
      </c>
    </row>
    <row r="29" spans="1:24"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c r="V29" s="8"/>
      <c r="W29" s="8"/>
      <c r="X29" s="8"/>
    </row>
    <row r="30" spans="1:24"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X30" s="8"/>
    </row>
    <row r="31" spans="1:24" s="7" customFormat="1" ht="17.25" customHeight="1" thickTop="1">
      <c r="A31" s="436" t="s">
        <v>332</v>
      </c>
      <c r="B31" s="437"/>
      <c r="C31" s="435"/>
      <c r="S31" s="357"/>
      <c r="T31" s="8"/>
      <c r="U31" s="8"/>
      <c r="V31" s="8"/>
      <c r="W31" s="8"/>
      <c r="X31" s="8"/>
    </row>
    <row r="32" spans="1:24" s="7" customFormat="1" ht="17.25" customHeight="1">
      <c r="A32" s="368" t="s">
        <v>30</v>
      </c>
      <c r="B32" s="368" t="s">
        <v>334</v>
      </c>
      <c r="F32" s="424">
        <f>VLOOKUP($A$2,'Costs Summary'!$B$154:$R$176,COLUMNS('Costs Summary'!$B$154:F$176)+1,0)</f>
        <v>219478.54</v>
      </c>
      <c r="G32" s="424">
        <f>VLOOKUP($A$2,'Costs Summary'!$B$154:$R$176,COLUMNS('Costs Summary'!$B$154:G$176)+1,0)</f>
        <v>297626.37506886834</v>
      </c>
      <c r="H32" s="424">
        <f>VLOOKUP($A$2,'Costs Summary'!$B$154:$R$176,COLUMNS('Costs Summary'!$B$154:H$176)+1,0)</f>
        <v>308043.29819627869</v>
      </c>
      <c r="I32" s="424">
        <f>VLOOKUP($A$2,'Costs Summary'!$B$154:$R$176,COLUMNS('Costs Summary'!$B$154:I$176)+1,0)</f>
        <v>318824.81363314844</v>
      </c>
      <c r="J32" s="424">
        <f>VLOOKUP($A$2,'Costs Summary'!$B$154:$R$176,COLUMNS('Costs Summary'!$B$154:J$176)+1,0)</f>
        <v>329983.68211030861</v>
      </c>
      <c r="K32" s="424">
        <f>VLOOKUP($A$2,'Costs Summary'!$B$154:$R$176,COLUMNS('Costs Summary'!$B$154:K$176)+1,0)</f>
        <v>341533.11098416935</v>
      </c>
      <c r="L32" s="424">
        <f>VLOOKUP($A$2,'Costs Summary'!$B$154:$R$176,COLUMNS('Costs Summary'!$B$154:L$176)+1,0)</f>
        <v>353486.76986861526</v>
      </c>
      <c r="M32" s="424">
        <f>VLOOKUP($A$2,'Costs Summary'!$B$154:$R$176,COLUMNS('Costs Summary'!$B$154:M$176)+1,0)</f>
        <v>365858.80681401677</v>
      </c>
      <c r="N32" s="424">
        <f>VLOOKUP($A$2,'Costs Summary'!$B$154:$R$176,COLUMNS('Costs Summary'!$B$154:N$176)+1,0)</f>
        <v>439030.56817682012</v>
      </c>
      <c r="O32" s="424">
        <f>VLOOKUP($A$2,'Costs Summary'!$B$154:$R$176,COLUMNS('Costs Summary'!$B$154:O$176)+1,0)</f>
        <v>454396.63806300878</v>
      </c>
      <c r="P32" s="424">
        <f>VLOOKUP($A$2,'Costs Summary'!$B$154:$R$176,COLUMNS('Costs Summary'!$B$154:P$176)+1,0)</f>
        <v>470300.52039521409</v>
      </c>
      <c r="Q32" s="433">
        <f>SUM(G32:P32)</f>
        <v>3679084.5833104486</v>
      </c>
      <c r="R32" s="366"/>
      <c r="S32" s="357"/>
      <c r="T32" s="8"/>
      <c r="U32" s="8"/>
      <c r="V32" s="8"/>
      <c r="W32" s="8"/>
      <c r="X32" s="8"/>
    </row>
    <row r="33" spans="1:21" s="7" customFormat="1" ht="17.25" customHeight="1">
      <c r="A33" s="368" t="s">
        <v>284</v>
      </c>
      <c r="B33" s="368" t="s">
        <v>335</v>
      </c>
      <c r="C33" s="423"/>
      <c r="D33" s="423"/>
      <c r="E33" s="423"/>
      <c r="F33" s="424">
        <f>VLOOKUP($A$2,'Costs Summary'!$B$183:$R$205,COLUMNS('Costs Summary'!$B$183:F$205)+1,0)</f>
        <v>59093.701700000005</v>
      </c>
      <c r="G33" s="424">
        <f>VLOOKUP($A$2,'Costs Summary'!$B$183:$R$205,COLUMNS('Costs Summary'!$B$183:G$205)+1,0)</f>
        <v>85406.61040976354</v>
      </c>
      <c r="H33" s="424">
        <f>VLOOKUP($A$2,'Costs Summary'!$B$183:$R$205,COLUMNS('Costs Summary'!$B$183:H$205)+1,0)</f>
        <v>87968.808722056448</v>
      </c>
      <c r="I33" s="424">
        <f>VLOOKUP($A$2,'Costs Summary'!$B$183:$R$205,COLUMNS('Costs Summary'!$B$183:I$205)+1,0)</f>
        <v>90607.872983718145</v>
      </c>
      <c r="J33" s="424">
        <f>VLOOKUP($A$2,'Costs Summary'!$B$183:$R$205,COLUMNS('Costs Summary'!$B$183:J$205)+1,0)</f>
        <v>93326.109173229692</v>
      </c>
      <c r="K33" s="424">
        <f>VLOOKUP($A$2,'Costs Summary'!$B$183:$R$205,COLUMNS('Costs Summary'!$B$183:K$205)+1,0)</f>
        <v>96125.892448426574</v>
      </c>
      <c r="L33" s="424">
        <f>VLOOKUP($A$2,'Costs Summary'!$B$183:$R$205,COLUMNS('Costs Summary'!$B$183:L$205)+1,0)</f>
        <v>99009.669221879376</v>
      </c>
      <c r="M33" s="424">
        <f>VLOOKUP($A$2,'Costs Summary'!$B$183:$R$205,COLUMNS('Costs Summary'!$B$183:M$205)+1,0)</f>
        <v>101979.95929853576</v>
      </c>
      <c r="N33" s="424">
        <f>VLOOKUP($A$2,'Costs Summary'!$B$183:$R$205,COLUMNS('Costs Summary'!$B$183:N$205)+1,0)</f>
        <v>105039.35807749182</v>
      </c>
      <c r="O33" s="424">
        <f>VLOOKUP($A$2,'Costs Summary'!$B$183:$R$205,COLUMNS('Costs Summary'!$B$183:O$205)+1,0)</f>
        <v>108190.53881981659</v>
      </c>
      <c r="P33" s="424">
        <f>VLOOKUP($A$2,'Costs Summary'!$B$183:$R$205,COLUMNS('Costs Summary'!$B$183:P$205)+1,0)</f>
        <v>111436.25498441108</v>
      </c>
      <c r="Q33" s="433">
        <f>SUM(G33:P33)</f>
        <v>979091.07413932891</v>
      </c>
      <c r="R33" s="366"/>
      <c r="S33" s="357"/>
      <c r="T33" s="8"/>
      <c r="U33" s="8"/>
    </row>
    <row r="34" spans="1:21" s="7" customFormat="1" ht="17.25" customHeight="1">
      <c r="A34" s="368" t="s">
        <v>284</v>
      </c>
      <c r="B34" s="368" t="s">
        <v>336</v>
      </c>
      <c r="G34" s="424">
        <f>VLOOKUP($A$2,'Costs Summary'!$B$241:$R$263,COLUMNS('Costs Summary'!$B$241:H263)+1,0)</f>
        <v>8944.4166263999996</v>
      </c>
      <c r="H34" s="424">
        <f>VLOOKUP($A$2,'Costs Summary'!$B$241:$R$263,COLUMNS('Costs Summary'!$B$241:H263)+1,0)</f>
        <v>8944.4166263999996</v>
      </c>
      <c r="I34" s="424">
        <f>VLOOKUP($A$2,'Costs Summary'!$B$241:$R$263,COLUMNS('Costs Summary'!$B$241:I263)+1,0)</f>
        <v>8944.4166263999996</v>
      </c>
      <c r="J34" s="424">
        <f>VLOOKUP($A$2,'Costs Summary'!$B$241:$R$263,COLUMNS('Costs Summary'!$B$241:J263)+1,0)</f>
        <v>8944.4166263999996</v>
      </c>
      <c r="K34" s="424">
        <f>VLOOKUP($A$2,'Costs Summary'!$B$241:$R$263,COLUMNS('Costs Summary'!$B$241:K263)+1,0)</f>
        <v>8944.4166263999996</v>
      </c>
      <c r="L34" s="424">
        <f>VLOOKUP($A$2,'Costs Summary'!$B$241:$R$263,COLUMNS('Costs Summary'!$B$241:L263)+1,0)</f>
        <v>8944.4166263999996</v>
      </c>
      <c r="M34" s="424">
        <f>VLOOKUP($A$2,'Costs Summary'!$B$241:$R$263,COLUMNS('Costs Summary'!$B$241:M263)+1,0)</f>
        <v>8944.4166263999996</v>
      </c>
      <c r="N34" s="424">
        <f>VLOOKUP($A$2,'Costs Summary'!$B$241:$R$263,COLUMNS('Costs Summary'!$B$241:N263)+1,0)</f>
        <v>8944.4166263999996</v>
      </c>
      <c r="O34" s="424">
        <f>VLOOKUP($A$2,'Costs Summary'!$B$241:$R$263,COLUMNS('Costs Summary'!$B$241:O263)+1,0)</f>
        <v>8944.4166263999996</v>
      </c>
      <c r="P34" s="424">
        <f>VLOOKUP($A$2,'Costs Summary'!$B$241:$R$263,COLUMNS('Costs Summary'!$B$241:P263)+1,0)</f>
        <v>8944.4166263999996</v>
      </c>
      <c r="Q34" s="433">
        <f>SUM(G34:P34)</f>
        <v>89444.166263999985</v>
      </c>
      <c r="R34" s="366"/>
      <c r="S34" s="357"/>
      <c r="T34" s="8"/>
      <c r="U34" s="8"/>
    </row>
    <row r="35" spans="1:21" s="7" customFormat="1" ht="17.25" customHeight="1">
      <c r="A35" s="419" t="s">
        <v>319</v>
      </c>
      <c r="B35" s="419" t="s">
        <v>665</v>
      </c>
      <c r="C35" s="423"/>
      <c r="D35" s="423"/>
      <c r="E35" s="423"/>
      <c r="F35" s="423"/>
      <c r="G35" s="424">
        <f>VLOOKUP($A$2,'Costs Summary'!$B$212:$R$234,COLUMNS('Costs Summary'!$B$212:H$234)+1,0)</f>
        <v>3880.11646657452</v>
      </c>
      <c r="H35" s="424">
        <f>VLOOKUP($A$2,'Costs Summary'!$B$212:$R$234,COLUMNS('Costs Summary'!$B$212:H$234)+1,0)</f>
        <v>3880.11646657452</v>
      </c>
      <c r="I35" s="424">
        <f>VLOOKUP($A$2,'Costs Summary'!$B$212:$R$234,COLUMNS('Costs Summary'!$B$212:I$234)+1,0)</f>
        <v>3554.7745112781599</v>
      </c>
      <c r="J35" s="424">
        <f>VLOOKUP($A$2,'Costs Summary'!$B$212:$R$234,COLUMNS('Costs Summary'!$B$212:J$234)+1,0)</f>
        <v>3229.4325559817999</v>
      </c>
      <c r="K35" s="424">
        <f>VLOOKUP($A$2,'Costs Summary'!$B$212:$R$234,COLUMNS('Costs Summary'!$B$212:K$234)+1,0)</f>
        <v>2904.0906006854398</v>
      </c>
      <c r="L35" s="424">
        <f>VLOOKUP($A$2,'Costs Summary'!$B$212:$R$234,COLUMNS('Costs Summary'!$B$212:L$234)+1,0)</f>
        <v>2578.7486453890797</v>
      </c>
      <c r="M35" s="424">
        <f>VLOOKUP($A$2,'Costs Summary'!$B$212:$R$234,COLUMNS('Costs Summary'!$B$212:M$234)+1,0)</f>
        <v>2253.4066900927196</v>
      </c>
      <c r="N35" s="424">
        <f>VLOOKUP($A$2,'Costs Summary'!$B$212:$R$234,COLUMNS('Costs Summary'!$B$212:N$234)+1,0)</f>
        <v>1928.0647347963595</v>
      </c>
      <c r="O35" s="424">
        <f>VLOOKUP($A$2,'Costs Summary'!$B$212:$R$234,COLUMNS('Costs Summary'!$B$212:O$234)+1,0)</f>
        <v>1602.7227794999994</v>
      </c>
      <c r="P35" s="424">
        <f>VLOOKUP($A$2,'Costs Summary'!$B$212:$R$234,COLUMNS('Costs Summary'!$B$212:P$234)+1,0)</f>
        <v>1602.7227794999999</v>
      </c>
      <c r="Q35" s="433">
        <f>SUM(G35:P35)</f>
        <v>27414.196230372596</v>
      </c>
      <c r="R35" s="366"/>
      <c r="S35" s="357"/>
      <c r="T35" s="8"/>
      <c r="U35" s="8"/>
    </row>
    <row r="36" spans="1:21" s="7" customFormat="1" ht="17.25" customHeight="1" thickBot="1">
      <c r="A36" s="437" t="s">
        <v>338</v>
      </c>
      <c r="C36" s="423"/>
      <c r="D36" s="423"/>
      <c r="E36" s="368" t="s">
        <v>669</v>
      </c>
      <c r="F36" s="461">
        <f t="shared" ref="F36:P36" si="10">SUM(F32:F35)</f>
        <v>278572.24170000001</v>
      </c>
      <c r="G36" s="461">
        <f t="shared" si="10"/>
        <v>395857.51857160643</v>
      </c>
      <c r="H36" s="461">
        <f t="shared" si="10"/>
        <v>408836.6400113097</v>
      </c>
      <c r="I36" s="461">
        <f t="shared" si="10"/>
        <v>421931.87775454478</v>
      </c>
      <c r="J36" s="461">
        <f t="shared" si="10"/>
        <v>435483.64046592015</v>
      </c>
      <c r="K36" s="461">
        <f t="shared" si="10"/>
        <v>449507.5106596814</v>
      </c>
      <c r="L36" s="461">
        <f t="shared" si="10"/>
        <v>464019.60436228378</v>
      </c>
      <c r="M36" s="461">
        <f t="shared" si="10"/>
        <v>479036.58942904527</v>
      </c>
      <c r="N36" s="461">
        <f t="shared" si="10"/>
        <v>554942.4076155083</v>
      </c>
      <c r="O36" s="461">
        <f t="shared" si="10"/>
        <v>573134.31628872524</v>
      </c>
      <c r="P36" s="461">
        <f t="shared" si="10"/>
        <v>592283.91478552506</v>
      </c>
      <c r="Q36" s="462">
        <f t="shared" ref="Q36" si="11">SUM(Q32:Q35)</f>
        <v>4775034.01994415</v>
      </c>
      <c r="R36" s="366"/>
      <c r="S36" s="357"/>
      <c r="T36" s="8"/>
      <c r="U36" s="8"/>
    </row>
    <row r="37" spans="1:21" s="7" customFormat="1" ht="17.25" customHeight="1" thickTop="1" thickBot="1">
      <c r="C37" s="423"/>
      <c r="D37" s="423"/>
      <c r="E37" s="368" t="s">
        <v>340</v>
      </c>
      <c r="F37" s="468">
        <f>F36/(VLOOKUP($A$2,'Asset Attributes'!$B$3:$D$25,3,0))</f>
        <v>21.699544443319287</v>
      </c>
      <c r="G37" s="468">
        <f>G36/(VLOOKUP($A$2,'Asset Attributes'!$B$3:$D$25,3,0))</f>
        <v>30.835548312517538</v>
      </c>
      <c r="H37" s="468">
        <f>H36/(VLOOKUP($A$2,'Asset Attributes'!$B$3:$D$25,3,0))</f>
        <v>31.846564416625228</v>
      </c>
      <c r="I37" s="468">
        <f>I36/(VLOOKUP($A$2,'Asset Attributes'!$B$3:$D$25,3,0))</f>
        <v>32.86662546675376</v>
      </c>
      <c r="J37" s="468">
        <f>J36/(VLOOKUP($A$2,'Asset Attributes'!$B$3:$D$25,3,0))</f>
        <v>33.922247790953215</v>
      </c>
      <c r="K37" s="468">
        <f>K36/(VLOOKUP($A$2,'Asset Attributes'!$B$3:$D$25,3,0))</f>
        <v>35.014645198102571</v>
      </c>
      <c r="L37" s="468">
        <f>L36/(VLOOKUP($A$2,'Asset Attributes'!$B$3:$D$25,3,0))</f>
        <v>36.145073055320168</v>
      </c>
      <c r="M37" s="468">
        <f>M36/(VLOOKUP($A$2,'Asset Attributes'!$B$3:$D$25,3,0))</f>
        <v>37.314829714749933</v>
      </c>
      <c r="N37" s="468">
        <f>N36/(VLOOKUP($A$2,'Asset Attributes'!$B$3:$D$25,3,0))</f>
        <v>43.227556931187692</v>
      </c>
      <c r="O37" s="468">
        <f>O36/(VLOOKUP($A$2,'Asset Attributes'!$B$3:$D$25,3,0))</f>
        <v>44.644626084791298</v>
      </c>
      <c r="P37" s="468">
        <f>P36/(VLOOKUP($A$2,'Asset Attributes'!$B$3:$D$25,3,0))</f>
        <v>46.136295036145498</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NSW3</v>
      </c>
      <c r="B39" s="368" t="s">
        <v>342</v>
      </c>
      <c r="C39" s="423"/>
      <c r="D39" s="423"/>
      <c r="E39" s="367"/>
      <c r="F39" s="424">
        <f>VLOOKUP($A$2,'Costs Summary'!$B$4:$R$26,COLUMNS('Costs Summary'!$B$4:F$26)+1,0)</f>
        <v>219478.54</v>
      </c>
      <c r="G39" s="424">
        <f>VLOOKUP($A$2,'Costs Summary'!$B$4:$R$26,COLUMNS('Costs Summary'!$B$4:G$26)+1,0)</f>
        <v>297626.37506886834</v>
      </c>
      <c r="H39" s="424">
        <f>VLOOKUP($A$2,'Costs Summary'!$B$4:$R$26,COLUMNS('Costs Summary'!$B$4:H$26)+1,0)</f>
        <v>308043.29819627869</v>
      </c>
      <c r="I39" s="424">
        <f>VLOOKUP($A$2,'Costs Summary'!$B$4:$R$26,COLUMNS('Costs Summary'!$B$4:I$26)+1,0)</f>
        <v>318824.81363314844</v>
      </c>
      <c r="J39" s="424">
        <f>VLOOKUP($A$2,'Costs Summary'!$B$4:$R$26,COLUMNS('Costs Summary'!$B$4:J$26)+1,0)</f>
        <v>189301.83461850099</v>
      </c>
      <c r="K39" s="424">
        <f>VLOOKUP($A$2,'Costs Summary'!$B$4:$R$26,COLUMNS('Costs Summary'!$B$4:K$26)+1,0)</f>
        <v>195927.39883014851</v>
      </c>
      <c r="L39" s="424">
        <f>VLOOKUP($A$2,'Costs Summary'!$B$4:$R$26,COLUMNS('Costs Summary'!$B$4:L$26)+1,0)</f>
        <v>202784.85778920367</v>
      </c>
      <c r="M39" s="424">
        <f>VLOOKUP($A$2,'Costs Summary'!$B$4:$R$26,COLUMNS('Costs Summary'!$B$4:M$26)+1,0)</f>
        <v>209882.32781182579</v>
      </c>
      <c r="N39" s="424">
        <f>VLOOKUP($A$2,'Costs Summary'!$B$4:$R$26,COLUMNS('Costs Summary'!$B$4:N$26)+1,0)</f>
        <v>251858.79337419095</v>
      </c>
      <c r="O39" s="424">
        <f>VLOOKUP($A$2,'Costs Summary'!$B$4:$R$26,COLUMNS('Costs Summary'!$B$4:O$26)+1,0)</f>
        <v>221475.14489658549</v>
      </c>
      <c r="P39" s="424">
        <f>VLOOKUP($A$2,'Costs Summary'!$B$4:$R$26,COLUMNS('Costs Summary'!$B$4:P$26)+1,0)</f>
        <v>229226.77496796596</v>
      </c>
      <c r="Q39" s="433">
        <f>SUM(G39:P39)</f>
        <v>2424951.6191867171</v>
      </c>
      <c r="R39" s="366"/>
      <c r="S39" s="357"/>
      <c r="T39" s="8"/>
      <c r="U39" s="8"/>
    </row>
    <row r="40" spans="1:21" s="7" customFormat="1" ht="17.25" customHeight="1">
      <c r="A40" s="368" t="s">
        <v>284</v>
      </c>
      <c r="B40" s="368" t="s">
        <v>343</v>
      </c>
      <c r="C40" s="423"/>
      <c r="D40" s="423"/>
      <c r="E40" s="423"/>
      <c r="F40" s="424">
        <f>VLOOKUP($A$2,'Costs Summary'!$B$33:$R$55,COLUMNS('Costs Summary'!$B$33:F$55)+1,0)</f>
        <v>59093.701700000005</v>
      </c>
      <c r="G40" s="424">
        <f>VLOOKUP($A$2,'Costs Summary'!$B$33:$R$55,COLUMNS('Costs Summary'!$B$33:G$55)+1,0)</f>
        <v>85406.61040976354</v>
      </c>
      <c r="H40" s="424">
        <f>VLOOKUP($A$2,'Costs Summary'!$B$33:$R$55,COLUMNS('Costs Summary'!$B$33:H$55)+1,0)</f>
        <v>87968.808722056448</v>
      </c>
      <c r="I40" s="424">
        <f>VLOOKUP($A$2,'Costs Summary'!$B$33:$R$55,COLUMNS('Costs Summary'!$B$33:I$55)+1,0)</f>
        <v>90607.872983718145</v>
      </c>
      <c r="J40" s="424">
        <f>VLOOKUP($A$2,'Costs Summary'!$B$33:$R$55,COLUMNS('Costs Summary'!$B$33:J$55)+1,0)</f>
        <v>90086.380066508529</v>
      </c>
      <c r="K40" s="424">
        <f>VLOOKUP($A$2,'Costs Summary'!$B$33:$R$55,COLUMNS('Costs Summary'!$B$33:K$55)+1,0)</f>
        <v>92788.971468503791</v>
      </c>
      <c r="L40" s="424">
        <f>VLOOKUP($A$2,'Costs Summary'!$B$33:$R$55,COLUMNS('Costs Summary'!$B$33:L$55)+1,0)</f>
        <v>95572.640612558898</v>
      </c>
      <c r="M40" s="424">
        <f>VLOOKUP($A$2,'Costs Summary'!$B$33:$R$55,COLUMNS('Costs Summary'!$B$33:M$55)+1,0)</f>
        <v>98439.819830935667</v>
      </c>
      <c r="N40" s="424">
        <f>VLOOKUP($A$2,'Costs Summary'!$B$33:$R$55,COLUMNS('Costs Summary'!$B$33:N$55)+1,0)</f>
        <v>101393.01442586373</v>
      </c>
      <c r="O40" s="424">
        <f>VLOOKUP($A$2,'Costs Summary'!$B$33:$R$55,COLUMNS('Costs Summary'!$B$33:O$55)+1,0)</f>
        <v>66025.575657504465</v>
      </c>
      <c r="P40" s="424">
        <f>VLOOKUP($A$2,'Costs Summary'!$B$33:$R$55,COLUMNS('Costs Summary'!$B$33:P$55)+1,0)</f>
        <v>68006.342927229605</v>
      </c>
      <c r="Q40" s="433">
        <f>SUM(G40:P40)</f>
        <v>876296.03710464295</v>
      </c>
      <c r="R40" s="366"/>
      <c r="S40" s="357"/>
      <c r="T40" s="8"/>
      <c r="U40" s="8"/>
    </row>
    <row r="41" spans="1:21" s="7" customFormat="1" ht="17.25" customHeight="1">
      <c r="A41" s="368" t="s">
        <v>284</v>
      </c>
      <c r="B41" s="368" t="s">
        <v>336</v>
      </c>
      <c r="H41" s="424">
        <f>VLOOKUP($A$2,'Costs Summary'!$B$125:$R$147,COLUMNS('Costs Summary'!$B$125:H$147)+1,0)</f>
        <v>8944.4166263999996</v>
      </c>
      <c r="I41" s="424">
        <f>VLOOKUP($A$2,'Costs Summary'!$B$125:$R$147,COLUMNS('Costs Summary'!$B$125:I$147)+1,0)</f>
        <v>8944.4166263999996</v>
      </c>
      <c r="J41" s="424">
        <f>VLOOKUP($A$2,'Costs Summary'!$B$125:$R$147,COLUMNS('Costs Summary'!$B$125:J$147)+1,0)</f>
        <v>8633.9195196000001</v>
      </c>
      <c r="K41" s="424">
        <f>VLOOKUP($A$2,'Costs Summary'!$B$125:$R$147,COLUMNS('Costs Summary'!$B$125:K$147)+1,0)</f>
        <v>8633.9195196000001</v>
      </c>
      <c r="L41" s="424">
        <f>VLOOKUP($A$2,'Costs Summary'!$B$125:$R$147,COLUMNS('Costs Summary'!$B$125:L$147)+1,0)</f>
        <v>8633.9195196000001</v>
      </c>
      <c r="M41" s="424">
        <f>VLOOKUP($A$2,'Costs Summary'!$B$125:$R$147,COLUMNS('Costs Summary'!$B$125:M$147)+1,0)</f>
        <v>8633.9195196000001</v>
      </c>
      <c r="N41" s="424">
        <f>VLOOKUP($A$2,'Costs Summary'!$B$125:$R$147,COLUMNS('Costs Summary'!$B$125:N$147)+1,0)</f>
        <v>8633.9195196000001</v>
      </c>
      <c r="O41" s="424">
        <f>VLOOKUP($A$2,'Costs Summary'!$B$125:$R$147,COLUMNS('Costs Summary'!$B$125:O$147)+1,0)</f>
        <v>5458.5203394</v>
      </c>
      <c r="P41" s="424">
        <f>VLOOKUP($A$2,'Costs Summary'!$B$125:$R$147,COLUMNS('Costs Summary'!$B$125:P$147)+1,0)</f>
        <v>5458.5203394</v>
      </c>
      <c r="Q41" s="433">
        <f t="shared" ref="Q41:Q42" si="12">SUM(G41:P41)</f>
        <v>71975.471529600007</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3880.11646657452</v>
      </c>
      <c r="I42" s="424">
        <f>VLOOKUP($A$2,'Costs Summary'!$B$212:$R$234,COLUMNS('Costs Summary'!$B$212:I$234)+1,0)</f>
        <v>3554.7745112781599</v>
      </c>
      <c r="J42" s="424">
        <f>VLOOKUP($A$2,'Costs Summary'!$B$212:$R$234,COLUMNS('Costs Summary'!$B$212:J$234)+1,0)</f>
        <v>3229.4325559817999</v>
      </c>
      <c r="K42" s="424">
        <f>VLOOKUP($A$2,'Costs Summary'!$B$212:$R$234,COLUMNS('Costs Summary'!$B$212:K$234)+1,0)</f>
        <v>2904.0906006854398</v>
      </c>
      <c r="L42" s="424">
        <f>VLOOKUP($A$2,'Costs Summary'!$B$212:$R$234,COLUMNS('Costs Summary'!$B$212:L$234)+1,0)</f>
        <v>2578.7486453890797</v>
      </c>
      <c r="M42" s="424">
        <f>VLOOKUP($A$2,'Costs Summary'!$B$212:$R$234,COLUMNS('Costs Summary'!$B$212:M$234)+1,0)</f>
        <v>2253.4066900927196</v>
      </c>
      <c r="N42" s="424">
        <f>VLOOKUP($A$2,'Costs Summary'!$B$212:$R$234,COLUMNS('Costs Summary'!$B$212:N$234)+1,0)</f>
        <v>1928.0647347963595</v>
      </c>
      <c r="O42" s="424">
        <f>VLOOKUP($A$2,'Costs Summary'!$B$212:$R$234,COLUMNS('Costs Summary'!$B$212:O$234)+1,0)</f>
        <v>1602.7227794999994</v>
      </c>
      <c r="P42" s="424">
        <f>VLOOKUP($A$2,'Costs Summary'!$B$212:$R$234,COLUMNS('Costs Summary'!$B$212:P$234)+1,0)</f>
        <v>1602.7227794999999</v>
      </c>
      <c r="Q42" s="433">
        <f t="shared" si="12"/>
        <v>23534.07976379808</v>
      </c>
      <c r="R42" s="366"/>
      <c r="S42" s="357"/>
      <c r="T42" s="8"/>
      <c r="U42" s="8"/>
    </row>
    <row r="43" spans="1:21" s="7" customFormat="1" ht="17.25" customHeight="1" thickBot="1">
      <c r="A43" s="437" t="s">
        <v>338</v>
      </c>
      <c r="E43" s="368" t="s">
        <v>669</v>
      </c>
      <c r="F43" s="461">
        <f t="shared" ref="F43:P43" si="13">SUM(F39:F42)</f>
        <v>278572.24170000001</v>
      </c>
      <c r="G43" s="461">
        <f t="shared" si="13"/>
        <v>383032.98547863186</v>
      </c>
      <c r="H43" s="461">
        <f t="shared" si="13"/>
        <v>408836.6400113097</v>
      </c>
      <c r="I43" s="461">
        <f t="shared" si="13"/>
        <v>421931.87775454478</v>
      </c>
      <c r="J43" s="461">
        <f t="shared" si="13"/>
        <v>291251.56676059129</v>
      </c>
      <c r="K43" s="461">
        <f t="shared" si="13"/>
        <v>300254.38041893777</v>
      </c>
      <c r="L43" s="461">
        <f t="shared" si="13"/>
        <v>309570.16656675166</v>
      </c>
      <c r="M43" s="461">
        <f t="shared" si="13"/>
        <v>319209.47385245416</v>
      </c>
      <c r="N43" s="461">
        <f t="shared" si="13"/>
        <v>363813.79205445101</v>
      </c>
      <c r="O43" s="461">
        <f t="shared" si="13"/>
        <v>294561.96367298998</v>
      </c>
      <c r="P43" s="461">
        <f t="shared" si="13"/>
        <v>304294.36101409554</v>
      </c>
      <c r="Q43" s="462">
        <f t="shared" ref="Q43" si="14">SUM(Q39:Q42)</f>
        <v>3396757.2075847583</v>
      </c>
      <c r="R43" s="366"/>
      <c r="S43" s="357"/>
      <c r="T43" s="8"/>
      <c r="U43" s="8"/>
    </row>
    <row r="44" spans="1:21" s="7" customFormat="1" ht="17.25" customHeight="1" thickTop="1" thickBot="1">
      <c r="E44" s="368" t="s">
        <v>340</v>
      </c>
      <c r="F44" s="468">
        <f>F43/(VLOOKUP($A$2,'Asset Attributes'!$B$3:$D$25,3,0))</f>
        <v>21.699544443319287</v>
      </c>
      <c r="G44" s="468">
        <f>G43/(VLOOKUP($A$2,'Asset Attributes'!$B$3:$D$25,3,0))</f>
        <v>29.836573956287484</v>
      </c>
      <c r="H44" s="468">
        <f>H43/(VLOOKUP($A$2,'Asset Attributes'!$B$3:$D$25,3,0))</f>
        <v>31.846564416625228</v>
      </c>
      <c r="I44" s="468">
        <f>I43/(VLOOKUP($A$2,'Asset Attributes'!$B$3:$D$25,3,0))</f>
        <v>32.86662546675376</v>
      </c>
      <c r="J44" s="468">
        <f>J43/(VLOOKUP($A$2,'Asset Attributes'!$B$3:$D$25,3,0))</f>
        <v>22.687207736634388</v>
      </c>
      <c r="K44" s="468">
        <f>K43/(VLOOKUP($A$2,'Asset Attributes'!$B$3:$D$25,3,0))</f>
        <v>23.388487066915239</v>
      </c>
      <c r="L44" s="468">
        <f>L43/(VLOOKUP($A$2,'Asset Attributes'!$B$3:$D$25,3,0))</f>
        <v>24.114145568657285</v>
      </c>
      <c r="M44" s="468">
        <f>M43/(VLOOKUP($A$2,'Asset Attributes'!$B$3:$D$25,3,0))</f>
        <v>24.865004934875728</v>
      </c>
      <c r="N44" s="468">
        <f>N43/(VLOOKUP($A$2,'Asset Attributes'!$B$3:$D$25,3,0))</f>
        <v>28.339483868173502</v>
      </c>
      <c r="O44" s="468">
        <f>O43/(VLOOKUP($A$2,'Asset Attributes'!$B$3:$D$25,3,0))</f>
        <v>22.945073001627236</v>
      </c>
      <c r="P44" s="468">
        <f>P43/(VLOOKUP($A$2,'Asset Attributes'!$B$3:$D$25,3,0))</f>
        <v>23.703183671070015</v>
      </c>
      <c r="Q44" s="460">
        <f>Q43/(VLOOKUP($A$2,'Asset Attributes'!$B$3:$D$25,3,0))</f>
        <v>264.5923496876199</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-12824.533092974569</v>
      </c>
      <c r="H46" s="461">
        <f t="shared" si="15"/>
        <v>0</v>
      </c>
      <c r="I46" s="461">
        <f t="shared" si="15"/>
        <v>0</v>
      </c>
      <c r="J46" s="461">
        <f t="shared" si="15"/>
        <v>-144232.07370532886</v>
      </c>
      <c r="K46" s="461">
        <f t="shared" si="15"/>
        <v>-149253.13024074363</v>
      </c>
      <c r="L46" s="461">
        <f t="shared" si="15"/>
        <v>-154449.43779553211</v>
      </c>
      <c r="M46" s="461">
        <f t="shared" si="15"/>
        <v>-159827.11557659111</v>
      </c>
      <c r="N46" s="461">
        <f t="shared" si="15"/>
        <v>-191128.61556105729</v>
      </c>
      <c r="O46" s="461">
        <f t="shared" si="15"/>
        <v>-278572.35261573526</v>
      </c>
      <c r="P46" s="461">
        <f t="shared" si="15"/>
        <v>-287989.55377142952</v>
      </c>
      <c r="Q46" s="462">
        <f>SUM(F46:P46)</f>
        <v>-1378276.8123593924</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-0.99897435623005426</v>
      </c>
      <c r="H47" s="468">
        <f>H46/(VLOOKUP($A$2,'Asset Attributes'!$B$3:$D$25,3,0))</f>
        <v>0</v>
      </c>
      <c r="I47" s="468">
        <f>I46/(VLOOKUP($A$2,'Asset Attributes'!$B$3:$D$25,3,0))</f>
        <v>0</v>
      </c>
      <c r="J47" s="468">
        <f>J46/(VLOOKUP($A$2,'Asset Attributes'!$B$3:$D$25,3,0))</f>
        <v>-11.23504005431883</v>
      </c>
      <c r="K47" s="468">
        <f>K46/(VLOOKUP($A$2,'Asset Attributes'!$B$3:$D$25,3,0))</f>
        <v>-11.626158131187333</v>
      </c>
      <c r="L47" s="468">
        <f>L46/(VLOOKUP($A$2,'Asset Attributes'!$B$3:$D$25,3,0))</f>
        <v>-12.030927486662884</v>
      </c>
      <c r="M47" s="468">
        <f>M46/(VLOOKUP($A$2,'Asset Attributes'!$B$3:$D$25,3,0))</f>
        <v>-12.449824779874206</v>
      </c>
      <c r="N47" s="468">
        <f>N46/(VLOOKUP($A$2,'Asset Attributes'!$B$3:$D$25,3,0))</f>
        <v>-14.888073063014192</v>
      </c>
      <c r="O47" s="468">
        <f>O46/(VLOOKUP($A$2,'Asset Attributes'!$B$3:$D$25,3,0))</f>
        <v>-21.699553083164059</v>
      </c>
      <c r="P47" s="468">
        <f>P46/(VLOOKUP($A$2,'Asset Attributes'!$B$3:$D$25,3,0))</f>
        <v>-22.433111365075479</v>
      </c>
      <c r="Q47" s="460">
        <f>Q46/(VLOOKUP($A$2,'Asset Attributes'!$B$3:$D$25,3,0))</f>
        <v>-107.36166231952704</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0</v>
      </c>
      <c r="H49" s="464">
        <f t="shared" si="16"/>
        <v>983750</v>
      </c>
      <c r="I49" s="464">
        <f t="shared" si="16"/>
        <v>0</v>
      </c>
      <c r="J49" s="464">
        <f t="shared" si="16"/>
        <v>0</v>
      </c>
      <c r="K49" s="464">
        <f t="shared" si="16"/>
        <v>0</v>
      </c>
      <c r="L49" s="464">
        <f t="shared" si="16"/>
        <v>0</v>
      </c>
      <c r="M49" s="464">
        <f t="shared" si="16"/>
        <v>1166625</v>
      </c>
      <c r="N49" s="464">
        <f t="shared" si="16"/>
        <v>0</v>
      </c>
      <c r="O49" s="464">
        <f t="shared" si="16"/>
        <v>0</v>
      </c>
      <c r="P49" s="464">
        <f t="shared" si="16"/>
        <v>0</v>
      </c>
      <c r="Q49" s="465">
        <f>+SUM(F49:P49)</f>
        <v>2150375</v>
      </c>
      <c r="R49" s="366"/>
      <c r="S49" s="357"/>
      <c r="T49" s="8"/>
      <c r="U49" s="8"/>
      <c r="V49" s="8"/>
      <c r="W49" s="8"/>
      <c r="X49" s="8"/>
    </row>
    <row r="50" spans="1:24" s="7" customFormat="1" ht="17.25" customHeight="1">
      <c r="A50" s="9"/>
      <c r="B50" s="368"/>
      <c r="C50" s="2"/>
      <c r="D50" s="2"/>
      <c r="E50" s="459" t="s">
        <v>348</v>
      </c>
      <c r="F50" s="466">
        <f>F46</f>
        <v>0</v>
      </c>
      <c r="G50" s="466">
        <f t="shared" ref="G50:P50" si="17">G46</f>
        <v>-12824.533092974569</v>
      </c>
      <c r="H50" s="466">
        <f t="shared" si="17"/>
        <v>0</v>
      </c>
      <c r="I50" s="466">
        <f t="shared" si="17"/>
        <v>0</v>
      </c>
      <c r="J50" s="466">
        <f t="shared" si="17"/>
        <v>-144232.07370532886</v>
      </c>
      <c r="K50" s="466">
        <f t="shared" si="17"/>
        <v>-149253.13024074363</v>
      </c>
      <c r="L50" s="466">
        <f t="shared" si="17"/>
        <v>-154449.43779553211</v>
      </c>
      <c r="M50" s="466">
        <f t="shared" si="17"/>
        <v>-159827.11557659111</v>
      </c>
      <c r="N50" s="466">
        <f t="shared" si="17"/>
        <v>-191128.61556105729</v>
      </c>
      <c r="O50" s="466">
        <f t="shared" si="17"/>
        <v>-278572.35261573526</v>
      </c>
      <c r="P50" s="466">
        <f t="shared" si="17"/>
        <v>-287989.55377142952</v>
      </c>
      <c r="Q50" s="467">
        <f>Q46</f>
        <v>-1378276.8123593924</v>
      </c>
      <c r="R50" s="366"/>
      <c r="S50" s="357"/>
      <c r="T50" s="8"/>
      <c r="U50" s="8"/>
      <c r="V50" s="8"/>
      <c r="W50" s="8"/>
      <c r="X50" s="8"/>
    </row>
    <row r="51" spans="1:24" s="7" customFormat="1" ht="17.25" customHeight="1">
      <c r="A51" s="9"/>
      <c r="B51" s="368"/>
      <c r="C51" s="2"/>
      <c r="D51" s="2"/>
      <c r="E51" s="459" t="s">
        <v>893</v>
      </c>
      <c r="F51" s="431">
        <f>-1*F50</f>
        <v>0</v>
      </c>
      <c r="G51" s="431">
        <f>-1*G50/(VLOOKUP($A$2,'Asset Attributes'!$B$3:$D$25,3,0))</f>
        <v>0.99897435623005426</v>
      </c>
      <c r="H51" s="431">
        <f>-1*H50/(VLOOKUP($A$2,'Asset Attributes'!$B$3:$D$25,3,0))</f>
        <v>0</v>
      </c>
      <c r="I51" s="431">
        <f>-1*I50/(VLOOKUP($A$2,'Asset Attributes'!$B$3:$D$25,3,0))</f>
        <v>0</v>
      </c>
      <c r="J51" s="431">
        <f>-1*J50/(VLOOKUP($A$2,'Asset Attributes'!$B$3:$D$25,3,0))</f>
        <v>11.23504005431883</v>
      </c>
      <c r="K51" s="431">
        <f>-1*K50/(VLOOKUP($A$2,'Asset Attributes'!$B$3:$D$25,3,0))</f>
        <v>11.626158131187333</v>
      </c>
      <c r="L51" s="431">
        <f>-1*L50/(VLOOKUP($A$2,'Asset Attributes'!$B$3:$D$25,3,0))</f>
        <v>12.030927486662884</v>
      </c>
      <c r="M51" s="431">
        <f>-1*M50/(VLOOKUP($A$2,'Asset Attributes'!$B$3:$D$25,3,0))</f>
        <v>12.449824779874206</v>
      </c>
      <c r="N51" s="431">
        <f>-1*N50/(VLOOKUP($A$2,'Asset Attributes'!$B$3:$D$25,3,0))</f>
        <v>14.888073063014192</v>
      </c>
      <c r="O51" s="431">
        <f>-1*O50/(VLOOKUP($A$2,'Asset Attributes'!$B$3:$D$25,3,0))</f>
        <v>21.699553083164059</v>
      </c>
      <c r="P51" s="431">
        <f>-1*P50/(VLOOKUP($A$2,'Asset Attributes'!$B$3:$D$25,3,0))</f>
        <v>22.433111365075479</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894</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6 O'Connell Street</v>
      </c>
      <c r="F56" s="440">
        <f t="shared" ref="F56:P56" si="19">F272</f>
        <v>4.7628832354859751</v>
      </c>
      <c r="G56" s="440">
        <f t="shared" si="19"/>
        <v>4.7628832354859751</v>
      </c>
      <c r="H56" s="440">
        <f t="shared" si="19"/>
        <v>4.7628832354859751</v>
      </c>
      <c r="I56" s="440">
        <f t="shared" si="19"/>
        <v>5.3353020390224728</v>
      </c>
      <c r="J56" s="440">
        <f t="shared" si="19"/>
        <v>5.5160533147163555</v>
      </c>
      <c r="K56" s="440">
        <f t="shared" si="19"/>
        <v>5.5160533147163555</v>
      </c>
      <c r="L56" s="440">
        <f t="shared" si="19"/>
        <v>5.5160533147163555</v>
      </c>
      <c r="M56" s="440">
        <f t="shared" si="19"/>
        <v>5.5160533147163555</v>
      </c>
      <c r="N56" s="440">
        <f t="shared" si="19"/>
        <v>5.7079394155118459</v>
      </c>
      <c r="O56" s="440">
        <f t="shared" si="19"/>
        <v>5.7716680110315162</v>
      </c>
      <c r="P56" s="440">
        <f t="shared" si="19"/>
        <v>5.7716680110315162</v>
      </c>
      <c r="Q56" s="470">
        <f>IF(E56="",0,P56-F56)</f>
        <v>1.008784775545541</v>
      </c>
      <c r="R56" s="473" t="s">
        <v>358</v>
      </c>
      <c r="S56" s="478" t="s">
        <v>18</v>
      </c>
      <c r="T56" s="473" t="s">
        <v>358</v>
      </c>
      <c r="U56" s="478" t="s">
        <v>20</v>
      </c>
      <c r="V56" s="473" t="s">
        <v>358</v>
      </c>
      <c r="W56" s="479" t="s">
        <v>173</v>
      </c>
      <c r="X56" s="14"/>
    </row>
    <row r="57" spans="1:24" ht="25.5" customHeight="1">
      <c r="A57" s="438" t="s">
        <v>6</v>
      </c>
      <c r="C57" s="275" t="s">
        <v>118</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1235375</v>
      </c>
      <c r="T57" s="473" t="s">
        <v>669</v>
      </c>
      <c r="U57" s="479">
        <f>S115</f>
        <v>875000</v>
      </c>
      <c r="V57" s="473" t="s">
        <v>361</v>
      </c>
      <c r="W57" s="478" t="s">
        <v>895</v>
      </c>
      <c r="X57" s="14"/>
    </row>
    <row r="58" spans="1:24" ht="25.5" customHeight="1">
      <c r="A58" s="438" t="s">
        <v>363</v>
      </c>
      <c r="B58" s="14"/>
      <c r="C58" s="275" t="s">
        <v>364</v>
      </c>
      <c r="D58" s="160" t="s">
        <v>676</v>
      </c>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134704.06390634688</v>
      </c>
      <c r="T58" s="473" t="s">
        <v>367</v>
      </c>
      <c r="U58" s="478">
        <f>-1*S64</f>
        <v>0.38972874728477663</v>
      </c>
      <c r="V58" s="473" t="s">
        <v>368</v>
      </c>
      <c r="W58" s="478">
        <v>0</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6.9602363363675271E-2</v>
      </c>
      <c r="T59" s="473" t="s">
        <v>371</v>
      </c>
      <c r="U59" s="483" t="s">
        <v>40</v>
      </c>
      <c r="V59" s="482" t="s">
        <v>372</v>
      </c>
      <c r="W59" s="479">
        <f>T115</f>
        <v>40000</v>
      </c>
      <c r="X59" s="14"/>
    </row>
    <row r="60" spans="1:24" ht="25.5" customHeight="1">
      <c r="A60" s="438" t="s">
        <v>373</v>
      </c>
      <c r="B60" s="14"/>
      <c r="C60" s="275">
        <v>13004</v>
      </c>
      <c r="D60" s="160"/>
      <c r="Q60" s="10"/>
      <c r="R60" s="473" t="s">
        <v>374</v>
      </c>
      <c r="S60" s="481">
        <f>Q58</f>
        <v>0.25673976464331538</v>
      </c>
      <c r="T60" s="10"/>
      <c r="U60" s="10"/>
      <c r="V60" s="473" t="s">
        <v>375</v>
      </c>
      <c r="W60" s="483" t="e">
        <f ca="1">IF(IF(W58=1,"Complete",_xlfn.MAXIFS(E69:E114,T69:T114,"Yes"))=0,"",IF(W58=1,"Complete",_xlfn.MAXIFS(E69:E114,T69:T114,"Yes")))</f>
        <v>#NAME?</v>
      </c>
      <c r="X60" s="14"/>
    </row>
    <row r="61" spans="1:24" ht="25.5" customHeight="1">
      <c r="A61" s="438" t="s">
        <v>376</v>
      </c>
      <c r="B61" s="14"/>
      <c r="C61" s="444">
        <v>50</v>
      </c>
      <c r="D61" s="162"/>
      <c r="H61" s="13"/>
      <c r="J61" s="14"/>
      <c r="K61" s="14"/>
      <c r="L61" s="14"/>
      <c r="M61" s="10"/>
      <c r="N61" s="10"/>
      <c r="O61" s="10"/>
      <c r="P61" s="10"/>
      <c r="Q61" s="10"/>
      <c r="R61" s="482" t="s">
        <v>377</v>
      </c>
      <c r="S61" s="481">
        <f>P272</f>
        <v>5.7716680110315162</v>
      </c>
      <c r="T61" s="10"/>
      <c r="U61" s="10"/>
      <c r="V61" s="473" t="s">
        <v>378</v>
      </c>
      <c r="W61" s="478">
        <v>0</v>
      </c>
      <c r="X61" s="14"/>
    </row>
    <row r="62" spans="1:24" ht="25.5" customHeight="1">
      <c r="A62" s="438" t="s">
        <v>379</v>
      </c>
      <c r="B62" s="14"/>
      <c r="C62" s="608">
        <v>981.13499999999999</v>
      </c>
      <c r="D62" s="536"/>
      <c r="E62" s="651"/>
      <c r="H62" s="13"/>
      <c r="J62" s="14"/>
      <c r="K62" s="14"/>
      <c r="L62" s="347"/>
      <c r="M62" s="10"/>
      <c r="N62" s="10"/>
      <c r="O62" s="10"/>
      <c r="P62" s="10"/>
      <c r="Q62" s="10"/>
      <c r="R62" s="482" t="s">
        <v>380</v>
      </c>
      <c r="S62" s="481">
        <f>Q272</f>
        <v>5.7716680110315162</v>
      </c>
      <c r="T62" s="10"/>
      <c r="U62" s="10"/>
      <c r="V62" s="10"/>
      <c r="W62" s="14"/>
      <c r="X62" s="14"/>
    </row>
    <row r="63" spans="1:24" ht="25.5" customHeight="1">
      <c r="A63" s="438" t="s">
        <v>382</v>
      </c>
      <c r="B63" s="14"/>
      <c r="C63" s="608">
        <v>2892.9479999999999</v>
      </c>
      <c r="E63" s="651"/>
      <c r="H63" s="13"/>
      <c r="J63" s="14"/>
      <c r="K63" s="14"/>
      <c r="L63" s="10"/>
      <c r="M63" s="10"/>
      <c r="N63" s="10"/>
      <c r="O63" s="10"/>
      <c r="P63" s="10"/>
      <c r="Q63" s="10"/>
      <c r="R63" s="476" t="s">
        <v>383</v>
      </c>
      <c r="S63" s="478">
        <f>C115/C62</f>
        <v>-0.51259510668766284</v>
      </c>
      <c r="T63" s="10"/>
      <c r="U63" s="10"/>
      <c r="V63" s="10"/>
      <c r="W63" s="14"/>
      <c r="X63" s="14"/>
    </row>
    <row r="64" spans="1:24" ht="25.5" customHeight="1">
      <c r="A64" s="446" t="s">
        <v>385</v>
      </c>
      <c r="B64" s="447"/>
      <c r="C64" s="445">
        <v>76.86</v>
      </c>
      <c r="D64" s="495">
        <f>(AJ215-C64)/C64</f>
        <v>-0.44392646947491032</v>
      </c>
      <c r="H64" s="13"/>
      <c r="J64" s="14"/>
      <c r="K64" s="14"/>
      <c r="L64" s="10"/>
      <c r="M64" s="10"/>
      <c r="N64" s="10"/>
      <c r="O64" s="10"/>
      <c r="P64" s="10"/>
      <c r="Q64" s="10"/>
      <c r="R64" s="476" t="s">
        <v>386</v>
      </c>
      <c r="S64" s="478">
        <f>D115/C63</f>
        <v>-0.38972874728477663</v>
      </c>
      <c r="T64" s="10"/>
      <c r="U64" s="14"/>
      <c r="V64" s="10"/>
      <c r="W64" s="14"/>
      <c r="X64" s="14"/>
    </row>
    <row r="65" spans="1:24" ht="25.5" customHeight="1">
      <c r="B65" s="487" t="s">
        <v>387</v>
      </c>
      <c r="C65" s="489">
        <f>Z216</f>
        <v>4.7628832354859751</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648" t="s">
        <v>697</v>
      </c>
      <c r="R67" s="200" t="s">
        <v>397</v>
      </c>
      <c r="S67" s="200" t="s">
        <v>328</v>
      </c>
      <c r="T67" s="200" t="s">
        <v>398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t="s">
        <v>896</v>
      </c>
      <c r="C69" s="375">
        <v>-18.765999999999998</v>
      </c>
      <c r="D69" s="376"/>
      <c r="E69" s="377">
        <v>45838</v>
      </c>
      <c r="F69" s="378">
        <v>7500</v>
      </c>
      <c r="G69" s="403">
        <f>IF(E69&lt;G66,F69,0)</f>
        <v>0</v>
      </c>
      <c r="H69" s="404">
        <f t="shared" ref="H69:Q84" si="21">IF($E69&gt;H$66,0,IF($E69&gt;H$66-365,$F69,0))</f>
        <v>7500</v>
      </c>
      <c r="I69" s="404">
        <f t="shared" si="21"/>
        <v>0</v>
      </c>
      <c r="J69" s="404">
        <f t="shared" si="21"/>
        <v>0</v>
      </c>
      <c r="K69" s="404">
        <f t="shared" si="21"/>
        <v>0</v>
      </c>
      <c r="L69" s="404">
        <f t="shared" si="21"/>
        <v>0</v>
      </c>
      <c r="M69" s="404">
        <f t="shared" si="21"/>
        <v>0</v>
      </c>
      <c r="N69" s="404">
        <f t="shared" si="21"/>
        <v>0</v>
      </c>
      <c r="O69" s="404">
        <f t="shared" si="21"/>
        <v>0</v>
      </c>
      <c r="P69" s="404">
        <f t="shared" si="21"/>
        <v>0</v>
      </c>
      <c r="Q69" s="649">
        <f t="shared" si="21"/>
        <v>0</v>
      </c>
      <c r="R69" s="379" t="s">
        <v>32</v>
      </c>
      <c r="S69" s="379"/>
      <c r="T69" s="380"/>
      <c r="U69" s="411" t="e">
        <f>IF(-0.75*((C69/(VLOOKUP($A$2,Assumptions!$B$124:$G$147,2,0)))+D69/(VLOOKUP($A$2,Assumptions!$B$124:$G$147,5,0)))=0,"",-0.75*((C69/(VLOOKUP($A$2,Assumptions!$B$124:$G$147,2,0)))+D69/(VLOOKUP($A$2,Assumptions!$B$124:$G$147,5,0))))</f>
        <v>#DIV/0!</v>
      </c>
      <c r="V69" s="412">
        <f t="shared" ref="V69:V88" si="22">IF(ISERROR(((-1*C69*1000*$D$6)+(-1*D69*$D$8))/F69),"",((-1*C69*1000*$D$6)+(-1*D69*$D$8))/F69)</f>
        <v>0.58386137086834244</v>
      </c>
      <c r="W69" s="450"/>
      <c r="X69" s="506"/>
    </row>
    <row r="70" spans="1:24" ht="15">
      <c r="A70" s="373"/>
      <c r="B70" s="374" t="s">
        <v>897</v>
      </c>
      <c r="C70" s="381">
        <v>-39.031999999999996</v>
      </c>
      <c r="D70" s="376"/>
      <c r="E70" s="377">
        <v>45838</v>
      </c>
      <c r="F70" s="378">
        <v>15000</v>
      </c>
      <c r="G70" s="403">
        <f t="shared" ref="G70:G84" si="23">IF($E70&lt;G$66,$F70,0)</f>
        <v>0</v>
      </c>
      <c r="H70" s="404">
        <f t="shared" si="21"/>
        <v>15000</v>
      </c>
      <c r="I70" s="404">
        <f t="shared" si="21"/>
        <v>0</v>
      </c>
      <c r="J70" s="405">
        <f t="shared" si="21"/>
        <v>0</v>
      </c>
      <c r="K70" s="405">
        <f t="shared" si="21"/>
        <v>0</v>
      </c>
      <c r="L70" s="405">
        <f t="shared" si="21"/>
        <v>0</v>
      </c>
      <c r="M70" s="405">
        <f t="shared" si="21"/>
        <v>0</v>
      </c>
      <c r="N70" s="405">
        <f t="shared" si="21"/>
        <v>0</v>
      </c>
      <c r="O70" s="405">
        <f t="shared" si="21"/>
        <v>0</v>
      </c>
      <c r="P70" s="406">
        <f t="shared" si="21"/>
        <v>0</v>
      </c>
      <c r="Q70" s="649">
        <f t="shared" si="21"/>
        <v>0</v>
      </c>
      <c r="R70" s="379" t="s">
        <v>32</v>
      </c>
      <c r="S70" s="379"/>
      <c r="T70" s="382"/>
      <c r="U70" s="413" t="e">
        <f>IF(-0.75*((C70/(VLOOKUP($A$2,Assumptions!$B$124:$G$147,2,0)))+D70/(VLOOKUP($A$2,Assumptions!$B$124:$G$147,5,0)))=0,"",-0.75*((C70/(VLOOKUP($A$2,Assumptions!$B$124:$G$147,2,0)))+D70/(VLOOKUP($A$2,Assumptions!$B$124:$G$147,5,0))))</f>
        <v>#DIV/0!</v>
      </c>
      <c r="V70" s="414">
        <f t="shared" si="22"/>
        <v>0.60719591355997926</v>
      </c>
      <c r="W70" s="451"/>
      <c r="X70" s="506"/>
    </row>
    <row r="71" spans="1:24" ht="15">
      <c r="A71" s="373"/>
      <c r="B71" s="374" t="s">
        <v>898</v>
      </c>
      <c r="C71" s="383">
        <v>-27.896000000000001</v>
      </c>
      <c r="D71" s="376">
        <v>-100.426</v>
      </c>
      <c r="E71" s="377">
        <v>45838</v>
      </c>
      <c r="F71" s="384">
        <v>15000</v>
      </c>
      <c r="G71" s="403">
        <f t="shared" si="23"/>
        <v>0</v>
      </c>
      <c r="H71" s="404">
        <f t="shared" si="21"/>
        <v>15000</v>
      </c>
      <c r="I71" s="405">
        <f t="shared" si="21"/>
        <v>0</v>
      </c>
      <c r="J71" s="405">
        <f t="shared" si="21"/>
        <v>0</v>
      </c>
      <c r="K71" s="405">
        <f t="shared" si="21"/>
        <v>0</v>
      </c>
      <c r="L71" s="405">
        <f t="shared" si="21"/>
        <v>0</v>
      </c>
      <c r="M71" s="405">
        <f t="shared" si="21"/>
        <v>0</v>
      </c>
      <c r="N71" s="405">
        <f t="shared" si="21"/>
        <v>0</v>
      </c>
      <c r="O71" s="405">
        <f t="shared" si="21"/>
        <v>0</v>
      </c>
      <c r="P71" s="406">
        <f t="shared" si="21"/>
        <v>0</v>
      </c>
      <c r="Q71" s="649">
        <f t="shared" si="21"/>
        <v>0</v>
      </c>
      <c r="R71" s="379" t="s">
        <v>32</v>
      </c>
      <c r="S71" s="379"/>
      <c r="T71" s="382"/>
      <c r="U71" s="413" t="e">
        <f>IF(-0.75*((C71/(VLOOKUP($A$2,Assumptions!$B$124:$G$147,2,0)))+D71/(VLOOKUP($A$2,Assumptions!$B$124:$G$147,5,0)))=0,"",-0.75*((C71/(VLOOKUP($A$2,Assumptions!$B$124:$G$147,2,0)))+D71/(VLOOKUP($A$2,Assumptions!$B$124:$G$147,5,0))))</f>
        <v>#DIV/0!</v>
      </c>
      <c r="V71" s="414">
        <f t="shared" si="22"/>
        <v>0.62585742528908173</v>
      </c>
      <c r="W71" s="451"/>
      <c r="X71" s="506"/>
    </row>
    <row r="72" spans="1:24" ht="15">
      <c r="A72" s="373"/>
      <c r="B72" s="374" t="s">
        <v>899</v>
      </c>
      <c r="C72" s="375">
        <v>-207.036</v>
      </c>
      <c r="D72" s="376"/>
      <c r="E72" s="377">
        <v>45838</v>
      </c>
      <c r="F72" s="378">
        <v>781250</v>
      </c>
      <c r="G72" s="403">
        <f t="shared" si="23"/>
        <v>0</v>
      </c>
      <c r="H72" s="404">
        <f t="shared" si="21"/>
        <v>781250</v>
      </c>
      <c r="I72" s="405">
        <f t="shared" si="21"/>
        <v>0</v>
      </c>
      <c r="J72" s="405">
        <f t="shared" si="21"/>
        <v>0</v>
      </c>
      <c r="K72" s="405">
        <f t="shared" si="21"/>
        <v>0</v>
      </c>
      <c r="L72" s="405">
        <f t="shared" si="21"/>
        <v>0</v>
      </c>
      <c r="M72" s="405">
        <f t="shared" si="21"/>
        <v>0</v>
      </c>
      <c r="N72" s="405">
        <f t="shared" si="21"/>
        <v>0</v>
      </c>
      <c r="O72" s="405">
        <f t="shared" si="21"/>
        <v>0</v>
      </c>
      <c r="P72" s="406">
        <f t="shared" si="21"/>
        <v>0</v>
      </c>
      <c r="Q72" s="649">
        <f t="shared" si="21"/>
        <v>0</v>
      </c>
      <c r="R72" s="379" t="s">
        <v>32</v>
      </c>
      <c r="S72" s="379"/>
      <c r="T72" s="382"/>
      <c r="U72" s="413" t="e">
        <f>IF(-0.75*((C72/(VLOOKUP($A$2,Assumptions!$B$124:$G$147,2,0)))+D72/(VLOOKUP($A$2,Assumptions!$B$124:$G$147,5,0)))=0,"",-0.75*((C72/(VLOOKUP($A$2,Assumptions!$B$124:$G$147,2,0)))+D72/(VLOOKUP($A$2,Assumptions!$B$124:$G$147,5,0))))</f>
        <v>#DIV/0!</v>
      </c>
      <c r="V72" s="414">
        <f t="shared" si="22"/>
        <v>6.1837956873033263E-2</v>
      </c>
      <c r="W72" s="451"/>
      <c r="X72" s="506"/>
    </row>
    <row r="73" spans="1:24" ht="15">
      <c r="A73" s="373"/>
      <c r="B73" s="374" t="s">
        <v>900</v>
      </c>
      <c r="C73" s="381"/>
      <c r="D73" s="376"/>
      <c r="E73" s="377">
        <v>45838</v>
      </c>
      <c r="F73" s="378">
        <v>56250</v>
      </c>
      <c r="G73" s="403">
        <f t="shared" si="23"/>
        <v>0</v>
      </c>
      <c r="H73" s="404">
        <f t="shared" si="21"/>
        <v>56250</v>
      </c>
      <c r="I73" s="405">
        <f t="shared" si="21"/>
        <v>0</v>
      </c>
      <c r="J73" s="405">
        <f t="shared" si="21"/>
        <v>0</v>
      </c>
      <c r="K73" s="405">
        <f t="shared" si="21"/>
        <v>0</v>
      </c>
      <c r="L73" s="405">
        <f t="shared" si="21"/>
        <v>0</v>
      </c>
      <c r="M73" s="405">
        <f t="shared" si="21"/>
        <v>0</v>
      </c>
      <c r="N73" s="405">
        <f t="shared" si="21"/>
        <v>0</v>
      </c>
      <c r="O73" s="405">
        <f t="shared" si="21"/>
        <v>0</v>
      </c>
      <c r="P73" s="406">
        <f t="shared" si="21"/>
        <v>0</v>
      </c>
      <c r="Q73" s="649">
        <f t="shared" si="21"/>
        <v>0</v>
      </c>
      <c r="R73" s="379" t="s">
        <v>32</v>
      </c>
      <c r="S73" s="379"/>
      <c r="T73" s="382"/>
      <c r="U73" s="413" t="e">
        <f>IF(-0.75*((C73/(VLOOKUP($A$2,Assumptions!$B$124:$G$147,2,0)))+D73/(VLOOKUP($A$2,Assumptions!$B$124:$G$147,5,0)))=0,"",-0.75*((C73/(VLOOKUP($A$2,Assumptions!$B$124:$G$147,2,0)))+D73/(VLOOKUP($A$2,Assumptions!$B$124:$G$147,5,0))))</f>
        <v>#DIV/0!</v>
      </c>
      <c r="V73" s="414">
        <f t="shared" si="22"/>
        <v>0</v>
      </c>
      <c r="W73" s="451"/>
      <c r="X73" s="506"/>
    </row>
    <row r="74" spans="1:24" ht="15">
      <c r="A74" s="373"/>
      <c r="B74" s="374" t="s">
        <v>901</v>
      </c>
      <c r="C74" s="375">
        <v>-3.5</v>
      </c>
      <c r="D74" s="376"/>
      <c r="E74" s="377">
        <v>45838</v>
      </c>
      <c r="F74" s="378">
        <v>1250</v>
      </c>
      <c r="G74" s="403">
        <f t="shared" si="23"/>
        <v>0</v>
      </c>
      <c r="H74" s="404">
        <f t="shared" si="21"/>
        <v>1250</v>
      </c>
      <c r="I74" s="405">
        <f t="shared" si="21"/>
        <v>0</v>
      </c>
      <c r="J74" s="405">
        <f t="shared" si="21"/>
        <v>0</v>
      </c>
      <c r="K74" s="405">
        <f t="shared" si="21"/>
        <v>0</v>
      </c>
      <c r="L74" s="405">
        <f t="shared" si="21"/>
        <v>0</v>
      </c>
      <c r="M74" s="405">
        <f t="shared" si="21"/>
        <v>0</v>
      </c>
      <c r="N74" s="405">
        <f t="shared" si="21"/>
        <v>0</v>
      </c>
      <c r="O74" s="405">
        <f t="shared" si="21"/>
        <v>0</v>
      </c>
      <c r="P74" s="406">
        <f t="shared" si="21"/>
        <v>0</v>
      </c>
      <c r="Q74" s="649">
        <f t="shared" si="21"/>
        <v>0</v>
      </c>
      <c r="R74" s="379" t="s">
        <v>32</v>
      </c>
      <c r="S74" s="379"/>
      <c r="T74" s="382"/>
      <c r="U74" s="413" t="e">
        <f>IF(-0.75*((C74/(VLOOKUP($A$2,Assumptions!$B$124:$G$147,2,0)))+D74/(VLOOKUP($A$2,Assumptions!$B$124:$G$147,5,0)))=0,"",-0.75*((C74/(VLOOKUP($A$2,Assumptions!$B$124:$G$147,2,0)))+D74/(VLOOKUP($A$2,Assumptions!$B$124:$G$147,5,0))))</f>
        <v>#DIV/0!</v>
      </c>
      <c r="V74" s="414">
        <f t="shared" si="22"/>
        <v>0.65336719536583132</v>
      </c>
      <c r="W74" s="451"/>
      <c r="X74" s="506"/>
    </row>
    <row r="75" spans="1:24" ht="15">
      <c r="A75" s="373"/>
      <c r="B75" s="374" t="s">
        <v>902</v>
      </c>
      <c r="C75" s="375">
        <v>-122.057</v>
      </c>
      <c r="D75" s="376"/>
      <c r="E75" s="377">
        <v>45838</v>
      </c>
      <c r="F75" s="378">
        <v>67500</v>
      </c>
      <c r="G75" s="403">
        <f t="shared" si="23"/>
        <v>0</v>
      </c>
      <c r="H75" s="404">
        <f t="shared" si="21"/>
        <v>67500</v>
      </c>
      <c r="I75" s="405">
        <f t="shared" si="21"/>
        <v>0</v>
      </c>
      <c r="J75" s="405">
        <f t="shared" si="21"/>
        <v>0</v>
      </c>
      <c r="K75" s="405">
        <f t="shared" si="21"/>
        <v>0</v>
      </c>
      <c r="L75" s="405">
        <f t="shared" si="21"/>
        <v>0</v>
      </c>
      <c r="M75" s="405">
        <f t="shared" si="21"/>
        <v>0</v>
      </c>
      <c r="N75" s="405">
        <f t="shared" si="21"/>
        <v>0</v>
      </c>
      <c r="O75" s="405">
        <f t="shared" si="21"/>
        <v>0</v>
      </c>
      <c r="P75" s="406">
        <f t="shared" si="21"/>
        <v>0</v>
      </c>
      <c r="Q75" s="649">
        <f t="shared" si="21"/>
        <v>0</v>
      </c>
      <c r="R75" s="379" t="s">
        <v>32</v>
      </c>
      <c r="S75" s="379"/>
      <c r="T75" s="382"/>
      <c r="U75" s="413" t="e">
        <f>IF(-0.75*((C75/(VLOOKUP($A$2,Assumptions!$B$124:$G$147,2,0)))+D75/(VLOOKUP($A$2,Assumptions!$B$124:$G$147,5,0)))=0,"",-0.75*((C75/(VLOOKUP($A$2,Assumptions!$B$124:$G$147,2,0)))+D75/(VLOOKUP($A$2,Assumptions!$B$124:$G$147,5,0))))</f>
        <v>#DIV/0!</v>
      </c>
      <c r="V75" s="414">
        <f t="shared" si="22"/>
        <v>0.42194730034268402</v>
      </c>
      <c r="W75" s="451"/>
      <c r="X75" s="506"/>
    </row>
    <row r="76" spans="1:24" ht="15">
      <c r="A76" s="373"/>
      <c r="B76" s="374" t="s">
        <v>903</v>
      </c>
      <c r="C76" s="375">
        <v>-113.83199999999999</v>
      </c>
      <c r="D76" s="376"/>
      <c r="E76" s="377">
        <v>47664</v>
      </c>
      <c r="F76" s="378">
        <v>115625</v>
      </c>
      <c r="G76" s="403">
        <f t="shared" si="23"/>
        <v>0</v>
      </c>
      <c r="H76" s="404">
        <f t="shared" si="21"/>
        <v>0</v>
      </c>
      <c r="I76" s="405">
        <f t="shared" si="21"/>
        <v>0</v>
      </c>
      <c r="J76" s="405">
        <f t="shared" si="21"/>
        <v>0</v>
      </c>
      <c r="K76" s="405">
        <f t="shared" si="21"/>
        <v>0</v>
      </c>
      <c r="L76" s="405">
        <f t="shared" si="21"/>
        <v>0</v>
      </c>
      <c r="M76" s="405">
        <f t="shared" si="21"/>
        <v>115625</v>
      </c>
      <c r="N76" s="405">
        <f t="shared" si="21"/>
        <v>0</v>
      </c>
      <c r="O76" s="405">
        <f t="shared" si="21"/>
        <v>0</v>
      </c>
      <c r="P76" s="406">
        <f t="shared" si="21"/>
        <v>0</v>
      </c>
      <c r="Q76" s="649">
        <f t="shared" si="21"/>
        <v>0</v>
      </c>
      <c r="R76" s="379" t="s">
        <v>32</v>
      </c>
      <c r="S76" s="379"/>
      <c r="T76" s="382"/>
      <c r="U76" s="413" t="e">
        <f>IF(-0.75*((C76/(VLOOKUP($A$2,Assumptions!$B$124:$G$147,2,0)))+D76/(VLOOKUP($A$2,Assumptions!$B$124:$G$147,5,0)))=0,"",-0.75*((C76/(VLOOKUP($A$2,Assumptions!$B$124:$G$147,2,0)))+D76/(VLOOKUP($A$2,Assumptions!$B$124:$G$147,5,0))))</f>
        <v>#DIV/0!</v>
      </c>
      <c r="V76" s="414">
        <f t="shared" si="22"/>
        <v>0.22972693307454303</v>
      </c>
      <c r="W76" s="451"/>
      <c r="X76" s="506"/>
    </row>
    <row r="77" spans="1:24" ht="15">
      <c r="A77" s="373"/>
      <c r="B77" s="374" t="s">
        <v>904</v>
      </c>
      <c r="C77" s="375">
        <v>-43.805999999999997</v>
      </c>
      <c r="D77" s="376"/>
      <c r="E77" s="377">
        <v>47664</v>
      </c>
      <c r="F77" s="378">
        <v>176000</v>
      </c>
      <c r="G77" s="403">
        <f t="shared" si="23"/>
        <v>0</v>
      </c>
      <c r="H77" s="404">
        <f t="shared" si="21"/>
        <v>0</v>
      </c>
      <c r="I77" s="405">
        <f t="shared" si="21"/>
        <v>0</v>
      </c>
      <c r="J77" s="405">
        <f t="shared" si="21"/>
        <v>0</v>
      </c>
      <c r="K77" s="405">
        <f t="shared" si="21"/>
        <v>0</v>
      </c>
      <c r="L77" s="405">
        <f t="shared" si="21"/>
        <v>0</v>
      </c>
      <c r="M77" s="405">
        <f t="shared" si="21"/>
        <v>176000</v>
      </c>
      <c r="N77" s="405">
        <f t="shared" si="21"/>
        <v>0</v>
      </c>
      <c r="O77" s="405">
        <f t="shared" si="21"/>
        <v>0</v>
      </c>
      <c r="P77" s="406">
        <f t="shared" si="21"/>
        <v>0</v>
      </c>
      <c r="Q77" s="649">
        <f t="shared" si="21"/>
        <v>0</v>
      </c>
      <c r="R77" s="379" t="s">
        <v>32</v>
      </c>
      <c r="S77" s="379"/>
      <c r="T77" s="385"/>
      <c r="U77" s="413" t="e">
        <f>IF(-0.75*((C77/(VLOOKUP($A$2,Assumptions!$B$124:$G$147,2,0)))+D77/(VLOOKUP($A$2,Assumptions!$B$124:$G$147,5,0)))=0,"",-0.75*((C77/(VLOOKUP($A$2,Assumptions!$B$124:$G$147,2,0)))+D77/(VLOOKUP($A$2,Assumptions!$B$124:$G$147,5,0))))</f>
        <v>#DIV/0!</v>
      </c>
      <c r="V77" s="414">
        <f t="shared" si="22"/>
        <v>5.8079146428968359E-2</v>
      </c>
      <c r="W77" s="451"/>
      <c r="X77" s="506"/>
    </row>
    <row r="78" spans="1:24" ht="15">
      <c r="A78" s="373"/>
      <c r="B78" s="374" t="s">
        <v>905</v>
      </c>
      <c r="C78" s="375"/>
      <c r="D78" s="376"/>
      <c r="E78" s="377">
        <v>47664</v>
      </c>
      <c r="F78" s="378">
        <v>0</v>
      </c>
      <c r="G78" s="403">
        <f t="shared" si="23"/>
        <v>0</v>
      </c>
      <c r="H78" s="404">
        <f t="shared" si="21"/>
        <v>0</v>
      </c>
      <c r="I78" s="405">
        <f t="shared" si="21"/>
        <v>0</v>
      </c>
      <c r="J78" s="405">
        <f t="shared" si="21"/>
        <v>0</v>
      </c>
      <c r="K78" s="405">
        <f t="shared" si="21"/>
        <v>0</v>
      </c>
      <c r="L78" s="405">
        <f t="shared" si="21"/>
        <v>0</v>
      </c>
      <c r="M78" s="405">
        <f t="shared" si="21"/>
        <v>0</v>
      </c>
      <c r="N78" s="405">
        <f t="shared" si="21"/>
        <v>0</v>
      </c>
      <c r="O78" s="405">
        <f t="shared" si="21"/>
        <v>0</v>
      </c>
      <c r="P78" s="406">
        <f t="shared" si="21"/>
        <v>0</v>
      </c>
      <c r="Q78" s="649">
        <f t="shared" si="21"/>
        <v>0</v>
      </c>
      <c r="R78" s="379" t="s">
        <v>32</v>
      </c>
      <c r="S78" s="379"/>
      <c r="T78" s="382"/>
      <c r="U78" s="413" t="e">
        <f>IF(-0.75*((C78/(VLOOKUP($A$2,Assumptions!$B$124:$G$147,2,0)))+D78/(VLOOKUP($A$2,Assumptions!$B$124:$G$147,5,0)))=0,"",-0.75*((C78/(VLOOKUP($A$2,Assumptions!$B$124:$G$147,2,0)))+D78/(VLOOKUP($A$2,Assumptions!$B$124:$G$147,5,0))))</f>
        <v>#DIV/0!</v>
      </c>
      <c r="V78" s="414" t="str">
        <f t="shared" si="22"/>
        <v/>
      </c>
      <c r="W78" s="451"/>
      <c r="X78" s="506"/>
    </row>
    <row r="79" spans="1:24" ht="15">
      <c r="A79" s="373"/>
      <c r="B79" s="374" t="s">
        <v>906</v>
      </c>
      <c r="C79" s="375">
        <v>73</v>
      </c>
      <c r="D79" s="376">
        <v>-1027.039</v>
      </c>
      <c r="E79" s="377">
        <v>47664</v>
      </c>
      <c r="F79" s="378">
        <v>875000</v>
      </c>
      <c r="G79" s="403">
        <f t="shared" si="23"/>
        <v>0</v>
      </c>
      <c r="H79" s="404">
        <f t="shared" si="21"/>
        <v>0</v>
      </c>
      <c r="I79" s="405">
        <f t="shared" si="21"/>
        <v>0</v>
      </c>
      <c r="J79" s="405">
        <f t="shared" si="21"/>
        <v>0</v>
      </c>
      <c r="K79" s="405">
        <f t="shared" si="21"/>
        <v>0</v>
      </c>
      <c r="L79" s="405">
        <f t="shared" si="21"/>
        <v>0</v>
      </c>
      <c r="M79" s="405">
        <f t="shared" si="21"/>
        <v>875000</v>
      </c>
      <c r="N79" s="405">
        <f t="shared" si="21"/>
        <v>0</v>
      </c>
      <c r="O79" s="405">
        <f t="shared" si="21"/>
        <v>0</v>
      </c>
      <c r="P79" s="406">
        <f t="shared" si="21"/>
        <v>0</v>
      </c>
      <c r="Q79" s="649">
        <f t="shared" si="21"/>
        <v>0</v>
      </c>
      <c r="R79" s="379"/>
      <c r="S79" s="379" t="s">
        <v>32</v>
      </c>
      <c r="T79" s="382"/>
      <c r="U79" s="413" t="e">
        <f>IF(-0.75*((C79/(VLOOKUP($A$2,Assumptions!$B$124:$G$147,2,0)))+D79/(VLOOKUP($A$2,Assumptions!$B$124:$G$147,5,0)))=0,"",-0.75*((C79/(VLOOKUP($A$2,Assumptions!$B$124:$G$147,2,0)))+D79/(VLOOKUP($A$2,Assumptions!$B$124:$G$147,5,0))))</f>
        <v>#DIV/0!</v>
      </c>
      <c r="V79" s="414">
        <f t="shared" si="22"/>
        <v>1.4175154024316051E-2</v>
      </c>
      <c r="W79" s="451"/>
      <c r="X79" s="506"/>
    </row>
    <row r="80" spans="1:24" ht="15">
      <c r="A80" s="373"/>
      <c r="B80" s="374" t="s">
        <v>907</v>
      </c>
      <c r="C80" s="375"/>
      <c r="D80" s="376"/>
      <c r="E80" s="377">
        <v>46568</v>
      </c>
      <c r="F80" s="378">
        <v>0</v>
      </c>
      <c r="G80" s="403">
        <f t="shared" si="23"/>
        <v>0</v>
      </c>
      <c r="H80" s="404">
        <f t="shared" si="21"/>
        <v>0</v>
      </c>
      <c r="I80" s="405">
        <f t="shared" si="21"/>
        <v>0</v>
      </c>
      <c r="J80" s="405">
        <f t="shared" si="21"/>
        <v>0</v>
      </c>
      <c r="K80" s="405">
        <f t="shared" si="21"/>
        <v>0</v>
      </c>
      <c r="L80" s="405">
        <f t="shared" si="21"/>
        <v>0</v>
      </c>
      <c r="M80" s="405">
        <f t="shared" si="21"/>
        <v>0</v>
      </c>
      <c r="N80" s="405">
        <f t="shared" si="21"/>
        <v>0</v>
      </c>
      <c r="O80" s="405">
        <f t="shared" si="21"/>
        <v>0</v>
      </c>
      <c r="P80" s="406">
        <f t="shared" si="21"/>
        <v>0</v>
      </c>
      <c r="Q80" s="649">
        <f t="shared" si="21"/>
        <v>0</v>
      </c>
      <c r="R80" s="379"/>
      <c r="S80" s="379" t="s">
        <v>32</v>
      </c>
      <c r="T80" s="382"/>
      <c r="U80" s="413" t="e">
        <f>IF(-0.75*((C80/(VLOOKUP($A$2,Assumptions!$B$124:$G$147,2,0)))+D80/(VLOOKUP($A$2,Assumptions!$B$124:$G$147,5,0)))=0,"",-0.75*((C80/(VLOOKUP($A$2,Assumptions!$B$124:$G$147,2,0)))+D80/(VLOOKUP($A$2,Assumptions!$B$124:$G$147,5,0))))</f>
        <v>#DIV/0!</v>
      </c>
      <c r="V80" s="414" t="str">
        <f t="shared" si="22"/>
        <v/>
      </c>
      <c r="W80" s="451"/>
      <c r="X80" s="506"/>
    </row>
    <row r="81" spans="1:24" ht="15">
      <c r="A81" s="373"/>
      <c r="B81" s="457" t="s">
        <v>726</v>
      </c>
      <c r="C81" s="375"/>
      <c r="D81" s="376"/>
      <c r="E81" s="377">
        <v>46568</v>
      </c>
      <c r="F81" s="378"/>
      <c r="G81" s="403">
        <f t="shared" si="23"/>
        <v>0</v>
      </c>
      <c r="H81" s="404">
        <f t="shared" si="21"/>
        <v>0</v>
      </c>
      <c r="I81" s="405">
        <f t="shared" si="21"/>
        <v>0</v>
      </c>
      <c r="J81" s="405">
        <f t="shared" si="21"/>
        <v>0</v>
      </c>
      <c r="K81" s="405">
        <f t="shared" si="21"/>
        <v>0</v>
      </c>
      <c r="L81" s="405">
        <f t="shared" si="21"/>
        <v>0</v>
      </c>
      <c r="M81" s="405">
        <f t="shared" si="21"/>
        <v>0</v>
      </c>
      <c r="N81" s="405">
        <f t="shared" si="21"/>
        <v>0</v>
      </c>
      <c r="O81" s="405">
        <f t="shared" si="21"/>
        <v>0</v>
      </c>
      <c r="P81" s="406">
        <f t="shared" si="21"/>
        <v>0</v>
      </c>
      <c r="Q81" s="649">
        <f t="shared" si="21"/>
        <v>0</v>
      </c>
      <c r="R81" s="379" t="s">
        <v>32</v>
      </c>
      <c r="S81" s="379"/>
      <c r="T81" s="382"/>
      <c r="U81" s="413" t="e">
        <f>IF(-0.75*((C81/(VLOOKUP($A$2,Assumptions!$B$124:$G$147,2,0)))+D81/(VLOOKUP($A$2,Assumptions!$B$124:$G$147,5,0)))=0,"",-0.75*((C81/(VLOOKUP($A$2,Assumptions!$B$124:$G$147,2,0)))+D81/(VLOOKUP($A$2,Assumptions!$B$124:$G$147,5,0))))</f>
        <v>#DIV/0!</v>
      </c>
      <c r="V81" s="414" t="str">
        <f t="shared" si="22"/>
        <v/>
      </c>
      <c r="W81" s="451"/>
      <c r="X81" s="506"/>
    </row>
    <row r="82" spans="1:24" ht="15">
      <c r="A82" s="373"/>
      <c r="B82" s="457" t="s">
        <v>908</v>
      </c>
      <c r="C82" s="375"/>
      <c r="D82" s="376"/>
      <c r="E82" s="377">
        <v>48750</v>
      </c>
      <c r="F82" s="378"/>
      <c r="G82" s="403">
        <f t="shared" si="23"/>
        <v>0</v>
      </c>
      <c r="H82" s="404">
        <f t="shared" si="21"/>
        <v>0</v>
      </c>
      <c r="I82" s="405">
        <f t="shared" si="21"/>
        <v>0</v>
      </c>
      <c r="J82" s="405">
        <f t="shared" si="21"/>
        <v>0</v>
      </c>
      <c r="K82" s="405">
        <f t="shared" si="21"/>
        <v>0</v>
      </c>
      <c r="L82" s="405">
        <f t="shared" si="21"/>
        <v>0</v>
      </c>
      <c r="M82" s="405">
        <f t="shared" si="21"/>
        <v>0</v>
      </c>
      <c r="N82" s="405">
        <f t="shared" si="21"/>
        <v>0</v>
      </c>
      <c r="O82" s="405">
        <f t="shared" si="21"/>
        <v>0</v>
      </c>
      <c r="P82" s="406">
        <f t="shared" si="21"/>
        <v>0</v>
      </c>
      <c r="Q82" s="649">
        <f t="shared" si="21"/>
        <v>0</v>
      </c>
      <c r="R82" s="379" t="s">
        <v>32</v>
      </c>
      <c r="S82" s="379"/>
      <c r="T82" s="382"/>
      <c r="U82" s="413" t="e">
        <f>IF(-0.75*((C82/(VLOOKUP($A$2,Assumptions!$B$124:$G$147,2,0)))+D82/(VLOOKUP($A$2,Assumptions!$B$124:$G$147,5,0)))=0,"",-0.75*((C82/(VLOOKUP($A$2,Assumptions!$B$124:$G$147,2,0)))+D82/(VLOOKUP($A$2,Assumptions!$B$124:$G$147,5,0))))</f>
        <v>#DIV/0!</v>
      </c>
      <c r="V82" s="414" t="str">
        <f t="shared" si="22"/>
        <v/>
      </c>
      <c r="W82" s="451"/>
      <c r="X82" s="506"/>
    </row>
    <row r="83" spans="1:24" ht="15">
      <c r="A83" s="373"/>
      <c r="B83" s="457" t="s">
        <v>909</v>
      </c>
      <c r="C83" s="375"/>
      <c r="D83" s="376"/>
      <c r="E83" s="377">
        <v>49115</v>
      </c>
      <c r="F83" s="378"/>
      <c r="G83" s="403">
        <f t="shared" si="23"/>
        <v>0</v>
      </c>
      <c r="H83" s="404">
        <f t="shared" si="21"/>
        <v>0</v>
      </c>
      <c r="I83" s="405">
        <f t="shared" si="21"/>
        <v>0</v>
      </c>
      <c r="J83" s="405">
        <f t="shared" si="21"/>
        <v>0</v>
      </c>
      <c r="K83" s="405">
        <f t="shared" si="21"/>
        <v>0</v>
      </c>
      <c r="L83" s="405">
        <f t="shared" si="21"/>
        <v>0</v>
      </c>
      <c r="M83" s="405">
        <f t="shared" si="21"/>
        <v>0</v>
      </c>
      <c r="N83" s="405">
        <f t="shared" si="21"/>
        <v>0</v>
      </c>
      <c r="O83" s="405">
        <f t="shared" si="21"/>
        <v>0</v>
      </c>
      <c r="P83" s="406">
        <f t="shared" si="21"/>
        <v>0</v>
      </c>
      <c r="Q83" s="649">
        <f t="shared" si="21"/>
        <v>0</v>
      </c>
      <c r="R83" s="379" t="s">
        <v>32</v>
      </c>
      <c r="S83" s="379"/>
      <c r="T83" s="382"/>
      <c r="U83" s="413" t="e">
        <f>IF(-0.75*((C83/(VLOOKUP($A$2,Assumptions!$B$124:$G$147,2,0)))+D83/(VLOOKUP($A$2,Assumptions!$B$124:$G$147,5,0)))=0,"",-0.75*((C83/(VLOOKUP($A$2,Assumptions!$B$124:$G$147,2,0)))+D83/(VLOOKUP($A$2,Assumptions!$B$124:$G$147,5,0))))</f>
        <v>#DIV/0!</v>
      </c>
      <c r="V83" s="414" t="str">
        <f t="shared" si="22"/>
        <v/>
      </c>
      <c r="W83" s="451"/>
      <c r="X83" s="506"/>
    </row>
    <row r="84" spans="1:24" ht="15">
      <c r="A84" s="373"/>
      <c r="B84" s="457" t="s">
        <v>753</v>
      </c>
      <c r="C84" s="375"/>
      <c r="D84" s="375"/>
      <c r="E84" s="377">
        <v>45838</v>
      </c>
      <c r="F84" s="378">
        <v>40000</v>
      </c>
      <c r="G84" s="403">
        <f t="shared" si="23"/>
        <v>0</v>
      </c>
      <c r="H84" s="404">
        <f t="shared" si="21"/>
        <v>40000</v>
      </c>
      <c r="I84" s="405">
        <f t="shared" si="21"/>
        <v>0</v>
      </c>
      <c r="J84" s="405">
        <f t="shared" si="21"/>
        <v>0</v>
      </c>
      <c r="K84" s="405">
        <f t="shared" si="21"/>
        <v>0</v>
      </c>
      <c r="L84" s="405">
        <f t="shared" si="21"/>
        <v>0</v>
      </c>
      <c r="M84" s="405">
        <f t="shared" si="21"/>
        <v>0</v>
      </c>
      <c r="N84" s="405">
        <f t="shared" si="21"/>
        <v>0</v>
      </c>
      <c r="O84" s="405">
        <f t="shared" si="21"/>
        <v>0</v>
      </c>
      <c r="P84" s="406">
        <f t="shared" si="21"/>
        <v>0</v>
      </c>
      <c r="Q84" s="649">
        <f t="shared" si="21"/>
        <v>0</v>
      </c>
      <c r="R84" s="379"/>
      <c r="S84" s="379"/>
      <c r="T84" s="382" t="s">
        <v>32</v>
      </c>
      <c r="U84" s="413" t="e">
        <f>IF(-0.75*((C84/(VLOOKUP($A$2,Assumptions!$B$124:$G$147,2,0)))+D84/(VLOOKUP($A$2,Assumptions!$B$124:$G$147,5,0)))=0,"",-0.75*((C84/(VLOOKUP($A$2,Assumptions!$B$124:$G$147,2,0)))+D84/(VLOOKUP($A$2,Assumptions!$B$124:$G$147,5,0))))</f>
        <v>#DIV/0!</v>
      </c>
      <c r="V84" s="414">
        <f t="shared" si="22"/>
        <v>0</v>
      </c>
      <c r="W84" s="451"/>
      <c r="X84" s="506"/>
    </row>
    <row r="85" spans="1:24" ht="15">
      <c r="A85" s="373"/>
      <c r="B85" s="457"/>
      <c r="C85" s="375"/>
      <c r="D85" s="375"/>
      <c r="E85" s="377"/>
      <c r="F85" s="378"/>
      <c r="G85" s="403"/>
      <c r="H85" s="404"/>
      <c r="I85" s="405"/>
      <c r="J85" s="405"/>
      <c r="K85" s="405"/>
      <c r="L85" s="405"/>
      <c r="M85" s="405"/>
      <c r="N85" s="405"/>
      <c r="O85" s="405"/>
      <c r="P85" s="406"/>
      <c r="Q85" s="649"/>
      <c r="R85" s="379"/>
      <c r="S85" s="386"/>
      <c r="T85" s="387"/>
      <c r="U85" s="413" t="e">
        <f>IF(-0.75*((C85/(VLOOKUP($A$2,Assumptions!$B$124:$G$147,2,0)))+D85/(VLOOKUP($A$2,Assumptions!$B$124:$G$147,5,0)))=0,"",-0.75*((C85/(VLOOKUP($A$2,Assumptions!$B$124:$G$147,2,0)))+D85/(VLOOKUP($A$2,Assumptions!$B$124:$G$147,5,0))))</f>
        <v>#DIV/0!</v>
      </c>
      <c r="V85" s="414" t="str">
        <f t="shared" si="22"/>
        <v/>
      </c>
      <c r="W85" s="451"/>
      <c r="X85" s="507"/>
    </row>
    <row r="86" spans="1:24" ht="15">
      <c r="A86" s="373"/>
      <c r="B86" s="457"/>
      <c r="C86" s="375"/>
      <c r="D86" s="375"/>
      <c r="E86" s="377"/>
      <c r="F86" s="378"/>
      <c r="G86" s="403"/>
      <c r="H86" s="404"/>
      <c r="I86" s="405"/>
      <c r="J86" s="405"/>
      <c r="K86" s="405"/>
      <c r="L86" s="405"/>
      <c r="M86" s="405"/>
      <c r="N86" s="405"/>
      <c r="O86" s="405"/>
      <c r="P86" s="406"/>
      <c r="Q86" s="649"/>
      <c r="R86" s="379"/>
      <c r="S86" s="386"/>
      <c r="T86" s="387"/>
      <c r="U86" s="413" t="e">
        <f>IF(-0.75*((C86/(VLOOKUP($A$2,Assumptions!$B$124:$G$147,2,0)))+D86/(VLOOKUP($A$2,Assumptions!$B$124:$G$147,5,0)))=0,"",-0.75*((C86/(VLOOKUP($A$2,Assumptions!$B$124:$G$147,2,0)))+D86/(VLOOKUP($A$2,Assumptions!$B$124:$G$147,5,0))))</f>
        <v>#DIV/0!</v>
      </c>
      <c r="V86" s="414" t="str">
        <f t="shared" si="22"/>
        <v/>
      </c>
      <c r="W86" s="451"/>
      <c r="X86" s="507"/>
    </row>
    <row r="87" spans="1:24" ht="15">
      <c r="A87" s="373"/>
      <c r="B87" s="374"/>
      <c r="C87" s="375"/>
      <c r="D87" s="375"/>
      <c r="E87" s="377"/>
      <c r="F87" s="378"/>
      <c r="G87" s="403"/>
      <c r="H87" s="404"/>
      <c r="I87" s="405"/>
      <c r="J87" s="405"/>
      <c r="K87" s="405"/>
      <c r="L87" s="405"/>
      <c r="M87" s="405"/>
      <c r="N87" s="405"/>
      <c r="O87" s="405"/>
      <c r="P87" s="406"/>
      <c r="Q87" s="649"/>
      <c r="R87" s="379"/>
      <c r="S87" s="379"/>
      <c r="T87" s="387"/>
      <c r="U87" s="413" t="e">
        <f>IF(-0.75*((C87/(VLOOKUP($A$2,Assumptions!$B$124:$G$147,2,0)))+D87/(VLOOKUP($A$2,Assumptions!$B$124:$G$147,5,0)))=0,"",-0.75*((C87/(VLOOKUP($A$2,Assumptions!$B$124:$G$147,2,0)))+D87/(VLOOKUP($A$2,Assumptions!$B$124:$G$147,5,0))))</f>
        <v>#DIV/0!</v>
      </c>
      <c r="V87" s="414" t="str">
        <f t="shared" si="22"/>
        <v/>
      </c>
      <c r="W87" s="451"/>
      <c r="X87" s="507"/>
    </row>
    <row r="88" spans="1:24" ht="15">
      <c r="A88" s="456"/>
      <c r="B88" s="397"/>
      <c r="C88" s="398"/>
      <c r="D88" s="398"/>
      <c r="E88" s="399"/>
      <c r="F88" s="400"/>
      <c r="G88" s="407"/>
      <c r="H88" s="408"/>
      <c r="I88" s="409"/>
      <c r="J88" s="409"/>
      <c r="K88" s="409"/>
      <c r="L88" s="409"/>
      <c r="M88" s="409"/>
      <c r="N88" s="409"/>
      <c r="O88" s="409"/>
      <c r="P88" s="410"/>
      <c r="Q88" s="650"/>
      <c r="R88" s="401"/>
      <c r="S88" s="401"/>
      <c r="T88" s="402"/>
      <c r="U88" s="413" t="e">
        <f>IF(-0.75*((C88/(VLOOKUP($A$2,Assumptions!$B$124:$G$147,2,0)))+D88/(VLOOKUP($A$2,Assumptions!$B$124:$G$147,5,0)))=0,"",-0.75*((C88/(VLOOKUP($A$2,Assumptions!$B$124:$G$147,2,0)))+D88/(VLOOKUP($A$2,Assumptions!$B$124:$G$147,5,0))))</f>
        <v>#DIV/0!</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-502.92500000000007</v>
      </c>
      <c r="D115" s="354">
        <f>SUM(D69:D88)</f>
        <v>-1127.4649999999999</v>
      </c>
      <c r="E115" s="355"/>
      <c r="F115" s="333">
        <f>SUM(F69:F114)</f>
        <v>2150375</v>
      </c>
      <c r="G115" s="388">
        <f>SUM(G69:G114)</f>
        <v>0</v>
      </c>
      <c r="H115" s="388">
        <f t="shared" ref="H115:N115" si="25">SUM(H69:H114)</f>
        <v>983750</v>
      </c>
      <c r="I115" s="388">
        <f t="shared" si="25"/>
        <v>0</v>
      </c>
      <c r="J115" s="388">
        <f t="shared" si="25"/>
        <v>0</v>
      </c>
      <c r="K115" s="388">
        <f t="shared" si="25"/>
        <v>0</v>
      </c>
      <c r="L115" s="388">
        <f t="shared" si="25"/>
        <v>0</v>
      </c>
      <c r="M115" s="388">
        <f t="shared" si="25"/>
        <v>1166625</v>
      </c>
      <c r="N115" s="388">
        <f t="shared" si="25"/>
        <v>0</v>
      </c>
      <c r="O115" s="388">
        <f>SUM(O69:O114)</f>
        <v>0</v>
      </c>
      <c r="P115" s="388">
        <f>SUM(P69:P114)</f>
        <v>0</v>
      </c>
      <c r="Q115" s="388">
        <f>SUM(Q69:Q114)</f>
        <v>0</v>
      </c>
      <c r="R115" s="388">
        <f>SUMIFS(F69:F114,R69:R114,"Yes")-0.5*SUMIFS(F69:F114,R69:R114,"Yes",S69:S114,"Yes")</f>
        <v>1235375</v>
      </c>
      <c r="S115" s="388">
        <f>SUMIFS(F69:F114,S69:S114,"Yes")-0.5*SUMIFS(F69:F114,S69:S114,"Yes",R69:R114,"Yes")</f>
        <v>875000</v>
      </c>
      <c r="T115" s="388">
        <f>SUMIFS(F69:F114,T69:T114,"Yes")</f>
        <v>40000</v>
      </c>
      <c r="U115" s="389" t="e">
        <f>SUM(U69:U114)</f>
        <v>#DIV/0!</v>
      </c>
      <c r="V115" s="390">
        <f>IF(ISERROR(((-1*C115*1000*$D$6)+(-1*D115*$D$8))/F115),"",((-1*C115*1000*$D$6)+(-1*D115*$D$8))/F115)</f>
        <v>6.9602363363675271E-2</v>
      </c>
      <c r="W115" s="391">
        <f>SUMIFS(F69:F114,W69:W114,"Yes")</f>
        <v>0</v>
      </c>
      <c r="X115" s="516">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452.63250000000005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4.7628832354859751</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4.7628832354859751</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4.7628832354859751</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5.3353020390224728</v>
      </c>
      <c r="AA126" s="22">
        <f t="shared" ref="AA126:AC126" si="26">AK216</f>
        <v>5.7716680110315162</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5.5160533147163555</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5.5160533147163555</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5.5160533147163555</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5.5160533147163555</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5.7079394155118459</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5.7716680110315162</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5.7716680110315162</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34.795000000000002</v>
      </c>
      <c r="BC154" s="24" t="s">
        <v>436</v>
      </c>
      <c r="BD154" s="8"/>
      <c r="BE154" s="8"/>
      <c r="BF154" s="24">
        <f t="shared" ref="BF154:BF155" si="31">IF($C$59&gt;7000,"error",IF($C$59&gt;5999,AR154,IF($C$59&gt;4999,AQ154,IF($C$59&gt;3999,AP154,IF($C$59&gt;2999,AO154,IF($C$59&gt;1999,AN154,"Error"))))))</f>
        <v>34.795000000000002</v>
      </c>
      <c r="BG154" s="24">
        <f t="shared" ref="BG154:BG164" si="32">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52.192500000000003</v>
      </c>
      <c r="BC155" s="24" t="s">
        <v>436</v>
      </c>
      <c r="BE155" s="24"/>
      <c r="BF155" s="24">
        <f t="shared" si="31"/>
        <v>52.192500000000003</v>
      </c>
      <c r="BG155" s="24">
        <f t="shared" si="32"/>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2"/>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13004</v>
      </c>
      <c r="BW156" s="14" t="s">
        <v>445</v>
      </c>
      <c r="BX156" s="181" t="s">
        <v>13</v>
      </c>
      <c r="BY156" s="38">
        <f>BY157/BV156</f>
        <v>72.532633869578589</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84.92</v>
      </c>
      <c r="BC157" s="24" t="s">
        <v>436</v>
      </c>
      <c r="BD157" s="24">
        <f>BB157-BB156</f>
        <v>15.329999999999998</v>
      </c>
      <c r="BE157" s="24"/>
      <c r="BF157" s="24">
        <f t="shared" ref="BF157:BF164" si="36">IF($C$59&gt;7000,"error",IF($C$59&gt;5999,AR157,IF($C$59&gt;4999,AQ157,IF($C$59&gt;3999,AP157,IF($C$59&gt;2999,AO157,IF($C$59&gt;1999,AN157,"Error"))))))</f>
        <v>84.92</v>
      </c>
      <c r="BG157" s="24">
        <f t="shared" si="32"/>
        <v>158.69</v>
      </c>
      <c r="BH157" s="24"/>
      <c r="BI157" s="29" t="s">
        <v>118</v>
      </c>
      <c r="BJ157" s="29">
        <v>810</v>
      </c>
      <c r="BK157" s="29">
        <v>51.33</v>
      </c>
      <c r="BL157" s="24">
        <v>2000</v>
      </c>
      <c r="BM157" s="25"/>
      <c r="BN157" s="24">
        <f>BV161/BV158</f>
        <v>15.150431774944344</v>
      </c>
      <c r="BO157" s="32" t="s">
        <v>447</v>
      </c>
      <c r="BP157" s="179">
        <f>$BY$158/SUM($BY$158:$BY$159)*C64</f>
        <v>64.759540491947746</v>
      </c>
      <c r="BQ157" s="29" t="s">
        <v>448</v>
      </c>
      <c r="BR157" s="29" t="s">
        <v>449</v>
      </c>
      <c r="BS157" s="29" t="s">
        <v>450</v>
      </c>
      <c r="BT157" s="14"/>
      <c r="BU157" s="30" t="s">
        <v>451</v>
      </c>
      <c r="BV157" s="33">
        <f xml:space="preserve"> 5 - 0.5*(BV158-BB156)/BH166</f>
        <v>5.1575492337916584</v>
      </c>
      <c r="BW157" s="14" t="s">
        <v>452</v>
      </c>
      <c r="BX157" s="181" t="s">
        <v>453</v>
      </c>
      <c r="BY157" s="180">
        <f>SUM(BY158:BY159)</f>
        <v>943214.37083999999</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100.25</v>
      </c>
      <c r="BC158" s="24" t="s">
        <v>436</v>
      </c>
      <c r="BD158" s="24">
        <f t="shared" ref="BD158:BD164" si="37">BB158-BB157</f>
        <v>15.329999999999998</v>
      </c>
      <c r="BE158" s="24"/>
      <c r="BF158" s="24">
        <f t="shared" si="36"/>
        <v>100.25</v>
      </c>
      <c r="BG158" s="24">
        <f t="shared" si="32"/>
        <v>187.86</v>
      </c>
      <c r="BH158" s="24"/>
      <c r="BI158" s="29" t="s">
        <v>150</v>
      </c>
      <c r="BJ158" s="29">
        <v>810</v>
      </c>
      <c r="BK158" s="29">
        <v>51.33</v>
      </c>
      <c r="BL158" s="24">
        <v>3000</v>
      </c>
      <c r="BM158" s="25"/>
      <c r="BN158" s="179">
        <f>BV162/BV163</f>
        <v>239.07753239245898</v>
      </c>
      <c r="BO158" s="24" t="s">
        <v>454</v>
      </c>
      <c r="BP158" s="179">
        <f>$BY$159/SUM($BY$158:$BY$159)*C64</f>
        <v>12.10045950805225</v>
      </c>
      <c r="BQ158" s="29" t="s">
        <v>455</v>
      </c>
      <c r="BR158" s="29" t="s">
        <v>456</v>
      </c>
      <c r="BS158" s="29" t="s">
        <v>457</v>
      </c>
      <c r="BT158" s="14"/>
      <c r="BU158" s="30" t="s">
        <v>458</v>
      </c>
      <c r="BV158" s="31">
        <f>BP157</f>
        <v>64.759540491947746</v>
      </c>
      <c r="BW158" s="14" t="s">
        <v>436</v>
      </c>
      <c r="BX158" s="181" t="s">
        <v>459</v>
      </c>
      <c r="BY158" s="178">
        <f>INDEX($BJ$156:$BJ$161,MATCH($C$57,$BI$156:$BI$161,0))*$C$62</f>
        <v>794719.35</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115.57</v>
      </c>
      <c r="BC159" s="24" t="s">
        <v>436</v>
      </c>
      <c r="BD159" s="24">
        <f t="shared" si="37"/>
        <v>15.319999999999993</v>
      </c>
      <c r="BE159" s="24"/>
      <c r="BF159" s="24">
        <f t="shared" si="36"/>
        <v>115.57</v>
      </c>
      <c r="BG159" s="24">
        <f t="shared" si="32"/>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148495.02083999998</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130.9</v>
      </c>
      <c r="BC160" s="24" t="s">
        <v>436</v>
      </c>
      <c r="BD160" s="24">
        <f t="shared" si="37"/>
        <v>15.330000000000013</v>
      </c>
      <c r="BE160" s="24"/>
      <c r="BF160" s="24">
        <f t="shared" si="36"/>
        <v>130.9</v>
      </c>
      <c r="BG160" s="24">
        <f t="shared" si="32"/>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72.532633869578589</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146.22999999999999</v>
      </c>
      <c r="BC161" s="24" t="s">
        <v>436</v>
      </c>
      <c r="BD161" s="24">
        <f t="shared" si="37"/>
        <v>15.329999999999984</v>
      </c>
      <c r="BE161" s="24"/>
      <c r="BF161" s="24">
        <f t="shared" si="36"/>
        <v>146.22999999999999</v>
      </c>
      <c r="BG161" s="24">
        <f t="shared" si="32"/>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981.13499999999999</v>
      </c>
      <c r="BW161" s="14" t="s">
        <v>311</v>
      </c>
      <c r="BX161" s="14"/>
      <c r="BY161" s="14"/>
      <c r="BZ161" s="38">
        <f>5-(0.5*(C64-CE177)/(CE176-CE177))</f>
        <v>4.7628832354859751</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161.56</v>
      </c>
      <c r="BC162" s="24" t="s">
        <v>436</v>
      </c>
      <c r="BD162" s="24">
        <f t="shared" si="37"/>
        <v>15.330000000000013</v>
      </c>
      <c r="BE162" s="24"/>
      <c r="BF162" s="24">
        <f t="shared" si="36"/>
        <v>161.56</v>
      </c>
      <c r="BG162" s="24">
        <f t="shared" si="32"/>
        <v>304.55</v>
      </c>
      <c r="BH162" s="24"/>
      <c r="BI162" s="24"/>
      <c r="BJ162" s="24"/>
      <c r="BK162" s="24"/>
      <c r="BL162" s="24"/>
      <c r="BM162" s="37"/>
      <c r="BN162" s="37"/>
      <c r="BO162" s="37"/>
      <c r="BP162" s="37"/>
      <c r="BQ162" s="29" t="s">
        <v>473</v>
      </c>
      <c r="BR162" s="24"/>
      <c r="BS162" s="24"/>
      <c r="BT162" s="14"/>
      <c r="BU162" s="14" t="s">
        <v>474</v>
      </c>
      <c r="BV162" s="31">
        <f>C63</f>
        <v>2892.9479999999999</v>
      </c>
      <c r="BW162" s="14" t="s">
        <v>314</v>
      </c>
      <c r="BX162" s="14"/>
      <c r="BY162" s="38">
        <f>C63*BK156</f>
        <v>148495.02083999998</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176.89</v>
      </c>
      <c r="BC163" s="24" t="s">
        <v>436</v>
      </c>
      <c r="BD163" s="24">
        <f t="shared" si="37"/>
        <v>15.329999999999984</v>
      </c>
      <c r="BE163" s="24"/>
      <c r="BF163" s="24">
        <f t="shared" si="36"/>
        <v>176.89</v>
      </c>
      <c r="BG163" s="24">
        <f t="shared" si="32"/>
        <v>333.72</v>
      </c>
      <c r="BH163" s="24"/>
      <c r="BI163" s="24"/>
      <c r="BJ163" s="24"/>
      <c r="BK163" s="24"/>
      <c r="BL163" s="24"/>
      <c r="BM163" s="37"/>
      <c r="BN163" s="37"/>
      <c r="BO163" s="37"/>
      <c r="BP163" s="37"/>
      <c r="BQ163" s="29" t="s">
        <v>475</v>
      </c>
      <c r="BR163" s="24"/>
      <c r="BS163" s="24"/>
      <c r="BT163" s="14"/>
      <c r="BU163" s="14" t="s">
        <v>476</v>
      </c>
      <c r="BV163" s="38">
        <f>BP158</f>
        <v>12.10045950805225</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192.21</v>
      </c>
      <c r="BC164" s="24" t="s">
        <v>436</v>
      </c>
      <c r="BD164" s="24">
        <f t="shared" si="37"/>
        <v>15.320000000000022</v>
      </c>
      <c r="BE164" s="24"/>
      <c r="BF164" s="24">
        <f t="shared" si="36"/>
        <v>192.21</v>
      </c>
      <c r="BG164" s="24">
        <f t="shared" si="32"/>
        <v>362.89</v>
      </c>
      <c r="BH164" s="24"/>
      <c r="BI164" s="24"/>
      <c r="BJ164" s="24"/>
      <c r="BK164" s="24"/>
      <c r="BL164" s="24"/>
      <c r="BM164" s="37"/>
      <c r="BN164" s="37"/>
      <c r="BO164" s="37"/>
      <c r="BP164" s="37"/>
      <c r="BQ164" s="29" t="s">
        <v>478</v>
      </c>
      <c r="BR164" s="24"/>
      <c r="BS164" s="24"/>
      <c r="BT164" s="14"/>
      <c r="BU164" s="14"/>
      <c r="BV164" s="38">
        <f>BV163+BV158</f>
        <v>76.86</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8">H66</f>
        <v>45838</v>
      </c>
      <c r="I166" s="177">
        <f t="shared" si="38"/>
        <v>46203</v>
      </c>
      <c r="J166" s="177">
        <f t="shared" si="38"/>
        <v>46568</v>
      </c>
      <c r="K166" s="177">
        <f t="shared" si="38"/>
        <v>46934</v>
      </c>
      <c r="L166" s="177">
        <f t="shared" si="38"/>
        <v>47299</v>
      </c>
      <c r="M166" s="177">
        <f t="shared" si="38"/>
        <v>47664</v>
      </c>
      <c r="N166" s="177">
        <f t="shared" si="38"/>
        <v>48029</v>
      </c>
      <c r="O166" s="177">
        <f t="shared" si="38"/>
        <v>48395</v>
      </c>
      <c r="P166" s="177">
        <f t="shared" si="38"/>
        <v>48760</v>
      </c>
      <c r="Q166" s="177">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0">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-18.765999999999998</v>
      </c>
      <c r="K167" s="12">
        <f t="shared" ref="K167:K209" si="43">IF($E69&lt;K$66,$C69,0)</f>
        <v>-18.765999999999998</v>
      </c>
      <c r="L167" s="12">
        <f t="shared" ref="L167:N186" si="44">IF($E69&gt;L$66,0,IF($E69&lt;L$66-365,$C69,0))</f>
        <v>-18.765999999999998</v>
      </c>
      <c r="M167" s="12">
        <f t="shared" si="44"/>
        <v>-18.765999999999998</v>
      </c>
      <c r="N167" s="12">
        <f t="shared" si="44"/>
        <v>-18.765999999999998</v>
      </c>
      <c r="O167" s="12">
        <f t="shared" ref="O167:O209" si="45">IF($E69&lt;O$66,$C69,0)</f>
        <v>-18.765999999999998</v>
      </c>
      <c r="P167" s="12">
        <f t="shared" ref="P167:Q186" si="46">IF($E69&gt;P$66,0,IF($E69&lt;P$66-365,$C69,0))</f>
        <v>-18.765999999999998</v>
      </c>
      <c r="Q167" s="12">
        <f t="shared" si="46"/>
        <v>-18.765999999999998</v>
      </c>
      <c r="T167" s="14"/>
      <c r="U167" s="14"/>
      <c r="V167" s="14"/>
      <c r="W167" s="53">
        <f t="shared" ref="W167:W211" si="47">C68*$BN$160*1000</f>
        <v>0</v>
      </c>
      <c r="X167" s="54" t="e">
        <f t="shared" ref="X167:X211" si="48">-1*F68/W167</f>
        <v>#DIV/0!</v>
      </c>
      <c r="Y167" s="25">
        <f>Z167/$BH$166</f>
        <v>0</v>
      </c>
      <c r="Z167" s="54">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si="40"/>
        <v>84.92</v>
      </c>
      <c r="BF167" s="24" t="s">
        <v>486</v>
      </c>
      <c r="BG167" s="56">
        <f>BV158+($C$64-$BV$158)</f>
        <v>76.86</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-39.031999999999996</v>
      </c>
      <c r="K168" s="12">
        <f t="shared" si="43"/>
        <v>-39.031999999999996</v>
      </c>
      <c r="L168" s="12">
        <f t="shared" si="44"/>
        <v>-39.031999999999996</v>
      </c>
      <c r="M168" s="12">
        <f t="shared" si="44"/>
        <v>-39.031999999999996</v>
      </c>
      <c r="N168" s="12">
        <f t="shared" si="44"/>
        <v>-39.031999999999996</v>
      </c>
      <c r="O168" s="12">
        <f t="shared" si="45"/>
        <v>-39.031999999999996</v>
      </c>
      <c r="P168" s="12">
        <f t="shared" si="46"/>
        <v>-39.031999999999996</v>
      </c>
      <c r="Q168" s="12">
        <f t="shared" si="46"/>
        <v>-39.031999999999996</v>
      </c>
      <c r="T168" s="57"/>
      <c r="U168" s="57"/>
      <c r="V168" s="57"/>
      <c r="W168" s="53">
        <f t="shared" si="47"/>
        <v>-2852.4319999999998</v>
      </c>
      <c r="X168" s="54">
        <f t="shared" si="48"/>
        <v>2.6293352479568313</v>
      </c>
      <c r="Y168" s="54">
        <f t="shared" ref="Y168:Y213" si="55">Z168/$BH$166</f>
        <v>-8.0798732330150058E-2</v>
      </c>
      <c r="Z168" s="54">
        <f>($C69/$BN$157)+($D69/$BN$158)</f>
        <v>-1.2386445666212003</v>
      </c>
      <c r="AA168" s="54">
        <f t="shared" si="49"/>
        <v>0</v>
      </c>
      <c r="AB168" s="54">
        <f t="shared" si="49"/>
        <v>0</v>
      </c>
      <c r="AC168" s="54">
        <f t="shared" si="49"/>
        <v>-0.92983181165536677</v>
      </c>
      <c r="AD168" s="54">
        <f>IF($E69+365&lt;$C$56,0,IF($E69&lt;$C$56,(($E69+365-$C$56)/365)*(($C69/$BN$157)+($D69/$BN$158)),IF($E69&gt;AD$166,0,IF($E69+365&lt;AD$166,($C69/$BN$157)+($D69/$BN$158),((AD$166-$E69)/365)*(($C69/$BN$157)+($D69/$BN$158))))))</f>
        <v>-1.2386445666212003</v>
      </c>
      <c r="AE168" s="54">
        <f t="shared" si="49"/>
        <v>-1.2386445666212003</v>
      </c>
      <c r="AF168" s="54">
        <f t="shared" si="49"/>
        <v>-1.2386445666212003</v>
      </c>
      <c r="AG168" s="54">
        <f t="shared" si="49"/>
        <v>-1.2386445666212003</v>
      </c>
      <c r="AH168" s="54">
        <f t="shared" si="49"/>
        <v>-1.2386445666212003</v>
      </c>
      <c r="AI168" s="54">
        <f t="shared" si="49"/>
        <v>-1.2386445666212003</v>
      </c>
      <c r="AJ168" s="54">
        <f t="shared" si="49"/>
        <v>-1.2386445666212003</v>
      </c>
      <c r="AK168" s="54">
        <f t="shared" ref="AK168" si="56">IF($E69+365&lt;$C$56,0,IF($E69&lt;$C$56,(($E69+365-$C$56)/365)*(($C69/$BN$157)+($D69/$BN$158)),IF($E69&gt;AK$166,0,IF($E69+365&lt;AK$166,($C69/$BN$157)+($D69/$BN$158),((AK$166-$E69)/365)*(($C69/$BN$157)+($D69/$BN$158))))))</f>
        <v>-1.2386445666212003</v>
      </c>
      <c r="AL168" s="24">
        <f t="shared" si="51"/>
        <v>-18.765999999999998</v>
      </c>
      <c r="AM168" s="24">
        <f t="shared" si="52"/>
        <v>0</v>
      </c>
      <c r="AN168" s="55">
        <f t="shared" si="53"/>
        <v>7500</v>
      </c>
      <c r="AO168" s="55">
        <f t="shared" si="54"/>
        <v>0</v>
      </c>
      <c r="AP168" s="24"/>
      <c r="AQ168" s="24"/>
      <c r="AR168" s="24"/>
      <c r="AS168" s="24"/>
      <c r="AT168" s="24"/>
      <c r="AU168" s="24"/>
      <c r="AV168" s="24"/>
      <c r="AW168" s="24"/>
      <c r="AX168" s="24"/>
      <c r="AY168" s="24"/>
      <c r="AZ168" s="24"/>
      <c r="BA168" s="24"/>
      <c r="BB168" s="24"/>
      <c r="BC168" s="24"/>
      <c r="BD168" s="24"/>
      <c r="BE168" s="24">
        <f t="shared" si="40"/>
        <v>84.92</v>
      </c>
      <c r="BF168" s="59">
        <f>AB166</f>
        <v>45747</v>
      </c>
      <c r="BG168" s="36">
        <f>(BV158+AB214)+($C$64-$BV$158)</f>
        <v>76.86</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1"/>
        <v>0</v>
      </c>
      <c r="H169" s="12">
        <f t="shared" si="42"/>
        <v>0</v>
      </c>
      <c r="I169" s="12">
        <f t="shared" si="42"/>
        <v>0</v>
      </c>
      <c r="J169" s="12">
        <f t="shared" si="42"/>
        <v>-27.896000000000001</v>
      </c>
      <c r="K169" s="12">
        <f t="shared" si="43"/>
        <v>-27.896000000000001</v>
      </c>
      <c r="L169" s="12">
        <f t="shared" si="44"/>
        <v>-27.896000000000001</v>
      </c>
      <c r="M169" s="12">
        <f t="shared" si="44"/>
        <v>-27.896000000000001</v>
      </c>
      <c r="N169" s="12">
        <f t="shared" si="44"/>
        <v>-27.896000000000001</v>
      </c>
      <c r="O169" s="12">
        <f t="shared" si="45"/>
        <v>-27.896000000000001</v>
      </c>
      <c r="P169" s="12">
        <f t="shared" si="46"/>
        <v>-27.896000000000001</v>
      </c>
      <c r="Q169" s="12">
        <f t="shared" si="46"/>
        <v>-27.896000000000001</v>
      </c>
      <c r="T169" s="61"/>
      <c r="U169" s="61"/>
      <c r="V169" s="61"/>
      <c r="W169" s="53">
        <f t="shared" si="47"/>
        <v>-5932.8639999999996</v>
      </c>
      <c r="X169" s="54">
        <f t="shared" si="48"/>
        <v>2.5282898782105914</v>
      </c>
      <c r="Y169" s="343">
        <f>Z169/$BH$166</f>
        <v>-0.16805585208943927</v>
      </c>
      <c r="Z169" s="54">
        <f>($C70/$BN$157)+($D70/$BN$158)</f>
        <v>-2.5762962125311035</v>
      </c>
      <c r="AA169" s="54">
        <f t="shared" si="49"/>
        <v>0</v>
      </c>
      <c r="AB169" s="54">
        <f t="shared" si="49"/>
        <v>0</v>
      </c>
      <c r="AC169" s="54">
        <f t="shared" si="49"/>
        <v>-1.9339867458452669</v>
      </c>
      <c r="AD169" s="54">
        <f>IF($E70+365&lt;$C$56,0,IF($E70&lt;$C$56,(($E70+365-$C$56)/365)*(($C70/$BN$157)+($D70/$BN$158)),IF($E70&gt;AD$166,0,IF($E70+365&lt;AD$166,($C70/$BN$157)+($D70/$BN$158),((AD$166-$E70)/365)*(($C70/$BN$157)+($D70/$BN$158))))))</f>
        <v>-2.5762962125311035</v>
      </c>
      <c r="AE169" s="54">
        <f t="shared" si="49"/>
        <v>-2.5762962125311035</v>
      </c>
      <c r="AF169" s="54">
        <f t="shared" si="49"/>
        <v>-2.5762962125311035</v>
      </c>
      <c r="AG169" s="54">
        <f t="shared" si="49"/>
        <v>-2.5762962125311035</v>
      </c>
      <c r="AH169" s="54">
        <f t="shared" si="49"/>
        <v>-2.5762962125311035</v>
      </c>
      <c r="AI169" s="54">
        <f t="shared" si="49"/>
        <v>-2.5762962125311035</v>
      </c>
      <c r="AJ169" s="54">
        <f t="shared" si="49"/>
        <v>-2.5762962125311035</v>
      </c>
      <c r="AK169" s="54">
        <f t="shared" ref="AK169" si="57">IF($E70+365&lt;$C$56,0,IF($E70&lt;$C$56,(($E70+365-$C$56)/365)*(($C70/$BN$157)+($D70/$BN$158)),IF($E70&gt;AK$166,0,IF($E70+365&lt;AK$166,($C70/$BN$157)+($D70/$BN$158),((AK$166-$E70)/365)*(($C70/$BN$157)+($D70/$BN$158))))))</f>
        <v>-2.5762962125311035</v>
      </c>
      <c r="AL169" s="24">
        <f t="shared" si="51"/>
        <v>-39.031999999999996</v>
      </c>
      <c r="AM169" s="24">
        <f t="shared" si="52"/>
        <v>0</v>
      </c>
      <c r="AN169" s="55">
        <f t="shared" si="53"/>
        <v>15000</v>
      </c>
      <c r="AO169" s="55">
        <f t="shared" si="54"/>
        <v>0</v>
      </c>
      <c r="AP169" s="24"/>
      <c r="AQ169" s="24"/>
      <c r="AR169" s="24"/>
      <c r="AS169" s="24"/>
      <c r="AT169" s="24"/>
      <c r="AU169" s="24"/>
      <c r="AV169" s="24"/>
      <c r="AW169" s="24"/>
      <c r="AX169" s="24"/>
      <c r="AY169" s="24"/>
      <c r="AZ169" s="24"/>
      <c r="BA169" s="24"/>
      <c r="BB169" s="24"/>
      <c r="BC169" s="24"/>
      <c r="BD169" s="24"/>
      <c r="BE169" s="24">
        <f t="shared" si="40"/>
        <v>84.92</v>
      </c>
      <c r="BF169" s="59">
        <f>BF168+365</f>
        <v>46112</v>
      </c>
      <c r="BG169" s="36">
        <f>BV158+AC214+($C$64-$BV$158)</f>
        <v>57.923165552213064</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8">INDEX(AN156:AR156,MATCH($CE$168,$AN$165:$AR$165,0))</f>
        <v>69.59</v>
      </c>
      <c r="CJ169" s="14">
        <f t="shared" ref="CJ169:CJ177" si="59">INDEX(AU156:AY156,MATCH($CE$168,$AN$165:$AR$165,0))</f>
        <v>129.52000000000001</v>
      </c>
    </row>
    <row r="170" spans="7:88">
      <c r="G170" s="12">
        <f t="shared" si="41"/>
        <v>0</v>
      </c>
      <c r="H170" s="12">
        <f t="shared" si="42"/>
        <v>0</v>
      </c>
      <c r="I170" s="12">
        <f t="shared" si="42"/>
        <v>0</v>
      </c>
      <c r="J170" s="12">
        <f t="shared" si="42"/>
        <v>-207.036</v>
      </c>
      <c r="K170" s="12">
        <f t="shared" si="43"/>
        <v>-207.036</v>
      </c>
      <c r="L170" s="12">
        <f t="shared" si="44"/>
        <v>-207.036</v>
      </c>
      <c r="M170" s="12">
        <f t="shared" si="44"/>
        <v>-207.036</v>
      </c>
      <c r="N170" s="12">
        <f t="shared" si="44"/>
        <v>-207.036</v>
      </c>
      <c r="O170" s="12">
        <f t="shared" si="45"/>
        <v>-207.036</v>
      </c>
      <c r="P170" s="12">
        <f t="shared" si="46"/>
        <v>-207.036</v>
      </c>
      <c r="Q170" s="12">
        <f t="shared" si="46"/>
        <v>-207.036</v>
      </c>
      <c r="T170" s="61"/>
      <c r="U170" s="61"/>
      <c r="V170" s="61"/>
      <c r="W170" s="53">
        <f t="shared" si="47"/>
        <v>-4240.192</v>
      </c>
      <c r="X170" s="54">
        <f t="shared" si="48"/>
        <v>3.5375756569513834</v>
      </c>
      <c r="Y170" s="25">
        <f t="shared" si="55"/>
        <v>-0.1475097101687296</v>
      </c>
      <c r="Z170" s="54">
        <f t="shared" ref="Z170:Z213" si="60">($C71/$BN$157)+($D71/$BN$158)</f>
        <v>-2.2613238568866247</v>
      </c>
      <c r="AA170" s="54">
        <f t="shared" si="49"/>
        <v>0</v>
      </c>
      <c r="AB170" s="54">
        <f t="shared" si="49"/>
        <v>0</v>
      </c>
      <c r="AC170" s="54">
        <f t="shared" si="49"/>
        <v>-1.6975417446217402</v>
      </c>
      <c r="AD170" s="54">
        <f t="shared" si="49"/>
        <v>-2.2613238568866247</v>
      </c>
      <c r="AE170" s="54">
        <f t="shared" si="49"/>
        <v>-2.2613238568866247</v>
      </c>
      <c r="AF170" s="54">
        <f t="shared" si="49"/>
        <v>-2.2613238568866247</v>
      </c>
      <c r="AG170" s="54">
        <f t="shared" si="49"/>
        <v>-2.2613238568866247</v>
      </c>
      <c r="AH170" s="54">
        <f t="shared" si="49"/>
        <v>-2.2613238568866247</v>
      </c>
      <c r="AI170" s="54">
        <f t="shared" si="49"/>
        <v>-2.2613238568866247</v>
      </c>
      <c r="AJ170" s="54">
        <f t="shared" si="49"/>
        <v>-2.2613238568866247</v>
      </c>
      <c r="AK170" s="54">
        <f t="shared" ref="AK170" si="61">IF($E71+365&lt;$C$56,0,IF($E71&lt;$C$56,(($E71+365-$C$56)/365)*(($C71/$BN$157)+($D71/$BN$158)),IF($E71&gt;AK$166,0,IF($E71+365&lt;AK$166,($C71/$BN$157)+($D71/$BN$158),((AK$166-$E71)/365)*(($C71/$BN$157)+($D71/$BN$158))))))</f>
        <v>-2.2613238568866247</v>
      </c>
      <c r="AL170" s="24">
        <f t="shared" si="51"/>
        <v>-27.896000000000001</v>
      </c>
      <c r="AM170" s="24">
        <f t="shared" si="52"/>
        <v>-100.426</v>
      </c>
      <c r="AN170" s="55">
        <f t="shared" si="53"/>
        <v>15000</v>
      </c>
      <c r="AO170" s="55">
        <f t="shared" si="54"/>
        <v>0</v>
      </c>
      <c r="AP170" s="24"/>
      <c r="AQ170" s="24"/>
      <c r="AR170" s="24"/>
      <c r="AS170" s="24"/>
      <c r="AT170" s="24"/>
      <c r="AU170" s="24"/>
      <c r="AV170" s="24"/>
      <c r="AW170" s="24"/>
      <c r="AX170" s="24"/>
      <c r="AY170" s="24"/>
      <c r="AZ170" s="24"/>
      <c r="BA170" s="24"/>
      <c r="BB170" s="24"/>
      <c r="BC170" s="24"/>
      <c r="BD170" s="24"/>
      <c r="BE170" s="24">
        <f t="shared" si="40"/>
        <v>84.92</v>
      </c>
      <c r="BF170" s="59">
        <f>BF169+365</f>
        <v>46477</v>
      </c>
      <c r="BG170" s="36">
        <f>$BV$158+AD214+($C$64-$BV$158)</f>
        <v>51.633924914444407</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8"/>
        <v>84.92</v>
      </c>
      <c r="CJ170" s="14">
        <f t="shared" si="59"/>
        <v>158.69</v>
      </c>
    </row>
    <row r="171" spans="7:88">
      <c r="G171" s="12">
        <f t="shared" si="41"/>
        <v>0</v>
      </c>
      <c r="H171" s="12">
        <f t="shared" si="42"/>
        <v>0</v>
      </c>
      <c r="I171" s="12">
        <f t="shared" si="42"/>
        <v>0</v>
      </c>
      <c r="J171" s="12">
        <f t="shared" si="42"/>
        <v>0</v>
      </c>
      <c r="K171" s="12">
        <f t="shared" si="43"/>
        <v>0</v>
      </c>
      <c r="L171" s="12">
        <f t="shared" si="44"/>
        <v>0</v>
      </c>
      <c r="M171" s="12">
        <f t="shared" si="44"/>
        <v>0</v>
      </c>
      <c r="N171" s="12">
        <f t="shared" si="44"/>
        <v>0</v>
      </c>
      <c r="O171" s="12">
        <f t="shared" si="45"/>
        <v>0</v>
      </c>
      <c r="P171" s="12">
        <f t="shared" si="46"/>
        <v>0</v>
      </c>
      <c r="Q171" s="12">
        <f t="shared" si="46"/>
        <v>0</v>
      </c>
      <c r="T171" s="61"/>
      <c r="U171" s="61"/>
      <c r="V171" s="61"/>
      <c r="W171" s="53">
        <f t="shared" si="47"/>
        <v>-31469.471999999998</v>
      </c>
      <c r="X171" s="54">
        <f t="shared" si="48"/>
        <v>24.825646899954343</v>
      </c>
      <c r="Y171" s="54">
        <f t="shared" si="55"/>
        <v>-0.89141246651950068</v>
      </c>
      <c r="Z171" s="54">
        <f>($C72/$BN$157)+($D72/$BN$158)</f>
        <v>-13.665353111743944</v>
      </c>
      <c r="AA171" s="54">
        <f t="shared" si="49"/>
        <v>0</v>
      </c>
      <c r="AB171" s="54">
        <f t="shared" si="49"/>
        <v>0</v>
      </c>
      <c r="AC171" s="54">
        <f t="shared" si="49"/>
        <v>-10.258374664706412</v>
      </c>
      <c r="AD171" s="54">
        <f t="shared" si="49"/>
        <v>-13.665353111743944</v>
      </c>
      <c r="AE171" s="54">
        <f t="shared" si="49"/>
        <v>-13.665353111743944</v>
      </c>
      <c r="AF171" s="54">
        <f>IF($E72+365&lt;$C$56,0,IF($E72&lt;$C$56,(($E72+365-$C$56)/365)*(($C72/$BN$157)+($D72/$BN$158)),IF($E72&gt;AF$166,0,IF($E72+365&lt;AF$166,($C72/$BN$157)+($D72/$BN$158),((AF$166-$E72)/365)*(($C72/$BN$157)+($D72/$BN$158))))))</f>
        <v>-13.665353111743944</v>
      </c>
      <c r="AG171" s="54">
        <f t="shared" si="49"/>
        <v>-13.665353111743944</v>
      </c>
      <c r="AH171" s="54">
        <f t="shared" si="49"/>
        <v>-13.665353111743944</v>
      </c>
      <c r="AI171" s="54">
        <f t="shared" si="49"/>
        <v>-13.665353111743944</v>
      </c>
      <c r="AJ171" s="54">
        <f t="shared" si="49"/>
        <v>-13.665353111743944</v>
      </c>
      <c r="AK171" s="54">
        <f t="shared" ref="AK171" si="62">IF($E72+365&lt;$C$56,0,IF($E72&lt;$C$56,(($E72+365-$C$56)/365)*(($C72/$BN$157)+($D72/$BN$158)),IF($E72&gt;AK$166,0,IF($E72+365&lt;AK$166,($C72/$BN$157)+($D72/$BN$158),((AK$166-$E72)/365)*(($C72/$BN$157)+($D72/$BN$158))))))</f>
        <v>-13.665353111743944</v>
      </c>
      <c r="AL171" s="24">
        <f t="shared" si="51"/>
        <v>-207.036</v>
      </c>
      <c r="AM171" s="24">
        <f t="shared" si="52"/>
        <v>0</v>
      </c>
      <c r="AN171" s="55">
        <f t="shared" si="53"/>
        <v>781250</v>
      </c>
      <c r="AO171" s="55">
        <f t="shared" si="54"/>
        <v>0</v>
      </c>
      <c r="AP171" s="24"/>
      <c r="AQ171" s="24"/>
      <c r="AR171" s="24"/>
      <c r="AS171" s="24"/>
      <c r="AT171" s="24"/>
      <c r="AU171" s="24"/>
      <c r="AV171" s="24"/>
      <c r="AW171" s="24"/>
      <c r="AX171" s="24"/>
      <c r="AY171" s="24"/>
      <c r="AZ171" s="24"/>
      <c r="BA171" s="24"/>
      <c r="BB171" s="24"/>
      <c r="BC171" s="24"/>
      <c r="BD171" s="24"/>
      <c r="BE171" s="24">
        <f t="shared" si="40"/>
        <v>84.92</v>
      </c>
      <c r="BF171" s="59">
        <f t="shared" ref="BF171:BF176" si="63">BF170+365</f>
        <v>46842</v>
      </c>
      <c r="BG171" s="36">
        <f>$BV$158+AE214+($C$64-$BV$158)</f>
        <v>51.633924914444407</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8"/>
        <v>100.25</v>
      </c>
      <c r="CJ171" s="14">
        <f t="shared" si="59"/>
        <v>187.86</v>
      </c>
    </row>
    <row r="172" spans="7:88">
      <c r="G172" s="12">
        <f t="shared" si="41"/>
        <v>0</v>
      </c>
      <c r="H172" s="12">
        <f t="shared" si="42"/>
        <v>0</v>
      </c>
      <c r="I172" s="12">
        <f t="shared" si="42"/>
        <v>0</v>
      </c>
      <c r="J172" s="12">
        <f t="shared" si="42"/>
        <v>-3.5</v>
      </c>
      <c r="K172" s="12">
        <f t="shared" si="43"/>
        <v>-3.5</v>
      </c>
      <c r="L172" s="12">
        <f t="shared" si="44"/>
        <v>-3.5</v>
      </c>
      <c r="M172" s="12">
        <f t="shared" si="44"/>
        <v>-3.5</v>
      </c>
      <c r="N172" s="12">
        <f t="shared" si="44"/>
        <v>-3.5</v>
      </c>
      <c r="O172" s="12">
        <f t="shared" si="45"/>
        <v>-3.5</v>
      </c>
      <c r="P172" s="12">
        <f t="shared" si="46"/>
        <v>-3.5</v>
      </c>
      <c r="Q172" s="12">
        <f t="shared" si="46"/>
        <v>-3.5</v>
      </c>
      <c r="T172" s="61"/>
      <c r="U172" s="61"/>
      <c r="V172" s="61"/>
      <c r="W172" s="53">
        <f t="shared" si="47"/>
        <v>0</v>
      </c>
      <c r="X172" s="54" t="e">
        <f t="shared" si="48"/>
        <v>#DIV/0!</v>
      </c>
      <c r="Y172" s="25">
        <f>Z172/$BH$166</f>
        <v>0</v>
      </c>
      <c r="Z172" s="54">
        <f t="shared" si="60"/>
        <v>0</v>
      </c>
      <c r="AA172" s="54">
        <f t="shared" si="49"/>
        <v>0</v>
      </c>
      <c r="AB172" s="54">
        <f t="shared" si="49"/>
        <v>0</v>
      </c>
      <c r="AC172" s="54">
        <f t="shared" si="49"/>
        <v>0</v>
      </c>
      <c r="AD172" s="54">
        <f t="shared" si="49"/>
        <v>0</v>
      </c>
      <c r="AE172" s="54">
        <f t="shared" si="49"/>
        <v>0</v>
      </c>
      <c r="AF172" s="54">
        <f t="shared" si="49"/>
        <v>0</v>
      </c>
      <c r="AG172" s="54">
        <f t="shared" si="49"/>
        <v>0</v>
      </c>
      <c r="AH172" s="54">
        <f t="shared" si="49"/>
        <v>0</v>
      </c>
      <c r="AI172" s="54">
        <f t="shared" si="49"/>
        <v>0</v>
      </c>
      <c r="AJ172" s="54">
        <f t="shared" si="49"/>
        <v>0</v>
      </c>
      <c r="AK172" s="54">
        <f t="shared" ref="AK172" si="64">IF($E73+365&lt;$C$56,0,IF($E73&lt;$C$56,(($E73+365-$C$56)/365)*(($C73/$BN$157)+($D73/$BN$158)),IF($E73&gt;AK$166,0,IF($E73+365&lt;AK$166,($C73/$BN$157)+($D73/$BN$158),((AK$166-$E73)/365)*(($C73/$BN$157)+($D73/$BN$158))))))</f>
        <v>0</v>
      </c>
      <c r="AL172" s="24">
        <f t="shared" si="51"/>
        <v>0</v>
      </c>
      <c r="AM172" s="24">
        <f t="shared" si="52"/>
        <v>0</v>
      </c>
      <c r="AN172" s="55">
        <f t="shared" si="53"/>
        <v>56250</v>
      </c>
      <c r="AO172" s="55">
        <f t="shared" si="54"/>
        <v>0</v>
      </c>
      <c r="AP172" s="24"/>
      <c r="AQ172" s="24"/>
      <c r="AR172" s="24"/>
      <c r="AS172" s="24"/>
      <c r="AT172" s="24"/>
      <c r="AU172" s="24"/>
      <c r="AV172" s="24"/>
      <c r="AW172" s="24"/>
      <c r="AX172" s="24"/>
      <c r="AY172" s="24"/>
      <c r="AZ172" s="24"/>
      <c r="BA172" s="24"/>
      <c r="BB172" s="24"/>
      <c r="BC172" s="24"/>
      <c r="BD172" s="24"/>
      <c r="BE172" s="24">
        <f t="shared" si="40"/>
        <v>84.92</v>
      </c>
      <c r="BF172" s="59">
        <f t="shared" si="63"/>
        <v>47207</v>
      </c>
      <c r="BG172" s="36">
        <f>$BV$158+AF214+($C$64-$BV$158)</f>
        <v>51.633924914444407</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8"/>
        <v>115.57</v>
      </c>
      <c r="CJ172" s="14">
        <f t="shared" si="59"/>
        <v>217.04</v>
      </c>
    </row>
    <row r="173" spans="7:88">
      <c r="G173" s="12">
        <f t="shared" si="41"/>
        <v>0</v>
      </c>
      <c r="H173" s="12">
        <f t="shared" si="42"/>
        <v>0</v>
      </c>
      <c r="I173" s="12">
        <f t="shared" si="42"/>
        <v>0</v>
      </c>
      <c r="J173" s="12">
        <f t="shared" si="42"/>
        <v>-122.057</v>
      </c>
      <c r="K173" s="12">
        <f t="shared" si="43"/>
        <v>-122.057</v>
      </c>
      <c r="L173" s="12">
        <f t="shared" si="44"/>
        <v>-122.057</v>
      </c>
      <c r="M173" s="12">
        <f t="shared" si="44"/>
        <v>-122.057</v>
      </c>
      <c r="N173" s="12">
        <f t="shared" si="44"/>
        <v>-122.057</v>
      </c>
      <c r="O173" s="12">
        <f t="shared" si="45"/>
        <v>-122.057</v>
      </c>
      <c r="P173" s="12">
        <f t="shared" si="46"/>
        <v>-122.057</v>
      </c>
      <c r="Q173" s="12">
        <f t="shared" si="46"/>
        <v>-122.057</v>
      </c>
      <c r="T173" s="61"/>
      <c r="U173" s="61"/>
      <c r="V173" s="61"/>
      <c r="W173" s="53">
        <f t="shared" si="47"/>
        <v>-532</v>
      </c>
      <c r="X173" s="54">
        <f t="shared" si="48"/>
        <v>2.3496240601503757</v>
      </c>
      <c r="Y173" s="25">
        <f t="shared" si="55"/>
        <v>-1.5069570667991325E-2</v>
      </c>
      <c r="Z173" s="54">
        <f t="shared" si="60"/>
        <v>-0.23101651834030698</v>
      </c>
      <c r="AA173" s="54">
        <f t="shared" si="49"/>
        <v>0</v>
      </c>
      <c r="AB173" s="54">
        <f t="shared" si="49"/>
        <v>0</v>
      </c>
      <c r="AC173" s="54">
        <f t="shared" si="49"/>
        <v>-0.17342061924724414</v>
      </c>
      <c r="AD173" s="54">
        <f t="shared" si="49"/>
        <v>-0.23101651834030698</v>
      </c>
      <c r="AE173" s="54">
        <f t="shared" si="49"/>
        <v>-0.23101651834030698</v>
      </c>
      <c r="AF173" s="54">
        <f t="shared" si="49"/>
        <v>-0.23101651834030698</v>
      </c>
      <c r="AG173" s="54">
        <f t="shared" si="49"/>
        <v>-0.23101651834030698</v>
      </c>
      <c r="AH173" s="54">
        <f t="shared" si="49"/>
        <v>-0.23101651834030698</v>
      </c>
      <c r="AI173" s="54">
        <f t="shared" si="49"/>
        <v>-0.23101651834030698</v>
      </c>
      <c r="AJ173" s="54">
        <f t="shared" si="49"/>
        <v>-0.23101651834030698</v>
      </c>
      <c r="AK173" s="54">
        <f t="shared" ref="AK173" si="65">IF($E74+365&lt;$C$56,0,IF($E74&lt;$C$56,(($E74+365-$C$56)/365)*(($C74/$BN$157)+($D74/$BN$158)),IF($E74&gt;AK$166,0,IF($E74+365&lt;AK$166,($C74/$BN$157)+($D74/$BN$158),((AK$166-$E74)/365)*(($C74/$BN$157)+($D74/$BN$158))))))</f>
        <v>-0.23101651834030698</v>
      </c>
      <c r="AL173" s="24">
        <f t="shared" si="51"/>
        <v>-3.5</v>
      </c>
      <c r="AM173" s="24">
        <f t="shared" si="52"/>
        <v>0</v>
      </c>
      <c r="AN173" s="55">
        <f t="shared" si="53"/>
        <v>1250</v>
      </c>
      <c r="AO173" s="55">
        <f t="shared" si="54"/>
        <v>0</v>
      </c>
      <c r="AP173" s="24"/>
      <c r="AQ173" s="24"/>
      <c r="AR173" s="24"/>
      <c r="AS173" s="24"/>
      <c r="AT173" s="24"/>
      <c r="AU173" s="24"/>
      <c r="AV173" s="24"/>
      <c r="AW173" s="24"/>
      <c r="AX173" s="24"/>
      <c r="AY173" s="24"/>
      <c r="AZ173" s="24"/>
      <c r="BA173" s="24"/>
      <c r="BB173" s="24"/>
      <c r="BC173" s="24"/>
      <c r="BD173" s="24"/>
      <c r="BE173" s="24">
        <f t="shared" si="40"/>
        <v>84.92</v>
      </c>
      <c r="BF173" s="59">
        <f t="shared" si="63"/>
        <v>47572</v>
      </c>
      <c r="BG173" s="36">
        <f>$BV$158+AG214+($C$64-$BV$158)</f>
        <v>51.633924914444407</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8"/>
        <v>130.9</v>
      </c>
      <c r="CJ173" s="14">
        <f t="shared" si="59"/>
        <v>246.21</v>
      </c>
    </row>
    <row r="174" spans="7:88">
      <c r="G174" s="12">
        <f t="shared" si="41"/>
        <v>0</v>
      </c>
      <c r="H174" s="12">
        <f t="shared" si="42"/>
        <v>0</v>
      </c>
      <c r="I174" s="12">
        <f t="shared" si="42"/>
        <v>0</v>
      </c>
      <c r="J174" s="12">
        <f t="shared" si="42"/>
        <v>0</v>
      </c>
      <c r="K174" s="12">
        <f t="shared" si="43"/>
        <v>0</v>
      </c>
      <c r="L174" s="12">
        <f t="shared" si="44"/>
        <v>0</v>
      </c>
      <c r="M174" s="12">
        <f t="shared" si="44"/>
        <v>0</v>
      </c>
      <c r="N174" s="12">
        <f t="shared" si="44"/>
        <v>0</v>
      </c>
      <c r="O174" s="12">
        <f t="shared" si="45"/>
        <v>-113.83199999999999</v>
      </c>
      <c r="P174" s="12">
        <f t="shared" si="46"/>
        <v>-113.83199999999999</v>
      </c>
      <c r="Q174" s="12">
        <f t="shared" si="46"/>
        <v>-113.83199999999999</v>
      </c>
      <c r="T174" s="61"/>
      <c r="U174" s="61"/>
      <c r="V174" s="61"/>
      <c r="W174" s="53">
        <f t="shared" si="47"/>
        <v>-18552.664000000001</v>
      </c>
      <c r="X174" s="54">
        <f t="shared" si="48"/>
        <v>3.6382915143614953</v>
      </c>
      <c r="Y174" s="25">
        <f t="shared" si="55"/>
        <v>-0.52552759629229062</v>
      </c>
      <c r="Z174" s="54">
        <f t="shared" si="60"/>
        <v>-8.0563380511608145</v>
      </c>
      <c r="AA174" s="54">
        <f t="shared" si="49"/>
        <v>0</v>
      </c>
      <c r="AB174" s="54">
        <f t="shared" si="49"/>
        <v>0</v>
      </c>
      <c r="AC174" s="54">
        <f t="shared" si="49"/>
        <v>-6.0477715781316803</v>
      </c>
      <c r="AD174" s="54">
        <f t="shared" si="49"/>
        <v>-8.0563380511608145</v>
      </c>
      <c r="AE174" s="54">
        <f t="shared" si="49"/>
        <v>-8.0563380511608145</v>
      </c>
      <c r="AF174" s="54">
        <f t="shared" si="49"/>
        <v>-8.0563380511608145</v>
      </c>
      <c r="AG174" s="54">
        <f t="shared" si="49"/>
        <v>-8.0563380511608145</v>
      </c>
      <c r="AH174" s="54">
        <f t="shared" si="49"/>
        <v>-8.0563380511608145</v>
      </c>
      <c r="AI174" s="54">
        <f t="shared" si="49"/>
        <v>-8.0563380511608145</v>
      </c>
      <c r="AJ174" s="54">
        <f t="shared" si="49"/>
        <v>-8.0563380511608145</v>
      </c>
      <c r="AK174" s="54">
        <f t="shared" ref="AK174" si="66">IF($E75+365&lt;$C$56,0,IF($E75&lt;$C$56,(($E75+365-$C$56)/365)*(($C75/$BN$157)+($D75/$BN$158)),IF($E75&gt;AK$166,0,IF($E75+365&lt;AK$166,($C75/$BN$157)+($D75/$BN$158),((AK$166-$E75)/365)*(($C75/$BN$157)+($D75/$BN$158))))))</f>
        <v>-8.0563380511608145</v>
      </c>
      <c r="AL174" s="24">
        <f t="shared" si="51"/>
        <v>-122.057</v>
      </c>
      <c r="AM174" s="24">
        <f t="shared" si="52"/>
        <v>0</v>
      </c>
      <c r="AN174" s="55">
        <f t="shared" si="53"/>
        <v>67500</v>
      </c>
      <c r="AO174" s="55">
        <f t="shared" si="54"/>
        <v>0</v>
      </c>
      <c r="AP174" s="24"/>
      <c r="AQ174" s="24"/>
      <c r="AR174" s="24"/>
      <c r="AS174" s="24"/>
      <c r="AT174" s="24"/>
      <c r="AU174" s="24"/>
      <c r="AV174" s="24"/>
      <c r="AW174" s="24"/>
      <c r="AX174" s="24"/>
      <c r="AY174" s="24"/>
      <c r="AZ174" s="24"/>
      <c r="BA174" s="24"/>
      <c r="BB174" s="24"/>
      <c r="BC174" s="24"/>
      <c r="BD174" s="24"/>
      <c r="BE174" s="24">
        <f t="shared" si="40"/>
        <v>84.92</v>
      </c>
      <c r="BF174" s="59">
        <f t="shared" si="63"/>
        <v>47937</v>
      </c>
      <c r="BG174" s="36">
        <f>$BV$158+AH214+($C$64-$BV$158)</f>
        <v>44.957248037265323</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8"/>
        <v>146.22999999999999</v>
      </c>
      <c r="CJ174" s="14">
        <f t="shared" si="59"/>
        <v>275.38</v>
      </c>
    </row>
    <row r="175" spans="7:88">
      <c r="G175" s="12">
        <f t="shared" si="41"/>
        <v>0</v>
      </c>
      <c r="H175" s="12">
        <f t="shared" si="42"/>
        <v>0</v>
      </c>
      <c r="I175" s="12">
        <f t="shared" si="42"/>
        <v>0</v>
      </c>
      <c r="J175" s="12">
        <f t="shared" si="42"/>
        <v>0</v>
      </c>
      <c r="K175" s="12">
        <f t="shared" si="43"/>
        <v>0</v>
      </c>
      <c r="L175" s="12">
        <f t="shared" si="44"/>
        <v>0</v>
      </c>
      <c r="M175" s="12">
        <f t="shared" si="44"/>
        <v>0</v>
      </c>
      <c r="N175" s="12">
        <f t="shared" si="44"/>
        <v>0</v>
      </c>
      <c r="O175" s="12">
        <f t="shared" si="45"/>
        <v>-43.805999999999997</v>
      </c>
      <c r="P175" s="12">
        <f t="shared" si="46"/>
        <v>-43.805999999999997</v>
      </c>
      <c r="Q175" s="12">
        <f t="shared" si="46"/>
        <v>-43.805999999999997</v>
      </c>
      <c r="T175" s="61"/>
      <c r="U175" s="61"/>
      <c r="V175" s="61"/>
      <c r="W175" s="53">
        <f t="shared" si="47"/>
        <v>-17302.463999999996</v>
      </c>
      <c r="X175" s="54">
        <f t="shared" si="48"/>
        <v>6.6825742275782236</v>
      </c>
      <c r="Y175" s="25">
        <f t="shared" si="55"/>
        <v>-0.49011410522251098</v>
      </c>
      <c r="Z175" s="54">
        <f t="shared" si="60"/>
        <v>-7.5134492330610927</v>
      </c>
      <c r="AA175" s="54">
        <f t="shared" si="49"/>
        <v>0</v>
      </c>
      <c r="AB175" s="54">
        <f t="shared" si="49"/>
        <v>0</v>
      </c>
      <c r="AC175" s="54">
        <f t="shared" si="49"/>
        <v>0</v>
      </c>
      <c r="AD175" s="54">
        <f t="shared" si="49"/>
        <v>0</v>
      </c>
      <c r="AE175" s="54">
        <f t="shared" si="49"/>
        <v>0</v>
      </c>
      <c r="AF175" s="54">
        <f t="shared" si="49"/>
        <v>0</v>
      </c>
      <c r="AG175" s="54">
        <f t="shared" si="49"/>
        <v>0</v>
      </c>
      <c r="AH175" s="54">
        <f t="shared" si="49"/>
        <v>-5.6402331229006561</v>
      </c>
      <c r="AI175" s="54">
        <f t="shared" si="49"/>
        <v>-7.5134492330610927</v>
      </c>
      <c r="AJ175" s="54">
        <f t="shared" si="49"/>
        <v>-7.5134492330610927</v>
      </c>
      <c r="AK175" s="54">
        <f t="shared" ref="AK175" si="67">IF($E76+365&lt;$C$56,0,IF($E76&lt;$C$56,(($E76+365-$C$56)/365)*(($C76/$BN$157)+($D76/$BN$158)),IF($E76&gt;AK$166,0,IF($E76+365&lt;AK$166,($C76/$BN$157)+($D76/$BN$158),((AK$166-$E76)/365)*(($C76/$BN$157)+($D76/$BN$158))))))</f>
        <v>-7.5134492330610927</v>
      </c>
      <c r="AL175" s="24">
        <f t="shared" si="51"/>
        <v>-113.83199999999999</v>
      </c>
      <c r="AM175" s="24">
        <f t="shared" si="52"/>
        <v>0</v>
      </c>
      <c r="AN175" s="55">
        <f t="shared" si="53"/>
        <v>115625</v>
      </c>
      <c r="AO175" s="55">
        <f t="shared" si="54"/>
        <v>0</v>
      </c>
      <c r="AP175" s="24"/>
      <c r="AQ175" s="24"/>
      <c r="AR175" s="24"/>
      <c r="AS175" s="24"/>
      <c r="AT175" s="24"/>
      <c r="AU175" s="24"/>
      <c r="AV175" s="24"/>
      <c r="AW175" s="24"/>
      <c r="AX175" s="24"/>
      <c r="AY175" s="24"/>
      <c r="AZ175" s="24"/>
      <c r="BA175" s="24"/>
      <c r="BB175" s="24"/>
      <c r="BC175" s="24"/>
      <c r="BD175" s="24"/>
      <c r="BE175" s="24">
        <f t="shared" si="40"/>
        <v>84.92</v>
      </c>
      <c r="BF175" s="59">
        <f t="shared" si="63"/>
        <v>48302</v>
      </c>
      <c r="BG175" s="36">
        <f>$BV$158+AI214+($C$64-$BV$158)</f>
        <v>42.739811556158394</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8"/>
        <v>161.56</v>
      </c>
      <c r="CJ175" s="14">
        <f t="shared" si="59"/>
        <v>304.55</v>
      </c>
    </row>
    <row r="176" spans="7:88">
      <c r="G176" s="12">
        <f t="shared" si="41"/>
        <v>0</v>
      </c>
      <c r="H176" s="12">
        <f t="shared" si="42"/>
        <v>0</v>
      </c>
      <c r="I176" s="12">
        <f t="shared" si="42"/>
        <v>0</v>
      </c>
      <c r="J176" s="12">
        <f t="shared" si="42"/>
        <v>0</v>
      </c>
      <c r="K176" s="12">
        <f t="shared" si="43"/>
        <v>0</v>
      </c>
      <c r="L176" s="12">
        <f t="shared" si="44"/>
        <v>0</v>
      </c>
      <c r="M176" s="12">
        <f t="shared" si="44"/>
        <v>0</v>
      </c>
      <c r="N176" s="12">
        <f t="shared" si="44"/>
        <v>0</v>
      </c>
      <c r="O176" s="12">
        <f t="shared" si="45"/>
        <v>0</v>
      </c>
      <c r="P176" s="12">
        <f t="shared" si="46"/>
        <v>0</v>
      </c>
      <c r="Q176" s="12">
        <f t="shared" si="46"/>
        <v>0</v>
      </c>
      <c r="T176" s="61"/>
      <c r="U176" s="61"/>
      <c r="V176" s="61"/>
      <c r="W176" s="53">
        <f t="shared" si="47"/>
        <v>-6658.5119999999988</v>
      </c>
      <c r="X176" s="54">
        <f t="shared" si="48"/>
        <v>26.43233202853731</v>
      </c>
      <c r="Y176" s="25">
        <f t="shared" si="55"/>
        <v>-0.18861074648057943</v>
      </c>
      <c r="Z176" s="54">
        <f t="shared" si="60"/>
        <v>-2.8914027435472822</v>
      </c>
      <c r="AA176" s="54">
        <f t="shared" si="49"/>
        <v>0</v>
      </c>
      <c r="AB176" s="54">
        <f t="shared" si="49"/>
        <v>0</v>
      </c>
      <c r="AC176" s="54">
        <f t="shared" si="49"/>
        <v>0</v>
      </c>
      <c r="AD176" s="54">
        <f t="shared" si="49"/>
        <v>0</v>
      </c>
      <c r="AE176" s="54">
        <f t="shared" si="49"/>
        <v>0</v>
      </c>
      <c r="AF176" s="54">
        <f t="shared" si="49"/>
        <v>0</v>
      </c>
      <c r="AG176" s="54">
        <f t="shared" si="49"/>
        <v>0</v>
      </c>
      <c r="AH176" s="54">
        <f t="shared" si="49"/>
        <v>-2.1705324704985078</v>
      </c>
      <c r="AI176" s="54">
        <f t="shared" si="49"/>
        <v>-2.8914027435472822</v>
      </c>
      <c r="AJ176" s="54">
        <f t="shared" si="49"/>
        <v>-2.8914027435472822</v>
      </c>
      <c r="AK176" s="54">
        <f t="shared" ref="AK176" si="68">IF($E77+365&lt;$C$56,0,IF($E77&lt;$C$56,(($E77+365-$C$56)/365)*(($C77/$BN$157)+($D77/$BN$158)),IF($E77&gt;AK$166,0,IF($E77+365&lt;AK$166,($C77/$BN$157)+($D77/$BN$158),((AK$166-$E77)/365)*(($C77/$BN$157)+($D77/$BN$158))))))</f>
        <v>-2.8914027435472822</v>
      </c>
      <c r="AL176" s="24">
        <f t="shared" si="51"/>
        <v>-43.805999999999997</v>
      </c>
      <c r="AM176" s="24">
        <f t="shared" si="52"/>
        <v>0</v>
      </c>
      <c r="AN176" s="55">
        <f t="shared" si="53"/>
        <v>176000</v>
      </c>
      <c r="AO176" s="55">
        <f t="shared" si="54"/>
        <v>0</v>
      </c>
      <c r="AP176" s="24"/>
      <c r="AQ176" s="24"/>
      <c r="AR176" s="24"/>
      <c r="AS176" s="24"/>
      <c r="AT176" s="24"/>
      <c r="AU176" s="24"/>
      <c r="AV176" s="24"/>
      <c r="AW176" s="24"/>
      <c r="AX176" s="24"/>
      <c r="AY176" s="24"/>
      <c r="AZ176" s="24"/>
      <c r="BA176" s="24"/>
      <c r="BB176" s="24"/>
      <c r="BC176" s="24"/>
      <c r="BD176" s="24"/>
      <c r="BE176" s="24">
        <f t="shared" si="40"/>
        <v>84.92</v>
      </c>
      <c r="BF176" s="59">
        <f t="shared" si="63"/>
        <v>48667</v>
      </c>
      <c r="BG176" s="36">
        <f>$BV$158+AJ214+($C$64-$BV$158)</f>
        <v>42.739811556158394</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8"/>
        <v>176.89</v>
      </c>
      <c r="CJ176" s="14">
        <f t="shared" si="59"/>
        <v>333.72</v>
      </c>
    </row>
    <row r="177" spans="7:88">
      <c r="G177" s="12">
        <f t="shared" si="41"/>
        <v>0</v>
      </c>
      <c r="H177" s="12">
        <f t="shared" si="42"/>
        <v>0</v>
      </c>
      <c r="I177" s="12">
        <f t="shared" si="42"/>
        <v>0</v>
      </c>
      <c r="J177" s="12">
        <f t="shared" si="42"/>
        <v>0</v>
      </c>
      <c r="K177" s="12">
        <f t="shared" si="43"/>
        <v>0</v>
      </c>
      <c r="L177" s="12">
        <f t="shared" si="44"/>
        <v>0</v>
      </c>
      <c r="M177" s="12">
        <f t="shared" si="44"/>
        <v>0</v>
      </c>
      <c r="N177" s="12">
        <f t="shared" si="44"/>
        <v>0</v>
      </c>
      <c r="O177" s="12">
        <f t="shared" si="45"/>
        <v>73</v>
      </c>
      <c r="P177" s="12">
        <f t="shared" si="46"/>
        <v>73</v>
      </c>
      <c r="Q177" s="12">
        <f t="shared" si="46"/>
        <v>73</v>
      </c>
      <c r="T177" s="61"/>
      <c r="U177" s="61"/>
      <c r="V177" s="61"/>
      <c r="W177" s="53">
        <f t="shared" si="47"/>
        <v>0</v>
      </c>
      <c r="X177" s="54" t="e">
        <f t="shared" si="48"/>
        <v>#DIV/0!</v>
      </c>
      <c r="Y177" s="25">
        <f t="shared" si="55"/>
        <v>0</v>
      </c>
      <c r="Z177" s="54">
        <f t="shared" si="60"/>
        <v>0</v>
      </c>
      <c r="AA177" s="54">
        <f t="shared" si="49"/>
        <v>0</v>
      </c>
      <c r="AB177" s="54">
        <f t="shared" si="49"/>
        <v>0</v>
      </c>
      <c r="AC177" s="54">
        <f t="shared" si="49"/>
        <v>0</v>
      </c>
      <c r="AD177" s="54">
        <f t="shared" si="49"/>
        <v>0</v>
      </c>
      <c r="AE177" s="54">
        <f t="shared" si="49"/>
        <v>0</v>
      </c>
      <c r="AF177" s="54">
        <f t="shared" si="49"/>
        <v>0</v>
      </c>
      <c r="AG177" s="54">
        <f t="shared" si="49"/>
        <v>0</v>
      </c>
      <c r="AH177" s="54">
        <f t="shared" si="49"/>
        <v>0</v>
      </c>
      <c r="AI177" s="54">
        <f t="shared" si="49"/>
        <v>0</v>
      </c>
      <c r="AJ177" s="54">
        <f t="shared" si="49"/>
        <v>0</v>
      </c>
      <c r="AK177" s="54">
        <f t="shared" ref="AK177" si="69">IF($E78+365&lt;$C$56,0,IF($E78&lt;$C$56,(($E78+365-$C$56)/365)*(($C78/$BN$157)+($D78/$BN$158)),IF($E78&gt;AK$166,0,IF($E78+365&lt;AK$166,($C78/$BN$157)+($D78/$BN$158),((AK$166-$E78)/365)*(($C78/$BN$157)+($D78/$BN$158))))))</f>
        <v>0</v>
      </c>
      <c r="AL177" s="24">
        <f t="shared" si="51"/>
        <v>0</v>
      </c>
      <c r="AM177" s="24">
        <f t="shared" si="52"/>
        <v>0</v>
      </c>
      <c r="AN177" s="55">
        <f t="shared" si="53"/>
        <v>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8"/>
        <v>192.21</v>
      </c>
      <c r="CJ177" s="14">
        <f t="shared" si="59"/>
        <v>362.89</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11096</v>
      </c>
      <c r="X178" s="54">
        <f t="shared" si="48"/>
        <v>-78.857245854361935</v>
      </c>
      <c r="Y178" s="25">
        <f t="shared" si="55"/>
        <v>3.408374434018465E-2</v>
      </c>
      <c r="Z178" s="54">
        <f t="shared" si="60"/>
        <v>0.52250380073503067</v>
      </c>
      <c r="AA178" s="54">
        <f t="shared" si="49"/>
        <v>0</v>
      </c>
      <c r="AB178" s="54">
        <f t="shared" si="49"/>
        <v>0</v>
      </c>
      <c r="AC178" s="54">
        <f>IF($E79+365&lt;$C$56,0,IF($E79&lt;$C$56,(($E79+365-$C$56)/365)*(($C79/$BN$157)+($D79/$BN$158)),IF($E79&gt;AC$166,0,IF($E79+365&lt;AC$166,($C79/$BN$157)+($D79/$BN$158),((AC$166-$E79)/365)*(($C79/$BN$157)+($D79/$BN$158))))))</f>
        <v>0</v>
      </c>
      <c r="AD178" s="54">
        <f t="shared" si="49"/>
        <v>0</v>
      </c>
      <c r="AE178" s="54">
        <f t="shared" si="49"/>
        <v>0</v>
      </c>
      <c r="AF178" s="54">
        <f t="shared" si="49"/>
        <v>0</v>
      </c>
      <c r="AG178" s="54">
        <f t="shared" si="49"/>
        <v>0</v>
      </c>
      <c r="AH178" s="54">
        <f t="shared" si="49"/>
        <v>0.39223572986684496</v>
      </c>
      <c r="AI178" s="54">
        <f t="shared" si="49"/>
        <v>0.52250380073503067</v>
      </c>
      <c r="AJ178" s="54">
        <f t="shared" si="49"/>
        <v>0.52250380073503067</v>
      </c>
      <c r="AK178" s="54">
        <f t="shared" ref="AK178" si="70">IF($E79+365&lt;$C$56,0,IF($E79&lt;$C$56,(($E79+365-$C$56)/365)*(($C79/$BN$157)+($D79/$BN$158)),IF($E79&gt;AK$166,0,IF($E79+365&lt;AK$166,($C79/$BN$157)+($D79/$BN$158),((AK$166-$E79)/365)*(($C79/$BN$157)+($D79/$BN$158))))))</f>
        <v>0.52250380073503067</v>
      </c>
      <c r="AL178" s="24">
        <f t="shared" si="51"/>
        <v>73</v>
      </c>
      <c r="AM178" s="24">
        <f t="shared" si="52"/>
        <v>-1027.039</v>
      </c>
      <c r="AN178" s="55">
        <f t="shared" si="53"/>
        <v>875000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0</v>
      </c>
      <c r="X179" s="54" t="e">
        <f t="shared" si="48"/>
        <v>#DIV/0!</v>
      </c>
      <c r="Y179" s="25">
        <f t="shared" si="55"/>
        <v>0</v>
      </c>
      <c r="Z179" s="54">
        <f t="shared" si="60"/>
        <v>0</v>
      </c>
      <c r="AA179" s="54">
        <f t="shared" si="49"/>
        <v>0</v>
      </c>
      <c r="AB179" s="54">
        <f t="shared" si="49"/>
        <v>0</v>
      </c>
      <c r="AC179" s="54">
        <f t="shared" si="49"/>
        <v>0</v>
      </c>
      <c r="AD179" s="54">
        <f t="shared" si="49"/>
        <v>0</v>
      </c>
      <c r="AE179" s="54">
        <f t="shared" si="49"/>
        <v>0</v>
      </c>
      <c r="AF179" s="54">
        <f t="shared" si="49"/>
        <v>0</v>
      </c>
      <c r="AG179" s="54">
        <f t="shared" si="49"/>
        <v>0</v>
      </c>
      <c r="AH179" s="54">
        <f t="shared" si="49"/>
        <v>0</v>
      </c>
      <c r="AI179" s="54">
        <f t="shared" si="49"/>
        <v>0</v>
      </c>
      <c r="AJ179" s="54">
        <f t="shared" si="49"/>
        <v>0</v>
      </c>
      <c r="AK179" s="54">
        <f t="shared" ref="AK179" si="71">IF($E80+365&lt;$C$56,0,IF($E80&lt;$C$56,(($E80+365-$C$56)/365)*(($C80/$BN$157)+($D80/$BN$158)),IF($E80&gt;AK$166,0,IF($E80+365&lt;AK$166,($C80/$BN$157)+($D80/$BN$158),((AK$166-$E80)/365)*(($C80/$BN$157)+($D80/$BN$158))))))</f>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48"/>
        <v>#DIV/0!</v>
      </c>
      <c r="Y180" s="25">
        <f t="shared" si="55"/>
        <v>0</v>
      </c>
      <c r="Z180" s="54">
        <f t="shared" si="60"/>
        <v>0</v>
      </c>
      <c r="AA180" s="54">
        <f t="shared" si="49"/>
        <v>0</v>
      </c>
      <c r="AB180" s="54">
        <f t="shared" si="49"/>
        <v>0</v>
      </c>
      <c r="AC180" s="54">
        <f t="shared" si="49"/>
        <v>0</v>
      </c>
      <c r="AD180" s="54">
        <f t="shared" si="49"/>
        <v>0</v>
      </c>
      <c r="AE180" s="54">
        <f t="shared" si="49"/>
        <v>0</v>
      </c>
      <c r="AF180" s="54">
        <f t="shared" si="49"/>
        <v>0</v>
      </c>
      <c r="AG180" s="54">
        <f t="shared" si="49"/>
        <v>0</v>
      </c>
      <c r="AH180" s="54">
        <f t="shared" si="49"/>
        <v>0</v>
      </c>
      <c r="AI180" s="54">
        <f t="shared" si="49"/>
        <v>0</v>
      </c>
      <c r="AJ180" s="54">
        <f t="shared" si="49"/>
        <v>0</v>
      </c>
      <c r="AK180" s="54">
        <f t="shared" ref="AK180" si="72">IF($E81+365&lt;$C$56,0,IF($E81&lt;$C$56,(($E81+365-$C$56)/365)*(($C81/$BN$157)+($D81/$BN$158)),IF($E81&gt;AK$166,0,IF($E81+365&lt;AK$166,($C81/$BN$157)+($D81/$BN$158),((AK$166-$E81)/365)*(($C81/$BN$157)+($D81/$BN$158))))))</f>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48"/>
        <v>#DIV/0!</v>
      </c>
      <c r="Y181" s="25">
        <f t="shared" si="55"/>
        <v>0</v>
      </c>
      <c r="Z181" s="54">
        <f t="shared" si="60"/>
        <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48"/>
        <v>#DIV/0!</v>
      </c>
      <c r="Y182" s="25">
        <f t="shared" si="55"/>
        <v>0</v>
      </c>
      <c r="Z182" s="54">
        <f t="shared" si="60"/>
        <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48"/>
        <v>#DIV/0!</v>
      </c>
      <c r="Y183" s="25">
        <f t="shared" si="55"/>
        <v>0</v>
      </c>
      <c r="Z183" s="54">
        <f t="shared" si="60"/>
        <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40000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48"/>
        <v>#DIV/0!</v>
      </c>
      <c r="Y184" s="25">
        <f t="shared" si="55"/>
        <v>0</v>
      </c>
      <c r="Z184" s="54">
        <f t="shared" si="60"/>
        <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48"/>
        <v>#DIV/0!</v>
      </c>
      <c r="Y185" s="25">
        <f t="shared" si="55"/>
        <v>0</v>
      </c>
      <c r="Z185" s="54">
        <f t="shared" si="60"/>
        <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48"/>
        <v>#DIV/0!</v>
      </c>
      <c r="Y186" s="25">
        <f t="shared" si="55"/>
        <v>0</v>
      </c>
      <c r="Z186" s="54">
        <f t="shared" si="60"/>
        <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48"/>
        <v>#DIV/0!</v>
      </c>
      <c r="Y187" s="25">
        <f t="shared" si="55"/>
        <v>0</v>
      </c>
      <c r="Z187" s="54">
        <f t="shared" si="60"/>
        <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48"/>
        <v>#DIV/0!</v>
      </c>
      <c r="Y188" s="25">
        <f t="shared" si="55"/>
        <v>0</v>
      </c>
      <c r="Z188" s="54">
        <f t="shared" si="60"/>
        <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48"/>
        <v>#DIV/0!</v>
      </c>
      <c r="Y189" s="25">
        <f t="shared" si="55"/>
        <v>0</v>
      </c>
      <c r="Z189" s="54">
        <f t="shared" si="60"/>
        <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48"/>
        <v>#DIV/0!</v>
      </c>
      <c r="Y190" s="25">
        <f t="shared" si="55"/>
        <v>0</v>
      </c>
      <c r="Z190" s="54">
        <f t="shared" si="60"/>
        <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48"/>
        <v>#DIV/0!</v>
      </c>
      <c r="Y191" s="25">
        <f t="shared" si="55"/>
        <v>0</v>
      </c>
      <c r="Z191" s="54">
        <f t="shared" si="60"/>
        <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48"/>
        <v>#DIV/0!</v>
      </c>
      <c r="Y192" s="25">
        <f t="shared" si="55"/>
        <v>0</v>
      </c>
      <c r="Z192" s="54">
        <f t="shared" si="60"/>
        <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48"/>
        <v>#DIV/0!</v>
      </c>
      <c r="Y193" s="25">
        <f t="shared" si="55"/>
        <v>0</v>
      </c>
      <c r="Z193" s="54">
        <f t="shared" si="60"/>
        <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48"/>
        <v>#DIV/0!</v>
      </c>
      <c r="Y194" s="25">
        <f t="shared" si="55"/>
        <v>0</v>
      </c>
      <c r="Z194" s="54">
        <f t="shared" si="60"/>
        <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0">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48"/>
        <v>#DIV/0!</v>
      </c>
      <c r="Y195" s="25">
        <f t="shared" si="55"/>
        <v>0</v>
      </c>
      <c r="Z195" s="54">
        <f t="shared" si="60"/>
        <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1">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48"/>
        <v>#DIV/0!</v>
      </c>
      <c r="Y196" s="25">
        <f t="shared" si="55"/>
        <v>0</v>
      </c>
      <c r="Z196" s="54">
        <f t="shared" si="60"/>
        <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2">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48"/>
        <v>#DIV/0!</v>
      </c>
      <c r="Y197" s="25">
        <f t="shared" si="55"/>
        <v>0</v>
      </c>
      <c r="Z197" s="54">
        <f t="shared" si="60"/>
        <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3">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48"/>
        <v>#DIV/0!</v>
      </c>
      <c r="Y198" s="25">
        <f t="shared" si="55"/>
        <v>0</v>
      </c>
      <c r="Z198" s="54">
        <f t="shared" si="60"/>
        <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4">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48"/>
        <v>#DIV/0!</v>
      </c>
      <c r="Y199" s="25">
        <f t="shared" si="55"/>
        <v>0</v>
      </c>
      <c r="Z199" s="54">
        <f t="shared" si="60"/>
        <v>0</v>
      </c>
      <c r="AA199" s="54">
        <f t="shared" ref="AA199:AJ213" si="95">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ref="AK199" si="96">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c r="AU199" s="24"/>
      <c r="AV199" s="24"/>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48"/>
        <v>#DIV/0!</v>
      </c>
      <c r="Y200" s="25">
        <f t="shared" si="55"/>
        <v>0</v>
      </c>
      <c r="Z200" s="54">
        <f t="shared" si="60"/>
        <v>0</v>
      </c>
      <c r="AA200" s="54">
        <f t="shared" si="95"/>
        <v>0</v>
      </c>
      <c r="AB200" s="54">
        <f t="shared" si="95"/>
        <v>0</v>
      </c>
      <c r="AC200" s="54">
        <f t="shared" si="95"/>
        <v>0</v>
      </c>
      <c r="AD200" s="54">
        <f t="shared" si="95"/>
        <v>0</v>
      </c>
      <c r="AE200" s="54">
        <f t="shared" si="95"/>
        <v>0</v>
      </c>
      <c r="AF200" s="54">
        <f t="shared" si="95"/>
        <v>0</v>
      </c>
      <c r="AG200" s="54">
        <f t="shared" si="95"/>
        <v>0</v>
      </c>
      <c r="AH200" s="54">
        <f t="shared" si="95"/>
        <v>0</v>
      </c>
      <c r="AI200" s="54">
        <f t="shared" si="95"/>
        <v>0</v>
      </c>
      <c r="AJ200" s="54">
        <f t="shared" si="95"/>
        <v>0</v>
      </c>
      <c r="AK200" s="54">
        <f t="shared" ref="AK200" si="97">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c r="AT200" s="24"/>
      <c r="AU200" s="24"/>
      <c r="AV200" s="24"/>
      <c r="AW200" s="24"/>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48"/>
        <v>#DIV/0!</v>
      </c>
      <c r="Y201" s="25">
        <f t="shared" si="55"/>
        <v>0</v>
      </c>
      <c r="Z201" s="54">
        <f t="shared" si="60"/>
        <v>0</v>
      </c>
      <c r="AA201" s="54">
        <f t="shared" si="95"/>
        <v>0</v>
      </c>
      <c r="AB201" s="54">
        <f t="shared" si="95"/>
        <v>0</v>
      </c>
      <c r="AC201" s="54">
        <f t="shared" si="95"/>
        <v>0</v>
      </c>
      <c r="AD201" s="54">
        <f t="shared" si="95"/>
        <v>0</v>
      </c>
      <c r="AE201" s="54">
        <f t="shared" si="95"/>
        <v>0</v>
      </c>
      <c r="AF201" s="54">
        <f t="shared" si="95"/>
        <v>0</v>
      </c>
      <c r="AG201" s="54">
        <f t="shared" si="95"/>
        <v>0</v>
      </c>
      <c r="AH201" s="54">
        <f t="shared" si="95"/>
        <v>0</v>
      </c>
      <c r="AI201" s="54">
        <f t="shared" si="95"/>
        <v>0</v>
      </c>
      <c r="AJ201" s="54">
        <f t="shared" si="95"/>
        <v>0</v>
      </c>
      <c r="AK201" s="54">
        <f t="shared" ref="AK201" si="98">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c r="AU201" s="24"/>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48"/>
        <v>#DIV/0!</v>
      </c>
      <c r="Y202" s="25">
        <f t="shared" si="55"/>
        <v>0</v>
      </c>
      <c r="Z202" s="54">
        <f t="shared" si="60"/>
        <v>0</v>
      </c>
      <c r="AA202" s="54">
        <f t="shared" si="95"/>
        <v>0</v>
      </c>
      <c r="AB202" s="54">
        <f t="shared" si="95"/>
        <v>0</v>
      </c>
      <c r="AC202" s="54">
        <f t="shared" si="95"/>
        <v>0</v>
      </c>
      <c r="AD202" s="54">
        <f t="shared" si="95"/>
        <v>0</v>
      </c>
      <c r="AE202" s="54">
        <f t="shared" si="95"/>
        <v>0</v>
      </c>
      <c r="AF202" s="54">
        <f t="shared" si="95"/>
        <v>0</v>
      </c>
      <c r="AG202" s="54">
        <f t="shared" si="95"/>
        <v>0</v>
      </c>
      <c r="AH202" s="54">
        <f t="shared" si="95"/>
        <v>0</v>
      </c>
      <c r="AI202" s="54">
        <f t="shared" si="95"/>
        <v>0</v>
      </c>
      <c r="AJ202" s="54">
        <f t="shared" si="95"/>
        <v>0</v>
      </c>
      <c r="AK202" s="54">
        <f t="shared" ref="AK202" si="99">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48"/>
        <v>#DIV/0!</v>
      </c>
      <c r="Y203" s="25">
        <f t="shared" si="55"/>
        <v>0</v>
      </c>
      <c r="Z203" s="54">
        <f t="shared" si="60"/>
        <v>0</v>
      </c>
      <c r="AA203" s="54">
        <f t="shared" si="95"/>
        <v>0</v>
      </c>
      <c r="AB203" s="54">
        <f t="shared" si="95"/>
        <v>0</v>
      </c>
      <c r="AC203" s="54">
        <f t="shared" si="95"/>
        <v>0</v>
      </c>
      <c r="AD203" s="54">
        <f t="shared" si="95"/>
        <v>0</v>
      </c>
      <c r="AE203" s="54">
        <f t="shared" si="95"/>
        <v>0</v>
      </c>
      <c r="AF203" s="54">
        <f t="shared" si="95"/>
        <v>0</v>
      </c>
      <c r="AG203" s="54">
        <f t="shared" si="95"/>
        <v>0</v>
      </c>
      <c r="AH203" s="54">
        <f t="shared" si="95"/>
        <v>0</v>
      </c>
      <c r="AI203" s="54">
        <f t="shared" si="95"/>
        <v>0</v>
      </c>
      <c r="AJ203" s="54">
        <f t="shared" si="95"/>
        <v>0</v>
      </c>
      <c r="AK203" s="54">
        <f t="shared" ref="AK203" si="100">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48"/>
        <v>#DIV/0!</v>
      </c>
      <c r="Y204" s="25">
        <f t="shared" si="55"/>
        <v>0</v>
      </c>
      <c r="Z204" s="54">
        <f t="shared" si="60"/>
        <v>0</v>
      </c>
      <c r="AA204" s="54">
        <f t="shared" si="95"/>
        <v>0</v>
      </c>
      <c r="AB204" s="54">
        <f t="shared" si="95"/>
        <v>0</v>
      </c>
      <c r="AC204" s="54">
        <f t="shared" si="95"/>
        <v>0</v>
      </c>
      <c r="AD204" s="54">
        <f t="shared" si="95"/>
        <v>0</v>
      </c>
      <c r="AE204" s="54">
        <f t="shared" si="95"/>
        <v>0</v>
      </c>
      <c r="AF204" s="54">
        <f t="shared" si="95"/>
        <v>0</v>
      </c>
      <c r="AG204" s="54">
        <f t="shared" si="95"/>
        <v>0</v>
      </c>
      <c r="AH204" s="54">
        <f t="shared" si="95"/>
        <v>0</v>
      </c>
      <c r="AI204" s="54">
        <f t="shared" si="95"/>
        <v>0</v>
      </c>
      <c r="AJ204" s="54">
        <f t="shared" si="95"/>
        <v>0</v>
      </c>
      <c r="AK204" s="54">
        <f t="shared" ref="AK204" si="101">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48"/>
        <v>#DIV/0!</v>
      </c>
      <c r="Y205" s="25">
        <f t="shared" si="55"/>
        <v>0</v>
      </c>
      <c r="Z205" s="54">
        <f t="shared" si="60"/>
        <v>0</v>
      </c>
      <c r="AA205" s="54">
        <f t="shared" si="95"/>
        <v>0</v>
      </c>
      <c r="AB205" s="54">
        <f t="shared" si="95"/>
        <v>0</v>
      </c>
      <c r="AC205" s="54">
        <f t="shared" si="95"/>
        <v>0</v>
      </c>
      <c r="AD205" s="54">
        <f t="shared" si="95"/>
        <v>0</v>
      </c>
      <c r="AE205" s="54">
        <f t="shared" si="95"/>
        <v>0</v>
      </c>
      <c r="AF205" s="54">
        <f t="shared" si="95"/>
        <v>0</v>
      </c>
      <c r="AG205" s="54">
        <f t="shared" si="95"/>
        <v>0</v>
      </c>
      <c r="AH205" s="54">
        <f t="shared" si="95"/>
        <v>0</v>
      </c>
      <c r="AI205" s="54">
        <f t="shared" si="95"/>
        <v>0</v>
      </c>
      <c r="AJ205" s="54">
        <f t="shared" si="95"/>
        <v>0</v>
      </c>
      <c r="AK205" s="54">
        <f t="shared" ref="AK205" si="102">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48"/>
        <v>#DIV/0!</v>
      </c>
      <c r="Y206" s="25">
        <f t="shared" si="55"/>
        <v>0</v>
      </c>
      <c r="Z206" s="54">
        <f t="shared" si="60"/>
        <v>0</v>
      </c>
      <c r="AA206" s="54">
        <f t="shared" si="95"/>
        <v>0</v>
      </c>
      <c r="AB206" s="54">
        <f t="shared" si="95"/>
        <v>0</v>
      </c>
      <c r="AC206" s="54">
        <f t="shared" si="95"/>
        <v>0</v>
      </c>
      <c r="AD206" s="54">
        <f t="shared" si="95"/>
        <v>0</v>
      </c>
      <c r="AE206" s="54">
        <f t="shared" si="95"/>
        <v>0</v>
      </c>
      <c r="AF206" s="54">
        <f t="shared" si="95"/>
        <v>0</v>
      </c>
      <c r="AG206" s="54">
        <f t="shared" si="95"/>
        <v>0</v>
      </c>
      <c r="AH206" s="54">
        <f t="shared" si="95"/>
        <v>0</v>
      </c>
      <c r="AI206" s="54">
        <f t="shared" si="95"/>
        <v>0</v>
      </c>
      <c r="AJ206" s="54">
        <f t="shared" si="95"/>
        <v>0</v>
      </c>
      <c r="AK206" s="54">
        <f t="shared" ref="AK206" si="103">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4">IF($E109&gt;H$66,0,IF($E109&lt;H$66-365,$C109,0))</f>
        <v>0</v>
      </c>
      <c r="I207" s="12">
        <f t="shared" si="104"/>
        <v>0</v>
      </c>
      <c r="J207" s="12">
        <f t="shared" si="104"/>
        <v>0</v>
      </c>
      <c r="K207" s="12">
        <f t="shared" si="43"/>
        <v>0</v>
      </c>
      <c r="L207" s="12">
        <f t="shared" ref="L207:N209" si="105">IF($E109&gt;L$66,0,IF($E109&lt;L$66-365,$C109,0))</f>
        <v>0</v>
      </c>
      <c r="M207" s="12">
        <f t="shared" si="105"/>
        <v>0</v>
      </c>
      <c r="N207" s="12">
        <f t="shared" si="105"/>
        <v>0</v>
      </c>
      <c r="O207" s="12">
        <f t="shared" si="45"/>
        <v>0</v>
      </c>
      <c r="P207" s="12">
        <f t="shared" ref="P207:Q209" si="106">IF($E109&gt;P$66,0,IF($E109&lt;P$66-365,$C109,0))</f>
        <v>0</v>
      </c>
      <c r="Q207" s="12">
        <f t="shared" si="106"/>
        <v>0</v>
      </c>
      <c r="T207" s="61"/>
      <c r="U207" s="61"/>
      <c r="V207" s="61"/>
      <c r="W207" s="53">
        <f t="shared" si="47"/>
        <v>0</v>
      </c>
      <c r="X207" s="54" t="e">
        <f t="shared" si="48"/>
        <v>#DIV/0!</v>
      </c>
      <c r="Y207" s="25">
        <f t="shared" si="55"/>
        <v>0</v>
      </c>
      <c r="Z207" s="54">
        <f t="shared" si="60"/>
        <v>0</v>
      </c>
      <c r="AA207" s="54">
        <f t="shared" si="95"/>
        <v>0</v>
      </c>
      <c r="AB207" s="54">
        <f t="shared" si="95"/>
        <v>0</v>
      </c>
      <c r="AC207" s="54">
        <f t="shared" si="95"/>
        <v>0</v>
      </c>
      <c r="AD207" s="54">
        <f t="shared" si="95"/>
        <v>0</v>
      </c>
      <c r="AE207" s="54">
        <f t="shared" si="95"/>
        <v>0</v>
      </c>
      <c r="AF207" s="54">
        <f t="shared" si="95"/>
        <v>0</v>
      </c>
      <c r="AG207" s="54">
        <f t="shared" si="95"/>
        <v>0</v>
      </c>
      <c r="AH207" s="54">
        <f t="shared" si="95"/>
        <v>0</v>
      </c>
      <c r="AI207" s="54">
        <f t="shared" si="95"/>
        <v>0</v>
      </c>
      <c r="AJ207" s="54">
        <f t="shared" si="95"/>
        <v>0</v>
      </c>
      <c r="AK207" s="54">
        <f t="shared" ref="AK207" si="107">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4"/>
        <v>0</v>
      </c>
      <c r="I208" s="12">
        <f t="shared" si="104"/>
        <v>0</v>
      </c>
      <c r="J208" s="12">
        <f t="shared" si="104"/>
        <v>0</v>
      </c>
      <c r="K208" s="12">
        <f t="shared" si="43"/>
        <v>0</v>
      </c>
      <c r="L208" s="12">
        <f t="shared" si="105"/>
        <v>0</v>
      </c>
      <c r="M208" s="12">
        <f t="shared" si="105"/>
        <v>0</v>
      </c>
      <c r="N208" s="12">
        <f t="shared" si="105"/>
        <v>0</v>
      </c>
      <c r="O208" s="12">
        <f t="shared" si="45"/>
        <v>0</v>
      </c>
      <c r="P208" s="12">
        <f t="shared" si="106"/>
        <v>0</v>
      </c>
      <c r="Q208" s="12">
        <f t="shared" si="106"/>
        <v>0</v>
      </c>
      <c r="T208" s="61"/>
      <c r="U208" s="61"/>
      <c r="V208" s="61"/>
      <c r="W208" s="53">
        <f t="shared" si="47"/>
        <v>0</v>
      </c>
      <c r="X208" s="54" t="e">
        <f t="shared" si="48"/>
        <v>#DIV/0!</v>
      </c>
      <c r="Y208" s="25">
        <f t="shared" si="55"/>
        <v>0</v>
      </c>
      <c r="Z208" s="54">
        <f t="shared" si="60"/>
        <v>0</v>
      </c>
      <c r="AA208" s="54">
        <f t="shared" si="95"/>
        <v>0</v>
      </c>
      <c r="AB208" s="54">
        <f t="shared" si="95"/>
        <v>0</v>
      </c>
      <c r="AC208" s="54">
        <f t="shared" si="95"/>
        <v>0</v>
      </c>
      <c r="AD208" s="54">
        <f t="shared" si="95"/>
        <v>0</v>
      </c>
      <c r="AE208" s="54">
        <f t="shared" si="95"/>
        <v>0</v>
      </c>
      <c r="AF208" s="54">
        <f t="shared" si="95"/>
        <v>0</v>
      </c>
      <c r="AG208" s="54">
        <f t="shared" si="95"/>
        <v>0</v>
      </c>
      <c r="AH208" s="54">
        <f t="shared" si="95"/>
        <v>0</v>
      </c>
      <c r="AI208" s="54">
        <f t="shared" si="95"/>
        <v>0</v>
      </c>
      <c r="AJ208" s="54">
        <f t="shared" si="95"/>
        <v>0</v>
      </c>
      <c r="AK208" s="54">
        <f t="shared" ref="AK208" si="108">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4"/>
        <v>0</v>
      </c>
      <c r="I209" s="12">
        <f t="shared" si="104"/>
        <v>0</v>
      </c>
      <c r="J209" s="12">
        <f t="shared" si="104"/>
        <v>0</v>
      </c>
      <c r="K209" s="12">
        <f t="shared" si="43"/>
        <v>0</v>
      </c>
      <c r="L209" s="12">
        <f t="shared" si="105"/>
        <v>0</v>
      </c>
      <c r="M209" s="12">
        <f t="shared" si="105"/>
        <v>0</v>
      </c>
      <c r="N209" s="12">
        <f t="shared" si="105"/>
        <v>0</v>
      </c>
      <c r="O209" s="12">
        <f t="shared" si="45"/>
        <v>0</v>
      </c>
      <c r="P209" s="12">
        <f t="shared" si="106"/>
        <v>0</v>
      </c>
      <c r="Q209" s="12">
        <f t="shared" si="106"/>
        <v>0</v>
      </c>
      <c r="T209" s="61"/>
      <c r="U209" s="61"/>
      <c r="V209" s="61"/>
      <c r="W209" s="53">
        <f t="shared" si="47"/>
        <v>0</v>
      </c>
      <c r="X209" s="54" t="e">
        <f t="shared" si="48"/>
        <v>#DIV/0!</v>
      </c>
      <c r="Y209" s="25">
        <f t="shared" si="55"/>
        <v>0</v>
      </c>
      <c r="Z209" s="54">
        <f t="shared" si="60"/>
        <v>0</v>
      </c>
      <c r="AA209" s="54">
        <f t="shared" si="95"/>
        <v>0</v>
      </c>
      <c r="AB209" s="54">
        <f t="shared" si="95"/>
        <v>0</v>
      </c>
      <c r="AC209" s="54">
        <f t="shared" si="95"/>
        <v>0</v>
      </c>
      <c r="AD209" s="54">
        <f t="shared" si="95"/>
        <v>0</v>
      </c>
      <c r="AE209" s="54">
        <f t="shared" si="95"/>
        <v>0</v>
      </c>
      <c r="AF209" s="54">
        <f t="shared" si="95"/>
        <v>0</v>
      </c>
      <c r="AG209" s="54">
        <f t="shared" si="95"/>
        <v>0</v>
      </c>
      <c r="AH209" s="54">
        <f t="shared" si="95"/>
        <v>0</v>
      </c>
      <c r="AI209" s="54">
        <f t="shared" si="95"/>
        <v>0</v>
      </c>
      <c r="AJ209" s="54">
        <f t="shared" si="95"/>
        <v>0</v>
      </c>
      <c r="AK209" s="54">
        <f t="shared" ref="AK209" si="109">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48"/>
        <v>#DIV/0!</v>
      </c>
      <c r="Y210" s="25">
        <f t="shared" si="55"/>
        <v>0</v>
      </c>
      <c r="Z210" s="54">
        <f t="shared" si="60"/>
        <v>0</v>
      </c>
      <c r="AA210" s="54">
        <f t="shared" si="95"/>
        <v>0</v>
      </c>
      <c r="AB210" s="54">
        <f t="shared" si="95"/>
        <v>0</v>
      </c>
      <c r="AC210" s="54">
        <f t="shared" si="95"/>
        <v>0</v>
      </c>
      <c r="AD210" s="54">
        <f t="shared" si="95"/>
        <v>0</v>
      </c>
      <c r="AE210" s="54">
        <f t="shared" si="95"/>
        <v>0</v>
      </c>
      <c r="AF210" s="54">
        <f t="shared" si="95"/>
        <v>0</v>
      </c>
      <c r="AG210" s="54">
        <f t="shared" si="95"/>
        <v>0</v>
      </c>
      <c r="AH210" s="54">
        <f t="shared" si="95"/>
        <v>0</v>
      </c>
      <c r="AI210" s="54">
        <f t="shared" si="95"/>
        <v>0</v>
      </c>
      <c r="AJ210" s="54">
        <f t="shared" si="95"/>
        <v>0</v>
      </c>
      <c r="AK210" s="54">
        <f t="shared" ref="AK210" si="110">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48"/>
        <v>#DIV/0!</v>
      </c>
      <c r="Y211" s="25">
        <f t="shared" si="55"/>
        <v>0</v>
      </c>
      <c r="Z211" s="54">
        <f t="shared" si="60"/>
        <v>0</v>
      </c>
      <c r="AA211" s="54">
        <f t="shared" si="95"/>
        <v>0</v>
      </c>
      <c r="AB211" s="54">
        <f t="shared" si="95"/>
        <v>0</v>
      </c>
      <c r="AC211" s="54">
        <f t="shared" si="95"/>
        <v>0</v>
      </c>
      <c r="AD211" s="54">
        <f t="shared" si="95"/>
        <v>0</v>
      </c>
      <c r="AE211" s="54">
        <f t="shared" si="95"/>
        <v>0</v>
      </c>
      <c r="AF211" s="54">
        <f t="shared" si="95"/>
        <v>0</v>
      </c>
      <c r="AG211" s="54">
        <f t="shared" si="95"/>
        <v>0</v>
      </c>
      <c r="AH211" s="54">
        <f t="shared" si="95"/>
        <v>0</v>
      </c>
      <c r="AI211" s="54">
        <f t="shared" si="95"/>
        <v>0</v>
      </c>
      <c r="AJ211" s="54">
        <f t="shared" si="95"/>
        <v>0</v>
      </c>
      <c r="AK211" s="54">
        <f t="shared" ref="AK211" si="111">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c r="Y212" s="25">
        <f t="shared" si="55"/>
        <v>0</v>
      </c>
      <c r="Z212" s="54">
        <f t="shared" si="60"/>
        <v>0</v>
      </c>
      <c r="AA212" s="54">
        <f t="shared" si="95"/>
        <v>0</v>
      </c>
      <c r="AB212" s="54">
        <f t="shared" si="95"/>
        <v>0</v>
      </c>
      <c r="AC212" s="54">
        <f t="shared" si="95"/>
        <v>0</v>
      </c>
      <c r="AD212" s="54">
        <f t="shared" si="95"/>
        <v>0</v>
      </c>
      <c r="AE212" s="54">
        <f t="shared" si="95"/>
        <v>0</v>
      </c>
      <c r="AF212" s="54">
        <f t="shared" si="95"/>
        <v>0</v>
      </c>
      <c r="AG212" s="54">
        <f t="shared" si="95"/>
        <v>0</v>
      </c>
      <c r="AH212" s="54">
        <f t="shared" si="95"/>
        <v>0</v>
      </c>
      <c r="AI212" s="54">
        <f t="shared" si="95"/>
        <v>0</v>
      </c>
      <c r="AJ212" s="54">
        <f t="shared" si="95"/>
        <v>0</v>
      </c>
      <c r="AK212" s="54">
        <f t="shared" ref="AK212" si="112">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c r="Y213" s="25">
        <f t="shared" si="55"/>
        <v>0</v>
      </c>
      <c r="Z213" s="54">
        <f t="shared" si="60"/>
        <v>0</v>
      </c>
      <c r="AA213" s="54">
        <f t="shared" si="95"/>
        <v>0</v>
      </c>
      <c r="AB213" s="54">
        <f t="shared" si="95"/>
        <v>0</v>
      </c>
      <c r="AC213" s="54">
        <f t="shared" si="95"/>
        <v>0</v>
      </c>
      <c r="AD213" s="54">
        <f t="shared" si="95"/>
        <v>0</v>
      </c>
      <c r="AE213" s="54">
        <f t="shared" si="95"/>
        <v>0</v>
      </c>
      <c r="AF213" s="54">
        <f t="shared" si="95"/>
        <v>0</v>
      </c>
      <c r="AG213" s="54">
        <f t="shared" si="95"/>
        <v>0</v>
      </c>
      <c r="AH213" s="54">
        <f t="shared" si="95"/>
        <v>0</v>
      </c>
      <c r="AI213" s="54">
        <f t="shared" si="95"/>
        <v>0</v>
      </c>
      <c r="AJ213" s="54">
        <f t="shared" si="95"/>
        <v>0</v>
      </c>
      <c r="AK213" s="54">
        <f t="shared" ref="AK213" si="113">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0</v>
      </c>
      <c r="H214" s="187">
        <f t="shared" ref="H214:Q214" si="114">SUM(H167:H213)</f>
        <v>0</v>
      </c>
      <c r="I214" s="187">
        <f t="shared" si="114"/>
        <v>0</v>
      </c>
      <c r="J214" s="187">
        <f t="shared" si="114"/>
        <v>-418.28700000000003</v>
      </c>
      <c r="K214" s="187">
        <f t="shared" si="114"/>
        <v>-418.28700000000003</v>
      </c>
      <c r="L214" s="187">
        <f t="shared" si="114"/>
        <v>-418.28700000000003</v>
      </c>
      <c r="M214" s="187">
        <f t="shared" si="114"/>
        <v>-418.28700000000003</v>
      </c>
      <c r="N214" s="187">
        <f t="shared" si="114"/>
        <v>-418.28700000000003</v>
      </c>
      <c r="O214" s="187">
        <f t="shared" si="114"/>
        <v>-502.92500000000007</v>
      </c>
      <c r="P214" s="187">
        <f t="shared" si="114"/>
        <v>-502.92500000000007</v>
      </c>
      <c r="Q214" s="187">
        <f t="shared" si="114"/>
        <v>-502.92500000000007</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-18.936834447786939</v>
      </c>
      <c r="AD214" s="155">
        <f>VLOOKUP($A$2,Assumptions!$B$124:$G$147,6,0)*SUM(AD167:AD213)</f>
        <v>-25.226075085555596</v>
      </c>
      <c r="AE214" s="155">
        <f>VLOOKUP($A$2,Assumptions!$B$124:$G$147,6,0)*SUM(AE167:AE213)</f>
        <v>-25.226075085555596</v>
      </c>
      <c r="AF214" s="155">
        <f>VLOOKUP($A$2,Assumptions!$B$124:$G$147,6,0)*SUM(AF167:AF213)</f>
        <v>-25.226075085555596</v>
      </c>
      <c r="AG214" s="155">
        <f>VLOOKUP($A$2,Assumptions!$B$124:$G$147,6,0)*SUM(AG167:AG213)</f>
        <v>-25.226075085555596</v>
      </c>
      <c r="AH214" s="155">
        <f>VLOOKUP($A$2,Assumptions!$B$124:$G$147,6,0)*SUM(AH167:AH213)</f>
        <v>-31.902751962734676</v>
      </c>
      <c r="AI214" s="155">
        <f>VLOOKUP($A$2,Assumptions!$B$124:$G$147,6,0)*SUM(AI167:AI213)</f>
        <v>-34.120188443841606</v>
      </c>
      <c r="AJ214" s="155">
        <f>VLOOKUP($A$2,Assumptions!$B$124:$G$147,6,0)*SUM(AJ167:AJ213)</f>
        <v>-34.120188443841606</v>
      </c>
      <c r="AK214" s="155">
        <f>VLOOKUP($A$2,Assumptions!$B$124:$G$147,6,0)*SUM(AK167:AK213)</f>
        <v>-34.120188443841606</v>
      </c>
      <c r="AL214" s="155">
        <f>VLOOKUP($A$2,Assumptions!$B$124:$G$147,6,0)*SUM(AL167:AL213)</f>
        <v>-452.63250000000005</v>
      </c>
      <c r="AM214" s="155">
        <f>VLOOKUP($A$2,Assumptions!$B$124:$G$147,6,0)*SUM(AM167:AM213)</f>
        <v>-1014.7184999999999</v>
      </c>
      <c r="AN214" s="55">
        <f>SUM(AN167:AN213)</f>
        <v>2150375</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76.86</v>
      </c>
      <c r="AA215" s="156">
        <f>$C$64+AA214</f>
        <v>76.86</v>
      </c>
      <c r="AB215" s="156">
        <f t="shared" ref="AB215:AE215" si="115">$C$64+AB214</f>
        <v>76.86</v>
      </c>
      <c r="AC215" s="156">
        <f t="shared" si="115"/>
        <v>57.923165552213064</v>
      </c>
      <c r="AD215" s="156">
        <f t="shared" si="115"/>
        <v>51.633924914444407</v>
      </c>
      <c r="AE215" s="156">
        <f t="shared" si="115"/>
        <v>51.633924914444407</v>
      </c>
      <c r="AF215" s="156">
        <f>$C$64+AF214</f>
        <v>51.633924914444407</v>
      </c>
      <c r="AG215" s="156">
        <f t="shared" ref="AG215:AJ215" si="116">$C$64+AG214</f>
        <v>51.633924914444407</v>
      </c>
      <c r="AH215" s="156">
        <f>$C$64+AH214</f>
        <v>44.957248037265323</v>
      </c>
      <c r="AI215" s="156">
        <f t="shared" si="116"/>
        <v>42.739811556158394</v>
      </c>
      <c r="AJ215" s="156">
        <f t="shared" si="116"/>
        <v>42.739811556158394</v>
      </c>
      <c r="AK215" s="156">
        <f>$C$64+AK214</f>
        <v>42.739811556158394</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7">IF(Z215&lt;$BB$154,(6+(1-Z215/$BB$154)),IF(Z215&lt;$BB$155,5.5+(0.5*(($BB$155-Z215)/($BB$155-$BB$154))),IF(Z215&lt;$BB$156,5-0.5*((Z215)-$BB$156)/($BB$156-$BB$155),IF(Z215&lt;$BB$157,4.5-0.5*((Z215-$BB$157)/($BB$157-$BB$156)),5-0.5*((Z215-$BB$156)/$BH$166)))))</f>
        <v>4.7628832354859751</v>
      </c>
      <c r="AA216" s="154">
        <f t="shared" si="117"/>
        <v>4.7628832354859751</v>
      </c>
      <c r="AB216" s="154">
        <f t="shared" si="117"/>
        <v>4.7628832354859751</v>
      </c>
      <c r="AC216" s="154">
        <f t="shared" si="117"/>
        <v>5.3353020390224728</v>
      </c>
      <c r="AD216" s="154">
        <f t="shared" si="117"/>
        <v>5.5160533147163555</v>
      </c>
      <c r="AE216" s="154">
        <f t="shared" si="117"/>
        <v>5.5160533147163555</v>
      </c>
      <c r="AF216" s="154">
        <f t="shared" si="117"/>
        <v>5.5160533147163555</v>
      </c>
      <c r="AG216" s="154">
        <f t="shared" si="117"/>
        <v>5.5160533147163555</v>
      </c>
      <c r="AH216" s="154">
        <f t="shared" si="117"/>
        <v>5.7079394155118459</v>
      </c>
      <c r="AI216" s="154">
        <f t="shared" si="117"/>
        <v>5.7716680110315162</v>
      </c>
      <c r="AJ216" s="154">
        <f t="shared" si="117"/>
        <v>5.7716680110315162</v>
      </c>
      <c r="AK216" s="154">
        <f>IF(AK215&lt;$BB$154,(6+(1-AK215/$BB$154)),IF(AK215&lt;$BB$155,5.5+(0.5*(($BB$155-AK215)/($BB$155-$BB$154))),IF(AK215&lt;$BB$156,5-0.5*((AK215)-$BB$156)/($BB$156-$BB$155),IF(AK215&lt;$BB$157,4.5-0.5*((AK215-$BB$157)/($BB$157-$BB$156)),5-0.5*((AK215-$BB$156)/$BH$166)))))</f>
        <v>5.7716680110315162</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8">IF($E69&lt;G$66,$D69,0)</f>
        <v>0</v>
      </c>
      <c r="H220" s="12">
        <f t="shared" ref="H220:Q220" si="119">IF($E69&gt;H$66,0,IF($E69&lt;H$66-365,$D69,0))</f>
        <v>0</v>
      </c>
      <c r="I220" s="12">
        <f t="shared" si="119"/>
        <v>0</v>
      </c>
      <c r="J220" s="12">
        <f t="shared" si="119"/>
        <v>0</v>
      </c>
      <c r="K220" s="12">
        <f t="shared" si="119"/>
        <v>0</v>
      </c>
      <c r="L220" s="12">
        <f t="shared" si="119"/>
        <v>0</v>
      </c>
      <c r="M220" s="12">
        <f t="shared" si="119"/>
        <v>0</v>
      </c>
      <c r="N220" s="12">
        <f t="shared" si="119"/>
        <v>0</v>
      </c>
      <c r="O220" s="12">
        <f t="shared" si="119"/>
        <v>0</v>
      </c>
      <c r="P220" s="12">
        <f t="shared" si="119"/>
        <v>0</v>
      </c>
      <c r="Q220" s="12">
        <f t="shared" si="119"/>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8"/>
        <v>0</v>
      </c>
      <c r="H221" s="12">
        <f t="shared" ref="H221:Q221" si="120">IF($E70&gt;H$66,0,IF($E70&lt;H$66-365,$D70,0))</f>
        <v>0</v>
      </c>
      <c r="I221" s="12">
        <f t="shared" si="120"/>
        <v>0</v>
      </c>
      <c r="J221" s="12">
        <f t="shared" si="120"/>
        <v>0</v>
      </c>
      <c r="K221" s="12">
        <f t="shared" si="120"/>
        <v>0</v>
      </c>
      <c r="L221" s="12">
        <f t="shared" si="120"/>
        <v>0</v>
      </c>
      <c r="M221" s="12">
        <f t="shared" si="120"/>
        <v>0</v>
      </c>
      <c r="N221" s="12">
        <f t="shared" si="120"/>
        <v>0</v>
      </c>
      <c r="O221" s="12">
        <f t="shared" si="120"/>
        <v>0</v>
      </c>
      <c r="P221" s="12">
        <f t="shared" si="120"/>
        <v>0</v>
      </c>
      <c r="Q221" s="12">
        <f t="shared" si="120"/>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8"/>
        <v>0</v>
      </c>
      <c r="H222" s="12">
        <f t="shared" ref="H222:Q222" si="121">IF($E71&gt;H$66,0,IF($E71&lt;H$66-365,$D71,0))</f>
        <v>0</v>
      </c>
      <c r="I222" s="12">
        <f t="shared" si="121"/>
        <v>0</v>
      </c>
      <c r="J222" s="12">
        <f t="shared" si="121"/>
        <v>-100.426</v>
      </c>
      <c r="K222" s="12">
        <f t="shared" si="121"/>
        <v>-100.426</v>
      </c>
      <c r="L222" s="12">
        <f t="shared" si="121"/>
        <v>-100.426</v>
      </c>
      <c r="M222" s="12">
        <f t="shared" si="121"/>
        <v>-100.426</v>
      </c>
      <c r="N222" s="12">
        <f t="shared" si="121"/>
        <v>-100.426</v>
      </c>
      <c r="O222" s="12">
        <f t="shared" si="121"/>
        <v>-100.426</v>
      </c>
      <c r="P222" s="12">
        <f t="shared" si="121"/>
        <v>-100.426</v>
      </c>
      <c r="Q222" s="12">
        <f t="shared" si="121"/>
        <v>-100.426</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8"/>
        <v>0</v>
      </c>
      <c r="H223" s="12">
        <f t="shared" ref="H223:Q223" si="122">IF($E72&gt;H$66,0,IF($E72&lt;H$66-365,$D72,0))</f>
        <v>0</v>
      </c>
      <c r="I223" s="12">
        <f t="shared" si="122"/>
        <v>0</v>
      </c>
      <c r="J223" s="12">
        <f t="shared" si="122"/>
        <v>0</v>
      </c>
      <c r="K223" s="12">
        <f t="shared" si="122"/>
        <v>0</v>
      </c>
      <c r="L223" s="12">
        <f t="shared" si="122"/>
        <v>0</v>
      </c>
      <c r="M223" s="12">
        <f t="shared" si="122"/>
        <v>0</v>
      </c>
      <c r="N223" s="12">
        <f t="shared" si="122"/>
        <v>0</v>
      </c>
      <c r="O223" s="12">
        <f t="shared" si="122"/>
        <v>0</v>
      </c>
      <c r="P223" s="12">
        <f t="shared" si="122"/>
        <v>0</v>
      </c>
      <c r="Q223" s="12">
        <f t="shared" si="122"/>
        <v>0</v>
      </c>
      <c r="T223" s="20"/>
      <c r="U223" s="20"/>
      <c r="V223" s="20"/>
    </row>
    <row r="224" spans="6:51">
      <c r="G224" s="12">
        <f t="shared" si="118"/>
        <v>0</v>
      </c>
      <c r="H224" s="12">
        <f t="shared" ref="H224:Q224" si="123">IF($E73&gt;H$66,0,IF($E73&lt;H$66-365,$D73,0))</f>
        <v>0</v>
      </c>
      <c r="I224" s="12">
        <f t="shared" si="123"/>
        <v>0</v>
      </c>
      <c r="J224" s="12">
        <f t="shared" si="123"/>
        <v>0</v>
      </c>
      <c r="K224" s="12">
        <f t="shared" si="123"/>
        <v>0</v>
      </c>
      <c r="L224" s="12">
        <f t="shared" si="123"/>
        <v>0</v>
      </c>
      <c r="M224" s="12">
        <f t="shared" si="123"/>
        <v>0</v>
      </c>
      <c r="N224" s="12">
        <f t="shared" si="123"/>
        <v>0</v>
      </c>
      <c r="O224" s="12">
        <f t="shared" si="123"/>
        <v>0</v>
      </c>
      <c r="P224" s="12">
        <f t="shared" si="123"/>
        <v>0</v>
      </c>
      <c r="Q224" s="12">
        <f t="shared" si="123"/>
        <v>0</v>
      </c>
      <c r="T224" s="20"/>
      <c r="U224" s="20"/>
      <c r="V224" s="20"/>
    </row>
    <row r="225" spans="7:28">
      <c r="G225" s="12">
        <f t="shared" si="118"/>
        <v>0</v>
      </c>
      <c r="H225" s="12">
        <f t="shared" ref="H225:Q225" si="124">IF($E74&gt;H$66,0,IF($E74&lt;H$66-365,$D74,0))</f>
        <v>0</v>
      </c>
      <c r="I225" s="12">
        <f t="shared" si="124"/>
        <v>0</v>
      </c>
      <c r="J225" s="12">
        <f t="shared" si="124"/>
        <v>0</v>
      </c>
      <c r="K225" s="12">
        <f t="shared" si="124"/>
        <v>0</v>
      </c>
      <c r="L225" s="12">
        <f t="shared" si="124"/>
        <v>0</v>
      </c>
      <c r="M225" s="12">
        <f t="shared" si="124"/>
        <v>0</v>
      </c>
      <c r="N225" s="12">
        <f t="shared" si="124"/>
        <v>0</v>
      </c>
      <c r="O225" s="12">
        <f t="shared" si="124"/>
        <v>0</v>
      </c>
      <c r="P225" s="12">
        <f t="shared" si="124"/>
        <v>0</v>
      </c>
      <c r="Q225" s="12">
        <f t="shared" si="124"/>
        <v>0</v>
      </c>
      <c r="T225" s="20"/>
      <c r="U225" s="20"/>
      <c r="V225" s="20"/>
      <c r="AA225" s="55">
        <f>SUM(AN167:AN213)</f>
        <v>2150375</v>
      </c>
      <c r="AB225" s="24">
        <f>SUM(AO167:AO213)</f>
        <v>0</v>
      </c>
    </row>
    <row r="226" spans="7:28">
      <c r="G226" s="12">
        <f t="shared" si="118"/>
        <v>0</v>
      </c>
      <c r="H226" s="12">
        <f t="shared" ref="H226:Q226" si="125">IF($E75&gt;H$66,0,IF($E75&lt;H$66-365,$D75,0))</f>
        <v>0</v>
      </c>
      <c r="I226" s="12">
        <f t="shared" si="125"/>
        <v>0</v>
      </c>
      <c r="J226" s="12">
        <f t="shared" si="125"/>
        <v>0</v>
      </c>
      <c r="K226" s="12">
        <f t="shared" si="125"/>
        <v>0</v>
      </c>
      <c r="L226" s="12">
        <f t="shared" si="125"/>
        <v>0</v>
      </c>
      <c r="M226" s="12">
        <f t="shared" si="125"/>
        <v>0</v>
      </c>
      <c r="N226" s="12">
        <f t="shared" si="125"/>
        <v>0</v>
      </c>
      <c r="O226" s="12">
        <f t="shared" si="125"/>
        <v>0</v>
      </c>
      <c r="P226" s="12">
        <f t="shared" si="125"/>
        <v>0</v>
      </c>
      <c r="Q226" s="12">
        <f t="shared" si="125"/>
        <v>0</v>
      </c>
      <c r="T226" s="20"/>
      <c r="U226" s="20"/>
      <c r="V226" s="20"/>
      <c r="AA226" s="24">
        <f>AA225*1.35</f>
        <v>2903006.25</v>
      </c>
      <c r="AB226" s="24">
        <f>AB225*1.35</f>
        <v>0</v>
      </c>
    </row>
    <row r="227" spans="7:28">
      <c r="G227" s="12">
        <f t="shared" si="118"/>
        <v>0</v>
      </c>
      <c r="H227" s="12">
        <f t="shared" ref="H227:Q227" si="126">IF($E76&gt;H$66,0,IF($E76&lt;H$66-365,$D76,0))</f>
        <v>0</v>
      </c>
      <c r="I227" s="12">
        <f t="shared" si="126"/>
        <v>0</v>
      </c>
      <c r="J227" s="12">
        <f t="shared" si="126"/>
        <v>0</v>
      </c>
      <c r="K227" s="12">
        <f t="shared" si="126"/>
        <v>0</v>
      </c>
      <c r="L227" s="12">
        <f t="shared" si="126"/>
        <v>0</v>
      </c>
      <c r="M227" s="12">
        <f t="shared" si="126"/>
        <v>0</v>
      </c>
      <c r="N227" s="12">
        <f t="shared" si="126"/>
        <v>0</v>
      </c>
      <c r="O227" s="12">
        <f t="shared" si="126"/>
        <v>0</v>
      </c>
      <c r="P227" s="12">
        <f t="shared" si="126"/>
        <v>0</v>
      </c>
      <c r="Q227" s="12">
        <f t="shared" si="126"/>
        <v>0</v>
      </c>
    </row>
    <row r="228" spans="7:28">
      <c r="G228" s="12">
        <f t="shared" si="118"/>
        <v>0</v>
      </c>
      <c r="H228" s="12">
        <f t="shared" ref="H228:Q228" si="127">IF($E77&gt;H$66,0,IF($E77&lt;H$66-365,$D77,0))</f>
        <v>0</v>
      </c>
      <c r="I228" s="12">
        <f t="shared" si="127"/>
        <v>0</v>
      </c>
      <c r="J228" s="12">
        <f t="shared" si="127"/>
        <v>0</v>
      </c>
      <c r="K228" s="12">
        <f t="shared" si="127"/>
        <v>0</v>
      </c>
      <c r="L228" s="12">
        <f t="shared" si="127"/>
        <v>0</v>
      </c>
      <c r="M228" s="12">
        <f t="shared" si="127"/>
        <v>0</v>
      </c>
      <c r="N228" s="12">
        <f t="shared" si="127"/>
        <v>0</v>
      </c>
      <c r="O228" s="12">
        <f t="shared" si="127"/>
        <v>0</v>
      </c>
      <c r="P228" s="12">
        <f t="shared" si="127"/>
        <v>0</v>
      </c>
      <c r="Q228" s="12">
        <f t="shared" si="127"/>
        <v>0</v>
      </c>
    </row>
    <row r="229" spans="7:28">
      <c r="G229" s="12">
        <f t="shared" si="118"/>
        <v>0</v>
      </c>
      <c r="H229" s="12">
        <f t="shared" ref="H229:Q229" si="128">IF($E78&gt;H$66,0,IF($E78&lt;H$66-365,$D78,0))</f>
        <v>0</v>
      </c>
      <c r="I229" s="12">
        <f t="shared" si="128"/>
        <v>0</v>
      </c>
      <c r="J229" s="12">
        <f t="shared" si="128"/>
        <v>0</v>
      </c>
      <c r="K229" s="12">
        <f t="shared" si="128"/>
        <v>0</v>
      </c>
      <c r="L229" s="12">
        <f t="shared" si="128"/>
        <v>0</v>
      </c>
      <c r="M229" s="12">
        <f t="shared" si="128"/>
        <v>0</v>
      </c>
      <c r="N229" s="12">
        <f t="shared" si="128"/>
        <v>0</v>
      </c>
      <c r="O229" s="12">
        <f t="shared" si="128"/>
        <v>0</v>
      </c>
      <c r="P229" s="12">
        <f t="shared" si="128"/>
        <v>0</v>
      </c>
      <c r="Q229" s="12">
        <f t="shared" si="128"/>
        <v>0</v>
      </c>
    </row>
    <row r="230" spans="7:28">
      <c r="G230" s="12">
        <f t="shared" si="118"/>
        <v>0</v>
      </c>
      <c r="H230" s="12">
        <f t="shared" ref="H230:Q230" si="129">IF($E79&gt;H$66,0,IF($E79&lt;H$66-365,$D79,0))</f>
        <v>0</v>
      </c>
      <c r="I230" s="12">
        <f t="shared" si="129"/>
        <v>0</v>
      </c>
      <c r="J230" s="12">
        <f t="shared" si="129"/>
        <v>0</v>
      </c>
      <c r="K230" s="12">
        <f t="shared" si="129"/>
        <v>0</v>
      </c>
      <c r="L230" s="12">
        <f t="shared" si="129"/>
        <v>0</v>
      </c>
      <c r="M230" s="12">
        <f t="shared" si="129"/>
        <v>0</v>
      </c>
      <c r="N230" s="12">
        <f t="shared" si="129"/>
        <v>0</v>
      </c>
      <c r="O230" s="12">
        <f t="shared" si="129"/>
        <v>-1027.039</v>
      </c>
      <c r="P230" s="12">
        <f t="shared" si="129"/>
        <v>-1027.039</v>
      </c>
      <c r="Q230" s="12">
        <f t="shared" si="129"/>
        <v>-1027.039</v>
      </c>
    </row>
    <row r="231" spans="7:28">
      <c r="G231" s="12">
        <f t="shared" si="118"/>
        <v>0</v>
      </c>
      <c r="H231" s="12">
        <f t="shared" ref="H231:Q231" si="130">IF($E80&gt;H$66,0,IF($E80&lt;H$66-365,$D80,0))</f>
        <v>0</v>
      </c>
      <c r="I231" s="12">
        <f t="shared" si="130"/>
        <v>0</v>
      </c>
      <c r="J231" s="12">
        <f t="shared" si="130"/>
        <v>0</v>
      </c>
      <c r="K231" s="12">
        <f t="shared" si="130"/>
        <v>0</v>
      </c>
      <c r="L231" s="12">
        <f t="shared" si="130"/>
        <v>0</v>
      </c>
      <c r="M231" s="12">
        <f t="shared" si="130"/>
        <v>0</v>
      </c>
      <c r="N231" s="12">
        <f t="shared" si="130"/>
        <v>0</v>
      </c>
      <c r="O231" s="12">
        <f t="shared" si="130"/>
        <v>0</v>
      </c>
      <c r="P231" s="12">
        <f t="shared" si="130"/>
        <v>0</v>
      </c>
      <c r="Q231" s="12">
        <f t="shared" si="130"/>
        <v>0</v>
      </c>
    </row>
    <row r="232" spans="7:28">
      <c r="G232" s="12">
        <f t="shared" si="118"/>
        <v>0</v>
      </c>
      <c r="H232" s="12">
        <f t="shared" ref="H232:Q232" si="131">IF($E81&gt;H$66,0,IF($E81&lt;H$66-365,$D81,0))</f>
        <v>0</v>
      </c>
      <c r="I232" s="12">
        <f t="shared" si="131"/>
        <v>0</v>
      </c>
      <c r="J232" s="12">
        <f t="shared" si="131"/>
        <v>0</v>
      </c>
      <c r="K232" s="12">
        <f t="shared" si="131"/>
        <v>0</v>
      </c>
      <c r="L232" s="12">
        <f t="shared" si="131"/>
        <v>0</v>
      </c>
      <c r="M232" s="12">
        <f t="shared" si="131"/>
        <v>0</v>
      </c>
      <c r="N232" s="12">
        <f t="shared" si="131"/>
        <v>0</v>
      </c>
      <c r="O232" s="12">
        <f t="shared" si="131"/>
        <v>0</v>
      </c>
      <c r="P232" s="12">
        <f t="shared" si="131"/>
        <v>0</v>
      </c>
      <c r="Q232" s="12">
        <f t="shared" si="131"/>
        <v>0</v>
      </c>
    </row>
    <row r="233" spans="7:28">
      <c r="G233" s="12">
        <f t="shared" si="118"/>
        <v>0</v>
      </c>
      <c r="H233" s="12">
        <f t="shared" ref="H233:Q233" si="132">IF($E82&gt;H$66,0,IF($E82&lt;H$66-365,$D82,0))</f>
        <v>0</v>
      </c>
      <c r="I233" s="12">
        <f t="shared" si="132"/>
        <v>0</v>
      </c>
      <c r="J233" s="12">
        <f t="shared" si="132"/>
        <v>0</v>
      </c>
      <c r="K233" s="12">
        <f t="shared" si="132"/>
        <v>0</v>
      </c>
      <c r="L233" s="12">
        <f t="shared" si="132"/>
        <v>0</v>
      </c>
      <c r="M233" s="12">
        <f t="shared" si="132"/>
        <v>0</v>
      </c>
      <c r="N233" s="12">
        <f t="shared" si="132"/>
        <v>0</v>
      </c>
      <c r="O233" s="12">
        <f t="shared" si="132"/>
        <v>0</v>
      </c>
      <c r="P233" s="12">
        <f t="shared" si="132"/>
        <v>0</v>
      </c>
      <c r="Q233" s="12">
        <f t="shared" si="132"/>
        <v>0</v>
      </c>
    </row>
    <row r="234" spans="7:28">
      <c r="G234" s="12">
        <f t="shared" si="118"/>
        <v>0</v>
      </c>
      <c r="H234" s="12">
        <f t="shared" ref="H234:Q234" si="133">IF($E83&gt;H$66,0,IF($E83&lt;H$66-365,$D83,0))</f>
        <v>0</v>
      </c>
      <c r="I234" s="12">
        <f t="shared" si="133"/>
        <v>0</v>
      </c>
      <c r="J234" s="12">
        <f t="shared" si="133"/>
        <v>0</v>
      </c>
      <c r="K234" s="12">
        <f t="shared" si="133"/>
        <v>0</v>
      </c>
      <c r="L234" s="12">
        <f t="shared" si="133"/>
        <v>0</v>
      </c>
      <c r="M234" s="12">
        <f t="shared" si="133"/>
        <v>0</v>
      </c>
      <c r="N234" s="12">
        <f t="shared" si="133"/>
        <v>0</v>
      </c>
      <c r="O234" s="12">
        <f t="shared" si="133"/>
        <v>0</v>
      </c>
      <c r="P234" s="12">
        <f t="shared" si="133"/>
        <v>0</v>
      </c>
      <c r="Q234" s="12">
        <f t="shared" si="133"/>
        <v>0</v>
      </c>
    </row>
    <row r="235" spans="7:28">
      <c r="G235" s="12">
        <f t="shared" si="118"/>
        <v>0</v>
      </c>
      <c r="H235" s="12">
        <f t="shared" ref="H235:Q235" si="134">IF($E84&gt;H$66,0,IF($E84&lt;H$66-365,$D84,0))</f>
        <v>0</v>
      </c>
      <c r="I235" s="12">
        <f t="shared" si="134"/>
        <v>0</v>
      </c>
      <c r="J235" s="12">
        <f t="shared" si="134"/>
        <v>0</v>
      </c>
      <c r="K235" s="12">
        <f t="shared" si="134"/>
        <v>0</v>
      </c>
      <c r="L235" s="12">
        <f t="shared" si="134"/>
        <v>0</v>
      </c>
      <c r="M235" s="12">
        <f t="shared" si="134"/>
        <v>0</v>
      </c>
      <c r="N235" s="12">
        <f t="shared" si="134"/>
        <v>0</v>
      </c>
      <c r="O235" s="12">
        <f t="shared" si="134"/>
        <v>0</v>
      </c>
      <c r="P235" s="12">
        <f t="shared" si="134"/>
        <v>0</v>
      </c>
      <c r="Q235" s="12">
        <f t="shared" si="134"/>
        <v>0</v>
      </c>
    </row>
    <row r="236" spans="7:28">
      <c r="G236" s="12">
        <f t="shared" si="118"/>
        <v>0</v>
      </c>
      <c r="H236" s="12">
        <f t="shared" ref="H236:Q236" si="135">IF($E85&gt;H$66,0,IF($E85&lt;H$66-365,$D85,0))</f>
        <v>0</v>
      </c>
      <c r="I236" s="12">
        <f t="shared" si="135"/>
        <v>0</v>
      </c>
      <c r="J236" s="12">
        <f t="shared" si="135"/>
        <v>0</v>
      </c>
      <c r="K236" s="12">
        <f t="shared" si="135"/>
        <v>0</v>
      </c>
      <c r="L236" s="12">
        <f t="shared" si="135"/>
        <v>0</v>
      </c>
      <c r="M236" s="12">
        <f t="shared" si="135"/>
        <v>0</v>
      </c>
      <c r="N236" s="12">
        <f t="shared" si="135"/>
        <v>0</v>
      </c>
      <c r="O236" s="12">
        <f t="shared" si="135"/>
        <v>0</v>
      </c>
      <c r="P236" s="12">
        <f t="shared" si="135"/>
        <v>0</v>
      </c>
      <c r="Q236" s="12">
        <f t="shared" si="135"/>
        <v>0</v>
      </c>
    </row>
    <row r="237" spans="7:28">
      <c r="G237" s="12">
        <f t="shared" si="118"/>
        <v>0</v>
      </c>
      <c r="H237" s="12">
        <f t="shared" ref="H237:Q237" si="136">IF($E86&gt;H$66,0,IF($E86&lt;H$66-365,$D86,0))</f>
        <v>0</v>
      </c>
      <c r="I237" s="12">
        <f t="shared" si="136"/>
        <v>0</v>
      </c>
      <c r="J237" s="12">
        <f t="shared" si="136"/>
        <v>0</v>
      </c>
      <c r="K237" s="12">
        <f t="shared" si="136"/>
        <v>0</v>
      </c>
      <c r="L237" s="12">
        <f t="shared" si="136"/>
        <v>0</v>
      </c>
      <c r="M237" s="12">
        <f t="shared" si="136"/>
        <v>0</v>
      </c>
      <c r="N237" s="12">
        <f t="shared" si="136"/>
        <v>0</v>
      </c>
      <c r="O237" s="12">
        <f t="shared" si="136"/>
        <v>0</v>
      </c>
      <c r="P237" s="12">
        <f t="shared" si="136"/>
        <v>0</v>
      </c>
      <c r="Q237" s="12">
        <f t="shared" si="136"/>
        <v>0</v>
      </c>
    </row>
    <row r="238" spans="7:28">
      <c r="G238" s="12">
        <f t="shared" si="118"/>
        <v>0</v>
      </c>
      <c r="H238" s="12">
        <f t="shared" ref="H238:Q238" si="137">IF($E87&gt;H$66,0,IF($E87&lt;H$66-365,$D87,0))</f>
        <v>0</v>
      </c>
      <c r="I238" s="12">
        <f t="shared" si="137"/>
        <v>0</v>
      </c>
      <c r="J238" s="12">
        <f t="shared" si="137"/>
        <v>0</v>
      </c>
      <c r="K238" s="12">
        <f t="shared" si="137"/>
        <v>0</v>
      </c>
      <c r="L238" s="12">
        <f t="shared" si="137"/>
        <v>0</v>
      </c>
      <c r="M238" s="12">
        <f t="shared" si="137"/>
        <v>0</v>
      </c>
      <c r="N238" s="12">
        <f t="shared" si="137"/>
        <v>0</v>
      </c>
      <c r="O238" s="12">
        <f t="shared" si="137"/>
        <v>0</v>
      </c>
      <c r="P238" s="12">
        <f t="shared" si="137"/>
        <v>0</v>
      </c>
      <c r="Q238" s="12">
        <f t="shared" si="137"/>
        <v>0</v>
      </c>
    </row>
    <row r="239" spans="7:28">
      <c r="G239" s="12">
        <f t="shared" si="118"/>
        <v>0</v>
      </c>
      <c r="H239" s="12">
        <f t="shared" ref="H239:Q239" si="138">IF($E88&gt;H$66,0,IF($E88&lt;H$66-365,$D88,0))</f>
        <v>0</v>
      </c>
      <c r="I239" s="12">
        <f t="shared" si="138"/>
        <v>0</v>
      </c>
      <c r="J239" s="12">
        <f t="shared" si="138"/>
        <v>0</v>
      </c>
      <c r="K239" s="12">
        <f t="shared" si="138"/>
        <v>0</v>
      </c>
      <c r="L239" s="12">
        <f t="shared" si="138"/>
        <v>0</v>
      </c>
      <c r="M239" s="12">
        <f t="shared" si="138"/>
        <v>0</v>
      </c>
      <c r="N239" s="12">
        <f t="shared" si="138"/>
        <v>0</v>
      </c>
      <c r="O239" s="12">
        <f t="shared" si="138"/>
        <v>0</v>
      </c>
      <c r="P239" s="12">
        <f t="shared" si="138"/>
        <v>0</v>
      </c>
      <c r="Q239" s="12">
        <f t="shared" si="138"/>
        <v>0</v>
      </c>
    </row>
    <row r="240" spans="7:28">
      <c r="G240" s="12">
        <f t="shared" si="118"/>
        <v>0</v>
      </c>
      <c r="H240" s="12">
        <f t="shared" ref="H240:Q240" si="139">IF($E89&gt;H$66,0,IF($E89&lt;H$66-365,$D89,0))</f>
        <v>0</v>
      </c>
      <c r="I240" s="12">
        <f t="shared" si="139"/>
        <v>0</v>
      </c>
      <c r="J240" s="12">
        <f t="shared" si="139"/>
        <v>0</v>
      </c>
      <c r="K240" s="12">
        <f t="shared" si="139"/>
        <v>0</v>
      </c>
      <c r="L240" s="12">
        <f t="shared" si="139"/>
        <v>0</v>
      </c>
      <c r="M240" s="12">
        <f t="shared" si="139"/>
        <v>0</v>
      </c>
      <c r="N240" s="12">
        <f t="shared" si="139"/>
        <v>0</v>
      </c>
      <c r="O240" s="12">
        <f t="shared" si="139"/>
        <v>0</v>
      </c>
      <c r="P240" s="12">
        <f t="shared" si="139"/>
        <v>0</v>
      </c>
      <c r="Q240" s="12">
        <f t="shared" si="139"/>
        <v>0</v>
      </c>
    </row>
    <row r="241" spans="7:17">
      <c r="G241" s="12">
        <f t="shared" si="118"/>
        <v>0</v>
      </c>
      <c r="H241" s="12">
        <f t="shared" ref="H241:Q241" si="140">IF($E90&gt;H$66,0,IF($E90&lt;H$66-365,$D90,0))</f>
        <v>0</v>
      </c>
      <c r="I241" s="12">
        <f t="shared" si="140"/>
        <v>0</v>
      </c>
      <c r="J241" s="12">
        <f t="shared" si="140"/>
        <v>0</v>
      </c>
      <c r="K241" s="12">
        <f t="shared" si="140"/>
        <v>0</v>
      </c>
      <c r="L241" s="12">
        <f t="shared" si="140"/>
        <v>0</v>
      </c>
      <c r="M241" s="12">
        <f t="shared" si="140"/>
        <v>0</v>
      </c>
      <c r="N241" s="12">
        <f t="shared" si="140"/>
        <v>0</v>
      </c>
      <c r="O241" s="12">
        <f t="shared" si="140"/>
        <v>0</v>
      </c>
      <c r="P241" s="12">
        <f t="shared" si="140"/>
        <v>0</v>
      </c>
      <c r="Q241" s="12">
        <f t="shared" si="140"/>
        <v>0</v>
      </c>
    </row>
    <row r="242" spans="7:17">
      <c r="G242" s="12">
        <f t="shared" si="118"/>
        <v>0</v>
      </c>
      <c r="H242" s="12">
        <f t="shared" ref="H242:Q242" si="141">IF($E91&gt;H$66,0,IF($E91&lt;H$66-365,$D91,0))</f>
        <v>0</v>
      </c>
      <c r="I242" s="12">
        <f t="shared" si="141"/>
        <v>0</v>
      </c>
      <c r="J242" s="12">
        <f t="shared" si="141"/>
        <v>0</v>
      </c>
      <c r="K242" s="12">
        <f t="shared" si="141"/>
        <v>0</v>
      </c>
      <c r="L242" s="12">
        <f t="shared" si="141"/>
        <v>0</v>
      </c>
      <c r="M242" s="12">
        <f t="shared" si="141"/>
        <v>0</v>
      </c>
      <c r="N242" s="12">
        <f t="shared" si="141"/>
        <v>0</v>
      </c>
      <c r="O242" s="12">
        <f t="shared" si="141"/>
        <v>0</v>
      </c>
      <c r="P242" s="12">
        <f t="shared" si="141"/>
        <v>0</v>
      </c>
      <c r="Q242" s="12">
        <f t="shared" si="141"/>
        <v>0</v>
      </c>
    </row>
    <row r="243" spans="7:17">
      <c r="G243" s="12">
        <f t="shared" si="118"/>
        <v>0</v>
      </c>
      <c r="H243" s="12">
        <f t="shared" ref="H243:Q243" si="142">IF($E92&gt;H$66,0,IF($E92&lt;H$66-365,$D92,0))</f>
        <v>0</v>
      </c>
      <c r="I243" s="12">
        <f t="shared" si="142"/>
        <v>0</v>
      </c>
      <c r="J243" s="12">
        <f t="shared" si="142"/>
        <v>0</v>
      </c>
      <c r="K243" s="12">
        <f t="shared" si="142"/>
        <v>0</v>
      </c>
      <c r="L243" s="12">
        <f t="shared" si="142"/>
        <v>0</v>
      </c>
      <c r="M243" s="12">
        <f t="shared" si="142"/>
        <v>0</v>
      </c>
      <c r="N243" s="12">
        <f t="shared" si="142"/>
        <v>0</v>
      </c>
      <c r="O243" s="12">
        <f t="shared" si="142"/>
        <v>0</v>
      </c>
      <c r="P243" s="12">
        <f t="shared" si="142"/>
        <v>0</v>
      </c>
      <c r="Q243" s="12">
        <f t="shared" si="142"/>
        <v>0</v>
      </c>
    </row>
    <row r="244" spans="7:17">
      <c r="G244" s="12">
        <f t="shared" si="118"/>
        <v>0</v>
      </c>
      <c r="H244" s="12">
        <f t="shared" ref="H244:Q244" si="143">IF($E93&gt;H$66,0,IF($E93&lt;H$66-365,$D93,0))</f>
        <v>0</v>
      </c>
      <c r="I244" s="12">
        <f t="shared" si="143"/>
        <v>0</v>
      </c>
      <c r="J244" s="12">
        <f t="shared" si="143"/>
        <v>0</v>
      </c>
      <c r="K244" s="12">
        <f t="shared" si="143"/>
        <v>0</v>
      </c>
      <c r="L244" s="12">
        <f t="shared" si="143"/>
        <v>0</v>
      </c>
      <c r="M244" s="12">
        <f t="shared" si="143"/>
        <v>0</v>
      </c>
      <c r="N244" s="12">
        <f t="shared" si="143"/>
        <v>0</v>
      </c>
      <c r="O244" s="12">
        <f t="shared" si="143"/>
        <v>0</v>
      </c>
      <c r="P244" s="12">
        <f t="shared" si="143"/>
        <v>0</v>
      </c>
      <c r="Q244" s="12">
        <f t="shared" si="143"/>
        <v>0</v>
      </c>
    </row>
    <row r="245" spans="7:17">
      <c r="G245" s="12">
        <f t="shared" si="118"/>
        <v>0</v>
      </c>
      <c r="H245" s="12">
        <f t="shared" ref="H245:Q245" si="144">IF($E94&gt;H$66,0,IF($E94&lt;H$66-365,$D94,0))</f>
        <v>0</v>
      </c>
      <c r="I245" s="12">
        <f t="shared" si="144"/>
        <v>0</v>
      </c>
      <c r="J245" s="12">
        <f t="shared" si="144"/>
        <v>0</v>
      </c>
      <c r="K245" s="12">
        <f t="shared" si="144"/>
        <v>0</v>
      </c>
      <c r="L245" s="12">
        <f t="shared" si="144"/>
        <v>0</v>
      </c>
      <c r="M245" s="12">
        <f t="shared" si="144"/>
        <v>0</v>
      </c>
      <c r="N245" s="12">
        <f t="shared" si="144"/>
        <v>0</v>
      </c>
      <c r="O245" s="12">
        <f t="shared" si="144"/>
        <v>0</v>
      </c>
      <c r="P245" s="12">
        <f t="shared" si="144"/>
        <v>0</v>
      </c>
      <c r="Q245" s="12">
        <f t="shared" si="144"/>
        <v>0</v>
      </c>
    </row>
    <row r="246" spans="7:17">
      <c r="G246" s="12">
        <f t="shared" si="118"/>
        <v>0</v>
      </c>
      <c r="H246" s="12">
        <f t="shared" ref="H246:Q246" si="145">IF($E95&gt;H$66,0,IF($E95&lt;H$66-365,$D95,0))</f>
        <v>0</v>
      </c>
      <c r="I246" s="12">
        <f t="shared" si="145"/>
        <v>0</v>
      </c>
      <c r="J246" s="12">
        <f t="shared" si="145"/>
        <v>0</v>
      </c>
      <c r="K246" s="12">
        <f t="shared" si="145"/>
        <v>0</v>
      </c>
      <c r="L246" s="12">
        <f t="shared" si="145"/>
        <v>0</v>
      </c>
      <c r="M246" s="12">
        <f t="shared" si="145"/>
        <v>0</v>
      </c>
      <c r="N246" s="12">
        <f t="shared" si="145"/>
        <v>0</v>
      </c>
      <c r="O246" s="12">
        <f t="shared" si="145"/>
        <v>0</v>
      </c>
      <c r="P246" s="12">
        <f t="shared" si="145"/>
        <v>0</v>
      </c>
      <c r="Q246" s="12">
        <f t="shared" si="145"/>
        <v>0</v>
      </c>
    </row>
    <row r="247" spans="7:17">
      <c r="G247" s="12">
        <f t="shared" si="118"/>
        <v>0</v>
      </c>
      <c r="H247" s="12">
        <f t="shared" ref="H247:Q247" si="146">IF($E96&gt;H$66,0,IF($E96&lt;H$66-365,$D96,0))</f>
        <v>0</v>
      </c>
      <c r="I247" s="12">
        <f t="shared" si="146"/>
        <v>0</v>
      </c>
      <c r="J247" s="12">
        <f t="shared" si="146"/>
        <v>0</v>
      </c>
      <c r="K247" s="12">
        <f t="shared" si="146"/>
        <v>0</v>
      </c>
      <c r="L247" s="12">
        <f t="shared" si="146"/>
        <v>0</v>
      </c>
      <c r="M247" s="12">
        <f t="shared" si="146"/>
        <v>0</v>
      </c>
      <c r="N247" s="12">
        <f t="shared" si="146"/>
        <v>0</v>
      </c>
      <c r="O247" s="12">
        <f t="shared" si="146"/>
        <v>0</v>
      </c>
      <c r="P247" s="12">
        <f t="shared" si="146"/>
        <v>0</v>
      </c>
      <c r="Q247" s="12">
        <f t="shared" si="146"/>
        <v>0</v>
      </c>
    </row>
    <row r="248" spans="7:17">
      <c r="G248" s="12">
        <f t="shared" si="118"/>
        <v>0</v>
      </c>
      <c r="H248" s="12">
        <f t="shared" ref="H248:Q248" si="147">IF($E97&gt;H$66,0,IF($E97&lt;H$66-365,$D97,0))</f>
        <v>0</v>
      </c>
      <c r="I248" s="12">
        <f t="shared" si="147"/>
        <v>0</v>
      </c>
      <c r="J248" s="12">
        <f t="shared" si="147"/>
        <v>0</v>
      </c>
      <c r="K248" s="12">
        <f t="shared" si="147"/>
        <v>0</v>
      </c>
      <c r="L248" s="12">
        <f t="shared" si="147"/>
        <v>0</v>
      </c>
      <c r="M248" s="12">
        <f t="shared" si="147"/>
        <v>0</v>
      </c>
      <c r="N248" s="12">
        <f t="shared" si="147"/>
        <v>0</v>
      </c>
      <c r="O248" s="12">
        <f t="shared" si="147"/>
        <v>0</v>
      </c>
      <c r="P248" s="12">
        <f t="shared" si="147"/>
        <v>0</v>
      </c>
      <c r="Q248" s="12">
        <f t="shared" si="147"/>
        <v>0</v>
      </c>
    </row>
    <row r="249" spans="7:17">
      <c r="G249" s="12">
        <f t="shared" si="118"/>
        <v>0</v>
      </c>
      <c r="H249" s="12">
        <f t="shared" ref="H249:Q249" si="148">IF($E98&gt;H$66,0,IF($E98&lt;H$66-365,$D98,0))</f>
        <v>0</v>
      </c>
      <c r="I249" s="12">
        <f t="shared" si="148"/>
        <v>0</v>
      </c>
      <c r="J249" s="12">
        <f t="shared" si="148"/>
        <v>0</v>
      </c>
      <c r="K249" s="12">
        <f t="shared" si="148"/>
        <v>0</v>
      </c>
      <c r="L249" s="12">
        <f t="shared" si="148"/>
        <v>0</v>
      </c>
      <c r="M249" s="12">
        <f t="shared" si="148"/>
        <v>0</v>
      </c>
      <c r="N249" s="12">
        <f t="shared" si="148"/>
        <v>0</v>
      </c>
      <c r="O249" s="12">
        <f t="shared" si="148"/>
        <v>0</v>
      </c>
      <c r="P249" s="12">
        <f t="shared" si="148"/>
        <v>0</v>
      </c>
      <c r="Q249" s="12">
        <f t="shared" si="148"/>
        <v>0</v>
      </c>
    </row>
    <row r="250" spans="7:17">
      <c r="G250" s="12">
        <f t="shared" si="118"/>
        <v>0</v>
      </c>
      <c r="H250" s="12">
        <f t="shared" ref="H250:Q250" si="149">IF($E99&gt;H$66,0,IF($E99&lt;H$66-365,$D99,0))</f>
        <v>0</v>
      </c>
      <c r="I250" s="12">
        <f t="shared" si="149"/>
        <v>0</v>
      </c>
      <c r="J250" s="12">
        <f t="shared" si="149"/>
        <v>0</v>
      </c>
      <c r="K250" s="12">
        <f t="shared" si="149"/>
        <v>0</v>
      </c>
      <c r="L250" s="12">
        <f t="shared" si="149"/>
        <v>0</v>
      </c>
      <c r="M250" s="12">
        <f t="shared" si="149"/>
        <v>0</v>
      </c>
      <c r="N250" s="12">
        <f t="shared" si="149"/>
        <v>0</v>
      </c>
      <c r="O250" s="12">
        <f t="shared" si="149"/>
        <v>0</v>
      </c>
      <c r="P250" s="12">
        <f t="shared" si="149"/>
        <v>0</v>
      </c>
      <c r="Q250" s="12">
        <f t="shared" si="149"/>
        <v>0</v>
      </c>
    </row>
    <row r="251" spans="7:17">
      <c r="G251" s="12">
        <f t="shared" si="118"/>
        <v>0</v>
      </c>
      <c r="H251" s="12">
        <f t="shared" ref="H251:Q251" si="150">IF($E100&gt;H$66,0,IF($E100&lt;H$66-365,$D100,0))</f>
        <v>0</v>
      </c>
      <c r="I251" s="12">
        <f t="shared" si="150"/>
        <v>0</v>
      </c>
      <c r="J251" s="12">
        <f t="shared" si="150"/>
        <v>0</v>
      </c>
      <c r="K251" s="12">
        <f t="shared" si="150"/>
        <v>0</v>
      </c>
      <c r="L251" s="12">
        <f t="shared" si="150"/>
        <v>0</v>
      </c>
      <c r="M251" s="12">
        <f t="shared" si="150"/>
        <v>0</v>
      </c>
      <c r="N251" s="12">
        <f t="shared" si="150"/>
        <v>0</v>
      </c>
      <c r="O251" s="12">
        <f t="shared" si="150"/>
        <v>0</v>
      </c>
      <c r="P251" s="12">
        <f t="shared" si="150"/>
        <v>0</v>
      </c>
      <c r="Q251" s="12">
        <f t="shared" si="150"/>
        <v>0</v>
      </c>
    </row>
    <row r="252" spans="7:17">
      <c r="G252" s="12">
        <f t="shared" si="118"/>
        <v>0</v>
      </c>
      <c r="H252" s="12">
        <f t="shared" ref="H252:Q252" si="151">IF($E101&gt;H$66,0,IF($E101&lt;H$66-365,$D101,0))</f>
        <v>0</v>
      </c>
      <c r="I252" s="12">
        <f t="shared" si="151"/>
        <v>0</v>
      </c>
      <c r="J252" s="12">
        <f t="shared" si="151"/>
        <v>0</v>
      </c>
      <c r="K252" s="12">
        <f t="shared" si="151"/>
        <v>0</v>
      </c>
      <c r="L252" s="12">
        <f t="shared" si="151"/>
        <v>0</v>
      </c>
      <c r="M252" s="12">
        <f t="shared" si="151"/>
        <v>0</v>
      </c>
      <c r="N252" s="12">
        <f t="shared" si="151"/>
        <v>0</v>
      </c>
      <c r="O252" s="12">
        <f t="shared" si="151"/>
        <v>0</v>
      </c>
      <c r="P252" s="12">
        <f t="shared" si="151"/>
        <v>0</v>
      </c>
      <c r="Q252" s="12">
        <f t="shared" si="151"/>
        <v>0</v>
      </c>
    </row>
    <row r="253" spans="7:17">
      <c r="G253" s="12">
        <f t="shared" si="118"/>
        <v>0</v>
      </c>
      <c r="H253" s="12">
        <f t="shared" ref="H253:Q253" si="152">IF($E102&gt;H$66,0,IF($E102&lt;H$66-365,$D102,0))</f>
        <v>0</v>
      </c>
      <c r="I253" s="12">
        <f t="shared" si="152"/>
        <v>0</v>
      </c>
      <c r="J253" s="12">
        <f t="shared" si="152"/>
        <v>0</v>
      </c>
      <c r="K253" s="12">
        <f t="shared" si="152"/>
        <v>0</v>
      </c>
      <c r="L253" s="12">
        <f t="shared" si="152"/>
        <v>0</v>
      </c>
      <c r="M253" s="12">
        <f t="shared" si="152"/>
        <v>0</v>
      </c>
      <c r="N253" s="12">
        <f t="shared" si="152"/>
        <v>0</v>
      </c>
      <c r="O253" s="12">
        <f t="shared" si="152"/>
        <v>0</v>
      </c>
      <c r="P253" s="12">
        <f t="shared" si="152"/>
        <v>0</v>
      </c>
      <c r="Q253" s="12">
        <f t="shared" si="152"/>
        <v>0</v>
      </c>
    </row>
    <row r="254" spans="7:17">
      <c r="G254" s="12">
        <f t="shared" si="118"/>
        <v>0</v>
      </c>
      <c r="H254" s="12">
        <f t="shared" ref="H254:Q254" si="153">IF($E103&gt;H$66,0,IF($E103&lt;H$66-365,$D103,0))</f>
        <v>0</v>
      </c>
      <c r="I254" s="12">
        <f t="shared" si="153"/>
        <v>0</v>
      </c>
      <c r="J254" s="12">
        <f t="shared" si="153"/>
        <v>0</v>
      </c>
      <c r="K254" s="12">
        <f t="shared" si="153"/>
        <v>0</v>
      </c>
      <c r="L254" s="12">
        <f t="shared" si="153"/>
        <v>0</v>
      </c>
      <c r="M254" s="12">
        <f t="shared" si="153"/>
        <v>0</v>
      </c>
      <c r="N254" s="12">
        <f t="shared" si="153"/>
        <v>0</v>
      </c>
      <c r="O254" s="12">
        <f t="shared" si="153"/>
        <v>0</v>
      </c>
      <c r="P254" s="12">
        <f t="shared" si="153"/>
        <v>0</v>
      </c>
      <c r="Q254" s="12">
        <f t="shared" si="153"/>
        <v>0</v>
      </c>
    </row>
    <row r="255" spans="7:17">
      <c r="G255" s="12">
        <f t="shared" si="118"/>
        <v>0</v>
      </c>
      <c r="H255" s="12">
        <f t="shared" ref="H255:Q255" si="154">IF($E104&gt;H$66,0,IF($E104&lt;H$66-365,$D104,0))</f>
        <v>0</v>
      </c>
      <c r="I255" s="12">
        <f t="shared" si="154"/>
        <v>0</v>
      </c>
      <c r="J255" s="12">
        <f t="shared" si="154"/>
        <v>0</v>
      </c>
      <c r="K255" s="12">
        <f t="shared" si="154"/>
        <v>0</v>
      </c>
      <c r="L255" s="12">
        <f t="shared" si="154"/>
        <v>0</v>
      </c>
      <c r="M255" s="12">
        <f t="shared" si="154"/>
        <v>0</v>
      </c>
      <c r="N255" s="12">
        <f t="shared" si="154"/>
        <v>0</v>
      </c>
      <c r="O255" s="12">
        <f t="shared" si="154"/>
        <v>0</v>
      </c>
      <c r="P255" s="12">
        <f t="shared" si="154"/>
        <v>0</v>
      </c>
      <c r="Q255" s="12">
        <f t="shared" si="154"/>
        <v>0</v>
      </c>
    </row>
    <row r="256" spans="7:17">
      <c r="G256" s="12">
        <f t="shared" si="118"/>
        <v>0</v>
      </c>
      <c r="H256" s="12">
        <f t="shared" ref="H256:Q256" si="155">IF($E105&gt;H$66,0,IF($E105&lt;H$66-365,$D105,0))</f>
        <v>0</v>
      </c>
      <c r="I256" s="12">
        <f t="shared" si="155"/>
        <v>0</v>
      </c>
      <c r="J256" s="12">
        <f t="shared" si="155"/>
        <v>0</v>
      </c>
      <c r="K256" s="12">
        <f t="shared" si="155"/>
        <v>0</v>
      </c>
      <c r="L256" s="12">
        <f t="shared" si="155"/>
        <v>0</v>
      </c>
      <c r="M256" s="12">
        <f t="shared" si="155"/>
        <v>0</v>
      </c>
      <c r="N256" s="12">
        <f t="shared" si="155"/>
        <v>0</v>
      </c>
      <c r="O256" s="12">
        <f t="shared" si="155"/>
        <v>0</v>
      </c>
      <c r="P256" s="12">
        <f t="shared" si="155"/>
        <v>0</v>
      </c>
      <c r="Q256" s="12">
        <f t="shared" si="155"/>
        <v>0</v>
      </c>
    </row>
    <row r="257" spans="5:18">
      <c r="G257" s="12">
        <f t="shared" si="118"/>
        <v>0</v>
      </c>
      <c r="H257" s="12">
        <f t="shared" ref="H257:Q257" si="156">IF($E106&gt;H$66,0,IF($E106&lt;H$66-365,$D106,0))</f>
        <v>0</v>
      </c>
      <c r="I257" s="12">
        <f t="shared" si="156"/>
        <v>0</v>
      </c>
      <c r="J257" s="12">
        <f t="shared" si="156"/>
        <v>0</v>
      </c>
      <c r="K257" s="12">
        <f t="shared" si="156"/>
        <v>0</v>
      </c>
      <c r="L257" s="12">
        <f t="shared" si="156"/>
        <v>0</v>
      </c>
      <c r="M257" s="12">
        <f t="shared" si="156"/>
        <v>0</v>
      </c>
      <c r="N257" s="12">
        <f t="shared" si="156"/>
        <v>0</v>
      </c>
      <c r="O257" s="12">
        <f t="shared" si="156"/>
        <v>0</v>
      </c>
      <c r="P257" s="12">
        <f t="shared" si="156"/>
        <v>0</v>
      </c>
      <c r="Q257" s="12">
        <f t="shared" si="156"/>
        <v>0</v>
      </c>
    </row>
    <row r="258" spans="5:18">
      <c r="G258" s="12">
        <f t="shared" si="118"/>
        <v>0</v>
      </c>
      <c r="H258" s="12">
        <f t="shared" ref="H258:Q258" si="157">IF($E107&gt;H$66,0,IF($E107&lt;H$66-365,$D107,0))</f>
        <v>0</v>
      </c>
      <c r="I258" s="12">
        <f t="shared" si="157"/>
        <v>0</v>
      </c>
      <c r="J258" s="12">
        <f t="shared" si="157"/>
        <v>0</v>
      </c>
      <c r="K258" s="12">
        <f t="shared" si="157"/>
        <v>0</v>
      </c>
      <c r="L258" s="12">
        <f t="shared" si="157"/>
        <v>0</v>
      </c>
      <c r="M258" s="12">
        <f t="shared" si="157"/>
        <v>0</v>
      </c>
      <c r="N258" s="12">
        <f t="shared" si="157"/>
        <v>0</v>
      </c>
      <c r="O258" s="12">
        <f t="shared" si="157"/>
        <v>0</v>
      </c>
      <c r="P258" s="12">
        <f t="shared" si="157"/>
        <v>0</v>
      </c>
      <c r="Q258" s="12">
        <f t="shared" si="157"/>
        <v>0</v>
      </c>
    </row>
    <row r="259" spans="5:18">
      <c r="G259" s="12">
        <f t="shared" si="118"/>
        <v>0</v>
      </c>
      <c r="H259" s="12">
        <f t="shared" ref="H259:Q259" si="158">IF($E108&gt;H$66,0,IF($E108&lt;H$66-365,$D108,0))</f>
        <v>0</v>
      </c>
      <c r="I259" s="12">
        <f t="shared" si="158"/>
        <v>0</v>
      </c>
      <c r="J259" s="12">
        <f t="shared" si="158"/>
        <v>0</v>
      </c>
      <c r="K259" s="12">
        <f t="shared" si="158"/>
        <v>0</v>
      </c>
      <c r="L259" s="12">
        <f t="shared" si="158"/>
        <v>0</v>
      </c>
      <c r="M259" s="12">
        <f t="shared" si="158"/>
        <v>0</v>
      </c>
      <c r="N259" s="12">
        <f t="shared" si="158"/>
        <v>0</v>
      </c>
      <c r="O259" s="12">
        <f t="shared" si="158"/>
        <v>0</v>
      </c>
      <c r="P259" s="12">
        <f t="shared" si="158"/>
        <v>0</v>
      </c>
      <c r="Q259" s="12">
        <f t="shared" si="158"/>
        <v>0</v>
      </c>
    </row>
    <row r="260" spans="5:18">
      <c r="G260" s="12">
        <f t="shared" si="118"/>
        <v>0</v>
      </c>
      <c r="H260" s="12">
        <f t="shared" ref="H260:Q260" si="159">IF($E109&gt;H$66,0,IF($E109&lt;H$66-365,$D109,0))</f>
        <v>0</v>
      </c>
      <c r="I260" s="12">
        <f t="shared" si="159"/>
        <v>0</v>
      </c>
      <c r="J260" s="12">
        <f t="shared" si="159"/>
        <v>0</v>
      </c>
      <c r="K260" s="12">
        <f t="shared" si="159"/>
        <v>0</v>
      </c>
      <c r="L260" s="12">
        <f t="shared" si="159"/>
        <v>0</v>
      </c>
      <c r="M260" s="12">
        <f t="shared" si="159"/>
        <v>0</v>
      </c>
      <c r="N260" s="12">
        <f t="shared" si="159"/>
        <v>0</v>
      </c>
      <c r="O260" s="12">
        <f t="shared" si="159"/>
        <v>0</v>
      </c>
      <c r="P260" s="12">
        <f t="shared" si="159"/>
        <v>0</v>
      </c>
      <c r="Q260" s="12">
        <f t="shared" si="159"/>
        <v>0</v>
      </c>
    </row>
    <row r="261" spans="5:18">
      <c r="G261" s="12">
        <f t="shared" si="118"/>
        <v>0</v>
      </c>
      <c r="H261" s="12">
        <f t="shared" ref="H261:Q261" si="160">IF($E110&gt;H$66,0,IF($E110&lt;H$66-365,$D110,0))</f>
        <v>0</v>
      </c>
      <c r="I261" s="12">
        <f t="shared" si="160"/>
        <v>0</v>
      </c>
      <c r="J261" s="12">
        <f t="shared" si="160"/>
        <v>0</v>
      </c>
      <c r="K261" s="12">
        <f t="shared" si="160"/>
        <v>0</v>
      </c>
      <c r="L261" s="12">
        <f t="shared" si="160"/>
        <v>0</v>
      </c>
      <c r="M261" s="12">
        <f t="shared" si="160"/>
        <v>0</v>
      </c>
      <c r="N261" s="12">
        <f t="shared" si="160"/>
        <v>0</v>
      </c>
      <c r="O261" s="12">
        <f t="shared" si="160"/>
        <v>0</v>
      </c>
      <c r="P261" s="12">
        <f t="shared" si="160"/>
        <v>0</v>
      </c>
      <c r="Q261" s="12">
        <f t="shared" si="160"/>
        <v>0</v>
      </c>
    </row>
    <row r="262" spans="5:18">
      <c r="G262" s="12">
        <f t="shared" si="118"/>
        <v>0</v>
      </c>
      <c r="H262" s="12">
        <f t="shared" ref="H262:Q262" si="161">IF($E111&gt;H$66,0,IF($E111&lt;H$66-365,$D111,0))</f>
        <v>0</v>
      </c>
      <c r="I262" s="12">
        <f t="shared" si="161"/>
        <v>0</v>
      </c>
      <c r="J262" s="12">
        <f t="shared" si="161"/>
        <v>0</v>
      </c>
      <c r="K262" s="12">
        <f t="shared" si="161"/>
        <v>0</v>
      </c>
      <c r="L262" s="12">
        <f t="shared" si="161"/>
        <v>0</v>
      </c>
      <c r="M262" s="12">
        <f t="shared" si="161"/>
        <v>0</v>
      </c>
      <c r="N262" s="12">
        <f t="shared" si="161"/>
        <v>0</v>
      </c>
      <c r="O262" s="12">
        <f t="shared" si="161"/>
        <v>0</v>
      </c>
      <c r="P262" s="12">
        <f t="shared" si="161"/>
        <v>0</v>
      </c>
      <c r="Q262" s="12">
        <f t="shared" si="161"/>
        <v>0</v>
      </c>
    </row>
    <row r="263" spans="5:18">
      <c r="G263" s="12">
        <f t="shared" si="118"/>
        <v>0</v>
      </c>
      <c r="H263" s="12">
        <f t="shared" ref="H263:Q263" si="162">IF($E112&gt;H$66,0,IF($E112&lt;H$66-365,$D112,0))</f>
        <v>0</v>
      </c>
      <c r="I263" s="12">
        <f t="shared" si="162"/>
        <v>0</v>
      </c>
      <c r="J263" s="12">
        <f t="shared" si="162"/>
        <v>0</v>
      </c>
      <c r="K263" s="12">
        <f t="shared" si="162"/>
        <v>0</v>
      </c>
      <c r="L263" s="12">
        <f t="shared" si="162"/>
        <v>0</v>
      </c>
      <c r="M263" s="12">
        <f t="shared" si="162"/>
        <v>0</v>
      </c>
      <c r="N263" s="12">
        <f t="shared" si="162"/>
        <v>0</v>
      </c>
      <c r="O263" s="12">
        <f t="shared" si="162"/>
        <v>0</v>
      </c>
      <c r="P263" s="12">
        <f t="shared" si="162"/>
        <v>0</v>
      </c>
      <c r="Q263" s="12">
        <f t="shared" si="162"/>
        <v>0</v>
      </c>
    </row>
    <row r="264" spans="5:18">
      <c r="G264" s="12">
        <f t="shared" si="118"/>
        <v>0</v>
      </c>
      <c r="H264" s="12">
        <f t="shared" ref="H264:Q264" si="163">IF($E113&gt;H$66,0,IF($E113&lt;H$66-365,$D113,0))</f>
        <v>0</v>
      </c>
      <c r="I264" s="12">
        <f t="shared" si="163"/>
        <v>0</v>
      </c>
      <c r="J264" s="12">
        <f t="shared" si="163"/>
        <v>0</v>
      </c>
      <c r="K264" s="12">
        <f t="shared" si="163"/>
        <v>0</v>
      </c>
      <c r="L264" s="12">
        <f t="shared" si="163"/>
        <v>0</v>
      </c>
      <c r="M264" s="12">
        <f t="shared" si="163"/>
        <v>0</v>
      </c>
      <c r="N264" s="12">
        <f t="shared" si="163"/>
        <v>0</v>
      </c>
      <c r="O264" s="12">
        <f t="shared" si="163"/>
        <v>0</v>
      </c>
      <c r="P264" s="12">
        <f t="shared" si="163"/>
        <v>0</v>
      </c>
      <c r="Q264" s="12">
        <f t="shared" si="163"/>
        <v>0</v>
      </c>
    </row>
    <row r="265" spans="5:18">
      <c r="G265" s="12">
        <f t="shared" si="118"/>
        <v>0</v>
      </c>
      <c r="H265" s="12">
        <f t="shared" ref="H265:Q265" si="164">IF($E114&gt;H$66,0,IF($E114&lt;H$66-365,$D114,0))</f>
        <v>0</v>
      </c>
      <c r="I265" s="12">
        <f t="shared" si="164"/>
        <v>0</v>
      </c>
      <c r="J265" s="12">
        <f t="shared" si="164"/>
        <v>0</v>
      </c>
      <c r="K265" s="12">
        <f t="shared" si="164"/>
        <v>0</v>
      </c>
      <c r="L265" s="12">
        <f t="shared" si="164"/>
        <v>0</v>
      </c>
      <c r="M265" s="12">
        <f t="shared" si="164"/>
        <v>0</v>
      </c>
      <c r="N265" s="12">
        <f t="shared" si="164"/>
        <v>0</v>
      </c>
      <c r="O265" s="12">
        <f t="shared" si="164"/>
        <v>0</v>
      </c>
      <c r="P265" s="12">
        <f t="shared" si="164"/>
        <v>0</v>
      </c>
      <c r="Q265" s="12">
        <f t="shared" si="164"/>
        <v>0</v>
      </c>
    </row>
    <row r="267" spans="5:18">
      <c r="F267" s="187" t="s">
        <v>493</v>
      </c>
      <c r="G267" s="187">
        <f>SUM(G220:G265)</f>
        <v>0</v>
      </c>
      <c r="H267" s="187">
        <f t="shared" ref="H267:Q267" si="165">SUM(H220:H265)</f>
        <v>0</v>
      </c>
      <c r="I267" s="187">
        <f t="shared" si="165"/>
        <v>0</v>
      </c>
      <c r="J267" s="187">
        <f t="shared" si="165"/>
        <v>-100.426</v>
      </c>
      <c r="K267" s="187">
        <f t="shared" si="165"/>
        <v>-100.426</v>
      </c>
      <c r="L267" s="187">
        <f t="shared" si="165"/>
        <v>-100.426</v>
      </c>
      <c r="M267" s="187">
        <f t="shared" si="165"/>
        <v>-100.426</v>
      </c>
      <c r="N267" s="187">
        <f t="shared" si="165"/>
        <v>-100.426</v>
      </c>
      <c r="O267" s="187">
        <f t="shared" si="165"/>
        <v>-1127.4649999999999</v>
      </c>
      <c r="P267" s="187">
        <f t="shared" si="165"/>
        <v>-1127.4649999999999</v>
      </c>
      <c r="Q267" s="187">
        <f t="shared" si="165"/>
        <v>-1127.4649999999999</v>
      </c>
    </row>
    <row r="271" spans="5:18">
      <c r="F271" s="207" t="s">
        <v>486</v>
      </c>
      <c r="G271" s="206">
        <f>G66</f>
        <v>45473</v>
      </c>
      <c r="H271" s="206">
        <f t="shared" ref="H271:Q271" si="166">H66</f>
        <v>45838</v>
      </c>
      <c r="I271" s="206">
        <f t="shared" si="166"/>
        <v>46203</v>
      </c>
      <c r="J271" s="206">
        <f t="shared" si="166"/>
        <v>46568</v>
      </c>
      <c r="K271" s="206">
        <f t="shared" si="166"/>
        <v>46934</v>
      </c>
      <c r="L271" s="206">
        <f t="shared" si="166"/>
        <v>47299</v>
      </c>
      <c r="M271" s="206">
        <f t="shared" si="166"/>
        <v>47664</v>
      </c>
      <c r="N271" s="206">
        <f t="shared" si="166"/>
        <v>48029</v>
      </c>
      <c r="O271" s="206">
        <f t="shared" si="166"/>
        <v>48395</v>
      </c>
      <c r="P271" s="206">
        <f t="shared" si="166"/>
        <v>48760</v>
      </c>
      <c r="Q271" s="206">
        <f t="shared" si="166"/>
        <v>49125</v>
      </c>
      <c r="R271" s="206">
        <f t="shared" ref="R271" si="167">Q271+365</f>
        <v>49490</v>
      </c>
    </row>
    <row r="272" spans="5:18">
      <c r="E272" s="12" t="s">
        <v>399</v>
      </c>
      <c r="F272" s="348">
        <f t="shared" ref="F272:P272" si="168">Z216</f>
        <v>4.7628832354859751</v>
      </c>
      <c r="G272" s="348">
        <f t="shared" si="168"/>
        <v>4.7628832354859751</v>
      </c>
      <c r="H272" s="348">
        <f t="shared" si="168"/>
        <v>4.7628832354859751</v>
      </c>
      <c r="I272" s="348">
        <f t="shared" si="168"/>
        <v>5.3353020390224728</v>
      </c>
      <c r="J272" s="348">
        <f t="shared" si="168"/>
        <v>5.5160533147163555</v>
      </c>
      <c r="K272" s="348">
        <f t="shared" si="168"/>
        <v>5.5160533147163555</v>
      </c>
      <c r="L272" s="348">
        <f t="shared" si="168"/>
        <v>5.5160533147163555</v>
      </c>
      <c r="M272" s="348">
        <f t="shared" si="168"/>
        <v>5.5160533147163555</v>
      </c>
      <c r="N272" s="348">
        <f t="shared" si="168"/>
        <v>5.7079394155118459</v>
      </c>
      <c r="O272" s="348">
        <f t="shared" si="168"/>
        <v>5.7716680110315162</v>
      </c>
      <c r="P272" s="348">
        <f t="shared" si="168"/>
        <v>5.7716680110315162</v>
      </c>
      <c r="Q272" s="348">
        <f>AK216</f>
        <v>5.7716680110315162</v>
      </c>
    </row>
  </sheetData>
  <sheetProtection formatCells="0" formatColumns="0" formatRows="0" selectLockedCells="1"/>
  <customSheetViews>
    <customSheetView guid="{0FAFE012-8D9E-4ED0-86A4-A997E430971B}" scale="55" showGridLines="0" fitToPage="1" hiddenRows="1" topLeftCell="A32">
      <selection activeCell="G32" sqref="G32"/>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20" priority="1" operator="lessThan">
      <formula>0</formula>
    </cfRule>
  </conditionalFormatting>
  <conditionalFormatting sqref="F46:Q47">
    <cfRule type="cellIs" dxfId="19" priority="3" operator="lessThan">
      <formula>0</formula>
    </cfRule>
  </conditionalFormatting>
  <conditionalFormatting sqref="F50:Q50">
    <cfRule type="cellIs" dxfId="18" priority="2" operator="lessThan">
      <formula>0</formula>
    </cfRule>
  </conditionalFormatting>
  <dataValidations count="3">
    <dataValidation type="list" allowBlank="1" showInputMessage="1" showErrorMessage="1" sqref="F141:G141" xr:uid="{7073EC4B-427B-4D34-BF3B-B92C3BAF737D}">
      <formula1>"0.0 Stars,0.5 Stars,1.0 Stars,1.5 Stars,2.0 Stars,2.5 Stars,3.0 Stars,3.5 Stars,4.0 Stars,4.5 Stars,5.0 Stars,5.5 Stars,6.0 Stars,N/A"</formula1>
    </dataValidation>
    <dataValidation type="list" allowBlank="1" showInputMessage="1" showErrorMessage="1" sqref="E114" xr:uid="{759F84F0-9534-423B-A9C0-191BF7367589}">
      <formula1>$BQ$155:$BQ$169</formula1>
    </dataValidation>
    <dataValidation type="list" allowBlank="1" showInputMessage="1" showErrorMessage="1" sqref="O114:Q114" xr:uid="{B6954841-0441-4008-8E2C-FF33BCAB74C7}">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legacy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C3002-6A5D-4C9F-A146-0971CF201235}">
  <sheetPr codeName="Sheet31">
    <tabColor theme="5"/>
    <pageSetUpPr fitToPage="1"/>
  </sheetPr>
  <dimension ref="A1:CJ272"/>
  <sheetViews>
    <sheetView showGridLines="0" topLeftCell="A23" zoomScale="70" zoomScaleNormal="70" workbookViewId="0">
      <selection activeCell="Y16" sqref="Y16"/>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1.4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56</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t="s">
        <v>910</v>
      </c>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NSW2</v>
      </c>
      <c r="B6" s="368" t="s">
        <v>309</v>
      </c>
      <c r="C6" s="484" t="s">
        <v>310</v>
      </c>
      <c r="D6" s="485">
        <f>(VLOOKUP($A$2,Assumptions!$B$41:$C$63,2,0))/1000</f>
        <v>0.20875832375802408</v>
      </c>
      <c r="E6" s="367" t="s">
        <v>311</v>
      </c>
      <c r="F6" s="517">
        <f>VLOOKUP($A$2,'Footprint Summary'!$B$4:$R$26,COLUMNS('Footprint Summary'!$B$4:F$26)+1,0)</f>
        <v>2594.9870000000001</v>
      </c>
      <c r="G6" s="517">
        <f>VLOOKUP($A$2,'Footprint Summary'!$B$4:$R$26,COLUMNS('Footprint Summary'!$B$4:G$26)+1,0)</f>
        <v>2594.9870000000001</v>
      </c>
      <c r="H6" s="517">
        <f>VLOOKUP($A$2,'Footprint Summary'!$B$4:$R$26,COLUMNS('Footprint Summary'!$B$4:H$26)+1,0)</f>
        <v>2594.9870000000001</v>
      </c>
      <c r="I6" s="517">
        <f>VLOOKUP($A$2,'Footprint Summary'!$B$4:$R$26,COLUMNS('Footprint Summary'!$B$4:I$26)+1,0)</f>
        <v>2594.9870000000001</v>
      </c>
      <c r="J6" s="517">
        <f>VLOOKUP($A$2,'Footprint Summary'!$B$4:$R$26,COLUMNS('Footprint Summary'!$B$4:J$26)+1,0)</f>
        <v>2594.9870000000001</v>
      </c>
      <c r="K6" s="517">
        <f>VLOOKUP($A$2,'Footprint Summary'!$B$4:$R$26,COLUMNS('Footprint Summary'!$B$4:K$26)+1,0)</f>
        <v>2594.9870000000001</v>
      </c>
      <c r="L6" s="517">
        <f>VLOOKUP($A$2,'Footprint Summary'!$B$4:$R$26,COLUMNS('Footprint Summary'!$B$4:L$26)+1,0)</f>
        <v>2594.9870000000001</v>
      </c>
      <c r="M6" s="517">
        <f>VLOOKUP($A$2,'Footprint Summary'!$B$4:$R$26,COLUMNS('Footprint Summary'!$B$4:M$26)+1,0)</f>
        <v>2594.9870000000001</v>
      </c>
      <c r="N6" s="517">
        <f>VLOOKUP($A$2,'Footprint Summary'!$B$4:$R$26,COLUMNS('Footprint Summary'!$B$4:N$26)+1,0)</f>
        <v>2594.9870000000001</v>
      </c>
      <c r="O6" s="517">
        <f>VLOOKUP($A$2,'Footprint Summary'!$B$4:$R$26,COLUMNS('Footprint Summary'!$B$4:O$26)+1,0)</f>
        <v>2594.9870000000001</v>
      </c>
      <c r="P6" s="517">
        <f>VLOOKUP($A$2,'Footprint Summary'!$B$4:$R$26,COLUMNS('Footprint Summary'!$B$4:P$26)+1,0)</f>
        <v>2594.9870000000001</v>
      </c>
      <c r="Q6" s="429">
        <f>(P6-F6)/F6</f>
        <v>0</v>
      </c>
      <c r="R6" s="366"/>
      <c r="S6" s="357"/>
      <c r="T6" s="8"/>
      <c r="U6" s="8"/>
    </row>
    <row r="7" spans="1:21" s="7" customFormat="1" ht="17.25" customHeight="1">
      <c r="A7" s="368" t="str">
        <f>VLOOKUP($A$2,'Asset Attributes'!$B$3:$D$25,2,0)</f>
        <v>NSW2</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22.271978953449398</v>
      </c>
      <c r="E8" s="422" t="s">
        <v>314</v>
      </c>
      <c r="F8" s="519">
        <f>VLOOKUP($A$2,'Footprint Summary'!$B$33:$R$55,COLUMNS('Footprint Summary'!$B$33:F$55)+1,0)</f>
        <v>4803.0529999999999</v>
      </c>
      <c r="G8" s="519">
        <f>VLOOKUP($A$2,'Footprint Summary'!$B$33:$R$55,COLUMNS('Footprint Summary'!$B$33:G$55)+1,0)</f>
        <v>4803.0529999999999</v>
      </c>
      <c r="H8" s="519">
        <f>VLOOKUP($A$2,'Footprint Summary'!$B$33:$R$55,COLUMNS('Footprint Summary'!$B$33:H$55)+1,0)</f>
        <v>4803.0529999999999</v>
      </c>
      <c r="I8" s="519">
        <f>VLOOKUP($A$2,'Footprint Summary'!$B$33:$R$55,COLUMNS('Footprint Summary'!$B$33:I$55)+1,0)</f>
        <v>4803.0529999999999</v>
      </c>
      <c r="J8" s="519">
        <f>VLOOKUP($A$2,'Footprint Summary'!$B$33:$R$55,COLUMNS('Footprint Summary'!$B$33:J$55)+1,0)</f>
        <v>4803.0529999999999</v>
      </c>
      <c r="K8" s="519">
        <f>VLOOKUP($A$2,'Footprint Summary'!$B$33:$R$55,COLUMNS('Footprint Summary'!$B$33:K$55)+1,0)</f>
        <v>4803.0529999999999</v>
      </c>
      <c r="L8" s="519">
        <f>VLOOKUP($A$2,'Footprint Summary'!$B$33:$R$55,COLUMNS('Footprint Summary'!$B$33:L$55)+1,0)</f>
        <v>4803.0529999999999</v>
      </c>
      <c r="M8" s="519">
        <f>VLOOKUP($A$2,'Footprint Summary'!$B$33:$R$55,COLUMNS('Footprint Summary'!$B$33:M$55)+1,0)</f>
        <v>4803.0529999999999</v>
      </c>
      <c r="N8" s="519">
        <f>VLOOKUP($A$2,'Footprint Summary'!$B$33:$R$55,COLUMNS('Footprint Summary'!$B$33:N$55)+1,0)</f>
        <v>4803.0529999999999</v>
      </c>
      <c r="O8" s="519">
        <f>VLOOKUP($A$2,'Footprint Summary'!$B$33:$R$55,COLUMNS('Footprint Summary'!$B$33:O$55)+1,0)</f>
        <v>4803.0529999999999</v>
      </c>
      <c r="P8" s="519">
        <f>VLOOKUP($A$2,'Footprint Summary'!$B$33:$R$55,COLUMNS('Footprint Summary'!$B$33:P$55)+1,0)</f>
        <v>4803.0529999999999</v>
      </c>
      <c r="Q8" s="429">
        <f>(P8-F8)/F8</f>
        <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NSW2</v>
      </c>
      <c r="B13" s="368" t="s">
        <v>317</v>
      </c>
      <c r="C13" s="367"/>
      <c r="D13" s="2"/>
      <c r="E13" s="367" t="s">
        <v>321</v>
      </c>
      <c r="F13" s="367">
        <f>VLOOKUP($A$2,'Footprint Summary'!$B$4:$R$26,COLUMNS('Footprint Summary'!$B$4:F$26)+1,0)*VLOOKUP($A$13,Assumptions!$A$4:$N$14,COLUMNS(Assumptions!$A$4:B$14)+1,0)</f>
        <v>2050.03973</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247.50132109</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162.67169963696915</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2460.2127507269693</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4" s="7" customFormat="1" ht="17.25" customHeight="1" thickTop="1">
      <c r="E17" s="367" t="s">
        <v>322</v>
      </c>
      <c r="F17" s="428">
        <f>1000*F16/(VLOOKUP($A$2,'Asset Attributes'!$B$3:$D$25,3,0))</f>
        <v>61.600800008186923</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row>
    <row r="18" spans="1:24" s="7" customFormat="1" ht="28.5" customHeight="1" thickBot="1">
      <c r="A18" s="9" t="s">
        <v>323</v>
      </c>
      <c r="E18" s="367"/>
      <c r="F18" s="557">
        <f>1000*F14/(VLOOKUP($A$2,'Asset Attributes'!$B$3:$D$25,3,0))</f>
        <v>6.1971385920677049</v>
      </c>
      <c r="G18" s="428"/>
      <c r="H18" s="428"/>
      <c r="I18" s="428"/>
      <c r="J18" s="428"/>
      <c r="K18" s="428"/>
      <c r="L18" s="428"/>
      <c r="M18" s="428"/>
      <c r="N18" s="428"/>
      <c r="O18" s="428"/>
      <c r="P18" s="428"/>
      <c r="R18" s="366"/>
      <c r="S18" s="357"/>
      <c r="T18" s="8"/>
      <c r="U18" s="8"/>
      <c r="V18" s="8"/>
      <c r="W18" s="8"/>
      <c r="X18" s="8"/>
    </row>
    <row r="19" spans="1:24"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c r="V19" s="8"/>
      <c r="W19" s="8"/>
      <c r="X19" s="8"/>
    </row>
    <row r="20" spans="1:24"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0</v>
      </c>
      <c r="P20" s="499">
        <f>-1*(VLOOKUP($A$2,'Footprint Summary'!$B$244:AB$266,COLUMNS('Footprint Summary'!$B$244:P$266)+1,0))</f>
        <v>0</v>
      </c>
      <c r="Q20" s="499">
        <f>SUM(G20:P20)</f>
        <v>0</v>
      </c>
      <c r="R20" s="366"/>
      <c r="S20" s="357"/>
      <c r="T20" s="8"/>
      <c r="U20" s="8"/>
      <c r="V20" s="8"/>
      <c r="W20" s="8"/>
      <c r="X20" s="8"/>
    </row>
    <row r="21" spans="1:24" s="7" customFormat="1" ht="19.5" customHeight="1">
      <c r="A21" s="368" t="str">
        <f>VLOOKUP($A$2,'Asset Attributes'!$B$3:$D$25,2,0)</f>
        <v>NSW2</v>
      </c>
      <c r="B21" s="368" t="s">
        <v>326</v>
      </c>
      <c r="E21" s="367" t="s">
        <v>321</v>
      </c>
      <c r="F21" s="499">
        <f>-1*(VLOOKUP($A$2,'Footprint Summary'!$B$302:$R$324,COLUMNS('Footprint Summary'!$B$302:F324)+1,0))</f>
        <v>0</v>
      </c>
      <c r="G21" s="499">
        <f>-1*(VLOOKUP($A$2,'Footprint Summary'!$B$302:$R$324,COLUMNS('Footprint Summary'!$B$302:G324)+1,0))</f>
        <v>1925.480354</v>
      </c>
      <c r="H21" s="499">
        <f>-1*(VLOOKUP($A$2,'Footprint Summary'!$B$302:$R$324,COLUMNS('Footprint Summary'!$B$302:H324)+1,0))</f>
        <v>1894.34051</v>
      </c>
      <c r="I21" s="499">
        <f>-1*(VLOOKUP($A$2,'Footprint Summary'!$B$302:$R$324,COLUMNS('Footprint Summary'!$B$302:I324)+1,0))</f>
        <v>1717.8813940000002</v>
      </c>
      <c r="J21" s="499">
        <f>-1*(VLOOKUP($A$2,'Footprint Summary'!$B$302:$R$324,COLUMNS('Footprint Summary'!$B$302:J324)+1,0))</f>
        <v>1619.271888</v>
      </c>
      <c r="K21" s="499">
        <f>-1*(VLOOKUP($A$2,'Footprint Summary'!$B$302:$R$324,COLUMNS('Footprint Summary'!$B$302:K324)+1,0))</f>
        <v>1419.4578890000003</v>
      </c>
      <c r="L21" s="499">
        <f>-1*(VLOOKUP($A$2,'Footprint Summary'!$B$302:$R$324,COLUMNS('Footprint Summary'!$B$302:L324)+1,0))</f>
        <v>1193.6940200000001</v>
      </c>
      <c r="M21" s="499">
        <f>-1*(VLOOKUP($A$2,'Footprint Summary'!$B$302:$R$324,COLUMNS('Footprint Summary'!$B$302:M324)+1,0))</f>
        <v>993.88002100000006</v>
      </c>
      <c r="N21" s="499">
        <f>-1*(VLOOKUP($A$2,'Footprint Summary'!$B$302:$R$324,COLUMNS('Footprint Summary'!$B$302:N324)+1,0))</f>
        <v>843.37077500000009</v>
      </c>
      <c r="O21" s="499">
        <f>-1*(VLOOKUP($A$2,'Footprint Summary'!$B$302:$R$324,COLUMNS('Footprint Summary'!$B$302:O324)+1,0))</f>
        <v>747.35625599999992</v>
      </c>
      <c r="P21" s="499">
        <f>-1*(VLOOKUP($A$2,'Footprint Summary'!$B$302:$R$324,COLUMNS('Footprint Summary'!$B$302:P324)+1,0))</f>
        <v>685.07656800000007</v>
      </c>
      <c r="Q21" s="499">
        <f t="shared" ref="Q21:Q27" si="6">SUM(G21:P21)</f>
        <v>13039.809675000002</v>
      </c>
      <c r="R21" s="366"/>
      <c r="S21" s="357"/>
      <c r="T21" s="8"/>
      <c r="U21" s="8"/>
      <c r="V21" s="8"/>
      <c r="W21" s="8"/>
      <c r="X21" s="8"/>
    </row>
    <row r="22" spans="1:24" s="7" customFormat="1" ht="19.5" customHeight="1">
      <c r="A22" s="368" t="s">
        <v>284</v>
      </c>
      <c r="B22" s="368" t="s">
        <v>327</v>
      </c>
      <c r="E22" s="425" t="s">
        <v>321</v>
      </c>
      <c r="F22" s="499">
        <v>0</v>
      </c>
      <c r="G22" s="499">
        <f>(VLOOKUP($A$2,'Footprint Summary'!$B$33:$R$55,COLUMNS('Footprint Summary'!$B$33:G$55)+1,0)*VLOOKUP($B$14,Assumptions!$B$17:$N$29,COLUMNS(Assumptions!$B$18:C$29)+1,0)/1000)</f>
        <v>247.50132109</v>
      </c>
      <c r="H22" s="499">
        <f>(VLOOKUP($A$2,'Footprint Summary'!$B$33:$R$55,COLUMNS('Footprint Summary'!$B$33:H$55)+1,0)*VLOOKUP($B$14,Assumptions!$B$17:$N$29,COLUMNS(Assumptions!$B$18:D$29)+1,0)/1000)</f>
        <v>247.50132109</v>
      </c>
      <c r="I22" s="499">
        <f>(VLOOKUP($A$2,'Footprint Summary'!$B$33:$R$55,COLUMNS('Footprint Summary'!$B$33:I$55)+1,0)*VLOOKUP($B$14,Assumptions!$B$17:$N$29,COLUMNS(Assumptions!$B$18:E$29)+1,0)/1000)</f>
        <v>247.50132109</v>
      </c>
      <c r="J22" s="499">
        <f>(VLOOKUP($A$2,'Footprint Summary'!$B$33:$R$55,COLUMNS('Footprint Summary'!$B$33:J$55)+1,0)*VLOOKUP($B$14,Assumptions!$B$17:$N$29,COLUMNS(Assumptions!$B$18:F$29)+1,0)/1000)</f>
        <v>247.50132109</v>
      </c>
      <c r="K22" s="499">
        <f>(VLOOKUP($A$2,'Footprint Summary'!$B$33:$R$55,COLUMNS('Footprint Summary'!$B$33:K$55)+1,0)*VLOOKUP($B$14,Assumptions!$B$17:$N$29,COLUMNS(Assumptions!$B$18:G$29)+1,0)/1000)</f>
        <v>247.50132109</v>
      </c>
      <c r="L22" s="499">
        <f>(VLOOKUP($A$2,'Footprint Summary'!$B$33:$R$55,COLUMNS('Footprint Summary'!$B$33:L$55)+1,0)*VLOOKUP($B$14,Assumptions!$B$17:$N$29,COLUMNS(Assumptions!$B$18:H$29)+1,0)/1000)</f>
        <v>247.50132109</v>
      </c>
      <c r="M22" s="499">
        <f>(VLOOKUP($A$2,'Footprint Summary'!$B$33:$R$55,COLUMNS('Footprint Summary'!$B$33:M$55)+1,0)*VLOOKUP($B$14,Assumptions!$B$17:$N$29,COLUMNS(Assumptions!$B$18:I$29)+1,0)/1000)</f>
        <v>247.50132109</v>
      </c>
      <c r="N22" s="499">
        <f>(VLOOKUP($A$2,'Footprint Summary'!$B$33:$R$55,COLUMNS('Footprint Summary'!$B$33:N$55)+1,0)*VLOOKUP($B$14,Assumptions!$B$17:$N$29,COLUMNS(Assumptions!$B$18:J$29)+1,0)/1000)</f>
        <v>247.50132109</v>
      </c>
      <c r="O22" s="499">
        <f>(VLOOKUP($A$2,'Footprint Summary'!$B$33:$R$55,COLUMNS('Footprint Summary'!$B$33:O$55)+1,0)*VLOOKUP($B$14,Assumptions!$B$17:$N$29,COLUMNS(Assumptions!$B$18:K$29)+1,0)/1000)</f>
        <v>247.50132109</v>
      </c>
      <c r="P22" s="499">
        <f>(VLOOKUP($A$2,'Footprint Summary'!$B$33:$R$55,COLUMNS('Footprint Summary'!$B$33:P$55)+1,0)*VLOOKUP($B$14,Assumptions!$B$17:$N$29,COLUMNS(Assumptions!$B$18:L$29)+1,0)/1000)</f>
        <v>247.50132109</v>
      </c>
      <c r="Q22" s="499">
        <f t="shared" si="6"/>
        <v>2475.0132109000001</v>
      </c>
      <c r="R22" s="366"/>
      <c r="S22" s="357"/>
      <c r="T22" s="8"/>
      <c r="U22" s="8"/>
      <c r="V22" s="8"/>
      <c r="W22" s="8"/>
      <c r="X22" s="8"/>
    </row>
    <row r="23" spans="1:24"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c r="V23" s="8"/>
      <c r="W23" s="8"/>
      <c r="X23" s="8"/>
    </row>
    <row r="24" spans="1:24" s="7" customFormat="1" ht="19.5" customHeight="1">
      <c r="A24" s="419" t="s">
        <v>319</v>
      </c>
      <c r="B24" s="419" t="s">
        <v>329</v>
      </c>
      <c r="E24" s="425" t="s">
        <v>321</v>
      </c>
      <c r="F24" s="499">
        <v>0</v>
      </c>
      <c r="G24" s="499">
        <f>VLOOKUP($A$2,'Footprint Summary'!$B$216:$R$238,COLUMNS('Footprint Summary'!$B$216:G238)+1,0)</f>
        <v>147.86093967730591</v>
      </c>
      <c r="H24" s="499">
        <f>VLOOKUP($A$2,'Footprint Summary'!$B$216:$R$238,COLUMNS('Footprint Summary'!$B$216:H238)+1,0)</f>
        <v>133.05017971764266</v>
      </c>
      <c r="I24" s="499">
        <f>VLOOKUP($A$2,'Footprint Summary'!$B$216:$R$238,COLUMNS('Footprint Summary'!$B$216:I238)+1,0)</f>
        <v>118.23941975797941</v>
      </c>
      <c r="J24" s="499">
        <f>VLOOKUP($A$2,'Footprint Summary'!$B$216:$R$238,COLUMNS('Footprint Summary'!$B$216:J238)+1,0)</f>
        <v>103.42865979831616</v>
      </c>
      <c r="K24" s="499">
        <f>VLOOKUP($A$2,'Footprint Summary'!$B$216:$R$238,COLUMNS('Footprint Summary'!$B$216:K238)+1,0)</f>
        <v>88.617899838652932</v>
      </c>
      <c r="L24" s="499">
        <f>VLOOKUP($A$2,'Footprint Summary'!$B$216:$R$238,COLUMNS('Footprint Summary'!$B$216:L238)+1,0)</f>
        <v>73.807139878989688</v>
      </c>
      <c r="M24" s="499">
        <f>VLOOKUP($A$2,'Footprint Summary'!$B$216:$R$238,COLUMNS('Footprint Summary'!$B$216:M238)+1,0)</f>
        <v>58.996379919326458</v>
      </c>
      <c r="N24" s="499">
        <f>VLOOKUP($A$2,'Footprint Summary'!$B$216:$R$238,COLUMNS('Footprint Summary'!$B$216:N238)+1,0)</f>
        <v>44.185619959663214</v>
      </c>
      <c r="O24" s="499">
        <f>VLOOKUP($A$2,'Footprint Summary'!$B$216:$R$238,COLUMNS('Footprint Summary'!$B$216:O238)+1,0)</f>
        <v>29.374859999999977</v>
      </c>
      <c r="P24" s="499">
        <f>VLOOKUP($A$2,'Footprint Summary'!$B$216:$R$238,COLUMNS('Footprint Summary'!$B$216:P238)+1,0)</f>
        <v>29.374860000000002</v>
      </c>
      <c r="Q24" s="499">
        <f t="shared" si="6"/>
        <v>826.93595854787657</v>
      </c>
      <c r="R24" s="366"/>
      <c r="S24" s="357"/>
      <c r="T24" s="8"/>
      <c r="U24" s="8"/>
      <c r="V24" s="8"/>
      <c r="W24" s="8"/>
      <c r="X24" s="8"/>
    </row>
    <row r="25" spans="1:24" s="7" customFormat="1" ht="19.5" customHeight="1">
      <c r="A25" s="419" t="s">
        <v>319</v>
      </c>
      <c r="B25" s="419" t="s">
        <v>319</v>
      </c>
      <c r="E25" s="425" t="s">
        <v>321</v>
      </c>
      <c r="F25" s="499">
        <f>VLOOKUP($A$2,'Footprint Summary'!$B$216:$R$238,COLUMNS('Footprint Summary'!$B$216:F238)+1,0)-F24</f>
        <v>162.67169963696915</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c r="V25" s="8"/>
      <c r="W25" s="8"/>
      <c r="X25" s="8"/>
    </row>
    <row r="26" spans="1:24" s="7" customFormat="1" ht="19.5" customHeight="1">
      <c r="A26" s="419" t="s">
        <v>284</v>
      </c>
      <c r="B26" s="368" t="s">
        <v>285</v>
      </c>
      <c r="E26" s="425" t="s">
        <v>321</v>
      </c>
      <c r="F26" s="499">
        <f>(VLOOKUP($A$2,'Footprint Summary'!$B$33:$R$55,COLUMNS('Footprint Summary'!$B$33:F$55)+1,0)*VLOOKUP($B$14,Assumptions!$B$17:$N$29,COLUMNS(Assumptions!$B$18:B$29)+1,0)/1000)-F22</f>
        <v>247.50132109</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c r="V26" s="8"/>
      <c r="W26" s="8"/>
      <c r="X26" s="8" t="s">
        <v>911</v>
      </c>
    </row>
    <row r="27" spans="1:24" s="7" customFormat="1" ht="19.5" customHeight="1">
      <c r="A27" s="368" t="str">
        <f>VLOOKUP($A$2,'Asset Attributes'!$B$3:$D$25,2,0)</f>
        <v>NSW2</v>
      </c>
      <c r="B27" s="368" t="s">
        <v>330</v>
      </c>
      <c r="E27" s="425" t="s">
        <v>321</v>
      </c>
      <c r="F27" s="367">
        <f>VLOOKUP($A$2,'Footprint Summary'!$B$4:$R$26,COLUMNS('Footprint Summary'!$B$4:F$26)+1,0)*VLOOKUP($A$13,Assumptions!$A$4:$N$14,COLUMNS(Assumptions!$A$4:B$14)+1,0)</f>
        <v>2050.03973</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c r="V27" s="8"/>
      <c r="W27" s="8"/>
      <c r="X27" s="638" t="s">
        <v>912</v>
      </c>
    </row>
    <row r="28" spans="1:24" s="7" customFormat="1" ht="19.5" customHeight="1" thickBot="1">
      <c r="E28" s="425" t="s">
        <v>321</v>
      </c>
      <c r="F28" s="434">
        <f>SUM(F20:F23)</f>
        <v>0</v>
      </c>
      <c r="G28" s="434">
        <f t="shared" ref="G28:P28" si="7">SUM(G20:G23)</f>
        <v>2172.98167509</v>
      </c>
      <c r="H28" s="434">
        <f t="shared" si="7"/>
        <v>2141.8418310900001</v>
      </c>
      <c r="I28" s="434">
        <f t="shared" si="7"/>
        <v>1965.3827150900001</v>
      </c>
      <c r="J28" s="434">
        <f t="shared" si="7"/>
        <v>1866.7732090899999</v>
      </c>
      <c r="K28" s="434">
        <f t="shared" si="7"/>
        <v>1666.9592100900002</v>
      </c>
      <c r="L28" s="434">
        <f t="shared" si="7"/>
        <v>1441.1953410900001</v>
      </c>
      <c r="M28" s="434">
        <f t="shared" si="7"/>
        <v>1241.3813420900001</v>
      </c>
      <c r="N28" s="434">
        <f t="shared" si="7"/>
        <v>1090.87209609</v>
      </c>
      <c r="O28" s="434">
        <f t="shared" si="7"/>
        <v>994.85757708999995</v>
      </c>
      <c r="P28" s="434">
        <f t="shared" si="7"/>
        <v>932.5778890900001</v>
      </c>
      <c r="Q28" s="434">
        <f t="shared" ref="Q28" si="8">SUM(Q20:Q24)</f>
        <v>16341.758844447879</v>
      </c>
      <c r="R28" s="366"/>
      <c r="S28" s="357"/>
      <c r="T28" s="8"/>
      <c r="U28" s="8"/>
      <c r="V28" s="8"/>
      <c r="W28" s="8"/>
      <c r="X28" s="638" t="s">
        <v>913</v>
      </c>
    </row>
    <row r="29" spans="1:24"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c r="V29" s="8"/>
      <c r="W29" s="8"/>
      <c r="X29" s="638" t="s">
        <v>914</v>
      </c>
    </row>
    <row r="30" spans="1:24"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X30" s="8"/>
    </row>
    <row r="31" spans="1:24" s="7" customFormat="1" ht="17.25" customHeight="1" thickTop="1">
      <c r="A31" s="436" t="s">
        <v>332</v>
      </c>
      <c r="B31" s="437"/>
      <c r="C31" s="435"/>
      <c r="S31" s="357"/>
      <c r="T31" s="8"/>
      <c r="U31" s="8"/>
      <c r="V31" s="8"/>
      <c r="W31" s="8"/>
      <c r="X31" s="8"/>
    </row>
    <row r="32" spans="1:24" s="7" customFormat="1" ht="17.25" customHeight="1">
      <c r="A32" s="368" t="s">
        <v>30</v>
      </c>
      <c r="B32" s="368" t="s">
        <v>334</v>
      </c>
      <c r="F32" s="424">
        <f>VLOOKUP($A$2,'Costs Summary'!$B$154:$R$176,COLUMNS('Costs Summary'!$B$154:F$176)+1,0)</f>
        <v>539846.99</v>
      </c>
      <c r="G32" s="424">
        <f>VLOOKUP($A$2,'Costs Summary'!$B$154:$R$176,COLUMNS('Costs Summary'!$B$154:G$176)+1,0)</f>
        <v>704242.67718202271</v>
      </c>
      <c r="H32" s="424">
        <f>VLOOKUP($A$2,'Costs Summary'!$B$154:$R$176,COLUMNS('Costs Summary'!$B$154:H$176)+1,0)</f>
        <v>728891.1708833935</v>
      </c>
      <c r="I32" s="424">
        <f>VLOOKUP($A$2,'Costs Summary'!$B$154:$R$176,COLUMNS('Costs Summary'!$B$154:I$176)+1,0)</f>
        <v>754402.3618643122</v>
      </c>
      <c r="J32" s="424">
        <f>VLOOKUP($A$2,'Costs Summary'!$B$154:$R$176,COLUMNS('Costs Summary'!$B$154:J$176)+1,0)</f>
        <v>780806.44452956296</v>
      </c>
      <c r="K32" s="424">
        <f>VLOOKUP($A$2,'Costs Summary'!$B$154:$R$176,COLUMNS('Costs Summary'!$B$154:K$176)+1,0)</f>
        <v>808134.67008809769</v>
      </c>
      <c r="L32" s="424">
        <f>VLOOKUP($A$2,'Costs Summary'!$B$154:$R$176,COLUMNS('Costs Summary'!$B$154:L$176)+1,0)</f>
        <v>836419.3835411811</v>
      </c>
      <c r="M32" s="424">
        <f>VLOOKUP($A$2,'Costs Summary'!$B$154:$R$176,COLUMNS('Costs Summary'!$B$154:M$176)+1,0)</f>
        <v>865694.06196512247</v>
      </c>
      <c r="N32" s="424">
        <f>VLOOKUP($A$2,'Costs Summary'!$B$154:$R$176,COLUMNS('Costs Summary'!$B$154:N$176)+1,0)</f>
        <v>1038832.8743581469</v>
      </c>
      <c r="O32" s="424">
        <f>VLOOKUP($A$2,'Costs Summary'!$B$154:$R$176,COLUMNS('Costs Summary'!$B$154:O$176)+1,0)</f>
        <v>1075192.024960682</v>
      </c>
      <c r="P32" s="424">
        <f>VLOOKUP($A$2,'Costs Summary'!$B$154:$R$176,COLUMNS('Costs Summary'!$B$154:P$176)+1,0)</f>
        <v>1112823.7458343059</v>
      </c>
      <c r="Q32" s="433">
        <f>SUM(G32:P32)</f>
        <v>8705439.4152068272</v>
      </c>
      <c r="R32" s="366"/>
      <c r="S32" s="357"/>
      <c r="T32" s="8"/>
      <c r="U32" s="8"/>
      <c r="V32" s="8"/>
      <c r="W32" s="8"/>
      <c r="X32" s="8"/>
    </row>
    <row r="33" spans="1:21" s="7" customFormat="1" ht="17.25" customHeight="1">
      <c r="A33" s="368" t="s">
        <v>284</v>
      </c>
      <c r="B33" s="368" t="s">
        <v>335</v>
      </c>
      <c r="C33" s="423"/>
      <c r="D33" s="423"/>
      <c r="E33" s="423"/>
      <c r="F33" s="424">
        <f>VLOOKUP($A$2,'Costs Summary'!$B$183:$R$205,COLUMNS('Costs Summary'!$B$183:F$205)+1,0)</f>
        <v>120058.64659999998</v>
      </c>
      <c r="G33" s="424">
        <f>VLOOKUP($A$2,'Costs Summary'!$B$183:$R$205,COLUMNS('Costs Summary'!$B$183:G$205)+1,0)</f>
        <v>110182.70018815105</v>
      </c>
      <c r="H33" s="424">
        <f>VLOOKUP($A$2,'Costs Summary'!$B$183:$R$205,COLUMNS('Costs Summary'!$B$183:H$205)+1,0)</f>
        <v>113488.18119379559</v>
      </c>
      <c r="I33" s="424">
        <f>VLOOKUP($A$2,'Costs Summary'!$B$183:$R$205,COLUMNS('Costs Summary'!$B$183:I$205)+1,0)</f>
        <v>116892.82662960945</v>
      </c>
      <c r="J33" s="424">
        <f>VLOOKUP($A$2,'Costs Summary'!$B$183:$R$205,COLUMNS('Costs Summary'!$B$183:J$205)+1,0)</f>
        <v>120399.61142849775</v>
      </c>
      <c r="K33" s="424">
        <f>VLOOKUP($A$2,'Costs Summary'!$B$183:$R$205,COLUMNS('Costs Summary'!$B$183:K$205)+1,0)</f>
        <v>124011.59977135269</v>
      </c>
      <c r="L33" s="424">
        <f>VLOOKUP($A$2,'Costs Summary'!$B$183:$R$205,COLUMNS('Costs Summary'!$B$183:L$205)+1,0)</f>
        <v>127731.94776449328</v>
      </c>
      <c r="M33" s="424">
        <f>VLOOKUP($A$2,'Costs Summary'!$B$183:$R$205,COLUMNS('Costs Summary'!$B$183:M$205)+1,0)</f>
        <v>131563.90619742809</v>
      </c>
      <c r="N33" s="424">
        <f>VLOOKUP($A$2,'Costs Summary'!$B$183:$R$205,COLUMNS('Costs Summary'!$B$183:N$205)+1,0)</f>
        <v>135510.82338335091</v>
      </c>
      <c r="O33" s="424">
        <f>VLOOKUP($A$2,'Costs Summary'!$B$183:$R$205,COLUMNS('Costs Summary'!$B$183:O$205)+1,0)</f>
        <v>139576.14808485145</v>
      </c>
      <c r="P33" s="424">
        <f>VLOOKUP($A$2,'Costs Summary'!$B$183:$R$205,COLUMNS('Costs Summary'!$B$183:P$205)+1,0)</f>
        <v>143763.432527397</v>
      </c>
      <c r="Q33" s="433">
        <f>SUM(G33:P33)</f>
        <v>1263121.1771689274</v>
      </c>
      <c r="R33" s="366"/>
      <c r="S33" s="357"/>
      <c r="T33" s="8"/>
      <c r="U33" s="8"/>
    </row>
    <row r="34" spans="1:21" s="7" customFormat="1" ht="17.25" customHeight="1">
      <c r="A34" s="368" t="s">
        <v>284</v>
      </c>
      <c r="B34" s="368" t="s">
        <v>336</v>
      </c>
      <c r="H34" s="424">
        <f>VLOOKUP($A$2,'Costs Summary'!$B$241:$R$263,COLUMNS('Costs Summary'!$B$241:H263)+1,0)</f>
        <v>14850.0792654</v>
      </c>
      <c r="I34" s="424">
        <f>VLOOKUP($A$2,'Costs Summary'!$B$241:$R$263,COLUMNS('Costs Summary'!$B$241:I263)+1,0)</f>
        <v>14850.0792654</v>
      </c>
      <c r="J34" s="424">
        <f>VLOOKUP($A$2,'Costs Summary'!$B$241:$R$263,COLUMNS('Costs Summary'!$B$241:J263)+1,0)</f>
        <v>14850.0792654</v>
      </c>
      <c r="K34" s="424">
        <f>VLOOKUP($A$2,'Costs Summary'!$B$241:$R$263,COLUMNS('Costs Summary'!$B$241:K263)+1,0)</f>
        <v>14850.0792654</v>
      </c>
      <c r="L34" s="424">
        <f>VLOOKUP($A$2,'Costs Summary'!$B$241:$R$263,COLUMNS('Costs Summary'!$B$241:L263)+1,0)</f>
        <v>14850.0792654</v>
      </c>
      <c r="M34" s="424">
        <f>VLOOKUP($A$2,'Costs Summary'!$B$241:$R$263,COLUMNS('Costs Summary'!$B$241:M263)+1,0)</f>
        <v>14850.0792654</v>
      </c>
      <c r="N34" s="424">
        <f>VLOOKUP($A$2,'Costs Summary'!$B$241:$R$263,COLUMNS('Costs Summary'!$B$241:N263)+1,0)</f>
        <v>14850.0792654</v>
      </c>
      <c r="O34" s="424">
        <f>VLOOKUP($A$2,'Costs Summary'!$B$241:$R$263,COLUMNS('Costs Summary'!$B$241:O263)+1,0)</f>
        <v>14850.0792654</v>
      </c>
      <c r="P34" s="424">
        <f>VLOOKUP($A$2,'Costs Summary'!$B$241:$R$263,COLUMNS('Costs Summary'!$B$241:P263)+1,0)</f>
        <v>14850.0792654</v>
      </c>
      <c r="Q34" s="433">
        <f>SUM(G34:P34)</f>
        <v>133650.71338859998</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7983.0107830585603</v>
      </c>
      <c r="I35" s="424">
        <f>VLOOKUP($A$2,'Costs Summary'!$B$212:$R$234,COLUMNS('Costs Summary'!$B$212:I$234)+1,0)</f>
        <v>7094.365185478764</v>
      </c>
      <c r="J35" s="424">
        <f>VLOOKUP($A$2,'Costs Summary'!$B$212:$R$234,COLUMNS('Costs Summary'!$B$212:J$234)+1,0)</f>
        <v>6205.7195878989696</v>
      </c>
      <c r="K35" s="424">
        <f>VLOOKUP($A$2,'Costs Summary'!$B$212:$R$234,COLUMNS('Costs Summary'!$B$212:K$234)+1,0)</f>
        <v>5317.0739903191761</v>
      </c>
      <c r="L35" s="424">
        <f>VLOOKUP($A$2,'Costs Summary'!$B$212:$R$234,COLUMNS('Costs Summary'!$B$212:L$234)+1,0)</f>
        <v>4428.4283927393808</v>
      </c>
      <c r="M35" s="424">
        <f>VLOOKUP($A$2,'Costs Summary'!$B$212:$R$234,COLUMNS('Costs Summary'!$B$212:M$234)+1,0)</f>
        <v>3539.7827951595873</v>
      </c>
      <c r="N35" s="424">
        <f>VLOOKUP($A$2,'Costs Summary'!$B$212:$R$234,COLUMNS('Costs Summary'!$B$212:N$234)+1,0)</f>
        <v>2651.1371975797929</v>
      </c>
      <c r="O35" s="424">
        <f>VLOOKUP($A$2,'Costs Summary'!$B$212:$R$234,COLUMNS('Costs Summary'!$B$212:O$234)+1,0)</f>
        <v>1762.4915999999987</v>
      </c>
      <c r="P35" s="424">
        <f>VLOOKUP($A$2,'Costs Summary'!$B$212:$R$234,COLUMNS('Costs Summary'!$B$212:P$234)+1,0)</f>
        <v>1762.4916000000001</v>
      </c>
      <c r="Q35" s="433">
        <f>SUM(G35:P35)</f>
        <v>40744.50113223424</v>
      </c>
      <c r="R35" s="366"/>
      <c r="S35" s="357"/>
      <c r="T35" s="8"/>
      <c r="U35" s="8"/>
    </row>
    <row r="36" spans="1:21" s="7" customFormat="1" ht="17.25" customHeight="1" thickBot="1">
      <c r="A36" s="437" t="s">
        <v>338</v>
      </c>
      <c r="C36" s="423"/>
      <c r="D36" s="423"/>
      <c r="E36" s="368" t="s">
        <v>669</v>
      </c>
      <c r="F36" s="461">
        <f t="shared" ref="F36:P36" si="10">SUM(F32:F35)</f>
        <v>659905.63659999997</v>
      </c>
      <c r="G36" s="461">
        <f t="shared" si="10"/>
        <v>814425.37737017381</v>
      </c>
      <c r="H36" s="461">
        <f t="shared" si="10"/>
        <v>865212.44212564768</v>
      </c>
      <c r="I36" s="461">
        <f t="shared" si="10"/>
        <v>893239.63294480043</v>
      </c>
      <c r="J36" s="461">
        <f t="shared" si="10"/>
        <v>922261.85481135955</v>
      </c>
      <c r="K36" s="461">
        <f t="shared" si="10"/>
        <v>952313.42311516951</v>
      </c>
      <c r="L36" s="461">
        <f t="shared" si="10"/>
        <v>983429.83896381373</v>
      </c>
      <c r="M36" s="461">
        <f t="shared" si="10"/>
        <v>1015647.8302231102</v>
      </c>
      <c r="N36" s="461">
        <f t="shared" si="10"/>
        <v>1191844.9142044776</v>
      </c>
      <c r="O36" s="461">
        <f t="shared" si="10"/>
        <v>1231380.7439109336</v>
      </c>
      <c r="P36" s="461">
        <f t="shared" si="10"/>
        <v>1273199.7492271031</v>
      </c>
      <c r="Q36" s="462">
        <f t="shared" ref="Q36" si="11">SUM(Q32:Q35)</f>
        <v>10142955.80689659</v>
      </c>
      <c r="R36" s="366"/>
      <c r="S36" s="357"/>
      <c r="T36" s="8"/>
      <c r="U36" s="8"/>
    </row>
    <row r="37" spans="1:21" s="7" customFormat="1" ht="17.25" customHeight="1" thickTop="1" thickBot="1">
      <c r="C37" s="423"/>
      <c r="D37" s="423"/>
      <c r="E37" s="368" t="s">
        <v>340</v>
      </c>
      <c r="F37" s="468">
        <f>F36/(VLOOKUP($A$2,'Asset Attributes'!$B$3:$D$25,3,0))</f>
        <v>16.523251955531073</v>
      </c>
      <c r="G37" s="468">
        <f>G36/(VLOOKUP($A$2,'Asset Attributes'!$B$3:$D$25,3,0))</f>
        <v>20.39224240998983</v>
      </c>
      <c r="H37" s="468">
        <f>H36/(VLOOKUP($A$2,'Asset Attributes'!$B$3:$D$25,3,0))</f>
        <v>21.663890082769484</v>
      </c>
      <c r="I37" s="468">
        <f>I36/(VLOOKUP($A$2,'Asset Attributes'!$B$3:$D$25,3,0))</f>
        <v>22.36565759288899</v>
      </c>
      <c r="J37" s="468">
        <f>J36/(VLOOKUP($A$2,'Asset Attributes'!$B$3:$D$25,3,0))</f>
        <v>23.09233949650357</v>
      </c>
      <c r="K37" s="468">
        <f>K36/(VLOOKUP($A$2,'Asset Attributes'!$B$3:$D$25,3,0))</f>
        <v>23.844795010144963</v>
      </c>
      <c r="L37" s="468">
        <f>L36/(VLOOKUP($A$2,'Asset Attributes'!$B$3:$D$25,3,0))</f>
        <v>24.623913039306267</v>
      </c>
      <c r="M37" s="468">
        <f>M36/(VLOOKUP($A$2,'Asset Attributes'!$B$3:$D$25,3,0))</f>
        <v>25.430613206047127</v>
      </c>
      <c r="N37" s="468">
        <f>N36/(VLOOKUP($A$2,'Asset Attributes'!$B$3:$D$25,3,0))</f>
        <v>29.842378541851808</v>
      </c>
      <c r="O37" s="468">
        <f>O36/(VLOOKUP($A$2,'Asset Attributes'!$B$3:$D$25,3,0))</f>
        <v>30.832308676221484</v>
      </c>
      <c r="P37" s="468">
        <f>P36/(VLOOKUP($A$2,'Asset Attributes'!$B$3:$D$25,3,0))</f>
        <v>31.87940681123499</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NSW2</v>
      </c>
      <c r="B39" s="368" t="s">
        <v>342</v>
      </c>
      <c r="C39" s="423"/>
      <c r="D39" s="423"/>
      <c r="E39" s="367"/>
      <c r="F39" s="424">
        <f>VLOOKUP($A$2,'Costs Summary'!$B$4:$R$26,COLUMNS('Costs Summary'!$B$4:F$26)+1,0)</f>
        <v>539846.99</v>
      </c>
      <c r="G39" s="424">
        <f>VLOOKUP($A$2,'Costs Summary'!$B$4:$R$26,COLUMNS('Costs Summary'!$B$4:G$26)+1,0)</f>
        <v>704242.67718202271</v>
      </c>
      <c r="H39" s="424">
        <f>VLOOKUP($A$2,'Costs Summary'!$B$4:$R$26,COLUMNS('Costs Summary'!$B$4:H$26)+1,0)</f>
        <v>728891.1708833935</v>
      </c>
      <c r="I39" s="424">
        <f>VLOOKUP($A$2,'Costs Summary'!$B$4:$R$26,COLUMNS('Costs Summary'!$B$4:I$26)+1,0)</f>
        <v>754402.3618643122</v>
      </c>
      <c r="J39" s="424">
        <f>VLOOKUP($A$2,'Costs Summary'!$B$4:$R$26,COLUMNS('Costs Summary'!$B$4:J$26)+1,0)</f>
        <v>780806.44452956296</v>
      </c>
      <c r="K39" s="424">
        <f>VLOOKUP($A$2,'Costs Summary'!$B$4:$R$26,COLUMNS('Costs Summary'!$B$4:K$26)+1,0)</f>
        <v>808134.67008809769</v>
      </c>
      <c r="L39" s="424">
        <f>VLOOKUP($A$2,'Costs Summary'!$B$4:$R$26,COLUMNS('Costs Summary'!$B$4:L$26)+1,0)</f>
        <v>836419.3835411811</v>
      </c>
      <c r="M39" s="424">
        <f>VLOOKUP($A$2,'Costs Summary'!$B$4:$R$26,COLUMNS('Costs Summary'!$B$4:M$26)+1,0)</f>
        <v>865694.06196512247</v>
      </c>
      <c r="N39" s="424">
        <f>VLOOKUP($A$2,'Costs Summary'!$B$4:$R$26,COLUMNS('Costs Summary'!$B$4:N$26)+1,0)</f>
        <v>1038832.8743581469</v>
      </c>
      <c r="O39" s="424">
        <f>VLOOKUP($A$2,'Costs Summary'!$B$4:$R$26,COLUMNS('Costs Summary'!$B$4:O$26)+1,0)</f>
        <v>1075192.024960682</v>
      </c>
      <c r="P39" s="424">
        <f>VLOOKUP($A$2,'Costs Summary'!$B$4:$R$26,COLUMNS('Costs Summary'!$B$4:P$26)+1,0)</f>
        <v>1112823.7458343059</v>
      </c>
      <c r="Q39" s="433">
        <f>SUM(G39:P39)</f>
        <v>8705439.4152068272</v>
      </c>
      <c r="R39" s="366"/>
      <c r="S39" s="357"/>
      <c r="T39" s="8"/>
      <c r="U39" s="8"/>
    </row>
    <row r="40" spans="1:21" s="7" customFormat="1" ht="17.25" customHeight="1">
      <c r="A40" s="368" t="s">
        <v>284</v>
      </c>
      <c r="B40" s="368" t="s">
        <v>343</v>
      </c>
      <c r="C40" s="423"/>
      <c r="D40" s="423"/>
      <c r="E40" s="423"/>
      <c r="F40" s="424">
        <f>VLOOKUP($A$2,'Costs Summary'!$B$33:$R$55,COLUMNS('Costs Summary'!$B$33:F$55)+1,0)</f>
        <v>120058.64659999998</v>
      </c>
      <c r="G40" s="424">
        <f>VLOOKUP($A$2,'Costs Summary'!$B$33:$R$55,COLUMNS('Costs Summary'!$B$33:G$55)+1,0)</f>
        <v>110182.70018815105</v>
      </c>
      <c r="H40" s="424">
        <f>VLOOKUP($A$2,'Costs Summary'!$B$33:$R$55,COLUMNS('Costs Summary'!$B$33:H$55)+1,0)</f>
        <v>113488.18119379559</v>
      </c>
      <c r="I40" s="424">
        <f>VLOOKUP($A$2,'Costs Summary'!$B$33:$R$55,COLUMNS('Costs Summary'!$B$33:I$55)+1,0)</f>
        <v>116892.82662960945</v>
      </c>
      <c r="J40" s="424">
        <f>VLOOKUP($A$2,'Costs Summary'!$B$33:$R$55,COLUMNS('Costs Summary'!$B$33:J$55)+1,0)</f>
        <v>120399.61142849775</v>
      </c>
      <c r="K40" s="424">
        <f>VLOOKUP($A$2,'Costs Summary'!$B$33:$R$55,COLUMNS('Costs Summary'!$B$33:K$55)+1,0)</f>
        <v>124011.59977135269</v>
      </c>
      <c r="L40" s="424">
        <f>VLOOKUP($A$2,'Costs Summary'!$B$33:$R$55,COLUMNS('Costs Summary'!$B$33:L$55)+1,0)</f>
        <v>127731.94776449328</v>
      </c>
      <c r="M40" s="424">
        <f>VLOOKUP($A$2,'Costs Summary'!$B$33:$R$55,COLUMNS('Costs Summary'!$B$33:M$55)+1,0)</f>
        <v>131563.90619742809</v>
      </c>
      <c r="N40" s="424">
        <f>VLOOKUP($A$2,'Costs Summary'!$B$33:$R$55,COLUMNS('Costs Summary'!$B$33:N$55)+1,0)</f>
        <v>135510.82338335091</v>
      </c>
      <c r="O40" s="424">
        <f>VLOOKUP($A$2,'Costs Summary'!$B$33:$R$55,COLUMNS('Costs Summary'!$B$33:O$55)+1,0)</f>
        <v>139576.14808485145</v>
      </c>
      <c r="P40" s="424">
        <f>VLOOKUP($A$2,'Costs Summary'!$B$33:$R$55,COLUMNS('Costs Summary'!$B$33:P$55)+1,0)</f>
        <v>143763.432527397</v>
      </c>
      <c r="Q40" s="433">
        <f>SUM(G40:P40)</f>
        <v>1263121.1771689274</v>
      </c>
      <c r="R40" s="366"/>
      <c r="S40" s="357"/>
      <c r="T40" s="8"/>
      <c r="U40" s="8"/>
    </row>
    <row r="41" spans="1:21" s="7" customFormat="1" ht="17.25" customHeight="1">
      <c r="A41" s="368" t="s">
        <v>284</v>
      </c>
      <c r="B41" s="368" t="s">
        <v>336</v>
      </c>
      <c r="H41" s="543">
        <f>VLOOKUP($A$2,'Costs Summary'!$B$125:$R$147,COLUMNS('Costs Summary'!$B$125:H$147)+1,0)</f>
        <v>14850.0792654</v>
      </c>
      <c r="I41" s="543">
        <f>VLOOKUP($A$2,'Costs Summary'!$B$125:$R$147,COLUMNS('Costs Summary'!$B$125:I$147)+1,0)</f>
        <v>14850.0792654</v>
      </c>
      <c r="J41" s="543">
        <f>VLOOKUP($A$2,'Costs Summary'!$B$125:$R$147,COLUMNS('Costs Summary'!$B$125:J$147)+1,0)</f>
        <v>14850.0792654</v>
      </c>
      <c r="K41" s="543">
        <f>VLOOKUP($A$2,'Costs Summary'!$B$125:$R$147,COLUMNS('Costs Summary'!$B$125:K$147)+1,0)</f>
        <v>14850.0792654</v>
      </c>
      <c r="L41" s="543">
        <f>VLOOKUP($A$2,'Costs Summary'!$B$125:$R$147,COLUMNS('Costs Summary'!$B$125:L$147)+1,0)</f>
        <v>14850.0792654</v>
      </c>
      <c r="M41" s="543">
        <f>VLOOKUP($A$2,'Costs Summary'!$B$125:$R$147,COLUMNS('Costs Summary'!$B$125:M$147)+1,0)</f>
        <v>14850.0792654</v>
      </c>
      <c r="N41" s="543">
        <f>VLOOKUP($A$2,'Costs Summary'!$B$125:$R$147,COLUMNS('Costs Summary'!$B$125:N$147)+1,0)</f>
        <v>14850.0792654</v>
      </c>
      <c r="O41" s="543">
        <f>VLOOKUP($A$2,'Costs Summary'!$B$125:$R$147,COLUMNS('Costs Summary'!$B$125:O$147)+1,0)</f>
        <v>14850.0792654</v>
      </c>
      <c r="P41" s="543">
        <f>VLOOKUP($A$2,'Costs Summary'!$B$125:$R$147,COLUMNS('Costs Summary'!$B$125:P$147)+1,0)</f>
        <v>14850.0792654</v>
      </c>
      <c r="Q41" s="433">
        <f t="shared" ref="Q41:Q42" si="12">SUM(G41:P41)</f>
        <v>133650.71338859998</v>
      </c>
      <c r="R41" s="366"/>
      <c r="S41" s="357"/>
      <c r="T41" s="8"/>
      <c r="U41" s="8"/>
    </row>
    <row r="42" spans="1:21" s="7" customFormat="1" ht="17.25" customHeight="1">
      <c r="A42" s="419" t="s">
        <v>319</v>
      </c>
      <c r="B42" s="419" t="s">
        <v>666</v>
      </c>
      <c r="C42" s="423"/>
      <c r="D42" s="423"/>
      <c r="E42" s="423"/>
      <c r="F42" s="423"/>
      <c r="G42" s="423"/>
      <c r="H42" s="543">
        <f>VLOOKUP($A$2,'Costs Summary'!$B$212:$R$234,COLUMNS('Costs Summary'!$B$212:H$234)+1,0)</f>
        <v>7983.0107830585603</v>
      </c>
      <c r="I42" s="543">
        <f>VLOOKUP($A$2,'Costs Summary'!$B$212:$R$234,COLUMNS('Costs Summary'!$B$212:I$234)+1,0)</f>
        <v>7094.365185478764</v>
      </c>
      <c r="J42" s="543">
        <f>VLOOKUP($A$2,'Costs Summary'!$B$212:$R$234,COLUMNS('Costs Summary'!$B$212:J$234)+1,0)</f>
        <v>6205.7195878989696</v>
      </c>
      <c r="K42" s="543">
        <f>VLOOKUP($A$2,'Costs Summary'!$B$212:$R$234,COLUMNS('Costs Summary'!$B$212:K$234)+1,0)</f>
        <v>5317.0739903191761</v>
      </c>
      <c r="L42" s="543">
        <f>VLOOKUP($A$2,'Costs Summary'!$B$212:$R$234,COLUMNS('Costs Summary'!$B$212:L$234)+1,0)</f>
        <v>4428.4283927393808</v>
      </c>
      <c r="M42" s="543">
        <f>VLOOKUP($A$2,'Costs Summary'!$B$212:$R$234,COLUMNS('Costs Summary'!$B$212:M$234)+1,0)</f>
        <v>3539.7827951595873</v>
      </c>
      <c r="N42" s="543">
        <f>VLOOKUP($A$2,'Costs Summary'!$B$212:$R$234,COLUMNS('Costs Summary'!$B$212:N$234)+1,0)</f>
        <v>2651.1371975797929</v>
      </c>
      <c r="O42" s="543">
        <f>VLOOKUP($A$2,'Costs Summary'!$B$212:$R$234,COLUMNS('Costs Summary'!$B$212:O$234)+1,0)</f>
        <v>1762.4915999999987</v>
      </c>
      <c r="P42" s="543">
        <f>VLOOKUP($A$2,'Costs Summary'!$B$212:$R$234,COLUMNS('Costs Summary'!$B$212:P$234)+1,0)</f>
        <v>1762.4916000000001</v>
      </c>
      <c r="Q42" s="433">
        <f t="shared" si="12"/>
        <v>40744.50113223424</v>
      </c>
      <c r="R42" s="366"/>
      <c r="S42" s="357"/>
      <c r="T42" s="8"/>
      <c r="U42" s="8"/>
    </row>
    <row r="43" spans="1:21" s="7" customFormat="1" ht="17.25" customHeight="1" thickBot="1">
      <c r="A43" s="437" t="s">
        <v>338</v>
      </c>
      <c r="E43" s="368" t="s">
        <v>669</v>
      </c>
      <c r="F43" s="461">
        <f t="shared" ref="F43:P43" si="13">SUM(F39:F42)</f>
        <v>659905.63659999997</v>
      </c>
      <c r="G43" s="461">
        <f t="shared" si="13"/>
        <v>814425.37737017381</v>
      </c>
      <c r="H43" s="461">
        <f t="shared" si="13"/>
        <v>865212.44212564768</v>
      </c>
      <c r="I43" s="461">
        <f t="shared" si="13"/>
        <v>893239.63294480043</v>
      </c>
      <c r="J43" s="461">
        <f t="shared" si="13"/>
        <v>922261.85481135955</v>
      </c>
      <c r="K43" s="461">
        <f t="shared" si="13"/>
        <v>952313.42311516951</v>
      </c>
      <c r="L43" s="461">
        <f t="shared" si="13"/>
        <v>983429.83896381373</v>
      </c>
      <c r="M43" s="461">
        <f t="shared" si="13"/>
        <v>1015647.8302231102</v>
      </c>
      <c r="N43" s="461">
        <f t="shared" si="13"/>
        <v>1191844.9142044776</v>
      </c>
      <c r="O43" s="461">
        <f t="shared" si="13"/>
        <v>1231380.7439109336</v>
      </c>
      <c r="P43" s="461">
        <f t="shared" si="13"/>
        <v>1273199.7492271031</v>
      </c>
      <c r="Q43" s="462">
        <f t="shared" ref="Q43" si="14">SUM(Q39:Q42)</f>
        <v>10142955.80689659</v>
      </c>
      <c r="R43" s="366"/>
      <c r="S43" s="357"/>
      <c r="T43" s="8"/>
      <c r="U43" s="8"/>
    </row>
    <row r="44" spans="1:21" s="7" customFormat="1" ht="17.25" customHeight="1" thickTop="1" thickBot="1">
      <c r="E44" s="368" t="s">
        <v>340</v>
      </c>
      <c r="F44" s="468">
        <f>F43/(VLOOKUP($A$2,'Asset Attributes'!$B$3:$D$25,3,0))</f>
        <v>16.523251955531073</v>
      </c>
      <c r="G44" s="468">
        <f>G43/(VLOOKUP($A$2,'Asset Attributes'!$B$3:$D$25,3,0))</f>
        <v>20.39224240998983</v>
      </c>
      <c r="H44" s="468">
        <f>H43/(VLOOKUP($A$2,'Asset Attributes'!$B$3:$D$25,3,0))</f>
        <v>21.663890082769484</v>
      </c>
      <c r="I44" s="468">
        <f>I43/(VLOOKUP($A$2,'Asset Attributes'!$B$3:$D$25,3,0))</f>
        <v>22.36565759288899</v>
      </c>
      <c r="J44" s="468">
        <f>J43/(VLOOKUP($A$2,'Asset Attributes'!$B$3:$D$25,3,0))</f>
        <v>23.09233949650357</v>
      </c>
      <c r="K44" s="468">
        <f>K43/(VLOOKUP($A$2,'Asset Attributes'!$B$3:$D$25,3,0))</f>
        <v>23.844795010144963</v>
      </c>
      <c r="L44" s="468">
        <f>L43/(VLOOKUP($A$2,'Asset Attributes'!$B$3:$D$25,3,0))</f>
        <v>24.623913039306267</v>
      </c>
      <c r="M44" s="468">
        <f>M43/(VLOOKUP($A$2,'Asset Attributes'!$B$3:$D$25,3,0))</f>
        <v>25.430613206047127</v>
      </c>
      <c r="N44" s="468">
        <f>N43/(VLOOKUP($A$2,'Asset Attributes'!$B$3:$D$25,3,0))</f>
        <v>29.842378541851808</v>
      </c>
      <c r="O44" s="468">
        <f>O43/(VLOOKUP($A$2,'Asset Attributes'!$B$3:$D$25,3,0))</f>
        <v>30.832308676221484</v>
      </c>
      <c r="P44" s="468">
        <f>P43/(VLOOKUP($A$2,'Asset Attributes'!$B$3:$D$25,3,0))</f>
        <v>31.87940681123499</v>
      </c>
      <c r="Q44" s="460">
        <f>Q43/(VLOOKUP($A$2,'Asset Attributes'!$B$3:$D$25,3,0))</f>
        <v>253.96754486695852</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0</v>
      </c>
      <c r="L46" s="461">
        <f t="shared" si="15"/>
        <v>0</v>
      </c>
      <c r="M46" s="461">
        <f t="shared" si="15"/>
        <v>0</v>
      </c>
      <c r="N46" s="461">
        <f t="shared" si="15"/>
        <v>0</v>
      </c>
      <c r="O46" s="461">
        <f t="shared" si="15"/>
        <v>0</v>
      </c>
      <c r="P46" s="461">
        <f t="shared" si="15"/>
        <v>0</v>
      </c>
      <c r="Q46" s="462">
        <f>SUM(F46:P46)</f>
        <v>0</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0</v>
      </c>
      <c r="M47" s="468">
        <f>M46/(VLOOKUP($A$2,'Asset Attributes'!$B$3:$D$25,3,0))</f>
        <v>0</v>
      </c>
      <c r="N47" s="468">
        <f>N46/(VLOOKUP($A$2,'Asset Attributes'!$B$3:$D$25,3,0))</f>
        <v>0</v>
      </c>
      <c r="O47" s="468">
        <f>O46/(VLOOKUP($A$2,'Asset Attributes'!$B$3:$D$25,3,0))</f>
        <v>0</v>
      </c>
      <c r="P47" s="468">
        <f>P46/(VLOOKUP($A$2,'Asset Attributes'!$B$3:$D$25,3,0))</f>
        <v>0</v>
      </c>
      <c r="Q47" s="460">
        <f>Q46/(VLOOKUP($A$2,'Asset Attributes'!$B$3:$D$25,3,0))</f>
        <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0</v>
      </c>
      <c r="H49" s="464">
        <f t="shared" si="16"/>
        <v>0</v>
      </c>
      <c r="I49" s="464">
        <f t="shared" si="16"/>
        <v>0</v>
      </c>
      <c r="J49" s="464">
        <f t="shared" si="16"/>
        <v>0</v>
      </c>
      <c r="K49" s="464">
        <f t="shared" si="16"/>
        <v>0</v>
      </c>
      <c r="L49" s="464">
        <f t="shared" si="16"/>
        <v>0</v>
      </c>
      <c r="M49" s="464">
        <f t="shared" si="16"/>
        <v>0</v>
      </c>
      <c r="N49" s="464">
        <f t="shared" si="16"/>
        <v>0</v>
      </c>
      <c r="O49" s="464">
        <f t="shared" si="16"/>
        <v>0</v>
      </c>
      <c r="P49" s="464">
        <f t="shared" si="16"/>
        <v>0</v>
      </c>
      <c r="Q49" s="465">
        <f>+SUM(F49:P49)</f>
        <v>0</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0</v>
      </c>
      <c r="L50" s="466">
        <f t="shared" si="17"/>
        <v>0</v>
      </c>
      <c r="M50" s="466">
        <f t="shared" si="17"/>
        <v>0</v>
      </c>
      <c r="N50" s="466">
        <f t="shared" si="17"/>
        <v>0</v>
      </c>
      <c r="O50" s="466">
        <f t="shared" si="17"/>
        <v>0</v>
      </c>
      <c r="P50" s="466">
        <f t="shared" si="17"/>
        <v>0</v>
      </c>
      <c r="Q50" s="467">
        <f>Q46</f>
        <v>0</v>
      </c>
      <c r="R50" s="366"/>
      <c r="S50" s="357"/>
      <c r="T50" s="8"/>
      <c r="U50" s="8"/>
      <c r="V50" s="8"/>
      <c r="W50" s="8"/>
      <c r="X50" s="8"/>
    </row>
    <row r="51" spans="1:24" s="7" customFormat="1" ht="17.25" customHeight="1">
      <c r="A51" s="9"/>
      <c r="B51" s="368"/>
      <c r="C51" s="2"/>
      <c r="D51" s="2"/>
      <c r="E51" s="540" t="s">
        <v>670</v>
      </c>
      <c r="F51" s="541">
        <f>-1*F50</f>
        <v>0</v>
      </c>
      <c r="G51" s="541">
        <f t="shared" ref="G51:O51" si="18">-1*G50</f>
        <v>0</v>
      </c>
      <c r="H51" s="541">
        <f t="shared" si="18"/>
        <v>0</v>
      </c>
      <c r="I51" s="541">
        <f t="shared" si="18"/>
        <v>0</v>
      </c>
      <c r="J51" s="541">
        <f t="shared" si="18"/>
        <v>0</v>
      </c>
      <c r="K51" s="541">
        <f t="shared" si="18"/>
        <v>0</v>
      </c>
      <c r="L51" s="541">
        <f t="shared" si="18"/>
        <v>0</v>
      </c>
      <c r="M51" s="541">
        <f t="shared" si="18"/>
        <v>0</v>
      </c>
      <c r="N51" s="541">
        <f t="shared" si="18"/>
        <v>0</v>
      </c>
      <c r="O51" s="541">
        <f t="shared" si="18"/>
        <v>0</v>
      </c>
      <c r="P51" s="541">
        <f>-1*P50</f>
        <v>0</v>
      </c>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633</v>
      </c>
      <c r="D55" s="10"/>
      <c r="E55" s="441" t="s">
        <v>205</v>
      </c>
      <c r="F55" s="200" t="s">
        <v>188</v>
      </c>
      <c r="G55" s="200" t="str">
        <f>G67</f>
        <v>CURRENT</v>
      </c>
      <c r="H55" s="200" t="str">
        <f t="shared" ref="H55:P55" si="19">H67</f>
        <v>FY25</v>
      </c>
      <c r="I55" s="200" t="str">
        <f t="shared" si="19"/>
        <v>FY26</v>
      </c>
      <c r="J55" s="200" t="str">
        <f t="shared" si="19"/>
        <v>FY27</v>
      </c>
      <c r="K55" s="200" t="str">
        <f t="shared" si="19"/>
        <v>FY28</v>
      </c>
      <c r="L55" s="200" t="str">
        <f t="shared" si="19"/>
        <v>FY29</v>
      </c>
      <c r="M55" s="200" t="str">
        <f t="shared" si="19"/>
        <v>FY30</v>
      </c>
      <c r="N55" s="200" t="str">
        <f t="shared" si="19"/>
        <v>FY31</v>
      </c>
      <c r="O55" s="200" t="str">
        <f t="shared" si="19"/>
        <v>FY32</v>
      </c>
      <c r="P55" s="200" t="str">
        <f t="shared" si="19"/>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60 Martin Place</v>
      </c>
      <c r="F56" s="440">
        <f t="shared" ref="F56:P56" si="20">F272</f>
        <v>5.2669923839632133</v>
      </c>
      <c r="G56" s="440">
        <f t="shared" si="20"/>
        <v>5.2669923839632133</v>
      </c>
      <c r="H56" s="440">
        <f t="shared" si="20"/>
        <v>5.2669923839632133</v>
      </c>
      <c r="I56" s="440">
        <f t="shared" si="20"/>
        <v>5.2669923839632133</v>
      </c>
      <c r="J56" s="440">
        <f t="shared" si="20"/>
        <v>5.2669923839632133</v>
      </c>
      <c r="K56" s="440">
        <f t="shared" si="20"/>
        <v>5.2669923839632133</v>
      </c>
      <c r="L56" s="440">
        <f t="shared" si="20"/>
        <v>5.2669923839632133</v>
      </c>
      <c r="M56" s="440">
        <f t="shared" si="20"/>
        <v>5.2669923839632133</v>
      </c>
      <c r="N56" s="440">
        <f t="shared" si="20"/>
        <v>5.2669923839632133</v>
      </c>
      <c r="O56" s="440">
        <f t="shared" si="20"/>
        <v>5.2669923839632133</v>
      </c>
      <c r="P56" s="440">
        <f t="shared" si="20"/>
        <v>5.2669923839632133</v>
      </c>
      <c r="Q56" s="470">
        <f>IF(E56="",0,P56-F56)</f>
        <v>0</v>
      </c>
      <c r="R56" s="473" t="s">
        <v>358</v>
      </c>
      <c r="S56" s="478" t="s">
        <v>62</v>
      </c>
      <c r="T56" s="473" t="s">
        <v>358</v>
      </c>
      <c r="U56" s="478" t="s">
        <v>915</v>
      </c>
      <c r="V56" s="473" t="s">
        <v>358</v>
      </c>
      <c r="W56" s="479" t="str">
        <f>IF(W58=1,"Complete",IF(W60&lt;&gt;0,"Complete","Outstanding"))</f>
        <v>Complete</v>
      </c>
      <c r="X56" s="14"/>
    </row>
    <row r="57" spans="1:24" ht="25.5" customHeight="1">
      <c r="A57" s="438" t="s">
        <v>6</v>
      </c>
      <c r="C57" s="275" t="s">
        <v>118</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0</v>
      </c>
      <c r="T57" s="473" t="s">
        <v>669</v>
      </c>
      <c r="U57" s="479">
        <f>IF(U56="Underway","",S115)</f>
        <v>0</v>
      </c>
      <c r="V57" s="473" t="s">
        <v>361</v>
      </c>
      <c r="W57" s="478"/>
      <c r="X57" s="14"/>
    </row>
    <row r="58" spans="1:24"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0</v>
      </c>
      <c r="T58" s="473" t="s">
        <v>367</v>
      </c>
      <c r="U58" s="478">
        <f>IF(U56="Underway","",-1*S64)</f>
        <v>0</v>
      </c>
      <c r="V58" s="473" t="s">
        <v>368</v>
      </c>
      <c r="W58" s="478">
        <v>1</v>
      </c>
      <c r="X58" s="14"/>
    </row>
    <row r="59" spans="1:24"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t="str">
        <f>V115</f>
        <v/>
      </c>
      <c r="T59" s="473" t="s">
        <v>371</v>
      </c>
      <c r="U59" s="483" t="e">
        <f ca="1">IF(U56="Underway","",_xlfn.MAXIFS(E69:E88,S69:S88,"Yes"))</f>
        <v>#NAME?</v>
      </c>
      <c r="V59" s="482" t="s">
        <v>372</v>
      </c>
      <c r="W59" s="479">
        <f>T115</f>
        <v>0</v>
      </c>
      <c r="X59" s="14"/>
    </row>
    <row r="60" spans="1:24" ht="25.5" customHeight="1">
      <c r="A60" s="438" t="s">
        <v>373</v>
      </c>
      <c r="B60" s="14"/>
      <c r="C60" s="275">
        <v>38846</v>
      </c>
      <c r="D60" s="160"/>
      <c r="Q60" s="10"/>
      <c r="R60" s="473" t="s">
        <v>374</v>
      </c>
      <c r="S60" s="481" t="e">
        <f>IF(S56="Underway","",U115)</f>
        <v>#DIV/0!</v>
      </c>
      <c r="T60" s="10"/>
      <c r="U60" s="10"/>
      <c r="V60" s="473" t="s">
        <v>375</v>
      </c>
      <c r="W60" s="483" t="str">
        <f>IF(IF(W58=1,"Complete",_xlfn.MAXIFS(E69:E114,T69:T114,"Yes"))=0,"",IF(W58=1,"Complete",_xlfn.MAXIFS(E69:E114,T69:T114,"Yes")))</f>
        <v>Complete</v>
      </c>
      <c r="X60" s="14"/>
    </row>
    <row r="61" spans="1:24" ht="25.5" customHeight="1">
      <c r="A61" s="438" t="s">
        <v>376</v>
      </c>
      <c r="B61" s="14"/>
      <c r="C61" s="444">
        <v>55.3</v>
      </c>
      <c r="D61" s="162"/>
      <c r="H61" s="13"/>
      <c r="J61" s="14"/>
      <c r="K61" s="14"/>
      <c r="L61" s="14"/>
      <c r="M61" s="10"/>
      <c r="N61" s="10"/>
      <c r="O61" s="10"/>
      <c r="P61" s="10"/>
      <c r="Q61" s="10"/>
      <c r="R61" s="482" t="s">
        <v>377</v>
      </c>
      <c r="S61" s="481">
        <f>P272</f>
        <v>5.2669923839632133</v>
      </c>
      <c r="T61" s="10"/>
      <c r="U61" s="10"/>
      <c r="V61" s="473" t="s">
        <v>378</v>
      </c>
      <c r="W61" s="478">
        <v>1</v>
      </c>
      <c r="X61" s="14"/>
    </row>
    <row r="62" spans="1:24" ht="25.5" customHeight="1">
      <c r="A62" s="438" t="s">
        <v>379</v>
      </c>
      <c r="B62" s="14"/>
      <c r="C62" s="275">
        <v>2594.9870000000001</v>
      </c>
      <c r="H62" s="13"/>
      <c r="J62" s="14"/>
      <c r="K62" s="14"/>
      <c r="L62" s="347"/>
      <c r="M62" s="10"/>
      <c r="N62" s="10"/>
      <c r="O62" s="10"/>
      <c r="P62" s="10"/>
      <c r="Q62" s="10"/>
      <c r="R62" s="482" t="s">
        <v>380</v>
      </c>
      <c r="S62" s="481">
        <f>Q272</f>
        <v>5.2669923839632133</v>
      </c>
      <c r="T62" s="10"/>
      <c r="U62" s="10"/>
      <c r="V62" s="10"/>
      <c r="W62" s="14"/>
      <c r="X62" s="14"/>
    </row>
    <row r="63" spans="1:24" ht="25.5" customHeight="1">
      <c r="A63" s="438" t="s">
        <v>382</v>
      </c>
      <c r="B63" s="14"/>
      <c r="C63" s="275">
        <v>4803.0529999999999</v>
      </c>
      <c r="H63" s="13"/>
      <c r="J63" s="14"/>
      <c r="K63" s="14"/>
      <c r="L63" s="10"/>
      <c r="M63" s="10"/>
      <c r="N63" s="10"/>
      <c r="O63" s="10"/>
      <c r="P63" s="10"/>
      <c r="Q63" s="10"/>
      <c r="R63" s="476" t="s">
        <v>383</v>
      </c>
      <c r="S63" s="478">
        <f>C115/C62</f>
        <v>0</v>
      </c>
      <c r="T63" s="10"/>
      <c r="U63" s="10"/>
      <c r="V63" s="10"/>
      <c r="W63" s="14"/>
      <c r="X63" s="14"/>
    </row>
    <row r="64" spans="1:24" ht="25.5" customHeight="1">
      <c r="A64" s="446" t="s">
        <v>385</v>
      </c>
      <c r="B64" s="447"/>
      <c r="C64" s="445">
        <v>60.3</v>
      </c>
      <c r="D64" s="495">
        <f>(AJ215-C64)/C64</f>
        <v>0</v>
      </c>
      <c r="H64" s="13"/>
      <c r="J64" s="14"/>
      <c r="K64" s="14"/>
      <c r="L64" s="10"/>
      <c r="M64" s="10"/>
      <c r="N64" s="10"/>
      <c r="O64" s="10"/>
      <c r="P64" s="10"/>
      <c r="Q64" s="10"/>
      <c r="R64" s="476" t="s">
        <v>386</v>
      </c>
      <c r="S64" s="478">
        <f>D115/C63</f>
        <v>0</v>
      </c>
      <c r="T64" s="10"/>
      <c r="U64" s="14"/>
      <c r="V64" s="10"/>
      <c r="W64" s="14"/>
      <c r="X64" s="14"/>
    </row>
    <row r="65" spans="1:24" ht="25.5" customHeight="1">
      <c r="B65" s="487" t="s">
        <v>387</v>
      </c>
      <c r="C65" s="489">
        <f>Z216</f>
        <v>5.2669923839632133</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1">DATE(YEAR(H66)+1,MONTH(H66),DAY(H66))</f>
        <v>46203</v>
      </c>
      <c r="J66" s="416">
        <f t="shared" si="21"/>
        <v>46568</v>
      </c>
      <c r="K66" s="416">
        <f t="shared" si="21"/>
        <v>46934</v>
      </c>
      <c r="L66" s="416">
        <f t="shared" si="21"/>
        <v>47299</v>
      </c>
      <c r="M66" s="416">
        <f t="shared" si="21"/>
        <v>47664</v>
      </c>
      <c r="N66" s="416">
        <f t="shared" si="21"/>
        <v>48029</v>
      </c>
      <c r="O66" s="416">
        <f t="shared" si="21"/>
        <v>48395</v>
      </c>
      <c r="P66" s="416">
        <f t="shared" si="21"/>
        <v>48760</v>
      </c>
      <c r="Q66" s="416">
        <f t="shared" si="21"/>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77" si="22">IF($E69&gt;H$66,0,IF($E69&gt;H$66-365,$F69,0))</f>
        <v>0</v>
      </c>
      <c r="I69" s="404">
        <f t="shared" si="22"/>
        <v>0</v>
      </c>
      <c r="J69" s="404">
        <f t="shared" si="22"/>
        <v>0</v>
      </c>
      <c r="K69" s="404">
        <f t="shared" si="22"/>
        <v>0</v>
      </c>
      <c r="L69" s="404">
        <f t="shared" si="22"/>
        <v>0</v>
      </c>
      <c r="M69" s="404">
        <f t="shared" si="22"/>
        <v>0</v>
      </c>
      <c r="N69" s="404">
        <f t="shared" si="22"/>
        <v>0</v>
      </c>
      <c r="O69" s="404">
        <f t="shared" si="22"/>
        <v>0</v>
      </c>
      <c r="P69" s="404">
        <f t="shared" si="22"/>
        <v>0</v>
      </c>
      <c r="Q69" s="448">
        <f t="shared" si="22"/>
        <v>0</v>
      </c>
      <c r="R69" s="379"/>
      <c r="S69" s="379"/>
      <c r="T69" s="380"/>
      <c r="U69" s="411" t="e">
        <f>IF(-0.75*((C69/(VLOOKUP($A$2,Assumptions!$B$124:$G$147,2,0)))+D69/(VLOOKUP($A$2,Assumptions!$B$124:$G$147,5,0)))=0,"",-0.75*((C69/(VLOOKUP($A$2,Assumptions!$B$124:$G$147,2,0)))+D69/(VLOOKUP($A$2,Assumptions!$B$124:$G$147,5,0))))</f>
        <v>#DIV/0!</v>
      </c>
      <c r="V69" s="412" t="str">
        <f t="shared" ref="V69:V88" si="23">IF(ISERROR(((-1*C69*1000*$D$6)+(-1*D69*$D$8))/F69),"",((-1*C69*1000*$D$6)+(-1*D69*$D$8))/F69)</f>
        <v/>
      </c>
      <c r="W69" s="450"/>
      <c r="X69" s="506"/>
    </row>
    <row r="70" spans="1:24" ht="15">
      <c r="A70" s="373"/>
      <c r="B70" s="374" t="s">
        <v>634</v>
      </c>
      <c r="C70" s="381"/>
      <c r="D70" s="381"/>
      <c r="E70" s="377"/>
      <c r="F70" s="378"/>
      <c r="G70" s="403">
        <f t="shared" ref="G70:G77" si="24">IF($E70&lt;G$66,$F70,0)</f>
        <v>0</v>
      </c>
      <c r="H70" s="404">
        <f t="shared" si="22"/>
        <v>0</v>
      </c>
      <c r="I70" s="404">
        <f t="shared" si="22"/>
        <v>0</v>
      </c>
      <c r="J70" s="405">
        <f t="shared" si="22"/>
        <v>0</v>
      </c>
      <c r="K70" s="405">
        <f t="shared" si="22"/>
        <v>0</v>
      </c>
      <c r="L70" s="405">
        <f t="shared" si="22"/>
        <v>0</v>
      </c>
      <c r="M70" s="405">
        <f t="shared" si="22"/>
        <v>0</v>
      </c>
      <c r="N70" s="405">
        <f t="shared" si="22"/>
        <v>0</v>
      </c>
      <c r="O70" s="405">
        <f t="shared" si="22"/>
        <v>0</v>
      </c>
      <c r="P70" s="406">
        <f t="shared" si="22"/>
        <v>0</v>
      </c>
      <c r="Q70" s="448">
        <f t="shared" si="22"/>
        <v>0</v>
      </c>
      <c r="R70" s="379"/>
      <c r="S70" s="379"/>
      <c r="T70" s="382"/>
      <c r="U70" s="413" t="e">
        <f>IF(-0.75*((C70/(VLOOKUP($A$2,Assumptions!$B$124:$G$147,2,0)))+D70/(VLOOKUP($A$2,Assumptions!$B$124:$G$147,5,0)))=0,"",-0.75*((C70/(VLOOKUP($A$2,Assumptions!$B$124:$G$147,2,0)))+D70/(VLOOKUP($A$2,Assumptions!$B$124:$G$147,5,0))))</f>
        <v>#DIV/0!</v>
      </c>
      <c r="V70" s="414" t="str">
        <f t="shared" si="23"/>
        <v/>
      </c>
      <c r="W70" s="451"/>
      <c r="X70" s="506"/>
    </row>
    <row r="71" spans="1:24" ht="30">
      <c r="A71" s="373"/>
      <c r="B71" s="374" t="s">
        <v>635</v>
      </c>
      <c r="C71" s="383"/>
      <c r="D71" s="383"/>
      <c r="E71" s="377"/>
      <c r="F71" s="384"/>
      <c r="G71" s="403">
        <f t="shared" si="24"/>
        <v>0</v>
      </c>
      <c r="H71" s="404">
        <f t="shared" si="22"/>
        <v>0</v>
      </c>
      <c r="I71" s="405">
        <f t="shared" si="22"/>
        <v>0</v>
      </c>
      <c r="J71" s="405">
        <f t="shared" si="22"/>
        <v>0</v>
      </c>
      <c r="K71" s="405">
        <f t="shared" si="22"/>
        <v>0</v>
      </c>
      <c r="L71" s="405">
        <f t="shared" si="22"/>
        <v>0</v>
      </c>
      <c r="M71" s="405">
        <f t="shared" si="22"/>
        <v>0</v>
      </c>
      <c r="N71" s="405">
        <f t="shared" si="22"/>
        <v>0</v>
      </c>
      <c r="O71" s="405">
        <f t="shared" si="22"/>
        <v>0</v>
      </c>
      <c r="P71" s="406">
        <f t="shared" si="22"/>
        <v>0</v>
      </c>
      <c r="Q71" s="448">
        <f t="shared" si="22"/>
        <v>0</v>
      </c>
      <c r="R71" s="379"/>
      <c r="S71" s="379"/>
      <c r="T71" s="382"/>
      <c r="U71" s="413" t="e">
        <f>IF(-0.75*((C71/(VLOOKUP($A$2,Assumptions!$B$124:$G$147,2,0)))+D71/(VLOOKUP($A$2,Assumptions!$B$124:$G$147,5,0)))=0,"",-0.75*((C71/(VLOOKUP($A$2,Assumptions!$B$124:$G$147,2,0)))+D71/(VLOOKUP($A$2,Assumptions!$B$124:$G$147,5,0))))</f>
        <v>#DIV/0!</v>
      </c>
      <c r="V71" s="414" t="str">
        <f t="shared" si="23"/>
        <v/>
      </c>
      <c r="W71" s="451"/>
      <c r="X71" s="506"/>
    </row>
    <row r="72" spans="1:24" ht="15">
      <c r="A72" s="373"/>
      <c r="B72" s="374" t="s">
        <v>636</v>
      </c>
      <c r="C72" s="375"/>
      <c r="D72" s="375"/>
      <c r="E72" s="377"/>
      <c r="F72" s="378"/>
      <c r="G72" s="403">
        <f t="shared" si="24"/>
        <v>0</v>
      </c>
      <c r="H72" s="404">
        <f t="shared" si="22"/>
        <v>0</v>
      </c>
      <c r="I72" s="405">
        <f t="shared" si="22"/>
        <v>0</v>
      </c>
      <c r="J72" s="405">
        <f t="shared" si="22"/>
        <v>0</v>
      </c>
      <c r="K72" s="405">
        <f t="shared" si="22"/>
        <v>0</v>
      </c>
      <c r="L72" s="405">
        <f t="shared" si="22"/>
        <v>0</v>
      </c>
      <c r="M72" s="405">
        <f t="shared" si="22"/>
        <v>0</v>
      </c>
      <c r="N72" s="405">
        <f t="shared" si="22"/>
        <v>0</v>
      </c>
      <c r="O72" s="405">
        <f t="shared" si="22"/>
        <v>0</v>
      </c>
      <c r="P72" s="406">
        <f t="shared" si="22"/>
        <v>0</v>
      </c>
      <c r="Q72" s="448">
        <f t="shared" si="22"/>
        <v>0</v>
      </c>
      <c r="R72" s="379"/>
      <c r="S72" s="379"/>
      <c r="T72" s="382"/>
      <c r="U72" s="413" t="e">
        <f>IF(-0.75*((C72/(VLOOKUP($A$2,Assumptions!$B$124:$G$147,2,0)))+D72/(VLOOKUP($A$2,Assumptions!$B$124:$G$147,5,0)))=0,"",-0.75*((C72/(VLOOKUP($A$2,Assumptions!$B$124:$G$147,2,0)))+D72/(VLOOKUP($A$2,Assumptions!$B$124:$G$147,5,0))))</f>
        <v>#DIV/0!</v>
      </c>
      <c r="V72" s="414" t="str">
        <f t="shared" si="23"/>
        <v/>
      </c>
      <c r="W72" s="451"/>
      <c r="X72" s="506"/>
    </row>
    <row r="73" spans="1:24" ht="15">
      <c r="A73" s="373"/>
      <c r="B73" s="374"/>
      <c r="C73" s="381"/>
      <c r="D73" s="381"/>
      <c r="E73" s="377"/>
      <c r="F73" s="378"/>
      <c r="G73" s="403">
        <f t="shared" si="24"/>
        <v>0</v>
      </c>
      <c r="H73" s="404">
        <f t="shared" si="22"/>
        <v>0</v>
      </c>
      <c r="I73" s="405">
        <f t="shared" si="22"/>
        <v>0</v>
      </c>
      <c r="J73" s="405">
        <f t="shared" si="22"/>
        <v>0</v>
      </c>
      <c r="K73" s="405">
        <f t="shared" si="22"/>
        <v>0</v>
      </c>
      <c r="L73" s="405">
        <f t="shared" si="22"/>
        <v>0</v>
      </c>
      <c r="M73" s="405">
        <f t="shared" si="22"/>
        <v>0</v>
      </c>
      <c r="N73" s="405">
        <f t="shared" si="22"/>
        <v>0</v>
      </c>
      <c r="O73" s="405">
        <f t="shared" si="22"/>
        <v>0</v>
      </c>
      <c r="P73" s="406">
        <f t="shared" si="22"/>
        <v>0</v>
      </c>
      <c r="Q73" s="448">
        <f t="shared" si="22"/>
        <v>0</v>
      </c>
      <c r="R73" s="379"/>
      <c r="S73" s="379"/>
      <c r="T73" s="382"/>
      <c r="U73" s="413" t="e">
        <f>IF(-0.75*((C73/(VLOOKUP($A$2,Assumptions!$B$124:$G$147,2,0)))+D73/(VLOOKUP($A$2,Assumptions!$B$124:$G$147,5,0)))=0,"",-0.75*((C73/(VLOOKUP($A$2,Assumptions!$B$124:$G$147,2,0)))+D73/(VLOOKUP($A$2,Assumptions!$B$124:$G$147,5,0))))</f>
        <v>#DIV/0!</v>
      </c>
      <c r="V73" s="414" t="str">
        <f t="shared" si="23"/>
        <v/>
      </c>
      <c r="W73" s="451"/>
      <c r="X73" s="506"/>
    </row>
    <row r="74" spans="1:24" ht="15">
      <c r="A74" s="373"/>
      <c r="B74" s="374"/>
      <c r="C74" s="375"/>
      <c r="D74" s="375"/>
      <c r="E74" s="377"/>
      <c r="F74" s="378"/>
      <c r="G74" s="403">
        <f t="shared" si="24"/>
        <v>0</v>
      </c>
      <c r="H74" s="404">
        <f t="shared" si="22"/>
        <v>0</v>
      </c>
      <c r="I74" s="405">
        <f t="shared" si="22"/>
        <v>0</v>
      </c>
      <c r="J74" s="405">
        <f t="shared" si="22"/>
        <v>0</v>
      </c>
      <c r="K74" s="405">
        <f t="shared" si="22"/>
        <v>0</v>
      </c>
      <c r="L74" s="405">
        <f t="shared" si="22"/>
        <v>0</v>
      </c>
      <c r="M74" s="405">
        <f t="shared" si="22"/>
        <v>0</v>
      </c>
      <c r="N74" s="405">
        <f t="shared" si="22"/>
        <v>0</v>
      </c>
      <c r="O74" s="405">
        <f t="shared" si="22"/>
        <v>0</v>
      </c>
      <c r="P74" s="406">
        <f t="shared" si="22"/>
        <v>0</v>
      </c>
      <c r="Q74" s="448">
        <f t="shared" si="22"/>
        <v>0</v>
      </c>
      <c r="R74" s="379"/>
      <c r="S74" s="379"/>
      <c r="T74" s="382"/>
      <c r="U74" s="413" t="e">
        <f>IF(-0.75*((C74/(VLOOKUP($A$2,Assumptions!$B$124:$G$147,2,0)))+D74/(VLOOKUP($A$2,Assumptions!$B$124:$G$147,5,0)))=0,"",-0.75*((C74/(VLOOKUP($A$2,Assumptions!$B$124:$G$147,2,0)))+D74/(VLOOKUP($A$2,Assumptions!$B$124:$G$147,5,0))))</f>
        <v>#DIV/0!</v>
      </c>
      <c r="V74" s="414" t="str">
        <f t="shared" si="23"/>
        <v/>
      </c>
      <c r="W74" s="451"/>
      <c r="X74" s="506"/>
    </row>
    <row r="75" spans="1:24" ht="15">
      <c r="A75" s="373"/>
      <c r="B75" s="374"/>
      <c r="C75" s="375"/>
      <c r="D75" s="375"/>
      <c r="E75" s="377"/>
      <c r="F75" s="378"/>
      <c r="G75" s="403">
        <f t="shared" si="24"/>
        <v>0</v>
      </c>
      <c r="H75" s="404">
        <f t="shared" si="22"/>
        <v>0</v>
      </c>
      <c r="I75" s="405">
        <f t="shared" si="22"/>
        <v>0</v>
      </c>
      <c r="J75" s="405">
        <f t="shared" si="22"/>
        <v>0</v>
      </c>
      <c r="K75" s="405">
        <f t="shared" si="22"/>
        <v>0</v>
      </c>
      <c r="L75" s="405">
        <f t="shared" si="22"/>
        <v>0</v>
      </c>
      <c r="M75" s="405">
        <f t="shared" si="22"/>
        <v>0</v>
      </c>
      <c r="N75" s="405">
        <f t="shared" si="22"/>
        <v>0</v>
      </c>
      <c r="O75" s="405">
        <f t="shared" si="22"/>
        <v>0</v>
      </c>
      <c r="P75" s="406">
        <f t="shared" si="22"/>
        <v>0</v>
      </c>
      <c r="Q75" s="448">
        <f t="shared" si="22"/>
        <v>0</v>
      </c>
      <c r="R75" s="379"/>
      <c r="S75" s="379"/>
      <c r="T75" s="382"/>
      <c r="U75" s="413" t="e">
        <f>IF(-0.75*((C75/(VLOOKUP($A$2,Assumptions!$B$124:$G$147,2,0)))+D75/(VLOOKUP($A$2,Assumptions!$B$124:$G$147,5,0)))=0,"",-0.75*((C75/(VLOOKUP($A$2,Assumptions!$B$124:$G$147,2,0)))+D75/(VLOOKUP($A$2,Assumptions!$B$124:$G$147,5,0))))</f>
        <v>#DIV/0!</v>
      </c>
      <c r="V75" s="414" t="str">
        <f t="shared" si="23"/>
        <v/>
      </c>
      <c r="W75" s="451"/>
      <c r="X75" s="506"/>
    </row>
    <row r="76" spans="1:24" ht="15">
      <c r="A76" s="373"/>
      <c r="B76" s="374"/>
      <c r="C76" s="375"/>
      <c r="D76" s="375"/>
      <c r="E76" s="377"/>
      <c r="F76" s="378"/>
      <c r="G76" s="403">
        <f t="shared" si="24"/>
        <v>0</v>
      </c>
      <c r="H76" s="404">
        <f t="shared" si="22"/>
        <v>0</v>
      </c>
      <c r="I76" s="405">
        <f t="shared" si="22"/>
        <v>0</v>
      </c>
      <c r="J76" s="405">
        <f t="shared" si="22"/>
        <v>0</v>
      </c>
      <c r="K76" s="405">
        <f t="shared" si="22"/>
        <v>0</v>
      </c>
      <c r="L76" s="405">
        <f t="shared" si="22"/>
        <v>0</v>
      </c>
      <c r="M76" s="405">
        <f t="shared" si="22"/>
        <v>0</v>
      </c>
      <c r="N76" s="405">
        <f t="shared" si="22"/>
        <v>0</v>
      </c>
      <c r="O76" s="405">
        <f t="shared" si="22"/>
        <v>0</v>
      </c>
      <c r="P76" s="406">
        <f t="shared" si="22"/>
        <v>0</v>
      </c>
      <c r="Q76" s="448">
        <f t="shared" si="22"/>
        <v>0</v>
      </c>
      <c r="R76" s="379"/>
      <c r="S76" s="379"/>
      <c r="T76" s="382"/>
      <c r="U76" s="413" t="e">
        <f>IF(-0.75*((C76/(VLOOKUP($A$2,Assumptions!$B$124:$G$147,2,0)))+D76/(VLOOKUP($A$2,Assumptions!$B$124:$G$147,5,0)))=0,"",-0.75*((C76/(VLOOKUP($A$2,Assumptions!$B$124:$G$147,2,0)))+D76/(VLOOKUP($A$2,Assumptions!$B$124:$G$147,5,0))))</f>
        <v>#DIV/0!</v>
      </c>
      <c r="V76" s="414" t="str">
        <f t="shared" si="23"/>
        <v/>
      </c>
      <c r="W76" s="451"/>
      <c r="X76" s="506"/>
    </row>
    <row r="77" spans="1:24" ht="15">
      <c r="A77" s="373"/>
      <c r="B77" s="374"/>
      <c r="C77" s="375"/>
      <c r="D77" s="375"/>
      <c r="E77" s="377"/>
      <c r="F77" s="378"/>
      <c r="G77" s="403">
        <f t="shared" si="24"/>
        <v>0</v>
      </c>
      <c r="H77" s="404">
        <f t="shared" si="22"/>
        <v>0</v>
      </c>
      <c r="I77" s="405">
        <f t="shared" si="22"/>
        <v>0</v>
      </c>
      <c r="J77" s="405">
        <f t="shared" si="22"/>
        <v>0</v>
      </c>
      <c r="K77" s="405">
        <f t="shared" si="22"/>
        <v>0</v>
      </c>
      <c r="L77" s="405">
        <f t="shared" si="22"/>
        <v>0</v>
      </c>
      <c r="M77" s="405">
        <f t="shared" si="22"/>
        <v>0</v>
      </c>
      <c r="N77" s="405">
        <f t="shared" si="22"/>
        <v>0</v>
      </c>
      <c r="O77" s="405">
        <f t="shared" si="22"/>
        <v>0</v>
      </c>
      <c r="P77" s="406">
        <f t="shared" si="22"/>
        <v>0</v>
      </c>
      <c r="Q77" s="448">
        <f t="shared" si="22"/>
        <v>0</v>
      </c>
      <c r="R77" s="379"/>
      <c r="S77" s="379"/>
      <c r="T77" s="385"/>
      <c r="U77" s="413" t="e">
        <f>IF(-0.75*((C77/(VLOOKUP($A$2,Assumptions!$B$124:$G$147,2,0)))+D77/(VLOOKUP($A$2,Assumptions!$B$124:$G$147,5,0)))=0,"",-0.75*((C77/(VLOOKUP($A$2,Assumptions!$B$124:$G$147,2,0)))+D77/(VLOOKUP($A$2,Assumptions!$B$124:$G$147,5,0))))</f>
        <v>#DIV/0!</v>
      </c>
      <c r="V77" s="414" t="str">
        <f t="shared" si="23"/>
        <v/>
      </c>
      <c r="W77" s="451"/>
      <c r="X77" s="506"/>
    </row>
    <row r="78" spans="1:24" ht="15">
      <c r="A78" s="373"/>
      <c r="B78" s="374"/>
      <c r="C78" s="375"/>
      <c r="D78" s="375"/>
      <c r="E78" s="377"/>
      <c r="F78" s="378"/>
      <c r="G78" s="403"/>
      <c r="H78" s="404"/>
      <c r="I78" s="405"/>
      <c r="J78" s="405"/>
      <c r="K78" s="405"/>
      <c r="L78" s="405"/>
      <c r="M78" s="405"/>
      <c r="N78" s="405"/>
      <c r="O78" s="405"/>
      <c r="P78" s="406"/>
      <c r="Q78" s="448"/>
      <c r="R78" s="379"/>
      <c r="S78" s="386"/>
      <c r="T78" s="387"/>
      <c r="U78" s="413" t="e">
        <f>IF(-0.75*((C78/(VLOOKUP($A$2,Assumptions!$B$124:$G$147,2,0)))+D78/(VLOOKUP($A$2,Assumptions!$B$124:$G$147,5,0)))=0,"",-0.75*((C78/(VLOOKUP($A$2,Assumptions!$B$124:$G$147,2,0)))+D78/(VLOOKUP($A$2,Assumptions!$B$124:$G$147,5,0))))</f>
        <v>#DIV/0!</v>
      </c>
      <c r="V78" s="414" t="str">
        <f t="shared" si="23"/>
        <v/>
      </c>
      <c r="W78" s="451"/>
      <c r="X78" s="506"/>
    </row>
    <row r="79" spans="1:24" ht="15">
      <c r="A79" s="373"/>
      <c r="B79" s="374"/>
      <c r="C79" s="375"/>
      <c r="D79" s="375"/>
      <c r="E79" s="377"/>
      <c r="F79" s="378"/>
      <c r="G79" s="403"/>
      <c r="H79" s="404"/>
      <c r="I79" s="405"/>
      <c r="J79" s="405"/>
      <c r="K79" s="405"/>
      <c r="L79" s="405"/>
      <c r="M79" s="405"/>
      <c r="N79" s="405"/>
      <c r="O79" s="405"/>
      <c r="P79" s="406"/>
      <c r="Q79" s="448"/>
      <c r="R79" s="379"/>
      <c r="S79" s="386"/>
      <c r="T79" s="387"/>
      <c r="U79" s="413" t="e">
        <f>IF(-0.75*((C79/(VLOOKUP($A$2,Assumptions!$B$124:$G$147,2,0)))+D79/(VLOOKUP($A$2,Assumptions!$B$124:$G$147,5,0)))=0,"",-0.75*((C79/(VLOOKUP($A$2,Assumptions!$B$124:$G$147,2,0)))+D79/(VLOOKUP($A$2,Assumptions!$B$124:$G$147,5,0))))</f>
        <v>#DIV/0!</v>
      </c>
      <c r="V79" s="414" t="str">
        <f t="shared" si="23"/>
        <v/>
      </c>
      <c r="W79" s="451"/>
      <c r="X79" s="506"/>
    </row>
    <row r="80" spans="1:24" ht="15">
      <c r="A80" s="373"/>
      <c r="B80" s="374"/>
      <c r="C80" s="375"/>
      <c r="D80" s="375"/>
      <c r="E80" s="377"/>
      <c r="F80" s="378"/>
      <c r="G80" s="403"/>
      <c r="H80" s="404"/>
      <c r="I80" s="405"/>
      <c r="J80" s="405"/>
      <c r="K80" s="405"/>
      <c r="L80" s="405"/>
      <c r="M80" s="405"/>
      <c r="N80" s="405"/>
      <c r="O80" s="405"/>
      <c r="P80" s="406"/>
      <c r="Q80" s="448"/>
      <c r="R80" s="379"/>
      <c r="S80" s="386"/>
      <c r="T80" s="387"/>
      <c r="U80" s="413" t="e">
        <f>IF(-0.75*((C80/(VLOOKUP($A$2,Assumptions!$B$124:$G$147,2,0)))+D80/(VLOOKUP($A$2,Assumptions!$B$124:$G$147,5,0)))=0,"",-0.75*((C80/(VLOOKUP($A$2,Assumptions!$B$124:$G$147,2,0)))+D80/(VLOOKUP($A$2,Assumptions!$B$124:$G$147,5,0))))</f>
        <v>#DIV/0!</v>
      </c>
      <c r="V80" s="414" t="str">
        <f t="shared" si="23"/>
        <v/>
      </c>
      <c r="W80" s="451"/>
      <c r="X80" s="506"/>
    </row>
    <row r="81" spans="1:24" ht="15">
      <c r="A81" s="373"/>
      <c r="B81" s="457"/>
      <c r="C81" s="375"/>
      <c r="D81" s="375"/>
      <c r="E81" s="377"/>
      <c r="F81" s="378"/>
      <c r="G81" s="403"/>
      <c r="H81" s="404"/>
      <c r="I81" s="405"/>
      <c r="J81" s="405"/>
      <c r="K81" s="405"/>
      <c r="L81" s="405"/>
      <c r="M81" s="405"/>
      <c r="N81" s="405"/>
      <c r="O81" s="405"/>
      <c r="P81" s="406"/>
      <c r="Q81" s="448"/>
      <c r="R81" s="379"/>
      <c r="S81" s="386"/>
      <c r="T81" s="387"/>
      <c r="U81" s="413" t="e">
        <f>IF(-0.75*((C81/(VLOOKUP($A$2,Assumptions!$B$124:$G$147,2,0)))+D81/(VLOOKUP($A$2,Assumptions!$B$124:$G$147,5,0)))=0,"",-0.75*((C81/(VLOOKUP($A$2,Assumptions!$B$124:$G$147,2,0)))+D81/(VLOOKUP($A$2,Assumptions!$B$124:$G$147,5,0))))</f>
        <v>#DIV/0!</v>
      </c>
      <c r="V81" s="414" t="str">
        <f t="shared" si="23"/>
        <v/>
      </c>
      <c r="W81" s="451"/>
      <c r="X81" s="506"/>
    </row>
    <row r="82" spans="1:24" ht="15">
      <c r="A82" s="373"/>
      <c r="B82" s="457"/>
      <c r="C82" s="375"/>
      <c r="D82" s="375"/>
      <c r="E82" s="377"/>
      <c r="F82" s="378"/>
      <c r="G82" s="403"/>
      <c r="H82" s="404"/>
      <c r="I82" s="405"/>
      <c r="J82" s="405"/>
      <c r="K82" s="405"/>
      <c r="L82" s="405"/>
      <c r="M82" s="405"/>
      <c r="N82" s="405"/>
      <c r="O82" s="405"/>
      <c r="P82" s="406"/>
      <c r="Q82" s="448"/>
      <c r="R82" s="379"/>
      <c r="S82" s="386"/>
      <c r="T82" s="387"/>
      <c r="U82" s="413" t="e">
        <f>IF(-0.75*((C82/(VLOOKUP($A$2,Assumptions!$B$124:$G$147,2,0)))+D82/(VLOOKUP($A$2,Assumptions!$B$124:$G$147,5,0)))=0,"",-0.75*((C82/(VLOOKUP($A$2,Assumptions!$B$124:$G$147,2,0)))+D82/(VLOOKUP($A$2,Assumptions!$B$124:$G$147,5,0))))</f>
        <v>#DIV/0!</v>
      </c>
      <c r="V82" s="414" t="str">
        <f t="shared" si="23"/>
        <v/>
      </c>
      <c r="W82" s="451"/>
      <c r="X82" s="506"/>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e">
        <f>IF(-0.75*((C83/(VLOOKUP($A$2,Assumptions!$B$124:$G$147,2,0)))+D83/(VLOOKUP($A$2,Assumptions!$B$124:$G$147,5,0)))=0,"",-0.75*((C83/(VLOOKUP($A$2,Assumptions!$B$124:$G$147,2,0)))+D83/(VLOOKUP($A$2,Assumptions!$B$124:$G$147,5,0))))</f>
        <v>#DIV/0!</v>
      </c>
      <c r="V83" s="414" t="str">
        <f t="shared" si="23"/>
        <v/>
      </c>
      <c r="W83" s="451"/>
      <c r="X83" s="506"/>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e">
        <f>IF(-0.75*((C84/(VLOOKUP($A$2,Assumptions!$B$124:$G$147,2,0)))+D84/(VLOOKUP($A$2,Assumptions!$B$124:$G$147,5,0)))=0,"",-0.75*((C84/(VLOOKUP($A$2,Assumptions!$B$124:$G$147,2,0)))+D84/(VLOOKUP($A$2,Assumptions!$B$124:$G$147,5,0))))</f>
        <v>#DIV/0!</v>
      </c>
      <c r="V84" s="414" t="str">
        <f t="shared" si="23"/>
        <v/>
      </c>
      <c r="W84" s="451"/>
      <c r="X84" s="506"/>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e">
        <f>IF(-0.75*((C85/(VLOOKUP($A$2,Assumptions!$B$124:$G$147,2,0)))+D85/(VLOOKUP($A$2,Assumptions!$B$124:$G$147,5,0)))=0,"",-0.75*((C85/(VLOOKUP($A$2,Assumptions!$B$124:$G$147,2,0)))+D85/(VLOOKUP($A$2,Assumptions!$B$124:$G$147,5,0))))</f>
        <v>#DIV/0!</v>
      </c>
      <c r="V85" s="414" t="str">
        <f t="shared" si="23"/>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e">
        <f>IF(-0.75*((C86/(VLOOKUP($A$2,Assumptions!$B$124:$G$147,2,0)))+D86/(VLOOKUP($A$2,Assumptions!$B$124:$G$147,5,0)))=0,"",-0.75*((C86/(VLOOKUP($A$2,Assumptions!$B$124:$G$147,2,0)))+D86/(VLOOKUP($A$2,Assumptions!$B$124:$G$147,5,0))))</f>
        <v>#DIV/0!</v>
      </c>
      <c r="V86" s="414" t="str">
        <f t="shared" si="23"/>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e">
        <f>IF(-0.75*((C87/(VLOOKUP($A$2,Assumptions!$B$124:$G$147,2,0)))+D87/(VLOOKUP($A$2,Assumptions!$B$124:$G$147,5,0)))=0,"",-0.75*((C87/(VLOOKUP($A$2,Assumptions!$B$124:$G$147,2,0)))+D87/(VLOOKUP($A$2,Assumptions!$B$124:$G$147,5,0))))</f>
        <v>#DIV/0!</v>
      </c>
      <c r="V87" s="414" t="str">
        <f t="shared" si="23"/>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e">
        <f>IF(-0.75*((C88/(VLOOKUP($A$2,Assumptions!$B$124:$G$147,2,0)))+D88/(VLOOKUP($A$2,Assumptions!$B$124:$G$147,5,0)))=0,"",-0.75*((C88/(VLOOKUP($A$2,Assumptions!$B$124:$G$147,2,0)))+D88/(VLOOKUP($A$2,Assumptions!$B$124:$G$147,5,0))))</f>
        <v>#DIV/0!</v>
      </c>
      <c r="V88" s="415" t="str">
        <f t="shared" si="23"/>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5">IF(ISERROR(((-C89*1000*$W$162)/F89)),"",((-C89*1000*$W$162)/F89))</f>
        <v/>
      </c>
      <c r="W89" s="304" t="str">
        <f t="shared" si="25"/>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31" ht="15">
      <c r="A115" s="13"/>
      <c r="B115" s="353"/>
      <c r="C115" s="354">
        <f>SUM(C69:C88)</f>
        <v>0</v>
      </c>
      <c r="D115" s="354">
        <f>SUM(D69:D88)</f>
        <v>0</v>
      </c>
      <c r="E115" s="355"/>
      <c r="F115" s="333">
        <f>SUM(F69:F114)</f>
        <v>0</v>
      </c>
      <c r="G115" s="388">
        <f>SUM(G69:G114)</f>
        <v>0</v>
      </c>
      <c r="H115" s="388">
        <f t="shared" ref="H115:N115" si="26">SUM(H69:H114)</f>
        <v>0</v>
      </c>
      <c r="I115" s="388">
        <f t="shared" si="26"/>
        <v>0</v>
      </c>
      <c r="J115" s="388">
        <f t="shared" si="26"/>
        <v>0</v>
      </c>
      <c r="K115" s="388">
        <f t="shared" si="26"/>
        <v>0</v>
      </c>
      <c r="L115" s="388">
        <f t="shared" si="26"/>
        <v>0</v>
      </c>
      <c r="M115" s="388">
        <f t="shared" si="26"/>
        <v>0</v>
      </c>
      <c r="N115" s="388">
        <f t="shared" si="26"/>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t="e">
        <f>SUM(U69:U114)</f>
        <v>#DIV/0!</v>
      </c>
      <c r="V115" s="390" t="str">
        <f>IF(ISERROR(((-1*C115*1000*$D$6)+(-1*D115*$D$8))/F115),"",((-1*C115*1000*$D$6)+(-1*D115*$D$8))/F115)</f>
        <v/>
      </c>
      <c r="W115" s="391">
        <f>SUMIFS(F69:F114,W69:W114,"Yes")</f>
        <v>0</v>
      </c>
      <c r="X115" s="516">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5.3030006523157214</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5.2669923839632133</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5.2669923839632133</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5.2669923839632133</v>
      </c>
      <c r="AA126" s="22">
        <f t="shared" ref="AA126:AC126" si="27">AK216</f>
        <v>5.2669923839632133</v>
      </c>
      <c r="AB126" s="22">
        <f t="shared" si="27"/>
        <v>0</v>
      </c>
      <c r="AC126" s="22">
        <f t="shared" si="27"/>
        <v>0</v>
      </c>
      <c r="AD126" s="22">
        <f t="shared" ref="AD126:AE126" si="28">AI217</f>
        <v>0</v>
      </c>
      <c r="AE126" s="22">
        <f t="shared" si="28"/>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5.2669923839632133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5.2669923839632133</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5.2669923839632133</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5.2669923839632133</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5.2669923839632133</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5.2669923839632133</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5.2669923839632133</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Y154" si="30">AV156*0.5</f>
        <v>69.5</v>
      </c>
      <c r="AW154" s="339">
        <f t="shared" si="30"/>
        <v>59.814999999999998</v>
      </c>
      <c r="AX154" s="339">
        <f t="shared" si="30"/>
        <v>33.69</v>
      </c>
      <c r="AY154" s="339">
        <f t="shared" si="30"/>
        <v>44.87</v>
      </c>
      <c r="AZ154" s="8"/>
      <c r="BA154" s="25">
        <v>6</v>
      </c>
      <c r="BB154" s="24">
        <f t="shared" ref="BB154:BB155" si="31">IF($C$58="Base",BF154,BG154)</f>
        <v>34.795000000000002</v>
      </c>
      <c r="BC154" s="24" t="s">
        <v>436</v>
      </c>
      <c r="BD154" s="8"/>
      <c r="BE154" s="8"/>
      <c r="BF154" s="24">
        <f t="shared" ref="BF154:BF155" si="32">IF($C$59&gt;7000,"error",IF($C$59&gt;5999,AR154,IF($C$59&gt;4999,AQ154,IF($C$59&gt;3999,AP154,IF($C$59&gt;2999,AO154,IF($C$59&gt;1999,AN154,"Error"))))))</f>
        <v>34.795000000000002</v>
      </c>
      <c r="BG154" s="24">
        <f t="shared" ref="BG154:BG164" si="33">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4">AQ156*0.75</f>
        <v>31.372499999999999</v>
      </c>
      <c r="AR155" s="338">
        <f t="shared" si="34"/>
        <v>40.47</v>
      </c>
      <c r="AS155" s="24"/>
      <c r="AT155" s="25">
        <v>5.5</v>
      </c>
      <c r="AU155" s="339">
        <f>AU156*0.75</f>
        <v>97.140000000000015</v>
      </c>
      <c r="AV155" s="339">
        <f t="shared" ref="AV155:AY155" si="35">AV156*0.75</f>
        <v>104.25</v>
      </c>
      <c r="AW155" s="339">
        <f t="shared" si="35"/>
        <v>89.722499999999997</v>
      </c>
      <c r="AX155" s="339">
        <f t="shared" si="35"/>
        <v>50.534999999999997</v>
      </c>
      <c r="AY155" s="339">
        <f t="shared" si="35"/>
        <v>67.304999999999993</v>
      </c>
      <c r="AZ155" s="24"/>
      <c r="BA155" s="25">
        <v>5.5</v>
      </c>
      <c r="BB155" s="24">
        <f t="shared" si="31"/>
        <v>52.192500000000003</v>
      </c>
      <c r="BC155" s="24" t="s">
        <v>436</v>
      </c>
      <c r="BE155" s="24"/>
      <c r="BF155" s="24">
        <f t="shared" si="32"/>
        <v>52.192500000000003</v>
      </c>
      <c r="BG155" s="24">
        <f t="shared" si="33"/>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3"/>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38846</v>
      </c>
      <c r="BW156" s="14" t="s">
        <v>445</v>
      </c>
      <c r="BX156" s="181" t="s">
        <v>13</v>
      </c>
      <c r="BY156" s="38">
        <f>BY157/BV156</f>
        <v>60.456164868712357</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6">IF($C$58="Base",BF157,BG157)</f>
        <v>84.92</v>
      </c>
      <c r="BC157" s="24" t="s">
        <v>436</v>
      </c>
      <c r="BD157" s="24">
        <f>BB157-BB156</f>
        <v>15.329999999999998</v>
      </c>
      <c r="BE157" s="24"/>
      <c r="BF157" s="24">
        <f t="shared" ref="BF157:BF164" si="37">IF($C$59&gt;7000,"error",IF($C$59&gt;5999,AR157,IF($C$59&gt;4999,AQ157,IF($C$59&gt;3999,AP157,IF($C$59&gt;2999,AO157,IF($C$59&gt;1999,AN157,"Error"))))))</f>
        <v>84.92</v>
      </c>
      <c r="BG157" s="24">
        <f t="shared" si="33"/>
        <v>158.69</v>
      </c>
      <c r="BH157" s="24"/>
      <c r="BI157" s="29" t="s">
        <v>118</v>
      </c>
      <c r="BJ157" s="29">
        <v>810</v>
      </c>
      <c r="BK157" s="29">
        <v>51.33</v>
      </c>
      <c r="BL157" s="24">
        <v>2000</v>
      </c>
      <c r="BM157" s="25"/>
      <c r="BN157" s="24">
        <f>BV161/BV158</f>
        <v>48.082226327006936</v>
      </c>
      <c r="BO157" s="32" t="s">
        <v>447</v>
      </c>
      <c r="BP157" s="179">
        <f>$BY$158/SUM($BY$158:$BY$159)*C64</f>
        <v>53.969776323407089</v>
      </c>
      <c r="BQ157" s="29" t="s">
        <v>448</v>
      </c>
      <c r="BR157" s="29" t="s">
        <v>449</v>
      </c>
      <c r="BS157" s="29" t="s">
        <v>450</v>
      </c>
      <c r="BT157" s="14"/>
      <c r="BU157" s="30" t="s">
        <v>451</v>
      </c>
      <c r="BV157" s="33">
        <f xml:space="preserve"> 5 - 0.5*(BV158-BB156)/BH166</f>
        <v>5.5094658733396251</v>
      </c>
      <c r="BW157" s="14" t="s">
        <v>452</v>
      </c>
      <c r="BX157" s="181" t="s">
        <v>453</v>
      </c>
      <c r="BY157" s="180">
        <f>SUM(BY158:BY159)</f>
        <v>2348480.1804900002</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6"/>
        <v>100.25</v>
      </c>
      <c r="BC158" s="24" t="s">
        <v>436</v>
      </c>
      <c r="BD158" s="24">
        <f t="shared" ref="BD158:BD164" si="38">BB158-BB157</f>
        <v>15.329999999999998</v>
      </c>
      <c r="BE158" s="24"/>
      <c r="BF158" s="24">
        <f t="shared" si="37"/>
        <v>100.25</v>
      </c>
      <c r="BG158" s="24">
        <f t="shared" si="33"/>
        <v>187.86</v>
      </c>
      <c r="BH158" s="24"/>
      <c r="BI158" s="29" t="s">
        <v>150</v>
      </c>
      <c r="BJ158" s="29">
        <v>810</v>
      </c>
      <c r="BK158" s="29">
        <v>51.33</v>
      </c>
      <c r="BL158" s="24">
        <v>3000</v>
      </c>
      <c r="BM158" s="25"/>
      <c r="BN158" s="179">
        <f>BV162/BV163</f>
        <v>758.74933420759055</v>
      </c>
      <c r="BO158" s="24" t="s">
        <v>454</v>
      </c>
      <c r="BP158" s="179">
        <f>$BY$159/SUM($BY$158:$BY$159)*C64</f>
        <v>6.3302236765929143</v>
      </c>
      <c r="BQ158" s="29" t="s">
        <v>455</v>
      </c>
      <c r="BR158" s="29" t="s">
        <v>456</v>
      </c>
      <c r="BS158" s="29" t="s">
        <v>457</v>
      </c>
      <c r="BT158" s="14"/>
      <c r="BU158" s="30" t="s">
        <v>458</v>
      </c>
      <c r="BV158" s="31">
        <f>BP157</f>
        <v>53.969776323407089</v>
      </c>
      <c r="BW158" s="14" t="s">
        <v>436</v>
      </c>
      <c r="BX158" s="181" t="s">
        <v>459</v>
      </c>
      <c r="BY158" s="178">
        <f>INDEX($BJ$156:$BJ$161,MATCH($C$57,$BI$156:$BI$161,0))*$C$62</f>
        <v>2101939.4700000002</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6"/>
        <v>115.57</v>
      </c>
      <c r="BC159" s="24" t="s">
        <v>436</v>
      </c>
      <c r="BD159" s="24">
        <f t="shared" si="38"/>
        <v>15.319999999999993</v>
      </c>
      <c r="BE159" s="24"/>
      <c r="BF159" s="24">
        <f t="shared" si="37"/>
        <v>115.57</v>
      </c>
      <c r="BG159" s="24">
        <f t="shared" si="33"/>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246540.71049</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6"/>
        <v>130.9</v>
      </c>
      <c r="BC160" s="24" t="s">
        <v>436</v>
      </c>
      <c r="BD160" s="24">
        <f t="shared" si="38"/>
        <v>15.330000000000013</v>
      </c>
      <c r="BE160" s="24"/>
      <c r="BF160" s="24">
        <f t="shared" si="37"/>
        <v>130.9</v>
      </c>
      <c r="BG160" s="24">
        <f t="shared" si="33"/>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54.661993552181158</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6"/>
        <v>146.22999999999999</v>
      </c>
      <c r="BC161" s="24" t="s">
        <v>436</v>
      </c>
      <c r="BD161" s="24">
        <f t="shared" si="38"/>
        <v>15.329999999999984</v>
      </c>
      <c r="BE161" s="24"/>
      <c r="BF161" s="24">
        <f t="shared" si="37"/>
        <v>146.22999999999999</v>
      </c>
      <c r="BG161" s="24">
        <f t="shared" si="33"/>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2594.9870000000001</v>
      </c>
      <c r="BW161" s="14" t="s">
        <v>311</v>
      </c>
      <c r="BX161" s="14"/>
      <c r="BY161" s="14"/>
      <c r="BZ161" s="38">
        <f>5-(0.5*(C64-CE177)/(CE176-CE177))</f>
        <v>5.3030006523157214</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6"/>
        <v>161.56</v>
      </c>
      <c r="BC162" s="24" t="s">
        <v>436</v>
      </c>
      <c r="BD162" s="24">
        <f t="shared" si="38"/>
        <v>15.330000000000013</v>
      </c>
      <c r="BE162" s="24"/>
      <c r="BF162" s="24">
        <f t="shared" si="37"/>
        <v>161.56</v>
      </c>
      <c r="BG162" s="24">
        <f t="shared" si="33"/>
        <v>304.55</v>
      </c>
      <c r="BH162" s="24"/>
      <c r="BI162" s="24"/>
      <c r="BJ162" s="24"/>
      <c r="BK162" s="24"/>
      <c r="BL162" s="24"/>
      <c r="BM162" s="37"/>
      <c r="BN162" s="37"/>
      <c r="BO162" s="37"/>
      <c r="BP162" s="37"/>
      <c r="BQ162" s="29" t="s">
        <v>473</v>
      </c>
      <c r="BR162" s="24"/>
      <c r="BS162" s="24"/>
      <c r="BT162" s="14"/>
      <c r="BU162" s="14" t="s">
        <v>474</v>
      </c>
      <c r="BV162" s="31">
        <f>C63</f>
        <v>4803.0529999999999</v>
      </c>
      <c r="BW162" s="14" t="s">
        <v>314</v>
      </c>
      <c r="BX162" s="14"/>
      <c r="BY162" s="38">
        <f>C63*BK156</f>
        <v>246540.71049</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6"/>
        <v>176.89</v>
      </c>
      <c r="BC163" s="24" t="s">
        <v>436</v>
      </c>
      <c r="BD163" s="24">
        <f t="shared" si="38"/>
        <v>15.329999999999984</v>
      </c>
      <c r="BE163" s="24"/>
      <c r="BF163" s="24">
        <f t="shared" si="37"/>
        <v>176.89</v>
      </c>
      <c r="BG163" s="24">
        <f t="shared" si="33"/>
        <v>333.72</v>
      </c>
      <c r="BH163" s="24"/>
      <c r="BI163" s="24"/>
      <c r="BJ163" s="24"/>
      <c r="BK163" s="24"/>
      <c r="BL163" s="24"/>
      <c r="BM163" s="37"/>
      <c r="BN163" s="37"/>
      <c r="BO163" s="37"/>
      <c r="BP163" s="37"/>
      <c r="BQ163" s="29" t="s">
        <v>475</v>
      </c>
      <c r="BR163" s="24"/>
      <c r="BS163" s="24"/>
      <c r="BT163" s="14"/>
      <c r="BU163" s="14" t="s">
        <v>476</v>
      </c>
      <c r="BV163" s="38">
        <f>BP158</f>
        <v>6.3302236765929143</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6"/>
        <v>192.21</v>
      </c>
      <c r="BC164" s="24" t="s">
        <v>436</v>
      </c>
      <c r="BD164" s="24">
        <f t="shared" si="38"/>
        <v>15.320000000000022</v>
      </c>
      <c r="BE164" s="24"/>
      <c r="BF164" s="24">
        <f t="shared" si="37"/>
        <v>192.21</v>
      </c>
      <c r="BG164" s="24">
        <f t="shared" si="33"/>
        <v>362.89</v>
      </c>
      <c r="BH164" s="24"/>
      <c r="BI164" s="24"/>
      <c r="BJ164" s="24"/>
      <c r="BK164" s="24"/>
      <c r="BL164" s="24"/>
      <c r="BM164" s="37"/>
      <c r="BN164" s="37"/>
      <c r="BO164" s="37"/>
      <c r="BP164" s="37"/>
      <c r="BQ164" s="29" t="s">
        <v>478</v>
      </c>
      <c r="BR164" s="24"/>
      <c r="BS164" s="24"/>
      <c r="BT164" s="14"/>
      <c r="BU164" s="14"/>
      <c r="BV164" s="38">
        <f>BV163+BV158</f>
        <v>60.300000000000004</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9">H66</f>
        <v>45838</v>
      </c>
      <c r="I166" s="177">
        <f t="shared" si="39"/>
        <v>46203</v>
      </c>
      <c r="J166" s="177">
        <f t="shared" si="39"/>
        <v>46568</v>
      </c>
      <c r="K166" s="177">
        <f t="shared" si="39"/>
        <v>46934</v>
      </c>
      <c r="L166" s="177">
        <f t="shared" si="39"/>
        <v>47299</v>
      </c>
      <c r="M166" s="177">
        <f t="shared" si="39"/>
        <v>47664</v>
      </c>
      <c r="N166" s="177">
        <f t="shared" si="39"/>
        <v>48029</v>
      </c>
      <c r="O166" s="177">
        <f t="shared" si="39"/>
        <v>48395</v>
      </c>
      <c r="P166" s="177">
        <f t="shared" si="39"/>
        <v>48760</v>
      </c>
      <c r="Q166" s="177">
        <f t="shared" si="39"/>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0">DATE(YEAR(AB166)+1,MONTH(AB166),DAY(AB166))</f>
        <v>46112</v>
      </c>
      <c r="AD166" s="46">
        <f t="shared" si="40"/>
        <v>46477</v>
      </c>
      <c r="AE166" s="46">
        <f t="shared" si="40"/>
        <v>46843</v>
      </c>
      <c r="AF166" s="46">
        <f t="shared" si="40"/>
        <v>47208</v>
      </c>
      <c r="AG166" s="46">
        <f t="shared" si="40"/>
        <v>47573</v>
      </c>
      <c r="AH166" s="46">
        <f t="shared" si="40"/>
        <v>47938</v>
      </c>
      <c r="AI166" s="46">
        <f t="shared" si="40"/>
        <v>48304</v>
      </c>
      <c r="AJ166" s="46">
        <f t="shared" si="40"/>
        <v>48669</v>
      </c>
      <c r="AK166" s="46">
        <f t="shared" si="40"/>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1">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2">IF($E69&lt;G$66,$C69,0)</f>
        <v>0</v>
      </c>
      <c r="H167" s="12">
        <f t="shared" ref="H167:J186" si="43">IF($E69&gt;H$66,0,IF($E69&lt;H$66-365,$C69,0))</f>
        <v>0</v>
      </c>
      <c r="I167" s="12">
        <f t="shared" si="43"/>
        <v>0</v>
      </c>
      <c r="J167" s="12">
        <f t="shared" si="43"/>
        <v>0</v>
      </c>
      <c r="K167" s="12">
        <f t="shared" ref="K167:K209" si="44">IF($E69&lt;K$66,$C69,0)</f>
        <v>0</v>
      </c>
      <c r="L167" s="12">
        <f t="shared" ref="L167:N186" si="45">IF($E69&gt;L$66,0,IF($E69&lt;L$66-365,$C69,0))</f>
        <v>0</v>
      </c>
      <c r="M167" s="12">
        <f t="shared" si="45"/>
        <v>0</v>
      </c>
      <c r="N167" s="12">
        <f t="shared" si="45"/>
        <v>0</v>
      </c>
      <c r="O167" s="12">
        <f t="shared" ref="O167:O209" si="46">IF($E69&lt;O$66,$C69,0)</f>
        <v>0</v>
      </c>
      <c r="P167" s="12">
        <f t="shared" ref="P167:Q186" si="47">IF($E69&gt;P$66,0,IF($E69&lt;P$66-365,$C69,0))</f>
        <v>0</v>
      </c>
      <c r="Q167" s="12">
        <f t="shared" si="47"/>
        <v>0</v>
      </c>
      <c r="T167" s="14"/>
      <c r="U167" s="14"/>
      <c r="V167" s="14"/>
      <c r="W167" s="53">
        <f t="shared" ref="W167:W211" si="48">C68*$BN$160*1000</f>
        <v>0</v>
      </c>
      <c r="X167" s="54" t="e">
        <f t="shared" ref="X167:X211" si="49">-1*F68/W167</f>
        <v>#DIV/0!</v>
      </c>
      <c r="Y167" s="25">
        <f>Z167/$BH$166</f>
        <v>0</v>
      </c>
      <c r="Z167" s="54">
        <f>C68/$BN$157</f>
        <v>0</v>
      </c>
      <c r="AA167" s="54">
        <f t="shared" ref="AA167:AJ182" si="50">IF($E68+365&lt;$C$56,0,IF($E68&lt;$C$56,(($E68+365-$C$56)/365)*(($C68/$BN$157)+($D68/$BN$158)),IF($E68&gt;AA$166,0,IF($E68+365&lt;AA$166,($C68/$BN$157)+($D68/$BN$158),((AA$166-$E68)/365)*(($C68/$BN$157)+($D68/$BN$158))))))</f>
        <v>0</v>
      </c>
      <c r="AB167" s="54">
        <f t="shared" si="50"/>
        <v>0</v>
      </c>
      <c r="AC167" s="54">
        <f>IF($E68+365&lt;$C$56,0,IF($E68&lt;$C$56,(($E68+365-$C$56)/365)*(($C68/$BN$157)+($D68/$BN$158)),IF($E68&gt;AC$166,0,IF($E68+365&lt;AC$166,($C68/$BN$157)+($D68/$BN$158),((AC$166-$E68)/365)*(($C68/$BN$157)+($D68/$BN$158))))))</f>
        <v>0</v>
      </c>
      <c r="AD167" s="54">
        <f t="shared" si="50"/>
        <v>0</v>
      </c>
      <c r="AE167" s="54">
        <f t="shared" si="50"/>
        <v>0</v>
      </c>
      <c r="AF167" s="54">
        <f>IF($E68+365&lt;$C$56,0,IF($E68&lt;$C$56,(($E68+365-$C$56)/365)*(($C68/$BN$157)+($D68/$BN$158)),IF($E68&gt;AF$166,0,IF($E68+365&lt;AF$166,($C68/$BN$157)+($D68/$BN$158),((AF$166-$E68)/365)*(($C68/$BN$157)+($D68/$BN$158))))))</f>
        <v>0</v>
      </c>
      <c r="AG167" s="54">
        <f t="shared" si="50"/>
        <v>0</v>
      </c>
      <c r="AH167" s="54">
        <f t="shared" si="50"/>
        <v>0</v>
      </c>
      <c r="AI167" s="54">
        <f t="shared" si="50"/>
        <v>0</v>
      </c>
      <c r="AJ167" s="54">
        <f t="shared" si="50"/>
        <v>0</v>
      </c>
      <c r="AK167" s="54">
        <f t="shared" ref="AK167" si="51">IF($E68+365&lt;$C$56,0,IF($E68&lt;$C$56,(($E68+365-$C$56)/365)*(($C68/$BN$157)+($D68/$BN$158)),IF($E68&gt;AK$166,0,IF($E68+365&lt;AK$166,($C68/$BN$157)+($D68/$BN$158),((AK$166-$E68)/365)*(($C68/$BN$157)+($D68/$BN$158))))))</f>
        <v>0</v>
      </c>
      <c r="AL167" s="24">
        <f t="shared" ref="AL167:AL213" si="52">IF(G68&lt;&gt;"",C68,0)</f>
        <v>0</v>
      </c>
      <c r="AM167" s="24">
        <f t="shared" ref="AM167:AM213" si="53">IF(G68&lt;&gt;"",D68,0)</f>
        <v>0</v>
      </c>
      <c r="AN167" s="55">
        <f t="shared" ref="AN167:AN213" si="54">IF(W68="Yes",0,F68)</f>
        <v>0</v>
      </c>
      <c r="AO167" s="55">
        <f t="shared" ref="AO167:AO213" si="55">IF(W68="Yes",F68,0)</f>
        <v>0</v>
      </c>
      <c r="AP167" s="24"/>
      <c r="AQ167" s="24"/>
      <c r="AR167" s="24"/>
      <c r="AS167" s="24"/>
      <c r="AT167" s="24"/>
      <c r="AU167" s="24"/>
      <c r="AV167" s="24"/>
      <c r="AW167" s="24"/>
      <c r="AX167" s="24"/>
      <c r="AY167" s="24"/>
      <c r="AZ167" s="24"/>
      <c r="BA167" s="24"/>
      <c r="BB167" s="25"/>
      <c r="BC167" s="24"/>
      <c r="BD167" s="24"/>
      <c r="BE167" s="24">
        <f t="shared" si="41"/>
        <v>84.92</v>
      </c>
      <c r="BF167" s="24" t="s">
        <v>486</v>
      </c>
      <c r="BG167" s="56">
        <f>BV158+($C$64-$BV$158)</f>
        <v>60.3</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2"/>
        <v>0</v>
      </c>
      <c r="H168" s="12">
        <f t="shared" si="43"/>
        <v>0</v>
      </c>
      <c r="I168" s="12">
        <f t="shared" si="43"/>
        <v>0</v>
      </c>
      <c r="J168" s="12">
        <f t="shared" si="43"/>
        <v>0</v>
      </c>
      <c r="K168" s="12">
        <f t="shared" si="44"/>
        <v>0</v>
      </c>
      <c r="L168" s="12">
        <f t="shared" si="45"/>
        <v>0</v>
      </c>
      <c r="M168" s="12">
        <f t="shared" si="45"/>
        <v>0</v>
      </c>
      <c r="N168" s="12">
        <f t="shared" si="45"/>
        <v>0</v>
      </c>
      <c r="O168" s="12">
        <f t="shared" si="46"/>
        <v>0</v>
      </c>
      <c r="P168" s="12">
        <f t="shared" si="47"/>
        <v>0</v>
      </c>
      <c r="Q168" s="12">
        <f t="shared" si="47"/>
        <v>0</v>
      </c>
      <c r="T168" s="57"/>
      <c r="U168" s="57"/>
      <c r="V168" s="57"/>
      <c r="W168" s="53">
        <f t="shared" si="48"/>
        <v>0</v>
      </c>
      <c r="X168" s="54" t="e">
        <f t="shared" si="49"/>
        <v>#DIV/0!</v>
      </c>
      <c r="Y168" s="54">
        <f t="shared" ref="Y168:Y213" si="56">Z168/$BH$166</f>
        <v>0</v>
      </c>
      <c r="Z168" s="54">
        <f>($C69/$BN$157)+($D69/$BN$158)</f>
        <v>0</v>
      </c>
      <c r="AA168" s="54">
        <f t="shared" si="50"/>
        <v>0</v>
      </c>
      <c r="AB168" s="54">
        <f t="shared" si="50"/>
        <v>0</v>
      </c>
      <c r="AC168" s="54">
        <f t="shared" si="50"/>
        <v>0</v>
      </c>
      <c r="AD168" s="54">
        <f>IF($E69+365&lt;$C$56,0,IF($E69&lt;$C$56,(($E69+365-$C$56)/365)*(($C69/$BN$157)+($D69/$BN$158)),IF($E69&gt;AD$166,0,IF($E69+365&lt;AD$166,($C69/$BN$157)+($D69/$BN$158),((AD$166-$E69)/365)*(($C69/$BN$157)+($D69/$BN$158))))))</f>
        <v>0</v>
      </c>
      <c r="AE168" s="54">
        <f t="shared" si="50"/>
        <v>0</v>
      </c>
      <c r="AF168" s="54">
        <f t="shared" si="50"/>
        <v>0</v>
      </c>
      <c r="AG168" s="54">
        <f t="shared" si="50"/>
        <v>0</v>
      </c>
      <c r="AH168" s="54">
        <f t="shared" si="50"/>
        <v>0</v>
      </c>
      <c r="AI168" s="54">
        <f t="shared" si="50"/>
        <v>0</v>
      </c>
      <c r="AJ168" s="54">
        <f t="shared" si="50"/>
        <v>0</v>
      </c>
      <c r="AK168" s="54">
        <f t="shared" ref="AK168" si="57">IF($E69+365&lt;$C$56,0,IF($E69&lt;$C$56,(($E69+365-$C$56)/365)*(($C69/$BN$157)+($D69/$BN$158)),IF($E69&gt;AK$166,0,IF($E69+365&lt;AK$166,($C69/$BN$157)+($D69/$BN$158),((AK$166-$E69)/365)*(($C69/$BN$157)+($D69/$BN$158))))))</f>
        <v>0</v>
      </c>
      <c r="AL168" s="24">
        <f t="shared" si="52"/>
        <v>0</v>
      </c>
      <c r="AM168" s="24">
        <f t="shared" si="53"/>
        <v>0</v>
      </c>
      <c r="AN168" s="55">
        <f t="shared" si="54"/>
        <v>0</v>
      </c>
      <c r="AO168" s="55">
        <f t="shared" si="55"/>
        <v>0</v>
      </c>
      <c r="AP168" s="24"/>
      <c r="AQ168" s="24"/>
      <c r="AR168" s="24"/>
      <c r="AS168" s="24"/>
      <c r="AT168" s="24"/>
      <c r="AU168" s="24"/>
      <c r="AV168" s="24"/>
      <c r="AW168" s="24"/>
      <c r="AX168" s="24"/>
      <c r="AY168" s="24"/>
      <c r="AZ168" s="24"/>
      <c r="BA168" s="24"/>
      <c r="BB168" s="24"/>
      <c r="BC168" s="24"/>
      <c r="BD168" s="24"/>
      <c r="BE168" s="24">
        <f t="shared" si="41"/>
        <v>84.92</v>
      </c>
      <c r="BF168" s="59">
        <f>AB166</f>
        <v>45747</v>
      </c>
      <c r="BG168" s="36">
        <f>(BV158+AB214)+($C$64-$BV$158)</f>
        <v>60.3</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2"/>
        <v>0</v>
      </c>
      <c r="H169" s="12">
        <f t="shared" si="43"/>
        <v>0</v>
      </c>
      <c r="I169" s="12">
        <f t="shared" si="43"/>
        <v>0</v>
      </c>
      <c r="J169" s="12">
        <f t="shared" si="43"/>
        <v>0</v>
      </c>
      <c r="K169" s="12">
        <f t="shared" si="44"/>
        <v>0</v>
      </c>
      <c r="L169" s="12">
        <f t="shared" si="45"/>
        <v>0</v>
      </c>
      <c r="M169" s="12">
        <f t="shared" si="45"/>
        <v>0</v>
      </c>
      <c r="N169" s="12">
        <f t="shared" si="45"/>
        <v>0</v>
      </c>
      <c r="O169" s="12">
        <f t="shared" si="46"/>
        <v>0</v>
      </c>
      <c r="P169" s="12">
        <f t="shared" si="47"/>
        <v>0</v>
      </c>
      <c r="Q169" s="12">
        <f t="shared" si="47"/>
        <v>0</v>
      </c>
      <c r="T169" s="61"/>
      <c r="U169" s="61"/>
      <c r="V169" s="61"/>
      <c r="W169" s="53">
        <f t="shared" si="48"/>
        <v>0</v>
      </c>
      <c r="X169" s="54" t="e">
        <f t="shared" si="49"/>
        <v>#DIV/0!</v>
      </c>
      <c r="Y169" s="343">
        <f>Z169/$BH$166</f>
        <v>0</v>
      </c>
      <c r="Z169" s="54">
        <f>($C70/$BN$157)+($D70/$BN$158)</f>
        <v>0</v>
      </c>
      <c r="AA169" s="54">
        <f t="shared" si="50"/>
        <v>0</v>
      </c>
      <c r="AB169" s="54">
        <f t="shared" si="50"/>
        <v>0</v>
      </c>
      <c r="AC169" s="54">
        <f t="shared" si="50"/>
        <v>0</v>
      </c>
      <c r="AD169" s="54">
        <f>IF($E70+365&lt;$C$56,0,IF($E70&lt;$C$56,(($E70+365-$C$56)/365)*(($C70/$BN$157)+($D70/$BN$158)),IF($E70&gt;AD$166,0,IF($E70+365&lt;AD$166,($C70/$BN$157)+($D70/$BN$158),((AD$166-$E70)/365)*(($C70/$BN$157)+($D70/$BN$158))))))</f>
        <v>0</v>
      </c>
      <c r="AE169" s="54">
        <f t="shared" si="50"/>
        <v>0</v>
      </c>
      <c r="AF169" s="54">
        <f t="shared" si="50"/>
        <v>0</v>
      </c>
      <c r="AG169" s="54">
        <f t="shared" si="50"/>
        <v>0</v>
      </c>
      <c r="AH169" s="54">
        <f t="shared" si="50"/>
        <v>0</v>
      </c>
      <c r="AI169" s="54">
        <f t="shared" si="50"/>
        <v>0</v>
      </c>
      <c r="AJ169" s="54">
        <f t="shared" si="50"/>
        <v>0</v>
      </c>
      <c r="AK169" s="54">
        <f t="shared" ref="AK169" si="58">IF($E70+365&lt;$C$56,0,IF($E70&lt;$C$56,(($E70+365-$C$56)/365)*(($C70/$BN$157)+($D70/$BN$158)),IF($E70&gt;AK$166,0,IF($E70+365&lt;AK$166,($C70/$BN$157)+($D70/$BN$158),((AK$166-$E70)/365)*(($C70/$BN$157)+($D70/$BN$158))))))</f>
        <v>0</v>
      </c>
      <c r="AL169" s="24">
        <f t="shared" si="52"/>
        <v>0</v>
      </c>
      <c r="AM169" s="24">
        <f t="shared" si="53"/>
        <v>0</v>
      </c>
      <c r="AN169" s="55">
        <f t="shared" si="54"/>
        <v>0</v>
      </c>
      <c r="AO169" s="55">
        <f t="shared" si="55"/>
        <v>0</v>
      </c>
      <c r="AP169" s="24"/>
      <c r="AQ169" s="24"/>
      <c r="AR169" s="24"/>
      <c r="AS169" s="24"/>
      <c r="AT169" s="24"/>
      <c r="AU169" s="24"/>
      <c r="AV169" s="24"/>
      <c r="AW169" s="24"/>
      <c r="AX169" s="24"/>
      <c r="AY169" s="24"/>
      <c r="AZ169" s="24"/>
      <c r="BA169" s="24"/>
      <c r="BB169" s="24"/>
      <c r="BC169" s="24"/>
      <c r="BD169" s="24"/>
      <c r="BE169" s="24">
        <f t="shared" si="41"/>
        <v>84.92</v>
      </c>
      <c r="BF169" s="59">
        <f>BF168+365</f>
        <v>46112</v>
      </c>
      <c r="BG169" s="36">
        <f>BV158+AC214+($C$64-$BV$158)</f>
        <v>60.3</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9">INDEX(AN156:AR156,MATCH($CE$168,$AN$165:$AR$165,0))</f>
        <v>69.59</v>
      </c>
      <c r="CJ169" s="14">
        <f t="shared" ref="CJ169:CJ177" si="60">INDEX(AU156:AY156,MATCH($CE$168,$AN$165:$AR$165,0))</f>
        <v>129.52000000000001</v>
      </c>
    </row>
    <row r="170" spans="7:88">
      <c r="G170" s="12">
        <f t="shared" si="42"/>
        <v>0</v>
      </c>
      <c r="H170" s="12">
        <f t="shared" si="43"/>
        <v>0</v>
      </c>
      <c r="I170" s="12">
        <f t="shared" si="43"/>
        <v>0</v>
      </c>
      <c r="J170" s="12">
        <f t="shared" si="43"/>
        <v>0</v>
      </c>
      <c r="K170" s="12">
        <f t="shared" si="44"/>
        <v>0</v>
      </c>
      <c r="L170" s="12">
        <f t="shared" si="45"/>
        <v>0</v>
      </c>
      <c r="M170" s="12">
        <f t="shared" si="45"/>
        <v>0</v>
      </c>
      <c r="N170" s="12">
        <f t="shared" si="45"/>
        <v>0</v>
      </c>
      <c r="O170" s="12">
        <f t="shared" si="46"/>
        <v>0</v>
      </c>
      <c r="P170" s="12">
        <f t="shared" si="47"/>
        <v>0</v>
      </c>
      <c r="Q170" s="12">
        <f t="shared" si="47"/>
        <v>0</v>
      </c>
      <c r="T170" s="61"/>
      <c r="U170" s="61"/>
      <c r="V170" s="61"/>
      <c r="W170" s="53">
        <f t="shared" si="48"/>
        <v>0</v>
      </c>
      <c r="X170" s="54" t="e">
        <f t="shared" si="49"/>
        <v>#DIV/0!</v>
      </c>
      <c r="Y170" s="25">
        <f t="shared" si="56"/>
        <v>0</v>
      </c>
      <c r="Z170" s="54">
        <f t="shared" ref="Z170:Z213" si="61">($C71/$BN$157)+($D71/$BN$158)</f>
        <v>0</v>
      </c>
      <c r="AA170" s="54">
        <f t="shared" si="50"/>
        <v>0</v>
      </c>
      <c r="AB170" s="54">
        <f t="shared" si="50"/>
        <v>0</v>
      </c>
      <c r="AC170" s="54">
        <f t="shared" si="50"/>
        <v>0</v>
      </c>
      <c r="AD170" s="54">
        <f t="shared" si="50"/>
        <v>0</v>
      </c>
      <c r="AE170" s="54">
        <f t="shared" si="50"/>
        <v>0</v>
      </c>
      <c r="AF170" s="54">
        <f t="shared" si="50"/>
        <v>0</v>
      </c>
      <c r="AG170" s="54">
        <f t="shared" si="50"/>
        <v>0</v>
      </c>
      <c r="AH170" s="54">
        <f t="shared" si="50"/>
        <v>0</v>
      </c>
      <c r="AI170" s="54">
        <f t="shared" si="50"/>
        <v>0</v>
      </c>
      <c r="AJ170" s="54">
        <f t="shared" si="50"/>
        <v>0</v>
      </c>
      <c r="AK170" s="54">
        <f t="shared" ref="AK170" si="62">IF($E71+365&lt;$C$56,0,IF($E71&lt;$C$56,(($E71+365-$C$56)/365)*(($C71/$BN$157)+($D71/$BN$158)),IF($E71&gt;AK$166,0,IF($E71+365&lt;AK$166,($C71/$BN$157)+($D71/$BN$158),((AK$166-$E71)/365)*(($C71/$BN$157)+($D71/$BN$158))))))</f>
        <v>0</v>
      </c>
      <c r="AL170" s="24">
        <f t="shared" si="52"/>
        <v>0</v>
      </c>
      <c r="AM170" s="24">
        <f t="shared" si="53"/>
        <v>0</v>
      </c>
      <c r="AN170" s="55">
        <f t="shared" si="54"/>
        <v>0</v>
      </c>
      <c r="AO170" s="55">
        <f t="shared" si="55"/>
        <v>0</v>
      </c>
      <c r="AP170" s="24"/>
      <c r="AQ170" s="24"/>
      <c r="AR170" s="24"/>
      <c r="AS170" s="24"/>
      <c r="AT170" s="24"/>
      <c r="AU170" s="24"/>
      <c r="AV170" s="24"/>
      <c r="AW170" s="24"/>
      <c r="AX170" s="24"/>
      <c r="AY170" s="24"/>
      <c r="AZ170" s="24"/>
      <c r="BA170" s="24"/>
      <c r="BB170" s="24"/>
      <c r="BC170" s="24"/>
      <c r="BD170" s="24"/>
      <c r="BE170" s="24">
        <f t="shared" si="41"/>
        <v>84.92</v>
      </c>
      <c r="BF170" s="59">
        <f>BF169+365</f>
        <v>46477</v>
      </c>
      <c r="BG170" s="36">
        <f>$BV$158+AD214+($C$64-$BV$158)</f>
        <v>60.3</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9"/>
        <v>84.92</v>
      </c>
      <c r="CJ170" s="14">
        <f t="shared" si="60"/>
        <v>158.69</v>
      </c>
    </row>
    <row r="171" spans="7:88">
      <c r="G171" s="12">
        <f t="shared" si="42"/>
        <v>0</v>
      </c>
      <c r="H171" s="12">
        <f t="shared" si="43"/>
        <v>0</v>
      </c>
      <c r="I171" s="12">
        <f t="shared" si="43"/>
        <v>0</v>
      </c>
      <c r="J171" s="12">
        <f t="shared" si="43"/>
        <v>0</v>
      </c>
      <c r="K171" s="12">
        <f t="shared" si="44"/>
        <v>0</v>
      </c>
      <c r="L171" s="12">
        <f t="shared" si="45"/>
        <v>0</v>
      </c>
      <c r="M171" s="12">
        <f t="shared" si="45"/>
        <v>0</v>
      </c>
      <c r="N171" s="12">
        <f t="shared" si="45"/>
        <v>0</v>
      </c>
      <c r="O171" s="12">
        <f t="shared" si="46"/>
        <v>0</v>
      </c>
      <c r="P171" s="12">
        <f t="shared" si="47"/>
        <v>0</v>
      </c>
      <c r="Q171" s="12">
        <f t="shared" si="47"/>
        <v>0</v>
      </c>
      <c r="T171" s="61"/>
      <c r="U171" s="61"/>
      <c r="V171" s="61"/>
      <c r="W171" s="53">
        <f t="shared" si="48"/>
        <v>0</v>
      </c>
      <c r="X171" s="54" t="e">
        <f t="shared" si="49"/>
        <v>#DIV/0!</v>
      </c>
      <c r="Y171" s="54">
        <f t="shared" si="56"/>
        <v>0</v>
      </c>
      <c r="Z171" s="54">
        <f>($C72/$BN$157)+($D72/$BN$158)</f>
        <v>0</v>
      </c>
      <c r="AA171" s="54">
        <f t="shared" si="50"/>
        <v>0</v>
      </c>
      <c r="AB171" s="54">
        <f t="shared" si="50"/>
        <v>0</v>
      </c>
      <c r="AC171" s="54">
        <f t="shared" si="50"/>
        <v>0</v>
      </c>
      <c r="AD171" s="54">
        <f t="shared" si="50"/>
        <v>0</v>
      </c>
      <c r="AE171" s="54">
        <f t="shared" si="50"/>
        <v>0</v>
      </c>
      <c r="AF171" s="54">
        <f>IF($E72+365&lt;$C$56,0,IF($E72&lt;$C$56,(($E72+365-$C$56)/365)*(($C72/$BN$157)+($D72/$BN$158)),IF($E72&gt;AF$166,0,IF($E72+365&lt;AF$166,($C72/$BN$157)+($D72/$BN$158),((AF$166-$E72)/365)*(($C72/$BN$157)+($D72/$BN$158))))))</f>
        <v>0</v>
      </c>
      <c r="AG171" s="54">
        <f t="shared" si="50"/>
        <v>0</v>
      </c>
      <c r="AH171" s="54">
        <f t="shared" si="50"/>
        <v>0</v>
      </c>
      <c r="AI171" s="54">
        <f t="shared" si="50"/>
        <v>0</v>
      </c>
      <c r="AJ171" s="54">
        <f t="shared" si="50"/>
        <v>0</v>
      </c>
      <c r="AK171" s="54">
        <f t="shared" ref="AK171" si="63">IF($E72+365&lt;$C$56,0,IF($E72&lt;$C$56,(($E72+365-$C$56)/365)*(($C72/$BN$157)+($D72/$BN$158)),IF($E72&gt;AK$166,0,IF($E72+365&lt;AK$166,($C72/$BN$157)+($D72/$BN$158),((AK$166-$E72)/365)*(($C72/$BN$157)+($D72/$BN$158))))))</f>
        <v>0</v>
      </c>
      <c r="AL171" s="24">
        <f t="shared" si="52"/>
        <v>0</v>
      </c>
      <c r="AM171" s="24">
        <f t="shared" si="53"/>
        <v>0</v>
      </c>
      <c r="AN171" s="55">
        <f t="shared" si="54"/>
        <v>0</v>
      </c>
      <c r="AO171" s="55">
        <f t="shared" si="55"/>
        <v>0</v>
      </c>
      <c r="AP171" s="24"/>
      <c r="AQ171" s="24"/>
      <c r="AR171" s="24"/>
      <c r="AS171" s="24"/>
      <c r="AT171" s="24"/>
      <c r="AU171" s="24"/>
      <c r="AV171" s="24"/>
      <c r="AW171" s="24"/>
      <c r="AX171" s="24"/>
      <c r="AY171" s="24"/>
      <c r="AZ171" s="24"/>
      <c r="BA171" s="24"/>
      <c r="BB171" s="24"/>
      <c r="BC171" s="24"/>
      <c r="BD171" s="24"/>
      <c r="BE171" s="24">
        <f t="shared" si="41"/>
        <v>84.92</v>
      </c>
      <c r="BF171" s="59">
        <f t="shared" ref="BF171:BF176" si="64">BF170+365</f>
        <v>46842</v>
      </c>
      <c r="BG171" s="36">
        <f>$BV$158+AE214+($C$64-$BV$158)</f>
        <v>60.3</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9"/>
        <v>100.25</v>
      </c>
      <c r="CJ171" s="14">
        <f t="shared" si="60"/>
        <v>187.86</v>
      </c>
    </row>
    <row r="172" spans="7:88">
      <c r="G172" s="12">
        <f t="shared" si="42"/>
        <v>0</v>
      </c>
      <c r="H172" s="12">
        <f t="shared" si="43"/>
        <v>0</v>
      </c>
      <c r="I172" s="12">
        <f t="shared" si="43"/>
        <v>0</v>
      </c>
      <c r="J172" s="12">
        <f t="shared" si="43"/>
        <v>0</v>
      </c>
      <c r="K172" s="12">
        <f t="shared" si="44"/>
        <v>0</v>
      </c>
      <c r="L172" s="12">
        <f t="shared" si="45"/>
        <v>0</v>
      </c>
      <c r="M172" s="12">
        <f t="shared" si="45"/>
        <v>0</v>
      </c>
      <c r="N172" s="12">
        <f t="shared" si="45"/>
        <v>0</v>
      </c>
      <c r="O172" s="12">
        <f t="shared" si="46"/>
        <v>0</v>
      </c>
      <c r="P172" s="12">
        <f t="shared" si="47"/>
        <v>0</v>
      </c>
      <c r="Q172" s="12">
        <f t="shared" si="47"/>
        <v>0</v>
      </c>
      <c r="T172" s="61"/>
      <c r="U172" s="61"/>
      <c r="V172" s="61"/>
      <c r="W172" s="53">
        <f t="shared" si="48"/>
        <v>0</v>
      </c>
      <c r="X172" s="54" t="e">
        <f t="shared" si="49"/>
        <v>#DIV/0!</v>
      </c>
      <c r="Y172" s="25">
        <f>Z172/$BH$166</f>
        <v>0</v>
      </c>
      <c r="Z172" s="54">
        <f t="shared" si="61"/>
        <v>0</v>
      </c>
      <c r="AA172" s="54">
        <f t="shared" si="50"/>
        <v>0</v>
      </c>
      <c r="AB172" s="54">
        <f t="shared" si="50"/>
        <v>0</v>
      </c>
      <c r="AC172" s="54">
        <f t="shared" si="50"/>
        <v>0</v>
      </c>
      <c r="AD172" s="54">
        <f t="shared" si="50"/>
        <v>0</v>
      </c>
      <c r="AE172" s="54">
        <f t="shared" si="50"/>
        <v>0</v>
      </c>
      <c r="AF172" s="54">
        <f t="shared" si="50"/>
        <v>0</v>
      </c>
      <c r="AG172" s="54">
        <f t="shared" si="50"/>
        <v>0</v>
      </c>
      <c r="AH172" s="54">
        <f t="shared" si="50"/>
        <v>0</v>
      </c>
      <c r="AI172" s="54">
        <f t="shared" si="50"/>
        <v>0</v>
      </c>
      <c r="AJ172" s="54">
        <f t="shared" si="50"/>
        <v>0</v>
      </c>
      <c r="AK172" s="54">
        <f t="shared" ref="AK172" si="65">IF($E73+365&lt;$C$56,0,IF($E73&lt;$C$56,(($E73+365-$C$56)/365)*(($C73/$BN$157)+($D73/$BN$158)),IF($E73&gt;AK$166,0,IF($E73+365&lt;AK$166,($C73/$BN$157)+($D73/$BN$158),((AK$166-$E73)/365)*(($C73/$BN$157)+($D73/$BN$158))))))</f>
        <v>0</v>
      </c>
      <c r="AL172" s="24">
        <f t="shared" si="52"/>
        <v>0</v>
      </c>
      <c r="AM172" s="24">
        <f t="shared" si="53"/>
        <v>0</v>
      </c>
      <c r="AN172" s="55">
        <f t="shared" si="54"/>
        <v>0</v>
      </c>
      <c r="AO172" s="55">
        <f t="shared" si="55"/>
        <v>0</v>
      </c>
      <c r="AP172" s="24"/>
      <c r="AQ172" s="24"/>
      <c r="AR172" s="24"/>
      <c r="AS172" s="24"/>
      <c r="AT172" s="24"/>
      <c r="AU172" s="24"/>
      <c r="AV172" s="24"/>
      <c r="AW172" s="24"/>
      <c r="AX172" s="24"/>
      <c r="AY172" s="24"/>
      <c r="AZ172" s="24"/>
      <c r="BA172" s="24"/>
      <c r="BB172" s="24"/>
      <c r="BC172" s="24"/>
      <c r="BD172" s="24"/>
      <c r="BE172" s="24">
        <f t="shared" si="41"/>
        <v>84.92</v>
      </c>
      <c r="BF172" s="59">
        <f t="shared" si="64"/>
        <v>47207</v>
      </c>
      <c r="BG172" s="36">
        <f>$BV$158+AF214+($C$64-$BV$158)</f>
        <v>60.3</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9"/>
        <v>115.57</v>
      </c>
      <c r="CJ172" s="14">
        <f t="shared" si="60"/>
        <v>217.04</v>
      </c>
    </row>
    <row r="173" spans="7:88">
      <c r="G173" s="12">
        <f t="shared" si="42"/>
        <v>0</v>
      </c>
      <c r="H173" s="12">
        <f t="shared" si="43"/>
        <v>0</v>
      </c>
      <c r="I173" s="12">
        <f t="shared" si="43"/>
        <v>0</v>
      </c>
      <c r="J173" s="12">
        <f t="shared" si="43"/>
        <v>0</v>
      </c>
      <c r="K173" s="12">
        <f t="shared" si="44"/>
        <v>0</v>
      </c>
      <c r="L173" s="12">
        <f t="shared" si="45"/>
        <v>0</v>
      </c>
      <c r="M173" s="12">
        <f t="shared" si="45"/>
        <v>0</v>
      </c>
      <c r="N173" s="12">
        <f t="shared" si="45"/>
        <v>0</v>
      </c>
      <c r="O173" s="12">
        <f t="shared" si="46"/>
        <v>0</v>
      </c>
      <c r="P173" s="12">
        <f t="shared" si="47"/>
        <v>0</v>
      </c>
      <c r="Q173" s="12">
        <f t="shared" si="47"/>
        <v>0</v>
      </c>
      <c r="T173" s="61"/>
      <c r="U173" s="61"/>
      <c r="V173" s="61"/>
      <c r="W173" s="53">
        <f t="shared" si="48"/>
        <v>0</v>
      </c>
      <c r="X173" s="54" t="e">
        <f t="shared" si="49"/>
        <v>#DIV/0!</v>
      </c>
      <c r="Y173" s="25">
        <f t="shared" si="56"/>
        <v>0</v>
      </c>
      <c r="Z173" s="54">
        <f t="shared" si="61"/>
        <v>0</v>
      </c>
      <c r="AA173" s="54">
        <f t="shared" si="50"/>
        <v>0</v>
      </c>
      <c r="AB173" s="54">
        <f t="shared" si="50"/>
        <v>0</v>
      </c>
      <c r="AC173" s="54">
        <f t="shared" si="50"/>
        <v>0</v>
      </c>
      <c r="AD173" s="54">
        <f t="shared" si="50"/>
        <v>0</v>
      </c>
      <c r="AE173" s="54">
        <f t="shared" si="50"/>
        <v>0</v>
      </c>
      <c r="AF173" s="54">
        <f t="shared" si="50"/>
        <v>0</v>
      </c>
      <c r="AG173" s="54">
        <f t="shared" si="50"/>
        <v>0</v>
      </c>
      <c r="AH173" s="54">
        <f t="shared" si="50"/>
        <v>0</v>
      </c>
      <c r="AI173" s="54">
        <f t="shared" si="50"/>
        <v>0</v>
      </c>
      <c r="AJ173" s="54">
        <f t="shared" si="50"/>
        <v>0</v>
      </c>
      <c r="AK173" s="54">
        <f t="shared" ref="AK173" si="66">IF($E74+365&lt;$C$56,0,IF($E74&lt;$C$56,(($E74+365-$C$56)/365)*(($C74/$BN$157)+($D74/$BN$158)),IF($E74&gt;AK$166,0,IF($E74+365&lt;AK$166,($C74/$BN$157)+($D74/$BN$158),((AK$166-$E74)/365)*(($C74/$BN$157)+($D74/$BN$158))))))</f>
        <v>0</v>
      </c>
      <c r="AL173" s="24">
        <f t="shared" si="52"/>
        <v>0</v>
      </c>
      <c r="AM173" s="24">
        <f t="shared" si="53"/>
        <v>0</v>
      </c>
      <c r="AN173" s="55">
        <f t="shared" si="54"/>
        <v>0</v>
      </c>
      <c r="AO173" s="55">
        <f t="shared" si="55"/>
        <v>0</v>
      </c>
      <c r="AP173" s="24"/>
      <c r="AQ173" s="24"/>
      <c r="AR173" s="24"/>
      <c r="AS173" s="24"/>
      <c r="AT173" s="24"/>
      <c r="AU173" s="24"/>
      <c r="AV173" s="24"/>
      <c r="AW173" s="24"/>
      <c r="AX173" s="24"/>
      <c r="AY173" s="24"/>
      <c r="AZ173" s="24"/>
      <c r="BA173" s="24"/>
      <c r="BB173" s="24"/>
      <c r="BC173" s="24"/>
      <c r="BD173" s="24"/>
      <c r="BE173" s="24">
        <f t="shared" si="41"/>
        <v>84.92</v>
      </c>
      <c r="BF173" s="59">
        <f t="shared" si="64"/>
        <v>47572</v>
      </c>
      <c r="BG173" s="36">
        <f>$BV$158+AG214+($C$64-$BV$158)</f>
        <v>60.3</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9"/>
        <v>130.9</v>
      </c>
      <c r="CJ173" s="14">
        <f t="shared" si="60"/>
        <v>246.21</v>
      </c>
    </row>
    <row r="174" spans="7:88">
      <c r="G174" s="12">
        <f t="shared" si="42"/>
        <v>0</v>
      </c>
      <c r="H174" s="12">
        <f t="shared" si="43"/>
        <v>0</v>
      </c>
      <c r="I174" s="12">
        <f t="shared" si="43"/>
        <v>0</v>
      </c>
      <c r="J174" s="12">
        <f t="shared" si="43"/>
        <v>0</v>
      </c>
      <c r="K174" s="12">
        <f t="shared" si="44"/>
        <v>0</v>
      </c>
      <c r="L174" s="12">
        <f t="shared" si="45"/>
        <v>0</v>
      </c>
      <c r="M174" s="12">
        <f t="shared" si="45"/>
        <v>0</v>
      </c>
      <c r="N174" s="12">
        <f t="shared" si="45"/>
        <v>0</v>
      </c>
      <c r="O174" s="12">
        <f t="shared" si="46"/>
        <v>0</v>
      </c>
      <c r="P174" s="12">
        <f t="shared" si="47"/>
        <v>0</v>
      </c>
      <c r="Q174" s="12">
        <f t="shared" si="47"/>
        <v>0</v>
      </c>
      <c r="T174" s="61"/>
      <c r="U174" s="61"/>
      <c r="V174" s="61"/>
      <c r="W174" s="53">
        <f t="shared" si="48"/>
        <v>0</v>
      </c>
      <c r="X174" s="54" t="e">
        <f t="shared" si="49"/>
        <v>#DIV/0!</v>
      </c>
      <c r="Y174" s="25">
        <f t="shared" si="56"/>
        <v>0</v>
      </c>
      <c r="Z174" s="54">
        <f t="shared" si="61"/>
        <v>0</v>
      </c>
      <c r="AA174" s="54">
        <f t="shared" si="50"/>
        <v>0</v>
      </c>
      <c r="AB174" s="54">
        <f t="shared" si="50"/>
        <v>0</v>
      </c>
      <c r="AC174" s="54">
        <f t="shared" si="50"/>
        <v>0</v>
      </c>
      <c r="AD174" s="54">
        <f t="shared" si="50"/>
        <v>0</v>
      </c>
      <c r="AE174" s="54">
        <f t="shared" si="50"/>
        <v>0</v>
      </c>
      <c r="AF174" s="54">
        <f t="shared" si="50"/>
        <v>0</v>
      </c>
      <c r="AG174" s="54">
        <f t="shared" si="50"/>
        <v>0</v>
      </c>
      <c r="AH174" s="54">
        <f t="shared" si="50"/>
        <v>0</v>
      </c>
      <c r="AI174" s="54">
        <f t="shared" si="50"/>
        <v>0</v>
      </c>
      <c r="AJ174" s="54">
        <f t="shared" si="50"/>
        <v>0</v>
      </c>
      <c r="AK174" s="54">
        <f t="shared" ref="AK174" si="67">IF($E75+365&lt;$C$56,0,IF($E75&lt;$C$56,(($E75+365-$C$56)/365)*(($C75/$BN$157)+($D75/$BN$158)),IF($E75&gt;AK$166,0,IF($E75+365&lt;AK$166,($C75/$BN$157)+($D75/$BN$158),((AK$166-$E75)/365)*(($C75/$BN$157)+($D75/$BN$158))))))</f>
        <v>0</v>
      </c>
      <c r="AL174" s="24">
        <f t="shared" si="52"/>
        <v>0</v>
      </c>
      <c r="AM174" s="24">
        <f t="shared" si="53"/>
        <v>0</v>
      </c>
      <c r="AN174" s="55">
        <f t="shared" si="54"/>
        <v>0</v>
      </c>
      <c r="AO174" s="55">
        <f t="shared" si="55"/>
        <v>0</v>
      </c>
      <c r="AP174" s="24"/>
      <c r="AQ174" s="24"/>
      <c r="AR174" s="24"/>
      <c r="AS174" s="24"/>
      <c r="AT174" s="24"/>
      <c r="AU174" s="24"/>
      <c r="AV174" s="24"/>
      <c r="AW174" s="24"/>
      <c r="AX174" s="24"/>
      <c r="AY174" s="24"/>
      <c r="AZ174" s="24"/>
      <c r="BA174" s="24"/>
      <c r="BB174" s="24"/>
      <c r="BC174" s="24"/>
      <c r="BD174" s="24"/>
      <c r="BE174" s="24">
        <f t="shared" si="41"/>
        <v>84.92</v>
      </c>
      <c r="BF174" s="59">
        <f t="shared" si="64"/>
        <v>47937</v>
      </c>
      <c r="BG174" s="36">
        <f>$BV$158+AH214+($C$64-$BV$158)</f>
        <v>60.3</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9"/>
        <v>146.22999999999999</v>
      </c>
      <c r="CJ174" s="14">
        <f t="shared" si="60"/>
        <v>275.38</v>
      </c>
    </row>
    <row r="175" spans="7:88">
      <c r="G175" s="12">
        <f t="shared" si="42"/>
        <v>0</v>
      </c>
      <c r="H175" s="12">
        <f t="shared" si="43"/>
        <v>0</v>
      </c>
      <c r="I175" s="12">
        <f t="shared" si="43"/>
        <v>0</v>
      </c>
      <c r="J175" s="12">
        <f t="shared" si="43"/>
        <v>0</v>
      </c>
      <c r="K175" s="12">
        <f t="shared" si="44"/>
        <v>0</v>
      </c>
      <c r="L175" s="12">
        <f t="shared" si="45"/>
        <v>0</v>
      </c>
      <c r="M175" s="12">
        <f t="shared" si="45"/>
        <v>0</v>
      </c>
      <c r="N175" s="12">
        <f t="shared" si="45"/>
        <v>0</v>
      </c>
      <c r="O175" s="12">
        <f t="shared" si="46"/>
        <v>0</v>
      </c>
      <c r="P175" s="12">
        <f t="shared" si="47"/>
        <v>0</v>
      </c>
      <c r="Q175" s="12">
        <f t="shared" si="47"/>
        <v>0</v>
      </c>
      <c r="T175" s="61"/>
      <c r="U175" s="61"/>
      <c r="V175" s="61"/>
      <c r="W175" s="53">
        <f t="shared" si="48"/>
        <v>0</v>
      </c>
      <c r="X175" s="54" t="e">
        <f t="shared" si="49"/>
        <v>#DIV/0!</v>
      </c>
      <c r="Y175" s="25">
        <f t="shared" si="56"/>
        <v>0</v>
      </c>
      <c r="Z175" s="54">
        <f t="shared" si="61"/>
        <v>0</v>
      </c>
      <c r="AA175" s="54">
        <f t="shared" si="50"/>
        <v>0</v>
      </c>
      <c r="AB175" s="54">
        <f t="shared" si="50"/>
        <v>0</v>
      </c>
      <c r="AC175" s="54">
        <f t="shared" si="50"/>
        <v>0</v>
      </c>
      <c r="AD175" s="54">
        <f t="shared" si="50"/>
        <v>0</v>
      </c>
      <c r="AE175" s="54">
        <f t="shared" si="50"/>
        <v>0</v>
      </c>
      <c r="AF175" s="54">
        <f t="shared" si="50"/>
        <v>0</v>
      </c>
      <c r="AG175" s="54">
        <f t="shared" si="50"/>
        <v>0</v>
      </c>
      <c r="AH175" s="54">
        <f t="shared" si="50"/>
        <v>0</v>
      </c>
      <c r="AI175" s="54">
        <f t="shared" si="50"/>
        <v>0</v>
      </c>
      <c r="AJ175" s="54">
        <f t="shared" si="50"/>
        <v>0</v>
      </c>
      <c r="AK175" s="54">
        <f t="shared" ref="AK175" si="68">IF($E76+365&lt;$C$56,0,IF($E76&lt;$C$56,(($E76+365-$C$56)/365)*(($C76/$BN$157)+($D76/$BN$158)),IF($E76&gt;AK$166,0,IF($E76+365&lt;AK$166,($C76/$BN$157)+($D76/$BN$158),((AK$166-$E76)/365)*(($C76/$BN$157)+($D76/$BN$158))))))</f>
        <v>0</v>
      </c>
      <c r="AL175" s="24">
        <f t="shared" si="52"/>
        <v>0</v>
      </c>
      <c r="AM175" s="24">
        <f t="shared" si="53"/>
        <v>0</v>
      </c>
      <c r="AN175" s="55">
        <f t="shared" si="54"/>
        <v>0</v>
      </c>
      <c r="AO175" s="55">
        <f t="shared" si="55"/>
        <v>0</v>
      </c>
      <c r="AP175" s="24"/>
      <c r="AQ175" s="24"/>
      <c r="AR175" s="24"/>
      <c r="AS175" s="24"/>
      <c r="AT175" s="24"/>
      <c r="AU175" s="24"/>
      <c r="AV175" s="24"/>
      <c r="AW175" s="24"/>
      <c r="AX175" s="24"/>
      <c r="AY175" s="24"/>
      <c r="AZ175" s="24"/>
      <c r="BA175" s="24"/>
      <c r="BB175" s="24"/>
      <c r="BC175" s="24"/>
      <c r="BD175" s="24"/>
      <c r="BE175" s="24">
        <f t="shared" si="41"/>
        <v>84.92</v>
      </c>
      <c r="BF175" s="59">
        <f t="shared" si="64"/>
        <v>48302</v>
      </c>
      <c r="BG175" s="36">
        <f>$BV$158+AI214+($C$64-$BV$158)</f>
        <v>60.3</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9"/>
        <v>161.56</v>
      </c>
      <c r="CJ175" s="14">
        <f t="shared" si="60"/>
        <v>304.55</v>
      </c>
    </row>
    <row r="176" spans="7:88">
      <c r="G176" s="12">
        <f t="shared" si="42"/>
        <v>0</v>
      </c>
      <c r="H176" s="12">
        <f t="shared" si="43"/>
        <v>0</v>
      </c>
      <c r="I176" s="12">
        <f t="shared" si="43"/>
        <v>0</v>
      </c>
      <c r="J176" s="12">
        <f t="shared" si="43"/>
        <v>0</v>
      </c>
      <c r="K176" s="12">
        <f t="shared" si="44"/>
        <v>0</v>
      </c>
      <c r="L176" s="12">
        <f t="shared" si="45"/>
        <v>0</v>
      </c>
      <c r="M176" s="12">
        <f t="shared" si="45"/>
        <v>0</v>
      </c>
      <c r="N176" s="12">
        <f t="shared" si="45"/>
        <v>0</v>
      </c>
      <c r="O176" s="12">
        <f t="shared" si="46"/>
        <v>0</v>
      </c>
      <c r="P176" s="12">
        <f t="shared" si="47"/>
        <v>0</v>
      </c>
      <c r="Q176" s="12">
        <f t="shared" si="47"/>
        <v>0</v>
      </c>
      <c r="T176" s="61"/>
      <c r="U176" s="61"/>
      <c r="V176" s="61"/>
      <c r="W176" s="53">
        <f t="shared" si="48"/>
        <v>0</v>
      </c>
      <c r="X176" s="54" t="e">
        <f t="shared" si="49"/>
        <v>#DIV/0!</v>
      </c>
      <c r="Y176" s="25">
        <f t="shared" si="56"/>
        <v>0</v>
      </c>
      <c r="Z176" s="54">
        <f t="shared" si="61"/>
        <v>0</v>
      </c>
      <c r="AA176" s="54">
        <f t="shared" si="50"/>
        <v>0</v>
      </c>
      <c r="AB176" s="54">
        <f t="shared" si="50"/>
        <v>0</v>
      </c>
      <c r="AC176" s="54">
        <f t="shared" si="50"/>
        <v>0</v>
      </c>
      <c r="AD176" s="54">
        <f t="shared" si="50"/>
        <v>0</v>
      </c>
      <c r="AE176" s="54">
        <f t="shared" si="50"/>
        <v>0</v>
      </c>
      <c r="AF176" s="54">
        <f t="shared" si="50"/>
        <v>0</v>
      </c>
      <c r="AG176" s="54">
        <f t="shared" si="50"/>
        <v>0</v>
      </c>
      <c r="AH176" s="54">
        <f t="shared" si="50"/>
        <v>0</v>
      </c>
      <c r="AI176" s="54">
        <f t="shared" si="50"/>
        <v>0</v>
      </c>
      <c r="AJ176" s="54">
        <f t="shared" si="50"/>
        <v>0</v>
      </c>
      <c r="AK176" s="54">
        <f t="shared" ref="AK176" si="69">IF($E77+365&lt;$C$56,0,IF($E77&lt;$C$56,(($E77+365-$C$56)/365)*(($C77/$BN$157)+($D77/$BN$158)),IF($E77&gt;AK$166,0,IF($E77+365&lt;AK$166,($C77/$BN$157)+($D77/$BN$158),((AK$166-$E77)/365)*(($C77/$BN$157)+($D77/$BN$158))))))</f>
        <v>0</v>
      </c>
      <c r="AL176" s="24">
        <f t="shared" si="52"/>
        <v>0</v>
      </c>
      <c r="AM176" s="24">
        <f t="shared" si="53"/>
        <v>0</v>
      </c>
      <c r="AN176" s="55">
        <f t="shared" si="54"/>
        <v>0</v>
      </c>
      <c r="AO176" s="55">
        <f t="shared" si="55"/>
        <v>0</v>
      </c>
      <c r="AP176" s="24"/>
      <c r="AQ176" s="24"/>
      <c r="AR176" s="24"/>
      <c r="AS176" s="24"/>
      <c r="AT176" s="24"/>
      <c r="AU176" s="24"/>
      <c r="AV176" s="24"/>
      <c r="AW176" s="24"/>
      <c r="AX176" s="24"/>
      <c r="AY176" s="24"/>
      <c r="AZ176" s="24"/>
      <c r="BA176" s="24"/>
      <c r="BB176" s="24"/>
      <c r="BC176" s="24"/>
      <c r="BD176" s="24"/>
      <c r="BE176" s="24">
        <f t="shared" si="41"/>
        <v>84.92</v>
      </c>
      <c r="BF176" s="59">
        <f t="shared" si="64"/>
        <v>48667</v>
      </c>
      <c r="BG176" s="36">
        <f>$BV$158+AJ214+($C$64-$BV$158)</f>
        <v>60.3</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9"/>
        <v>176.89</v>
      </c>
      <c r="CJ176" s="14">
        <f t="shared" si="60"/>
        <v>333.72</v>
      </c>
    </row>
    <row r="177" spans="7:88">
      <c r="G177" s="12">
        <f t="shared" si="42"/>
        <v>0</v>
      </c>
      <c r="H177" s="12">
        <f t="shared" si="43"/>
        <v>0</v>
      </c>
      <c r="I177" s="12">
        <f t="shared" si="43"/>
        <v>0</v>
      </c>
      <c r="J177" s="12">
        <f t="shared" si="43"/>
        <v>0</v>
      </c>
      <c r="K177" s="12">
        <f t="shared" si="44"/>
        <v>0</v>
      </c>
      <c r="L177" s="12">
        <f t="shared" si="45"/>
        <v>0</v>
      </c>
      <c r="M177" s="12">
        <f t="shared" si="45"/>
        <v>0</v>
      </c>
      <c r="N177" s="12">
        <f t="shared" si="45"/>
        <v>0</v>
      </c>
      <c r="O177" s="12">
        <f t="shared" si="46"/>
        <v>0</v>
      </c>
      <c r="P177" s="12">
        <f t="shared" si="47"/>
        <v>0</v>
      </c>
      <c r="Q177" s="12">
        <f t="shared" si="47"/>
        <v>0</v>
      </c>
      <c r="T177" s="61"/>
      <c r="U177" s="61"/>
      <c r="V177" s="61"/>
      <c r="W177" s="53">
        <f t="shared" si="48"/>
        <v>0</v>
      </c>
      <c r="X177" s="54" t="e">
        <f t="shared" si="49"/>
        <v>#DIV/0!</v>
      </c>
      <c r="Y177" s="25">
        <f t="shared" si="56"/>
        <v>0</v>
      </c>
      <c r="Z177" s="54">
        <f t="shared" si="61"/>
        <v>0</v>
      </c>
      <c r="AA177" s="54">
        <f t="shared" si="50"/>
        <v>0</v>
      </c>
      <c r="AB177" s="54">
        <f t="shared" si="50"/>
        <v>0</v>
      </c>
      <c r="AC177" s="54">
        <f t="shared" si="50"/>
        <v>0</v>
      </c>
      <c r="AD177" s="54">
        <f t="shared" si="50"/>
        <v>0</v>
      </c>
      <c r="AE177" s="54">
        <f t="shared" si="50"/>
        <v>0</v>
      </c>
      <c r="AF177" s="54">
        <f t="shared" si="50"/>
        <v>0</v>
      </c>
      <c r="AG177" s="54">
        <f t="shared" si="50"/>
        <v>0</v>
      </c>
      <c r="AH177" s="54">
        <f t="shared" si="50"/>
        <v>0</v>
      </c>
      <c r="AI177" s="54">
        <f t="shared" si="50"/>
        <v>0</v>
      </c>
      <c r="AJ177" s="54">
        <f t="shared" si="50"/>
        <v>0</v>
      </c>
      <c r="AK177" s="54">
        <f t="shared" ref="AK177" si="70">IF($E78+365&lt;$C$56,0,IF($E78&lt;$C$56,(($E78+365-$C$56)/365)*(($C78/$BN$157)+($D78/$BN$158)),IF($E78&gt;AK$166,0,IF($E78+365&lt;AK$166,($C78/$BN$157)+($D78/$BN$158),((AK$166-$E78)/365)*(($C78/$BN$157)+($D78/$BN$158))))))</f>
        <v>0</v>
      </c>
      <c r="AL177" s="24">
        <f t="shared" si="52"/>
        <v>0</v>
      </c>
      <c r="AM177" s="24">
        <f t="shared" si="53"/>
        <v>0</v>
      </c>
      <c r="AN177" s="55">
        <f t="shared" si="54"/>
        <v>0</v>
      </c>
      <c r="AO177" s="55">
        <f t="shared" si="55"/>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9"/>
        <v>192.21</v>
      </c>
      <c r="CJ177" s="14">
        <f t="shared" si="60"/>
        <v>362.89</v>
      </c>
    </row>
    <row r="178" spans="7:88">
      <c r="G178" s="12">
        <f t="shared" si="42"/>
        <v>0</v>
      </c>
      <c r="H178" s="12">
        <f t="shared" si="43"/>
        <v>0</v>
      </c>
      <c r="I178" s="12">
        <f t="shared" si="43"/>
        <v>0</v>
      </c>
      <c r="J178" s="12">
        <f t="shared" si="43"/>
        <v>0</v>
      </c>
      <c r="K178" s="12">
        <f t="shared" si="44"/>
        <v>0</v>
      </c>
      <c r="L178" s="12">
        <f t="shared" si="45"/>
        <v>0</v>
      </c>
      <c r="M178" s="12">
        <f t="shared" si="45"/>
        <v>0</v>
      </c>
      <c r="N178" s="12">
        <f t="shared" si="45"/>
        <v>0</v>
      </c>
      <c r="O178" s="12">
        <f t="shared" si="46"/>
        <v>0</v>
      </c>
      <c r="P178" s="12">
        <f t="shared" si="47"/>
        <v>0</v>
      </c>
      <c r="Q178" s="12">
        <f t="shared" si="47"/>
        <v>0</v>
      </c>
      <c r="T178" s="61"/>
      <c r="U178" s="61"/>
      <c r="V178" s="61"/>
      <c r="W178" s="53">
        <f t="shared" si="48"/>
        <v>0</v>
      </c>
      <c r="X178" s="54" t="e">
        <f t="shared" si="49"/>
        <v>#DIV/0!</v>
      </c>
      <c r="Y178" s="25">
        <f t="shared" si="56"/>
        <v>0</v>
      </c>
      <c r="Z178" s="54">
        <f t="shared" si="61"/>
        <v>0</v>
      </c>
      <c r="AA178" s="54">
        <f t="shared" si="50"/>
        <v>0</v>
      </c>
      <c r="AB178" s="54">
        <f t="shared" si="50"/>
        <v>0</v>
      </c>
      <c r="AC178" s="54">
        <f>IF($E79+365&lt;$C$56,0,IF($E79&lt;$C$56,(($E79+365-$C$56)/365)*(($C79/$BN$157)+($D79/$BN$158)),IF($E79&gt;AC$166,0,IF($E79+365&lt;AC$166,($C79/$BN$157)+($D79/$BN$158),((AC$166-$E79)/365)*(($C79/$BN$157)+($D79/$BN$158))))))</f>
        <v>0</v>
      </c>
      <c r="AD178" s="54">
        <f t="shared" si="50"/>
        <v>0</v>
      </c>
      <c r="AE178" s="54">
        <f t="shared" si="50"/>
        <v>0</v>
      </c>
      <c r="AF178" s="54">
        <f t="shared" si="50"/>
        <v>0</v>
      </c>
      <c r="AG178" s="54">
        <f t="shared" si="50"/>
        <v>0</v>
      </c>
      <c r="AH178" s="54">
        <f t="shared" si="50"/>
        <v>0</v>
      </c>
      <c r="AI178" s="54">
        <f t="shared" si="50"/>
        <v>0</v>
      </c>
      <c r="AJ178" s="54">
        <f t="shared" si="50"/>
        <v>0</v>
      </c>
      <c r="AK178" s="54">
        <f t="shared" ref="AK178" si="71">IF($E79+365&lt;$C$56,0,IF($E79&lt;$C$56,(($E79+365-$C$56)/365)*(($C79/$BN$157)+($D79/$BN$158)),IF($E79&gt;AK$166,0,IF($E79+365&lt;AK$166,($C79/$BN$157)+($D79/$BN$158),((AK$166-$E79)/365)*(($C79/$BN$157)+($D79/$BN$158))))))</f>
        <v>0</v>
      </c>
      <c r="AL178" s="24">
        <f t="shared" si="52"/>
        <v>0</v>
      </c>
      <c r="AM178" s="24">
        <f t="shared" si="53"/>
        <v>0</v>
      </c>
      <c r="AN178" s="55">
        <f t="shared" si="54"/>
        <v>0</v>
      </c>
      <c r="AO178" s="55">
        <f t="shared" si="55"/>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2"/>
        <v>0</v>
      </c>
      <c r="H179" s="12">
        <f t="shared" si="43"/>
        <v>0</v>
      </c>
      <c r="I179" s="12">
        <f t="shared" si="43"/>
        <v>0</v>
      </c>
      <c r="J179" s="12">
        <f t="shared" si="43"/>
        <v>0</v>
      </c>
      <c r="K179" s="12">
        <f t="shared" si="44"/>
        <v>0</v>
      </c>
      <c r="L179" s="12">
        <f t="shared" si="45"/>
        <v>0</v>
      </c>
      <c r="M179" s="12">
        <f t="shared" si="45"/>
        <v>0</v>
      </c>
      <c r="N179" s="12">
        <f t="shared" si="45"/>
        <v>0</v>
      </c>
      <c r="O179" s="12">
        <f t="shared" si="46"/>
        <v>0</v>
      </c>
      <c r="P179" s="12">
        <f t="shared" si="47"/>
        <v>0</v>
      </c>
      <c r="Q179" s="12">
        <f t="shared" si="47"/>
        <v>0</v>
      </c>
      <c r="T179" s="61"/>
      <c r="U179" s="61"/>
      <c r="V179" s="61"/>
      <c r="W179" s="53">
        <f t="shared" si="48"/>
        <v>0</v>
      </c>
      <c r="X179" s="54" t="e">
        <f t="shared" si="49"/>
        <v>#DIV/0!</v>
      </c>
      <c r="Y179" s="25">
        <f t="shared" si="56"/>
        <v>0</v>
      </c>
      <c r="Z179" s="54">
        <f t="shared" si="61"/>
        <v>0</v>
      </c>
      <c r="AA179" s="54">
        <f t="shared" si="50"/>
        <v>0</v>
      </c>
      <c r="AB179" s="54">
        <f t="shared" si="50"/>
        <v>0</v>
      </c>
      <c r="AC179" s="54">
        <f t="shared" si="50"/>
        <v>0</v>
      </c>
      <c r="AD179" s="54">
        <f t="shared" si="50"/>
        <v>0</v>
      </c>
      <c r="AE179" s="54">
        <f t="shared" si="50"/>
        <v>0</v>
      </c>
      <c r="AF179" s="54">
        <f t="shared" si="50"/>
        <v>0</v>
      </c>
      <c r="AG179" s="54">
        <f t="shared" si="50"/>
        <v>0</v>
      </c>
      <c r="AH179" s="54">
        <f t="shared" si="50"/>
        <v>0</v>
      </c>
      <c r="AI179" s="54">
        <f t="shared" si="50"/>
        <v>0</v>
      </c>
      <c r="AJ179" s="54">
        <f t="shared" si="50"/>
        <v>0</v>
      </c>
      <c r="AK179" s="54">
        <f t="shared" ref="AK179" si="72">IF($E80+365&lt;$C$56,0,IF($E80&lt;$C$56,(($E80+365-$C$56)/365)*(($C80/$BN$157)+($D80/$BN$158)),IF($E80&gt;AK$166,0,IF($E80+365&lt;AK$166,($C80/$BN$157)+($D80/$BN$158),((AK$166-$E80)/365)*(($C80/$BN$157)+($D80/$BN$158))))))</f>
        <v>0</v>
      </c>
      <c r="AL179" s="24">
        <f t="shared" si="52"/>
        <v>0</v>
      </c>
      <c r="AM179" s="24">
        <f t="shared" si="53"/>
        <v>0</v>
      </c>
      <c r="AN179" s="55">
        <f t="shared" si="54"/>
        <v>0</v>
      </c>
      <c r="AO179" s="55">
        <f t="shared" si="55"/>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2"/>
        <v>0</v>
      </c>
      <c r="H180" s="12">
        <f t="shared" si="43"/>
        <v>0</v>
      </c>
      <c r="I180" s="12">
        <f t="shared" si="43"/>
        <v>0</v>
      </c>
      <c r="J180" s="12">
        <f t="shared" si="43"/>
        <v>0</v>
      </c>
      <c r="K180" s="12">
        <f t="shared" si="44"/>
        <v>0</v>
      </c>
      <c r="L180" s="12">
        <f t="shared" si="45"/>
        <v>0</v>
      </c>
      <c r="M180" s="12">
        <f t="shared" si="45"/>
        <v>0</v>
      </c>
      <c r="N180" s="12">
        <f t="shared" si="45"/>
        <v>0</v>
      </c>
      <c r="O180" s="12">
        <f t="shared" si="46"/>
        <v>0</v>
      </c>
      <c r="P180" s="12">
        <f t="shared" si="47"/>
        <v>0</v>
      </c>
      <c r="Q180" s="12">
        <f t="shared" si="47"/>
        <v>0</v>
      </c>
      <c r="T180" s="61"/>
      <c r="U180" s="61"/>
      <c r="V180" s="61"/>
      <c r="W180" s="53">
        <f t="shared" si="48"/>
        <v>0</v>
      </c>
      <c r="X180" s="54" t="e">
        <f t="shared" si="49"/>
        <v>#DIV/0!</v>
      </c>
      <c r="Y180" s="25">
        <f t="shared" si="56"/>
        <v>0</v>
      </c>
      <c r="Z180" s="54">
        <f t="shared" si="61"/>
        <v>0</v>
      </c>
      <c r="AA180" s="54">
        <f t="shared" si="50"/>
        <v>0</v>
      </c>
      <c r="AB180" s="54">
        <f t="shared" si="50"/>
        <v>0</v>
      </c>
      <c r="AC180" s="54">
        <f t="shared" si="50"/>
        <v>0</v>
      </c>
      <c r="AD180" s="54">
        <f t="shared" si="50"/>
        <v>0</v>
      </c>
      <c r="AE180" s="54">
        <f t="shared" si="50"/>
        <v>0</v>
      </c>
      <c r="AF180" s="54">
        <f t="shared" si="50"/>
        <v>0</v>
      </c>
      <c r="AG180" s="54">
        <f t="shared" si="50"/>
        <v>0</v>
      </c>
      <c r="AH180" s="54">
        <f t="shared" si="50"/>
        <v>0</v>
      </c>
      <c r="AI180" s="54">
        <f t="shared" si="50"/>
        <v>0</v>
      </c>
      <c r="AJ180" s="54">
        <f t="shared" si="50"/>
        <v>0</v>
      </c>
      <c r="AK180" s="54">
        <f t="shared" ref="AK180" si="73">IF($E81+365&lt;$C$56,0,IF($E81&lt;$C$56,(($E81+365-$C$56)/365)*(($C81/$BN$157)+($D81/$BN$158)),IF($E81&gt;AK$166,0,IF($E81+365&lt;AK$166,($C81/$BN$157)+($D81/$BN$158),((AK$166-$E81)/365)*(($C81/$BN$157)+($D81/$BN$158))))))</f>
        <v>0</v>
      </c>
      <c r="AL180" s="24">
        <f t="shared" si="52"/>
        <v>0</v>
      </c>
      <c r="AM180" s="24">
        <f t="shared" si="53"/>
        <v>0</v>
      </c>
      <c r="AN180" s="55">
        <f t="shared" si="54"/>
        <v>0</v>
      </c>
      <c r="AO180" s="55">
        <f t="shared" si="55"/>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2"/>
        <v>0</v>
      </c>
      <c r="H181" s="12">
        <f t="shared" si="43"/>
        <v>0</v>
      </c>
      <c r="I181" s="12">
        <f t="shared" si="43"/>
        <v>0</v>
      </c>
      <c r="J181" s="12">
        <f t="shared" si="43"/>
        <v>0</v>
      </c>
      <c r="K181" s="12">
        <f t="shared" si="44"/>
        <v>0</v>
      </c>
      <c r="L181" s="12">
        <f t="shared" si="45"/>
        <v>0</v>
      </c>
      <c r="M181" s="12">
        <f t="shared" si="45"/>
        <v>0</v>
      </c>
      <c r="N181" s="12">
        <f t="shared" si="45"/>
        <v>0</v>
      </c>
      <c r="O181" s="12">
        <f t="shared" si="46"/>
        <v>0</v>
      </c>
      <c r="P181" s="12">
        <f t="shared" si="47"/>
        <v>0</v>
      </c>
      <c r="Q181" s="12">
        <f t="shared" si="47"/>
        <v>0</v>
      </c>
      <c r="T181" s="61"/>
      <c r="U181" s="61"/>
      <c r="V181" s="61"/>
      <c r="W181" s="53">
        <f t="shared" si="48"/>
        <v>0</v>
      </c>
      <c r="X181" s="54" t="e">
        <f t="shared" si="49"/>
        <v>#DIV/0!</v>
      </c>
      <c r="Y181" s="25">
        <f t="shared" si="56"/>
        <v>0</v>
      </c>
      <c r="Z181" s="54">
        <f t="shared" si="61"/>
        <v>0</v>
      </c>
      <c r="AA181" s="54">
        <f t="shared" si="50"/>
        <v>0</v>
      </c>
      <c r="AB181" s="54">
        <f t="shared" si="50"/>
        <v>0</v>
      </c>
      <c r="AC181" s="54">
        <f t="shared" si="50"/>
        <v>0</v>
      </c>
      <c r="AD181" s="54">
        <f t="shared" si="50"/>
        <v>0</v>
      </c>
      <c r="AE181" s="54">
        <f t="shared" si="50"/>
        <v>0</v>
      </c>
      <c r="AF181" s="54">
        <f t="shared" si="50"/>
        <v>0</v>
      </c>
      <c r="AG181" s="54">
        <f t="shared" si="50"/>
        <v>0</v>
      </c>
      <c r="AH181" s="54">
        <f t="shared" si="50"/>
        <v>0</v>
      </c>
      <c r="AI181" s="54">
        <f t="shared" si="50"/>
        <v>0</v>
      </c>
      <c r="AJ181" s="54">
        <f t="shared" si="50"/>
        <v>0</v>
      </c>
      <c r="AK181" s="54">
        <f t="shared" ref="AK181" si="74">IF($E82+365&lt;$C$56,0,IF($E82&lt;$C$56,(($E82+365-$C$56)/365)*(($C82/$BN$157)+($D82/$BN$158)),IF($E82&gt;AK$166,0,IF($E82+365&lt;AK$166,($C82/$BN$157)+($D82/$BN$158),((AK$166-$E82)/365)*(($C82/$BN$157)+($D82/$BN$158))))))</f>
        <v>0</v>
      </c>
      <c r="AL181" s="24">
        <f t="shared" si="52"/>
        <v>0</v>
      </c>
      <c r="AM181" s="24">
        <f t="shared" si="53"/>
        <v>0</v>
      </c>
      <c r="AN181" s="55">
        <f t="shared" si="54"/>
        <v>0</v>
      </c>
      <c r="AO181" s="55">
        <f t="shared" si="55"/>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2"/>
        <v>0</v>
      </c>
      <c r="H182" s="12">
        <f t="shared" si="43"/>
        <v>0</v>
      </c>
      <c r="I182" s="12">
        <f t="shared" si="43"/>
        <v>0</v>
      </c>
      <c r="J182" s="12">
        <f t="shared" si="43"/>
        <v>0</v>
      </c>
      <c r="K182" s="12">
        <f t="shared" si="44"/>
        <v>0</v>
      </c>
      <c r="L182" s="12">
        <f t="shared" si="45"/>
        <v>0</v>
      </c>
      <c r="M182" s="12">
        <f t="shared" si="45"/>
        <v>0</v>
      </c>
      <c r="N182" s="12">
        <f t="shared" si="45"/>
        <v>0</v>
      </c>
      <c r="O182" s="12">
        <f t="shared" si="46"/>
        <v>0</v>
      </c>
      <c r="P182" s="12">
        <f t="shared" si="47"/>
        <v>0</v>
      </c>
      <c r="Q182" s="12">
        <f t="shared" si="47"/>
        <v>0</v>
      </c>
      <c r="T182" s="61"/>
      <c r="U182" s="61"/>
      <c r="V182" s="61"/>
      <c r="W182" s="53">
        <f t="shared" si="48"/>
        <v>0</v>
      </c>
      <c r="X182" s="54" t="e">
        <f t="shared" si="49"/>
        <v>#DIV/0!</v>
      </c>
      <c r="Y182" s="25">
        <f t="shared" si="56"/>
        <v>0</v>
      </c>
      <c r="Z182" s="54">
        <f t="shared" si="61"/>
        <v>0</v>
      </c>
      <c r="AA182" s="54">
        <f t="shared" si="50"/>
        <v>0</v>
      </c>
      <c r="AB182" s="54">
        <f t="shared" si="50"/>
        <v>0</v>
      </c>
      <c r="AC182" s="54">
        <f t="shared" si="50"/>
        <v>0</v>
      </c>
      <c r="AD182" s="54">
        <f t="shared" si="50"/>
        <v>0</v>
      </c>
      <c r="AE182" s="54">
        <f t="shared" si="50"/>
        <v>0</v>
      </c>
      <c r="AF182" s="54">
        <f t="shared" si="50"/>
        <v>0</v>
      </c>
      <c r="AG182" s="54">
        <f t="shared" si="50"/>
        <v>0</v>
      </c>
      <c r="AH182" s="54">
        <f t="shared" si="50"/>
        <v>0</v>
      </c>
      <c r="AI182" s="54">
        <f t="shared" si="50"/>
        <v>0</v>
      </c>
      <c r="AJ182" s="54">
        <f t="shared" si="50"/>
        <v>0</v>
      </c>
      <c r="AK182" s="54">
        <f t="shared" ref="AK182" si="75">IF($E83+365&lt;$C$56,0,IF($E83&lt;$C$56,(($E83+365-$C$56)/365)*(($C83/$BN$157)+($D83/$BN$158)),IF($E83&gt;AK$166,0,IF($E83+365&lt;AK$166,($C83/$BN$157)+($D83/$BN$158),((AK$166-$E83)/365)*(($C83/$BN$157)+($D83/$BN$158))))))</f>
        <v>0</v>
      </c>
      <c r="AL182" s="24">
        <f t="shared" si="52"/>
        <v>0</v>
      </c>
      <c r="AM182" s="24">
        <f t="shared" si="53"/>
        <v>0</v>
      </c>
      <c r="AN182" s="55">
        <f t="shared" si="54"/>
        <v>0</v>
      </c>
      <c r="AO182" s="55">
        <f t="shared" si="55"/>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2"/>
        <v>0</v>
      </c>
      <c r="H183" s="12">
        <f t="shared" si="43"/>
        <v>0</v>
      </c>
      <c r="I183" s="12">
        <f t="shared" si="43"/>
        <v>0</v>
      </c>
      <c r="J183" s="12">
        <f t="shared" si="43"/>
        <v>0</v>
      </c>
      <c r="K183" s="12">
        <f t="shared" si="44"/>
        <v>0</v>
      </c>
      <c r="L183" s="12">
        <f t="shared" si="45"/>
        <v>0</v>
      </c>
      <c r="M183" s="12">
        <f t="shared" si="45"/>
        <v>0</v>
      </c>
      <c r="N183" s="12">
        <f t="shared" si="45"/>
        <v>0</v>
      </c>
      <c r="O183" s="12">
        <f t="shared" si="46"/>
        <v>0</v>
      </c>
      <c r="P183" s="12">
        <f t="shared" si="47"/>
        <v>0</v>
      </c>
      <c r="Q183" s="12">
        <f t="shared" si="47"/>
        <v>0</v>
      </c>
      <c r="T183" s="61"/>
      <c r="U183" s="61"/>
      <c r="V183" s="61"/>
      <c r="W183" s="53">
        <f t="shared" si="48"/>
        <v>0</v>
      </c>
      <c r="X183" s="54" t="e">
        <f t="shared" si="49"/>
        <v>#DIV/0!</v>
      </c>
      <c r="Y183" s="25">
        <f t="shared" si="56"/>
        <v>0</v>
      </c>
      <c r="Z183" s="54">
        <f t="shared" si="61"/>
        <v>0</v>
      </c>
      <c r="AA183" s="54">
        <f t="shared" ref="AA183:AJ198" si="76">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ref="AK183" si="77">IF($E84+365&lt;$C$56,0,IF($E84&lt;$C$56,(($E84+365-$C$56)/365)*(($C84/$BN$157)+($D84/$BN$158)),IF($E84&gt;AK$166,0,IF($E84+365&lt;AK$166,($C84/$BN$157)+($D84/$BN$158),((AK$166-$E84)/365)*(($C84/$BN$157)+($D84/$BN$158))))))</f>
        <v>0</v>
      </c>
      <c r="AL183" s="24">
        <f t="shared" si="52"/>
        <v>0</v>
      </c>
      <c r="AM183" s="24">
        <f t="shared" si="53"/>
        <v>0</v>
      </c>
      <c r="AN183" s="55">
        <f t="shared" si="54"/>
        <v>0</v>
      </c>
      <c r="AO183" s="55">
        <f t="shared" si="55"/>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2"/>
        <v>0</v>
      </c>
      <c r="H184" s="12">
        <f t="shared" si="43"/>
        <v>0</v>
      </c>
      <c r="I184" s="12">
        <f t="shared" si="43"/>
        <v>0</v>
      </c>
      <c r="J184" s="12">
        <f t="shared" si="43"/>
        <v>0</v>
      </c>
      <c r="K184" s="12">
        <f t="shared" si="44"/>
        <v>0</v>
      </c>
      <c r="L184" s="12">
        <f t="shared" si="45"/>
        <v>0</v>
      </c>
      <c r="M184" s="12">
        <f t="shared" si="45"/>
        <v>0</v>
      </c>
      <c r="N184" s="12">
        <f t="shared" si="45"/>
        <v>0</v>
      </c>
      <c r="O184" s="12">
        <f t="shared" si="46"/>
        <v>0</v>
      </c>
      <c r="P184" s="12">
        <f t="shared" si="47"/>
        <v>0</v>
      </c>
      <c r="Q184" s="12">
        <f t="shared" si="47"/>
        <v>0</v>
      </c>
      <c r="T184" s="61"/>
      <c r="U184" s="61"/>
      <c r="V184" s="61"/>
      <c r="W184" s="53">
        <f t="shared" si="48"/>
        <v>0</v>
      </c>
      <c r="X184" s="54" t="e">
        <f t="shared" si="49"/>
        <v>#DIV/0!</v>
      </c>
      <c r="Y184" s="25">
        <f t="shared" si="56"/>
        <v>0</v>
      </c>
      <c r="Z184" s="54">
        <f t="shared" si="61"/>
        <v>0</v>
      </c>
      <c r="AA184" s="54">
        <f t="shared" si="76"/>
        <v>0</v>
      </c>
      <c r="AB184" s="54">
        <f t="shared" si="76"/>
        <v>0</v>
      </c>
      <c r="AC184" s="54">
        <f t="shared" si="76"/>
        <v>0</v>
      </c>
      <c r="AD184" s="54">
        <f t="shared" si="76"/>
        <v>0</v>
      </c>
      <c r="AE184" s="54">
        <f t="shared" si="76"/>
        <v>0</v>
      </c>
      <c r="AF184" s="54">
        <f t="shared" si="76"/>
        <v>0</v>
      </c>
      <c r="AG184" s="54">
        <f t="shared" si="76"/>
        <v>0</v>
      </c>
      <c r="AH184" s="54">
        <f t="shared" si="76"/>
        <v>0</v>
      </c>
      <c r="AI184" s="54">
        <f t="shared" si="76"/>
        <v>0</v>
      </c>
      <c r="AJ184" s="54">
        <f t="shared" si="76"/>
        <v>0</v>
      </c>
      <c r="AK184" s="54">
        <f t="shared" ref="AK184" si="78">IF($E85+365&lt;$C$56,0,IF($E85&lt;$C$56,(($E85+365-$C$56)/365)*(($C85/$BN$157)+($D85/$BN$158)),IF($E85&gt;AK$166,0,IF($E85+365&lt;AK$166,($C85/$BN$157)+($D85/$BN$158),((AK$166-$E85)/365)*(($C85/$BN$157)+($D85/$BN$158))))))</f>
        <v>0</v>
      </c>
      <c r="AL184" s="24">
        <f t="shared" si="52"/>
        <v>0</v>
      </c>
      <c r="AM184" s="24">
        <f t="shared" si="53"/>
        <v>0</v>
      </c>
      <c r="AN184" s="55">
        <f t="shared" si="54"/>
        <v>0</v>
      </c>
      <c r="AO184" s="55">
        <f t="shared" si="55"/>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2"/>
        <v>0</v>
      </c>
      <c r="H185" s="12">
        <f t="shared" si="43"/>
        <v>0</v>
      </c>
      <c r="I185" s="12">
        <f t="shared" si="43"/>
        <v>0</v>
      </c>
      <c r="J185" s="12">
        <f t="shared" si="43"/>
        <v>0</v>
      </c>
      <c r="K185" s="12">
        <f t="shared" si="44"/>
        <v>0</v>
      </c>
      <c r="L185" s="12">
        <f t="shared" si="45"/>
        <v>0</v>
      </c>
      <c r="M185" s="12">
        <f t="shared" si="45"/>
        <v>0</v>
      </c>
      <c r="N185" s="12">
        <f t="shared" si="45"/>
        <v>0</v>
      </c>
      <c r="O185" s="12">
        <f t="shared" si="46"/>
        <v>0</v>
      </c>
      <c r="P185" s="12">
        <f t="shared" si="47"/>
        <v>0</v>
      </c>
      <c r="Q185" s="12">
        <f t="shared" si="47"/>
        <v>0</v>
      </c>
      <c r="T185" s="61"/>
      <c r="U185" s="61"/>
      <c r="V185" s="61"/>
      <c r="W185" s="53">
        <f t="shared" si="48"/>
        <v>0</v>
      </c>
      <c r="X185" s="54" t="e">
        <f t="shared" si="49"/>
        <v>#DIV/0!</v>
      </c>
      <c r="Y185" s="25">
        <f t="shared" si="56"/>
        <v>0</v>
      </c>
      <c r="Z185" s="54">
        <f t="shared" si="61"/>
        <v>0</v>
      </c>
      <c r="AA185" s="54">
        <f t="shared" si="76"/>
        <v>0</v>
      </c>
      <c r="AB185" s="54">
        <f t="shared" si="76"/>
        <v>0</v>
      </c>
      <c r="AC185" s="54">
        <f t="shared" si="76"/>
        <v>0</v>
      </c>
      <c r="AD185" s="54">
        <f t="shared" si="76"/>
        <v>0</v>
      </c>
      <c r="AE185" s="54">
        <f t="shared" si="76"/>
        <v>0</v>
      </c>
      <c r="AF185" s="54">
        <f t="shared" si="76"/>
        <v>0</v>
      </c>
      <c r="AG185" s="54">
        <f t="shared" si="76"/>
        <v>0</v>
      </c>
      <c r="AH185" s="54">
        <f t="shared" si="76"/>
        <v>0</v>
      </c>
      <c r="AI185" s="54">
        <f t="shared" si="76"/>
        <v>0</v>
      </c>
      <c r="AJ185" s="54">
        <f t="shared" si="76"/>
        <v>0</v>
      </c>
      <c r="AK185" s="54">
        <f t="shared" ref="AK185" si="79">IF($E86+365&lt;$C$56,0,IF($E86&lt;$C$56,(($E86+365-$C$56)/365)*(($C86/$BN$157)+($D86/$BN$158)),IF($E86&gt;AK$166,0,IF($E86+365&lt;AK$166,($C86/$BN$157)+($D86/$BN$158),((AK$166-$E86)/365)*(($C86/$BN$157)+($D86/$BN$158))))))</f>
        <v>0</v>
      </c>
      <c r="AL185" s="24">
        <f t="shared" si="52"/>
        <v>0</v>
      </c>
      <c r="AM185" s="24">
        <f t="shared" si="53"/>
        <v>0</v>
      </c>
      <c r="AN185" s="55">
        <f t="shared" si="54"/>
        <v>0</v>
      </c>
      <c r="AO185" s="55">
        <f t="shared" si="55"/>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2"/>
        <v>0</v>
      </c>
      <c r="H186" s="12">
        <f t="shared" si="43"/>
        <v>0</v>
      </c>
      <c r="I186" s="12">
        <f t="shared" si="43"/>
        <v>0</v>
      </c>
      <c r="J186" s="12">
        <f t="shared" si="43"/>
        <v>0</v>
      </c>
      <c r="K186" s="12">
        <f t="shared" si="44"/>
        <v>0</v>
      </c>
      <c r="L186" s="12">
        <f t="shared" si="45"/>
        <v>0</v>
      </c>
      <c r="M186" s="12">
        <f t="shared" si="45"/>
        <v>0</v>
      </c>
      <c r="N186" s="12">
        <f t="shared" si="45"/>
        <v>0</v>
      </c>
      <c r="O186" s="12">
        <f t="shared" si="46"/>
        <v>0</v>
      </c>
      <c r="P186" s="12">
        <f t="shared" si="47"/>
        <v>0</v>
      </c>
      <c r="Q186" s="12">
        <f t="shared" si="47"/>
        <v>0</v>
      </c>
      <c r="T186" s="61"/>
      <c r="U186" s="61"/>
      <c r="V186" s="61"/>
      <c r="W186" s="53">
        <f t="shared" si="48"/>
        <v>0</v>
      </c>
      <c r="X186" s="54" t="e">
        <f t="shared" si="49"/>
        <v>#DIV/0!</v>
      </c>
      <c r="Y186" s="25">
        <f t="shared" si="56"/>
        <v>0</v>
      </c>
      <c r="Z186" s="54">
        <f t="shared" si="61"/>
        <v>0</v>
      </c>
      <c r="AA186" s="54">
        <f t="shared" si="76"/>
        <v>0</v>
      </c>
      <c r="AB186" s="54">
        <f t="shared" si="76"/>
        <v>0</v>
      </c>
      <c r="AC186" s="54">
        <f t="shared" si="76"/>
        <v>0</v>
      </c>
      <c r="AD186" s="54">
        <f t="shared" si="76"/>
        <v>0</v>
      </c>
      <c r="AE186" s="54">
        <f t="shared" si="76"/>
        <v>0</v>
      </c>
      <c r="AF186" s="54">
        <f t="shared" si="76"/>
        <v>0</v>
      </c>
      <c r="AG186" s="54">
        <f t="shared" si="76"/>
        <v>0</v>
      </c>
      <c r="AH186" s="54">
        <f t="shared" si="76"/>
        <v>0</v>
      </c>
      <c r="AI186" s="54">
        <f t="shared" si="76"/>
        <v>0</v>
      </c>
      <c r="AJ186" s="54">
        <f t="shared" si="76"/>
        <v>0</v>
      </c>
      <c r="AK186" s="54">
        <f t="shared" ref="AK186" si="80">IF($E87+365&lt;$C$56,0,IF($E87&lt;$C$56,(($E87+365-$C$56)/365)*(($C87/$BN$157)+($D87/$BN$158)),IF($E87&gt;AK$166,0,IF($E87+365&lt;AK$166,($C87/$BN$157)+($D87/$BN$158),((AK$166-$E87)/365)*(($C87/$BN$157)+($D87/$BN$158))))))</f>
        <v>0</v>
      </c>
      <c r="AL186" s="24">
        <f t="shared" si="52"/>
        <v>0</v>
      </c>
      <c r="AM186" s="24">
        <f t="shared" si="53"/>
        <v>0</v>
      </c>
      <c r="AN186" s="55">
        <f t="shared" si="54"/>
        <v>0</v>
      </c>
      <c r="AO186" s="55">
        <f t="shared" si="55"/>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2"/>
        <v>0</v>
      </c>
      <c r="H187" s="12">
        <f t="shared" ref="H187:J206" si="81">IF($E89&gt;H$66,0,IF($E89&lt;H$66-365,$C89,0))</f>
        <v>0</v>
      </c>
      <c r="I187" s="12">
        <f t="shared" si="81"/>
        <v>0</v>
      </c>
      <c r="J187" s="12">
        <f t="shared" si="81"/>
        <v>0</v>
      </c>
      <c r="K187" s="12">
        <f t="shared" si="44"/>
        <v>0</v>
      </c>
      <c r="L187" s="12">
        <f t="shared" ref="L187:N206" si="82">IF($E89&gt;L$66,0,IF($E89&lt;L$66-365,$C89,0))</f>
        <v>0</v>
      </c>
      <c r="M187" s="12">
        <f t="shared" si="82"/>
        <v>0</v>
      </c>
      <c r="N187" s="12">
        <f t="shared" si="82"/>
        <v>0</v>
      </c>
      <c r="O187" s="12">
        <f t="shared" si="46"/>
        <v>0</v>
      </c>
      <c r="P187" s="12">
        <f t="shared" ref="P187:Q206" si="83">IF($E89&gt;P$66,0,IF($E89&lt;P$66-365,$C89,0))</f>
        <v>0</v>
      </c>
      <c r="Q187" s="12">
        <f t="shared" si="83"/>
        <v>0</v>
      </c>
      <c r="T187" s="61"/>
      <c r="U187" s="61"/>
      <c r="V187" s="61"/>
      <c r="W187" s="53">
        <f t="shared" si="48"/>
        <v>0</v>
      </c>
      <c r="X187" s="54" t="e">
        <f t="shared" si="49"/>
        <v>#DIV/0!</v>
      </c>
      <c r="Y187" s="25">
        <f t="shared" si="56"/>
        <v>0</v>
      </c>
      <c r="Z187" s="54">
        <f t="shared" si="61"/>
        <v>0</v>
      </c>
      <c r="AA187" s="54">
        <f t="shared" si="76"/>
        <v>0</v>
      </c>
      <c r="AB187" s="54">
        <f t="shared" si="76"/>
        <v>0</v>
      </c>
      <c r="AC187" s="54">
        <f t="shared" si="76"/>
        <v>0</v>
      </c>
      <c r="AD187" s="54">
        <f t="shared" si="76"/>
        <v>0</v>
      </c>
      <c r="AE187" s="54">
        <f t="shared" si="76"/>
        <v>0</v>
      </c>
      <c r="AF187" s="54">
        <f t="shared" si="76"/>
        <v>0</v>
      </c>
      <c r="AG187" s="54">
        <f t="shared" si="76"/>
        <v>0</v>
      </c>
      <c r="AH187" s="54">
        <f t="shared" si="76"/>
        <v>0</v>
      </c>
      <c r="AI187" s="54">
        <f t="shared" si="76"/>
        <v>0</v>
      </c>
      <c r="AJ187" s="54">
        <f t="shared" si="76"/>
        <v>0</v>
      </c>
      <c r="AK187" s="54">
        <f t="shared" ref="AK187" si="84">IF($E88+365&lt;$C$56,0,IF($E88&lt;$C$56,(($E88+365-$C$56)/365)*(($C88/$BN$157)+($D88/$BN$158)),IF($E88&gt;AK$166,0,IF($E88+365&lt;AK$166,($C88/$BN$157)+($D88/$BN$158),((AK$166-$E88)/365)*(($C88/$BN$157)+($D88/$BN$158))))))</f>
        <v>0</v>
      </c>
      <c r="AL187" s="24">
        <f t="shared" si="52"/>
        <v>0</v>
      </c>
      <c r="AM187" s="24">
        <f t="shared" si="53"/>
        <v>0</v>
      </c>
      <c r="AN187" s="55">
        <f t="shared" si="54"/>
        <v>0</v>
      </c>
      <c r="AO187" s="55">
        <f t="shared" si="55"/>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2"/>
        <v>0</v>
      </c>
      <c r="H188" s="12">
        <f t="shared" si="81"/>
        <v>0</v>
      </c>
      <c r="I188" s="12">
        <f t="shared" si="81"/>
        <v>0</v>
      </c>
      <c r="J188" s="12">
        <f t="shared" si="81"/>
        <v>0</v>
      </c>
      <c r="K188" s="12">
        <f t="shared" si="44"/>
        <v>0</v>
      </c>
      <c r="L188" s="12">
        <f t="shared" si="82"/>
        <v>0</v>
      </c>
      <c r="M188" s="12">
        <f t="shared" si="82"/>
        <v>0</v>
      </c>
      <c r="N188" s="12">
        <f t="shared" si="82"/>
        <v>0</v>
      </c>
      <c r="O188" s="12">
        <f t="shared" si="46"/>
        <v>0</v>
      </c>
      <c r="P188" s="12">
        <f t="shared" si="83"/>
        <v>0</v>
      </c>
      <c r="Q188" s="12">
        <f t="shared" si="83"/>
        <v>0</v>
      </c>
      <c r="T188" s="61"/>
      <c r="U188" s="61"/>
      <c r="V188" s="61"/>
      <c r="W188" s="53">
        <f t="shared" si="48"/>
        <v>0</v>
      </c>
      <c r="X188" s="54" t="e">
        <f t="shared" si="49"/>
        <v>#DIV/0!</v>
      </c>
      <c r="Y188" s="25">
        <f t="shared" si="56"/>
        <v>0</v>
      </c>
      <c r="Z188" s="54">
        <f t="shared" si="61"/>
        <v>0</v>
      </c>
      <c r="AA188" s="54">
        <f t="shared" si="76"/>
        <v>0</v>
      </c>
      <c r="AB188" s="54">
        <f t="shared" si="76"/>
        <v>0</v>
      </c>
      <c r="AC188" s="54">
        <f t="shared" si="76"/>
        <v>0</v>
      </c>
      <c r="AD188" s="54">
        <f t="shared" si="76"/>
        <v>0</v>
      </c>
      <c r="AE188" s="54">
        <f t="shared" si="76"/>
        <v>0</v>
      </c>
      <c r="AF188" s="54">
        <f t="shared" si="76"/>
        <v>0</v>
      </c>
      <c r="AG188" s="54">
        <f t="shared" si="76"/>
        <v>0</v>
      </c>
      <c r="AH188" s="54">
        <f t="shared" si="76"/>
        <v>0</v>
      </c>
      <c r="AI188" s="54">
        <f t="shared" si="76"/>
        <v>0</v>
      </c>
      <c r="AJ188" s="54">
        <f t="shared" si="76"/>
        <v>0</v>
      </c>
      <c r="AK188" s="54">
        <f t="shared" ref="AK188" si="85">IF($E89+365&lt;$C$56,0,IF($E89&lt;$C$56,(($E89+365-$C$56)/365)*(($C89/$BN$157)+($D89/$BN$158)),IF($E89&gt;AK$166,0,IF($E89+365&lt;AK$166,($C89/$BN$157)+($D89/$BN$158),((AK$166-$E89)/365)*(($C89/$BN$157)+($D89/$BN$158))))))</f>
        <v>0</v>
      </c>
      <c r="AL188" s="24">
        <f t="shared" si="52"/>
        <v>0</v>
      </c>
      <c r="AM188" s="24">
        <f t="shared" si="53"/>
        <v>0</v>
      </c>
      <c r="AN188" s="55">
        <f t="shared" si="54"/>
        <v>0</v>
      </c>
      <c r="AO188" s="55">
        <f t="shared" si="55"/>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2"/>
        <v>0</v>
      </c>
      <c r="H189" s="12">
        <f t="shared" si="81"/>
        <v>0</v>
      </c>
      <c r="I189" s="12">
        <f t="shared" si="81"/>
        <v>0</v>
      </c>
      <c r="J189" s="12">
        <f t="shared" si="81"/>
        <v>0</v>
      </c>
      <c r="K189" s="12">
        <f t="shared" si="44"/>
        <v>0</v>
      </c>
      <c r="L189" s="12">
        <f t="shared" si="82"/>
        <v>0</v>
      </c>
      <c r="M189" s="12">
        <f t="shared" si="82"/>
        <v>0</v>
      </c>
      <c r="N189" s="12">
        <f t="shared" si="82"/>
        <v>0</v>
      </c>
      <c r="O189" s="12">
        <f t="shared" si="46"/>
        <v>0</v>
      </c>
      <c r="P189" s="12">
        <f t="shared" si="83"/>
        <v>0</v>
      </c>
      <c r="Q189" s="12">
        <f t="shared" si="83"/>
        <v>0</v>
      </c>
      <c r="T189" s="61"/>
      <c r="U189" s="61"/>
      <c r="V189" s="61"/>
      <c r="W189" s="53">
        <f t="shared" si="48"/>
        <v>0</v>
      </c>
      <c r="X189" s="54" t="e">
        <f t="shared" si="49"/>
        <v>#DIV/0!</v>
      </c>
      <c r="Y189" s="25">
        <f t="shared" si="56"/>
        <v>0</v>
      </c>
      <c r="Z189" s="54">
        <f t="shared" si="61"/>
        <v>0</v>
      </c>
      <c r="AA189" s="54">
        <f t="shared" si="76"/>
        <v>0</v>
      </c>
      <c r="AB189" s="54">
        <f t="shared" si="76"/>
        <v>0</v>
      </c>
      <c r="AC189" s="54">
        <f t="shared" si="76"/>
        <v>0</v>
      </c>
      <c r="AD189" s="54">
        <f t="shared" si="76"/>
        <v>0</v>
      </c>
      <c r="AE189" s="54">
        <f t="shared" si="76"/>
        <v>0</v>
      </c>
      <c r="AF189" s="54">
        <f t="shared" si="76"/>
        <v>0</v>
      </c>
      <c r="AG189" s="54">
        <f t="shared" si="76"/>
        <v>0</v>
      </c>
      <c r="AH189" s="54">
        <f t="shared" si="76"/>
        <v>0</v>
      </c>
      <c r="AI189" s="54">
        <f t="shared" si="76"/>
        <v>0</v>
      </c>
      <c r="AJ189" s="54">
        <f t="shared" si="76"/>
        <v>0</v>
      </c>
      <c r="AK189" s="54">
        <f t="shared" ref="AK189" si="86">IF($E90+365&lt;$C$56,0,IF($E90&lt;$C$56,(($E90+365-$C$56)/365)*(($C90/$BN$157)+($D90/$BN$158)),IF($E90&gt;AK$166,0,IF($E90+365&lt;AK$166,($C90/$BN$157)+($D90/$BN$158),((AK$166-$E90)/365)*(($C90/$BN$157)+($D90/$BN$158))))))</f>
        <v>0</v>
      </c>
      <c r="AL189" s="24">
        <f t="shared" si="52"/>
        <v>0</v>
      </c>
      <c r="AM189" s="24">
        <f t="shared" si="53"/>
        <v>0</v>
      </c>
      <c r="AN189" s="55">
        <f t="shared" si="54"/>
        <v>0</v>
      </c>
      <c r="AO189" s="55">
        <f t="shared" si="55"/>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2"/>
        <v>0</v>
      </c>
      <c r="H190" s="12">
        <f t="shared" si="81"/>
        <v>0</v>
      </c>
      <c r="I190" s="12">
        <f t="shared" si="81"/>
        <v>0</v>
      </c>
      <c r="J190" s="12">
        <f t="shared" si="81"/>
        <v>0</v>
      </c>
      <c r="K190" s="12">
        <f t="shared" si="44"/>
        <v>0</v>
      </c>
      <c r="L190" s="12">
        <f t="shared" si="82"/>
        <v>0</v>
      </c>
      <c r="M190" s="12">
        <f t="shared" si="82"/>
        <v>0</v>
      </c>
      <c r="N190" s="12">
        <f t="shared" si="82"/>
        <v>0</v>
      </c>
      <c r="O190" s="12">
        <f t="shared" si="46"/>
        <v>0</v>
      </c>
      <c r="P190" s="12">
        <f t="shared" si="83"/>
        <v>0</v>
      </c>
      <c r="Q190" s="12">
        <f t="shared" si="83"/>
        <v>0</v>
      </c>
      <c r="T190" s="61"/>
      <c r="U190" s="61"/>
      <c r="V190" s="61"/>
      <c r="W190" s="53">
        <f t="shared" si="48"/>
        <v>0</v>
      </c>
      <c r="X190" s="54" t="e">
        <f t="shared" si="49"/>
        <v>#DIV/0!</v>
      </c>
      <c r="Y190" s="25">
        <f t="shared" si="56"/>
        <v>0</v>
      </c>
      <c r="Z190" s="54">
        <f t="shared" si="61"/>
        <v>0</v>
      </c>
      <c r="AA190" s="54">
        <f t="shared" si="76"/>
        <v>0</v>
      </c>
      <c r="AB190" s="54">
        <f t="shared" si="76"/>
        <v>0</v>
      </c>
      <c r="AC190" s="54">
        <f t="shared" si="76"/>
        <v>0</v>
      </c>
      <c r="AD190" s="54">
        <f t="shared" si="76"/>
        <v>0</v>
      </c>
      <c r="AE190" s="54">
        <f t="shared" si="76"/>
        <v>0</v>
      </c>
      <c r="AF190" s="54">
        <f t="shared" si="76"/>
        <v>0</v>
      </c>
      <c r="AG190" s="54">
        <f t="shared" si="76"/>
        <v>0</v>
      </c>
      <c r="AH190" s="54">
        <f t="shared" si="76"/>
        <v>0</v>
      </c>
      <c r="AI190" s="54">
        <f t="shared" si="76"/>
        <v>0</v>
      </c>
      <c r="AJ190" s="54">
        <f t="shared" si="76"/>
        <v>0</v>
      </c>
      <c r="AK190" s="54">
        <f t="shared" ref="AK190" si="87">IF($E91+365&lt;$C$56,0,IF($E91&lt;$C$56,(($E91+365-$C$56)/365)*(($C91/$BN$157)+($D91/$BN$158)),IF($E91&gt;AK$166,0,IF($E91+365&lt;AK$166,($C91/$BN$157)+($D91/$BN$158),((AK$166-$E91)/365)*(($C91/$BN$157)+($D91/$BN$158))))))</f>
        <v>0</v>
      </c>
      <c r="AL190" s="24">
        <f t="shared" si="52"/>
        <v>0</v>
      </c>
      <c r="AM190" s="24">
        <f t="shared" si="53"/>
        <v>0</v>
      </c>
      <c r="AN190" s="55">
        <f t="shared" si="54"/>
        <v>0</v>
      </c>
      <c r="AO190" s="55">
        <f t="shared" si="55"/>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2"/>
        <v>0</v>
      </c>
      <c r="H191" s="12">
        <f t="shared" si="81"/>
        <v>0</v>
      </c>
      <c r="I191" s="12">
        <f t="shared" si="81"/>
        <v>0</v>
      </c>
      <c r="J191" s="12">
        <f t="shared" si="81"/>
        <v>0</v>
      </c>
      <c r="K191" s="12">
        <f t="shared" si="44"/>
        <v>0</v>
      </c>
      <c r="L191" s="12">
        <f t="shared" si="82"/>
        <v>0</v>
      </c>
      <c r="M191" s="12">
        <f t="shared" si="82"/>
        <v>0</v>
      </c>
      <c r="N191" s="12">
        <f t="shared" si="82"/>
        <v>0</v>
      </c>
      <c r="O191" s="12">
        <f t="shared" si="46"/>
        <v>0</v>
      </c>
      <c r="P191" s="12">
        <f t="shared" si="83"/>
        <v>0</v>
      </c>
      <c r="Q191" s="12">
        <f t="shared" si="83"/>
        <v>0</v>
      </c>
      <c r="T191" s="61"/>
      <c r="U191" s="61"/>
      <c r="V191" s="61"/>
      <c r="W191" s="53">
        <f t="shared" si="48"/>
        <v>0</v>
      </c>
      <c r="X191" s="54" t="e">
        <f t="shared" si="49"/>
        <v>#DIV/0!</v>
      </c>
      <c r="Y191" s="25">
        <f t="shared" si="56"/>
        <v>0</v>
      </c>
      <c r="Z191" s="54">
        <f t="shared" si="61"/>
        <v>0</v>
      </c>
      <c r="AA191" s="54">
        <f t="shared" si="76"/>
        <v>0</v>
      </c>
      <c r="AB191" s="54">
        <f t="shared" si="76"/>
        <v>0</v>
      </c>
      <c r="AC191" s="54">
        <f t="shared" si="76"/>
        <v>0</v>
      </c>
      <c r="AD191" s="54">
        <f t="shared" si="76"/>
        <v>0</v>
      </c>
      <c r="AE191" s="54">
        <f t="shared" si="76"/>
        <v>0</v>
      </c>
      <c r="AF191" s="54">
        <f t="shared" si="76"/>
        <v>0</v>
      </c>
      <c r="AG191" s="54">
        <f t="shared" si="76"/>
        <v>0</v>
      </c>
      <c r="AH191" s="54">
        <f t="shared" si="76"/>
        <v>0</v>
      </c>
      <c r="AI191" s="54">
        <f t="shared" si="76"/>
        <v>0</v>
      </c>
      <c r="AJ191" s="54">
        <f t="shared" si="76"/>
        <v>0</v>
      </c>
      <c r="AK191" s="54">
        <f t="shared" ref="AK191" si="88">IF($E92+365&lt;$C$56,0,IF($E92&lt;$C$56,(($E92+365-$C$56)/365)*(($C92/$BN$157)+($D92/$BN$158)),IF($E92&gt;AK$166,0,IF($E92+365&lt;AK$166,($C92/$BN$157)+($D92/$BN$158),((AK$166-$E92)/365)*(($C92/$BN$157)+($D92/$BN$158))))))</f>
        <v>0</v>
      </c>
      <c r="AL191" s="24">
        <f t="shared" si="52"/>
        <v>0</v>
      </c>
      <c r="AM191" s="24">
        <f t="shared" si="53"/>
        <v>0</v>
      </c>
      <c r="AN191" s="55">
        <f t="shared" si="54"/>
        <v>0</v>
      </c>
      <c r="AO191" s="55">
        <f t="shared" si="55"/>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2"/>
        <v>0</v>
      </c>
      <c r="H192" s="12">
        <f t="shared" si="81"/>
        <v>0</v>
      </c>
      <c r="I192" s="12">
        <f t="shared" si="81"/>
        <v>0</v>
      </c>
      <c r="J192" s="12">
        <f t="shared" si="81"/>
        <v>0</v>
      </c>
      <c r="K192" s="12">
        <f t="shared" si="44"/>
        <v>0</v>
      </c>
      <c r="L192" s="12">
        <f t="shared" si="82"/>
        <v>0</v>
      </c>
      <c r="M192" s="12">
        <f t="shared" si="82"/>
        <v>0</v>
      </c>
      <c r="N192" s="12">
        <f t="shared" si="82"/>
        <v>0</v>
      </c>
      <c r="O192" s="12">
        <f t="shared" si="46"/>
        <v>0</v>
      </c>
      <c r="P192" s="12">
        <f t="shared" si="83"/>
        <v>0</v>
      </c>
      <c r="Q192" s="12">
        <f t="shared" si="83"/>
        <v>0</v>
      </c>
      <c r="T192" s="61"/>
      <c r="U192" s="61"/>
      <c r="V192" s="61"/>
      <c r="W192" s="53">
        <f t="shared" si="48"/>
        <v>0</v>
      </c>
      <c r="X192" s="54" t="e">
        <f t="shared" si="49"/>
        <v>#DIV/0!</v>
      </c>
      <c r="Y192" s="25">
        <f t="shared" si="56"/>
        <v>0</v>
      </c>
      <c r="Z192" s="54">
        <f t="shared" si="61"/>
        <v>0</v>
      </c>
      <c r="AA192" s="54">
        <f t="shared" si="76"/>
        <v>0</v>
      </c>
      <c r="AB192" s="54">
        <f t="shared" si="76"/>
        <v>0</v>
      </c>
      <c r="AC192" s="54">
        <f t="shared" si="76"/>
        <v>0</v>
      </c>
      <c r="AD192" s="54">
        <f t="shared" si="76"/>
        <v>0</v>
      </c>
      <c r="AE192" s="54">
        <f t="shared" si="76"/>
        <v>0</v>
      </c>
      <c r="AF192" s="54">
        <f t="shared" si="76"/>
        <v>0</v>
      </c>
      <c r="AG192" s="54">
        <f t="shared" si="76"/>
        <v>0</v>
      </c>
      <c r="AH192" s="54">
        <f t="shared" si="76"/>
        <v>0</v>
      </c>
      <c r="AI192" s="54">
        <f t="shared" si="76"/>
        <v>0</v>
      </c>
      <c r="AJ192" s="54">
        <f t="shared" si="76"/>
        <v>0</v>
      </c>
      <c r="AK192" s="54">
        <f t="shared" ref="AK192" si="89">IF($E93+365&lt;$C$56,0,IF($E93&lt;$C$56,(($E93+365-$C$56)/365)*(($C93/$BN$157)+($D93/$BN$158)),IF($E93&gt;AK$166,0,IF($E93+365&lt;AK$166,($C93/$BN$157)+($D93/$BN$158),((AK$166-$E93)/365)*(($C93/$BN$157)+($D93/$BN$158))))))</f>
        <v>0</v>
      </c>
      <c r="AL192" s="24">
        <f t="shared" si="52"/>
        <v>0</v>
      </c>
      <c r="AM192" s="24">
        <f t="shared" si="53"/>
        <v>0</v>
      </c>
      <c r="AN192" s="55">
        <f t="shared" si="54"/>
        <v>0</v>
      </c>
      <c r="AO192" s="55">
        <f t="shared" si="55"/>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2"/>
        <v>0</v>
      </c>
      <c r="H193" s="12">
        <f t="shared" si="81"/>
        <v>0</v>
      </c>
      <c r="I193" s="12">
        <f t="shared" si="81"/>
        <v>0</v>
      </c>
      <c r="J193" s="12">
        <f t="shared" si="81"/>
        <v>0</v>
      </c>
      <c r="K193" s="12">
        <f t="shared" si="44"/>
        <v>0</v>
      </c>
      <c r="L193" s="12">
        <f t="shared" si="82"/>
        <v>0</v>
      </c>
      <c r="M193" s="12">
        <f t="shared" si="82"/>
        <v>0</v>
      </c>
      <c r="N193" s="12">
        <f t="shared" si="82"/>
        <v>0</v>
      </c>
      <c r="O193" s="12">
        <f t="shared" si="46"/>
        <v>0</v>
      </c>
      <c r="P193" s="12">
        <f t="shared" si="83"/>
        <v>0</v>
      </c>
      <c r="Q193" s="12">
        <f t="shared" si="83"/>
        <v>0</v>
      </c>
      <c r="T193" s="61"/>
      <c r="U193" s="61"/>
      <c r="V193" s="61"/>
      <c r="W193" s="53">
        <f t="shared" si="48"/>
        <v>0</v>
      </c>
      <c r="X193" s="54" t="e">
        <f t="shared" si="49"/>
        <v>#DIV/0!</v>
      </c>
      <c r="Y193" s="25">
        <f t="shared" si="56"/>
        <v>0</v>
      </c>
      <c r="Z193" s="54">
        <f t="shared" si="61"/>
        <v>0</v>
      </c>
      <c r="AA193" s="54">
        <f t="shared" si="76"/>
        <v>0</v>
      </c>
      <c r="AB193" s="54">
        <f t="shared" si="76"/>
        <v>0</v>
      </c>
      <c r="AC193" s="54">
        <f t="shared" si="76"/>
        <v>0</v>
      </c>
      <c r="AD193" s="54">
        <f t="shared" si="76"/>
        <v>0</v>
      </c>
      <c r="AE193" s="54">
        <f t="shared" si="76"/>
        <v>0</v>
      </c>
      <c r="AF193" s="54">
        <f t="shared" si="76"/>
        <v>0</v>
      </c>
      <c r="AG193" s="54">
        <f t="shared" si="76"/>
        <v>0</v>
      </c>
      <c r="AH193" s="54">
        <f t="shared" si="76"/>
        <v>0</v>
      </c>
      <c r="AI193" s="54">
        <f t="shared" si="76"/>
        <v>0</v>
      </c>
      <c r="AJ193" s="54">
        <f t="shared" si="76"/>
        <v>0</v>
      </c>
      <c r="AK193" s="54">
        <f t="shared" ref="AK193" si="90">IF($E94+365&lt;$C$56,0,IF($E94&lt;$C$56,(($E94+365-$C$56)/365)*(($C94/$BN$157)+($D94/$BN$158)),IF($E94&gt;AK$166,0,IF($E94+365&lt;AK$166,($C94/$BN$157)+($D94/$BN$158),((AK$166-$E94)/365)*(($C94/$BN$157)+($D94/$BN$158))))))</f>
        <v>0</v>
      </c>
      <c r="AL193" s="24">
        <f t="shared" si="52"/>
        <v>0</v>
      </c>
      <c r="AM193" s="24">
        <f t="shared" si="53"/>
        <v>0</v>
      </c>
      <c r="AN193" s="55">
        <f t="shared" si="54"/>
        <v>0</v>
      </c>
      <c r="AO193" s="55">
        <f t="shared" si="55"/>
        <v>0</v>
      </c>
      <c r="AP193" s="24"/>
      <c r="AQ193" s="24"/>
      <c r="AR193" s="24"/>
      <c r="AS193" s="24"/>
      <c r="AT193" s="24"/>
      <c r="AU193" s="24"/>
      <c r="AV193" s="24"/>
      <c r="AW193" s="24"/>
      <c r="AX193" s="24"/>
      <c r="AY193" s="24"/>
    </row>
    <row r="194" spans="7:51">
      <c r="G194" s="12">
        <f t="shared" si="42"/>
        <v>0</v>
      </c>
      <c r="H194" s="12">
        <f t="shared" si="81"/>
        <v>0</v>
      </c>
      <c r="I194" s="12">
        <f t="shared" si="81"/>
        <v>0</v>
      </c>
      <c r="J194" s="12">
        <f t="shared" si="81"/>
        <v>0</v>
      </c>
      <c r="K194" s="12">
        <f t="shared" si="44"/>
        <v>0</v>
      </c>
      <c r="L194" s="12">
        <f t="shared" si="82"/>
        <v>0</v>
      </c>
      <c r="M194" s="12">
        <f t="shared" si="82"/>
        <v>0</v>
      </c>
      <c r="N194" s="12">
        <f t="shared" si="82"/>
        <v>0</v>
      </c>
      <c r="O194" s="12">
        <f t="shared" si="46"/>
        <v>0</v>
      </c>
      <c r="P194" s="12">
        <f t="shared" si="83"/>
        <v>0</v>
      </c>
      <c r="Q194" s="12">
        <f t="shared" si="83"/>
        <v>0</v>
      </c>
      <c r="T194" s="61"/>
      <c r="U194" s="61"/>
      <c r="V194" s="61"/>
      <c r="W194" s="53">
        <f t="shared" si="48"/>
        <v>0</v>
      </c>
      <c r="X194" s="54" t="e">
        <f t="shared" si="49"/>
        <v>#DIV/0!</v>
      </c>
      <c r="Y194" s="25">
        <f t="shared" si="56"/>
        <v>0</v>
      </c>
      <c r="Z194" s="54">
        <f t="shared" si="61"/>
        <v>0</v>
      </c>
      <c r="AA194" s="54">
        <f t="shared" si="76"/>
        <v>0</v>
      </c>
      <c r="AB194" s="54">
        <f t="shared" si="76"/>
        <v>0</v>
      </c>
      <c r="AC194" s="54">
        <f t="shared" si="76"/>
        <v>0</v>
      </c>
      <c r="AD194" s="54">
        <f t="shared" si="76"/>
        <v>0</v>
      </c>
      <c r="AE194" s="54">
        <f t="shared" si="76"/>
        <v>0</v>
      </c>
      <c r="AF194" s="54">
        <f t="shared" si="76"/>
        <v>0</v>
      </c>
      <c r="AG194" s="54">
        <f t="shared" si="76"/>
        <v>0</v>
      </c>
      <c r="AH194" s="54">
        <f t="shared" si="76"/>
        <v>0</v>
      </c>
      <c r="AI194" s="54">
        <f t="shared" si="76"/>
        <v>0</v>
      </c>
      <c r="AJ194" s="54">
        <f t="shared" si="76"/>
        <v>0</v>
      </c>
      <c r="AK194" s="54">
        <f t="shared" ref="AK194" si="91">IF($E95+365&lt;$C$56,0,IF($E95&lt;$C$56,(($E95+365-$C$56)/365)*(($C95/$BN$157)+($D95/$BN$158)),IF($E95&gt;AK$166,0,IF($E95+365&lt;AK$166,($C95/$BN$157)+($D95/$BN$158),((AK$166-$E95)/365)*(($C95/$BN$157)+($D95/$BN$158))))))</f>
        <v>0</v>
      </c>
      <c r="AL194" s="24">
        <f t="shared" si="52"/>
        <v>0</v>
      </c>
      <c r="AM194" s="24">
        <f t="shared" si="53"/>
        <v>0</v>
      </c>
      <c r="AN194" s="55">
        <f t="shared" si="54"/>
        <v>0</v>
      </c>
      <c r="AO194" s="55">
        <f t="shared" si="55"/>
        <v>0</v>
      </c>
      <c r="AP194" s="24"/>
      <c r="AQ194" s="24"/>
      <c r="AR194" s="24"/>
      <c r="AS194" s="24"/>
      <c r="AT194" s="24"/>
      <c r="AU194" s="24"/>
      <c r="AV194" s="24"/>
      <c r="AW194" s="24"/>
      <c r="AX194" s="24"/>
      <c r="AY194" s="24"/>
    </row>
    <row r="195" spans="7:51">
      <c r="G195" s="12">
        <f t="shared" si="42"/>
        <v>0</v>
      </c>
      <c r="H195" s="12">
        <f t="shared" si="81"/>
        <v>0</v>
      </c>
      <c r="I195" s="12">
        <f t="shared" si="81"/>
        <v>0</v>
      </c>
      <c r="J195" s="12">
        <f t="shared" si="81"/>
        <v>0</v>
      </c>
      <c r="K195" s="12">
        <f t="shared" si="44"/>
        <v>0</v>
      </c>
      <c r="L195" s="12">
        <f t="shared" si="82"/>
        <v>0</v>
      </c>
      <c r="M195" s="12">
        <f t="shared" si="82"/>
        <v>0</v>
      </c>
      <c r="N195" s="12">
        <f t="shared" si="82"/>
        <v>0</v>
      </c>
      <c r="O195" s="12">
        <f t="shared" si="46"/>
        <v>0</v>
      </c>
      <c r="P195" s="12">
        <f t="shared" si="83"/>
        <v>0</v>
      </c>
      <c r="Q195" s="12">
        <f t="shared" si="83"/>
        <v>0</v>
      </c>
      <c r="T195" s="61"/>
      <c r="U195" s="61"/>
      <c r="V195" s="61"/>
      <c r="W195" s="53">
        <f t="shared" si="48"/>
        <v>0</v>
      </c>
      <c r="X195" s="54" t="e">
        <f t="shared" si="49"/>
        <v>#DIV/0!</v>
      </c>
      <c r="Y195" s="25">
        <f t="shared" si="56"/>
        <v>0</v>
      </c>
      <c r="Z195" s="54">
        <f t="shared" si="61"/>
        <v>0</v>
      </c>
      <c r="AA195" s="54">
        <f t="shared" si="76"/>
        <v>0</v>
      </c>
      <c r="AB195" s="54">
        <f t="shared" si="76"/>
        <v>0</v>
      </c>
      <c r="AC195" s="54">
        <f t="shared" si="76"/>
        <v>0</v>
      </c>
      <c r="AD195" s="54">
        <f t="shared" si="76"/>
        <v>0</v>
      </c>
      <c r="AE195" s="54">
        <f t="shared" si="76"/>
        <v>0</v>
      </c>
      <c r="AF195" s="54">
        <f t="shared" si="76"/>
        <v>0</v>
      </c>
      <c r="AG195" s="54">
        <f t="shared" si="76"/>
        <v>0</v>
      </c>
      <c r="AH195" s="54">
        <f t="shared" si="76"/>
        <v>0</v>
      </c>
      <c r="AI195" s="54">
        <f t="shared" si="76"/>
        <v>0</v>
      </c>
      <c r="AJ195" s="54">
        <f t="shared" si="76"/>
        <v>0</v>
      </c>
      <c r="AK195" s="54">
        <f t="shared" ref="AK195" si="92">IF($E96+365&lt;$C$56,0,IF($E96&lt;$C$56,(($E96+365-$C$56)/365)*(($C96/$BN$157)+($D96/$BN$158)),IF($E96&gt;AK$166,0,IF($E96+365&lt;AK$166,($C96/$BN$157)+($D96/$BN$158),((AK$166-$E96)/365)*(($C96/$BN$157)+($D96/$BN$158))))))</f>
        <v>0</v>
      </c>
      <c r="AL195" s="24">
        <f t="shared" si="52"/>
        <v>0</v>
      </c>
      <c r="AM195" s="24">
        <f t="shared" si="53"/>
        <v>0</v>
      </c>
      <c r="AN195" s="55">
        <f t="shared" si="54"/>
        <v>0</v>
      </c>
      <c r="AO195" s="55">
        <f t="shared" si="55"/>
        <v>0</v>
      </c>
      <c r="AP195" s="24"/>
      <c r="AQ195" s="24"/>
      <c r="AR195" s="24"/>
      <c r="AS195" s="24"/>
      <c r="AT195" s="24"/>
      <c r="AU195" s="24"/>
      <c r="AV195" s="24"/>
      <c r="AW195" s="24"/>
      <c r="AX195" s="24"/>
      <c r="AY195" s="24"/>
    </row>
    <row r="196" spans="7:51">
      <c r="G196" s="12">
        <f t="shared" si="42"/>
        <v>0</v>
      </c>
      <c r="H196" s="12">
        <f t="shared" si="81"/>
        <v>0</v>
      </c>
      <c r="I196" s="12">
        <f t="shared" si="81"/>
        <v>0</v>
      </c>
      <c r="J196" s="12">
        <f t="shared" si="81"/>
        <v>0</v>
      </c>
      <c r="K196" s="12">
        <f t="shared" si="44"/>
        <v>0</v>
      </c>
      <c r="L196" s="12">
        <f t="shared" si="82"/>
        <v>0</v>
      </c>
      <c r="M196" s="12">
        <f t="shared" si="82"/>
        <v>0</v>
      </c>
      <c r="N196" s="12">
        <f t="shared" si="82"/>
        <v>0</v>
      </c>
      <c r="O196" s="12">
        <f t="shared" si="46"/>
        <v>0</v>
      </c>
      <c r="P196" s="12">
        <f t="shared" si="83"/>
        <v>0</v>
      </c>
      <c r="Q196" s="12">
        <f t="shared" si="83"/>
        <v>0</v>
      </c>
      <c r="T196" s="61"/>
      <c r="U196" s="61"/>
      <c r="V196" s="61"/>
      <c r="W196" s="53">
        <f t="shared" si="48"/>
        <v>0</v>
      </c>
      <c r="X196" s="54" t="e">
        <f t="shared" si="49"/>
        <v>#DIV/0!</v>
      </c>
      <c r="Y196" s="25">
        <f t="shared" si="56"/>
        <v>0</v>
      </c>
      <c r="Z196" s="54">
        <f t="shared" si="61"/>
        <v>0</v>
      </c>
      <c r="AA196" s="54">
        <f t="shared" si="76"/>
        <v>0</v>
      </c>
      <c r="AB196" s="54">
        <f t="shared" si="76"/>
        <v>0</v>
      </c>
      <c r="AC196" s="54">
        <f t="shared" si="76"/>
        <v>0</v>
      </c>
      <c r="AD196" s="54">
        <f t="shared" si="76"/>
        <v>0</v>
      </c>
      <c r="AE196" s="54">
        <f t="shared" si="76"/>
        <v>0</v>
      </c>
      <c r="AF196" s="54">
        <f t="shared" si="76"/>
        <v>0</v>
      </c>
      <c r="AG196" s="54">
        <f t="shared" si="76"/>
        <v>0</v>
      </c>
      <c r="AH196" s="54">
        <f t="shared" si="76"/>
        <v>0</v>
      </c>
      <c r="AI196" s="54">
        <f t="shared" si="76"/>
        <v>0</v>
      </c>
      <c r="AJ196" s="54">
        <f t="shared" si="76"/>
        <v>0</v>
      </c>
      <c r="AK196" s="54">
        <f t="shared" ref="AK196" si="93">IF($E97+365&lt;$C$56,0,IF($E97&lt;$C$56,(($E97+365-$C$56)/365)*(($C97/$BN$157)+($D97/$BN$158)),IF($E97&gt;AK$166,0,IF($E97+365&lt;AK$166,($C97/$BN$157)+($D97/$BN$158),((AK$166-$E97)/365)*(($C97/$BN$157)+($D97/$BN$158))))))</f>
        <v>0</v>
      </c>
      <c r="AL196" s="24">
        <f t="shared" si="52"/>
        <v>0</v>
      </c>
      <c r="AM196" s="24">
        <f t="shared" si="53"/>
        <v>0</v>
      </c>
      <c r="AN196" s="55">
        <f t="shared" si="54"/>
        <v>0</v>
      </c>
      <c r="AO196" s="55">
        <f t="shared" si="55"/>
        <v>0</v>
      </c>
      <c r="AP196" s="24"/>
      <c r="AQ196" s="24"/>
      <c r="AR196" s="24"/>
      <c r="AS196" s="24"/>
      <c r="AT196" s="24"/>
      <c r="AU196" s="24"/>
      <c r="AV196" s="24"/>
      <c r="AW196" s="24"/>
      <c r="AX196" s="24"/>
      <c r="AY196" s="24"/>
    </row>
    <row r="197" spans="7:51">
      <c r="G197" s="12">
        <f t="shared" si="42"/>
        <v>0</v>
      </c>
      <c r="H197" s="12">
        <f t="shared" si="81"/>
        <v>0</v>
      </c>
      <c r="I197" s="12">
        <f t="shared" si="81"/>
        <v>0</v>
      </c>
      <c r="J197" s="12">
        <f t="shared" si="81"/>
        <v>0</v>
      </c>
      <c r="K197" s="12">
        <f t="shared" si="44"/>
        <v>0</v>
      </c>
      <c r="L197" s="12">
        <f t="shared" si="82"/>
        <v>0</v>
      </c>
      <c r="M197" s="12">
        <f t="shared" si="82"/>
        <v>0</v>
      </c>
      <c r="N197" s="12">
        <f t="shared" si="82"/>
        <v>0</v>
      </c>
      <c r="O197" s="12">
        <f t="shared" si="46"/>
        <v>0</v>
      </c>
      <c r="P197" s="12">
        <f t="shared" si="83"/>
        <v>0</v>
      </c>
      <c r="Q197" s="12">
        <f t="shared" si="83"/>
        <v>0</v>
      </c>
      <c r="T197" s="61"/>
      <c r="U197" s="61"/>
      <c r="V197" s="61"/>
      <c r="W197" s="53">
        <f t="shared" si="48"/>
        <v>0</v>
      </c>
      <c r="X197" s="54" t="e">
        <f t="shared" si="49"/>
        <v>#DIV/0!</v>
      </c>
      <c r="Y197" s="25">
        <f t="shared" si="56"/>
        <v>0</v>
      </c>
      <c r="Z197" s="54">
        <f t="shared" si="61"/>
        <v>0</v>
      </c>
      <c r="AA197" s="54">
        <f t="shared" si="76"/>
        <v>0</v>
      </c>
      <c r="AB197" s="54">
        <f t="shared" si="76"/>
        <v>0</v>
      </c>
      <c r="AC197" s="54">
        <f t="shared" si="76"/>
        <v>0</v>
      </c>
      <c r="AD197" s="54">
        <f t="shared" si="76"/>
        <v>0</v>
      </c>
      <c r="AE197" s="54">
        <f t="shared" si="76"/>
        <v>0</v>
      </c>
      <c r="AF197" s="54">
        <f t="shared" si="76"/>
        <v>0</v>
      </c>
      <c r="AG197" s="54">
        <f t="shared" si="76"/>
        <v>0</v>
      </c>
      <c r="AH197" s="54">
        <f t="shared" si="76"/>
        <v>0</v>
      </c>
      <c r="AI197" s="54">
        <f t="shared" si="76"/>
        <v>0</v>
      </c>
      <c r="AJ197" s="54">
        <f t="shared" si="76"/>
        <v>0</v>
      </c>
      <c r="AK197" s="54">
        <f t="shared" ref="AK197" si="94">IF($E98+365&lt;$C$56,0,IF($E98&lt;$C$56,(($E98+365-$C$56)/365)*(($C98/$BN$157)+($D98/$BN$158)),IF($E98&gt;AK$166,0,IF($E98+365&lt;AK$166,($C98/$BN$157)+($D98/$BN$158),((AK$166-$E98)/365)*(($C98/$BN$157)+($D98/$BN$158))))))</f>
        <v>0</v>
      </c>
      <c r="AL197" s="24">
        <f t="shared" si="52"/>
        <v>0</v>
      </c>
      <c r="AM197" s="24">
        <f t="shared" si="53"/>
        <v>0</v>
      </c>
      <c r="AN197" s="55">
        <f t="shared" si="54"/>
        <v>0</v>
      </c>
      <c r="AO197" s="55">
        <f t="shared" si="55"/>
        <v>0</v>
      </c>
      <c r="AP197" s="24"/>
      <c r="AQ197" s="24"/>
      <c r="AR197" s="24"/>
      <c r="AS197" s="24"/>
      <c r="AT197" s="24"/>
      <c r="AU197" s="24"/>
      <c r="AV197" s="24"/>
      <c r="AW197" s="24"/>
      <c r="AX197" s="24"/>
      <c r="AY197" s="24"/>
    </row>
    <row r="198" spans="7:51">
      <c r="G198" s="12">
        <f t="shared" si="42"/>
        <v>0</v>
      </c>
      <c r="H198" s="12">
        <f t="shared" si="81"/>
        <v>0</v>
      </c>
      <c r="I198" s="12">
        <f t="shared" si="81"/>
        <v>0</v>
      </c>
      <c r="J198" s="12">
        <f t="shared" si="81"/>
        <v>0</v>
      </c>
      <c r="K198" s="12">
        <f t="shared" si="44"/>
        <v>0</v>
      </c>
      <c r="L198" s="12">
        <f t="shared" si="82"/>
        <v>0</v>
      </c>
      <c r="M198" s="12">
        <f t="shared" si="82"/>
        <v>0</v>
      </c>
      <c r="N198" s="12">
        <f t="shared" si="82"/>
        <v>0</v>
      </c>
      <c r="O198" s="12">
        <f t="shared" si="46"/>
        <v>0</v>
      </c>
      <c r="P198" s="12">
        <f t="shared" si="83"/>
        <v>0</v>
      </c>
      <c r="Q198" s="12">
        <f t="shared" si="83"/>
        <v>0</v>
      </c>
      <c r="T198" s="61"/>
      <c r="U198" s="61"/>
      <c r="V198" s="61"/>
      <c r="W198" s="53">
        <f t="shared" si="48"/>
        <v>0</v>
      </c>
      <c r="X198" s="54" t="e">
        <f t="shared" si="49"/>
        <v>#DIV/0!</v>
      </c>
      <c r="Y198" s="25">
        <f t="shared" si="56"/>
        <v>0</v>
      </c>
      <c r="Z198" s="54">
        <f t="shared" si="61"/>
        <v>0</v>
      </c>
      <c r="AA198" s="54">
        <f t="shared" si="76"/>
        <v>0</v>
      </c>
      <c r="AB198" s="54">
        <f t="shared" si="76"/>
        <v>0</v>
      </c>
      <c r="AC198" s="54">
        <f t="shared" si="76"/>
        <v>0</v>
      </c>
      <c r="AD198" s="54">
        <f t="shared" si="76"/>
        <v>0</v>
      </c>
      <c r="AE198" s="54">
        <f t="shared" si="76"/>
        <v>0</v>
      </c>
      <c r="AF198" s="54">
        <f t="shared" si="76"/>
        <v>0</v>
      </c>
      <c r="AG198" s="54">
        <f t="shared" si="76"/>
        <v>0</v>
      </c>
      <c r="AH198" s="54">
        <f t="shared" si="76"/>
        <v>0</v>
      </c>
      <c r="AI198" s="54">
        <f t="shared" si="76"/>
        <v>0</v>
      </c>
      <c r="AJ198" s="54">
        <f t="shared" si="76"/>
        <v>0</v>
      </c>
      <c r="AK198" s="54">
        <f t="shared" ref="AK198" si="95">IF($E99+365&lt;$C$56,0,IF($E99&lt;$C$56,(($E99+365-$C$56)/365)*(($C99/$BN$157)+($D99/$BN$158)),IF($E99&gt;AK$166,0,IF($E99+365&lt;AK$166,($C99/$BN$157)+($D99/$BN$158),((AK$166-$E99)/365)*(($C99/$BN$157)+($D99/$BN$158))))))</f>
        <v>0</v>
      </c>
      <c r="AL198" s="24">
        <f t="shared" si="52"/>
        <v>0</v>
      </c>
      <c r="AM198" s="24">
        <f t="shared" si="53"/>
        <v>0</v>
      </c>
      <c r="AN198" s="55">
        <f t="shared" si="54"/>
        <v>0</v>
      </c>
      <c r="AO198" s="55">
        <f t="shared" si="55"/>
        <v>0</v>
      </c>
      <c r="AP198" s="24"/>
      <c r="AQ198" s="24"/>
      <c r="AR198" s="24"/>
      <c r="AS198" s="24"/>
      <c r="AT198" s="24"/>
      <c r="AU198" s="24"/>
      <c r="AV198" s="24"/>
      <c r="AW198" s="24"/>
      <c r="AX198" s="24"/>
      <c r="AY198" s="24"/>
    </row>
    <row r="199" spans="7:51">
      <c r="G199" s="12">
        <f t="shared" si="42"/>
        <v>0</v>
      </c>
      <c r="H199" s="12">
        <f t="shared" si="81"/>
        <v>0</v>
      </c>
      <c r="I199" s="12">
        <f t="shared" si="81"/>
        <v>0</v>
      </c>
      <c r="J199" s="12">
        <f t="shared" si="81"/>
        <v>0</v>
      </c>
      <c r="K199" s="12">
        <f t="shared" si="44"/>
        <v>0</v>
      </c>
      <c r="L199" s="12">
        <f t="shared" si="82"/>
        <v>0</v>
      </c>
      <c r="M199" s="12">
        <f t="shared" si="82"/>
        <v>0</v>
      </c>
      <c r="N199" s="12">
        <f t="shared" si="82"/>
        <v>0</v>
      </c>
      <c r="O199" s="12">
        <f t="shared" si="46"/>
        <v>0</v>
      </c>
      <c r="P199" s="12">
        <f t="shared" si="83"/>
        <v>0</v>
      </c>
      <c r="Q199" s="12">
        <f t="shared" si="83"/>
        <v>0</v>
      </c>
      <c r="T199" s="61"/>
      <c r="U199" s="61"/>
      <c r="V199" s="61"/>
      <c r="W199" s="53">
        <f t="shared" si="48"/>
        <v>0</v>
      </c>
      <c r="X199" s="54" t="e">
        <f t="shared" si="49"/>
        <v>#DIV/0!</v>
      </c>
      <c r="Y199" s="25">
        <f t="shared" si="56"/>
        <v>0</v>
      </c>
      <c r="Z199" s="54">
        <f t="shared" si="61"/>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2"/>
        <v>0</v>
      </c>
      <c r="AM199" s="24">
        <f t="shared" si="53"/>
        <v>0</v>
      </c>
      <c r="AN199" s="55">
        <f t="shared" si="54"/>
        <v>0</v>
      </c>
      <c r="AO199" s="55">
        <f t="shared" si="55"/>
        <v>0</v>
      </c>
      <c r="AP199" s="24"/>
      <c r="AQ199" s="24"/>
      <c r="AR199" s="24"/>
      <c r="AS199" s="24"/>
      <c r="AT199" s="24"/>
      <c r="AU199" s="24"/>
      <c r="AV199" s="24"/>
      <c r="AW199" s="24"/>
      <c r="AX199" s="24"/>
      <c r="AY199" s="24"/>
    </row>
    <row r="200" spans="7:51">
      <c r="G200" s="12">
        <f t="shared" si="42"/>
        <v>0</v>
      </c>
      <c r="H200" s="12">
        <f t="shared" si="81"/>
        <v>0</v>
      </c>
      <c r="I200" s="12">
        <f t="shared" si="81"/>
        <v>0</v>
      </c>
      <c r="J200" s="12">
        <f t="shared" si="81"/>
        <v>0</v>
      </c>
      <c r="K200" s="12">
        <f t="shared" si="44"/>
        <v>0</v>
      </c>
      <c r="L200" s="12">
        <f t="shared" si="82"/>
        <v>0</v>
      </c>
      <c r="M200" s="12">
        <f t="shared" si="82"/>
        <v>0</v>
      </c>
      <c r="N200" s="12">
        <f t="shared" si="82"/>
        <v>0</v>
      </c>
      <c r="O200" s="12">
        <f t="shared" si="46"/>
        <v>0</v>
      </c>
      <c r="P200" s="12">
        <f t="shared" si="83"/>
        <v>0</v>
      </c>
      <c r="Q200" s="12">
        <f t="shared" si="83"/>
        <v>0</v>
      </c>
      <c r="T200" s="61"/>
      <c r="U200" s="61"/>
      <c r="V200" s="61"/>
      <c r="W200" s="53">
        <f t="shared" si="48"/>
        <v>0</v>
      </c>
      <c r="X200" s="54" t="e">
        <f t="shared" si="49"/>
        <v>#DIV/0!</v>
      </c>
      <c r="Y200" s="25">
        <f t="shared" si="56"/>
        <v>0</v>
      </c>
      <c r="Z200" s="54">
        <f t="shared" si="61"/>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2"/>
        <v>0</v>
      </c>
      <c r="AM200" s="24">
        <f t="shared" si="53"/>
        <v>0</v>
      </c>
      <c r="AN200" s="55">
        <f t="shared" si="54"/>
        <v>0</v>
      </c>
      <c r="AO200" s="55">
        <f t="shared" si="55"/>
        <v>0</v>
      </c>
      <c r="AP200" s="24"/>
      <c r="AQ200" s="24"/>
      <c r="AR200" s="24"/>
      <c r="AS200" s="24"/>
      <c r="AT200" s="24"/>
      <c r="AU200" s="24"/>
      <c r="AV200" s="24"/>
      <c r="AW200" s="24"/>
      <c r="AX200" s="24"/>
      <c r="AY200" s="24"/>
    </row>
    <row r="201" spans="7:51">
      <c r="G201" s="12">
        <f t="shared" si="42"/>
        <v>0</v>
      </c>
      <c r="H201" s="12">
        <f t="shared" si="81"/>
        <v>0</v>
      </c>
      <c r="I201" s="12">
        <f t="shared" si="81"/>
        <v>0</v>
      </c>
      <c r="J201" s="12">
        <f t="shared" si="81"/>
        <v>0</v>
      </c>
      <c r="K201" s="12">
        <f t="shared" si="44"/>
        <v>0</v>
      </c>
      <c r="L201" s="12">
        <f t="shared" si="82"/>
        <v>0</v>
      </c>
      <c r="M201" s="12">
        <f t="shared" si="82"/>
        <v>0</v>
      </c>
      <c r="N201" s="12">
        <f t="shared" si="82"/>
        <v>0</v>
      </c>
      <c r="O201" s="12">
        <f t="shared" si="46"/>
        <v>0</v>
      </c>
      <c r="P201" s="12">
        <f t="shared" si="83"/>
        <v>0</v>
      </c>
      <c r="Q201" s="12">
        <f t="shared" si="83"/>
        <v>0</v>
      </c>
      <c r="T201" s="61"/>
      <c r="U201" s="61"/>
      <c r="V201" s="61"/>
      <c r="W201" s="53">
        <f t="shared" si="48"/>
        <v>0</v>
      </c>
      <c r="X201" s="54" t="e">
        <f t="shared" si="49"/>
        <v>#DIV/0!</v>
      </c>
      <c r="Y201" s="25">
        <f t="shared" si="56"/>
        <v>0</v>
      </c>
      <c r="Z201" s="54">
        <f t="shared" si="61"/>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2"/>
        <v>0</v>
      </c>
      <c r="AM201" s="24">
        <f t="shared" si="53"/>
        <v>0</v>
      </c>
      <c r="AN201" s="55">
        <f t="shared" si="54"/>
        <v>0</v>
      </c>
      <c r="AO201" s="55">
        <f t="shared" si="55"/>
        <v>0</v>
      </c>
      <c r="AP201" s="24"/>
      <c r="AQ201" s="24"/>
      <c r="AR201" s="24"/>
      <c r="AS201" s="24"/>
      <c r="AT201" s="24"/>
      <c r="AU201" s="24"/>
      <c r="AV201" s="24"/>
      <c r="AW201" s="24"/>
      <c r="AX201" s="24"/>
      <c r="AY201" s="24"/>
    </row>
    <row r="202" spans="7:51">
      <c r="G202" s="12">
        <f t="shared" si="42"/>
        <v>0</v>
      </c>
      <c r="H202" s="12">
        <f t="shared" si="81"/>
        <v>0</v>
      </c>
      <c r="I202" s="12">
        <f t="shared" si="81"/>
        <v>0</v>
      </c>
      <c r="J202" s="12">
        <f t="shared" si="81"/>
        <v>0</v>
      </c>
      <c r="K202" s="12">
        <f t="shared" si="44"/>
        <v>0</v>
      </c>
      <c r="L202" s="12">
        <f t="shared" si="82"/>
        <v>0</v>
      </c>
      <c r="M202" s="12">
        <f t="shared" si="82"/>
        <v>0</v>
      </c>
      <c r="N202" s="12">
        <f t="shared" si="82"/>
        <v>0</v>
      </c>
      <c r="O202" s="12">
        <f t="shared" si="46"/>
        <v>0</v>
      </c>
      <c r="P202" s="12">
        <f t="shared" si="83"/>
        <v>0</v>
      </c>
      <c r="Q202" s="12">
        <f t="shared" si="83"/>
        <v>0</v>
      </c>
      <c r="T202" s="61"/>
      <c r="U202" s="61"/>
      <c r="V202" s="61"/>
      <c r="W202" s="53">
        <f t="shared" si="48"/>
        <v>0</v>
      </c>
      <c r="X202" s="54" t="e">
        <f t="shared" si="49"/>
        <v>#DIV/0!</v>
      </c>
      <c r="Y202" s="25">
        <f t="shared" si="56"/>
        <v>0</v>
      </c>
      <c r="Z202" s="54">
        <f t="shared" si="61"/>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2"/>
        <v>0</v>
      </c>
      <c r="AM202" s="24">
        <f t="shared" si="53"/>
        <v>0</v>
      </c>
      <c r="AN202" s="55">
        <f t="shared" si="54"/>
        <v>0</v>
      </c>
      <c r="AO202" s="55">
        <f t="shared" si="55"/>
        <v>0</v>
      </c>
      <c r="AP202" s="24"/>
      <c r="AQ202" s="24"/>
      <c r="AR202" s="24"/>
      <c r="AS202" s="24"/>
      <c r="AT202" s="24"/>
      <c r="AU202" s="24"/>
      <c r="AV202" s="24"/>
      <c r="AW202" s="24"/>
      <c r="AX202" s="24"/>
      <c r="AY202" s="24"/>
    </row>
    <row r="203" spans="7:51">
      <c r="G203" s="12">
        <f t="shared" si="42"/>
        <v>0</v>
      </c>
      <c r="H203" s="12">
        <f t="shared" si="81"/>
        <v>0</v>
      </c>
      <c r="I203" s="12">
        <f t="shared" si="81"/>
        <v>0</v>
      </c>
      <c r="J203" s="12">
        <f t="shared" si="81"/>
        <v>0</v>
      </c>
      <c r="K203" s="12">
        <f t="shared" si="44"/>
        <v>0</v>
      </c>
      <c r="L203" s="12">
        <f t="shared" si="82"/>
        <v>0</v>
      </c>
      <c r="M203" s="12">
        <f t="shared" si="82"/>
        <v>0</v>
      </c>
      <c r="N203" s="12">
        <f t="shared" si="82"/>
        <v>0</v>
      </c>
      <c r="O203" s="12">
        <f t="shared" si="46"/>
        <v>0</v>
      </c>
      <c r="P203" s="12">
        <f t="shared" si="83"/>
        <v>0</v>
      </c>
      <c r="Q203" s="12">
        <f t="shared" si="83"/>
        <v>0</v>
      </c>
      <c r="T203" s="61"/>
      <c r="U203" s="61"/>
      <c r="V203" s="61"/>
      <c r="W203" s="53">
        <f t="shared" si="48"/>
        <v>0</v>
      </c>
      <c r="X203" s="54" t="e">
        <f t="shared" si="49"/>
        <v>#DIV/0!</v>
      </c>
      <c r="Y203" s="25">
        <f t="shared" si="56"/>
        <v>0</v>
      </c>
      <c r="Z203" s="54">
        <f t="shared" si="61"/>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2"/>
        <v>0</v>
      </c>
      <c r="AM203" s="24">
        <f t="shared" si="53"/>
        <v>0</v>
      </c>
      <c r="AN203" s="55">
        <f t="shared" si="54"/>
        <v>0</v>
      </c>
      <c r="AO203" s="55">
        <f t="shared" si="55"/>
        <v>0</v>
      </c>
      <c r="AP203" s="24"/>
      <c r="AQ203" s="24"/>
      <c r="AR203" s="24"/>
      <c r="AS203" s="24"/>
      <c r="AT203" s="24"/>
      <c r="AU203" s="24"/>
      <c r="AV203" s="24"/>
      <c r="AW203" s="24"/>
      <c r="AX203" s="24"/>
      <c r="AY203" s="24"/>
    </row>
    <row r="204" spans="7:51">
      <c r="G204" s="12">
        <f t="shared" si="42"/>
        <v>0</v>
      </c>
      <c r="H204" s="12">
        <f t="shared" si="81"/>
        <v>0</v>
      </c>
      <c r="I204" s="12">
        <f t="shared" si="81"/>
        <v>0</v>
      </c>
      <c r="J204" s="12">
        <f t="shared" si="81"/>
        <v>0</v>
      </c>
      <c r="K204" s="12">
        <f t="shared" si="44"/>
        <v>0</v>
      </c>
      <c r="L204" s="12">
        <f t="shared" si="82"/>
        <v>0</v>
      </c>
      <c r="M204" s="12">
        <f t="shared" si="82"/>
        <v>0</v>
      </c>
      <c r="N204" s="12">
        <f t="shared" si="82"/>
        <v>0</v>
      </c>
      <c r="O204" s="12">
        <f t="shared" si="46"/>
        <v>0</v>
      </c>
      <c r="P204" s="12">
        <f t="shared" si="83"/>
        <v>0</v>
      </c>
      <c r="Q204" s="12">
        <f t="shared" si="83"/>
        <v>0</v>
      </c>
      <c r="T204" s="61"/>
      <c r="U204" s="61"/>
      <c r="V204" s="61"/>
      <c r="W204" s="53">
        <f t="shared" si="48"/>
        <v>0</v>
      </c>
      <c r="X204" s="54" t="e">
        <f t="shared" si="49"/>
        <v>#DIV/0!</v>
      </c>
      <c r="Y204" s="25">
        <f t="shared" si="56"/>
        <v>0</v>
      </c>
      <c r="Z204" s="54">
        <f t="shared" si="61"/>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2"/>
        <v>0</v>
      </c>
      <c r="AM204" s="24">
        <f t="shared" si="53"/>
        <v>0</v>
      </c>
      <c r="AN204" s="55">
        <f t="shared" si="54"/>
        <v>0</v>
      </c>
      <c r="AO204" s="55">
        <f t="shared" si="55"/>
        <v>0</v>
      </c>
      <c r="AP204" s="24"/>
      <c r="AQ204" s="24"/>
      <c r="AR204" s="24"/>
      <c r="AS204" s="24"/>
      <c r="AT204" s="24"/>
      <c r="AU204" s="24"/>
      <c r="AV204" s="24"/>
      <c r="AW204" s="24"/>
      <c r="AX204" s="24"/>
      <c r="AY204" s="24"/>
    </row>
    <row r="205" spans="7:51">
      <c r="G205" s="12">
        <f t="shared" si="42"/>
        <v>0</v>
      </c>
      <c r="H205" s="12">
        <f t="shared" si="81"/>
        <v>0</v>
      </c>
      <c r="I205" s="12">
        <f t="shared" si="81"/>
        <v>0</v>
      </c>
      <c r="J205" s="12">
        <f t="shared" si="81"/>
        <v>0</v>
      </c>
      <c r="K205" s="12">
        <f t="shared" si="44"/>
        <v>0</v>
      </c>
      <c r="L205" s="12">
        <f t="shared" si="82"/>
        <v>0</v>
      </c>
      <c r="M205" s="12">
        <f t="shared" si="82"/>
        <v>0</v>
      </c>
      <c r="N205" s="12">
        <f t="shared" si="82"/>
        <v>0</v>
      </c>
      <c r="O205" s="12">
        <f t="shared" si="46"/>
        <v>0</v>
      </c>
      <c r="P205" s="12">
        <f t="shared" si="83"/>
        <v>0</v>
      </c>
      <c r="Q205" s="12">
        <f t="shared" si="83"/>
        <v>0</v>
      </c>
      <c r="T205" s="61"/>
      <c r="U205" s="61"/>
      <c r="V205" s="61"/>
      <c r="W205" s="53">
        <f t="shared" si="48"/>
        <v>0</v>
      </c>
      <c r="X205" s="54" t="e">
        <f t="shared" si="49"/>
        <v>#DIV/0!</v>
      </c>
      <c r="Y205" s="25">
        <f t="shared" si="56"/>
        <v>0</v>
      </c>
      <c r="Z205" s="54">
        <f t="shared" si="61"/>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2"/>
        <v>0</v>
      </c>
      <c r="AM205" s="24">
        <f t="shared" si="53"/>
        <v>0</v>
      </c>
      <c r="AN205" s="55">
        <f t="shared" si="54"/>
        <v>0</v>
      </c>
      <c r="AO205" s="55">
        <f t="shared" si="55"/>
        <v>0</v>
      </c>
      <c r="AP205" s="24"/>
      <c r="AQ205" s="24"/>
      <c r="AR205" s="24"/>
      <c r="AS205" s="24"/>
      <c r="AT205" s="24"/>
      <c r="AU205" s="24"/>
      <c r="AV205" s="24"/>
      <c r="AW205" s="24"/>
      <c r="AX205" s="24"/>
      <c r="AY205" s="24"/>
    </row>
    <row r="206" spans="7:51">
      <c r="G206" s="12">
        <f t="shared" si="42"/>
        <v>0</v>
      </c>
      <c r="H206" s="12">
        <f t="shared" si="81"/>
        <v>0</v>
      </c>
      <c r="I206" s="12">
        <f t="shared" si="81"/>
        <v>0</v>
      </c>
      <c r="J206" s="12">
        <f t="shared" si="81"/>
        <v>0</v>
      </c>
      <c r="K206" s="12">
        <f t="shared" si="44"/>
        <v>0</v>
      </c>
      <c r="L206" s="12">
        <f t="shared" si="82"/>
        <v>0</v>
      </c>
      <c r="M206" s="12">
        <f t="shared" si="82"/>
        <v>0</v>
      </c>
      <c r="N206" s="12">
        <f t="shared" si="82"/>
        <v>0</v>
      </c>
      <c r="O206" s="12">
        <f t="shared" si="46"/>
        <v>0</v>
      </c>
      <c r="P206" s="12">
        <f t="shared" si="83"/>
        <v>0</v>
      </c>
      <c r="Q206" s="12">
        <f t="shared" si="83"/>
        <v>0</v>
      </c>
      <c r="T206" s="61"/>
      <c r="U206" s="61"/>
      <c r="V206" s="61"/>
      <c r="W206" s="53">
        <f t="shared" si="48"/>
        <v>0</v>
      </c>
      <c r="X206" s="54" t="e">
        <f t="shared" si="49"/>
        <v>#DIV/0!</v>
      </c>
      <c r="Y206" s="25">
        <f t="shared" si="56"/>
        <v>0</v>
      </c>
      <c r="Z206" s="54">
        <f t="shared" si="61"/>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2"/>
        <v>0</v>
      </c>
      <c r="AM206" s="24">
        <f t="shared" si="53"/>
        <v>0</v>
      </c>
      <c r="AN206" s="55">
        <f t="shared" si="54"/>
        <v>0</v>
      </c>
      <c r="AO206" s="55">
        <f t="shared" si="55"/>
        <v>0</v>
      </c>
      <c r="AP206" s="24"/>
      <c r="AQ206" s="24"/>
      <c r="AR206" s="24"/>
      <c r="AS206" s="24"/>
      <c r="AT206" s="24"/>
      <c r="AU206" s="24"/>
      <c r="AV206" s="24"/>
      <c r="AW206" s="24"/>
      <c r="AX206" s="24"/>
      <c r="AY206" s="24"/>
    </row>
    <row r="207" spans="7:51">
      <c r="G207" s="12">
        <f t="shared" si="42"/>
        <v>0</v>
      </c>
      <c r="H207" s="12">
        <f t="shared" ref="H207:J209" si="105">IF($E109&gt;H$66,0,IF($E109&lt;H$66-365,$C109,0))</f>
        <v>0</v>
      </c>
      <c r="I207" s="12">
        <f t="shared" si="105"/>
        <v>0</v>
      </c>
      <c r="J207" s="12">
        <f t="shared" si="105"/>
        <v>0</v>
      </c>
      <c r="K207" s="12">
        <f t="shared" si="44"/>
        <v>0</v>
      </c>
      <c r="L207" s="12">
        <f t="shared" ref="L207:N209" si="106">IF($E109&gt;L$66,0,IF($E109&lt;L$66-365,$C109,0))</f>
        <v>0</v>
      </c>
      <c r="M207" s="12">
        <f t="shared" si="106"/>
        <v>0</v>
      </c>
      <c r="N207" s="12">
        <f t="shared" si="106"/>
        <v>0</v>
      </c>
      <c r="O207" s="12">
        <f t="shared" si="46"/>
        <v>0</v>
      </c>
      <c r="P207" s="12">
        <f t="shared" ref="P207:Q209" si="107">IF($E109&gt;P$66,0,IF($E109&lt;P$66-365,$C109,0))</f>
        <v>0</v>
      </c>
      <c r="Q207" s="12">
        <f t="shared" si="107"/>
        <v>0</v>
      </c>
      <c r="T207" s="61"/>
      <c r="U207" s="61"/>
      <c r="V207" s="61"/>
      <c r="W207" s="53">
        <f t="shared" si="48"/>
        <v>0</v>
      </c>
      <c r="X207" s="54" t="e">
        <f t="shared" si="49"/>
        <v>#DIV/0!</v>
      </c>
      <c r="Y207" s="25">
        <f t="shared" si="56"/>
        <v>0</v>
      </c>
      <c r="Z207" s="54">
        <f t="shared" si="61"/>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2"/>
        <v>0</v>
      </c>
      <c r="AM207" s="24">
        <f t="shared" si="53"/>
        <v>0</v>
      </c>
      <c r="AN207" s="55">
        <f t="shared" si="54"/>
        <v>0</v>
      </c>
      <c r="AO207" s="55">
        <f t="shared" si="55"/>
        <v>0</v>
      </c>
      <c r="AP207" s="24"/>
      <c r="AQ207" s="24"/>
      <c r="AR207" s="24"/>
      <c r="AS207" s="24"/>
      <c r="AT207" s="24"/>
      <c r="AU207" s="24"/>
      <c r="AV207" s="24"/>
      <c r="AW207" s="24"/>
      <c r="AX207" s="24"/>
      <c r="AY207" s="24"/>
    </row>
    <row r="208" spans="7:51">
      <c r="G208" s="12">
        <f t="shared" si="42"/>
        <v>0</v>
      </c>
      <c r="H208" s="12">
        <f t="shared" si="105"/>
        <v>0</v>
      </c>
      <c r="I208" s="12">
        <f t="shared" si="105"/>
        <v>0</v>
      </c>
      <c r="J208" s="12">
        <f t="shared" si="105"/>
        <v>0</v>
      </c>
      <c r="K208" s="12">
        <f t="shared" si="44"/>
        <v>0</v>
      </c>
      <c r="L208" s="12">
        <f t="shared" si="106"/>
        <v>0</v>
      </c>
      <c r="M208" s="12">
        <f t="shared" si="106"/>
        <v>0</v>
      </c>
      <c r="N208" s="12">
        <f t="shared" si="106"/>
        <v>0</v>
      </c>
      <c r="O208" s="12">
        <f t="shared" si="46"/>
        <v>0</v>
      </c>
      <c r="P208" s="12">
        <f t="shared" si="107"/>
        <v>0</v>
      </c>
      <c r="Q208" s="12">
        <f t="shared" si="107"/>
        <v>0</v>
      </c>
      <c r="T208" s="61"/>
      <c r="U208" s="61"/>
      <c r="V208" s="61"/>
      <c r="W208" s="53">
        <f t="shared" si="48"/>
        <v>0</v>
      </c>
      <c r="X208" s="54" t="e">
        <f t="shared" si="49"/>
        <v>#DIV/0!</v>
      </c>
      <c r="Y208" s="25">
        <f t="shared" si="56"/>
        <v>0</v>
      </c>
      <c r="Z208" s="54">
        <f t="shared" si="61"/>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2"/>
        <v>0</v>
      </c>
      <c r="AM208" s="24">
        <f t="shared" si="53"/>
        <v>0</v>
      </c>
      <c r="AN208" s="55">
        <f t="shared" si="54"/>
        <v>0</v>
      </c>
      <c r="AO208" s="55">
        <f t="shared" si="55"/>
        <v>0</v>
      </c>
      <c r="AP208" s="24"/>
      <c r="AQ208" s="24"/>
      <c r="AR208" s="24"/>
      <c r="AS208" s="24"/>
      <c r="AT208" s="24"/>
      <c r="AU208" s="24"/>
      <c r="AV208" s="24"/>
      <c r="AW208" s="24"/>
      <c r="AX208" s="24"/>
      <c r="AY208" s="24"/>
    </row>
    <row r="209" spans="6:51">
      <c r="G209" s="12">
        <f t="shared" si="42"/>
        <v>0</v>
      </c>
      <c r="H209" s="12">
        <f t="shared" si="105"/>
        <v>0</v>
      </c>
      <c r="I209" s="12">
        <f t="shared" si="105"/>
        <v>0</v>
      </c>
      <c r="J209" s="12">
        <f t="shared" si="105"/>
        <v>0</v>
      </c>
      <c r="K209" s="12">
        <f t="shared" si="44"/>
        <v>0</v>
      </c>
      <c r="L209" s="12">
        <f t="shared" si="106"/>
        <v>0</v>
      </c>
      <c r="M209" s="12">
        <f t="shared" si="106"/>
        <v>0</v>
      </c>
      <c r="N209" s="12">
        <f t="shared" si="106"/>
        <v>0</v>
      </c>
      <c r="O209" s="12">
        <f t="shared" si="46"/>
        <v>0</v>
      </c>
      <c r="P209" s="12">
        <f t="shared" si="107"/>
        <v>0</v>
      </c>
      <c r="Q209" s="12">
        <f t="shared" si="107"/>
        <v>0</v>
      </c>
      <c r="T209" s="61"/>
      <c r="U209" s="61"/>
      <c r="V209" s="61"/>
      <c r="W209" s="53">
        <f t="shared" si="48"/>
        <v>0</v>
      </c>
      <c r="X209" s="54" t="e">
        <f t="shared" si="49"/>
        <v>#DIV/0!</v>
      </c>
      <c r="Y209" s="25">
        <f t="shared" si="56"/>
        <v>0</v>
      </c>
      <c r="Z209" s="54">
        <f t="shared" si="61"/>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2"/>
        <v>0</v>
      </c>
      <c r="AM209" s="24">
        <f t="shared" si="53"/>
        <v>0</v>
      </c>
      <c r="AN209" s="55">
        <f t="shared" si="54"/>
        <v>0</v>
      </c>
      <c r="AO209" s="55">
        <f t="shared" si="55"/>
        <v>0</v>
      </c>
      <c r="AP209" s="24"/>
      <c r="AQ209" s="24"/>
      <c r="AR209" s="24"/>
      <c r="AS209" s="24"/>
      <c r="AT209" s="24"/>
      <c r="AU209" s="24"/>
      <c r="AV209" s="24"/>
      <c r="AW209" s="24"/>
      <c r="AX209" s="24"/>
      <c r="AY209" s="24"/>
    </row>
    <row r="210" spans="6:51">
      <c r="T210" s="61"/>
      <c r="U210" s="61"/>
      <c r="V210" s="61"/>
      <c r="W210" s="53">
        <f t="shared" si="48"/>
        <v>0</v>
      </c>
      <c r="X210" s="54" t="e">
        <f t="shared" si="49"/>
        <v>#DIV/0!</v>
      </c>
      <c r="Y210" s="25">
        <f t="shared" si="56"/>
        <v>0</v>
      </c>
      <c r="Z210" s="54">
        <f t="shared" si="61"/>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2"/>
        <v>0</v>
      </c>
      <c r="AM210" s="24">
        <f t="shared" si="53"/>
        <v>0</v>
      </c>
      <c r="AN210" s="55">
        <f t="shared" si="54"/>
        <v>0</v>
      </c>
      <c r="AO210" s="55">
        <f t="shared" si="55"/>
        <v>0</v>
      </c>
      <c r="AP210" s="24"/>
      <c r="AQ210" s="24"/>
      <c r="AR210" s="24"/>
      <c r="AS210" s="24"/>
      <c r="AT210" s="24"/>
      <c r="AU210" s="24"/>
      <c r="AV210" s="24"/>
      <c r="AW210" s="24"/>
      <c r="AX210" s="24"/>
      <c r="AY210" s="24"/>
    </row>
    <row r="211" spans="6:51">
      <c r="T211" s="61"/>
      <c r="U211" s="61"/>
      <c r="V211" s="61"/>
      <c r="W211" s="53">
        <f t="shared" si="48"/>
        <v>0</v>
      </c>
      <c r="X211" s="54" t="e">
        <f t="shared" si="49"/>
        <v>#DIV/0!</v>
      </c>
      <c r="Y211" s="25">
        <f t="shared" si="56"/>
        <v>0</v>
      </c>
      <c r="Z211" s="54">
        <f t="shared" si="61"/>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2"/>
        <v>0</v>
      </c>
      <c r="AM211" s="24">
        <f t="shared" si="53"/>
        <v>0</v>
      </c>
      <c r="AN211" s="55">
        <f t="shared" si="54"/>
        <v>0</v>
      </c>
      <c r="AO211" s="55">
        <f t="shared" si="55"/>
        <v>0</v>
      </c>
      <c r="AP211" s="25"/>
      <c r="AQ211" s="24"/>
      <c r="AR211" s="24"/>
      <c r="AS211" s="24"/>
      <c r="AT211" s="24"/>
      <c r="AU211" s="24"/>
      <c r="AV211" s="24"/>
      <c r="AW211" s="24"/>
      <c r="AX211" s="24"/>
      <c r="AY211" s="24"/>
    </row>
    <row r="212" spans="6:51">
      <c r="T212" s="61"/>
      <c r="U212" s="61"/>
      <c r="V212" s="61"/>
      <c r="W212" s="53"/>
      <c r="X212" s="54"/>
      <c r="Y212" s="25">
        <f t="shared" si="56"/>
        <v>0</v>
      </c>
      <c r="Z212" s="54">
        <f t="shared" si="61"/>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2"/>
        <v>0</v>
      </c>
      <c r="AM212" s="24">
        <f t="shared" si="53"/>
        <v>0</v>
      </c>
      <c r="AN212" s="55">
        <f t="shared" si="54"/>
        <v>0</v>
      </c>
      <c r="AO212" s="55">
        <f t="shared" si="55"/>
        <v>0</v>
      </c>
      <c r="AP212" s="24"/>
      <c r="AQ212" s="24"/>
      <c r="AR212" s="24"/>
      <c r="AS212" s="24"/>
      <c r="AT212" s="24"/>
      <c r="AU212" s="24"/>
      <c r="AV212" s="24"/>
      <c r="AW212" s="24"/>
      <c r="AX212" s="24"/>
      <c r="AY212" s="24"/>
    </row>
    <row r="213" spans="6:51">
      <c r="T213" s="61"/>
      <c r="U213" s="61"/>
      <c r="V213" s="61"/>
      <c r="W213" s="53"/>
      <c r="X213" s="54"/>
      <c r="Y213" s="25">
        <f t="shared" si="56"/>
        <v>0</v>
      </c>
      <c r="Z213" s="54">
        <f t="shared" si="61"/>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2"/>
        <v>0</v>
      </c>
      <c r="AM213" s="24">
        <f t="shared" si="53"/>
        <v>0</v>
      </c>
      <c r="AN213" s="55">
        <f t="shared" si="54"/>
        <v>0</v>
      </c>
      <c r="AO213" s="55">
        <f t="shared" si="55"/>
        <v>0</v>
      </c>
      <c r="AP213" s="24"/>
      <c r="AQ213" s="24"/>
      <c r="AR213" s="24"/>
      <c r="AS213" s="24"/>
      <c r="AT213" s="24"/>
      <c r="AU213" s="24"/>
      <c r="AV213" s="24"/>
      <c r="AW213" s="24"/>
      <c r="AX213" s="24"/>
      <c r="AY213" s="24"/>
    </row>
    <row r="214" spans="6:51" ht="13">
      <c r="F214" s="187" t="s">
        <v>490</v>
      </c>
      <c r="G214" s="187">
        <f>SUM(G167:G213)</f>
        <v>0</v>
      </c>
      <c r="H214" s="187">
        <f t="shared" ref="H214:Q214" si="115">SUM(H167:H213)</f>
        <v>0</v>
      </c>
      <c r="I214" s="187">
        <f t="shared" si="115"/>
        <v>0</v>
      </c>
      <c r="J214" s="187">
        <f t="shared" si="115"/>
        <v>0</v>
      </c>
      <c r="K214" s="187">
        <f t="shared" si="115"/>
        <v>0</v>
      </c>
      <c r="L214" s="187">
        <f t="shared" si="115"/>
        <v>0</v>
      </c>
      <c r="M214" s="187">
        <f t="shared" si="115"/>
        <v>0</v>
      </c>
      <c r="N214" s="187">
        <f t="shared" si="115"/>
        <v>0</v>
      </c>
      <c r="O214" s="187">
        <f t="shared" si="115"/>
        <v>0</v>
      </c>
      <c r="P214" s="187">
        <f t="shared" si="115"/>
        <v>0</v>
      </c>
      <c r="Q214" s="187">
        <f t="shared" si="115"/>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60.3</v>
      </c>
      <c r="AA215" s="156">
        <f>$C$64+AA214</f>
        <v>60.3</v>
      </c>
      <c r="AB215" s="156">
        <f t="shared" ref="AB215:AE215" si="116">$C$64+AB214</f>
        <v>60.3</v>
      </c>
      <c r="AC215" s="156">
        <f t="shared" si="116"/>
        <v>60.3</v>
      </c>
      <c r="AD215" s="156">
        <f t="shared" si="116"/>
        <v>60.3</v>
      </c>
      <c r="AE215" s="156">
        <f t="shared" si="116"/>
        <v>60.3</v>
      </c>
      <c r="AF215" s="156">
        <f>$C$64+AF214</f>
        <v>60.3</v>
      </c>
      <c r="AG215" s="156">
        <f t="shared" ref="AG215:AJ215" si="117">$C$64+AG214</f>
        <v>60.3</v>
      </c>
      <c r="AH215" s="156">
        <f>$C$64+AH214</f>
        <v>60.3</v>
      </c>
      <c r="AI215" s="156">
        <f t="shared" si="117"/>
        <v>60.3</v>
      </c>
      <c r="AJ215" s="156">
        <f t="shared" si="117"/>
        <v>60.3</v>
      </c>
      <c r="AK215" s="156">
        <f t="shared" ref="AK215" si="118">$C$64+AK214</f>
        <v>60.3</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9">IF(Z215&lt;$BB$154,(6+(1-Z215/$BB$154)),IF(Z215&lt;$BB$155,5.5+(0.5*(($BB$155-Z215)/($BB$155-$BB$154))),IF(Z215&lt;$BB$156,5-0.5*((Z215)-$BB$156)/($BB$156-$BB$155),IF(Z215&lt;$BB$157,4.5-0.5*((Z215-$BB$157)/($BB$157-$BB$156)),5-0.5*((Z215-$BB$156)/$BH$166)))))</f>
        <v>5.2669923839632133</v>
      </c>
      <c r="AA216" s="154">
        <f t="shared" si="119"/>
        <v>5.2669923839632133</v>
      </c>
      <c r="AB216" s="154">
        <f t="shared" si="119"/>
        <v>5.2669923839632133</v>
      </c>
      <c r="AC216" s="154">
        <f t="shared" si="119"/>
        <v>5.2669923839632133</v>
      </c>
      <c r="AD216" s="154">
        <f t="shared" si="119"/>
        <v>5.2669923839632133</v>
      </c>
      <c r="AE216" s="154">
        <f t="shared" si="119"/>
        <v>5.2669923839632133</v>
      </c>
      <c r="AF216" s="154">
        <f t="shared" si="119"/>
        <v>5.2669923839632133</v>
      </c>
      <c r="AG216" s="154">
        <f t="shared" si="119"/>
        <v>5.2669923839632133</v>
      </c>
      <c r="AH216" s="154">
        <f t="shared" si="119"/>
        <v>5.2669923839632133</v>
      </c>
      <c r="AI216" s="154">
        <f t="shared" si="119"/>
        <v>5.2669923839632133</v>
      </c>
      <c r="AJ216" s="154">
        <f t="shared" si="119"/>
        <v>5.2669923839632133</v>
      </c>
      <c r="AK216" s="154">
        <f>IF(AK215&lt;$BB$154,(6+(1-AK215/$BB$154)),IF(AK215&lt;$BB$155,5.5+(0.5*(($BB$155-AK215)/($BB$155-$BB$154))),IF(AK215&lt;$BB$156,5-0.5*((AK215)-$BB$156)/($BB$156-$BB$155),IF(AK215&lt;$BB$157,4.5-0.5*((AK215-$BB$157)/($BB$157-$BB$156)),5-0.5*((AK215-$BB$156)/$BH$166)))))</f>
        <v>5.2669923839632133</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0">IF($E69&lt;G$66,$D69,0)</f>
        <v>0</v>
      </c>
      <c r="H220" s="12">
        <f t="shared" ref="H220:Q220" si="121">IF($E69&gt;H$66,0,IF($E69&lt;H$66-365,$D69,0))</f>
        <v>0</v>
      </c>
      <c r="I220" s="12">
        <f t="shared" si="121"/>
        <v>0</v>
      </c>
      <c r="J220" s="12">
        <f t="shared" si="121"/>
        <v>0</v>
      </c>
      <c r="K220" s="12">
        <f t="shared" si="121"/>
        <v>0</v>
      </c>
      <c r="L220" s="12">
        <f t="shared" si="121"/>
        <v>0</v>
      </c>
      <c r="M220" s="12">
        <f t="shared" si="121"/>
        <v>0</v>
      </c>
      <c r="N220" s="12">
        <f t="shared" si="121"/>
        <v>0</v>
      </c>
      <c r="O220" s="12">
        <f t="shared" si="121"/>
        <v>0</v>
      </c>
      <c r="P220" s="12">
        <f t="shared" si="121"/>
        <v>0</v>
      </c>
      <c r="Q220" s="12">
        <f t="shared" si="121"/>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0"/>
        <v>0</v>
      </c>
      <c r="H221" s="12">
        <f t="shared" ref="H221:Q221" si="122">IF($E70&gt;H$66,0,IF($E70&lt;H$66-365,$D70,0))</f>
        <v>0</v>
      </c>
      <c r="I221" s="12">
        <f t="shared" si="122"/>
        <v>0</v>
      </c>
      <c r="J221" s="12">
        <f t="shared" si="122"/>
        <v>0</v>
      </c>
      <c r="K221" s="12">
        <f t="shared" si="122"/>
        <v>0</v>
      </c>
      <c r="L221" s="12">
        <f t="shared" si="122"/>
        <v>0</v>
      </c>
      <c r="M221" s="12">
        <f t="shared" si="122"/>
        <v>0</v>
      </c>
      <c r="N221" s="12">
        <f t="shared" si="122"/>
        <v>0</v>
      </c>
      <c r="O221" s="12">
        <f t="shared" si="122"/>
        <v>0</v>
      </c>
      <c r="P221" s="12">
        <f t="shared" si="122"/>
        <v>0</v>
      </c>
      <c r="Q221" s="12">
        <f t="shared" si="122"/>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0"/>
        <v>0</v>
      </c>
      <c r="H222" s="12">
        <f t="shared" ref="H222:Q222" si="123">IF($E71&gt;H$66,0,IF($E71&lt;H$66-365,$D71,0))</f>
        <v>0</v>
      </c>
      <c r="I222" s="12">
        <f t="shared" si="123"/>
        <v>0</v>
      </c>
      <c r="J222" s="12">
        <f t="shared" si="123"/>
        <v>0</v>
      </c>
      <c r="K222" s="12">
        <f t="shared" si="123"/>
        <v>0</v>
      </c>
      <c r="L222" s="12">
        <f t="shared" si="123"/>
        <v>0</v>
      </c>
      <c r="M222" s="12">
        <f t="shared" si="123"/>
        <v>0</v>
      </c>
      <c r="N222" s="12">
        <f t="shared" si="123"/>
        <v>0</v>
      </c>
      <c r="O222" s="12">
        <f t="shared" si="123"/>
        <v>0</v>
      </c>
      <c r="P222" s="12">
        <f t="shared" si="123"/>
        <v>0</v>
      </c>
      <c r="Q222" s="12">
        <f t="shared" si="123"/>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0"/>
        <v>0</v>
      </c>
      <c r="H223" s="12">
        <f t="shared" ref="H223:Q223" si="124">IF($E72&gt;H$66,0,IF($E72&lt;H$66-365,$D72,0))</f>
        <v>0</v>
      </c>
      <c r="I223" s="12">
        <f t="shared" si="124"/>
        <v>0</v>
      </c>
      <c r="J223" s="12">
        <f t="shared" si="124"/>
        <v>0</v>
      </c>
      <c r="K223" s="12">
        <f t="shared" si="124"/>
        <v>0</v>
      </c>
      <c r="L223" s="12">
        <f t="shared" si="124"/>
        <v>0</v>
      </c>
      <c r="M223" s="12">
        <f t="shared" si="124"/>
        <v>0</v>
      </c>
      <c r="N223" s="12">
        <f t="shared" si="124"/>
        <v>0</v>
      </c>
      <c r="O223" s="12">
        <f t="shared" si="124"/>
        <v>0</v>
      </c>
      <c r="P223" s="12">
        <f t="shared" si="124"/>
        <v>0</v>
      </c>
      <c r="Q223" s="12">
        <f t="shared" si="124"/>
        <v>0</v>
      </c>
      <c r="T223" s="20"/>
      <c r="U223" s="20"/>
      <c r="V223" s="20"/>
    </row>
    <row r="224" spans="6:51">
      <c r="G224" s="12">
        <f t="shared" si="120"/>
        <v>0</v>
      </c>
      <c r="H224" s="12">
        <f t="shared" ref="H224:Q224" si="125">IF($E73&gt;H$66,0,IF($E73&lt;H$66-365,$D73,0))</f>
        <v>0</v>
      </c>
      <c r="I224" s="12">
        <f t="shared" si="125"/>
        <v>0</v>
      </c>
      <c r="J224" s="12">
        <f t="shared" si="125"/>
        <v>0</v>
      </c>
      <c r="K224" s="12">
        <f t="shared" si="125"/>
        <v>0</v>
      </c>
      <c r="L224" s="12">
        <f t="shared" si="125"/>
        <v>0</v>
      </c>
      <c r="M224" s="12">
        <f t="shared" si="125"/>
        <v>0</v>
      </c>
      <c r="N224" s="12">
        <f t="shared" si="125"/>
        <v>0</v>
      </c>
      <c r="O224" s="12">
        <f t="shared" si="125"/>
        <v>0</v>
      </c>
      <c r="P224" s="12">
        <f t="shared" si="125"/>
        <v>0</v>
      </c>
      <c r="Q224" s="12">
        <f t="shared" si="125"/>
        <v>0</v>
      </c>
      <c r="T224" s="20"/>
      <c r="U224" s="20"/>
      <c r="V224" s="20"/>
    </row>
    <row r="225" spans="7:28">
      <c r="G225" s="12">
        <f t="shared" si="120"/>
        <v>0</v>
      </c>
      <c r="H225" s="12">
        <f t="shared" ref="H225:Q225" si="126">IF($E74&gt;H$66,0,IF($E74&lt;H$66-365,$D74,0))</f>
        <v>0</v>
      </c>
      <c r="I225" s="12">
        <f t="shared" si="126"/>
        <v>0</v>
      </c>
      <c r="J225" s="12">
        <f t="shared" si="126"/>
        <v>0</v>
      </c>
      <c r="K225" s="12">
        <f t="shared" si="126"/>
        <v>0</v>
      </c>
      <c r="L225" s="12">
        <f t="shared" si="126"/>
        <v>0</v>
      </c>
      <c r="M225" s="12">
        <f t="shared" si="126"/>
        <v>0</v>
      </c>
      <c r="N225" s="12">
        <f t="shared" si="126"/>
        <v>0</v>
      </c>
      <c r="O225" s="12">
        <f t="shared" si="126"/>
        <v>0</v>
      </c>
      <c r="P225" s="12">
        <f t="shared" si="126"/>
        <v>0</v>
      </c>
      <c r="Q225" s="12">
        <f t="shared" si="126"/>
        <v>0</v>
      </c>
      <c r="T225" s="20"/>
      <c r="U225" s="20"/>
      <c r="V225" s="20"/>
      <c r="AA225" s="55">
        <f>SUM(AN167:AN213)</f>
        <v>0</v>
      </c>
      <c r="AB225" s="24">
        <f>SUM(AO167:AO213)</f>
        <v>0</v>
      </c>
    </row>
    <row r="226" spans="7:28">
      <c r="G226" s="12">
        <f t="shared" si="120"/>
        <v>0</v>
      </c>
      <c r="H226" s="12">
        <f t="shared" ref="H226:Q226" si="127">IF($E75&gt;H$66,0,IF($E75&lt;H$66-365,$D75,0))</f>
        <v>0</v>
      </c>
      <c r="I226" s="12">
        <f t="shared" si="127"/>
        <v>0</v>
      </c>
      <c r="J226" s="12">
        <f t="shared" si="127"/>
        <v>0</v>
      </c>
      <c r="K226" s="12">
        <f t="shared" si="127"/>
        <v>0</v>
      </c>
      <c r="L226" s="12">
        <f t="shared" si="127"/>
        <v>0</v>
      </c>
      <c r="M226" s="12">
        <f t="shared" si="127"/>
        <v>0</v>
      </c>
      <c r="N226" s="12">
        <f t="shared" si="127"/>
        <v>0</v>
      </c>
      <c r="O226" s="12">
        <f t="shared" si="127"/>
        <v>0</v>
      </c>
      <c r="P226" s="12">
        <f t="shared" si="127"/>
        <v>0</v>
      </c>
      <c r="Q226" s="12">
        <f t="shared" si="127"/>
        <v>0</v>
      </c>
      <c r="T226" s="20"/>
      <c r="U226" s="20"/>
      <c r="V226" s="20"/>
      <c r="AA226" s="24">
        <f>AA225*1.35</f>
        <v>0</v>
      </c>
      <c r="AB226" s="24">
        <f>AB225*1.35</f>
        <v>0</v>
      </c>
    </row>
    <row r="227" spans="7:28">
      <c r="G227" s="12">
        <f t="shared" si="120"/>
        <v>0</v>
      </c>
      <c r="H227" s="12">
        <f t="shared" ref="H227:Q227" si="128">IF($E76&gt;H$66,0,IF($E76&lt;H$66-365,$D76,0))</f>
        <v>0</v>
      </c>
      <c r="I227" s="12">
        <f t="shared" si="128"/>
        <v>0</v>
      </c>
      <c r="J227" s="12">
        <f t="shared" si="128"/>
        <v>0</v>
      </c>
      <c r="K227" s="12">
        <f t="shared" si="128"/>
        <v>0</v>
      </c>
      <c r="L227" s="12">
        <f t="shared" si="128"/>
        <v>0</v>
      </c>
      <c r="M227" s="12">
        <f t="shared" si="128"/>
        <v>0</v>
      </c>
      <c r="N227" s="12">
        <f t="shared" si="128"/>
        <v>0</v>
      </c>
      <c r="O227" s="12">
        <f t="shared" si="128"/>
        <v>0</v>
      </c>
      <c r="P227" s="12">
        <f t="shared" si="128"/>
        <v>0</v>
      </c>
      <c r="Q227" s="12">
        <f t="shared" si="128"/>
        <v>0</v>
      </c>
    </row>
    <row r="228" spans="7:28">
      <c r="G228" s="12">
        <f t="shared" si="120"/>
        <v>0</v>
      </c>
      <c r="H228" s="12">
        <f t="shared" ref="H228:Q228" si="129">IF($E77&gt;H$66,0,IF($E77&lt;H$66-365,$D77,0))</f>
        <v>0</v>
      </c>
      <c r="I228" s="12">
        <f t="shared" si="129"/>
        <v>0</v>
      </c>
      <c r="J228" s="12">
        <f t="shared" si="129"/>
        <v>0</v>
      </c>
      <c r="K228" s="12">
        <f t="shared" si="129"/>
        <v>0</v>
      </c>
      <c r="L228" s="12">
        <f t="shared" si="129"/>
        <v>0</v>
      </c>
      <c r="M228" s="12">
        <f t="shared" si="129"/>
        <v>0</v>
      </c>
      <c r="N228" s="12">
        <f t="shared" si="129"/>
        <v>0</v>
      </c>
      <c r="O228" s="12">
        <f t="shared" si="129"/>
        <v>0</v>
      </c>
      <c r="P228" s="12">
        <f t="shared" si="129"/>
        <v>0</v>
      </c>
      <c r="Q228" s="12">
        <f t="shared" si="129"/>
        <v>0</v>
      </c>
    </row>
    <row r="229" spans="7:28">
      <c r="G229" s="12">
        <f t="shared" si="120"/>
        <v>0</v>
      </c>
      <c r="H229" s="12">
        <f t="shared" ref="H229:Q229" si="130">IF($E78&gt;H$66,0,IF($E78&lt;H$66-365,$D78,0))</f>
        <v>0</v>
      </c>
      <c r="I229" s="12">
        <f t="shared" si="130"/>
        <v>0</v>
      </c>
      <c r="J229" s="12">
        <f t="shared" si="130"/>
        <v>0</v>
      </c>
      <c r="K229" s="12">
        <f t="shared" si="130"/>
        <v>0</v>
      </c>
      <c r="L229" s="12">
        <f t="shared" si="130"/>
        <v>0</v>
      </c>
      <c r="M229" s="12">
        <f t="shared" si="130"/>
        <v>0</v>
      </c>
      <c r="N229" s="12">
        <f t="shared" si="130"/>
        <v>0</v>
      </c>
      <c r="O229" s="12">
        <f t="shared" si="130"/>
        <v>0</v>
      </c>
      <c r="P229" s="12">
        <f t="shared" si="130"/>
        <v>0</v>
      </c>
      <c r="Q229" s="12">
        <f t="shared" si="130"/>
        <v>0</v>
      </c>
    </row>
    <row r="230" spans="7:28">
      <c r="G230" s="12">
        <f t="shared" si="120"/>
        <v>0</v>
      </c>
      <c r="H230" s="12">
        <f t="shared" ref="H230:Q230" si="131">IF($E79&gt;H$66,0,IF($E79&lt;H$66-365,$D79,0))</f>
        <v>0</v>
      </c>
      <c r="I230" s="12">
        <f t="shared" si="131"/>
        <v>0</v>
      </c>
      <c r="J230" s="12">
        <f t="shared" si="131"/>
        <v>0</v>
      </c>
      <c r="K230" s="12">
        <f t="shared" si="131"/>
        <v>0</v>
      </c>
      <c r="L230" s="12">
        <f t="shared" si="131"/>
        <v>0</v>
      </c>
      <c r="M230" s="12">
        <f t="shared" si="131"/>
        <v>0</v>
      </c>
      <c r="N230" s="12">
        <f t="shared" si="131"/>
        <v>0</v>
      </c>
      <c r="O230" s="12">
        <f t="shared" si="131"/>
        <v>0</v>
      </c>
      <c r="P230" s="12">
        <f t="shared" si="131"/>
        <v>0</v>
      </c>
      <c r="Q230" s="12">
        <f t="shared" si="131"/>
        <v>0</v>
      </c>
    </row>
    <row r="231" spans="7:28">
      <c r="G231" s="12">
        <f t="shared" si="120"/>
        <v>0</v>
      </c>
      <c r="H231" s="12">
        <f t="shared" ref="H231:Q231" si="132">IF($E80&gt;H$66,0,IF($E80&lt;H$66-365,$D80,0))</f>
        <v>0</v>
      </c>
      <c r="I231" s="12">
        <f t="shared" si="132"/>
        <v>0</v>
      </c>
      <c r="J231" s="12">
        <f t="shared" si="132"/>
        <v>0</v>
      </c>
      <c r="K231" s="12">
        <f t="shared" si="132"/>
        <v>0</v>
      </c>
      <c r="L231" s="12">
        <f t="shared" si="132"/>
        <v>0</v>
      </c>
      <c r="M231" s="12">
        <f t="shared" si="132"/>
        <v>0</v>
      </c>
      <c r="N231" s="12">
        <f t="shared" si="132"/>
        <v>0</v>
      </c>
      <c r="O231" s="12">
        <f t="shared" si="132"/>
        <v>0</v>
      </c>
      <c r="P231" s="12">
        <f t="shared" si="132"/>
        <v>0</v>
      </c>
      <c r="Q231" s="12">
        <f t="shared" si="132"/>
        <v>0</v>
      </c>
    </row>
    <row r="232" spans="7:28">
      <c r="G232" s="12">
        <f t="shared" si="120"/>
        <v>0</v>
      </c>
      <c r="H232" s="12">
        <f t="shared" ref="H232:Q232" si="133">IF($E81&gt;H$66,0,IF($E81&lt;H$66-365,$D81,0))</f>
        <v>0</v>
      </c>
      <c r="I232" s="12">
        <f t="shared" si="133"/>
        <v>0</v>
      </c>
      <c r="J232" s="12">
        <f t="shared" si="133"/>
        <v>0</v>
      </c>
      <c r="K232" s="12">
        <f t="shared" si="133"/>
        <v>0</v>
      </c>
      <c r="L232" s="12">
        <f t="shared" si="133"/>
        <v>0</v>
      </c>
      <c r="M232" s="12">
        <f t="shared" si="133"/>
        <v>0</v>
      </c>
      <c r="N232" s="12">
        <f t="shared" si="133"/>
        <v>0</v>
      </c>
      <c r="O232" s="12">
        <f t="shared" si="133"/>
        <v>0</v>
      </c>
      <c r="P232" s="12">
        <f t="shared" si="133"/>
        <v>0</v>
      </c>
      <c r="Q232" s="12">
        <f t="shared" si="133"/>
        <v>0</v>
      </c>
    </row>
    <row r="233" spans="7:28">
      <c r="G233" s="12">
        <f t="shared" si="120"/>
        <v>0</v>
      </c>
      <c r="H233" s="12">
        <f t="shared" ref="H233:Q233" si="134">IF($E82&gt;H$66,0,IF($E82&lt;H$66-365,$D82,0))</f>
        <v>0</v>
      </c>
      <c r="I233" s="12">
        <f t="shared" si="134"/>
        <v>0</v>
      </c>
      <c r="J233" s="12">
        <f t="shared" si="134"/>
        <v>0</v>
      </c>
      <c r="K233" s="12">
        <f t="shared" si="134"/>
        <v>0</v>
      </c>
      <c r="L233" s="12">
        <f t="shared" si="134"/>
        <v>0</v>
      </c>
      <c r="M233" s="12">
        <f t="shared" si="134"/>
        <v>0</v>
      </c>
      <c r="N233" s="12">
        <f t="shared" si="134"/>
        <v>0</v>
      </c>
      <c r="O233" s="12">
        <f t="shared" si="134"/>
        <v>0</v>
      </c>
      <c r="P233" s="12">
        <f t="shared" si="134"/>
        <v>0</v>
      </c>
      <c r="Q233" s="12">
        <f t="shared" si="134"/>
        <v>0</v>
      </c>
    </row>
    <row r="234" spans="7:28">
      <c r="G234" s="12">
        <f t="shared" si="120"/>
        <v>0</v>
      </c>
      <c r="H234" s="12">
        <f t="shared" ref="H234:Q234" si="135">IF($E83&gt;H$66,0,IF($E83&lt;H$66-365,$D83,0))</f>
        <v>0</v>
      </c>
      <c r="I234" s="12">
        <f t="shared" si="135"/>
        <v>0</v>
      </c>
      <c r="J234" s="12">
        <f t="shared" si="135"/>
        <v>0</v>
      </c>
      <c r="K234" s="12">
        <f t="shared" si="135"/>
        <v>0</v>
      </c>
      <c r="L234" s="12">
        <f t="shared" si="135"/>
        <v>0</v>
      </c>
      <c r="M234" s="12">
        <f t="shared" si="135"/>
        <v>0</v>
      </c>
      <c r="N234" s="12">
        <f t="shared" si="135"/>
        <v>0</v>
      </c>
      <c r="O234" s="12">
        <f t="shared" si="135"/>
        <v>0</v>
      </c>
      <c r="P234" s="12">
        <f t="shared" si="135"/>
        <v>0</v>
      </c>
      <c r="Q234" s="12">
        <f t="shared" si="135"/>
        <v>0</v>
      </c>
    </row>
    <row r="235" spans="7:28">
      <c r="G235" s="12">
        <f t="shared" si="120"/>
        <v>0</v>
      </c>
      <c r="H235" s="12">
        <f t="shared" ref="H235:Q235" si="136">IF($E84&gt;H$66,0,IF($E84&lt;H$66-365,$D84,0))</f>
        <v>0</v>
      </c>
      <c r="I235" s="12">
        <f t="shared" si="136"/>
        <v>0</v>
      </c>
      <c r="J235" s="12">
        <f t="shared" si="136"/>
        <v>0</v>
      </c>
      <c r="K235" s="12">
        <f t="shared" si="136"/>
        <v>0</v>
      </c>
      <c r="L235" s="12">
        <f t="shared" si="136"/>
        <v>0</v>
      </c>
      <c r="M235" s="12">
        <f t="shared" si="136"/>
        <v>0</v>
      </c>
      <c r="N235" s="12">
        <f t="shared" si="136"/>
        <v>0</v>
      </c>
      <c r="O235" s="12">
        <f t="shared" si="136"/>
        <v>0</v>
      </c>
      <c r="P235" s="12">
        <f t="shared" si="136"/>
        <v>0</v>
      </c>
      <c r="Q235" s="12">
        <f t="shared" si="136"/>
        <v>0</v>
      </c>
    </row>
    <row r="236" spans="7:28">
      <c r="G236" s="12">
        <f t="shared" si="120"/>
        <v>0</v>
      </c>
      <c r="H236" s="12">
        <f t="shared" ref="H236:Q236" si="137">IF($E85&gt;H$66,0,IF($E85&lt;H$66-365,$D85,0))</f>
        <v>0</v>
      </c>
      <c r="I236" s="12">
        <f t="shared" si="137"/>
        <v>0</v>
      </c>
      <c r="J236" s="12">
        <f t="shared" si="137"/>
        <v>0</v>
      </c>
      <c r="K236" s="12">
        <f t="shared" si="137"/>
        <v>0</v>
      </c>
      <c r="L236" s="12">
        <f t="shared" si="137"/>
        <v>0</v>
      </c>
      <c r="M236" s="12">
        <f t="shared" si="137"/>
        <v>0</v>
      </c>
      <c r="N236" s="12">
        <f t="shared" si="137"/>
        <v>0</v>
      </c>
      <c r="O236" s="12">
        <f t="shared" si="137"/>
        <v>0</v>
      </c>
      <c r="P236" s="12">
        <f t="shared" si="137"/>
        <v>0</v>
      </c>
      <c r="Q236" s="12">
        <f t="shared" si="137"/>
        <v>0</v>
      </c>
    </row>
    <row r="237" spans="7:28">
      <c r="G237" s="12">
        <f t="shared" si="120"/>
        <v>0</v>
      </c>
      <c r="H237" s="12">
        <f t="shared" ref="H237:Q237" si="138">IF($E86&gt;H$66,0,IF($E86&lt;H$66-365,$D86,0))</f>
        <v>0</v>
      </c>
      <c r="I237" s="12">
        <f t="shared" si="138"/>
        <v>0</v>
      </c>
      <c r="J237" s="12">
        <f t="shared" si="138"/>
        <v>0</v>
      </c>
      <c r="K237" s="12">
        <f t="shared" si="138"/>
        <v>0</v>
      </c>
      <c r="L237" s="12">
        <f t="shared" si="138"/>
        <v>0</v>
      </c>
      <c r="M237" s="12">
        <f t="shared" si="138"/>
        <v>0</v>
      </c>
      <c r="N237" s="12">
        <f t="shared" si="138"/>
        <v>0</v>
      </c>
      <c r="O237" s="12">
        <f t="shared" si="138"/>
        <v>0</v>
      </c>
      <c r="P237" s="12">
        <f t="shared" si="138"/>
        <v>0</v>
      </c>
      <c r="Q237" s="12">
        <f t="shared" si="138"/>
        <v>0</v>
      </c>
    </row>
    <row r="238" spans="7:28">
      <c r="G238" s="12">
        <f t="shared" si="120"/>
        <v>0</v>
      </c>
      <c r="H238" s="12">
        <f t="shared" ref="H238:Q238" si="139">IF($E87&gt;H$66,0,IF($E87&lt;H$66-365,$D87,0))</f>
        <v>0</v>
      </c>
      <c r="I238" s="12">
        <f t="shared" si="139"/>
        <v>0</v>
      </c>
      <c r="J238" s="12">
        <f t="shared" si="139"/>
        <v>0</v>
      </c>
      <c r="K238" s="12">
        <f t="shared" si="139"/>
        <v>0</v>
      </c>
      <c r="L238" s="12">
        <f t="shared" si="139"/>
        <v>0</v>
      </c>
      <c r="M238" s="12">
        <f t="shared" si="139"/>
        <v>0</v>
      </c>
      <c r="N238" s="12">
        <f t="shared" si="139"/>
        <v>0</v>
      </c>
      <c r="O238" s="12">
        <f t="shared" si="139"/>
        <v>0</v>
      </c>
      <c r="P238" s="12">
        <f t="shared" si="139"/>
        <v>0</v>
      </c>
      <c r="Q238" s="12">
        <f t="shared" si="139"/>
        <v>0</v>
      </c>
    </row>
    <row r="239" spans="7:28">
      <c r="G239" s="12">
        <f t="shared" si="120"/>
        <v>0</v>
      </c>
      <c r="H239" s="12">
        <f t="shared" ref="H239:Q239" si="140">IF($E88&gt;H$66,0,IF($E88&lt;H$66-365,$D88,0))</f>
        <v>0</v>
      </c>
      <c r="I239" s="12">
        <f t="shared" si="140"/>
        <v>0</v>
      </c>
      <c r="J239" s="12">
        <f t="shared" si="140"/>
        <v>0</v>
      </c>
      <c r="K239" s="12">
        <f t="shared" si="140"/>
        <v>0</v>
      </c>
      <c r="L239" s="12">
        <f t="shared" si="140"/>
        <v>0</v>
      </c>
      <c r="M239" s="12">
        <f t="shared" si="140"/>
        <v>0</v>
      </c>
      <c r="N239" s="12">
        <f t="shared" si="140"/>
        <v>0</v>
      </c>
      <c r="O239" s="12">
        <f t="shared" si="140"/>
        <v>0</v>
      </c>
      <c r="P239" s="12">
        <f t="shared" si="140"/>
        <v>0</v>
      </c>
      <c r="Q239" s="12">
        <f t="shared" si="140"/>
        <v>0</v>
      </c>
    </row>
    <row r="240" spans="7:28">
      <c r="G240" s="12">
        <f t="shared" si="120"/>
        <v>0</v>
      </c>
      <c r="H240" s="12">
        <f t="shared" ref="H240:Q240" si="141">IF($E89&gt;H$66,0,IF($E89&lt;H$66-365,$D89,0))</f>
        <v>0</v>
      </c>
      <c r="I240" s="12">
        <f t="shared" si="141"/>
        <v>0</v>
      </c>
      <c r="J240" s="12">
        <f t="shared" si="141"/>
        <v>0</v>
      </c>
      <c r="K240" s="12">
        <f t="shared" si="141"/>
        <v>0</v>
      </c>
      <c r="L240" s="12">
        <f t="shared" si="141"/>
        <v>0</v>
      </c>
      <c r="M240" s="12">
        <f t="shared" si="141"/>
        <v>0</v>
      </c>
      <c r="N240" s="12">
        <f t="shared" si="141"/>
        <v>0</v>
      </c>
      <c r="O240" s="12">
        <f t="shared" si="141"/>
        <v>0</v>
      </c>
      <c r="P240" s="12">
        <f t="shared" si="141"/>
        <v>0</v>
      </c>
      <c r="Q240" s="12">
        <f t="shared" si="141"/>
        <v>0</v>
      </c>
    </row>
    <row r="241" spans="7:17">
      <c r="G241" s="12">
        <f t="shared" si="120"/>
        <v>0</v>
      </c>
      <c r="H241" s="12">
        <f t="shared" ref="H241:Q241" si="142">IF($E90&gt;H$66,0,IF($E90&lt;H$66-365,$D90,0))</f>
        <v>0</v>
      </c>
      <c r="I241" s="12">
        <f t="shared" si="142"/>
        <v>0</v>
      </c>
      <c r="J241" s="12">
        <f t="shared" si="142"/>
        <v>0</v>
      </c>
      <c r="K241" s="12">
        <f t="shared" si="142"/>
        <v>0</v>
      </c>
      <c r="L241" s="12">
        <f t="shared" si="142"/>
        <v>0</v>
      </c>
      <c r="M241" s="12">
        <f t="shared" si="142"/>
        <v>0</v>
      </c>
      <c r="N241" s="12">
        <f t="shared" si="142"/>
        <v>0</v>
      </c>
      <c r="O241" s="12">
        <f t="shared" si="142"/>
        <v>0</v>
      </c>
      <c r="P241" s="12">
        <f t="shared" si="142"/>
        <v>0</v>
      </c>
      <c r="Q241" s="12">
        <f t="shared" si="142"/>
        <v>0</v>
      </c>
    </row>
    <row r="242" spans="7:17">
      <c r="G242" s="12">
        <f t="shared" si="120"/>
        <v>0</v>
      </c>
      <c r="H242" s="12">
        <f t="shared" ref="H242:Q242" si="143">IF($E91&gt;H$66,0,IF($E91&lt;H$66-365,$D91,0))</f>
        <v>0</v>
      </c>
      <c r="I242" s="12">
        <f t="shared" si="143"/>
        <v>0</v>
      </c>
      <c r="J242" s="12">
        <f t="shared" si="143"/>
        <v>0</v>
      </c>
      <c r="K242" s="12">
        <f t="shared" si="143"/>
        <v>0</v>
      </c>
      <c r="L242" s="12">
        <f t="shared" si="143"/>
        <v>0</v>
      </c>
      <c r="M242" s="12">
        <f t="shared" si="143"/>
        <v>0</v>
      </c>
      <c r="N242" s="12">
        <f t="shared" si="143"/>
        <v>0</v>
      </c>
      <c r="O242" s="12">
        <f t="shared" si="143"/>
        <v>0</v>
      </c>
      <c r="P242" s="12">
        <f t="shared" si="143"/>
        <v>0</v>
      </c>
      <c r="Q242" s="12">
        <f t="shared" si="143"/>
        <v>0</v>
      </c>
    </row>
    <row r="243" spans="7:17">
      <c r="G243" s="12">
        <f t="shared" si="120"/>
        <v>0</v>
      </c>
      <c r="H243" s="12">
        <f t="shared" ref="H243:Q243" si="144">IF($E92&gt;H$66,0,IF($E92&lt;H$66-365,$D92,0))</f>
        <v>0</v>
      </c>
      <c r="I243" s="12">
        <f t="shared" si="144"/>
        <v>0</v>
      </c>
      <c r="J243" s="12">
        <f t="shared" si="144"/>
        <v>0</v>
      </c>
      <c r="K243" s="12">
        <f t="shared" si="144"/>
        <v>0</v>
      </c>
      <c r="L243" s="12">
        <f t="shared" si="144"/>
        <v>0</v>
      </c>
      <c r="M243" s="12">
        <f t="shared" si="144"/>
        <v>0</v>
      </c>
      <c r="N243" s="12">
        <f t="shared" si="144"/>
        <v>0</v>
      </c>
      <c r="O243" s="12">
        <f t="shared" si="144"/>
        <v>0</v>
      </c>
      <c r="P243" s="12">
        <f t="shared" si="144"/>
        <v>0</v>
      </c>
      <c r="Q243" s="12">
        <f t="shared" si="144"/>
        <v>0</v>
      </c>
    </row>
    <row r="244" spans="7:17">
      <c r="G244" s="12">
        <f t="shared" si="120"/>
        <v>0</v>
      </c>
      <c r="H244" s="12">
        <f t="shared" ref="H244:Q244" si="145">IF($E93&gt;H$66,0,IF($E93&lt;H$66-365,$D93,0))</f>
        <v>0</v>
      </c>
      <c r="I244" s="12">
        <f t="shared" si="145"/>
        <v>0</v>
      </c>
      <c r="J244" s="12">
        <f t="shared" si="145"/>
        <v>0</v>
      </c>
      <c r="K244" s="12">
        <f t="shared" si="145"/>
        <v>0</v>
      </c>
      <c r="L244" s="12">
        <f t="shared" si="145"/>
        <v>0</v>
      </c>
      <c r="M244" s="12">
        <f t="shared" si="145"/>
        <v>0</v>
      </c>
      <c r="N244" s="12">
        <f t="shared" si="145"/>
        <v>0</v>
      </c>
      <c r="O244" s="12">
        <f t="shared" si="145"/>
        <v>0</v>
      </c>
      <c r="P244" s="12">
        <f t="shared" si="145"/>
        <v>0</v>
      </c>
      <c r="Q244" s="12">
        <f t="shared" si="145"/>
        <v>0</v>
      </c>
    </row>
    <row r="245" spans="7:17">
      <c r="G245" s="12">
        <f t="shared" si="120"/>
        <v>0</v>
      </c>
      <c r="H245" s="12">
        <f t="shared" ref="H245:Q245" si="146">IF($E94&gt;H$66,0,IF($E94&lt;H$66-365,$D94,0))</f>
        <v>0</v>
      </c>
      <c r="I245" s="12">
        <f t="shared" si="146"/>
        <v>0</v>
      </c>
      <c r="J245" s="12">
        <f t="shared" si="146"/>
        <v>0</v>
      </c>
      <c r="K245" s="12">
        <f t="shared" si="146"/>
        <v>0</v>
      </c>
      <c r="L245" s="12">
        <f t="shared" si="146"/>
        <v>0</v>
      </c>
      <c r="M245" s="12">
        <f t="shared" si="146"/>
        <v>0</v>
      </c>
      <c r="N245" s="12">
        <f t="shared" si="146"/>
        <v>0</v>
      </c>
      <c r="O245" s="12">
        <f t="shared" si="146"/>
        <v>0</v>
      </c>
      <c r="P245" s="12">
        <f t="shared" si="146"/>
        <v>0</v>
      </c>
      <c r="Q245" s="12">
        <f t="shared" si="146"/>
        <v>0</v>
      </c>
    </row>
    <row r="246" spans="7:17">
      <c r="G246" s="12">
        <f t="shared" si="120"/>
        <v>0</v>
      </c>
      <c r="H246" s="12">
        <f t="shared" ref="H246:Q246" si="147">IF($E95&gt;H$66,0,IF($E95&lt;H$66-365,$D95,0))</f>
        <v>0</v>
      </c>
      <c r="I246" s="12">
        <f t="shared" si="147"/>
        <v>0</v>
      </c>
      <c r="J246" s="12">
        <f t="shared" si="147"/>
        <v>0</v>
      </c>
      <c r="K246" s="12">
        <f t="shared" si="147"/>
        <v>0</v>
      </c>
      <c r="L246" s="12">
        <f t="shared" si="147"/>
        <v>0</v>
      </c>
      <c r="M246" s="12">
        <f t="shared" si="147"/>
        <v>0</v>
      </c>
      <c r="N246" s="12">
        <f t="shared" si="147"/>
        <v>0</v>
      </c>
      <c r="O246" s="12">
        <f t="shared" si="147"/>
        <v>0</v>
      </c>
      <c r="P246" s="12">
        <f t="shared" si="147"/>
        <v>0</v>
      </c>
      <c r="Q246" s="12">
        <f t="shared" si="147"/>
        <v>0</v>
      </c>
    </row>
    <row r="247" spans="7:17">
      <c r="G247" s="12">
        <f t="shared" si="120"/>
        <v>0</v>
      </c>
      <c r="H247" s="12">
        <f t="shared" ref="H247:Q247" si="148">IF($E96&gt;H$66,0,IF($E96&lt;H$66-365,$D96,0))</f>
        <v>0</v>
      </c>
      <c r="I247" s="12">
        <f t="shared" si="148"/>
        <v>0</v>
      </c>
      <c r="J247" s="12">
        <f t="shared" si="148"/>
        <v>0</v>
      </c>
      <c r="K247" s="12">
        <f t="shared" si="148"/>
        <v>0</v>
      </c>
      <c r="L247" s="12">
        <f t="shared" si="148"/>
        <v>0</v>
      </c>
      <c r="M247" s="12">
        <f t="shared" si="148"/>
        <v>0</v>
      </c>
      <c r="N247" s="12">
        <f t="shared" si="148"/>
        <v>0</v>
      </c>
      <c r="O247" s="12">
        <f t="shared" si="148"/>
        <v>0</v>
      </c>
      <c r="P247" s="12">
        <f t="shared" si="148"/>
        <v>0</v>
      </c>
      <c r="Q247" s="12">
        <f t="shared" si="148"/>
        <v>0</v>
      </c>
    </row>
    <row r="248" spans="7:17">
      <c r="G248" s="12">
        <f t="shared" si="120"/>
        <v>0</v>
      </c>
      <c r="H248" s="12">
        <f t="shared" ref="H248:Q248" si="149">IF($E97&gt;H$66,0,IF($E97&lt;H$66-365,$D97,0))</f>
        <v>0</v>
      </c>
      <c r="I248" s="12">
        <f t="shared" si="149"/>
        <v>0</v>
      </c>
      <c r="J248" s="12">
        <f t="shared" si="149"/>
        <v>0</v>
      </c>
      <c r="K248" s="12">
        <f t="shared" si="149"/>
        <v>0</v>
      </c>
      <c r="L248" s="12">
        <f t="shared" si="149"/>
        <v>0</v>
      </c>
      <c r="M248" s="12">
        <f t="shared" si="149"/>
        <v>0</v>
      </c>
      <c r="N248" s="12">
        <f t="shared" si="149"/>
        <v>0</v>
      </c>
      <c r="O248" s="12">
        <f t="shared" si="149"/>
        <v>0</v>
      </c>
      <c r="P248" s="12">
        <f t="shared" si="149"/>
        <v>0</v>
      </c>
      <c r="Q248" s="12">
        <f t="shared" si="149"/>
        <v>0</v>
      </c>
    </row>
    <row r="249" spans="7:17">
      <c r="G249" s="12">
        <f t="shared" si="120"/>
        <v>0</v>
      </c>
      <c r="H249" s="12">
        <f t="shared" ref="H249:Q249" si="150">IF($E98&gt;H$66,0,IF($E98&lt;H$66-365,$D98,0))</f>
        <v>0</v>
      </c>
      <c r="I249" s="12">
        <f t="shared" si="150"/>
        <v>0</v>
      </c>
      <c r="J249" s="12">
        <f t="shared" si="150"/>
        <v>0</v>
      </c>
      <c r="K249" s="12">
        <f t="shared" si="150"/>
        <v>0</v>
      </c>
      <c r="L249" s="12">
        <f t="shared" si="150"/>
        <v>0</v>
      </c>
      <c r="M249" s="12">
        <f t="shared" si="150"/>
        <v>0</v>
      </c>
      <c r="N249" s="12">
        <f t="shared" si="150"/>
        <v>0</v>
      </c>
      <c r="O249" s="12">
        <f t="shared" si="150"/>
        <v>0</v>
      </c>
      <c r="P249" s="12">
        <f t="shared" si="150"/>
        <v>0</v>
      </c>
      <c r="Q249" s="12">
        <f t="shared" si="150"/>
        <v>0</v>
      </c>
    </row>
    <row r="250" spans="7:17">
      <c r="G250" s="12">
        <f t="shared" si="120"/>
        <v>0</v>
      </c>
      <c r="H250" s="12">
        <f t="shared" ref="H250:Q250" si="151">IF($E99&gt;H$66,0,IF($E99&lt;H$66-365,$D99,0))</f>
        <v>0</v>
      </c>
      <c r="I250" s="12">
        <f t="shared" si="151"/>
        <v>0</v>
      </c>
      <c r="J250" s="12">
        <f t="shared" si="151"/>
        <v>0</v>
      </c>
      <c r="K250" s="12">
        <f t="shared" si="151"/>
        <v>0</v>
      </c>
      <c r="L250" s="12">
        <f t="shared" si="151"/>
        <v>0</v>
      </c>
      <c r="M250" s="12">
        <f t="shared" si="151"/>
        <v>0</v>
      </c>
      <c r="N250" s="12">
        <f t="shared" si="151"/>
        <v>0</v>
      </c>
      <c r="O250" s="12">
        <f t="shared" si="151"/>
        <v>0</v>
      </c>
      <c r="P250" s="12">
        <f t="shared" si="151"/>
        <v>0</v>
      </c>
      <c r="Q250" s="12">
        <f t="shared" si="151"/>
        <v>0</v>
      </c>
    </row>
    <row r="251" spans="7:17">
      <c r="G251" s="12">
        <f t="shared" si="120"/>
        <v>0</v>
      </c>
      <c r="H251" s="12">
        <f t="shared" ref="H251:Q251" si="152">IF($E100&gt;H$66,0,IF($E100&lt;H$66-365,$D100,0))</f>
        <v>0</v>
      </c>
      <c r="I251" s="12">
        <f t="shared" si="152"/>
        <v>0</v>
      </c>
      <c r="J251" s="12">
        <f t="shared" si="152"/>
        <v>0</v>
      </c>
      <c r="K251" s="12">
        <f t="shared" si="152"/>
        <v>0</v>
      </c>
      <c r="L251" s="12">
        <f t="shared" si="152"/>
        <v>0</v>
      </c>
      <c r="M251" s="12">
        <f t="shared" si="152"/>
        <v>0</v>
      </c>
      <c r="N251" s="12">
        <f t="shared" si="152"/>
        <v>0</v>
      </c>
      <c r="O251" s="12">
        <f t="shared" si="152"/>
        <v>0</v>
      </c>
      <c r="P251" s="12">
        <f t="shared" si="152"/>
        <v>0</v>
      </c>
      <c r="Q251" s="12">
        <f t="shared" si="152"/>
        <v>0</v>
      </c>
    </row>
    <row r="252" spans="7:17">
      <c r="G252" s="12">
        <f t="shared" si="120"/>
        <v>0</v>
      </c>
      <c r="H252" s="12">
        <f t="shared" ref="H252:Q252" si="153">IF($E101&gt;H$66,0,IF($E101&lt;H$66-365,$D101,0))</f>
        <v>0</v>
      </c>
      <c r="I252" s="12">
        <f t="shared" si="153"/>
        <v>0</v>
      </c>
      <c r="J252" s="12">
        <f t="shared" si="153"/>
        <v>0</v>
      </c>
      <c r="K252" s="12">
        <f t="shared" si="153"/>
        <v>0</v>
      </c>
      <c r="L252" s="12">
        <f t="shared" si="153"/>
        <v>0</v>
      </c>
      <c r="M252" s="12">
        <f t="shared" si="153"/>
        <v>0</v>
      </c>
      <c r="N252" s="12">
        <f t="shared" si="153"/>
        <v>0</v>
      </c>
      <c r="O252" s="12">
        <f t="shared" si="153"/>
        <v>0</v>
      </c>
      <c r="P252" s="12">
        <f t="shared" si="153"/>
        <v>0</v>
      </c>
      <c r="Q252" s="12">
        <f t="shared" si="153"/>
        <v>0</v>
      </c>
    </row>
    <row r="253" spans="7:17">
      <c r="G253" s="12">
        <f t="shared" si="120"/>
        <v>0</v>
      </c>
      <c r="H253" s="12">
        <f t="shared" ref="H253:Q253" si="154">IF($E102&gt;H$66,0,IF($E102&lt;H$66-365,$D102,0))</f>
        <v>0</v>
      </c>
      <c r="I253" s="12">
        <f t="shared" si="154"/>
        <v>0</v>
      </c>
      <c r="J253" s="12">
        <f t="shared" si="154"/>
        <v>0</v>
      </c>
      <c r="K253" s="12">
        <f t="shared" si="154"/>
        <v>0</v>
      </c>
      <c r="L253" s="12">
        <f t="shared" si="154"/>
        <v>0</v>
      </c>
      <c r="M253" s="12">
        <f t="shared" si="154"/>
        <v>0</v>
      </c>
      <c r="N253" s="12">
        <f t="shared" si="154"/>
        <v>0</v>
      </c>
      <c r="O253" s="12">
        <f t="shared" si="154"/>
        <v>0</v>
      </c>
      <c r="P253" s="12">
        <f t="shared" si="154"/>
        <v>0</v>
      </c>
      <c r="Q253" s="12">
        <f t="shared" si="154"/>
        <v>0</v>
      </c>
    </row>
    <row r="254" spans="7:17">
      <c r="G254" s="12">
        <f t="shared" si="120"/>
        <v>0</v>
      </c>
      <c r="H254" s="12">
        <f t="shared" ref="H254:Q254" si="155">IF($E103&gt;H$66,0,IF($E103&lt;H$66-365,$D103,0))</f>
        <v>0</v>
      </c>
      <c r="I254" s="12">
        <f t="shared" si="155"/>
        <v>0</v>
      </c>
      <c r="J254" s="12">
        <f t="shared" si="155"/>
        <v>0</v>
      </c>
      <c r="K254" s="12">
        <f t="shared" si="155"/>
        <v>0</v>
      </c>
      <c r="L254" s="12">
        <f t="shared" si="155"/>
        <v>0</v>
      </c>
      <c r="M254" s="12">
        <f t="shared" si="155"/>
        <v>0</v>
      </c>
      <c r="N254" s="12">
        <f t="shared" si="155"/>
        <v>0</v>
      </c>
      <c r="O254" s="12">
        <f t="shared" si="155"/>
        <v>0</v>
      </c>
      <c r="P254" s="12">
        <f t="shared" si="155"/>
        <v>0</v>
      </c>
      <c r="Q254" s="12">
        <f t="shared" si="155"/>
        <v>0</v>
      </c>
    </row>
    <row r="255" spans="7:17">
      <c r="G255" s="12">
        <f t="shared" si="120"/>
        <v>0</v>
      </c>
      <c r="H255" s="12">
        <f t="shared" ref="H255:Q255" si="156">IF($E104&gt;H$66,0,IF($E104&lt;H$66-365,$D104,0))</f>
        <v>0</v>
      </c>
      <c r="I255" s="12">
        <f t="shared" si="156"/>
        <v>0</v>
      </c>
      <c r="J255" s="12">
        <f t="shared" si="156"/>
        <v>0</v>
      </c>
      <c r="K255" s="12">
        <f t="shared" si="156"/>
        <v>0</v>
      </c>
      <c r="L255" s="12">
        <f t="shared" si="156"/>
        <v>0</v>
      </c>
      <c r="M255" s="12">
        <f t="shared" si="156"/>
        <v>0</v>
      </c>
      <c r="N255" s="12">
        <f t="shared" si="156"/>
        <v>0</v>
      </c>
      <c r="O255" s="12">
        <f t="shared" si="156"/>
        <v>0</v>
      </c>
      <c r="P255" s="12">
        <f t="shared" si="156"/>
        <v>0</v>
      </c>
      <c r="Q255" s="12">
        <f t="shared" si="156"/>
        <v>0</v>
      </c>
    </row>
    <row r="256" spans="7:17">
      <c r="G256" s="12">
        <f t="shared" si="120"/>
        <v>0</v>
      </c>
      <c r="H256" s="12">
        <f t="shared" ref="H256:Q256" si="157">IF($E105&gt;H$66,0,IF($E105&lt;H$66-365,$D105,0))</f>
        <v>0</v>
      </c>
      <c r="I256" s="12">
        <f t="shared" si="157"/>
        <v>0</v>
      </c>
      <c r="J256" s="12">
        <f t="shared" si="157"/>
        <v>0</v>
      </c>
      <c r="K256" s="12">
        <f t="shared" si="157"/>
        <v>0</v>
      </c>
      <c r="L256" s="12">
        <f t="shared" si="157"/>
        <v>0</v>
      </c>
      <c r="M256" s="12">
        <f t="shared" si="157"/>
        <v>0</v>
      </c>
      <c r="N256" s="12">
        <f t="shared" si="157"/>
        <v>0</v>
      </c>
      <c r="O256" s="12">
        <f t="shared" si="157"/>
        <v>0</v>
      </c>
      <c r="P256" s="12">
        <f t="shared" si="157"/>
        <v>0</v>
      </c>
      <c r="Q256" s="12">
        <f t="shared" si="157"/>
        <v>0</v>
      </c>
    </row>
    <row r="257" spans="5:18">
      <c r="G257" s="12">
        <f t="shared" si="120"/>
        <v>0</v>
      </c>
      <c r="H257" s="12">
        <f t="shared" ref="H257:Q257" si="158">IF($E106&gt;H$66,0,IF($E106&lt;H$66-365,$D106,0))</f>
        <v>0</v>
      </c>
      <c r="I257" s="12">
        <f t="shared" si="158"/>
        <v>0</v>
      </c>
      <c r="J257" s="12">
        <f t="shared" si="158"/>
        <v>0</v>
      </c>
      <c r="K257" s="12">
        <f t="shared" si="158"/>
        <v>0</v>
      </c>
      <c r="L257" s="12">
        <f t="shared" si="158"/>
        <v>0</v>
      </c>
      <c r="M257" s="12">
        <f t="shared" si="158"/>
        <v>0</v>
      </c>
      <c r="N257" s="12">
        <f t="shared" si="158"/>
        <v>0</v>
      </c>
      <c r="O257" s="12">
        <f t="shared" si="158"/>
        <v>0</v>
      </c>
      <c r="P257" s="12">
        <f t="shared" si="158"/>
        <v>0</v>
      </c>
      <c r="Q257" s="12">
        <f t="shared" si="158"/>
        <v>0</v>
      </c>
    </row>
    <row r="258" spans="5:18">
      <c r="G258" s="12">
        <f t="shared" si="120"/>
        <v>0</v>
      </c>
      <c r="H258" s="12">
        <f t="shared" ref="H258:Q258" si="159">IF($E107&gt;H$66,0,IF($E107&lt;H$66-365,$D107,0))</f>
        <v>0</v>
      </c>
      <c r="I258" s="12">
        <f t="shared" si="159"/>
        <v>0</v>
      </c>
      <c r="J258" s="12">
        <f t="shared" si="159"/>
        <v>0</v>
      </c>
      <c r="K258" s="12">
        <f t="shared" si="159"/>
        <v>0</v>
      </c>
      <c r="L258" s="12">
        <f t="shared" si="159"/>
        <v>0</v>
      </c>
      <c r="M258" s="12">
        <f t="shared" si="159"/>
        <v>0</v>
      </c>
      <c r="N258" s="12">
        <f t="shared" si="159"/>
        <v>0</v>
      </c>
      <c r="O258" s="12">
        <f t="shared" si="159"/>
        <v>0</v>
      </c>
      <c r="P258" s="12">
        <f t="shared" si="159"/>
        <v>0</v>
      </c>
      <c r="Q258" s="12">
        <f t="shared" si="159"/>
        <v>0</v>
      </c>
    </row>
    <row r="259" spans="5:18">
      <c r="G259" s="12">
        <f t="shared" si="120"/>
        <v>0</v>
      </c>
      <c r="H259" s="12">
        <f t="shared" ref="H259:Q259" si="160">IF($E108&gt;H$66,0,IF($E108&lt;H$66-365,$D108,0))</f>
        <v>0</v>
      </c>
      <c r="I259" s="12">
        <f t="shared" si="160"/>
        <v>0</v>
      </c>
      <c r="J259" s="12">
        <f t="shared" si="160"/>
        <v>0</v>
      </c>
      <c r="K259" s="12">
        <f t="shared" si="160"/>
        <v>0</v>
      </c>
      <c r="L259" s="12">
        <f t="shared" si="160"/>
        <v>0</v>
      </c>
      <c r="M259" s="12">
        <f t="shared" si="160"/>
        <v>0</v>
      </c>
      <c r="N259" s="12">
        <f t="shared" si="160"/>
        <v>0</v>
      </c>
      <c r="O259" s="12">
        <f t="shared" si="160"/>
        <v>0</v>
      </c>
      <c r="P259" s="12">
        <f t="shared" si="160"/>
        <v>0</v>
      </c>
      <c r="Q259" s="12">
        <f t="shared" si="160"/>
        <v>0</v>
      </c>
    </row>
    <row r="260" spans="5:18">
      <c r="G260" s="12">
        <f t="shared" si="120"/>
        <v>0</v>
      </c>
      <c r="H260" s="12">
        <f t="shared" ref="H260:Q260" si="161">IF($E109&gt;H$66,0,IF($E109&lt;H$66-365,$D109,0))</f>
        <v>0</v>
      </c>
      <c r="I260" s="12">
        <f t="shared" si="161"/>
        <v>0</v>
      </c>
      <c r="J260" s="12">
        <f t="shared" si="161"/>
        <v>0</v>
      </c>
      <c r="K260" s="12">
        <f t="shared" si="161"/>
        <v>0</v>
      </c>
      <c r="L260" s="12">
        <f t="shared" si="161"/>
        <v>0</v>
      </c>
      <c r="M260" s="12">
        <f t="shared" si="161"/>
        <v>0</v>
      </c>
      <c r="N260" s="12">
        <f t="shared" si="161"/>
        <v>0</v>
      </c>
      <c r="O260" s="12">
        <f t="shared" si="161"/>
        <v>0</v>
      </c>
      <c r="P260" s="12">
        <f t="shared" si="161"/>
        <v>0</v>
      </c>
      <c r="Q260" s="12">
        <f t="shared" si="161"/>
        <v>0</v>
      </c>
    </row>
    <row r="261" spans="5:18">
      <c r="G261" s="12">
        <f t="shared" si="120"/>
        <v>0</v>
      </c>
      <c r="H261" s="12">
        <f t="shared" ref="H261:Q261" si="162">IF($E110&gt;H$66,0,IF($E110&lt;H$66-365,$D110,0))</f>
        <v>0</v>
      </c>
      <c r="I261" s="12">
        <f t="shared" si="162"/>
        <v>0</v>
      </c>
      <c r="J261" s="12">
        <f t="shared" si="162"/>
        <v>0</v>
      </c>
      <c r="K261" s="12">
        <f t="shared" si="162"/>
        <v>0</v>
      </c>
      <c r="L261" s="12">
        <f t="shared" si="162"/>
        <v>0</v>
      </c>
      <c r="M261" s="12">
        <f t="shared" si="162"/>
        <v>0</v>
      </c>
      <c r="N261" s="12">
        <f t="shared" si="162"/>
        <v>0</v>
      </c>
      <c r="O261" s="12">
        <f t="shared" si="162"/>
        <v>0</v>
      </c>
      <c r="P261" s="12">
        <f t="shared" si="162"/>
        <v>0</v>
      </c>
      <c r="Q261" s="12">
        <f t="shared" si="162"/>
        <v>0</v>
      </c>
    </row>
    <row r="262" spans="5:18">
      <c r="G262" s="12">
        <f t="shared" si="120"/>
        <v>0</v>
      </c>
      <c r="H262" s="12">
        <f t="shared" ref="H262:Q262" si="163">IF($E111&gt;H$66,0,IF($E111&lt;H$66-365,$D111,0))</f>
        <v>0</v>
      </c>
      <c r="I262" s="12">
        <f t="shared" si="163"/>
        <v>0</v>
      </c>
      <c r="J262" s="12">
        <f t="shared" si="163"/>
        <v>0</v>
      </c>
      <c r="K262" s="12">
        <f t="shared" si="163"/>
        <v>0</v>
      </c>
      <c r="L262" s="12">
        <f t="shared" si="163"/>
        <v>0</v>
      </c>
      <c r="M262" s="12">
        <f t="shared" si="163"/>
        <v>0</v>
      </c>
      <c r="N262" s="12">
        <f t="shared" si="163"/>
        <v>0</v>
      </c>
      <c r="O262" s="12">
        <f t="shared" si="163"/>
        <v>0</v>
      </c>
      <c r="P262" s="12">
        <f t="shared" si="163"/>
        <v>0</v>
      </c>
      <c r="Q262" s="12">
        <f t="shared" si="163"/>
        <v>0</v>
      </c>
    </row>
    <row r="263" spans="5:18">
      <c r="G263" s="12">
        <f t="shared" si="120"/>
        <v>0</v>
      </c>
      <c r="H263" s="12">
        <f t="shared" ref="H263:Q263" si="164">IF($E112&gt;H$66,0,IF($E112&lt;H$66-365,$D112,0))</f>
        <v>0</v>
      </c>
      <c r="I263" s="12">
        <f t="shared" si="164"/>
        <v>0</v>
      </c>
      <c r="J263" s="12">
        <f t="shared" si="164"/>
        <v>0</v>
      </c>
      <c r="K263" s="12">
        <f t="shared" si="164"/>
        <v>0</v>
      </c>
      <c r="L263" s="12">
        <f t="shared" si="164"/>
        <v>0</v>
      </c>
      <c r="M263" s="12">
        <f t="shared" si="164"/>
        <v>0</v>
      </c>
      <c r="N263" s="12">
        <f t="shared" si="164"/>
        <v>0</v>
      </c>
      <c r="O263" s="12">
        <f t="shared" si="164"/>
        <v>0</v>
      </c>
      <c r="P263" s="12">
        <f t="shared" si="164"/>
        <v>0</v>
      </c>
      <c r="Q263" s="12">
        <f t="shared" si="164"/>
        <v>0</v>
      </c>
    </row>
    <row r="264" spans="5:18">
      <c r="G264" s="12">
        <f t="shared" si="120"/>
        <v>0</v>
      </c>
      <c r="H264" s="12">
        <f t="shared" ref="H264:Q264" si="165">IF($E113&gt;H$66,0,IF($E113&lt;H$66-365,$D113,0))</f>
        <v>0</v>
      </c>
      <c r="I264" s="12">
        <f t="shared" si="165"/>
        <v>0</v>
      </c>
      <c r="J264" s="12">
        <f t="shared" si="165"/>
        <v>0</v>
      </c>
      <c r="K264" s="12">
        <f t="shared" si="165"/>
        <v>0</v>
      </c>
      <c r="L264" s="12">
        <f t="shared" si="165"/>
        <v>0</v>
      </c>
      <c r="M264" s="12">
        <f t="shared" si="165"/>
        <v>0</v>
      </c>
      <c r="N264" s="12">
        <f t="shared" si="165"/>
        <v>0</v>
      </c>
      <c r="O264" s="12">
        <f t="shared" si="165"/>
        <v>0</v>
      </c>
      <c r="P264" s="12">
        <f t="shared" si="165"/>
        <v>0</v>
      </c>
      <c r="Q264" s="12">
        <f t="shared" si="165"/>
        <v>0</v>
      </c>
    </row>
    <row r="265" spans="5:18">
      <c r="G265" s="12">
        <f t="shared" si="120"/>
        <v>0</v>
      </c>
      <c r="H265" s="12">
        <f t="shared" ref="H265:Q265" si="166">IF($E114&gt;H$66,0,IF($E114&lt;H$66-365,$D114,0))</f>
        <v>0</v>
      </c>
      <c r="I265" s="12">
        <f t="shared" si="166"/>
        <v>0</v>
      </c>
      <c r="J265" s="12">
        <f t="shared" si="166"/>
        <v>0</v>
      </c>
      <c r="K265" s="12">
        <f t="shared" si="166"/>
        <v>0</v>
      </c>
      <c r="L265" s="12">
        <f t="shared" si="166"/>
        <v>0</v>
      </c>
      <c r="M265" s="12">
        <f t="shared" si="166"/>
        <v>0</v>
      </c>
      <c r="N265" s="12">
        <f t="shared" si="166"/>
        <v>0</v>
      </c>
      <c r="O265" s="12">
        <f t="shared" si="166"/>
        <v>0</v>
      </c>
      <c r="P265" s="12">
        <f t="shared" si="166"/>
        <v>0</v>
      </c>
      <c r="Q265" s="12">
        <f t="shared" si="166"/>
        <v>0</v>
      </c>
    </row>
    <row r="267" spans="5:18">
      <c r="F267" s="187" t="s">
        <v>493</v>
      </c>
      <c r="G267" s="187">
        <f>SUM(G220:G265)</f>
        <v>0</v>
      </c>
      <c r="H267" s="187">
        <f t="shared" ref="H267:Q267" si="167">SUM(H220:H265)</f>
        <v>0</v>
      </c>
      <c r="I267" s="187">
        <f t="shared" si="167"/>
        <v>0</v>
      </c>
      <c r="J267" s="187">
        <f t="shared" si="167"/>
        <v>0</v>
      </c>
      <c r="K267" s="187">
        <f t="shared" si="167"/>
        <v>0</v>
      </c>
      <c r="L267" s="187">
        <f t="shared" si="167"/>
        <v>0</v>
      </c>
      <c r="M267" s="187">
        <f t="shared" si="167"/>
        <v>0</v>
      </c>
      <c r="N267" s="187">
        <f t="shared" si="167"/>
        <v>0</v>
      </c>
      <c r="O267" s="187">
        <f t="shared" si="167"/>
        <v>0</v>
      </c>
      <c r="P267" s="187">
        <f t="shared" si="167"/>
        <v>0</v>
      </c>
      <c r="Q267" s="187">
        <f t="shared" si="167"/>
        <v>0</v>
      </c>
    </row>
    <row r="271" spans="5:18">
      <c r="F271" s="207" t="s">
        <v>486</v>
      </c>
      <c r="G271" s="206">
        <f>G66</f>
        <v>45473</v>
      </c>
      <c r="H271" s="206">
        <f t="shared" ref="H271:Q271" si="168">H66</f>
        <v>45838</v>
      </c>
      <c r="I271" s="206">
        <f t="shared" si="168"/>
        <v>46203</v>
      </c>
      <c r="J271" s="206">
        <f t="shared" si="168"/>
        <v>46568</v>
      </c>
      <c r="K271" s="206">
        <f t="shared" si="168"/>
        <v>46934</v>
      </c>
      <c r="L271" s="206">
        <f t="shared" si="168"/>
        <v>47299</v>
      </c>
      <c r="M271" s="206">
        <f t="shared" si="168"/>
        <v>47664</v>
      </c>
      <c r="N271" s="206">
        <f t="shared" si="168"/>
        <v>48029</v>
      </c>
      <c r="O271" s="206">
        <f t="shared" si="168"/>
        <v>48395</v>
      </c>
      <c r="P271" s="206">
        <f t="shared" si="168"/>
        <v>48760</v>
      </c>
      <c r="Q271" s="206">
        <f t="shared" si="168"/>
        <v>49125</v>
      </c>
      <c r="R271" s="206">
        <f t="shared" ref="R271" si="169">Q271+365</f>
        <v>49490</v>
      </c>
    </row>
    <row r="272" spans="5:18">
      <c r="E272" s="12" t="s">
        <v>399</v>
      </c>
      <c r="F272" s="348">
        <f t="shared" ref="F272:P272" si="170">Z216</f>
        <v>5.2669923839632133</v>
      </c>
      <c r="G272" s="348">
        <f t="shared" si="170"/>
        <v>5.2669923839632133</v>
      </c>
      <c r="H272" s="348">
        <f t="shared" si="170"/>
        <v>5.2669923839632133</v>
      </c>
      <c r="I272" s="348">
        <f t="shared" si="170"/>
        <v>5.2669923839632133</v>
      </c>
      <c r="J272" s="348">
        <f t="shared" si="170"/>
        <v>5.2669923839632133</v>
      </c>
      <c r="K272" s="348">
        <f t="shared" si="170"/>
        <v>5.2669923839632133</v>
      </c>
      <c r="L272" s="348">
        <f t="shared" si="170"/>
        <v>5.2669923839632133</v>
      </c>
      <c r="M272" s="348">
        <f t="shared" si="170"/>
        <v>5.2669923839632133</v>
      </c>
      <c r="N272" s="348">
        <f t="shared" si="170"/>
        <v>5.2669923839632133</v>
      </c>
      <c r="O272" s="348">
        <f t="shared" si="170"/>
        <v>5.2669923839632133</v>
      </c>
      <c r="P272" s="348">
        <f t="shared" si="170"/>
        <v>5.2669923839632133</v>
      </c>
      <c r="Q272" s="348">
        <f>AK216</f>
        <v>5.2669923839632133</v>
      </c>
    </row>
  </sheetData>
  <sheetProtection formatCells="0" formatColumns="0" formatRows="0" selectLockedCells="1"/>
  <customSheetViews>
    <customSheetView guid="{0FAFE012-8D9E-4ED0-86A4-A997E430971B}" scale="70" showGridLines="0" fitToPage="1" hiddenRows="1" topLeftCell="A23">
      <selection activeCell="Y16" sqref="Y16"/>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17" priority="1" operator="lessThan">
      <formula>0</formula>
    </cfRule>
  </conditionalFormatting>
  <conditionalFormatting sqref="F46:Q47">
    <cfRule type="cellIs" dxfId="16" priority="3" operator="lessThan">
      <formula>0</formula>
    </cfRule>
  </conditionalFormatting>
  <conditionalFormatting sqref="F50:Q50">
    <cfRule type="cellIs" dxfId="15" priority="2" operator="lessThan">
      <formula>0</formula>
    </cfRule>
  </conditionalFormatting>
  <dataValidations count="3">
    <dataValidation type="list" allowBlank="1" showInputMessage="1" showErrorMessage="1" sqref="F141:G141" xr:uid="{173850E9-7347-4992-A3E2-D9B30B52199A}">
      <formula1>"0.0 Stars,0.5 Stars,1.0 Stars,1.5 Stars,2.0 Stars,2.5 Stars,3.0 Stars,3.5 Stars,4.0 Stars,4.5 Stars,5.0 Stars,5.5 Stars,6.0 Stars,N/A"</formula1>
    </dataValidation>
    <dataValidation type="list" allowBlank="1" showInputMessage="1" showErrorMessage="1" sqref="E114" xr:uid="{125FA892-9554-49FD-846C-1BD083A7B2CE}">
      <formula1>$BQ$155:$BQ$169</formula1>
    </dataValidation>
    <dataValidation type="list" allowBlank="1" showInputMessage="1" showErrorMessage="1" sqref="O114:Q114" xr:uid="{7577709A-AFD5-4E81-8303-CF2F7FD5B297}">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4D23-CCEF-4B0A-8F58-8A0044823595}">
  <sheetPr codeName="Sheet8">
    <tabColor theme="5" tint="0.39997558519241921"/>
  </sheetPr>
  <dimension ref="A2:AQ101"/>
  <sheetViews>
    <sheetView zoomScale="85" zoomScaleNormal="85" workbookViewId="0">
      <selection activeCell="O58" sqref="O58"/>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7875</v>
      </c>
      <c r="E15" s="81">
        <f>(0.25*$F$28*$J29)*(1-$B$6+$B$6/2)</f>
        <v>7875</v>
      </c>
      <c r="F15" s="81">
        <f>(0.25*$F$28*$J29)*(1-$B$6+$B$6/2)</f>
        <v>7875</v>
      </c>
      <c r="G15" s="81">
        <f>(0.25*$F$28*$J29)*(1-$B$6+$B$6/2)</f>
        <v>7875</v>
      </c>
      <c r="H15" s="86">
        <f>(0.25*$F$28*$K29)*(1-$B$6+$B$6/2)</f>
        <v>8268.75</v>
      </c>
      <c r="I15" s="86">
        <f>(0.25*$F$28*$K29)*(1-$B$6+$B$6/2)</f>
        <v>8268.75</v>
      </c>
      <c r="J15" s="86">
        <f>(0.25*$F$28*$K29)*(1-$B$6+$B$6/2)</f>
        <v>8268.75</v>
      </c>
      <c r="K15" s="86">
        <f>(0.25*$F$28*$K29)*(1-$B$6+$B$6/2)</f>
        <v>8268.75</v>
      </c>
      <c r="L15" s="86">
        <f>(0.25*$F$28*$L29)*(1-$B$6+$B$6/2)</f>
        <v>8682.1875000000018</v>
      </c>
      <c r="M15" s="86">
        <f>(0.25*$F$28*$L29)*(1-$B$6+$B$6/2)</f>
        <v>8682.1875000000018</v>
      </c>
      <c r="N15" s="86">
        <f>(0.25*$F$28*$L29)*(1-$B$6+$B$6/2)</f>
        <v>8682.1875000000018</v>
      </c>
      <c r="O15" s="86">
        <f>(0.25*$F$28*$L29)*(1-$B$6+$B$6/2)</f>
        <v>8682.1875000000018</v>
      </c>
      <c r="P15" s="86">
        <f>(0.25*$F$28*$M29)*(1-$B$6+$B$6/2)</f>
        <v>9116.2968750000018</v>
      </c>
      <c r="Q15" s="86">
        <f>(0.25*$F$28*$M29)*(1-$B$6+$B$6/2)</f>
        <v>9116.2968750000018</v>
      </c>
      <c r="R15" s="86">
        <f>(0.25*$F$28*$M29)*(1-$B$6+$B$6/2)</f>
        <v>9116.2968750000018</v>
      </c>
      <c r="S15" s="86">
        <f>(0.25*$F$28*$M29)*(1-$B$6+$B$6/2)</f>
        <v>9116.2968750000018</v>
      </c>
      <c r="T15" s="86">
        <f>(0.25*$F$28*$N29)*(1-$B$6+$B$6/2)</f>
        <v>9572.1117187500022</v>
      </c>
      <c r="U15" s="86">
        <f>(0.25*$F$28*$N29)*(1-$B$6+$B$6/2)</f>
        <v>9572.1117187500022</v>
      </c>
      <c r="V15" s="86">
        <f>(0.25*$F$28*$N29)*(1-$B$6+$B$6/2)</f>
        <v>9572.1117187500022</v>
      </c>
      <c r="W15" s="86">
        <f>(0.25*$F$28*$N29)*(1-$B$6+$B$6/2)</f>
        <v>9572.1117187500022</v>
      </c>
      <c r="X15" s="86">
        <f>(0.25*$F$28*$O29)*(1-$B$6+$B$6/2)</f>
        <v>10050.717304687503</v>
      </c>
      <c r="Y15" s="86">
        <f>(0.25*$F$28*$O29)*(1-$B$6+$B$6/2)</f>
        <v>10050.717304687503</v>
      </c>
      <c r="Z15" s="86">
        <f>(0.25*$F$28*$O29)*(1-$B$6+$B$6/2)</f>
        <v>10050.717304687503</v>
      </c>
      <c r="AA15" s="86">
        <f>(0.25*$F$28*$O29)*(1-$B$6+$B$6/2)</f>
        <v>10050.717304687503</v>
      </c>
      <c r="AB15" s="86">
        <f>(0.25*$F$28*$P29)*(1-$B$6+$B$6/2)</f>
        <v>10553.25316992188</v>
      </c>
      <c r="AC15" s="86">
        <f>(0.25*$F$28*$P29)*(1-$B$6+$B$6/2)</f>
        <v>10553.25316992188</v>
      </c>
      <c r="AD15" s="86">
        <f>(0.25*$F$28*$P29)*(1-$B$6+$B$6/2)</f>
        <v>10553.25316992188</v>
      </c>
      <c r="AE15" s="86">
        <f>(0.25*$F$28*$P29)*(1-$B$6+$B$6/2)</f>
        <v>10553.25316992188</v>
      </c>
      <c r="AF15" s="86">
        <f>(0.25*$F$28*$Q29)*(1-$B$6+$B$6/2)</f>
        <v>11080.915828417974</v>
      </c>
      <c r="AG15" s="86">
        <f>(0.25*$F$28*$Q29)*(1-$B$6+$B$6/2)</f>
        <v>11080.915828417974</v>
      </c>
      <c r="AH15" s="86">
        <f>(0.25*$F$28*$Q29)*(1-$B$6+$B$6/2)</f>
        <v>11080.915828417974</v>
      </c>
      <c r="AI15" s="86">
        <f>(0.25*$F$28*$Q29)*(1-$B$6+$B$6/2)</f>
        <v>11080.915828417974</v>
      </c>
      <c r="AJ15" s="86">
        <f>(0.25*$F$28*$R29)*(1-$B$6+$B$6/2)</f>
        <v>11634.961619838874</v>
      </c>
      <c r="AK15" s="86">
        <f>(0.25*$F$28*$R29)*(1-$B$6+$B$6/2)</f>
        <v>11634.961619838874</v>
      </c>
      <c r="AL15" s="86">
        <f>(0.25*$F$28*$R29)*(1-$B$6+$B$6/2)</f>
        <v>11634.961619838874</v>
      </c>
      <c r="AM15" s="86">
        <f>(0.25*$F$28*$R29)*(1-$B$6+$B$6/2)</f>
        <v>11634.961619838874</v>
      </c>
      <c r="AN15" s="86">
        <f>(0.25*$F$28*$S29)*(1-$B$6+$B$6/2)</f>
        <v>12216.709700830819</v>
      </c>
      <c r="AO15" s="86">
        <f>(0.25*$F$28*$S29)*(1-$B$6+$B$6/2)</f>
        <v>12216.709700830819</v>
      </c>
      <c r="AP15" s="86">
        <f>(0.25*$F$28*$S29)*(1-$B$6+$B$6/2)</f>
        <v>12216.709700830819</v>
      </c>
      <c r="AQ15" s="86">
        <f>(0.25*$F$28*$S29)*(1-$B$6+$B$6/2)</f>
        <v>12216.709700830819</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7875</v>
      </c>
      <c r="E19" s="92">
        <f t="shared" si="0"/>
        <v>7875</v>
      </c>
      <c r="F19" s="92">
        <f t="shared" si="0"/>
        <v>7875</v>
      </c>
      <c r="G19" s="90">
        <f t="shared" si="0"/>
        <v>7875</v>
      </c>
      <c r="H19" s="91">
        <f t="shared" si="0"/>
        <v>8268.75</v>
      </c>
      <c r="I19" s="92">
        <f t="shared" si="0"/>
        <v>8268.75</v>
      </c>
      <c r="J19" s="92">
        <f t="shared" si="0"/>
        <v>8268.75</v>
      </c>
      <c r="K19" s="90">
        <f t="shared" si="0"/>
        <v>8268.75</v>
      </c>
      <c r="L19" s="91">
        <f t="shared" si="0"/>
        <v>8682.1875000000018</v>
      </c>
      <c r="M19" s="92">
        <f t="shared" si="0"/>
        <v>8682.1875000000018</v>
      </c>
      <c r="N19" s="92">
        <f t="shared" si="0"/>
        <v>8682.1875000000018</v>
      </c>
      <c r="O19" s="90">
        <f t="shared" si="0"/>
        <v>8682.1875000000018</v>
      </c>
      <c r="P19" s="91">
        <f t="shared" si="0"/>
        <v>9116.2968750000018</v>
      </c>
      <c r="Q19" s="92">
        <f t="shared" si="0"/>
        <v>9116.2968750000018</v>
      </c>
      <c r="R19" s="92">
        <f t="shared" si="0"/>
        <v>9116.2968750000018</v>
      </c>
      <c r="S19" s="90">
        <f t="shared" si="0"/>
        <v>9116.2968750000018</v>
      </c>
      <c r="T19" s="91">
        <f t="shared" si="0"/>
        <v>9572.1117187500022</v>
      </c>
      <c r="U19" s="92">
        <f t="shared" si="0"/>
        <v>9572.1117187500022</v>
      </c>
      <c r="V19" s="92">
        <f t="shared" si="0"/>
        <v>9572.1117187500022</v>
      </c>
      <c r="W19" s="90">
        <f t="shared" si="0"/>
        <v>9572.1117187500022</v>
      </c>
      <c r="X19" s="91">
        <f t="shared" si="0"/>
        <v>10050.717304687503</v>
      </c>
      <c r="Y19" s="92">
        <f t="shared" si="0"/>
        <v>10050.717304687503</v>
      </c>
      <c r="Z19" s="92">
        <f t="shared" si="0"/>
        <v>10050.717304687503</v>
      </c>
      <c r="AA19" s="90">
        <f t="shared" si="0"/>
        <v>10050.717304687503</v>
      </c>
      <c r="AB19" s="91">
        <f t="shared" si="0"/>
        <v>10553.25316992188</v>
      </c>
      <c r="AC19" s="92">
        <f t="shared" si="0"/>
        <v>10553.25316992188</v>
      </c>
      <c r="AD19" s="92">
        <f t="shared" si="0"/>
        <v>10553.25316992188</v>
      </c>
      <c r="AE19" s="90">
        <f t="shared" si="0"/>
        <v>10553.25316992188</v>
      </c>
      <c r="AF19" s="91">
        <f t="shared" si="0"/>
        <v>11080.915828417974</v>
      </c>
      <c r="AG19" s="92">
        <f t="shared" si="0"/>
        <v>11080.915828417974</v>
      </c>
      <c r="AH19" s="92">
        <f t="shared" si="0"/>
        <v>11080.915828417974</v>
      </c>
      <c r="AI19" s="90">
        <f t="shared" si="0"/>
        <v>11080.915828417974</v>
      </c>
      <c r="AJ19" s="91">
        <f t="shared" si="0"/>
        <v>11634.961619838874</v>
      </c>
      <c r="AK19" s="92">
        <f t="shared" si="0"/>
        <v>11634.961619838874</v>
      </c>
      <c r="AL19" s="92">
        <f t="shared" si="0"/>
        <v>11634.961619838874</v>
      </c>
      <c r="AM19" s="90">
        <f t="shared" si="0"/>
        <v>11634.961619838874</v>
      </c>
      <c r="AN19" s="91">
        <f t="shared" si="0"/>
        <v>12216.709700830819</v>
      </c>
      <c r="AO19" s="92">
        <f t="shared" si="0"/>
        <v>12216.709700830819</v>
      </c>
      <c r="AP19" s="92">
        <f t="shared" si="0"/>
        <v>12216.709700830819</v>
      </c>
      <c r="AQ19" s="90">
        <f t="shared" si="0"/>
        <v>12216.709700830819</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7875</v>
      </c>
      <c r="E21" s="84">
        <f t="shared" si="1"/>
        <v>15750</v>
      </c>
      <c r="F21" s="84">
        <f t="shared" si="1"/>
        <v>23625</v>
      </c>
      <c r="G21" s="84">
        <f t="shared" si="1"/>
        <v>31500</v>
      </c>
      <c r="H21" s="84">
        <f t="shared" si="1"/>
        <v>39768.75</v>
      </c>
      <c r="I21" s="84">
        <f t="shared" si="1"/>
        <v>48037.5</v>
      </c>
      <c r="J21" s="84">
        <f t="shared" si="1"/>
        <v>56306.25</v>
      </c>
      <c r="K21" s="84">
        <f t="shared" si="1"/>
        <v>64575</v>
      </c>
      <c r="L21" s="84">
        <f t="shared" si="1"/>
        <v>73257.1875</v>
      </c>
      <c r="M21" s="84">
        <f t="shared" si="1"/>
        <v>81939.375</v>
      </c>
      <c r="N21" s="84">
        <f t="shared" si="1"/>
        <v>90621.5625</v>
      </c>
      <c r="O21" s="84">
        <f t="shared" si="1"/>
        <v>99303.75</v>
      </c>
      <c r="P21" s="84">
        <f t="shared" si="1"/>
        <v>108420.046875</v>
      </c>
      <c r="Q21" s="84">
        <f t="shared" si="1"/>
        <v>117536.34375</v>
      </c>
      <c r="R21" s="84">
        <f t="shared" si="1"/>
        <v>126652.640625</v>
      </c>
      <c r="S21" s="84">
        <f t="shared" si="1"/>
        <v>135768.9375</v>
      </c>
      <c r="T21" s="84">
        <f t="shared" si="1"/>
        <v>145341.04921875001</v>
      </c>
      <c r="U21" s="84">
        <f t="shared" si="1"/>
        <v>154913.16093750001</v>
      </c>
      <c r="V21" s="84">
        <f t="shared" si="1"/>
        <v>164485.27265625002</v>
      </c>
      <c r="W21" s="84">
        <f t="shared" si="1"/>
        <v>174057.38437500002</v>
      </c>
      <c r="X21" s="84">
        <f t="shared" si="1"/>
        <v>184108.10167968753</v>
      </c>
      <c r="Y21" s="84">
        <f t="shared" si="1"/>
        <v>194158.81898437504</v>
      </c>
      <c r="Z21" s="84">
        <f t="shared" si="1"/>
        <v>204209.53628906255</v>
      </c>
      <c r="AA21" s="84">
        <f t="shared" si="1"/>
        <v>214260.25359375007</v>
      </c>
      <c r="AB21" s="84">
        <f t="shared" si="1"/>
        <v>224813.50676367193</v>
      </c>
      <c r="AC21" s="84">
        <f t="shared" si="1"/>
        <v>235366.7599335938</v>
      </c>
      <c r="AD21" s="84">
        <f t="shared" si="1"/>
        <v>245920.01310351567</v>
      </c>
      <c r="AE21" s="84">
        <f t="shared" si="1"/>
        <v>256473.26627343753</v>
      </c>
      <c r="AF21" s="84">
        <f t="shared" si="1"/>
        <v>267554.18210185552</v>
      </c>
      <c r="AG21" s="84">
        <f t="shared" si="1"/>
        <v>278635.09793027351</v>
      </c>
      <c r="AH21" s="84">
        <f t="shared" si="1"/>
        <v>289716.01375869149</v>
      </c>
      <c r="AI21" s="84">
        <f t="shared" si="1"/>
        <v>300796.92958710948</v>
      </c>
      <c r="AJ21" s="84">
        <f t="shared" si="1"/>
        <v>312431.89120694838</v>
      </c>
      <c r="AK21" s="84">
        <f t="shared" si="1"/>
        <v>324066.85282678728</v>
      </c>
      <c r="AL21" s="84">
        <f t="shared" si="1"/>
        <v>335701.81444662617</v>
      </c>
      <c r="AM21" s="84">
        <f t="shared" si="1"/>
        <v>347336.77606646507</v>
      </c>
      <c r="AN21" s="84">
        <f t="shared" si="1"/>
        <v>359553.48576729588</v>
      </c>
      <c r="AO21" s="84">
        <f t="shared" si="1"/>
        <v>371770.19546812668</v>
      </c>
      <c r="AP21" s="84">
        <f t="shared" si="1"/>
        <v>383986.90516895748</v>
      </c>
      <c r="AQ21" s="84">
        <f t="shared" si="1"/>
        <v>396203.61486978829</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7875</v>
      </c>
      <c r="E25" s="84">
        <f t="shared" si="3"/>
        <v>7875</v>
      </c>
      <c r="F25" s="84">
        <f t="shared" si="3"/>
        <v>7875</v>
      </c>
      <c r="G25" s="84">
        <f t="shared" si="3"/>
        <v>7875</v>
      </c>
      <c r="H25" s="84">
        <f t="shared" si="3"/>
        <v>8268.75</v>
      </c>
      <c r="I25" s="84">
        <f t="shared" si="3"/>
        <v>8268.75</v>
      </c>
      <c r="J25" s="84">
        <f t="shared" si="3"/>
        <v>8268.75</v>
      </c>
      <c r="K25" s="84">
        <f t="shared" si="3"/>
        <v>8268.75</v>
      </c>
      <c r="L25" s="84">
        <f t="shared" si="3"/>
        <v>8682.1875000000018</v>
      </c>
      <c r="M25" s="84">
        <f t="shared" si="3"/>
        <v>8682.1875000000018</v>
      </c>
      <c r="N25" s="84">
        <f t="shared" si="3"/>
        <v>8682.1875000000018</v>
      </c>
      <c r="O25" s="84">
        <f t="shared" si="3"/>
        <v>8682.1875000000018</v>
      </c>
      <c r="P25" s="84">
        <f t="shared" si="3"/>
        <v>9116.2968750000018</v>
      </c>
      <c r="Q25" s="84">
        <f t="shared" si="3"/>
        <v>9116.2968750000018</v>
      </c>
      <c r="R25" s="84">
        <f t="shared" si="3"/>
        <v>9116.2968750000018</v>
      </c>
      <c r="S25" s="84">
        <f t="shared" si="3"/>
        <v>9116.2968750000018</v>
      </c>
      <c r="T25" s="84">
        <f t="shared" si="3"/>
        <v>9572.1117187500022</v>
      </c>
      <c r="U25" s="84">
        <f t="shared" si="3"/>
        <v>9572.1117187500022</v>
      </c>
      <c r="V25" s="84">
        <f t="shared" si="3"/>
        <v>9572.1117187500022</v>
      </c>
      <c r="W25" s="84">
        <f t="shared" si="3"/>
        <v>9572.1117187500022</v>
      </c>
      <c r="X25" s="84">
        <f t="shared" si="3"/>
        <v>10050.717304687503</v>
      </c>
      <c r="Y25" s="84">
        <f t="shared" si="3"/>
        <v>10050.717304687503</v>
      </c>
      <c r="Z25" s="84">
        <f t="shared" si="3"/>
        <v>10050.717304687503</v>
      </c>
      <c r="AA25" s="84">
        <f t="shared" si="3"/>
        <v>10050.717304687503</v>
      </c>
      <c r="AB25" s="84">
        <f t="shared" si="3"/>
        <v>10553.25316992188</v>
      </c>
      <c r="AC25" s="84">
        <f t="shared" si="3"/>
        <v>10553.25316992188</v>
      </c>
      <c r="AD25" s="84">
        <f t="shared" si="3"/>
        <v>10553.25316992188</v>
      </c>
      <c r="AE25" s="84">
        <f t="shared" si="3"/>
        <v>10553.25316992188</v>
      </c>
      <c r="AF25" s="84">
        <f t="shared" si="3"/>
        <v>11080.915828417974</v>
      </c>
      <c r="AG25" s="84">
        <f t="shared" si="3"/>
        <v>11080.915828417974</v>
      </c>
      <c r="AH25" s="84">
        <f t="shared" si="3"/>
        <v>11080.915828417974</v>
      </c>
      <c r="AI25" s="84">
        <f t="shared" si="3"/>
        <v>11080.915828417974</v>
      </c>
      <c r="AJ25" s="84">
        <f t="shared" si="3"/>
        <v>11634.961619838874</v>
      </c>
      <c r="AK25" s="84">
        <f t="shared" si="3"/>
        <v>11634.961619838874</v>
      </c>
      <c r="AL25" s="84">
        <f t="shared" si="3"/>
        <v>11634.961619838874</v>
      </c>
      <c r="AM25" s="84">
        <f t="shared" si="3"/>
        <v>11634.961619838874</v>
      </c>
      <c r="AN25" s="84">
        <f t="shared" si="3"/>
        <v>12216.709700830819</v>
      </c>
      <c r="AO25" s="84">
        <f t="shared" si="3"/>
        <v>12216.709700830819</v>
      </c>
      <c r="AP25" s="84">
        <f t="shared" si="3"/>
        <v>12216.709700830819</v>
      </c>
      <c r="AQ25" s="84">
        <f t="shared" si="3"/>
        <v>12216.709700830819</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'135K-NR'!G116</f>
        <v>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'135K-NR'!S121*1000</f>
        <v>157500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O58" sqref="O58"/>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96863B84-F67F-4858-8292-A1E966759E86}">
      <formula1>"Y,N"</formula1>
    </dataValidation>
  </dataValidations>
  <pageMargins left="0.75" right="0.75" top="1" bottom="1" header="0.5" footer="0.5"/>
  <pageSetup paperSize="9" orientation="portrait" r:id="rId2"/>
  <headerFooter alignWithMargins="0"/>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1A57-D2D9-4AF7-877E-415CE1558471}">
  <sheetPr codeName="Sheet9">
    <tabColor indexed="53"/>
  </sheetPr>
  <dimension ref="A4:M64"/>
  <sheetViews>
    <sheetView topLeftCell="A19" zoomScaleNormal="100" zoomScaleSheetLayoutView="130" workbookViewId="0">
      <selection activeCell="G27" sqref="G27"/>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'135K-NR'!C60</f>
        <v>22430</v>
      </c>
    </row>
    <row r="10" spans="1:13" ht="13">
      <c r="A10" s="109" t="s">
        <v>842</v>
      </c>
      <c r="B10" s="1007" t="s">
        <v>843</v>
      </c>
      <c r="C10" s="1008"/>
      <c r="D10" s="1008"/>
      <c r="E10" s="1008"/>
      <c r="F10" s="1008"/>
      <c r="G10" s="1008"/>
      <c r="H10" s="1008"/>
      <c r="I10" s="1008"/>
    </row>
    <row r="11" spans="1:13" ht="13">
      <c r="A11" s="109" t="s">
        <v>844</v>
      </c>
      <c r="B11" s="1009" t="str">
        <f>'135K-NR'!A2</f>
        <v>135 King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SUM('135K-IS'!C12:F12)</f>
        <v>0</v>
      </c>
      <c r="D25" s="119">
        <f>SUM('135K-IS'!D12:G12)</f>
        <v>0</v>
      </c>
      <c r="E25" s="119">
        <f>SUM('135K-IS'!H12:K12)</f>
        <v>0</v>
      </c>
      <c r="F25" s="119">
        <f>SUM('135K-IS'!L12:O12)</f>
        <v>0</v>
      </c>
      <c r="G25" s="119">
        <f>SUM('135K-IS'!P12:S12)</f>
        <v>0</v>
      </c>
      <c r="H25" s="119">
        <f>SUM('135K-IS'!T12:W12)</f>
        <v>0</v>
      </c>
      <c r="I25" s="119">
        <f>SUM('135K-IS'!X12:AA12)</f>
        <v>0</v>
      </c>
      <c r="J25" s="119">
        <f>SUM('135K-IS'!AB12:AE12)</f>
        <v>0</v>
      </c>
      <c r="K25" s="119">
        <f>SUM('135K-IS'!AF12:AI12)</f>
        <v>0</v>
      </c>
      <c r="L25" s="119">
        <f>SUM('135K-IS'!AJ12:AM12)</f>
        <v>0</v>
      </c>
      <c r="M25" s="119">
        <f>SUM('135K-IS'!AN12:AQ12)</f>
        <v>0</v>
      </c>
    </row>
    <row r="26" spans="1:13">
      <c r="A26" s="106" t="s">
        <v>804</v>
      </c>
      <c r="C26" s="120"/>
      <c r="D26" s="119">
        <f>SUM('135K-IS'!D13:G13)</f>
        <v>0</v>
      </c>
      <c r="E26" s="119">
        <f>SUM('135K-IS'!H13:K13)</f>
        <v>0</v>
      </c>
      <c r="F26" s="119">
        <f>SUM('135K-IS'!L13:O13)</f>
        <v>0</v>
      </c>
      <c r="G26" s="119">
        <f>SUM('135K-IS'!P13:S13)</f>
        <v>0</v>
      </c>
      <c r="H26" s="119">
        <f>SUM('135K-IS'!T13:W13)</f>
        <v>0</v>
      </c>
      <c r="I26" s="119">
        <f>SUM('135K-IS'!X13:AA13)</f>
        <v>0</v>
      </c>
      <c r="J26" s="119">
        <f>SUM('135K-IS'!AB13:AE13)</f>
        <v>0</v>
      </c>
      <c r="K26" s="119">
        <f>SUM('135K-IS'!AF13:AI13)</f>
        <v>0</v>
      </c>
      <c r="L26" s="119">
        <f>SUM('135K-IS'!AJ13:AM13)</f>
        <v>0</v>
      </c>
      <c r="M26" s="119">
        <f>SUM('135K-IS'!AN13:AQ13)</f>
        <v>0</v>
      </c>
    </row>
    <row r="27" spans="1:13">
      <c r="A27" s="106" t="s">
        <v>805</v>
      </c>
      <c r="C27" s="120"/>
      <c r="D27" s="119">
        <f>SUM('135K-IS'!D15:G15)+SUM('135K-IS'!D14:G14)</f>
        <v>31500</v>
      </c>
      <c r="E27" s="119">
        <f>SUM('135K-IS'!H15:K15)+SUM('135K-IS'!H14:K14)</f>
        <v>33075</v>
      </c>
      <c r="F27" s="119">
        <f>SUM('135K-IS'!L15:O15)+SUM('135K-IS'!L14:O14)</f>
        <v>34728.750000000007</v>
      </c>
      <c r="G27" s="119">
        <f>SUM('135K-IS'!P15:S15)+SUM('135K-IS'!P14:S14)</f>
        <v>36465.187500000007</v>
      </c>
      <c r="H27" s="119">
        <f>SUM('135K-IS'!T15:W15)+SUM('135K-IS'!T14:W14)</f>
        <v>38288.446875000009</v>
      </c>
      <c r="I27" s="119">
        <f>SUM('135K-IS'!X15:AA15)+SUM('135K-IS'!X14:AA14)</f>
        <v>40202.869218750013</v>
      </c>
      <c r="J27" s="119">
        <f>SUM('135K-IS'!AB15:AE15)+SUM('135K-IS'!AB14:AE14)</f>
        <v>42213.012679687519</v>
      </c>
      <c r="K27" s="119">
        <f>SUM('135K-IS'!AF15:AI15)+SUM('135K-IS'!AF14:AI14)</f>
        <v>44323.663313671896</v>
      </c>
      <c r="L27" s="119">
        <f>SUM('135K-IS'!AJ15:AM15)+SUM('135K-IS'!AJ14:AM14)</f>
        <v>46539.846479355496</v>
      </c>
      <c r="M27" s="119">
        <f>SUM('135K-IS'!AN15:AQ15)+SUM('135K-IS'!AN14:AQ14)</f>
        <v>48866.838803323277</v>
      </c>
    </row>
    <row r="28" spans="1:13">
      <c r="A28" s="106" t="s">
        <v>808</v>
      </c>
      <c r="C28" s="120"/>
      <c r="D28" s="119">
        <f>SUM('135K-IS'!D16:G16)</f>
        <v>0</v>
      </c>
      <c r="E28" s="119">
        <f>SUM('135K-IS'!H16:K16)</f>
        <v>0</v>
      </c>
      <c r="F28" s="119">
        <f>SUM('135K-IS'!L16:O16)</f>
        <v>0</v>
      </c>
      <c r="G28" s="119">
        <f>SUM('135K-IS'!P16:S16)</f>
        <v>0</v>
      </c>
      <c r="H28" s="119">
        <f>SUM('135K-IS'!T16:W16)</f>
        <v>0</v>
      </c>
      <c r="I28" s="119">
        <f>SUM('135K-IS'!X16:AA16)</f>
        <v>0</v>
      </c>
      <c r="J28" s="119">
        <f>SUM('135K-IS'!AB16:AE16)</f>
        <v>0</v>
      </c>
      <c r="K28" s="119">
        <f>SUM('135K-IS'!AF16:AI16)</f>
        <v>0</v>
      </c>
      <c r="L28" s="119">
        <f>SUM('135K-IS'!AJ16:AM16)</f>
        <v>0</v>
      </c>
      <c r="M28" s="119">
        <f>SUM('135K-IS'!AN16:AQ16)</f>
        <v>0</v>
      </c>
    </row>
    <row r="29" spans="1:13">
      <c r="A29" s="106" t="s">
        <v>809</v>
      </c>
      <c r="C29" s="120"/>
      <c r="D29" s="119">
        <f>SUM('135K-IS'!D17:G17)</f>
        <v>0</v>
      </c>
      <c r="E29" s="119">
        <f>SUM('135K-IS'!H17:K17)</f>
        <v>0</v>
      </c>
      <c r="F29" s="119">
        <f>SUM('135K-IS'!L17:O17)</f>
        <v>0</v>
      </c>
      <c r="G29" s="119">
        <f>SUM('135K-IS'!P17:S17)</f>
        <v>0</v>
      </c>
      <c r="H29" s="119">
        <f>SUM('135K-IS'!T17:W17)</f>
        <v>0</v>
      </c>
      <c r="I29" s="119">
        <f>SUM('135K-IS'!X17:AA17)</f>
        <v>0</v>
      </c>
      <c r="J29" s="119">
        <f>SUM('135K-IS'!AB17:AE17)</f>
        <v>0</v>
      </c>
      <c r="K29" s="119">
        <f>SUM('135K-IS'!AF17:AI17)</f>
        <v>0</v>
      </c>
      <c r="L29" s="119">
        <f>SUM('135K-IS'!AJ17:AM17)</f>
        <v>0</v>
      </c>
      <c r="M29" s="119">
        <f>SUM('135K-IS'!AN17:AQ17)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31500</v>
      </c>
      <c r="E31" s="125">
        <f t="shared" si="0"/>
        <v>33075</v>
      </c>
      <c r="F31" s="125">
        <f t="shared" si="0"/>
        <v>34728.750000000007</v>
      </c>
      <c r="G31" s="125">
        <f t="shared" si="0"/>
        <v>36465.187500000007</v>
      </c>
      <c r="H31" s="125">
        <f t="shared" si="0"/>
        <v>38288.446875000009</v>
      </c>
      <c r="I31" s="125">
        <f t="shared" si="0"/>
        <v>40202.869218750013</v>
      </c>
      <c r="J31" s="125">
        <f t="shared" si="0"/>
        <v>42213.012679687519</v>
      </c>
      <c r="K31" s="125">
        <f t="shared" si="0"/>
        <v>44323.663313671896</v>
      </c>
      <c r="L31" s="125">
        <f t="shared" si="0"/>
        <v>46539.846479355496</v>
      </c>
      <c r="M31" s="125">
        <f t="shared" si="0"/>
        <v>48866.838803323277</v>
      </c>
    </row>
    <row r="32" spans="1:13" ht="13" thickTop="1">
      <c r="A32" s="64" t="s">
        <v>860</v>
      </c>
      <c r="B32" s="79"/>
      <c r="C32" s="77"/>
      <c r="D32" s="152">
        <f>D31/$I$9</f>
        <v>1.4043691484618814</v>
      </c>
      <c r="E32" s="152">
        <f t="shared" ref="E32:M32" si="1">E31/$I$9</f>
        <v>1.4745876058849754</v>
      </c>
      <c r="F32" s="152">
        <f t="shared" si="1"/>
        <v>1.5483169861792245</v>
      </c>
      <c r="G32" s="152">
        <f t="shared" si="1"/>
        <v>1.6257328354881857</v>
      </c>
      <c r="H32" s="152">
        <f t="shared" si="1"/>
        <v>1.7070194772625951</v>
      </c>
      <c r="I32" s="152">
        <f t="shared" si="1"/>
        <v>1.792370451125725</v>
      </c>
      <c r="J32" s="152">
        <f t="shared" si="1"/>
        <v>1.8819889736820115</v>
      </c>
      <c r="K32" s="152">
        <f t="shared" si="1"/>
        <v>1.9760884223661122</v>
      </c>
      <c r="L32" s="152">
        <f t="shared" si="1"/>
        <v>2.074892843484418</v>
      </c>
      <c r="M32" s="152">
        <f t="shared" si="1"/>
        <v>2.1786374856586392</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'135K-NR'!G67</f>
        <v>CURRENT</v>
      </c>
      <c r="J36" s="127" t="str">
        <f>'135K-NR'!H67</f>
        <v>FY25</v>
      </c>
      <c r="K36" s="127" t="str">
        <f>'135K-NR'!I67</f>
        <v>FY26</v>
      </c>
      <c r="L36" s="127" t="str">
        <f>'135K-NR'!J67</f>
        <v>FY27</v>
      </c>
      <c r="M36" s="127" t="str">
        <f>'135K-NR'!K67</f>
        <v>FY28</v>
      </c>
    </row>
    <row r="37" spans="1:13" ht="25.5">
      <c r="A37" s="128" t="s">
        <v>863</v>
      </c>
      <c r="B37" s="129" t="s">
        <v>864</v>
      </c>
      <c r="D37" s="117"/>
      <c r="E37" s="130"/>
      <c r="F37" s="117"/>
      <c r="G37" s="131" t="s">
        <v>865</v>
      </c>
      <c r="H37" s="132">
        <f>'135K-NR'!S124</f>
        <v>5.6324200913242013</v>
      </c>
      <c r="I37" s="132">
        <f>'135K-NR'!S125</f>
        <v>5.5572639747090102</v>
      </c>
      <c r="J37" s="132">
        <f>'135K-NR'!S126</f>
        <v>5.5572639747090102</v>
      </c>
      <c r="K37" s="132">
        <f>'135K-NR'!S127</f>
        <v>5.5572639747090102</v>
      </c>
      <c r="L37" s="117"/>
    </row>
    <row r="38" spans="1:13" ht="13">
      <c r="G38" s="131" t="s">
        <v>866</v>
      </c>
      <c r="I38" s="133">
        <f>'135K-NR'!G116</f>
        <v>0</v>
      </c>
      <c r="J38" s="133"/>
      <c r="K38" s="133"/>
    </row>
    <row r="39" spans="1:13" ht="13">
      <c r="A39" s="106" t="s">
        <v>867</v>
      </c>
      <c r="B39" s="134">
        <v>0</v>
      </c>
      <c r="E39" s="117"/>
      <c r="F39" s="135"/>
      <c r="G39" s="131" t="s">
        <v>868</v>
      </c>
      <c r="I39" s="136" t="e">
        <f>IRR(C31:M31)</f>
        <v>#NUM!</v>
      </c>
    </row>
    <row r="40" spans="1:13" ht="13">
      <c r="A40" s="128"/>
      <c r="B40" s="137"/>
      <c r="G40" s="131" t="s">
        <v>869</v>
      </c>
      <c r="I40" s="133">
        <f>B43/B41-B43</f>
        <v>488651.12500607211</v>
      </c>
    </row>
    <row r="41" spans="1:13">
      <c r="A41" s="106" t="s">
        <v>870</v>
      </c>
      <c r="B41" s="138">
        <v>7.4999999999999997E-2</v>
      </c>
    </row>
    <row r="42" spans="1:13">
      <c r="A42" s="117"/>
    </row>
    <row r="43" spans="1:13">
      <c r="A43" s="139" t="s">
        <v>871</v>
      </c>
      <c r="B43" s="140">
        <f>SUMIF(D31:M31,"&lt;&gt;0")/COUNTIF(D31:M31,"&lt;&gt;0")</f>
        <v>39620.361486978822</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5.6324200913242 Stars</v>
      </c>
      <c r="G59" s="146">
        <f t="shared" si="2"/>
        <v>5.5572639747090102</v>
      </c>
      <c r="H59" s="146">
        <f t="shared" si="2"/>
        <v>5.5572639747090102</v>
      </c>
      <c r="I59" s="146">
        <f t="shared" si="2"/>
        <v>5.5572639747090102</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f>I40</f>
        <v>488651.12500607211</v>
      </c>
      <c r="H64" s="143"/>
      <c r="I64" s="143"/>
      <c r="J64" s="143"/>
    </row>
  </sheetData>
  <customSheetViews>
    <customSheetView guid="{0FAFE012-8D9E-4ED0-86A4-A997E430971B}" scale="130" showPageBreaks="1" printArea="1" state="hidden" view="pageBreakPreview" topLeftCell="A17">
      <selection activeCell="O58" sqref="O58"/>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disablePrompts="1"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122D6972-52FC-4B59-9743-0F3F7FC6A23E}">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C7F763A6-B1A0-4CCB-B5EA-EDADAE914119}">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EC51-C1A1-4A2A-864F-448A7304DA53}">
  <sheetPr codeName="Sheet10">
    <tabColor theme="5" tint="0.39997558519241921"/>
  </sheetPr>
  <dimension ref="A2:AQ101"/>
  <sheetViews>
    <sheetView zoomScale="85" zoomScaleNormal="85" workbookViewId="0">
      <selection activeCell="O58" sqref="O58"/>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-117000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34875</v>
      </c>
      <c r="E15" s="81">
        <f>(0.25*$F$28*$J29)*(1-$B$6+$B$6/2)</f>
        <v>34875</v>
      </c>
      <c r="F15" s="81">
        <f>(0.25*$F$28*$J29)*(1-$B$6+$B$6/2)</f>
        <v>34875</v>
      </c>
      <c r="G15" s="81">
        <f>(0.25*$F$28*$J29)*(1-$B$6+$B$6/2)</f>
        <v>34875</v>
      </c>
      <c r="H15" s="86">
        <f>(0.25*$F$28*$K29)*(1-$B$6+$B$6/2)</f>
        <v>36618.75</v>
      </c>
      <c r="I15" s="86">
        <f>(0.25*$F$28*$K29)*(1-$B$6+$B$6/2)</f>
        <v>36618.75</v>
      </c>
      <c r="J15" s="86">
        <f>(0.25*$F$28*$K29)*(1-$B$6+$B$6/2)</f>
        <v>36618.75</v>
      </c>
      <c r="K15" s="86">
        <f>(0.25*$F$28*$K29)*(1-$B$6+$B$6/2)</f>
        <v>36618.75</v>
      </c>
      <c r="L15" s="86">
        <f>(0.25*$F$28*$L29)*(1-$B$6+$B$6/2)</f>
        <v>38449.687500000007</v>
      </c>
      <c r="M15" s="86">
        <f>(0.25*$F$28*$L29)*(1-$B$6+$B$6/2)</f>
        <v>38449.687500000007</v>
      </c>
      <c r="N15" s="86">
        <f>(0.25*$F$28*$L29)*(1-$B$6+$B$6/2)</f>
        <v>38449.687500000007</v>
      </c>
      <c r="O15" s="86">
        <f>(0.25*$F$28*$L29)*(1-$B$6+$B$6/2)</f>
        <v>38449.687500000007</v>
      </c>
      <c r="P15" s="86">
        <f>(0.25*$F$28*$M29)*(1-$B$6+$B$6/2)</f>
        <v>40372.171875000007</v>
      </c>
      <c r="Q15" s="86">
        <f>(0.25*$F$28*$M29)*(1-$B$6+$B$6/2)</f>
        <v>40372.171875000007</v>
      </c>
      <c r="R15" s="86">
        <f>(0.25*$F$28*$M29)*(1-$B$6+$B$6/2)</f>
        <v>40372.171875000007</v>
      </c>
      <c r="S15" s="86">
        <f>(0.25*$F$28*$M29)*(1-$B$6+$B$6/2)</f>
        <v>40372.171875000007</v>
      </c>
      <c r="T15" s="86">
        <f>(0.25*$F$28*$N29)*(1-$B$6+$B$6/2)</f>
        <v>42390.78046875001</v>
      </c>
      <c r="U15" s="86">
        <f>(0.25*$F$28*$N29)*(1-$B$6+$B$6/2)</f>
        <v>42390.78046875001</v>
      </c>
      <c r="V15" s="86">
        <f>(0.25*$F$28*$N29)*(1-$B$6+$B$6/2)</f>
        <v>42390.78046875001</v>
      </c>
      <c r="W15" s="86">
        <f>(0.25*$F$28*$N29)*(1-$B$6+$B$6/2)</f>
        <v>42390.78046875001</v>
      </c>
      <c r="X15" s="86">
        <f>(0.25*$F$28*$O29)*(1-$B$6+$B$6/2)</f>
        <v>44510.319492187511</v>
      </c>
      <c r="Y15" s="86">
        <f>(0.25*$F$28*$O29)*(1-$B$6+$B$6/2)</f>
        <v>44510.319492187511</v>
      </c>
      <c r="Z15" s="86">
        <f>(0.25*$F$28*$O29)*(1-$B$6+$B$6/2)</f>
        <v>44510.319492187511</v>
      </c>
      <c r="AA15" s="86">
        <f>(0.25*$F$28*$O29)*(1-$B$6+$B$6/2)</f>
        <v>44510.319492187511</v>
      </c>
      <c r="AB15" s="86">
        <f>(0.25*$F$28*$P29)*(1-$B$6+$B$6/2)</f>
        <v>46735.835466796896</v>
      </c>
      <c r="AC15" s="86">
        <f>(0.25*$F$28*$P29)*(1-$B$6+$B$6/2)</f>
        <v>46735.835466796896</v>
      </c>
      <c r="AD15" s="86">
        <f>(0.25*$F$28*$P29)*(1-$B$6+$B$6/2)</f>
        <v>46735.835466796896</v>
      </c>
      <c r="AE15" s="86">
        <f>(0.25*$F$28*$P29)*(1-$B$6+$B$6/2)</f>
        <v>46735.835466796896</v>
      </c>
      <c r="AF15" s="86">
        <f>(0.25*$F$28*$Q29)*(1-$B$6+$B$6/2)</f>
        <v>49072.627240136739</v>
      </c>
      <c r="AG15" s="86">
        <f>(0.25*$F$28*$Q29)*(1-$B$6+$B$6/2)</f>
        <v>49072.627240136739</v>
      </c>
      <c r="AH15" s="86">
        <f>(0.25*$F$28*$Q29)*(1-$B$6+$B$6/2)</f>
        <v>49072.627240136739</v>
      </c>
      <c r="AI15" s="86">
        <f>(0.25*$F$28*$Q29)*(1-$B$6+$B$6/2)</f>
        <v>49072.627240136739</v>
      </c>
      <c r="AJ15" s="86">
        <f>(0.25*$F$28*$R29)*(1-$B$6+$B$6/2)</f>
        <v>51526.258602143585</v>
      </c>
      <c r="AK15" s="86">
        <f>(0.25*$F$28*$R29)*(1-$B$6+$B$6/2)</f>
        <v>51526.258602143585</v>
      </c>
      <c r="AL15" s="86">
        <f>(0.25*$F$28*$R29)*(1-$B$6+$B$6/2)</f>
        <v>51526.258602143585</v>
      </c>
      <c r="AM15" s="86">
        <f>(0.25*$F$28*$R29)*(1-$B$6+$B$6/2)</f>
        <v>51526.258602143585</v>
      </c>
      <c r="AN15" s="86">
        <f>(0.25*$F$28*$S29)*(1-$B$6+$B$6/2)</f>
        <v>54102.571532250768</v>
      </c>
      <c r="AO15" s="86">
        <f>(0.25*$F$28*$S29)*(1-$B$6+$B$6/2)</f>
        <v>54102.571532250768</v>
      </c>
      <c r="AP15" s="86">
        <f>(0.25*$F$28*$S29)*(1-$B$6+$B$6/2)</f>
        <v>54102.571532250768</v>
      </c>
      <c r="AQ15" s="86">
        <f>(0.25*$F$28*$S29)*(1-$B$6+$B$6/2)</f>
        <v>54102.571532250768</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-117000</v>
      </c>
      <c r="D19" s="91">
        <f t="shared" si="0"/>
        <v>34875</v>
      </c>
      <c r="E19" s="92">
        <f t="shared" si="0"/>
        <v>34875</v>
      </c>
      <c r="F19" s="92">
        <f t="shared" si="0"/>
        <v>34875</v>
      </c>
      <c r="G19" s="90">
        <f t="shared" si="0"/>
        <v>34875</v>
      </c>
      <c r="H19" s="91">
        <f t="shared" si="0"/>
        <v>36618.75</v>
      </c>
      <c r="I19" s="92">
        <f t="shared" si="0"/>
        <v>36618.75</v>
      </c>
      <c r="J19" s="92">
        <f t="shared" si="0"/>
        <v>36618.75</v>
      </c>
      <c r="K19" s="90">
        <f t="shared" si="0"/>
        <v>36618.75</v>
      </c>
      <c r="L19" s="91">
        <f t="shared" si="0"/>
        <v>38449.687500000007</v>
      </c>
      <c r="M19" s="92">
        <f t="shared" si="0"/>
        <v>38449.687500000007</v>
      </c>
      <c r="N19" s="92">
        <f t="shared" si="0"/>
        <v>38449.687500000007</v>
      </c>
      <c r="O19" s="90">
        <f t="shared" si="0"/>
        <v>38449.687500000007</v>
      </c>
      <c r="P19" s="91">
        <f t="shared" si="0"/>
        <v>40372.171875000007</v>
      </c>
      <c r="Q19" s="92">
        <f t="shared" si="0"/>
        <v>40372.171875000007</v>
      </c>
      <c r="R19" s="92">
        <f t="shared" si="0"/>
        <v>40372.171875000007</v>
      </c>
      <c r="S19" s="90">
        <f t="shared" si="0"/>
        <v>40372.171875000007</v>
      </c>
      <c r="T19" s="91">
        <f t="shared" si="0"/>
        <v>42390.78046875001</v>
      </c>
      <c r="U19" s="92">
        <f t="shared" si="0"/>
        <v>42390.78046875001</v>
      </c>
      <c r="V19" s="92">
        <f t="shared" si="0"/>
        <v>42390.78046875001</v>
      </c>
      <c r="W19" s="90">
        <f t="shared" si="0"/>
        <v>42390.78046875001</v>
      </c>
      <c r="X19" s="91">
        <f t="shared" si="0"/>
        <v>44510.319492187511</v>
      </c>
      <c r="Y19" s="92">
        <f t="shared" si="0"/>
        <v>44510.319492187511</v>
      </c>
      <c r="Z19" s="92">
        <f t="shared" si="0"/>
        <v>44510.319492187511</v>
      </c>
      <c r="AA19" s="90">
        <f t="shared" si="0"/>
        <v>44510.319492187511</v>
      </c>
      <c r="AB19" s="91">
        <f t="shared" si="0"/>
        <v>46735.835466796896</v>
      </c>
      <c r="AC19" s="92">
        <f t="shared" si="0"/>
        <v>46735.835466796896</v>
      </c>
      <c r="AD19" s="92">
        <f t="shared" si="0"/>
        <v>46735.835466796896</v>
      </c>
      <c r="AE19" s="90">
        <f t="shared" si="0"/>
        <v>46735.835466796896</v>
      </c>
      <c r="AF19" s="91">
        <f t="shared" si="0"/>
        <v>49072.627240136739</v>
      </c>
      <c r="AG19" s="92">
        <f t="shared" si="0"/>
        <v>49072.627240136739</v>
      </c>
      <c r="AH19" s="92">
        <f t="shared" si="0"/>
        <v>49072.627240136739</v>
      </c>
      <c r="AI19" s="90">
        <f t="shared" si="0"/>
        <v>49072.627240136739</v>
      </c>
      <c r="AJ19" s="91">
        <f t="shared" si="0"/>
        <v>51526.258602143585</v>
      </c>
      <c r="AK19" s="92">
        <f t="shared" si="0"/>
        <v>51526.258602143585</v>
      </c>
      <c r="AL19" s="92">
        <f t="shared" si="0"/>
        <v>51526.258602143585</v>
      </c>
      <c r="AM19" s="90">
        <f t="shared" si="0"/>
        <v>51526.258602143585</v>
      </c>
      <c r="AN19" s="91">
        <f t="shared" si="0"/>
        <v>54102.571532250768</v>
      </c>
      <c r="AO19" s="92">
        <f t="shared" si="0"/>
        <v>54102.571532250768</v>
      </c>
      <c r="AP19" s="92">
        <f t="shared" si="0"/>
        <v>54102.571532250768</v>
      </c>
      <c r="AQ19" s="90">
        <f t="shared" si="0"/>
        <v>54102.571532250768</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-117000</v>
      </c>
      <c r="D21" s="84">
        <f t="shared" ref="D21:AQ21" si="1">+C21+D19</f>
        <v>-82125</v>
      </c>
      <c r="E21" s="84">
        <f t="shared" si="1"/>
        <v>-47250</v>
      </c>
      <c r="F21" s="84">
        <f t="shared" si="1"/>
        <v>-12375</v>
      </c>
      <c r="G21" s="84">
        <f t="shared" si="1"/>
        <v>22500</v>
      </c>
      <c r="H21" s="84">
        <f t="shared" si="1"/>
        <v>59118.75</v>
      </c>
      <c r="I21" s="84">
        <f t="shared" si="1"/>
        <v>95737.5</v>
      </c>
      <c r="J21" s="84">
        <f t="shared" si="1"/>
        <v>132356.25</v>
      </c>
      <c r="K21" s="84">
        <f t="shared" si="1"/>
        <v>168975</v>
      </c>
      <c r="L21" s="84">
        <f t="shared" si="1"/>
        <v>207424.6875</v>
      </c>
      <c r="M21" s="84">
        <f t="shared" si="1"/>
        <v>245874.375</v>
      </c>
      <c r="N21" s="84">
        <f t="shared" si="1"/>
        <v>284324.0625</v>
      </c>
      <c r="O21" s="84">
        <f t="shared" si="1"/>
        <v>322773.75</v>
      </c>
      <c r="P21" s="84">
        <f t="shared" si="1"/>
        <v>363145.921875</v>
      </c>
      <c r="Q21" s="84">
        <f t="shared" si="1"/>
        <v>403518.09375</v>
      </c>
      <c r="R21" s="84">
        <f t="shared" si="1"/>
        <v>443890.265625</v>
      </c>
      <c r="S21" s="84">
        <f t="shared" si="1"/>
        <v>484262.4375</v>
      </c>
      <c r="T21" s="84">
        <f t="shared" si="1"/>
        <v>526653.21796875005</v>
      </c>
      <c r="U21" s="84">
        <f t="shared" si="1"/>
        <v>569043.99843750009</v>
      </c>
      <c r="V21" s="84">
        <f t="shared" si="1"/>
        <v>611434.77890625014</v>
      </c>
      <c r="W21" s="84">
        <f t="shared" si="1"/>
        <v>653825.55937500019</v>
      </c>
      <c r="X21" s="84">
        <f t="shared" si="1"/>
        <v>698335.87886718765</v>
      </c>
      <c r="Y21" s="84">
        <f t="shared" si="1"/>
        <v>742846.19835937512</v>
      </c>
      <c r="Z21" s="84">
        <f t="shared" si="1"/>
        <v>787356.51785156259</v>
      </c>
      <c r="AA21" s="84">
        <f t="shared" si="1"/>
        <v>831866.83734375006</v>
      </c>
      <c r="AB21" s="84">
        <f t="shared" si="1"/>
        <v>878602.67281054694</v>
      </c>
      <c r="AC21" s="84">
        <f t="shared" si="1"/>
        <v>925338.50827734382</v>
      </c>
      <c r="AD21" s="84">
        <f t="shared" si="1"/>
        <v>972074.3437441407</v>
      </c>
      <c r="AE21" s="84">
        <f t="shared" si="1"/>
        <v>1018810.1792109376</v>
      </c>
      <c r="AF21" s="84">
        <f t="shared" si="1"/>
        <v>1067882.8064510743</v>
      </c>
      <c r="AG21" s="84">
        <f t="shared" si="1"/>
        <v>1116955.433691211</v>
      </c>
      <c r="AH21" s="84">
        <f t="shared" si="1"/>
        <v>1166028.0609313478</v>
      </c>
      <c r="AI21" s="84">
        <f t="shared" si="1"/>
        <v>1215100.6881714845</v>
      </c>
      <c r="AJ21" s="84">
        <f t="shared" si="1"/>
        <v>1266626.946773628</v>
      </c>
      <c r="AK21" s="84">
        <f t="shared" si="1"/>
        <v>1318153.2053757715</v>
      </c>
      <c r="AL21" s="84">
        <f t="shared" si="1"/>
        <v>1369679.463977915</v>
      </c>
      <c r="AM21" s="84">
        <f t="shared" si="1"/>
        <v>1421205.7225800585</v>
      </c>
      <c r="AN21" s="84">
        <f t="shared" si="1"/>
        <v>1475308.2941123093</v>
      </c>
      <c r="AO21" s="84">
        <f t="shared" si="1"/>
        <v>1529410.8656445602</v>
      </c>
      <c r="AP21" s="84">
        <f t="shared" si="1"/>
        <v>1583513.437176811</v>
      </c>
      <c r="AQ21" s="84">
        <f t="shared" si="1"/>
        <v>1637616.0087090619</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-117000</v>
      </c>
      <c r="D25" s="84">
        <f t="shared" si="3"/>
        <v>34875</v>
      </c>
      <c r="E25" s="84">
        <f t="shared" si="3"/>
        <v>34875</v>
      </c>
      <c r="F25" s="84">
        <f t="shared" si="3"/>
        <v>34875</v>
      </c>
      <c r="G25" s="84">
        <f t="shared" si="3"/>
        <v>34875</v>
      </c>
      <c r="H25" s="84">
        <f t="shared" si="3"/>
        <v>36618.75</v>
      </c>
      <c r="I25" s="84">
        <f t="shared" si="3"/>
        <v>36618.75</v>
      </c>
      <c r="J25" s="84">
        <f t="shared" si="3"/>
        <v>36618.75</v>
      </c>
      <c r="K25" s="84">
        <f t="shared" si="3"/>
        <v>36618.75</v>
      </c>
      <c r="L25" s="84">
        <f t="shared" si="3"/>
        <v>38449.687500000007</v>
      </c>
      <c r="M25" s="84">
        <f t="shared" si="3"/>
        <v>38449.687500000007</v>
      </c>
      <c r="N25" s="84">
        <f t="shared" si="3"/>
        <v>38449.687500000007</v>
      </c>
      <c r="O25" s="84">
        <f t="shared" si="3"/>
        <v>38449.687500000007</v>
      </c>
      <c r="P25" s="84">
        <f t="shared" si="3"/>
        <v>40372.171875000007</v>
      </c>
      <c r="Q25" s="84">
        <f t="shared" si="3"/>
        <v>40372.171875000007</v>
      </c>
      <c r="R25" s="84">
        <f t="shared" si="3"/>
        <v>40372.171875000007</v>
      </c>
      <c r="S25" s="84">
        <f t="shared" si="3"/>
        <v>40372.171875000007</v>
      </c>
      <c r="T25" s="84">
        <f t="shared" si="3"/>
        <v>42390.78046875001</v>
      </c>
      <c r="U25" s="84">
        <f t="shared" si="3"/>
        <v>42390.78046875001</v>
      </c>
      <c r="V25" s="84">
        <f t="shared" si="3"/>
        <v>42390.78046875001</v>
      </c>
      <c r="W25" s="84">
        <f t="shared" si="3"/>
        <v>42390.78046875001</v>
      </c>
      <c r="X25" s="84">
        <f t="shared" si="3"/>
        <v>44510.319492187511</v>
      </c>
      <c r="Y25" s="84">
        <f t="shared" si="3"/>
        <v>44510.319492187511</v>
      </c>
      <c r="Z25" s="84">
        <f t="shared" si="3"/>
        <v>44510.319492187511</v>
      </c>
      <c r="AA25" s="84">
        <f t="shared" si="3"/>
        <v>44510.319492187511</v>
      </c>
      <c r="AB25" s="84">
        <f t="shared" si="3"/>
        <v>46735.835466796896</v>
      </c>
      <c r="AC25" s="84">
        <f t="shared" si="3"/>
        <v>46735.835466796896</v>
      </c>
      <c r="AD25" s="84">
        <f t="shared" si="3"/>
        <v>46735.835466796896</v>
      </c>
      <c r="AE25" s="84">
        <f t="shared" si="3"/>
        <v>46735.835466796896</v>
      </c>
      <c r="AF25" s="84">
        <f t="shared" si="3"/>
        <v>49072.627240136739</v>
      </c>
      <c r="AG25" s="84">
        <f t="shared" si="3"/>
        <v>49072.627240136739</v>
      </c>
      <c r="AH25" s="84">
        <f t="shared" si="3"/>
        <v>49072.627240136739</v>
      </c>
      <c r="AI25" s="84">
        <f t="shared" si="3"/>
        <v>49072.627240136739</v>
      </c>
      <c r="AJ25" s="84">
        <f t="shared" si="3"/>
        <v>51526.258602143585</v>
      </c>
      <c r="AK25" s="84">
        <f t="shared" si="3"/>
        <v>51526.258602143585</v>
      </c>
      <c r="AL25" s="84">
        <f t="shared" si="3"/>
        <v>51526.258602143585</v>
      </c>
      <c r="AM25" s="84">
        <f t="shared" si="3"/>
        <v>51526.258602143585</v>
      </c>
      <c r="AN25" s="84">
        <f t="shared" si="3"/>
        <v>54102.571532250768</v>
      </c>
      <c r="AO25" s="84">
        <f t="shared" si="3"/>
        <v>54102.571532250768</v>
      </c>
      <c r="AP25" s="84">
        <f t="shared" si="3"/>
        <v>54102.571532250768</v>
      </c>
      <c r="AQ25" s="84">
        <f t="shared" si="3"/>
        <v>54102.571532250768</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'126P-NR'!G115</f>
        <v>117000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'126P-NR'!S120*1000</f>
        <v>697500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O58" sqref="O58"/>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620E7602-4553-47DC-AEC0-0F6ECB4858A9}">
      <formula1>"Y,N"</formula1>
    </dataValidation>
  </dataValidations>
  <pageMargins left="0.75" right="0.75" top="1" bottom="1" header="0.5" footer="0.5"/>
  <pageSetup paperSize="9" orientation="portrait" r:id="rId2"/>
  <headerFooter alignWithMargins="0"/>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48578-E002-485B-AFE7-C7C4A6BBFC58}">
  <sheetPr codeName="Sheet11">
    <tabColor indexed="53"/>
  </sheetPr>
  <dimension ref="A4:M64"/>
  <sheetViews>
    <sheetView view="pageBreakPreview" topLeftCell="A3" zoomScale="130" zoomScaleNormal="100" zoomScaleSheetLayoutView="130" workbookViewId="0">
      <selection activeCell="O58" sqref="O58"/>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'126P-NR'!C60</f>
        <v>39614</v>
      </c>
    </row>
    <row r="10" spans="1:13" ht="13">
      <c r="A10" s="109" t="s">
        <v>842</v>
      </c>
      <c r="B10" s="1007" t="s">
        <v>843</v>
      </c>
      <c r="C10" s="1008"/>
      <c r="D10" s="1008"/>
      <c r="E10" s="1008"/>
      <c r="F10" s="1008"/>
      <c r="G10" s="1008"/>
      <c r="H10" s="1008"/>
      <c r="I10" s="1008"/>
    </row>
    <row r="11" spans="1:13" ht="13">
      <c r="A11" s="109" t="s">
        <v>844</v>
      </c>
      <c r="B11" s="1009" t="str">
        <f>'126P-NR'!A2</f>
        <v>126 Phillip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SUM('126P-IS'!C12:F12)</f>
        <v>-117000</v>
      </c>
      <c r="D25" s="119">
        <f>SUM('126P-IS'!D12:G12)</f>
        <v>0</v>
      </c>
      <c r="E25" s="119">
        <f>SUM('126P-IS'!H12:K12)</f>
        <v>0</v>
      </c>
      <c r="F25" s="119">
        <f>SUM('126P-IS'!L12:O12)</f>
        <v>0</v>
      </c>
      <c r="G25" s="119">
        <f>SUM('126P-IS'!P12:S12)</f>
        <v>0</v>
      </c>
      <c r="H25" s="119">
        <f>SUM('126P-IS'!T12:W12)</f>
        <v>0</v>
      </c>
      <c r="I25" s="119">
        <f>SUM('126P-IS'!X12:AA12)</f>
        <v>0</v>
      </c>
      <c r="J25" s="119">
        <f>SUM('126P-IS'!AB12:AE12)</f>
        <v>0</v>
      </c>
      <c r="K25" s="119">
        <f>SUM('126P-IS'!AF12:AI12)</f>
        <v>0</v>
      </c>
      <c r="L25" s="119">
        <f>SUM('126P-IS'!AJ12:AM12)</f>
        <v>0</v>
      </c>
      <c r="M25" s="119">
        <f>SUM('126P-IS'!AN12:AQ12)</f>
        <v>0</v>
      </c>
    </row>
    <row r="26" spans="1:13">
      <c r="A26" s="106" t="s">
        <v>804</v>
      </c>
      <c r="C26" s="120"/>
      <c r="D26" s="119">
        <f>SUM('126P-IS'!D13:G13)</f>
        <v>0</v>
      </c>
      <c r="E26" s="119">
        <f>SUM('126P-IS'!H13:K13)</f>
        <v>0</v>
      </c>
      <c r="F26" s="119">
        <f>SUM('126P-IS'!L13:O13)</f>
        <v>0</v>
      </c>
      <c r="G26" s="119">
        <f>SUM('126P-IS'!P13:S13)</f>
        <v>0</v>
      </c>
      <c r="H26" s="119">
        <f>SUM('126P-IS'!T13:W13)</f>
        <v>0</v>
      </c>
      <c r="I26" s="119">
        <f>SUM('126P-IS'!X13:AA13)</f>
        <v>0</v>
      </c>
      <c r="J26" s="119">
        <f>SUM('126P-IS'!AB13:AE13)</f>
        <v>0</v>
      </c>
      <c r="K26" s="119">
        <f>SUM('126P-IS'!AF13:AI13)</f>
        <v>0</v>
      </c>
      <c r="L26" s="119">
        <f>SUM('126P-IS'!AJ13:AM13)</f>
        <v>0</v>
      </c>
      <c r="M26" s="119">
        <f>SUM('126P-IS'!AN13:AQ13)</f>
        <v>0</v>
      </c>
    </row>
    <row r="27" spans="1:13">
      <c r="A27" s="106" t="s">
        <v>805</v>
      </c>
      <c r="C27" s="120"/>
      <c r="D27" s="119">
        <f>SUM('126P-IS'!D15:G15)+SUM('126P-IS'!D14:G14)</f>
        <v>139500</v>
      </c>
      <c r="E27" s="119">
        <f>SUM('126P-IS'!H15:K15)+SUM('126P-IS'!H14:K14)</f>
        <v>146475</v>
      </c>
      <c r="F27" s="119">
        <f>SUM('126P-IS'!L15:O15)+SUM('126P-IS'!L14:O14)</f>
        <v>153798.75000000003</v>
      </c>
      <c r="G27" s="119">
        <f>SUM('126P-IS'!P15:S15)+SUM('126P-IS'!P14:S14)</f>
        <v>161488.68750000003</v>
      </c>
      <c r="H27" s="119">
        <f>SUM('126P-IS'!T15:W15)+SUM('126P-IS'!T14:W14)</f>
        <v>169563.12187500004</v>
      </c>
      <c r="I27" s="119">
        <f>SUM('126P-IS'!X15:AA15)+SUM('126P-IS'!X14:AA14)</f>
        <v>178041.27796875004</v>
      </c>
      <c r="J27" s="119">
        <f>SUM('126P-IS'!AB15:AE15)+SUM('126P-IS'!AB14:AE14)</f>
        <v>186943.34186718758</v>
      </c>
      <c r="K27" s="119">
        <f>SUM('126P-IS'!AF15:AI15)+SUM('126P-IS'!AF14:AI14)</f>
        <v>196290.50896054695</v>
      </c>
      <c r="L27" s="119">
        <f>SUM('126P-IS'!AJ15:AM15)+SUM('126P-IS'!AJ14:AM14)</f>
        <v>206105.03440857434</v>
      </c>
      <c r="M27" s="119">
        <f>SUM('126P-IS'!AN15:AQ15)+SUM('126P-IS'!AN14:AQ14)</f>
        <v>216410.28612900307</v>
      </c>
    </row>
    <row r="28" spans="1:13">
      <c r="A28" s="106" t="s">
        <v>808</v>
      </c>
      <c r="C28" s="120"/>
      <c r="D28" s="119">
        <f>SUM('126P-IS'!D16:G16)</f>
        <v>0</v>
      </c>
      <c r="E28" s="119">
        <f>SUM('126P-IS'!H16:K16)</f>
        <v>0</v>
      </c>
      <c r="F28" s="119">
        <f>SUM('126P-IS'!L16:O16)</f>
        <v>0</v>
      </c>
      <c r="G28" s="119">
        <f>SUM('126P-IS'!P16:S16)</f>
        <v>0</v>
      </c>
      <c r="H28" s="119">
        <f>SUM('126P-IS'!T16:W16)</f>
        <v>0</v>
      </c>
      <c r="I28" s="119">
        <f>SUM('126P-IS'!X16:AA16)</f>
        <v>0</v>
      </c>
      <c r="J28" s="119">
        <f>SUM('126P-IS'!AB16:AE16)</f>
        <v>0</v>
      </c>
      <c r="K28" s="119">
        <f>SUM('126P-IS'!AF16:AI16)</f>
        <v>0</v>
      </c>
      <c r="L28" s="119">
        <f>SUM('126P-IS'!AJ16:AM16)</f>
        <v>0</v>
      </c>
      <c r="M28" s="119">
        <f>SUM('126P-IS'!AN16:AQ16)</f>
        <v>0</v>
      </c>
    </row>
    <row r="29" spans="1:13">
      <c r="A29" s="106" t="s">
        <v>809</v>
      </c>
      <c r="C29" s="120"/>
      <c r="D29" s="119">
        <f>SUM('126P-IS'!D17:G17)</f>
        <v>0</v>
      </c>
      <c r="E29" s="119">
        <f>SUM('126P-IS'!H17:K17)</f>
        <v>0</v>
      </c>
      <c r="F29" s="119">
        <f>SUM('126P-IS'!L17:O17)</f>
        <v>0</v>
      </c>
      <c r="G29" s="119">
        <f>SUM('126P-IS'!P17:S17)</f>
        <v>0</v>
      </c>
      <c r="H29" s="119">
        <f>SUM('126P-IS'!T17:W17)</f>
        <v>0</v>
      </c>
      <c r="I29" s="119">
        <f>SUM('126P-IS'!X17:AA17)</f>
        <v>0</v>
      </c>
      <c r="J29" s="119">
        <f>SUM('126P-IS'!AB17:AE17)</f>
        <v>0</v>
      </c>
      <c r="K29" s="119">
        <f>SUM('126P-IS'!AF17:AI17)</f>
        <v>0</v>
      </c>
      <c r="L29" s="119">
        <f>SUM('126P-IS'!AJ17:AM17)</f>
        <v>0</v>
      </c>
      <c r="M29" s="119">
        <f>SUM('126P-IS'!AN17:AQ17)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-117000</v>
      </c>
      <c r="D31" s="124">
        <f t="shared" si="0"/>
        <v>139500</v>
      </c>
      <c r="E31" s="125">
        <f t="shared" si="0"/>
        <v>146475</v>
      </c>
      <c r="F31" s="125">
        <f t="shared" si="0"/>
        <v>153798.75000000003</v>
      </c>
      <c r="G31" s="125">
        <f t="shared" si="0"/>
        <v>161488.68750000003</v>
      </c>
      <c r="H31" s="125">
        <f t="shared" si="0"/>
        <v>169563.12187500004</v>
      </c>
      <c r="I31" s="125">
        <f t="shared" si="0"/>
        <v>178041.27796875004</v>
      </c>
      <c r="J31" s="125">
        <f t="shared" si="0"/>
        <v>186943.34186718758</v>
      </c>
      <c r="K31" s="125">
        <f t="shared" si="0"/>
        <v>196290.50896054695</v>
      </c>
      <c r="L31" s="125">
        <f t="shared" si="0"/>
        <v>206105.03440857434</v>
      </c>
      <c r="M31" s="125">
        <f t="shared" si="0"/>
        <v>216410.28612900307</v>
      </c>
    </row>
    <row r="32" spans="1:13" ht="13" thickTop="1">
      <c r="A32" s="64" t="s">
        <v>860</v>
      </c>
      <c r="B32" s="79"/>
      <c r="C32" s="77"/>
      <c r="D32" s="152">
        <f>D31/$I$9</f>
        <v>3.5214823042358763</v>
      </c>
      <c r="E32" s="152">
        <f t="shared" ref="E32:M32" si="1">E31/$I$9</f>
        <v>3.69755641944767</v>
      </c>
      <c r="F32" s="152">
        <f t="shared" si="1"/>
        <v>3.8824342404200545</v>
      </c>
      <c r="G32" s="152">
        <f t="shared" si="1"/>
        <v>4.0765559524410566</v>
      </c>
      <c r="H32" s="152">
        <f t="shared" si="1"/>
        <v>4.2803837500631099</v>
      </c>
      <c r="I32" s="152">
        <f t="shared" si="1"/>
        <v>4.4944029375662655</v>
      </c>
      <c r="J32" s="152">
        <f t="shared" si="1"/>
        <v>4.71912308444458</v>
      </c>
      <c r="K32" s="152">
        <f t="shared" si="1"/>
        <v>4.9550792386668085</v>
      </c>
      <c r="L32" s="152">
        <f t="shared" si="1"/>
        <v>5.2028332006001499</v>
      </c>
      <c r="M32" s="152">
        <f t="shared" si="1"/>
        <v>5.4629748606301574</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'126P-NR'!G67</f>
        <v>CURRENT</v>
      </c>
      <c r="J36" s="127" t="str">
        <f>'126P-NR'!H67</f>
        <v>FY25</v>
      </c>
      <c r="K36" s="127" t="str">
        <f>'126P-NR'!I67</f>
        <v>FY26</v>
      </c>
      <c r="L36" s="127" t="str">
        <f>'126P-NR'!J67</f>
        <v>FY27</v>
      </c>
      <c r="M36" s="127" t="str">
        <f>'126P-NR'!K67</f>
        <v>FY28</v>
      </c>
    </row>
    <row r="37" spans="1:13" ht="25.5">
      <c r="A37" s="128" t="s">
        <v>863</v>
      </c>
      <c r="B37" s="129" t="s">
        <v>864</v>
      </c>
      <c r="D37" s="117"/>
      <c r="E37" s="130"/>
      <c r="F37" s="117"/>
      <c r="G37" s="131" t="s">
        <v>865</v>
      </c>
      <c r="H37" s="132">
        <f>'126P-NR'!S123</f>
        <v>5.2149380300065236</v>
      </c>
      <c r="I37" s="132">
        <f>'126P-NR'!S124</f>
        <v>5.1893950280212673</v>
      </c>
      <c r="J37" s="132">
        <f>'126P-NR'!S125</f>
        <v>5.1981210607315385</v>
      </c>
      <c r="K37" s="132">
        <f>'126P-NR'!S126</f>
        <v>5.2635663060585705</v>
      </c>
      <c r="L37" s="117"/>
    </row>
    <row r="38" spans="1:13" ht="13">
      <c r="G38" s="131" t="s">
        <v>866</v>
      </c>
      <c r="I38" s="133">
        <f>'126P-NR'!G115</f>
        <v>117000</v>
      </c>
      <c r="J38" s="133"/>
      <c r="K38" s="133"/>
    </row>
    <row r="39" spans="1:13" ht="13">
      <c r="A39" s="106" t="s">
        <v>867</v>
      </c>
      <c r="B39" s="134">
        <v>0</v>
      </c>
      <c r="E39" s="117"/>
      <c r="F39" s="135"/>
      <c r="G39" s="131" t="s">
        <v>868</v>
      </c>
      <c r="I39" s="136">
        <f>IRR(C31:M31)</f>
        <v>1.2417016496102575</v>
      </c>
    </row>
    <row r="40" spans="1:13" ht="13">
      <c r="A40" s="128"/>
      <c r="B40" s="137"/>
      <c r="G40" s="131" t="s">
        <v>869</v>
      </c>
      <c r="I40" s="133">
        <f>B43/B41-B43</f>
        <v>2164026.4107411765</v>
      </c>
    </row>
    <row r="41" spans="1:13">
      <c r="A41" s="106" t="s">
        <v>870</v>
      </c>
      <c r="B41" s="138">
        <v>7.4999999999999997E-2</v>
      </c>
    </row>
    <row r="42" spans="1:13">
      <c r="A42" s="117"/>
    </row>
    <row r="43" spans="1:13">
      <c r="A43" s="139" t="s">
        <v>871</v>
      </c>
      <c r="B43" s="140">
        <f>SUMIF(D31:M31,"&lt;&gt;0")/COUNTIF(D31:M31,"&lt;&gt;0")</f>
        <v>175461.6008709062</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5.21493803000652 Stars</v>
      </c>
      <c r="G59" s="146">
        <f t="shared" si="2"/>
        <v>5.1893950280212673</v>
      </c>
      <c r="H59" s="146">
        <f t="shared" si="2"/>
        <v>5.1981210607315385</v>
      </c>
      <c r="I59" s="146">
        <f t="shared" si="2"/>
        <v>5.2635663060585705</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117000</v>
      </c>
      <c r="H62" s="149">
        <f>J38</f>
        <v>0</v>
      </c>
      <c r="I62" s="149">
        <f>K38</f>
        <v>0</v>
      </c>
      <c r="J62" s="143"/>
    </row>
    <row r="63" spans="5:10" ht="17.5">
      <c r="E63" s="143"/>
      <c r="F63" s="147"/>
      <c r="G63" s="150">
        <f>I39</f>
        <v>1.2417016496102575</v>
      </c>
      <c r="H63" s="147"/>
      <c r="I63" s="147"/>
      <c r="J63" s="143"/>
    </row>
    <row r="64" spans="5:10" ht="17.5">
      <c r="E64" s="143"/>
      <c r="F64" s="143"/>
      <c r="G64" s="151">
        <f>I40</f>
        <v>2164026.4107411765</v>
      </c>
      <c r="H64" s="143"/>
      <c r="I64" s="143"/>
      <c r="J64" s="143"/>
    </row>
  </sheetData>
  <customSheetViews>
    <customSheetView guid="{0FAFE012-8D9E-4ED0-86A4-A997E430971B}" scale="130" showPageBreaks="1" printArea="1" state="hidden" view="pageBreakPreview" topLeftCell="A3">
      <selection activeCell="O58" sqref="O58"/>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8B56F163-155A-4004-A745-55B8F0CCFA45}">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B4E0C2A2-9138-4DC2-B464-5B55A4F823BF}">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986C7-0018-44A9-996C-FFAE9CF195BA}">
  <sheetPr codeName="Sheet13">
    <tabColor theme="5" tint="0.39997558519241921"/>
  </sheetPr>
  <dimension ref="A2:AQ101"/>
  <sheetViews>
    <sheetView zoomScale="85" zoomScaleNormal="85" workbookViewId="0">
      <selection activeCell="O58" sqref="O58"/>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-598000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1875</v>
      </c>
      <c r="E15" s="81">
        <f>(0.25*$F$28*$J29)*(1-$B$6+$B$6/2)</f>
        <v>1875</v>
      </c>
      <c r="F15" s="81">
        <f>(0.25*$F$28*$J29)*(1-$B$6+$B$6/2)</f>
        <v>1875</v>
      </c>
      <c r="G15" s="81">
        <f>(0.25*$F$28*$J29)*(1-$B$6+$B$6/2)</f>
        <v>1875</v>
      </c>
      <c r="H15" s="86">
        <f>(0.25*$F$28*$K29)*(1-$B$6+$B$6/2)</f>
        <v>1968.7500000000002</v>
      </c>
      <c r="I15" s="86">
        <f>(0.25*$F$28*$K29)*(1-$B$6+$B$6/2)</f>
        <v>1968.7500000000002</v>
      </c>
      <c r="J15" s="86">
        <f>(0.25*$F$28*$K29)*(1-$B$6+$B$6/2)</f>
        <v>1968.7500000000002</v>
      </c>
      <c r="K15" s="86">
        <f>(0.25*$F$28*$K29)*(1-$B$6+$B$6/2)</f>
        <v>1968.7500000000002</v>
      </c>
      <c r="L15" s="86">
        <f>(0.25*$F$28*$L29)*(1-$B$6+$B$6/2)</f>
        <v>2067.1875000000005</v>
      </c>
      <c r="M15" s="86">
        <f>(0.25*$F$28*$L29)*(1-$B$6+$B$6/2)</f>
        <v>2067.1875000000005</v>
      </c>
      <c r="N15" s="86">
        <f>(0.25*$F$28*$L29)*(1-$B$6+$B$6/2)</f>
        <v>2067.1875000000005</v>
      </c>
      <c r="O15" s="86">
        <f>(0.25*$F$28*$L29)*(1-$B$6+$B$6/2)</f>
        <v>2067.1875000000005</v>
      </c>
      <c r="P15" s="86">
        <f>(0.25*$F$28*$M29)*(1-$B$6+$B$6/2)</f>
        <v>2170.5468750000005</v>
      </c>
      <c r="Q15" s="86">
        <f>(0.25*$F$28*$M29)*(1-$B$6+$B$6/2)</f>
        <v>2170.5468750000005</v>
      </c>
      <c r="R15" s="86">
        <f>(0.25*$F$28*$M29)*(1-$B$6+$B$6/2)</f>
        <v>2170.5468750000005</v>
      </c>
      <c r="S15" s="86">
        <f>(0.25*$F$28*$M29)*(1-$B$6+$B$6/2)</f>
        <v>2170.5468750000005</v>
      </c>
      <c r="T15" s="86">
        <f>(0.25*$F$28*$N29)*(1-$B$6+$B$6/2)</f>
        <v>2279.0742187500005</v>
      </c>
      <c r="U15" s="86">
        <f>(0.25*$F$28*$N29)*(1-$B$6+$B$6/2)</f>
        <v>2279.0742187500005</v>
      </c>
      <c r="V15" s="86">
        <f>(0.25*$F$28*$N29)*(1-$B$6+$B$6/2)</f>
        <v>2279.0742187500005</v>
      </c>
      <c r="W15" s="86">
        <f>(0.25*$F$28*$N29)*(1-$B$6+$B$6/2)</f>
        <v>2279.0742187500005</v>
      </c>
      <c r="X15" s="86">
        <f>(0.25*$F$28*$O29)*(1-$B$6+$B$6/2)</f>
        <v>2393.0279296875005</v>
      </c>
      <c r="Y15" s="86">
        <f>(0.25*$F$28*$O29)*(1-$B$6+$B$6/2)</f>
        <v>2393.0279296875005</v>
      </c>
      <c r="Z15" s="86">
        <f>(0.25*$F$28*$O29)*(1-$B$6+$B$6/2)</f>
        <v>2393.0279296875005</v>
      </c>
      <c r="AA15" s="86">
        <f>(0.25*$F$28*$O29)*(1-$B$6+$B$6/2)</f>
        <v>2393.0279296875005</v>
      </c>
      <c r="AB15" s="86">
        <f>(0.25*$F$28*$P29)*(1-$B$6+$B$6/2)</f>
        <v>2512.6793261718763</v>
      </c>
      <c r="AC15" s="86">
        <f>(0.25*$F$28*$P29)*(1-$B$6+$B$6/2)</f>
        <v>2512.6793261718763</v>
      </c>
      <c r="AD15" s="86">
        <f>(0.25*$F$28*$P29)*(1-$B$6+$B$6/2)</f>
        <v>2512.6793261718763</v>
      </c>
      <c r="AE15" s="86">
        <f>(0.25*$F$28*$P29)*(1-$B$6+$B$6/2)</f>
        <v>2512.6793261718763</v>
      </c>
      <c r="AF15" s="86">
        <f>(0.25*$F$28*$Q29)*(1-$B$6+$B$6/2)</f>
        <v>2638.31329248047</v>
      </c>
      <c r="AG15" s="86">
        <f>(0.25*$F$28*$Q29)*(1-$B$6+$B$6/2)</f>
        <v>2638.31329248047</v>
      </c>
      <c r="AH15" s="86">
        <f>(0.25*$F$28*$Q29)*(1-$B$6+$B$6/2)</f>
        <v>2638.31329248047</v>
      </c>
      <c r="AI15" s="86">
        <f>(0.25*$F$28*$Q29)*(1-$B$6+$B$6/2)</f>
        <v>2638.31329248047</v>
      </c>
      <c r="AJ15" s="86">
        <f>(0.25*$F$28*$R29)*(1-$B$6+$B$6/2)</f>
        <v>2770.2289571044935</v>
      </c>
      <c r="AK15" s="86">
        <f>(0.25*$F$28*$R29)*(1-$B$6+$B$6/2)</f>
        <v>2770.2289571044935</v>
      </c>
      <c r="AL15" s="86">
        <f>(0.25*$F$28*$R29)*(1-$B$6+$B$6/2)</f>
        <v>2770.2289571044935</v>
      </c>
      <c r="AM15" s="86">
        <f>(0.25*$F$28*$R29)*(1-$B$6+$B$6/2)</f>
        <v>2770.2289571044935</v>
      </c>
      <c r="AN15" s="86">
        <f>(0.25*$F$28*$S29)*(1-$B$6+$B$6/2)</f>
        <v>2908.7404049597185</v>
      </c>
      <c r="AO15" s="86">
        <f>(0.25*$F$28*$S29)*(1-$B$6+$B$6/2)</f>
        <v>2908.7404049597185</v>
      </c>
      <c r="AP15" s="86">
        <f>(0.25*$F$28*$S29)*(1-$B$6+$B$6/2)</f>
        <v>2908.7404049597185</v>
      </c>
      <c r="AQ15" s="86">
        <f>(0.25*$F$28*$S29)*(1-$B$6+$B$6/2)</f>
        <v>2908.7404049597185</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-598000</v>
      </c>
      <c r="D19" s="91">
        <f t="shared" si="0"/>
        <v>1875</v>
      </c>
      <c r="E19" s="92">
        <f t="shared" si="0"/>
        <v>1875</v>
      </c>
      <c r="F19" s="92">
        <f t="shared" si="0"/>
        <v>1875</v>
      </c>
      <c r="G19" s="90">
        <f t="shared" si="0"/>
        <v>1875</v>
      </c>
      <c r="H19" s="91">
        <f t="shared" si="0"/>
        <v>1968.7500000000002</v>
      </c>
      <c r="I19" s="92">
        <f t="shared" si="0"/>
        <v>1968.7500000000002</v>
      </c>
      <c r="J19" s="92">
        <f t="shared" si="0"/>
        <v>1968.7500000000002</v>
      </c>
      <c r="K19" s="90">
        <f t="shared" si="0"/>
        <v>1968.7500000000002</v>
      </c>
      <c r="L19" s="91">
        <f t="shared" si="0"/>
        <v>2067.1875000000005</v>
      </c>
      <c r="M19" s="92">
        <f t="shared" si="0"/>
        <v>2067.1875000000005</v>
      </c>
      <c r="N19" s="92">
        <f t="shared" si="0"/>
        <v>2067.1875000000005</v>
      </c>
      <c r="O19" s="90">
        <f t="shared" si="0"/>
        <v>2067.1875000000005</v>
      </c>
      <c r="P19" s="91">
        <f t="shared" si="0"/>
        <v>2170.5468750000005</v>
      </c>
      <c r="Q19" s="92">
        <f t="shared" si="0"/>
        <v>2170.5468750000005</v>
      </c>
      <c r="R19" s="92">
        <f t="shared" si="0"/>
        <v>2170.5468750000005</v>
      </c>
      <c r="S19" s="90">
        <f t="shared" si="0"/>
        <v>2170.5468750000005</v>
      </c>
      <c r="T19" s="91">
        <f t="shared" si="0"/>
        <v>2279.0742187500005</v>
      </c>
      <c r="U19" s="92">
        <f t="shared" si="0"/>
        <v>2279.0742187500005</v>
      </c>
      <c r="V19" s="92">
        <f t="shared" si="0"/>
        <v>2279.0742187500005</v>
      </c>
      <c r="W19" s="90">
        <f t="shared" si="0"/>
        <v>2279.0742187500005</v>
      </c>
      <c r="X19" s="91">
        <f t="shared" si="0"/>
        <v>2393.0279296875005</v>
      </c>
      <c r="Y19" s="92">
        <f t="shared" si="0"/>
        <v>2393.0279296875005</v>
      </c>
      <c r="Z19" s="92">
        <f t="shared" si="0"/>
        <v>2393.0279296875005</v>
      </c>
      <c r="AA19" s="90">
        <f t="shared" si="0"/>
        <v>2393.0279296875005</v>
      </c>
      <c r="AB19" s="91">
        <f t="shared" si="0"/>
        <v>2512.6793261718763</v>
      </c>
      <c r="AC19" s="92">
        <f t="shared" si="0"/>
        <v>2512.6793261718763</v>
      </c>
      <c r="AD19" s="92">
        <f t="shared" si="0"/>
        <v>2512.6793261718763</v>
      </c>
      <c r="AE19" s="90">
        <f t="shared" si="0"/>
        <v>2512.6793261718763</v>
      </c>
      <c r="AF19" s="91">
        <f t="shared" si="0"/>
        <v>2638.31329248047</v>
      </c>
      <c r="AG19" s="92">
        <f t="shared" si="0"/>
        <v>2638.31329248047</v>
      </c>
      <c r="AH19" s="92">
        <f t="shared" si="0"/>
        <v>2638.31329248047</v>
      </c>
      <c r="AI19" s="90">
        <f t="shared" si="0"/>
        <v>2638.31329248047</v>
      </c>
      <c r="AJ19" s="91">
        <f t="shared" si="0"/>
        <v>2770.2289571044935</v>
      </c>
      <c r="AK19" s="92">
        <f t="shared" si="0"/>
        <v>2770.2289571044935</v>
      </c>
      <c r="AL19" s="92">
        <f t="shared" si="0"/>
        <v>2770.2289571044935</v>
      </c>
      <c r="AM19" s="90">
        <f t="shared" si="0"/>
        <v>2770.2289571044935</v>
      </c>
      <c r="AN19" s="91">
        <f t="shared" si="0"/>
        <v>2908.7404049597185</v>
      </c>
      <c r="AO19" s="92">
        <f t="shared" si="0"/>
        <v>2908.7404049597185</v>
      </c>
      <c r="AP19" s="92">
        <f t="shared" si="0"/>
        <v>2908.7404049597185</v>
      </c>
      <c r="AQ19" s="90">
        <f t="shared" si="0"/>
        <v>2908.7404049597185</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-598000</v>
      </c>
      <c r="D21" s="84">
        <f t="shared" ref="D21:AQ21" si="1">+C21+D19</f>
        <v>-596125</v>
      </c>
      <c r="E21" s="84">
        <f t="shared" si="1"/>
        <v>-594250</v>
      </c>
      <c r="F21" s="84">
        <f t="shared" si="1"/>
        <v>-592375</v>
      </c>
      <c r="G21" s="84">
        <f t="shared" si="1"/>
        <v>-590500</v>
      </c>
      <c r="H21" s="84">
        <f t="shared" si="1"/>
        <v>-588531.25</v>
      </c>
      <c r="I21" s="84">
        <f t="shared" si="1"/>
        <v>-586562.5</v>
      </c>
      <c r="J21" s="84">
        <f t="shared" si="1"/>
        <v>-584593.75</v>
      </c>
      <c r="K21" s="84">
        <f t="shared" si="1"/>
        <v>-582625</v>
      </c>
      <c r="L21" s="84">
        <f t="shared" si="1"/>
        <v>-580557.8125</v>
      </c>
      <c r="M21" s="84">
        <f t="shared" si="1"/>
        <v>-578490.625</v>
      </c>
      <c r="N21" s="84">
        <f t="shared" si="1"/>
        <v>-576423.4375</v>
      </c>
      <c r="O21" s="84">
        <f t="shared" si="1"/>
        <v>-574356.25</v>
      </c>
      <c r="P21" s="84">
        <f t="shared" si="1"/>
        <v>-572185.703125</v>
      </c>
      <c r="Q21" s="84">
        <f t="shared" si="1"/>
        <v>-570015.15625</v>
      </c>
      <c r="R21" s="84">
        <f t="shared" si="1"/>
        <v>-567844.609375</v>
      </c>
      <c r="S21" s="84">
        <f t="shared" si="1"/>
        <v>-565674.0625</v>
      </c>
      <c r="T21" s="84">
        <f t="shared" si="1"/>
        <v>-563394.98828125</v>
      </c>
      <c r="U21" s="84">
        <f t="shared" si="1"/>
        <v>-561115.9140625</v>
      </c>
      <c r="V21" s="84">
        <f t="shared" si="1"/>
        <v>-558836.83984375</v>
      </c>
      <c r="W21" s="84">
        <f t="shared" si="1"/>
        <v>-556557.765625</v>
      </c>
      <c r="X21" s="84">
        <f t="shared" si="1"/>
        <v>-554164.73769531248</v>
      </c>
      <c r="Y21" s="84">
        <f t="shared" si="1"/>
        <v>-551771.70976562495</v>
      </c>
      <c r="Z21" s="84">
        <f t="shared" si="1"/>
        <v>-549378.68183593743</v>
      </c>
      <c r="AA21" s="84">
        <f t="shared" si="1"/>
        <v>-546985.65390624991</v>
      </c>
      <c r="AB21" s="84">
        <f t="shared" si="1"/>
        <v>-544472.97458007804</v>
      </c>
      <c r="AC21" s="84">
        <f t="shared" si="1"/>
        <v>-541960.29525390617</v>
      </c>
      <c r="AD21" s="84">
        <f t="shared" si="1"/>
        <v>-539447.6159277343</v>
      </c>
      <c r="AE21" s="84">
        <f t="shared" si="1"/>
        <v>-536934.93660156243</v>
      </c>
      <c r="AF21" s="84">
        <f t="shared" si="1"/>
        <v>-534296.623309082</v>
      </c>
      <c r="AG21" s="84">
        <f t="shared" si="1"/>
        <v>-531658.31001660158</v>
      </c>
      <c r="AH21" s="84">
        <f t="shared" si="1"/>
        <v>-529019.99672412116</v>
      </c>
      <c r="AI21" s="84">
        <f t="shared" si="1"/>
        <v>-526381.68343164073</v>
      </c>
      <c r="AJ21" s="84">
        <f t="shared" si="1"/>
        <v>-523611.45447453624</v>
      </c>
      <c r="AK21" s="84">
        <f t="shared" si="1"/>
        <v>-520841.22551743174</v>
      </c>
      <c r="AL21" s="84">
        <f t="shared" si="1"/>
        <v>-518070.99656032724</v>
      </c>
      <c r="AM21" s="84">
        <f t="shared" si="1"/>
        <v>-515300.76760322275</v>
      </c>
      <c r="AN21" s="84">
        <f t="shared" si="1"/>
        <v>-512392.02719826304</v>
      </c>
      <c r="AO21" s="84">
        <f t="shared" si="1"/>
        <v>-509483.28679330333</v>
      </c>
      <c r="AP21" s="84">
        <f t="shared" si="1"/>
        <v>-506574.54638834362</v>
      </c>
      <c r="AQ21" s="84">
        <f t="shared" si="1"/>
        <v>-503665.80598338391</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-598000</v>
      </c>
      <c r="D25" s="84">
        <f t="shared" si="3"/>
        <v>1875</v>
      </c>
      <c r="E25" s="84">
        <f t="shared" si="3"/>
        <v>1875</v>
      </c>
      <c r="F25" s="84">
        <f t="shared" si="3"/>
        <v>1875</v>
      </c>
      <c r="G25" s="84">
        <f t="shared" si="3"/>
        <v>1875</v>
      </c>
      <c r="H25" s="84">
        <f t="shared" si="3"/>
        <v>1968.7500000000002</v>
      </c>
      <c r="I25" s="84">
        <f t="shared" si="3"/>
        <v>1968.7500000000002</v>
      </c>
      <c r="J25" s="84">
        <f t="shared" si="3"/>
        <v>1968.7500000000002</v>
      </c>
      <c r="K25" s="84">
        <f t="shared" si="3"/>
        <v>1968.7500000000002</v>
      </c>
      <c r="L25" s="84">
        <f t="shared" si="3"/>
        <v>2067.1875000000005</v>
      </c>
      <c r="M25" s="84">
        <f t="shared" si="3"/>
        <v>2067.1875000000005</v>
      </c>
      <c r="N25" s="84">
        <f t="shared" si="3"/>
        <v>2067.1875000000005</v>
      </c>
      <c r="O25" s="84">
        <f t="shared" si="3"/>
        <v>2067.1875000000005</v>
      </c>
      <c r="P25" s="84">
        <f t="shared" si="3"/>
        <v>2170.5468750000005</v>
      </c>
      <c r="Q25" s="84">
        <f t="shared" si="3"/>
        <v>2170.5468750000005</v>
      </c>
      <c r="R25" s="84">
        <f t="shared" si="3"/>
        <v>2170.5468750000005</v>
      </c>
      <c r="S25" s="84">
        <f t="shared" si="3"/>
        <v>2170.5468750000005</v>
      </c>
      <c r="T25" s="84">
        <f t="shared" si="3"/>
        <v>2279.0742187500005</v>
      </c>
      <c r="U25" s="84">
        <f t="shared" si="3"/>
        <v>2279.0742187500005</v>
      </c>
      <c r="V25" s="84">
        <f t="shared" si="3"/>
        <v>2279.0742187500005</v>
      </c>
      <c r="W25" s="84">
        <f t="shared" si="3"/>
        <v>2279.0742187500005</v>
      </c>
      <c r="X25" s="84">
        <f t="shared" si="3"/>
        <v>2393.0279296875005</v>
      </c>
      <c r="Y25" s="84">
        <f t="shared" si="3"/>
        <v>2393.0279296875005</v>
      </c>
      <c r="Z25" s="84">
        <f t="shared" si="3"/>
        <v>2393.0279296875005</v>
      </c>
      <c r="AA25" s="84">
        <f t="shared" si="3"/>
        <v>2393.0279296875005</v>
      </c>
      <c r="AB25" s="84">
        <f t="shared" si="3"/>
        <v>2512.6793261718763</v>
      </c>
      <c r="AC25" s="84">
        <f t="shared" si="3"/>
        <v>2512.6793261718763</v>
      </c>
      <c r="AD25" s="84">
        <f t="shared" si="3"/>
        <v>2512.6793261718763</v>
      </c>
      <c r="AE25" s="84">
        <f t="shared" si="3"/>
        <v>2512.6793261718763</v>
      </c>
      <c r="AF25" s="84">
        <f t="shared" si="3"/>
        <v>2638.31329248047</v>
      </c>
      <c r="AG25" s="84">
        <f t="shared" si="3"/>
        <v>2638.31329248047</v>
      </c>
      <c r="AH25" s="84">
        <f t="shared" si="3"/>
        <v>2638.31329248047</v>
      </c>
      <c r="AI25" s="84">
        <f t="shared" si="3"/>
        <v>2638.31329248047</v>
      </c>
      <c r="AJ25" s="84">
        <f t="shared" si="3"/>
        <v>2770.2289571044935</v>
      </c>
      <c r="AK25" s="84">
        <f t="shared" si="3"/>
        <v>2770.2289571044935</v>
      </c>
      <c r="AL25" s="84">
        <f t="shared" si="3"/>
        <v>2770.2289571044935</v>
      </c>
      <c r="AM25" s="84">
        <f t="shared" si="3"/>
        <v>2770.2289571044935</v>
      </c>
      <c r="AN25" s="84">
        <f t="shared" si="3"/>
        <v>2908.7404049597185</v>
      </c>
      <c r="AO25" s="84">
        <f t="shared" si="3"/>
        <v>2908.7404049597185</v>
      </c>
      <c r="AP25" s="84">
        <f t="shared" si="3"/>
        <v>2908.7404049597185</v>
      </c>
      <c r="AQ25" s="84">
        <f t="shared" si="3"/>
        <v>2908.7404049597185</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'40M-NR'!G115</f>
        <v>598000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'40M-NR'!S120*1000</f>
        <v>37500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O58" sqref="O58"/>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8648041D-8C52-4415-9FF6-2B6F314BFDD1}">
      <formula1>"Y,N"</formula1>
    </dataValidation>
  </dataValidations>
  <pageMargins left="0.75" right="0.75" top="1" bottom="1" header="0.5" footer="0.5"/>
  <pageSetup paperSize="9" orientation="portrait" r:id="rId2"/>
  <headerFooter alignWithMargins="0"/>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B2397-7971-4D15-82D0-400F13AB1C32}">
  <sheetPr codeName="Sheet14">
    <tabColor indexed="53"/>
  </sheetPr>
  <dimension ref="A4:M64"/>
  <sheetViews>
    <sheetView view="pageBreakPreview" topLeftCell="A3" zoomScale="130" zoomScaleNormal="100" zoomScaleSheetLayoutView="130" workbookViewId="0">
      <selection activeCell="O58" sqref="O58"/>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'40M-NR'!C60</f>
        <v>24152</v>
      </c>
    </row>
    <row r="10" spans="1:13" ht="13">
      <c r="A10" s="109" t="s">
        <v>842</v>
      </c>
      <c r="B10" s="1007" t="s">
        <v>843</v>
      </c>
      <c r="C10" s="1008"/>
      <c r="D10" s="1008"/>
      <c r="E10" s="1008"/>
      <c r="F10" s="1008"/>
      <c r="G10" s="1008"/>
      <c r="H10" s="1008"/>
      <c r="I10" s="1008"/>
    </row>
    <row r="11" spans="1:13" ht="13">
      <c r="A11" s="109" t="s">
        <v>844</v>
      </c>
      <c r="B11" s="1009" t="str">
        <f>'40M-NR'!A2</f>
        <v>40 Mount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SUM('40M-IS'!C12:F12)</f>
        <v>-598000</v>
      </c>
      <c r="D25" s="119">
        <f>SUM('40M-IS'!D12:G12)</f>
        <v>0</v>
      </c>
      <c r="E25" s="119">
        <f>SUM('40M-IS'!H12:K12)</f>
        <v>0</v>
      </c>
      <c r="F25" s="119">
        <f>SUM('40M-IS'!L12:O12)</f>
        <v>0</v>
      </c>
      <c r="G25" s="119">
        <f>SUM('40M-IS'!P12:S12)</f>
        <v>0</v>
      </c>
      <c r="H25" s="119">
        <f>SUM('40M-IS'!T12:W12)</f>
        <v>0</v>
      </c>
      <c r="I25" s="119">
        <f>SUM('40M-IS'!X12:AA12)</f>
        <v>0</v>
      </c>
      <c r="J25" s="119">
        <f>SUM('40M-IS'!AB12:AE12)</f>
        <v>0</v>
      </c>
      <c r="K25" s="119">
        <f>SUM('40M-IS'!AF12:AI12)</f>
        <v>0</v>
      </c>
      <c r="L25" s="119">
        <f>SUM('40M-IS'!AJ12:AM12)</f>
        <v>0</v>
      </c>
      <c r="M25" s="119">
        <f>SUM('40M-IS'!AN12:AQ12)</f>
        <v>0</v>
      </c>
    </row>
    <row r="26" spans="1:13">
      <c r="A26" s="106" t="s">
        <v>804</v>
      </c>
      <c r="C26" s="120"/>
      <c r="D26" s="119">
        <f>SUM('40M-IS'!D13:G13)</f>
        <v>0</v>
      </c>
      <c r="E26" s="119">
        <f>SUM('40M-IS'!H13:K13)</f>
        <v>0</v>
      </c>
      <c r="F26" s="119">
        <f>SUM('40M-IS'!L13:O13)</f>
        <v>0</v>
      </c>
      <c r="G26" s="119">
        <f>SUM('40M-IS'!P13:S13)</f>
        <v>0</v>
      </c>
      <c r="H26" s="119">
        <f>SUM('40M-IS'!T13:W13)</f>
        <v>0</v>
      </c>
      <c r="I26" s="119">
        <f>SUM('40M-IS'!X13:AA13)</f>
        <v>0</v>
      </c>
      <c r="J26" s="119">
        <f>SUM('40M-IS'!AB13:AE13)</f>
        <v>0</v>
      </c>
      <c r="K26" s="119">
        <f>SUM('40M-IS'!AF13:AI13)</f>
        <v>0</v>
      </c>
      <c r="L26" s="119">
        <f>SUM('40M-IS'!AJ13:AM13)</f>
        <v>0</v>
      </c>
      <c r="M26" s="119">
        <f>SUM('40M-IS'!AN13:AQ13)</f>
        <v>0</v>
      </c>
    </row>
    <row r="27" spans="1:13">
      <c r="A27" s="106" t="s">
        <v>805</v>
      </c>
      <c r="C27" s="120"/>
      <c r="D27" s="119">
        <f>SUM('40M-IS'!D15:G15)+SUM('40M-IS'!D14:G14)</f>
        <v>7500</v>
      </c>
      <c r="E27" s="119">
        <f>SUM('40M-IS'!H15:K15)+SUM('40M-IS'!H14:K14)</f>
        <v>7875.0000000000009</v>
      </c>
      <c r="F27" s="119">
        <f>SUM('40M-IS'!L15:O15)+SUM('40M-IS'!L14:O14)</f>
        <v>8268.7500000000018</v>
      </c>
      <c r="G27" s="119">
        <f>SUM('40M-IS'!P15:S15)+SUM('40M-IS'!P14:S14)</f>
        <v>8682.1875000000018</v>
      </c>
      <c r="H27" s="119">
        <f>SUM('40M-IS'!T15:W15)+SUM('40M-IS'!T14:W14)</f>
        <v>9116.2968750000018</v>
      </c>
      <c r="I27" s="119">
        <f>SUM('40M-IS'!X15:AA15)+SUM('40M-IS'!X14:AA14)</f>
        <v>9572.1117187500022</v>
      </c>
      <c r="J27" s="119">
        <f>SUM('40M-IS'!AB15:AE15)+SUM('40M-IS'!AB14:AE14)</f>
        <v>10050.717304687505</v>
      </c>
      <c r="K27" s="119">
        <f>SUM('40M-IS'!AF15:AI15)+SUM('40M-IS'!AF14:AI14)</f>
        <v>10553.25316992188</v>
      </c>
      <c r="L27" s="119">
        <f>SUM('40M-IS'!AJ15:AM15)+SUM('40M-IS'!AJ14:AM14)</f>
        <v>11080.915828417974</v>
      </c>
      <c r="M27" s="119">
        <f>SUM('40M-IS'!AN15:AQ15)+SUM('40M-IS'!AN14:AQ14)</f>
        <v>11634.961619838874</v>
      </c>
    </row>
    <row r="28" spans="1:13">
      <c r="A28" s="106" t="s">
        <v>808</v>
      </c>
      <c r="C28" s="120"/>
      <c r="D28" s="119">
        <f>SUM('40M-IS'!D16:G16)</f>
        <v>0</v>
      </c>
      <c r="E28" s="119">
        <f>SUM('40M-IS'!H16:K16)</f>
        <v>0</v>
      </c>
      <c r="F28" s="119">
        <f>SUM('40M-IS'!L16:O16)</f>
        <v>0</v>
      </c>
      <c r="G28" s="119">
        <f>SUM('40M-IS'!P16:S16)</f>
        <v>0</v>
      </c>
      <c r="H28" s="119">
        <f>SUM('40M-IS'!T16:W16)</f>
        <v>0</v>
      </c>
      <c r="I28" s="119">
        <f>SUM('40M-IS'!X16:AA16)</f>
        <v>0</v>
      </c>
      <c r="J28" s="119">
        <f>SUM('40M-IS'!AB16:AE16)</f>
        <v>0</v>
      </c>
      <c r="K28" s="119">
        <f>SUM('40M-IS'!AF16:AI16)</f>
        <v>0</v>
      </c>
      <c r="L28" s="119">
        <f>SUM('40M-IS'!AJ16:AM16)</f>
        <v>0</v>
      </c>
      <c r="M28" s="119">
        <f>SUM('40M-IS'!AN16:AQ16)</f>
        <v>0</v>
      </c>
    </row>
    <row r="29" spans="1:13">
      <c r="A29" s="106" t="s">
        <v>809</v>
      </c>
      <c r="C29" s="120"/>
      <c r="D29" s="119">
        <f>SUM('40M-IS'!D17:G17)</f>
        <v>0</v>
      </c>
      <c r="E29" s="119">
        <f>SUM('40M-IS'!H17:K17)</f>
        <v>0</v>
      </c>
      <c r="F29" s="119">
        <f>SUM('40M-IS'!L17:O17)</f>
        <v>0</v>
      </c>
      <c r="G29" s="119">
        <f>SUM('40M-IS'!P17:S17)</f>
        <v>0</v>
      </c>
      <c r="H29" s="119">
        <f>SUM('40M-IS'!T17:W17)</f>
        <v>0</v>
      </c>
      <c r="I29" s="119">
        <f>SUM('40M-IS'!X17:AA17)</f>
        <v>0</v>
      </c>
      <c r="J29" s="119">
        <f>SUM('40M-IS'!AB17:AE17)</f>
        <v>0</v>
      </c>
      <c r="K29" s="119">
        <f>SUM('40M-IS'!AF17:AI17)</f>
        <v>0</v>
      </c>
      <c r="L29" s="119">
        <f>SUM('40M-IS'!AJ17:AM17)</f>
        <v>0</v>
      </c>
      <c r="M29" s="119">
        <f>SUM('40M-IS'!AN17:AQ17)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-598000</v>
      </c>
      <c r="D31" s="124">
        <f t="shared" si="0"/>
        <v>7500</v>
      </c>
      <c r="E31" s="125">
        <f t="shared" si="0"/>
        <v>7875.0000000000009</v>
      </c>
      <c r="F31" s="125">
        <f t="shared" si="0"/>
        <v>8268.7500000000018</v>
      </c>
      <c r="G31" s="125">
        <f t="shared" si="0"/>
        <v>8682.1875000000018</v>
      </c>
      <c r="H31" s="125">
        <f t="shared" si="0"/>
        <v>9116.2968750000018</v>
      </c>
      <c r="I31" s="125">
        <f t="shared" si="0"/>
        <v>9572.1117187500022</v>
      </c>
      <c r="J31" s="125">
        <f t="shared" si="0"/>
        <v>10050.717304687505</v>
      </c>
      <c r="K31" s="125">
        <f t="shared" si="0"/>
        <v>10553.25316992188</v>
      </c>
      <c r="L31" s="125">
        <f t="shared" si="0"/>
        <v>11080.915828417974</v>
      </c>
      <c r="M31" s="125">
        <f t="shared" si="0"/>
        <v>11634.961619838874</v>
      </c>
    </row>
    <row r="32" spans="1:13" ht="13" thickTop="1">
      <c r="A32" s="64" t="s">
        <v>860</v>
      </c>
      <c r="B32" s="79"/>
      <c r="C32" s="77"/>
      <c r="D32" s="152">
        <f>D31/$I$9</f>
        <v>0.31053328916859885</v>
      </c>
      <c r="E32" s="152">
        <f t="shared" ref="E32:M32" si="1">E31/$I$9</f>
        <v>0.32605995362702883</v>
      </c>
      <c r="F32" s="152">
        <f t="shared" si="1"/>
        <v>0.34236295130838035</v>
      </c>
      <c r="G32" s="152">
        <f t="shared" si="1"/>
        <v>0.35948109887379937</v>
      </c>
      <c r="H32" s="152">
        <f t="shared" si="1"/>
        <v>0.37745515381748929</v>
      </c>
      <c r="I32" s="152">
        <f t="shared" si="1"/>
        <v>0.39632791150836377</v>
      </c>
      <c r="J32" s="152">
        <f t="shared" si="1"/>
        <v>0.41614430708378208</v>
      </c>
      <c r="K32" s="152">
        <f t="shared" si="1"/>
        <v>0.4369515224379712</v>
      </c>
      <c r="L32" s="152">
        <f t="shared" si="1"/>
        <v>0.45879909855986972</v>
      </c>
      <c r="M32" s="152">
        <f t="shared" si="1"/>
        <v>0.48173905348786328</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'40M-NR'!G67</f>
        <v>CURRENT</v>
      </c>
      <c r="J36" s="127" t="str">
        <f>'40M-NR'!H67</f>
        <v>FY25</v>
      </c>
      <c r="K36" s="127" t="str">
        <f>'40M-NR'!I67</f>
        <v>FY26</v>
      </c>
      <c r="L36" s="127" t="str">
        <f>'40M-NR'!J67</f>
        <v>FY27</v>
      </c>
      <c r="M36" s="127" t="str">
        <f>'40M-NR'!K67</f>
        <v>FY28</v>
      </c>
    </row>
    <row r="37" spans="1:13" ht="25.5">
      <c r="A37" s="128" t="s">
        <v>863</v>
      </c>
      <c r="B37" s="129" t="s">
        <v>864</v>
      </c>
      <c r="D37" s="117"/>
      <c r="E37" s="130"/>
      <c r="F37" s="117"/>
      <c r="G37" s="131" t="s">
        <v>865</v>
      </c>
      <c r="H37" s="132">
        <f>'40M-NR'!S123</f>
        <v>5.9324853228962819</v>
      </c>
      <c r="I37" s="132">
        <f>'40M-NR'!S124</f>
        <v>5.8216697801408248</v>
      </c>
      <c r="J37" s="132">
        <f>'40M-NR'!S125</f>
        <v>5.8107065289353068</v>
      </c>
      <c r="K37" s="132">
        <f>'40M-NR'!S126</f>
        <v>5.8107065289353068</v>
      </c>
      <c r="L37" s="117"/>
    </row>
    <row r="38" spans="1:13" ht="13">
      <c r="G38" s="131" t="s">
        <v>866</v>
      </c>
      <c r="I38" s="133">
        <f>'40M-NR'!G115</f>
        <v>598000</v>
      </c>
      <c r="J38" s="133"/>
      <c r="K38" s="133"/>
    </row>
    <row r="39" spans="1:13" ht="13">
      <c r="A39" s="106" t="s">
        <v>867</v>
      </c>
      <c r="B39" s="134">
        <v>0</v>
      </c>
      <c r="E39" s="117"/>
      <c r="F39" s="135"/>
      <c r="G39" s="131" t="s">
        <v>868</v>
      </c>
      <c r="I39" s="136">
        <f>IRR(C31:M31)</f>
        <v>-0.23497848776203623</v>
      </c>
    </row>
    <row r="40" spans="1:13" ht="13">
      <c r="A40" s="128"/>
      <c r="B40" s="137"/>
      <c r="G40" s="131" t="s">
        <v>869</v>
      </c>
      <c r="I40" s="133">
        <f>B43/B41-B43</f>
        <v>116345.50595382668</v>
      </c>
    </row>
    <row r="41" spans="1:13">
      <c r="A41" s="106" t="s">
        <v>870</v>
      </c>
      <c r="B41" s="138">
        <v>7.4999999999999997E-2</v>
      </c>
    </row>
    <row r="42" spans="1:13">
      <c r="A42" s="117"/>
    </row>
    <row r="43" spans="1:13">
      <c r="A43" s="139" t="s">
        <v>871</v>
      </c>
      <c r="B43" s="140">
        <f>SUMIF(D31:M31,"&lt;&gt;0")/COUNTIF(D31:M31,"&lt;&gt;0")</f>
        <v>9433.419401661622</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5.93248532289628 Stars</v>
      </c>
      <c r="G59" s="146">
        <f t="shared" si="2"/>
        <v>5.8216697801408248</v>
      </c>
      <c r="H59" s="146">
        <f t="shared" si="2"/>
        <v>5.8107065289353068</v>
      </c>
      <c r="I59" s="146">
        <f t="shared" si="2"/>
        <v>5.8107065289353068</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598000</v>
      </c>
      <c r="H62" s="149">
        <f>J38</f>
        <v>0</v>
      </c>
      <c r="I62" s="149">
        <f>K38</f>
        <v>0</v>
      </c>
      <c r="J62" s="143"/>
    </row>
    <row r="63" spans="5:10" ht="17.5">
      <c r="E63" s="143"/>
      <c r="F63" s="147"/>
      <c r="G63" s="150">
        <f>I39</f>
        <v>-0.23497848776203623</v>
      </c>
      <c r="H63" s="147"/>
      <c r="I63" s="147"/>
      <c r="J63" s="143"/>
    </row>
    <row r="64" spans="5:10" ht="17.5">
      <c r="E64" s="143"/>
      <c r="F64" s="143"/>
      <c r="G64" s="151">
        <f>I40</f>
        <v>116345.50595382668</v>
      </c>
      <c r="H64" s="143"/>
      <c r="I64" s="143"/>
      <c r="J64" s="143"/>
    </row>
  </sheetData>
  <customSheetViews>
    <customSheetView guid="{0FAFE012-8D9E-4ED0-86A4-A997E430971B}" scale="130" showPageBreaks="1" printArea="1" state="hidden" view="pageBreakPreview" topLeftCell="A3">
      <selection activeCell="O58" sqref="O58"/>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2509FF51-B8D0-41C4-95D7-DE95373B4211}">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60AD9775-CB14-4D3A-B4E8-5616DB5B98A8}">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9F39-C5E0-456D-9153-5E32D71C599A}">
  <sheetPr codeName="Sheet16">
    <tabColor theme="5" tint="0.39997558519241921"/>
  </sheetPr>
  <dimension ref="A2:AQ101"/>
  <sheetViews>
    <sheetView zoomScale="85" zoomScaleNormal="85" workbookViewId="0">
      <selection activeCell="O58" sqref="O58"/>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-126100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13312.5</v>
      </c>
      <c r="E15" s="81">
        <f>(0.25*$F$28*$J29)*(1-$B$6+$B$6/2)</f>
        <v>13312.5</v>
      </c>
      <c r="F15" s="81">
        <f>(0.25*$F$28*$J29)*(1-$B$6+$B$6/2)</f>
        <v>13312.5</v>
      </c>
      <c r="G15" s="81">
        <f>(0.25*$F$28*$J29)*(1-$B$6+$B$6/2)</f>
        <v>13312.5</v>
      </c>
      <c r="H15" s="86">
        <f>(0.25*$F$28*$K29)*(1-$B$6+$B$6/2)</f>
        <v>13978.125000000002</v>
      </c>
      <c r="I15" s="86">
        <f>(0.25*$F$28*$K29)*(1-$B$6+$B$6/2)</f>
        <v>13978.125000000002</v>
      </c>
      <c r="J15" s="86">
        <f>(0.25*$F$28*$K29)*(1-$B$6+$B$6/2)</f>
        <v>13978.125000000002</v>
      </c>
      <c r="K15" s="86">
        <f>(0.25*$F$28*$K29)*(1-$B$6+$B$6/2)</f>
        <v>13978.125000000002</v>
      </c>
      <c r="L15" s="86">
        <f>(0.25*$F$28*$L29)*(1-$B$6+$B$6/2)</f>
        <v>14677.031250000002</v>
      </c>
      <c r="M15" s="86">
        <f>(0.25*$F$28*$L29)*(1-$B$6+$B$6/2)</f>
        <v>14677.031250000002</v>
      </c>
      <c r="N15" s="86">
        <f>(0.25*$F$28*$L29)*(1-$B$6+$B$6/2)</f>
        <v>14677.031250000002</v>
      </c>
      <c r="O15" s="86">
        <f>(0.25*$F$28*$L29)*(1-$B$6+$B$6/2)</f>
        <v>14677.031250000002</v>
      </c>
      <c r="P15" s="86">
        <f>(0.25*$F$28*$M29)*(1-$B$6+$B$6/2)</f>
        <v>15410.882812500002</v>
      </c>
      <c r="Q15" s="86">
        <f>(0.25*$F$28*$M29)*(1-$B$6+$B$6/2)</f>
        <v>15410.882812500002</v>
      </c>
      <c r="R15" s="86">
        <f>(0.25*$F$28*$M29)*(1-$B$6+$B$6/2)</f>
        <v>15410.882812500002</v>
      </c>
      <c r="S15" s="86">
        <f>(0.25*$F$28*$M29)*(1-$B$6+$B$6/2)</f>
        <v>15410.882812500002</v>
      </c>
      <c r="T15" s="86">
        <f>(0.25*$F$28*$N29)*(1-$B$6+$B$6/2)</f>
        <v>16181.426953125003</v>
      </c>
      <c r="U15" s="86">
        <f>(0.25*$F$28*$N29)*(1-$B$6+$B$6/2)</f>
        <v>16181.426953125003</v>
      </c>
      <c r="V15" s="86">
        <f>(0.25*$F$28*$N29)*(1-$B$6+$B$6/2)</f>
        <v>16181.426953125003</v>
      </c>
      <c r="W15" s="86">
        <f>(0.25*$F$28*$N29)*(1-$B$6+$B$6/2)</f>
        <v>16181.426953125003</v>
      </c>
      <c r="X15" s="86">
        <f>(0.25*$F$28*$O29)*(1-$B$6+$B$6/2)</f>
        <v>16990.498300781255</v>
      </c>
      <c r="Y15" s="86">
        <f>(0.25*$F$28*$O29)*(1-$B$6+$B$6/2)</f>
        <v>16990.498300781255</v>
      </c>
      <c r="Z15" s="86">
        <f>(0.25*$F$28*$O29)*(1-$B$6+$B$6/2)</f>
        <v>16990.498300781255</v>
      </c>
      <c r="AA15" s="86">
        <f>(0.25*$F$28*$O29)*(1-$B$6+$B$6/2)</f>
        <v>16990.498300781255</v>
      </c>
      <c r="AB15" s="86">
        <f>(0.25*$F$28*$P29)*(1-$B$6+$B$6/2)</f>
        <v>17840.023215820322</v>
      </c>
      <c r="AC15" s="86">
        <f>(0.25*$F$28*$P29)*(1-$B$6+$B$6/2)</f>
        <v>17840.023215820322</v>
      </c>
      <c r="AD15" s="86">
        <f>(0.25*$F$28*$P29)*(1-$B$6+$B$6/2)</f>
        <v>17840.023215820322</v>
      </c>
      <c r="AE15" s="86">
        <f>(0.25*$F$28*$P29)*(1-$B$6+$B$6/2)</f>
        <v>17840.023215820322</v>
      </c>
      <c r="AF15" s="86">
        <f>(0.25*$F$28*$Q29)*(1-$B$6+$B$6/2)</f>
        <v>18732.024376611334</v>
      </c>
      <c r="AG15" s="86">
        <f>(0.25*$F$28*$Q29)*(1-$B$6+$B$6/2)</f>
        <v>18732.024376611334</v>
      </c>
      <c r="AH15" s="86">
        <f>(0.25*$F$28*$Q29)*(1-$B$6+$B$6/2)</f>
        <v>18732.024376611334</v>
      </c>
      <c r="AI15" s="86">
        <f>(0.25*$F$28*$Q29)*(1-$B$6+$B$6/2)</f>
        <v>18732.024376611334</v>
      </c>
      <c r="AJ15" s="86">
        <f>(0.25*$F$28*$R29)*(1-$B$6+$B$6/2)</f>
        <v>19668.625595441907</v>
      </c>
      <c r="AK15" s="86">
        <f>(0.25*$F$28*$R29)*(1-$B$6+$B$6/2)</f>
        <v>19668.625595441907</v>
      </c>
      <c r="AL15" s="86">
        <f>(0.25*$F$28*$R29)*(1-$B$6+$B$6/2)</f>
        <v>19668.625595441907</v>
      </c>
      <c r="AM15" s="86">
        <f>(0.25*$F$28*$R29)*(1-$B$6+$B$6/2)</f>
        <v>19668.625595441907</v>
      </c>
      <c r="AN15" s="86">
        <f>(0.25*$F$28*$S29)*(1-$B$6+$B$6/2)</f>
        <v>20652.056875214003</v>
      </c>
      <c r="AO15" s="86">
        <f>(0.25*$F$28*$S29)*(1-$B$6+$B$6/2)</f>
        <v>20652.056875214003</v>
      </c>
      <c r="AP15" s="86">
        <f>(0.25*$F$28*$S29)*(1-$B$6+$B$6/2)</f>
        <v>20652.056875214003</v>
      </c>
      <c r="AQ15" s="86">
        <f>(0.25*$F$28*$S29)*(1-$B$6+$B$6/2)</f>
        <v>20652.056875214003</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-126100</v>
      </c>
      <c r="D19" s="91">
        <f t="shared" si="0"/>
        <v>13312.5</v>
      </c>
      <c r="E19" s="92">
        <f t="shared" si="0"/>
        <v>13312.5</v>
      </c>
      <c r="F19" s="92">
        <f t="shared" si="0"/>
        <v>13312.5</v>
      </c>
      <c r="G19" s="90">
        <f t="shared" si="0"/>
        <v>13312.5</v>
      </c>
      <c r="H19" s="91">
        <f t="shared" si="0"/>
        <v>13978.125000000002</v>
      </c>
      <c r="I19" s="92">
        <f t="shared" si="0"/>
        <v>13978.125000000002</v>
      </c>
      <c r="J19" s="92">
        <f t="shared" si="0"/>
        <v>13978.125000000002</v>
      </c>
      <c r="K19" s="90">
        <f t="shared" si="0"/>
        <v>13978.125000000002</v>
      </c>
      <c r="L19" s="91">
        <f t="shared" si="0"/>
        <v>14677.031250000002</v>
      </c>
      <c r="M19" s="92">
        <f t="shared" si="0"/>
        <v>14677.031250000002</v>
      </c>
      <c r="N19" s="92">
        <f t="shared" si="0"/>
        <v>14677.031250000002</v>
      </c>
      <c r="O19" s="90">
        <f t="shared" si="0"/>
        <v>14677.031250000002</v>
      </c>
      <c r="P19" s="91">
        <f t="shared" si="0"/>
        <v>15410.882812500002</v>
      </c>
      <c r="Q19" s="92">
        <f t="shared" si="0"/>
        <v>15410.882812500002</v>
      </c>
      <c r="R19" s="92">
        <f t="shared" si="0"/>
        <v>15410.882812500002</v>
      </c>
      <c r="S19" s="90">
        <f t="shared" si="0"/>
        <v>15410.882812500002</v>
      </c>
      <c r="T19" s="91">
        <f t="shared" si="0"/>
        <v>16181.426953125003</v>
      </c>
      <c r="U19" s="92">
        <f t="shared" si="0"/>
        <v>16181.426953125003</v>
      </c>
      <c r="V19" s="92">
        <f t="shared" si="0"/>
        <v>16181.426953125003</v>
      </c>
      <c r="W19" s="90">
        <f t="shared" si="0"/>
        <v>16181.426953125003</v>
      </c>
      <c r="X19" s="91">
        <f t="shared" si="0"/>
        <v>16990.498300781255</v>
      </c>
      <c r="Y19" s="92">
        <f t="shared" si="0"/>
        <v>16990.498300781255</v>
      </c>
      <c r="Z19" s="92">
        <f t="shared" si="0"/>
        <v>16990.498300781255</v>
      </c>
      <c r="AA19" s="90">
        <f t="shared" si="0"/>
        <v>16990.498300781255</v>
      </c>
      <c r="AB19" s="91">
        <f t="shared" si="0"/>
        <v>17840.023215820322</v>
      </c>
      <c r="AC19" s="92">
        <f t="shared" si="0"/>
        <v>17840.023215820322</v>
      </c>
      <c r="AD19" s="92">
        <f t="shared" si="0"/>
        <v>17840.023215820322</v>
      </c>
      <c r="AE19" s="90">
        <f t="shared" si="0"/>
        <v>17840.023215820322</v>
      </c>
      <c r="AF19" s="91">
        <f t="shared" si="0"/>
        <v>18732.024376611334</v>
      </c>
      <c r="AG19" s="92">
        <f t="shared" si="0"/>
        <v>18732.024376611334</v>
      </c>
      <c r="AH19" s="92">
        <f t="shared" si="0"/>
        <v>18732.024376611334</v>
      </c>
      <c r="AI19" s="90">
        <f t="shared" si="0"/>
        <v>18732.024376611334</v>
      </c>
      <c r="AJ19" s="91">
        <f t="shared" si="0"/>
        <v>19668.625595441907</v>
      </c>
      <c r="AK19" s="92">
        <f t="shared" si="0"/>
        <v>19668.625595441907</v>
      </c>
      <c r="AL19" s="92">
        <f t="shared" si="0"/>
        <v>19668.625595441907</v>
      </c>
      <c r="AM19" s="90">
        <f t="shared" si="0"/>
        <v>19668.625595441907</v>
      </c>
      <c r="AN19" s="91">
        <f t="shared" si="0"/>
        <v>20652.056875214003</v>
      </c>
      <c r="AO19" s="92">
        <f t="shared" si="0"/>
        <v>20652.056875214003</v>
      </c>
      <c r="AP19" s="92">
        <f t="shared" si="0"/>
        <v>20652.056875214003</v>
      </c>
      <c r="AQ19" s="90">
        <f t="shared" si="0"/>
        <v>20652.056875214003</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-126100</v>
      </c>
      <c r="D21" s="84">
        <f t="shared" ref="D21:AQ21" si="1">+C21+D19</f>
        <v>-112787.5</v>
      </c>
      <c r="E21" s="84">
        <f t="shared" si="1"/>
        <v>-99475</v>
      </c>
      <c r="F21" s="84">
        <f t="shared" si="1"/>
        <v>-86162.5</v>
      </c>
      <c r="G21" s="84">
        <f t="shared" si="1"/>
        <v>-72850</v>
      </c>
      <c r="H21" s="84">
        <f t="shared" si="1"/>
        <v>-58871.875</v>
      </c>
      <c r="I21" s="84">
        <f t="shared" si="1"/>
        <v>-44893.75</v>
      </c>
      <c r="J21" s="84">
        <f t="shared" si="1"/>
        <v>-30915.625</v>
      </c>
      <c r="K21" s="84">
        <f t="shared" si="1"/>
        <v>-16937.5</v>
      </c>
      <c r="L21" s="84">
        <f t="shared" si="1"/>
        <v>-2260.4687499999982</v>
      </c>
      <c r="M21" s="84">
        <f t="shared" si="1"/>
        <v>12416.562500000004</v>
      </c>
      <c r="N21" s="84">
        <f t="shared" si="1"/>
        <v>27093.593750000007</v>
      </c>
      <c r="O21" s="84">
        <f t="shared" si="1"/>
        <v>41770.625000000007</v>
      </c>
      <c r="P21" s="84">
        <f t="shared" si="1"/>
        <v>57181.507812500007</v>
      </c>
      <c r="Q21" s="84">
        <f t="shared" si="1"/>
        <v>72592.390625000015</v>
      </c>
      <c r="R21" s="84">
        <f t="shared" si="1"/>
        <v>88003.273437500015</v>
      </c>
      <c r="S21" s="84">
        <f t="shared" si="1"/>
        <v>103414.15625000001</v>
      </c>
      <c r="T21" s="84">
        <f t="shared" si="1"/>
        <v>119595.58320312502</v>
      </c>
      <c r="U21" s="84">
        <f t="shared" si="1"/>
        <v>135777.01015625003</v>
      </c>
      <c r="V21" s="84">
        <f t="shared" si="1"/>
        <v>151958.43710937502</v>
      </c>
      <c r="W21" s="84">
        <f t="shared" si="1"/>
        <v>168139.86406250001</v>
      </c>
      <c r="X21" s="84">
        <f t="shared" si="1"/>
        <v>185130.36236328125</v>
      </c>
      <c r="Y21" s="84">
        <f t="shared" si="1"/>
        <v>202120.86066406249</v>
      </c>
      <c r="Z21" s="84">
        <f t="shared" si="1"/>
        <v>219111.35896484373</v>
      </c>
      <c r="AA21" s="84">
        <f t="shared" si="1"/>
        <v>236101.85726562497</v>
      </c>
      <c r="AB21" s="84">
        <f t="shared" si="1"/>
        <v>253941.88048144529</v>
      </c>
      <c r="AC21" s="84">
        <f t="shared" si="1"/>
        <v>271781.9036972656</v>
      </c>
      <c r="AD21" s="84">
        <f t="shared" si="1"/>
        <v>289621.92691308592</v>
      </c>
      <c r="AE21" s="84">
        <f t="shared" si="1"/>
        <v>307461.95012890623</v>
      </c>
      <c r="AF21" s="84">
        <f t="shared" si="1"/>
        <v>326193.97450551757</v>
      </c>
      <c r="AG21" s="84">
        <f t="shared" si="1"/>
        <v>344925.99888212892</v>
      </c>
      <c r="AH21" s="84">
        <f t="shared" si="1"/>
        <v>363658.02325874026</v>
      </c>
      <c r="AI21" s="84">
        <f t="shared" si="1"/>
        <v>382390.0476353516</v>
      </c>
      <c r="AJ21" s="84">
        <f t="shared" si="1"/>
        <v>402058.6732307935</v>
      </c>
      <c r="AK21" s="84">
        <f t="shared" si="1"/>
        <v>421727.2988262354</v>
      </c>
      <c r="AL21" s="84">
        <f t="shared" si="1"/>
        <v>441395.92442167731</v>
      </c>
      <c r="AM21" s="84">
        <f t="shared" si="1"/>
        <v>461064.55001711921</v>
      </c>
      <c r="AN21" s="84">
        <f t="shared" si="1"/>
        <v>481716.60689233319</v>
      </c>
      <c r="AO21" s="84">
        <f t="shared" si="1"/>
        <v>502368.66376754717</v>
      </c>
      <c r="AP21" s="84">
        <f t="shared" si="1"/>
        <v>523020.72064276115</v>
      </c>
      <c r="AQ21" s="84">
        <f t="shared" si="1"/>
        <v>543672.77751797519</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-126100</v>
      </c>
      <c r="D25" s="84">
        <f t="shared" si="3"/>
        <v>13312.5</v>
      </c>
      <c r="E25" s="84">
        <f t="shared" si="3"/>
        <v>13312.5</v>
      </c>
      <c r="F25" s="84">
        <f t="shared" si="3"/>
        <v>13312.5</v>
      </c>
      <c r="G25" s="84">
        <f t="shared" si="3"/>
        <v>13312.5</v>
      </c>
      <c r="H25" s="84">
        <f t="shared" si="3"/>
        <v>13978.125000000002</v>
      </c>
      <c r="I25" s="84">
        <f t="shared" si="3"/>
        <v>13978.125000000002</v>
      </c>
      <c r="J25" s="84">
        <f t="shared" si="3"/>
        <v>13978.125000000002</v>
      </c>
      <c r="K25" s="84">
        <f t="shared" si="3"/>
        <v>13978.125000000002</v>
      </c>
      <c r="L25" s="84">
        <f t="shared" si="3"/>
        <v>14677.031250000002</v>
      </c>
      <c r="M25" s="84">
        <f t="shared" si="3"/>
        <v>14677.031250000002</v>
      </c>
      <c r="N25" s="84">
        <f t="shared" si="3"/>
        <v>14677.031250000002</v>
      </c>
      <c r="O25" s="84">
        <f t="shared" si="3"/>
        <v>14677.031250000002</v>
      </c>
      <c r="P25" s="84">
        <f t="shared" si="3"/>
        <v>15410.882812500002</v>
      </c>
      <c r="Q25" s="84">
        <f t="shared" si="3"/>
        <v>15410.882812500002</v>
      </c>
      <c r="R25" s="84">
        <f t="shared" si="3"/>
        <v>15410.882812500002</v>
      </c>
      <c r="S25" s="84">
        <f t="shared" si="3"/>
        <v>15410.882812500002</v>
      </c>
      <c r="T25" s="84">
        <f t="shared" si="3"/>
        <v>16181.426953125003</v>
      </c>
      <c r="U25" s="84">
        <f t="shared" si="3"/>
        <v>16181.426953125003</v>
      </c>
      <c r="V25" s="84">
        <f t="shared" si="3"/>
        <v>16181.426953125003</v>
      </c>
      <c r="W25" s="84">
        <f t="shared" si="3"/>
        <v>16181.426953125003</v>
      </c>
      <c r="X25" s="84">
        <f t="shared" si="3"/>
        <v>16990.498300781255</v>
      </c>
      <c r="Y25" s="84">
        <f t="shared" si="3"/>
        <v>16990.498300781255</v>
      </c>
      <c r="Z25" s="84">
        <f t="shared" si="3"/>
        <v>16990.498300781255</v>
      </c>
      <c r="AA25" s="84">
        <f t="shared" si="3"/>
        <v>16990.498300781255</v>
      </c>
      <c r="AB25" s="84">
        <f t="shared" si="3"/>
        <v>17840.023215820322</v>
      </c>
      <c r="AC25" s="84">
        <f t="shared" si="3"/>
        <v>17840.023215820322</v>
      </c>
      <c r="AD25" s="84">
        <f t="shared" si="3"/>
        <v>17840.023215820322</v>
      </c>
      <c r="AE25" s="84">
        <f t="shared" si="3"/>
        <v>17840.023215820322</v>
      </c>
      <c r="AF25" s="84">
        <f t="shared" si="3"/>
        <v>18732.024376611334</v>
      </c>
      <c r="AG25" s="84">
        <f t="shared" si="3"/>
        <v>18732.024376611334</v>
      </c>
      <c r="AH25" s="84">
        <f t="shared" si="3"/>
        <v>18732.024376611334</v>
      </c>
      <c r="AI25" s="84">
        <f t="shared" si="3"/>
        <v>18732.024376611334</v>
      </c>
      <c r="AJ25" s="84">
        <f t="shared" si="3"/>
        <v>19668.625595441907</v>
      </c>
      <c r="AK25" s="84">
        <f t="shared" si="3"/>
        <v>19668.625595441907</v>
      </c>
      <c r="AL25" s="84">
        <f t="shared" si="3"/>
        <v>19668.625595441907</v>
      </c>
      <c r="AM25" s="84">
        <f t="shared" si="3"/>
        <v>19668.625595441907</v>
      </c>
      <c r="AN25" s="84">
        <f t="shared" si="3"/>
        <v>20652.056875214003</v>
      </c>
      <c r="AO25" s="84">
        <f t="shared" si="3"/>
        <v>20652.056875214003</v>
      </c>
      <c r="AP25" s="84">
        <f t="shared" si="3"/>
        <v>20652.056875214003</v>
      </c>
      <c r="AQ25" s="84">
        <f t="shared" si="3"/>
        <v>20652.056875214003</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'420G-NR'!G115</f>
        <v>126100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'420G-NR'!S120*1000</f>
        <v>266250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O58" sqref="O58"/>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407D4C93-BC41-4AFE-94EF-55FA203861EE}">
      <formula1>"Y,N"</formula1>
    </dataValidation>
  </dataValidations>
  <pageMargins left="0.75" right="0.75" top="1" bottom="1" header="0.5" footer="0.5"/>
  <pageSetup paperSize="9" orientation="portrait" r:id="rId2"/>
  <headerFooter alignWithMargins="0"/>
  <legacyDrawing r:id="rId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9F0B4-0FE4-4DAD-9C9B-258570F403C4}">
  <sheetPr codeName="Sheet17">
    <tabColor indexed="53"/>
  </sheetPr>
  <dimension ref="A4:M64"/>
  <sheetViews>
    <sheetView view="pageBreakPreview" topLeftCell="A3" zoomScale="130" zoomScaleNormal="100" zoomScaleSheetLayoutView="130" workbookViewId="0">
      <selection activeCell="O58" sqref="O58"/>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'420G-NR'!C60</f>
        <v>27708</v>
      </c>
    </row>
    <row r="10" spans="1:13" ht="13">
      <c r="A10" s="109" t="s">
        <v>842</v>
      </c>
      <c r="B10" s="1007" t="s">
        <v>843</v>
      </c>
      <c r="C10" s="1008"/>
      <c r="D10" s="1008"/>
      <c r="E10" s="1008"/>
      <c r="F10" s="1008"/>
      <c r="G10" s="1008"/>
      <c r="H10" s="1008"/>
      <c r="I10" s="1008"/>
    </row>
    <row r="11" spans="1:13" ht="13">
      <c r="A11" s="109" t="s">
        <v>844</v>
      </c>
      <c r="B11" s="1009" t="str">
        <f>'420G-NR'!A2</f>
        <v>420 George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SUM('420G-IS'!C12:F12)</f>
        <v>-126100</v>
      </c>
      <c r="D25" s="119">
        <f>SUM('420G-IS'!D12:G12)</f>
        <v>0</v>
      </c>
      <c r="E25" s="119">
        <f>SUM('420G-IS'!H12:K12)</f>
        <v>0</v>
      </c>
      <c r="F25" s="119">
        <f>SUM('420G-IS'!L12:O12)</f>
        <v>0</v>
      </c>
      <c r="G25" s="119">
        <f>SUM('420G-IS'!P12:S12)</f>
        <v>0</v>
      </c>
      <c r="H25" s="119">
        <f>SUM('420G-IS'!T12:W12)</f>
        <v>0</v>
      </c>
      <c r="I25" s="119">
        <f>SUM('420G-IS'!X12:AA12)</f>
        <v>0</v>
      </c>
      <c r="J25" s="119">
        <f>SUM('420G-IS'!AB12:AE12)</f>
        <v>0</v>
      </c>
      <c r="K25" s="119">
        <f>SUM('420G-IS'!AF12:AI12)</f>
        <v>0</v>
      </c>
      <c r="L25" s="119">
        <f>SUM('420G-IS'!AJ12:AM12)</f>
        <v>0</v>
      </c>
      <c r="M25" s="119">
        <f>SUM('420G-IS'!AN12:AQ12)</f>
        <v>0</v>
      </c>
    </row>
    <row r="26" spans="1:13">
      <c r="A26" s="106" t="s">
        <v>804</v>
      </c>
      <c r="C26" s="120"/>
      <c r="D26" s="119">
        <f>SUM('420G-IS'!D13:G13)</f>
        <v>0</v>
      </c>
      <c r="E26" s="119">
        <f>SUM('420G-IS'!H13:K13)</f>
        <v>0</v>
      </c>
      <c r="F26" s="119">
        <f>SUM('420G-IS'!L13:O13)</f>
        <v>0</v>
      </c>
      <c r="G26" s="119">
        <f>SUM('420G-IS'!P13:S13)</f>
        <v>0</v>
      </c>
      <c r="H26" s="119">
        <f>SUM('420G-IS'!T13:W13)</f>
        <v>0</v>
      </c>
      <c r="I26" s="119">
        <f>SUM('420G-IS'!X13:AA13)</f>
        <v>0</v>
      </c>
      <c r="J26" s="119">
        <f>SUM('420G-IS'!AB13:AE13)</f>
        <v>0</v>
      </c>
      <c r="K26" s="119">
        <f>SUM('420G-IS'!AF13:AI13)</f>
        <v>0</v>
      </c>
      <c r="L26" s="119">
        <f>SUM('420G-IS'!AJ13:AM13)</f>
        <v>0</v>
      </c>
      <c r="M26" s="119">
        <f>SUM('420G-IS'!AN13:AQ13)</f>
        <v>0</v>
      </c>
    </row>
    <row r="27" spans="1:13">
      <c r="A27" s="106" t="s">
        <v>805</v>
      </c>
      <c r="C27" s="120"/>
      <c r="D27" s="119">
        <f>SUM('420G-IS'!D15:G15)+SUM('420G-IS'!D14:G14)</f>
        <v>53250</v>
      </c>
      <c r="E27" s="119">
        <f>SUM('420G-IS'!H15:K15)+SUM('420G-IS'!H14:K14)</f>
        <v>55912.500000000007</v>
      </c>
      <c r="F27" s="119">
        <f>SUM('420G-IS'!L15:O15)+SUM('420G-IS'!L14:O14)</f>
        <v>58708.125000000007</v>
      </c>
      <c r="G27" s="119">
        <f>SUM('420G-IS'!P15:S15)+SUM('420G-IS'!P14:S14)</f>
        <v>61643.531250000007</v>
      </c>
      <c r="H27" s="119">
        <f>SUM('420G-IS'!T15:W15)+SUM('420G-IS'!T14:W14)</f>
        <v>64725.707812500012</v>
      </c>
      <c r="I27" s="119">
        <f>SUM('420G-IS'!X15:AA15)+SUM('420G-IS'!X14:AA14)</f>
        <v>67961.993203125021</v>
      </c>
      <c r="J27" s="119">
        <f>SUM('420G-IS'!AB15:AE15)+SUM('420G-IS'!AB14:AE14)</f>
        <v>71360.092863281287</v>
      </c>
      <c r="K27" s="119">
        <f>SUM('420G-IS'!AF15:AI15)+SUM('420G-IS'!AF14:AI14)</f>
        <v>74928.097506445338</v>
      </c>
      <c r="L27" s="119">
        <f>SUM('420G-IS'!AJ15:AM15)+SUM('420G-IS'!AJ14:AM14)</f>
        <v>78674.502381767627</v>
      </c>
      <c r="M27" s="119">
        <f>SUM('420G-IS'!AN15:AQ15)+SUM('420G-IS'!AN14:AQ14)</f>
        <v>82608.22750085601</v>
      </c>
    </row>
    <row r="28" spans="1:13">
      <c r="A28" s="106" t="s">
        <v>808</v>
      </c>
      <c r="C28" s="120"/>
      <c r="D28" s="119">
        <f>SUM('420G-IS'!D16:G16)</f>
        <v>0</v>
      </c>
      <c r="E28" s="119">
        <f>SUM('420G-IS'!H16:K16)</f>
        <v>0</v>
      </c>
      <c r="F28" s="119">
        <f>SUM('420G-IS'!L16:O16)</f>
        <v>0</v>
      </c>
      <c r="G28" s="119">
        <f>SUM('420G-IS'!P16:S16)</f>
        <v>0</v>
      </c>
      <c r="H28" s="119">
        <f>SUM('420G-IS'!T16:W16)</f>
        <v>0</v>
      </c>
      <c r="I28" s="119">
        <f>SUM('420G-IS'!X16:AA16)</f>
        <v>0</v>
      </c>
      <c r="J28" s="119">
        <f>SUM('420G-IS'!AB16:AE16)</f>
        <v>0</v>
      </c>
      <c r="K28" s="119">
        <f>SUM('420G-IS'!AF16:AI16)</f>
        <v>0</v>
      </c>
      <c r="L28" s="119">
        <f>SUM('420G-IS'!AJ16:AM16)</f>
        <v>0</v>
      </c>
      <c r="M28" s="119">
        <f>SUM('420G-IS'!AN16:AQ16)</f>
        <v>0</v>
      </c>
    </row>
    <row r="29" spans="1:13">
      <c r="A29" s="106" t="s">
        <v>809</v>
      </c>
      <c r="C29" s="120"/>
      <c r="D29" s="119">
        <f>SUM('420G-IS'!D17:G17)</f>
        <v>0</v>
      </c>
      <c r="E29" s="119">
        <f>SUM('420G-IS'!H17:K17)</f>
        <v>0</v>
      </c>
      <c r="F29" s="119">
        <f>SUM('420G-IS'!L17:O17)</f>
        <v>0</v>
      </c>
      <c r="G29" s="119">
        <f>SUM('420G-IS'!P17:S17)</f>
        <v>0</v>
      </c>
      <c r="H29" s="119">
        <f>SUM('420G-IS'!T17:W17)</f>
        <v>0</v>
      </c>
      <c r="I29" s="119">
        <f>SUM('420G-IS'!X17:AA17)</f>
        <v>0</v>
      </c>
      <c r="J29" s="119">
        <f>SUM('420G-IS'!AB17:AE17)</f>
        <v>0</v>
      </c>
      <c r="K29" s="119">
        <f>SUM('420G-IS'!AF17:AI17)</f>
        <v>0</v>
      </c>
      <c r="L29" s="119">
        <f>SUM('420G-IS'!AJ17:AM17)</f>
        <v>0</v>
      </c>
      <c r="M29" s="119">
        <f>SUM('420G-IS'!AN17:AQ17)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-126100</v>
      </c>
      <c r="D31" s="124">
        <f t="shared" si="0"/>
        <v>53250</v>
      </c>
      <c r="E31" s="125">
        <f t="shared" si="0"/>
        <v>55912.500000000007</v>
      </c>
      <c r="F31" s="125">
        <f t="shared" si="0"/>
        <v>58708.125000000007</v>
      </c>
      <c r="G31" s="125">
        <f t="shared" si="0"/>
        <v>61643.531250000007</v>
      </c>
      <c r="H31" s="125">
        <f t="shared" si="0"/>
        <v>64725.707812500012</v>
      </c>
      <c r="I31" s="125">
        <f t="shared" si="0"/>
        <v>67961.993203125021</v>
      </c>
      <c r="J31" s="125">
        <f t="shared" si="0"/>
        <v>71360.092863281287</v>
      </c>
      <c r="K31" s="125">
        <f t="shared" si="0"/>
        <v>74928.097506445338</v>
      </c>
      <c r="L31" s="125">
        <f t="shared" si="0"/>
        <v>78674.502381767627</v>
      </c>
      <c r="M31" s="125">
        <f t="shared" si="0"/>
        <v>82608.22750085601</v>
      </c>
    </row>
    <row r="32" spans="1:13" ht="13" thickTop="1">
      <c r="A32" s="64" t="s">
        <v>860</v>
      </c>
      <c r="B32" s="79"/>
      <c r="C32" s="77"/>
      <c r="D32" s="152">
        <f>D31/$I$9</f>
        <v>1.9218276310090949</v>
      </c>
      <c r="E32" s="152">
        <f t="shared" ref="E32:M32" si="1">E31/$I$9</f>
        <v>2.0179190125595499</v>
      </c>
      <c r="F32" s="152">
        <f t="shared" si="1"/>
        <v>2.1188149631875275</v>
      </c>
      <c r="G32" s="152">
        <f t="shared" si="1"/>
        <v>2.2247557113469036</v>
      </c>
      <c r="H32" s="152">
        <f t="shared" si="1"/>
        <v>2.3359934969142491</v>
      </c>
      <c r="I32" s="152">
        <f t="shared" si="1"/>
        <v>2.4527931717599616</v>
      </c>
      <c r="J32" s="152">
        <f t="shared" si="1"/>
        <v>2.5754328303479603</v>
      </c>
      <c r="K32" s="152">
        <f t="shared" si="1"/>
        <v>2.7042044718653577</v>
      </c>
      <c r="L32" s="152">
        <f t="shared" si="1"/>
        <v>2.8394146954586268</v>
      </c>
      <c r="M32" s="152">
        <f t="shared" si="1"/>
        <v>2.9813854302315579</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'420G-NR'!G67</f>
        <v>CURRENT</v>
      </c>
      <c r="J36" s="127" t="str">
        <f>'420G-NR'!H67</f>
        <v>FY25</v>
      </c>
      <c r="K36" s="127" t="str">
        <f>'420G-NR'!I67</f>
        <v>FY26</v>
      </c>
      <c r="L36" s="127" t="str">
        <f>'420G-NR'!J67</f>
        <v>FY27</v>
      </c>
      <c r="M36" s="127" t="str">
        <f>'420G-NR'!K67</f>
        <v>FY28</v>
      </c>
    </row>
    <row r="37" spans="1:13" ht="25.5">
      <c r="A37" s="128" t="s">
        <v>863</v>
      </c>
      <c r="B37" s="129" t="s">
        <v>864</v>
      </c>
      <c r="D37" s="117"/>
      <c r="E37" s="130"/>
      <c r="F37" s="117"/>
      <c r="G37" s="131" t="s">
        <v>865</v>
      </c>
      <c r="H37" s="132">
        <f>'420G-NR'!S123</f>
        <v>5.5084801043705154</v>
      </c>
      <c r="I37" s="132">
        <f>'420G-NR'!S124</f>
        <v>5.448052881161086</v>
      </c>
      <c r="J37" s="132">
        <f>'420G-NR'!S125</f>
        <v>5.5006819299584313</v>
      </c>
      <c r="K37" s="132">
        <f>'420G-NR'!S126</f>
        <v>5.5006819299584313</v>
      </c>
      <c r="L37" s="117"/>
    </row>
    <row r="38" spans="1:13" ht="13">
      <c r="G38" s="131" t="s">
        <v>866</v>
      </c>
      <c r="I38" s="133">
        <f>'420G-NR'!G115</f>
        <v>126100</v>
      </c>
      <c r="J38" s="133"/>
      <c r="K38" s="133"/>
    </row>
    <row r="39" spans="1:13" ht="13">
      <c r="A39" s="106" t="s">
        <v>867</v>
      </c>
      <c r="B39" s="134">
        <v>0</v>
      </c>
      <c r="E39" s="117"/>
      <c r="F39" s="135"/>
      <c r="G39" s="131" t="s">
        <v>868</v>
      </c>
      <c r="I39" s="136">
        <f>IRR(C31:M31)</f>
        <v>0.45624589561502216</v>
      </c>
    </row>
    <row r="40" spans="1:13" ht="13">
      <c r="A40" s="128"/>
      <c r="B40" s="137"/>
      <c r="G40" s="131" t="s">
        <v>869</v>
      </c>
      <c r="I40" s="133">
        <f>B43/B41-B43</f>
        <v>826053.09227216954</v>
      </c>
    </row>
    <row r="41" spans="1:13">
      <c r="A41" s="106" t="s">
        <v>870</v>
      </c>
      <c r="B41" s="138">
        <v>7.4999999999999997E-2</v>
      </c>
    </row>
    <row r="42" spans="1:13">
      <c r="A42" s="117"/>
    </row>
    <row r="43" spans="1:13">
      <c r="A43" s="139" t="s">
        <v>871</v>
      </c>
      <c r="B43" s="140">
        <f>SUMIF(D31:M31,"&lt;&gt;0")/COUNTIF(D31:M31,"&lt;&gt;0")</f>
        <v>66977.277751797534</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5.50848010437052 Stars</v>
      </c>
      <c r="G59" s="146">
        <f t="shared" si="2"/>
        <v>5.448052881161086</v>
      </c>
      <c r="H59" s="146">
        <f t="shared" si="2"/>
        <v>5.5006819299584313</v>
      </c>
      <c r="I59" s="146">
        <f t="shared" si="2"/>
        <v>5.5006819299584313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126100</v>
      </c>
      <c r="H62" s="149">
        <f>J38</f>
        <v>0</v>
      </c>
      <c r="I62" s="149">
        <f>K38</f>
        <v>0</v>
      </c>
      <c r="J62" s="143"/>
    </row>
    <row r="63" spans="5:10" ht="17.5">
      <c r="E63" s="143"/>
      <c r="F63" s="147"/>
      <c r="G63" s="150">
        <f>I39</f>
        <v>0.45624589561502216</v>
      </c>
      <c r="H63" s="147"/>
      <c r="I63" s="147"/>
      <c r="J63" s="143"/>
    </row>
    <row r="64" spans="5:10" ht="17.5">
      <c r="E64" s="143"/>
      <c r="F64" s="143"/>
      <c r="G64" s="151">
        <f>I40</f>
        <v>826053.09227216954</v>
      </c>
      <c r="H64" s="143"/>
      <c r="I64" s="143"/>
      <c r="J64" s="143"/>
    </row>
  </sheetData>
  <customSheetViews>
    <customSheetView guid="{0FAFE012-8D9E-4ED0-86A4-A997E430971B}" scale="130" showPageBreaks="1" printArea="1" state="hidden" view="pageBreakPreview" topLeftCell="A3">
      <selection activeCell="O58" sqref="O58"/>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22783E9D-ACA4-4EDC-BE57-65A0A6AD1BCE}">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B6B566F9-9230-407D-B429-A31BC8DAB4ED}">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B16D4-766D-4763-89EC-120781D9ACDF}">
  <sheetPr codeName="Sheet19">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-256340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49500</v>
      </c>
      <c r="E15" s="81">
        <f>(0.25*$F$28*$J29)*(1-$B$6+$B$6/2)</f>
        <v>49500</v>
      </c>
      <c r="F15" s="81">
        <f>(0.25*$F$28*$J29)*(1-$B$6+$B$6/2)</f>
        <v>49500</v>
      </c>
      <c r="G15" s="81">
        <f>(0.25*$F$28*$J29)*(1-$B$6+$B$6/2)</f>
        <v>49500</v>
      </c>
      <c r="H15" s="86">
        <f>(0.25*$F$28*$K29)*(1-$B$6+$B$6/2)</f>
        <v>51975.000000000007</v>
      </c>
      <c r="I15" s="86">
        <f>(0.25*$F$28*$K29)*(1-$B$6+$B$6/2)</f>
        <v>51975.000000000007</v>
      </c>
      <c r="J15" s="86">
        <f>(0.25*$F$28*$K29)*(1-$B$6+$B$6/2)</f>
        <v>51975.000000000007</v>
      </c>
      <c r="K15" s="86">
        <f>(0.25*$F$28*$K29)*(1-$B$6+$B$6/2)</f>
        <v>51975.000000000007</v>
      </c>
      <c r="L15" s="86">
        <f>(0.25*$F$28*$L29)*(1-$B$6+$B$6/2)</f>
        <v>54573.750000000007</v>
      </c>
      <c r="M15" s="86">
        <f>(0.25*$F$28*$L29)*(1-$B$6+$B$6/2)</f>
        <v>54573.750000000007</v>
      </c>
      <c r="N15" s="86">
        <f>(0.25*$F$28*$L29)*(1-$B$6+$B$6/2)</f>
        <v>54573.750000000007</v>
      </c>
      <c r="O15" s="86">
        <f>(0.25*$F$28*$L29)*(1-$B$6+$B$6/2)</f>
        <v>54573.750000000007</v>
      </c>
      <c r="P15" s="86">
        <f>(0.25*$F$28*$M29)*(1-$B$6+$B$6/2)</f>
        <v>57302.437500000007</v>
      </c>
      <c r="Q15" s="86">
        <f>(0.25*$F$28*$M29)*(1-$B$6+$B$6/2)</f>
        <v>57302.437500000007</v>
      </c>
      <c r="R15" s="86">
        <f>(0.25*$F$28*$M29)*(1-$B$6+$B$6/2)</f>
        <v>57302.437500000007</v>
      </c>
      <c r="S15" s="86">
        <f>(0.25*$F$28*$M29)*(1-$B$6+$B$6/2)</f>
        <v>57302.437500000007</v>
      </c>
      <c r="T15" s="86">
        <f>(0.25*$F$28*$N29)*(1-$B$6+$B$6/2)</f>
        <v>60167.559375000012</v>
      </c>
      <c r="U15" s="86">
        <f>(0.25*$F$28*$N29)*(1-$B$6+$B$6/2)</f>
        <v>60167.559375000012</v>
      </c>
      <c r="V15" s="86">
        <f>(0.25*$F$28*$N29)*(1-$B$6+$B$6/2)</f>
        <v>60167.559375000012</v>
      </c>
      <c r="W15" s="86">
        <f>(0.25*$F$28*$N29)*(1-$B$6+$B$6/2)</f>
        <v>60167.559375000012</v>
      </c>
      <c r="X15" s="86">
        <f>(0.25*$F$28*$O29)*(1-$B$6+$B$6/2)</f>
        <v>63175.937343750018</v>
      </c>
      <c r="Y15" s="86">
        <f>(0.25*$F$28*$O29)*(1-$B$6+$B$6/2)</f>
        <v>63175.937343750018</v>
      </c>
      <c r="Z15" s="86">
        <f>(0.25*$F$28*$O29)*(1-$B$6+$B$6/2)</f>
        <v>63175.937343750018</v>
      </c>
      <c r="AA15" s="86">
        <f>(0.25*$F$28*$O29)*(1-$B$6+$B$6/2)</f>
        <v>63175.937343750018</v>
      </c>
      <c r="AB15" s="86">
        <f>(0.25*$F$28*$P29)*(1-$B$6+$B$6/2)</f>
        <v>66334.734210937531</v>
      </c>
      <c r="AC15" s="86">
        <f>(0.25*$F$28*$P29)*(1-$B$6+$B$6/2)</f>
        <v>66334.734210937531</v>
      </c>
      <c r="AD15" s="86">
        <f>(0.25*$F$28*$P29)*(1-$B$6+$B$6/2)</f>
        <v>66334.734210937531</v>
      </c>
      <c r="AE15" s="86">
        <f>(0.25*$F$28*$P29)*(1-$B$6+$B$6/2)</f>
        <v>66334.734210937531</v>
      </c>
      <c r="AF15" s="86">
        <f>(0.25*$F$28*$Q29)*(1-$B$6+$B$6/2)</f>
        <v>69651.470921484404</v>
      </c>
      <c r="AG15" s="86">
        <f>(0.25*$F$28*$Q29)*(1-$B$6+$B$6/2)</f>
        <v>69651.470921484404</v>
      </c>
      <c r="AH15" s="86">
        <f>(0.25*$F$28*$Q29)*(1-$B$6+$B$6/2)</f>
        <v>69651.470921484404</v>
      </c>
      <c r="AI15" s="86">
        <f>(0.25*$F$28*$Q29)*(1-$B$6+$B$6/2)</f>
        <v>69651.470921484404</v>
      </c>
      <c r="AJ15" s="86">
        <f>(0.25*$F$28*$R29)*(1-$B$6+$B$6/2)</f>
        <v>73134.044467558633</v>
      </c>
      <c r="AK15" s="86">
        <f>(0.25*$F$28*$R29)*(1-$B$6+$B$6/2)</f>
        <v>73134.044467558633</v>
      </c>
      <c r="AL15" s="86">
        <f>(0.25*$F$28*$R29)*(1-$B$6+$B$6/2)</f>
        <v>73134.044467558633</v>
      </c>
      <c r="AM15" s="86">
        <f>(0.25*$F$28*$R29)*(1-$B$6+$B$6/2)</f>
        <v>73134.044467558633</v>
      </c>
      <c r="AN15" s="86">
        <f>(0.25*$F$28*$S29)*(1-$B$6+$B$6/2)</f>
        <v>76790.746690936576</v>
      </c>
      <c r="AO15" s="86">
        <f>(0.25*$F$28*$S29)*(1-$B$6+$B$6/2)</f>
        <v>76790.746690936576</v>
      </c>
      <c r="AP15" s="86">
        <f>(0.25*$F$28*$S29)*(1-$B$6+$B$6/2)</f>
        <v>76790.746690936576</v>
      </c>
      <c r="AQ15" s="86">
        <f>(0.25*$F$28*$S29)*(1-$B$6+$B$6/2)</f>
        <v>76790.746690936576</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-256340</v>
      </c>
      <c r="D19" s="91">
        <f t="shared" si="0"/>
        <v>49500</v>
      </c>
      <c r="E19" s="92">
        <f t="shared" si="0"/>
        <v>49500</v>
      </c>
      <c r="F19" s="92">
        <f t="shared" si="0"/>
        <v>49500</v>
      </c>
      <c r="G19" s="90">
        <f t="shared" si="0"/>
        <v>49500</v>
      </c>
      <c r="H19" s="91">
        <f t="shared" si="0"/>
        <v>51975.000000000007</v>
      </c>
      <c r="I19" s="92">
        <f t="shared" si="0"/>
        <v>51975.000000000007</v>
      </c>
      <c r="J19" s="92">
        <f t="shared" si="0"/>
        <v>51975.000000000007</v>
      </c>
      <c r="K19" s="90">
        <f t="shared" si="0"/>
        <v>51975.000000000007</v>
      </c>
      <c r="L19" s="91">
        <f t="shared" si="0"/>
        <v>54573.750000000007</v>
      </c>
      <c r="M19" s="92">
        <f t="shared" si="0"/>
        <v>54573.750000000007</v>
      </c>
      <c r="N19" s="92">
        <f t="shared" si="0"/>
        <v>54573.750000000007</v>
      </c>
      <c r="O19" s="90">
        <f t="shared" si="0"/>
        <v>54573.750000000007</v>
      </c>
      <c r="P19" s="91">
        <f t="shared" si="0"/>
        <v>57302.437500000007</v>
      </c>
      <c r="Q19" s="92">
        <f t="shared" si="0"/>
        <v>57302.437500000007</v>
      </c>
      <c r="R19" s="92">
        <f t="shared" si="0"/>
        <v>57302.437500000007</v>
      </c>
      <c r="S19" s="90">
        <f t="shared" si="0"/>
        <v>57302.437500000007</v>
      </c>
      <c r="T19" s="91">
        <f t="shared" si="0"/>
        <v>60167.559375000012</v>
      </c>
      <c r="U19" s="92">
        <f t="shared" si="0"/>
        <v>60167.559375000012</v>
      </c>
      <c r="V19" s="92">
        <f t="shared" si="0"/>
        <v>60167.559375000012</v>
      </c>
      <c r="W19" s="90">
        <f t="shared" si="0"/>
        <v>60167.559375000012</v>
      </c>
      <c r="X19" s="91">
        <f t="shared" si="0"/>
        <v>63175.937343750018</v>
      </c>
      <c r="Y19" s="92">
        <f t="shared" si="0"/>
        <v>63175.937343750018</v>
      </c>
      <c r="Z19" s="92">
        <f t="shared" si="0"/>
        <v>63175.937343750018</v>
      </c>
      <c r="AA19" s="90">
        <f t="shared" si="0"/>
        <v>63175.937343750018</v>
      </c>
      <c r="AB19" s="91">
        <f t="shared" si="0"/>
        <v>66334.734210937531</v>
      </c>
      <c r="AC19" s="92">
        <f t="shared" si="0"/>
        <v>66334.734210937531</v>
      </c>
      <c r="AD19" s="92">
        <f t="shared" si="0"/>
        <v>66334.734210937531</v>
      </c>
      <c r="AE19" s="90">
        <f t="shared" si="0"/>
        <v>66334.734210937531</v>
      </c>
      <c r="AF19" s="91">
        <f t="shared" si="0"/>
        <v>69651.470921484404</v>
      </c>
      <c r="AG19" s="92">
        <f t="shared" si="0"/>
        <v>69651.470921484404</v>
      </c>
      <c r="AH19" s="92">
        <f t="shared" si="0"/>
        <v>69651.470921484404</v>
      </c>
      <c r="AI19" s="90">
        <f t="shared" si="0"/>
        <v>69651.470921484404</v>
      </c>
      <c r="AJ19" s="91">
        <f t="shared" si="0"/>
        <v>73134.044467558633</v>
      </c>
      <c r="AK19" s="92">
        <f t="shared" si="0"/>
        <v>73134.044467558633</v>
      </c>
      <c r="AL19" s="92">
        <f t="shared" si="0"/>
        <v>73134.044467558633</v>
      </c>
      <c r="AM19" s="90">
        <f t="shared" si="0"/>
        <v>73134.044467558633</v>
      </c>
      <c r="AN19" s="91">
        <f t="shared" si="0"/>
        <v>76790.746690936576</v>
      </c>
      <c r="AO19" s="92">
        <f t="shared" si="0"/>
        <v>76790.746690936576</v>
      </c>
      <c r="AP19" s="92">
        <f t="shared" si="0"/>
        <v>76790.746690936576</v>
      </c>
      <c r="AQ19" s="90">
        <f t="shared" si="0"/>
        <v>76790.746690936576</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-256340</v>
      </c>
      <c r="D21" s="84">
        <f t="shared" ref="D21:AQ21" si="1">+C21+D19</f>
        <v>-206840</v>
      </c>
      <c r="E21" s="84">
        <f t="shared" si="1"/>
        <v>-157340</v>
      </c>
      <c r="F21" s="84">
        <f t="shared" si="1"/>
        <v>-107840</v>
      </c>
      <c r="G21" s="84">
        <f t="shared" si="1"/>
        <v>-58340</v>
      </c>
      <c r="H21" s="84">
        <f t="shared" si="1"/>
        <v>-6364.9999999999927</v>
      </c>
      <c r="I21" s="84">
        <f t="shared" si="1"/>
        <v>45610.000000000015</v>
      </c>
      <c r="J21" s="84">
        <f t="shared" si="1"/>
        <v>97585.000000000029</v>
      </c>
      <c r="K21" s="84">
        <f t="shared" si="1"/>
        <v>149560.00000000003</v>
      </c>
      <c r="L21" s="84">
        <f t="shared" si="1"/>
        <v>204133.75000000003</v>
      </c>
      <c r="M21" s="84">
        <f t="shared" si="1"/>
        <v>258707.50000000003</v>
      </c>
      <c r="N21" s="84">
        <f t="shared" si="1"/>
        <v>313281.25000000006</v>
      </c>
      <c r="O21" s="84">
        <f t="shared" si="1"/>
        <v>367855.00000000006</v>
      </c>
      <c r="P21" s="84">
        <f t="shared" si="1"/>
        <v>425157.43750000006</v>
      </c>
      <c r="Q21" s="84">
        <f t="shared" si="1"/>
        <v>482459.87500000006</v>
      </c>
      <c r="R21" s="84">
        <f t="shared" si="1"/>
        <v>539762.31250000012</v>
      </c>
      <c r="S21" s="84">
        <f t="shared" si="1"/>
        <v>597064.75000000012</v>
      </c>
      <c r="T21" s="84">
        <f t="shared" si="1"/>
        <v>657232.30937500019</v>
      </c>
      <c r="U21" s="84">
        <f t="shared" si="1"/>
        <v>717399.86875000014</v>
      </c>
      <c r="V21" s="84">
        <f t="shared" si="1"/>
        <v>777567.42812500009</v>
      </c>
      <c r="W21" s="84">
        <f t="shared" si="1"/>
        <v>837734.98750000005</v>
      </c>
      <c r="X21" s="84">
        <f t="shared" si="1"/>
        <v>900910.92484375008</v>
      </c>
      <c r="Y21" s="84">
        <f t="shared" si="1"/>
        <v>964086.86218750011</v>
      </c>
      <c r="Z21" s="84">
        <f t="shared" si="1"/>
        <v>1027262.7995312501</v>
      </c>
      <c r="AA21" s="84">
        <f t="shared" si="1"/>
        <v>1090438.7368750002</v>
      </c>
      <c r="AB21" s="84">
        <f t="shared" si="1"/>
        <v>1156773.4710859377</v>
      </c>
      <c r="AC21" s="84">
        <f t="shared" si="1"/>
        <v>1223108.2052968752</v>
      </c>
      <c r="AD21" s="84">
        <f t="shared" si="1"/>
        <v>1289442.9395078127</v>
      </c>
      <c r="AE21" s="84">
        <f t="shared" si="1"/>
        <v>1355777.6737187502</v>
      </c>
      <c r="AF21" s="84">
        <f t="shared" si="1"/>
        <v>1425429.1446402348</v>
      </c>
      <c r="AG21" s="84">
        <f t="shared" si="1"/>
        <v>1495080.6155617191</v>
      </c>
      <c r="AH21" s="84">
        <f t="shared" si="1"/>
        <v>1564732.0864832033</v>
      </c>
      <c r="AI21" s="84">
        <f t="shared" si="1"/>
        <v>1634383.5574046876</v>
      </c>
      <c r="AJ21" s="84">
        <f t="shared" si="1"/>
        <v>1707517.6018722462</v>
      </c>
      <c r="AK21" s="84">
        <f t="shared" si="1"/>
        <v>1780651.6463398049</v>
      </c>
      <c r="AL21" s="84">
        <f t="shared" si="1"/>
        <v>1853785.6908073635</v>
      </c>
      <c r="AM21" s="84">
        <f t="shared" si="1"/>
        <v>1926919.7352749221</v>
      </c>
      <c r="AN21" s="84">
        <f t="shared" si="1"/>
        <v>2003710.4819658587</v>
      </c>
      <c r="AO21" s="84">
        <f t="shared" si="1"/>
        <v>2080501.2286567953</v>
      </c>
      <c r="AP21" s="84">
        <f t="shared" si="1"/>
        <v>2157291.9753477317</v>
      </c>
      <c r="AQ21" s="84">
        <f t="shared" si="1"/>
        <v>2234082.7220386681</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-256340</v>
      </c>
      <c r="D25" s="84">
        <f t="shared" si="3"/>
        <v>49500</v>
      </c>
      <c r="E25" s="84">
        <f t="shared" si="3"/>
        <v>49500</v>
      </c>
      <c r="F25" s="84">
        <f t="shared" si="3"/>
        <v>49500</v>
      </c>
      <c r="G25" s="84">
        <f t="shared" si="3"/>
        <v>49500</v>
      </c>
      <c r="H25" s="84">
        <f t="shared" si="3"/>
        <v>51975.000000000007</v>
      </c>
      <c r="I25" s="84">
        <f t="shared" si="3"/>
        <v>51975.000000000007</v>
      </c>
      <c r="J25" s="84">
        <f t="shared" si="3"/>
        <v>51975.000000000007</v>
      </c>
      <c r="K25" s="84">
        <f t="shared" si="3"/>
        <v>51975.000000000007</v>
      </c>
      <c r="L25" s="84">
        <f t="shared" si="3"/>
        <v>54573.750000000007</v>
      </c>
      <c r="M25" s="84">
        <f t="shared" si="3"/>
        <v>54573.750000000007</v>
      </c>
      <c r="N25" s="84">
        <f t="shared" si="3"/>
        <v>54573.750000000007</v>
      </c>
      <c r="O25" s="84">
        <f t="shared" si="3"/>
        <v>54573.750000000007</v>
      </c>
      <c r="P25" s="84">
        <f t="shared" si="3"/>
        <v>57302.437500000007</v>
      </c>
      <c r="Q25" s="84">
        <f t="shared" si="3"/>
        <v>57302.437500000007</v>
      </c>
      <c r="R25" s="84">
        <f t="shared" si="3"/>
        <v>57302.437500000007</v>
      </c>
      <c r="S25" s="84">
        <f t="shared" si="3"/>
        <v>57302.437500000007</v>
      </c>
      <c r="T25" s="84">
        <f t="shared" si="3"/>
        <v>60167.559375000012</v>
      </c>
      <c r="U25" s="84">
        <f t="shared" si="3"/>
        <v>60167.559375000012</v>
      </c>
      <c r="V25" s="84">
        <f t="shared" si="3"/>
        <v>60167.559375000012</v>
      </c>
      <c r="W25" s="84">
        <f t="shared" si="3"/>
        <v>60167.559375000012</v>
      </c>
      <c r="X25" s="84">
        <f t="shared" si="3"/>
        <v>63175.937343750018</v>
      </c>
      <c r="Y25" s="84">
        <f t="shared" si="3"/>
        <v>63175.937343750018</v>
      </c>
      <c r="Z25" s="84">
        <f t="shared" si="3"/>
        <v>63175.937343750018</v>
      </c>
      <c r="AA25" s="84">
        <f t="shared" si="3"/>
        <v>63175.937343750018</v>
      </c>
      <c r="AB25" s="84">
        <f t="shared" si="3"/>
        <v>66334.734210937531</v>
      </c>
      <c r="AC25" s="84">
        <f t="shared" si="3"/>
        <v>66334.734210937531</v>
      </c>
      <c r="AD25" s="84">
        <f t="shared" si="3"/>
        <v>66334.734210937531</v>
      </c>
      <c r="AE25" s="84">
        <f t="shared" si="3"/>
        <v>66334.734210937531</v>
      </c>
      <c r="AF25" s="84">
        <f t="shared" si="3"/>
        <v>69651.470921484404</v>
      </c>
      <c r="AG25" s="84">
        <f t="shared" si="3"/>
        <v>69651.470921484404</v>
      </c>
      <c r="AH25" s="84">
        <f t="shared" si="3"/>
        <v>69651.470921484404</v>
      </c>
      <c r="AI25" s="84">
        <f t="shared" si="3"/>
        <v>69651.470921484404</v>
      </c>
      <c r="AJ25" s="84">
        <f t="shared" si="3"/>
        <v>73134.044467558633</v>
      </c>
      <c r="AK25" s="84">
        <f t="shared" si="3"/>
        <v>73134.044467558633</v>
      </c>
      <c r="AL25" s="84">
        <f t="shared" si="3"/>
        <v>73134.044467558633</v>
      </c>
      <c r="AM25" s="84">
        <f t="shared" si="3"/>
        <v>73134.044467558633</v>
      </c>
      <c r="AN25" s="84">
        <f t="shared" si="3"/>
        <v>76790.746690936576</v>
      </c>
      <c r="AO25" s="84">
        <f t="shared" si="3"/>
        <v>76790.746690936576</v>
      </c>
      <c r="AP25" s="84">
        <f t="shared" si="3"/>
        <v>76790.746690936576</v>
      </c>
      <c r="AQ25" s="84">
        <f t="shared" si="3"/>
        <v>76790.746690936576</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'201K-NR'!G115</f>
        <v>256340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'201K-NR'!S120*1000</f>
        <v>990000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32CD1E47-9A65-4E21-A201-49745F5710D3}">
      <formula1>"Y,N"</formula1>
    </dataValidation>
  </dataValidations>
  <pageMargins left="0.75" right="0.75" top="1" bottom="1" header="0.5" footer="0.5"/>
  <pageSetup paperSize="9" orientation="portrait" r:id="rId2"/>
  <headerFooter alignWithMargins="0"/>
  <legacyDrawing r:id="rId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7F768-C9BF-45DB-8AB1-34CD93D0324B}">
  <sheetPr codeName="Sheet20">
    <tabColor indexed="53"/>
  </sheetPr>
  <dimension ref="A4:M64"/>
  <sheetViews>
    <sheetView view="pageBreakPreview"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'201K-NR'!C60</f>
        <v>27599.5</v>
      </c>
    </row>
    <row r="10" spans="1:13" ht="13">
      <c r="A10" s="109" t="s">
        <v>842</v>
      </c>
      <c r="B10" s="1007" t="s">
        <v>843</v>
      </c>
      <c r="C10" s="1008"/>
      <c r="D10" s="1008"/>
      <c r="E10" s="1008"/>
      <c r="F10" s="1008"/>
      <c r="G10" s="1008"/>
      <c r="H10" s="1008"/>
      <c r="I10" s="1008"/>
    </row>
    <row r="11" spans="1:13" ht="13">
      <c r="A11" s="109" t="s">
        <v>844</v>
      </c>
      <c r="B11" s="1009" t="str">
        <f>'201K-NR'!A2</f>
        <v>201 Kent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SUM('201K-IS'!C12:F12)</f>
        <v>-256340</v>
      </c>
      <c r="D25" s="119">
        <f>SUM('201K-IS'!D12:G12)</f>
        <v>0</v>
      </c>
      <c r="E25" s="119">
        <f>SUM('201K-IS'!H12:K12)</f>
        <v>0</v>
      </c>
      <c r="F25" s="119">
        <f>SUM('201K-IS'!L12:O12)</f>
        <v>0</v>
      </c>
      <c r="G25" s="119">
        <f>SUM('201K-IS'!P12:S12)</f>
        <v>0</v>
      </c>
      <c r="H25" s="119">
        <f>SUM('201K-IS'!T12:W12)</f>
        <v>0</v>
      </c>
      <c r="I25" s="119">
        <f>SUM('201K-IS'!X12:AA12)</f>
        <v>0</v>
      </c>
      <c r="J25" s="119">
        <f>SUM('201K-IS'!AB12:AE12)</f>
        <v>0</v>
      </c>
      <c r="K25" s="119">
        <f>SUM('201K-IS'!AF12:AI12)</f>
        <v>0</v>
      </c>
      <c r="L25" s="119">
        <f>SUM('201K-IS'!AJ12:AM12)</f>
        <v>0</v>
      </c>
      <c r="M25" s="119">
        <f>SUM('201K-IS'!AN12:AQ12)</f>
        <v>0</v>
      </c>
    </row>
    <row r="26" spans="1:13">
      <c r="A26" s="106" t="s">
        <v>804</v>
      </c>
      <c r="C26" s="120"/>
      <c r="D26" s="119">
        <f>SUM('201K-IS'!D13:G13)</f>
        <v>0</v>
      </c>
      <c r="E26" s="119">
        <f>SUM('201K-IS'!H13:K13)</f>
        <v>0</v>
      </c>
      <c r="F26" s="119">
        <f>SUM('201K-IS'!L13:O13)</f>
        <v>0</v>
      </c>
      <c r="G26" s="119">
        <f>SUM('201K-IS'!P13:S13)</f>
        <v>0</v>
      </c>
      <c r="H26" s="119">
        <f>SUM('201K-IS'!T13:W13)</f>
        <v>0</v>
      </c>
      <c r="I26" s="119">
        <f>SUM('201K-IS'!X13:AA13)</f>
        <v>0</v>
      </c>
      <c r="J26" s="119">
        <f>SUM('201K-IS'!AB13:AE13)</f>
        <v>0</v>
      </c>
      <c r="K26" s="119">
        <f>SUM('201K-IS'!AF13:AI13)</f>
        <v>0</v>
      </c>
      <c r="L26" s="119">
        <f>SUM('201K-IS'!AJ13:AM13)</f>
        <v>0</v>
      </c>
      <c r="M26" s="119">
        <f>SUM('201K-IS'!AN13:AQ13)</f>
        <v>0</v>
      </c>
    </row>
    <row r="27" spans="1:13">
      <c r="A27" s="106" t="s">
        <v>805</v>
      </c>
      <c r="C27" s="120"/>
      <c r="D27" s="119">
        <f>SUM('201K-IS'!D15:G15)+SUM('201K-IS'!D14:G14)</f>
        <v>198000</v>
      </c>
      <c r="E27" s="119">
        <f>SUM('201K-IS'!H15:K15)+SUM('201K-IS'!H14:K14)</f>
        <v>207900.00000000003</v>
      </c>
      <c r="F27" s="119">
        <f>SUM('201K-IS'!L15:O15)+SUM('201K-IS'!L14:O14)</f>
        <v>218295.00000000003</v>
      </c>
      <c r="G27" s="119">
        <f>SUM('201K-IS'!P15:S15)+SUM('201K-IS'!P14:S14)</f>
        <v>229209.75000000003</v>
      </c>
      <c r="H27" s="119">
        <f>SUM('201K-IS'!T15:W15)+SUM('201K-IS'!T14:W14)</f>
        <v>240670.23750000005</v>
      </c>
      <c r="I27" s="119">
        <f>SUM('201K-IS'!X15:AA15)+SUM('201K-IS'!X14:AA14)</f>
        <v>252703.74937500007</v>
      </c>
      <c r="J27" s="119">
        <f>SUM('201K-IS'!AB15:AE15)+SUM('201K-IS'!AB14:AE14)</f>
        <v>265338.93684375013</v>
      </c>
      <c r="K27" s="119">
        <f>SUM('201K-IS'!AF15:AI15)+SUM('201K-IS'!AF14:AI14)</f>
        <v>278605.88368593762</v>
      </c>
      <c r="L27" s="119">
        <f>SUM('201K-IS'!AJ15:AM15)+SUM('201K-IS'!AJ14:AM14)</f>
        <v>292536.17787023453</v>
      </c>
      <c r="M27" s="119">
        <f>SUM('201K-IS'!AN15:AQ15)+SUM('201K-IS'!AN14:AQ14)</f>
        <v>307162.9867637463</v>
      </c>
    </row>
    <row r="28" spans="1:13">
      <c r="A28" s="106" t="s">
        <v>808</v>
      </c>
      <c r="C28" s="120"/>
      <c r="D28" s="119">
        <f>SUM('201K-IS'!D16:G16)</f>
        <v>0</v>
      </c>
      <c r="E28" s="119">
        <f>SUM('201K-IS'!H16:K16)</f>
        <v>0</v>
      </c>
      <c r="F28" s="119">
        <f>SUM('201K-IS'!L16:O16)</f>
        <v>0</v>
      </c>
      <c r="G28" s="119">
        <f>SUM('201K-IS'!P16:S16)</f>
        <v>0</v>
      </c>
      <c r="H28" s="119">
        <f>SUM('201K-IS'!T16:W16)</f>
        <v>0</v>
      </c>
      <c r="I28" s="119">
        <f>SUM('201K-IS'!X16:AA16)</f>
        <v>0</v>
      </c>
      <c r="J28" s="119">
        <f>SUM('201K-IS'!AB16:AE16)</f>
        <v>0</v>
      </c>
      <c r="K28" s="119">
        <f>SUM('201K-IS'!AF16:AI16)</f>
        <v>0</v>
      </c>
      <c r="L28" s="119">
        <f>SUM('201K-IS'!AJ16:AM16)</f>
        <v>0</v>
      </c>
      <c r="M28" s="119">
        <f>SUM('201K-IS'!AN16:AQ16)</f>
        <v>0</v>
      </c>
    </row>
    <row r="29" spans="1:13">
      <c r="A29" s="106" t="s">
        <v>809</v>
      </c>
      <c r="C29" s="120"/>
      <c r="D29" s="119">
        <f>SUM('201K-IS'!D17:G17)</f>
        <v>0</v>
      </c>
      <c r="E29" s="119">
        <f>SUM('201K-IS'!H17:K17)</f>
        <v>0</v>
      </c>
      <c r="F29" s="119">
        <f>SUM('201K-IS'!L17:O17)</f>
        <v>0</v>
      </c>
      <c r="G29" s="119">
        <f>SUM('201K-IS'!P17:S17)</f>
        <v>0</v>
      </c>
      <c r="H29" s="119">
        <f>SUM('201K-IS'!T17:W17)</f>
        <v>0</v>
      </c>
      <c r="I29" s="119">
        <f>SUM('201K-IS'!X17:AA17)</f>
        <v>0</v>
      </c>
      <c r="J29" s="119">
        <f>SUM('201K-IS'!AB17:AE17)</f>
        <v>0</v>
      </c>
      <c r="K29" s="119">
        <f>SUM('201K-IS'!AF17:AI17)</f>
        <v>0</v>
      </c>
      <c r="L29" s="119">
        <f>SUM('201K-IS'!AJ17:AM17)</f>
        <v>0</v>
      </c>
      <c r="M29" s="119">
        <f>SUM('201K-IS'!AN17:AQ17)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-256340</v>
      </c>
      <c r="D31" s="124">
        <f t="shared" si="0"/>
        <v>198000</v>
      </c>
      <c r="E31" s="125">
        <f t="shared" si="0"/>
        <v>207900.00000000003</v>
      </c>
      <c r="F31" s="125">
        <f t="shared" si="0"/>
        <v>218295.00000000003</v>
      </c>
      <c r="G31" s="125">
        <f t="shared" si="0"/>
        <v>229209.75000000003</v>
      </c>
      <c r="H31" s="125">
        <f t="shared" si="0"/>
        <v>240670.23750000005</v>
      </c>
      <c r="I31" s="125">
        <f t="shared" si="0"/>
        <v>252703.74937500007</v>
      </c>
      <c r="J31" s="125">
        <f t="shared" si="0"/>
        <v>265338.93684375013</v>
      </c>
      <c r="K31" s="125">
        <f t="shared" si="0"/>
        <v>278605.88368593762</v>
      </c>
      <c r="L31" s="125">
        <f t="shared" si="0"/>
        <v>292536.17787023453</v>
      </c>
      <c r="M31" s="125">
        <f t="shared" si="0"/>
        <v>307162.9867637463</v>
      </c>
    </row>
    <row r="32" spans="1:13" ht="13" thickTop="1">
      <c r="A32" s="64" t="s">
        <v>860</v>
      </c>
      <c r="B32" s="79"/>
      <c r="C32" s="77"/>
      <c r="D32" s="152">
        <f>D31/$I$9</f>
        <v>7.1740430080255075</v>
      </c>
      <c r="E32" s="152">
        <f t="shared" ref="E32:M32" si="1">E31/$I$9</f>
        <v>7.5327451584267839</v>
      </c>
      <c r="F32" s="152">
        <f t="shared" si="1"/>
        <v>7.909382416348123</v>
      </c>
      <c r="G32" s="152">
        <f t="shared" si="1"/>
        <v>8.3048515371655292</v>
      </c>
      <c r="H32" s="152">
        <f t="shared" si="1"/>
        <v>8.7200941140238069</v>
      </c>
      <c r="I32" s="152">
        <f t="shared" si="1"/>
        <v>9.1560988197249973</v>
      </c>
      <c r="J32" s="152">
        <f t="shared" si="1"/>
        <v>9.6139037607112492</v>
      </c>
      <c r="K32" s="152">
        <f t="shared" si="1"/>
        <v>10.09459894874681</v>
      </c>
      <c r="L32" s="152">
        <f t="shared" si="1"/>
        <v>10.599328896184153</v>
      </c>
      <c r="M32" s="152">
        <f t="shared" si="1"/>
        <v>11.129295340993362</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'201K-NR'!G67</f>
        <v>CURRENT</v>
      </c>
      <c r="J36" s="127" t="str">
        <f>'201K-NR'!H67</f>
        <v>FY25</v>
      </c>
      <c r="K36" s="127" t="str">
        <f>'201K-NR'!I67</f>
        <v>FY26</v>
      </c>
      <c r="L36" s="127" t="str">
        <f>'201K-NR'!J67</f>
        <v>FY27</v>
      </c>
      <c r="M36" s="127" t="str">
        <f>'201K-NR'!K67</f>
        <v>FY28</v>
      </c>
    </row>
    <row r="37" spans="1:13" ht="25.5">
      <c r="A37" s="128" t="s">
        <v>863</v>
      </c>
      <c r="B37" s="129" t="s">
        <v>864</v>
      </c>
      <c r="D37" s="117"/>
      <c r="E37" s="130"/>
      <c r="F37" s="117"/>
      <c r="G37" s="131" t="s">
        <v>865</v>
      </c>
      <c r="H37" s="132">
        <f>'201K-NR'!S123</f>
        <v>5.606327462491846</v>
      </c>
      <c r="I37" s="132">
        <f>'201K-NR'!S124</f>
        <v>5.5342721655410259</v>
      </c>
      <c r="J37" s="132">
        <f>'201K-NR'!S125</f>
        <v>5.5546713464728459</v>
      </c>
      <c r="K37" s="132">
        <f>'201K-NR'!S126</f>
        <v>5.8931708217041399</v>
      </c>
      <c r="L37" s="117"/>
    </row>
    <row r="38" spans="1:13" ht="13">
      <c r="G38" s="131" t="s">
        <v>866</v>
      </c>
      <c r="I38" s="133">
        <f>'201K-NR'!G115</f>
        <v>256340</v>
      </c>
      <c r="J38" s="133"/>
      <c r="K38" s="133"/>
    </row>
    <row r="39" spans="1:13" ht="13">
      <c r="A39" s="106" t="s">
        <v>867</v>
      </c>
      <c r="B39" s="134">
        <v>0</v>
      </c>
      <c r="E39" s="117"/>
      <c r="F39" s="135"/>
      <c r="G39" s="131" t="s">
        <v>868</v>
      </c>
      <c r="I39" s="136">
        <f>IRR(C31:M31)</f>
        <v>0.81924328462421547</v>
      </c>
    </row>
    <row r="40" spans="1:13" ht="13">
      <c r="A40" s="128"/>
      <c r="B40" s="137"/>
      <c r="G40" s="131" t="s">
        <v>869</v>
      </c>
      <c r="I40" s="133">
        <f>B43/B41-B43</f>
        <v>3071521.3571810257</v>
      </c>
    </row>
    <row r="41" spans="1:13">
      <c r="A41" s="106" t="s">
        <v>870</v>
      </c>
      <c r="B41" s="138">
        <v>7.4999999999999997E-2</v>
      </c>
    </row>
    <row r="42" spans="1:13">
      <c r="A42" s="117"/>
    </row>
    <row r="43" spans="1:13">
      <c r="A43" s="139" t="s">
        <v>871</v>
      </c>
      <c r="B43" s="140">
        <f>SUMIF(D31:M31,"&lt;&gt;0")/COUNTIF(D31:M31,"&lt;&gt;0")</f>
        <v>249042.27220386692</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5.60632746249185 Stars</v>
      </c>
      <c r="G59" s="146">
        <f t="shared" si="2"/>
        <v>5.5342721655410259</v>
      </c>
      <c r="H59" s="146">
        <f t="shared" si="2"/>
        <v>5.5546713464728459</v>
      </c>
      <c r="I59" s="146">
        <f t="shared" si="2"/>
        <v>5.8931708217041399</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256340</v>
      </c>
      <c r="H62" s="149">
        <f>J38</f>
        <v>0</v>
      </c>
      <c r="I62" s="149">
        <f>K38</f>
        <v>0</v>
      </c>
      <c r="J62" s="143"/>
    </row>
    <row r="63" spans="5:10" ht="17.5">
      <c r="E63" s="143"/>
      <c r="F63" s="147"/>
      <c r="G63" s="150">
        <f>I39</f>
        <v>0.81924328462421547</v>
      </c>
      <c r="H63" s="147"/>
      <c r="I63" s="147"/>
      <c r="J63" s="143"/>
    </row>
    <row r="64" spans="5:10" ht="17.5">
      <c r="E64" s="143"/>
      <c r="F64" s="143"/>
      <c r="G64" s="151">
        <f>I40</f>
        <v>3071521.3571810257</v>
      </c>
      <c r="H64" s="143"/>
      <c r="I64" s="143"/>
      <c r="J64" s="143"/>
    </row>
  </sheetData>
  <customSheetViews>
    <customSheetView guid="{0FAFE012-8D9E-4ED0-86A4-A997E430971B}" scale="130" showPageBreaks="1" printArea="1" state="hidden" view="pageBreakPreview">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DE4BD25B-C716-4B4C-B43D-3461DAFDA0A5}">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AF94F1B7-23F2-4026-A763-24BAD9178201}">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0139-0DA1-4E73-AF37-153C4A47194F}">
  <sheetPr codeName="Sheet22">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-226200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-226200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-226200</v>
      </c>
      <c r="D21" s="84">
        <f t="shared" ref="D21:AQ21" si="1">+C21+D19</f>
        <v>-226200</v>
      </c>
      <c r="E21" s="84">
        <f t="shared" si="1"/>
        <v>-226200</v>
      </c>
      <c r="F21" s="84">
        <f t="shared" si="1"/>
        <v>-226200</v>
      </c>
      <c r="G21" s="84">
        <f t="shared" si="1"/>
        <v>-226200</v>
      </c>
      <c r="H21" s="84">
        <f t="shared" si="1"/>
        <v>-226200</v>
      </c>
      <c r="I21" s="84">
        <f t="shared" si="1"/>
        <v>-226200</v>
      </c>
      <c r="J21" s="84">
        <f t="shared" si="1"/>
        <v>-226200</v>
      </c>
      <c r="K21" s="84">
        <f t="shared" si="1"/>
        <v>-226200</v>
      </c>
      <c r="L21" s="84">
        <f t="shared" si="1"/>
        <v>-226200</v>
      </c>
      <c r="M21" s="84">
        <f t="shared" si="1"/>
        <v>-226200</v>
      </c>
      <c r="N21" s="84">
        <f t="shared" si="1"/>
        <v>-226200</v>
      </c>
      <c r="O21" s="84">
        <f t="shared" si="1"/>
        <v>-226200</v>
      </c>
      <c r="P21" s="84">
        <f t="shared" si="1"/>
        <v>-226200</v>
      </c>
      <c r="Q21" s="84">
        <f t="shared" si="1"/>
        <v>-226200</v>
      </c>
      <c r="R21" s="84">
        <f t="shared" si="1"/>
        <v>-226200</v>
      </c>
      <c r="S21" s="84">
        <f t="shared" si="1"/>
        <v>-226200</v>
      </c>
      <c r="T21" s="84">
        <f t="shared" si="1"/>
        <v>-226200</v>
      </c>
      <c r="U21" s="84">
        <f t="shared" si="1"/>
        <v>-226200</v>
      </c>
      <c r="V21" s="84">
        <f t="shared" si="1"/>
        <v>-226200</v>
      </c>
      <c r="W21" s="84">
        <f t="shared" si="1"/>
        <v>-226200</v>
      </c>
      <c r="X21" s="84">
        <f t="shared" si="1"/>
        <v>-226200</v>
      </c>
      <c r="Y21" s="84">
        <f t="shared" si="1"/>
        <v>-226200</v>
      </c>
      <c r="Z21" s="84">
        <f t="shared" si="1"/>
        <v>-226200</v>
      </c>
      <c r="AA21" s="84">
        <f t="shared" si="1"/>
        <v>-226200</v>
      </c>
      <c r="AB21" s="84">
        <f t="shared" si="1"/>
        <v>-226200</v>
      </c>
      <c r="AC21" s="84">
        <f t="shared" si="1"/>
        <v>-226200</v>
      </c>
      <c r="AD21" s="84">
        <f t="shared" si="1"/>
        <v>-226200</v>
      </c>
      <c r="AE21" s="84">
        <f t="shared" si="1"/>
        <v>-226200</v>
      </c>
      <c r="AF21" s="84">
        <f t="shared" si="1"/>
        <v>-226200</v>
      </c>
      <c r="AG21" s="84">
        <f t="shared" si="1"/>
        <v>-226200</v>
      </c>
      <c r="AH21" s="84">
        <f t="shared" si="1"/>
        <v>-226200</v>
      </c>
      <c r="AI21" s="84">
        <f t="shared" si="1"/>
        <v>-226200</v>
      </c>
      <c r="AJ21" s="84">
        <f t="shared" si="1"/>
        <v>-226200</v>
      </c>
      <c r="AK21" s="84">
        <f t="shared" si="1"/>
        <v>-226200</v>
      </c>
      <c r="AL21" s="84">
        <f t="shared" si="1"/>
        <v>-226200</v>
      </c>
      <c r="AM21" s="84">
        <f t="shared" si="1"/>
        <v>-226200</v>
      </c>
      <c r="AN21" s="84">
        <f t="shared" si="1"/>
        <v>-226200</v>
      </c>
      <c r="AO21" s="84">
        <f t="shared" si="1"/>
        <v>-226200</v>
      </c>
      <c r="AP21" s="84">
        <f t="shared" si="1"/>
        <v>-226200</v>
      </c>
      <c r="AQ21" s="84">
        <f t="shared" si="1"/>
        <v>-226200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-226200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'20B-NR'!G115</f>
        <v>226200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'20B-NR'!S120*1000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341F5877-723B-479F-BF02-15FC90A3E64E}">
      <formula1>"Y,N"</formula1>
    </dataValidation>
  </dataValidations>
  <pageMargins left="0.75" right="0.75" top="1" bottom="1" header="0.5" footer="0.5"/>
  <pageSetup paperSize="9" orientation="portrait" r:id="rId2"/>
  <headerFooter alignWithMargins="0"/>
  <legacyDrawing r:id="rId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A543-B986-44C7-9786-86D221DAAE8D}">
  <sheetPr codeName="Sheet23">
    <tabColor indexed="53"/>
  </sheetPr>
  <dimension ref="A4:M64"/>
  <sheetViews>
    <sheetView view="pageBreakPreview" topLeftCell="A3"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'20B-NR'!C60</f>
        <v>17031.7</v>
      </c>
    </row>
    <row r="10" spans="1:13" ht="13">
      <c r="A10" s="109" t="s">
        <v>842</v>
      </c>
      <c r="B10" s="1007" t="s">
        <v>843</v>
      </c>
      <c r="C10" s="1008"/>
      <c r="D10" s="1008"/>
      <c r="E10" s="1008"/>
      <c r="F10" s="1008"/>
      <c r="G10" s="1008"/>
      <c r="H10" s="1008"/>
      <c r="I10" s="1008"/>
    </row>
    <row r="11" spans="1:13" ht="13">
      <c r="A11" s="109" t="s">
        <v>844</v>
      </c>
      <c r="B11" s="1009" t="str">
        <f>'20B-NR'!A2</f>
        <v>20 Bridge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SUM('20B-IS'!C12:F12)</f>
        <v>-226200</v>
      </c>
      <c r="D25" s="119">
        <f>SUM('20B-IS'!D12:G12)</f>
        <v>0</v>
      </c>
      <c r="E25" s="119">
        <f>SUM('20B-IS'!H12:K12)</f>
        <v>0</v>
      </c>
      <c r="F25" s="119">
        <f>SUM('20B-IS'!L12:O12)</f>
        <v>0</v>
      </c>
      <c r="G25" s="119">
        <f>SUM('20B-IS'!P12:S12)</f>
        <v>0</v>
      </c>
      <c r="H25" s="119">
        <f>SUM('20B-IS'!T12:W12)</f>
        <v>0</v>
      </c>
      <c r="I25" s="119">
        <f>SUM('20B-IS'!X12:AA12)</f>
        <v>0</v>
      </c>
      <c r="J25" s="119">
        <f>SUM('20B-IS'!AB12:AE12)</f>
        <v>0</v>
      </c>
      <c r="K25" s="119">
        <f>SUM('20B-IS'!AF12:AI12)</f>
        <v>0</v>
      </c>
      <c r="L25" s="119">
        <f>SUM('20B-IS'!AJ12:AM12)</f>
        <v>0</v>
      </c>
      <c r="M25" s="119">
        <f>SUM('20B-IS'!AN12:AQ12)</f>
        <v>0</v>
      </c>
    </row>
    <row r="26" spans="1:13">
      <c r="A26" s="106" t="s">
        <v>804</v>
      </c>
      <c r="C26" s="120"/>
      <c r="D26" s="119">
        <f>SUM('20B-IS'!D13:G13)</f>
        <v>0</v>
      </c>
      <c r="E26" s="119">
        <f>SUM('20B-IS'!H13:K13)</f>
        <v>0</v>
      </c>
      <c r="F26" s="119">
        <f>SUM('20B-IS'!L13:O13)</f>
        <v>0</v>
      </c>
      <c r="G26" s="119">
        <f>SUM('20B-IS'!P13:S13)</f>
        <v>0</v>
      </c>
      <c r="H26" s="119">
        <f>SUM('20B-IS'!T13:W13)</f>
        <v>0</v>
      </c>
      <c r="I26" s="119">
        <f>SUM('20B-IS'!X13:AA13)</f>
        <v>0</v>
      </c>
      <c r="J26" s="119">
        <f>SUM('20B-IS'!AB13:AE13)</f>
        <v>0</v>
      </c>
      <c r="K26" s="119">
        <f>SUM('20B-IS'!AF13:AI13)</f>
        <v>0</v>
      </c>
      <c r="L26" s="119">
        <f>SUM('20B-IS'!AJ13:AM13)</f>
        <v>0</v>
      </c>
      <c r="M26" s="119">
        <f>SUM('20B-IS'!AN13:AQ13)</f>
        <v>0</v>
      </c>
    </row>
    <row r="27" spans="1:13">
      <c r="A27" s="106" t="s">
        <v>805</v>
      </c>
      <c r="C27" s="120"/>
      <c r="D27" s="119">
        <f>SUM('20B-IS'!D15:G15)+SUM('20B-IS'!D14:G14)</f>
        <v>0</v>
      </c>
      <c r="E27" s="119">
        <f>SUM('20B-IS'!H15:K15)+SUM('20B-IS'!H14:K14)</f>
        <v>0</v>
      </c>
      <c r="F27" s="119">
        <f>SUM('20B-IS'!L15:O15)+SUM('20B-IS'!L14:O14)</f>
        <v>0</v>
      </c>
      <c r="G27" s="119">
        <f>SUM('20B-IS'!P15:S15)+SUM('20B-IS'!P14:S14)</f>
        <v>0</v>
      </c>
      <c r="H27" s="119">
        <f>SUM('20B-IS'!T15:W15)+SUM('20B-IS'!T14:W14)</f>
        <v>0</v>
      </c>
      <c r="I27" s="119">
        <f>SUM('20B-IS'!X15:AA15)+SUM('20B-IS'!X14:AA14)</f>
        <v>0</v>
      </c>
      <c r="J27" s="119">
        <f>SUM('20B-IS'!AB15:AE15)+SUM('20B-IS'!AB14:AE14)</f>
        <v>0</v>
      </c>
      <c r="K27" s="119">
        <f>SUM('20B-IS'!AF15:AI15)+SUM('20B-IS'!AF14:AI14)</f>
        <v>0</v>
      </c>
      <c r="L27" s="119">
        <f>SUM('20B-IS'!AJ15:AM15)+SUM('20B-IS'!AJ14:AM14)</f>
        <v>0</v>
      </c>
      <c r="M27" s="119">
        <f>SUM('20B-IS'!AN15:AQ15)+SUM('20B-IS'!AN14:AQ14)</f>
        <v>0</v>
      </c>
    </row>
    <row r="28" spans="1:13">
      <c r="A28" s="106" t="s">
        <v>808</v>
      </c>
      <c r="C28" s="120"/>
      <c r="D28" s="119">
        <f>SUM('20B-IS'!D16:G16)</f>
        <v>0</v>
      </c>
      <c r="E28" s="119">
        <f>SUM('20B-IS'!H16:K16)</f>
        <v>0</v>
      </c>
      <c r="F28" s="119">
        <f>SUM('20B-IS'!L16:O16)</f>
        <v>0</v>
      </c>
      <c r="G28" s="119">
        <f>SUM('20B-IS'!P16:S16)</f>
        <v>0</v>
      </c>
      <c r="H28" s="119">
        <f>SUM('20B-IS'!T16:W16)</f>
        <v>0</v>
      </c>
      <c r="I28" s="119">
        <f>SUM('20B-IS'!X16:AA16)</f>
        <v>0</v>
      </c>
      <c r="J28" s="119">
        <f>SUM('20B-IS'!AB16:AE16)</f>
        <v>0</v>
      </c>
      <c r="K28" s="119">
        <f>SUM('20B-IS'!AF16:AI16)</f>
        <v>0</v>
      </c>
      <c r="L28" s="119">
        <f>SUM('20B-IS'!AJ16:AM16)</f>
        <v>0</v>
      </c>
      <c r="M28" s="119">
        <f>SUM('20B-IS'!AN16:AQ16)</f>
        <v>0</v>
      </c>
    </row>
    <row r="29" spans="1:13">
      <c r="A29" s="106" t="s">
        <v>809</v>
      </c>
      <c r="C29" s="120"/>
      <c r="D29" s="119">
        <f>SUM('20B-IS'!D17:G17)</f>
        <v>0</v>
      </c>
      <c r="E29" s="119">
        <f>SUM('20B-IS'!H17:K17)</f>
        <v>0</v>
      </c>
      <c r="F29" s="119">
        <f>SUM('20B-IS'!L17:O17)</f>
        <v>0</v>
      </c>
      <c r="G29" s="119">
        <f>SUM('20B-IS'!P17:S17)</f>
        <v>0</v>
      </c>
      <c r="H29" s="119">
        <f>SUM('20B-IS'!T17:W17)</f>
        <v>0</v>
      </c>
      <c r="I29" s="119">
        <f>SUM('20B-IS'!X17:AA17)</f>
        <v>0</v>
      </c>
      <c r="J29" s="119">
        <f>SUM('20B-IS'!AB17:AE17)</f>
        <v>0</v>
      </c>
      <c r="K29" s="119">
        <f>SUM('20B-IS'!AF17:AI17)</f>
        <v>0</v>
      </c>
      <c r="L29" s="119">
        <f>SUM('20B-IS'!AJ17:AM17)</f>
        <v>0</v>
      </c>
      <c r="M29" s="119">
        <f>SUM('20B-IS'!AN17:AQ17)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-226200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'20B-NR'!G67</f>
        <v>CURRENT</v>
      </c>
      <c r="J36" s="127" t="str">
        <f>'20B-NR'!H67</f>
        <v>FY25</v>
      </c>
      <c r="K36" s="127" t="str">
        <f>'20B-NR'!I67</f>
        <v>FY26</v>
      </c>
      <c r="L36" s="127" t="str">
        <f>'20B-NR'!J67</f>
        <v>FY27</v>
      </c>
      <c r="M36" s="127" t="str">
        <f>'20B-NR'!K67</f>
        <v>FY28</v>
      </c>
    </row>
    <row r="37" spans="1:13" ht="25.5">
      <c r="A37" s="128" t="s">
        <v>863</v>
      </c>
      <c r="B37" s="129" t="s">
        <v>864</v>
      </c>
      <c r="D37" s="117"/>
      <c r="E37" s="130"/>
      <c r="F37" s="117"/>
      <c r="G37" s="131" t="s">
        <v>865</v>
      </c>
      <c r="H37" s="132">
        <f>'20B-NR'!S123</f>
        <v>4.7257012393998696</v>
      </c>
      <c r="I37" s="132">
        <f>'20B-NR'!S124</f>
        <v>4.7257012393998696</v>
      </c>
      <c r="J37" s="132">
        <f>'20B-NR'!S125</f>
        <v>4.7003145304979235</v>
      </c>
      <c r="K37" s="132">
        <f>'20B-NR'!S126</f>
        <v>4.7003145304979235</v>
      </c>
      <c r="L37" s="117"/>
    </row>
    <row r="38" spans="1:13" ht="13">
      <c r="G38" s="131" t="s">
        <v>866</v>
      </c>
      <c r="I38" s="133">
        <f>'20B-NR'!G115</f>
        <v>226200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4.72570123939987 Stars</v>
      </c>
      <c r="G59" s="146">
        <f t="shared" si="2"/>
        <v>4.7257012393998696</v>
      </c>
      <c r="H59" s="146">
        <f t="shared" si="2"/>
        <v>4.7003145304979235</v>
      </c>
      <c r="I59" s="146">
        <f t="shared" si="2"/>
        <v>4.7003145304979235</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226200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CA6062A5-4A7F-4D46-9E66-3C9A1A11E666}">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F3E4529D-07A6-4B3E-AB82-431751361659}">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D292A-23C1-4955-BED0-65E087A7C5A3}">
  <sheetPr codeName="Sheet26">
    <tabColor theme="5" tint="0.39997558519241921"/>
  </sheetPr>
  <dimension ref="A2:AQ101"/>
  <sheetViews>
    <sheetView zoomScale="85" zoomScaleNormal="85" workbookViewId="0">
      <selection activeCell="H96" sqref="H96"/>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14625</v>
      </c>
      <c r="E15" s="81">
        <f>(0.25*$F$28*$J29)*(1-$B$6+$B$6/2)</f>
        <v>14625</v>
      </c>
      <c r="F15" s="81">
        <f>(0.25*$F$28*$J29)*(1-$B$6+$B$6/2)</f>
        <v>14625</v>
      </c>
      <c r="G15" s="81">
        <f>(0.25*$F$28*$J29)*(1-$B$6+$B$6/2)</f>
        <v>14625</v>
      </c>
      <c r="H15" s="86">
        <f>(0.25*$F$28*$K29)*(1-$B$6+$B$6/2)</f>
        <v>15356.250000000002</v>
      </c>
      <c r="I15" s="86">
        <f>(0.25*$F$28*$K29)*(1-$B$6+$B$6/2)</f>
        <v>15356.250000000002</v>
      </c>
      <c r="J15" s="86">
        <f>(0.25*$F$28*$K29)*(1-$B$6+$B$6/2)</f>
        <v>15356.250000000002</v>
      </c>
      <c r="K15" s="86">
        <f>(0.25*$F$28*$K29)*(1-$B$6+$B$6/2)</f>
        <v>15356.250000000002</v>
      </c>
      <c r="L15" s="86">
        <f>(0.25*$F$28*$L29)*(1-$B$6+$B$6/2)</f>
        <v>16124.062500000002</v>
      </c>
      <c r="M15" s="86">
        <f>(0.25*$F$28*$L29)*(1-$B$6+$B$6/2)</f>
        <v>16124.062500000002</v>
      </c>
      <c r="N15" s="86">
        <f>(0.25*$F$28*$L29)*(1-$B$6+$B$6/2)</f>
        <v>16124.062500000002</v>
      </c>
      <c r="O15" s="86">
        <f>(0.25*$F$28*$L29)*(1-$B$6+$B$6/2)</f>
        <v>16124.062500000002</v>
      </c>
      <c r="P15" s="86">
        <f>(0.25*$F$28*$M29)*(1-$B$6+$B$6/2)</f>
        <v>16930.265625000004</v>
      </c>
      <c r="Q15" s="86">
        <f>(0.25*$F$28*$M29)*(1-$B$6+$B$6/2)</f>
        <v>16930.265625000004</v>
      </c>
      <c r="R15" s="86">
        <f>(0.25*$F$28*$M29)*(1-$B$6+$B$6/2)</f>
        <v>16930.265625000004</v>
      </c>
      <c r="S15" s="86">
        <f>(0.25*$F$28*$M29)*(1-$B$6+$B$6/2)</f>
        <v>16930.265625000004</v>
      </c>
      <c r="T15" s="86">
        <f>(0.25*$F$28*$N29)*(1-$B$6+$B$6/2)</f>
        <v>17776.778906250005</v>
      </c>
      <c r="U15" s="86">
        <f>(0.25*$F$28*$N29)*(1-$B$6+$B$6/2)</f>
        <v>17776.778906250005</v>
      </c>
      <c r="V15" s="86">
        <f>(0.25*$F$28*$N29)*(1-$B$6+$B$6/2)</f>
        <v>17776.778906250005</v>
      </c>
      <c r="W15" s="86">
        <f>(0.25*$F$28*$N29)*(1-$B$6+$B$6/2)</f>
        <v>17776.778906250005</v>
      </c>
      <c r="X15" s="86">
        <f>(0.25*$F$28*$O29)*(1-$B$6+$B$6/2)</f>
        <v>18665.617851562507</v>
      </c>
      <c r="Y15" s="86">
        <f>(0.25*$F$28*$O29)*(1-$B$6+$B$6/2)</f>
        <v>18665.617851562507</v>
      </c>
      <c r="Z15" s="86">
        <f>(0.25*$F$28*$O29)*(1-$B$6+$B$6/2)</f>
        <v>18665.617851562507</v>
      </c>
      <c r="AA15" s="86">
        <f>(0.25*$F$28*$O29)*(1-$B$6+$B$6/2)</f>
        <v>18665.617851562507</v>
      </c>
      <c r="AB15" s="86">
        <f>(0.25*$F$28*$P29)*(1-$B$6+$B$6/2)</f>
        <v>19598.898744140635</v>
      </c>
      <c r="AC15" s="86">
        <f>(0.25*$F$28*$P29)*(1-$B$6+$B$6/2)</f>
        <v>19598.898744140635</v>
      </c>
      <c r="AD15" s="86">
        <f>(0.25*$F$28*$P29)*(1-$B$6+$B$6/2)</f>
        <v>19598.898744140635</v>
      </c>
      <c r="AE15" s="86">
        <f>(0.25*$F$28*$P29)*(1-$B$6+$B$6/2)</f>
        <v>19598.898744140635</v>
      </c>
      <c r="AF15" s="86">
        <f>(0.25*$F$28*$Q29)*(1-$B$6+$B$6/2)</f>
        <v>20578.843681347666</v>
      </c>
      <c r="AG15" s="86">
        <f>(0.25*$F$28*$Q29)*(1-$B$6+$B$6/2)</f>
        <v>20578.843681347666</v>
      </c>
      <c r="AH15" s="86">
        <f>(0.25*$F$28*$Q29)*(1-$B$6+$B$6/2)</f>
        <v>20578.843681347666</v>
      </c>
      <c r="AI15" s="86">
        <f>(0.25*$F$28*$Q29)*(1-$B$6+$B$6/2)</f>
        <v>20578.843681347666</v>
      </c>
      <c r="AJ15" s="86">
        <f>(0.25*$F$28*$R29)*(1-$B$6+$B$6/2)</f>
        <v>21607.785865415051</v>
      </c>
      <c r="AK15" s="86">
        <f>(0.25*$F$28*$R29)*(1-$B$6+$B$6/2)</f>
        <v>21607.785865415051</v>
      </c>
      <c r="AL15" s="86">
        <f>(0.25*$F$28*$R29)*(1-$B$6+$B$6/2)</f>
        <v>21607.785865415051</v>
      </c>
      <c r="AM15" s="86">
        <f>(0.25*$F$28*$R29)*(1-$B$6+$B$6/2)</f>
        <v>21607.785865415051</v>
      </c>
      <c r="AN15" s="86">
        <f>(0.25*$F$28*$S29)*(1-$B$6+$B$6/2)</f>
        <v>22688.175158685804</v>
      </c>
      <c r="AO15" s="86">
        <f>(0.25*$F$28*$S29)*(1-$B$6+$B$6/2)</f>
        <v>22688.175158685804</v>
      </c>
      <c r="AP15" s="86">
        <f>(0.25*$F$28*$S29)*(1-$B$6+$B$6/2)</f>
        <v>22688.175158685804</v>
      </c>
      <c r="AQ15" s="86">
        <f>(0.25*$F$28*$S29)*(1-$B$6+$B$6/2)</f>
        <v>22688.175158685804</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14625</v>
      </c>
      <c r="E19" s="92">
        <f t="shared" si="0"/>
        <v>14625</v>
      </c>
      <c r="F19" s="92">
        <f t="shared" si="0"/>
        <v>14625</v>
      </c>
      <c r="G19" s="90">
        <f t="shared" si="0"/>
        <v>14625</v>
      </c>
      <c r="H19" s="91">
        <f t="shared" si="0"/>
        <v>15356.250000000002</v>
      </c>
      <c r="I19" s="92">
        <f t="shared" si="0"/>
        <v>15356.250000000002</v>
      </c>
      <c r="J19" s="92">
        <f t="shared" si="0"/>
        <v>15356.250000000002</v>
      </c>
      <c r="K19" s="90">
        <f t="shared" si="0"/>
        <v>15356.250000000002</v>
      </c>
      <c r="L19" s="91">
        <f t="shared" si="0"/>
        <v>16124.062500000002</v>
      </c>
      <c r="M19" s="92">
        <f t="shared" si="0"/>
        <v>16124.062500000002</v>
      </c>
      <c r="N19" s="92">
        <f t="shared" si="0"/>
        <v>16124.062500000002</v>
      </c>
      <c r="O19" s="90">
        <f t="shared" si="0"/>
        <v>16124.062500000002</v>
      </c>
      <c r="P19" s="91">
        <f t="shared" si="0"/>
        <v>16930.265625000004</v>
      </c>
      <c r="Q19" s="92">
        <f t="shared" si="0"/>
        <v>16930.265625000004</v>
      </c>
      <c r="R19" s="92">
        <f t="shared" si="0"/>
        <v>16930.265625000004</v>
      </c>
      <c r="S19" s="90">
        <f t="shared" si="0"/>
        <v>16930.265625000004</v>
      </c>
      <c r="T19" s="91">
        <f t="shared" si="0"/>
        <v>17776.778906250005</v>
      </c>
      <c r="U19" s="92">
        <f t="shared" si="0"/>
        <v>17776.778906250005</v>
      </c>
      <c r="V19" s="92">
        <f t="shared" si="0"/>
        <v>17776.778906250005</v>
      </c>
      <c r="W19" s="90">
        <f t="shared" si="0"/>
        <v>17776.778906250005</v>
      </c>
      <c r="X19" s="91">
        <f t="shared" si="0"/>
        <v>18665.617851562507</v>
      </c>
      <c r="Y19" s="92">
        <f t="shared" si="0"/>
        <v>18665.617851562507</v>
      </c>
      <c r="Z19" s="92">
        <f t="shared" si="0"/>
        <v>18665.617851562507</v>
      </c>
      <c r="AA19" s="90">
        <f t="shared" si="0"/>
        <v>18665.617851562507</v>
      </c>
      <c r="AB19" s="91">
        <f t="shared" si="0"/>
        <v>19598.898744140635</v>
      </c>
      <c r="AC19" s="92">
        <f t="shared" si="0"/>
        <v>19598.898744140635</v>
      </c>
      <c r="AD19" s="92">
        <f t="shared" si="0"/>
        <v>19598.898744140635</v>
      </c>
      <c r="AE19" s="90">
        <f t="shared" si="0"/>
        <v>19598.898744140635</v>
      </c>
      <c r="AF19" s="91">
        <f t="shared" si="0"/>
        <v>20578.843681347666</v>
      </c>
      <c r="AG19" s="92">
        <f t="shared" si="0"/>
        <v>20578.843681347666</v>
      </c>
      <c r="AH19" s="92">
        <f t="shared" si="0"/>
        <v>20578.843681347666</v>
      </c>
      <c r="AI19" s="90">
        <f t="shared" si="0"/>
        <v>20578.843681347666</v>
      </c>
      <c r="AJ19" s="91">
        <f t="shared" si="0"/>
        <v>21607.785865415051</v>
      </c>
      <c r="AK19" s="92">
        <f t="shared" si="0"/>
        <v>21607.785865415051</v>
      </c>
      <c r="AL19" s="92">
        <f t="shared" si="0"/>
        <v>21607.785865415051</v>
      </c>
      <c r="AM19" s="90">
        <f t="shared" si="0"/>
        <v>21607.785865415051</v>
      </c>
      <c r="AN19" s="91">
        <f t="shared" si="0"/>
        <v>22688.175158685804</v>
      </c>
      <c r="AO19" s="92">
        <f t="shared" si="0"/>
        <v>22688.175158685804</v>
      </c>
      <c r="AP19" s="92">
        <f t="shared" si="0"/>
        <v>22688.175158685804</v>
      </c>
      <c r="AQ19" s="90">
        <f t="shared" si="0"/>
        <v>22688.175158685804</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14625</v>
      </c>
      <c r="E21" s="84">
        <f t="shared" si="1"/>
        <v>29250</v>
      </c>
      <c r="F21" s="84">
        <f t="shared" si="1"/>
        <v>43875</v>
      </c>
      <c r="G21" s="84">
        <f t="shared" si="1"/>
        <v>58500</v>
      </c>
      <c r="H21" s="84">
        <f t="shared" si="1"/>
        <v>73856.25</v>
      </c>
      <c r="I21" s="84">
        <f t="shared" si="1"/>
        <v>89212.5</v>
      </c>
      <c r="J21" s="84">
        <f t="shared" si="1"/>
        <v>104568.75</v>
      </c>
      <c r="K21" s="84">
        <f t="shared" si="1"/>
        <v>119925</v>
      </c>
      <c r="L21" s="84">
        <f t="shared" si="1"/>
        <v>136049.0625</v>
      </c>
      <c r="M21" s="84">
        <f t="shared" si="1"/>
        <v>152173.125</v>
      </c>
      <c r="N21" s="84">
        <f t="shared" si="1"/>
        <v>168297.1875</v>
      </c>
      <c r="O21" s="84">
        <f t="shared" si="1"/>
        <v>184421.25</v>
      </c>
      <c r="P21" s="84">
        <f t="shared" si="1"/>
        <v>201351.515625</v>
      </c>
      <c r="Q21" s="84">
        <f t="shared" si="1"/>
        <v>218281.78125</v>
      </c>
      <c r="R21" s="84">
        <f t="shared" si="1"/>
        <v>235212.046875</v>
      </c>
      <c r="S21" s="84">
        <f t="shared" si="1"/>
        <v>252142.3125</v>
      </c>
      <c r="T21" s="84">
        <f t="shared" si="1"/>
        <v>269919.09140625002</v>
      </c>
      <c r="U21" s="84">
        <f t="shared" si="1"/>
        <v>287695.87031250005</v>
      </c>
      <c r="V21" s="84">
        <f t="shared" si="1"/>
        <v>305472.64921875007</v>
      </c>
      <c r="W21" s="84">
        <f t="shared" si="1"/>
        <v>323249.42812500009</v>
      </c>
      <c r="X21" s="84">
        <f t="shared" si="1"/>
        <v>341915.0459765626</v>
      </c>
      <c r="Y21" s="84">
        <f t="shared" si="1"/>
        <v>360580.66382812511</v>
      </c>
      <c r="Z21" s="84">
        <f t="shared" si="1"/>
        <v>379246.28167968761</v>
      </c>
      <c r="AA21" s="84">
        <f t="shared" si="1"/>
        <v>397911.89953125012</v>
      </c>
      <c r="AB21" s="84">
        <f t="shared" si="1"/>
        <v>417510.79827539076</v>
      </c>
      <c r="AC21" s="84">
        <f t="shared" si="1"/>
        <v>437109.69701953139</v>
      </c>
      <c r="AD21" s="84">
        <f t="shared" si="1"/>
        <v>456708.59576367203</v>
      </c>
      <c r="AE21" s="84">
        <f t="shared" si="1"/>
        <v>476307.49450781266</v>
      </c>
      <c r="AF21" s="84">
        <f t="shared" si="1"/>
        <v>496886.33818916033</v>
      </c>
      <c r="AG21" s="84">
        <f t="shared" si="1"/>
        <v>517465.18187050801</v>
      </c>
      <c r="AH21" s="84">
        <f t="shared" si="1"/>
        <v>538044.02555185568</v>
      </c>
      <c r="AI21" s="84">
        <f t="shared" si="1"/>
        <v>558622.86923320335</v>
      </c>
      <c r="AJ21" s="84">
        <f t="shared" si="1"/>
        <v>580230.65509861836</v>
      </c>
      <c r="AK21" s="84">
        <f t="shared" si="1"/>
        <v>601838.44096403336</v>
      </c>
      <c r="AL21" s="84">
        <f t="shared" si="1"/>
        <v>623446.22682944837</v>
      </c>
      <c r="AM21" s="84">
        <f t="shared" si="1"/>
        <v>645054.01269486337</v>
      </c>
      <c r="AN21" s="84">
        <f t="shared" si="1"/>
        <v>667742.18785354914</v>
      </c>
      <c r="AO21" s="84">
        <f t="shared" si="1"/>
        <v>690430.36301223491</v>
      </c>
      <c r="AP21" s="84">
        <f t="shared" si="1"/>
        <v>713118.53817092068</v>
      </c>
      <c r="AQ21" s="84">
        <f t="shared" si="1"/>
        <v>735806.71332960646</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14625</v>
      </c>
      <c r="E25" s="84">
        <f t="shared" si="3"/>
        <v>14625</v>
      </c>
      <c r="F25" s="84">
        <f t="shared" si="3"/>
        <v>14625</v>
      </c>
      <c r="G25" s="84">
        <f t="shared" si="3"/>
        <v>14625</v>
      </c>
      <c r="H25" s="84">
        <f t="shared" si="3"/>
        <v>15356.250000000002</v>
      </c>
      <c r="I25" s="84">
        <f t="shared" si="3"/>
        <v>15356.250000000002</v>
      </c>
      <c r="J25" s="84">
        <f t="shared" si="3"/>
        <v>15356.250000000002</v>
      </c>
      <c r="K25" s="84">
        <f t="shared" si="3"/>
        <v>15356.250000000002</v>
      </c>
      <c r="L25" s="84">
        <f t="shared" si="3"/>
        <v>16124.062500000002</v>
      </c>
      <c r="M25" s="84">
        <f t="shared" si="3"/>
        <v>16124.062500000002</v>
      </c>
      <c r="N25" s="84">
        <f t="shared" si="3"/>
        <v>16124.062500000002</v>
      </c>
      <c r="O25" s="84">
        <f t="shared" si="3"/>
        <v>16124.062500000002</v>
      </c>
      <c r="P25" s="84">
        <f t="shared" si="3"/>
        <v>16930.265625000004</v>
      </c>
      <c r="Q25" s="84">
        <f t="shared" si="3"/>
        <v>16930.265625000004</v>
      </c>
      <c r="R25" s="84">
        <f t="shared" si="3"/>
        <v>16930.265625000004</v>
      </c>
      <c r="S25" s="84">
        <f t="shared" si="3"/>
        <v>16930.265625000004</v>
      </c>
      <c r="T25" s="84">
        <f t="shared" si="3"/>
        <v>17776.778906250005</v>
      </c>
      <c r="U25" s="84">
        <f t="shared" si="3"/>
        <v>17776.778906250005</v>
      </c>
      <c r="V25" s="84">
        <f t="shared" si="3"/>
        <v>17776.778906250005</v>
      </c>
      <c r="W25" s="84">
        <f t="shared" si="3"/>
        <v>17776.778906250005</v>
      </c>
      <c r="X25" s="84">
        <f t="shared" si="3"/>
        <v>18665.617851562507</v>
      </c>
      <c r="Y25" s="84">
        <f t="shared" si="3"/>
        <v>18665.617851562507</v>
      </c>
      <c r="Z25" s="84">
        <f t="shared" si="3"/>
        <v>18665.617851562507</v>
      </c>
      <c r="AA25" s="84">
        <f t="shared" si="3"/>
        <v>18665.617851562507</v>
      </c>
      <c r="AB25" s="84">
        <f t="shared" si="3"/>
        <v>19598.898744140635</v>
      </c>
      <c r="AC25" s="84">
        <f t="shared" si="3"/>
        <v>19598.898744140635</v>
      </c>
      <c r="AD25" s="84">
        <f t="shared" si="3"/>
        <v>19598.898744140635</v>
      </c>
      <c r="AE25" s="84">
        <f t="shared" si="3"/>
        <v>19598.898744140635</v>
      </c>
      <c r="AF25" s="84">
        <f t="shared" si="3"/>
        <v>20578.843681347666</v>
      </c>
      <c r="AG25" s="84">
        <f t="shared" si="3"/>
        <v>20578.843681347666</v>
      </c>
      <c r="AH25" s="84">
        <f t="shared" si="3"/>
        <v>20578.843681347666</v>
      </c>
      <c r="AI25" s="84">
        <f t="shared" si="3"/>
        <v>20578.843681347666</v>
      </c>
      <c r="AJ25" s="84">
        <f t="shared" si="3"/>
        <v>21607.785865415051</v>
      </c>
      <c r="AK25" s="84">
        <f t="shared" si="3"/>
        <v>21607.785865415051</v>
      </c>
      <c r="AL25" s="84">
        <f t="shared" si="3"/>
        <v>21607.785865415051</v>
      </c>
      <c r="AM25" s="84">
        <f t="shared" si="3"/>
        <v>21607.785865415051</v>
      </c>
      <c r="AN25" s="84">
        <f t="shared" si="3"/>
        <v>22688.175158685804</v>
      </c>
      <c r="AO25" s="84">
        <f t="shared" si="3"/>
        <v>22688.175158685804</v>
      </c>
      <c r="AP25" s="84">
        <f t="shared" si="3"/>
        <v>22688.175158685804</v>
      </c>
      <c r="AQ25" s="84">
        <f t="shared" si="3"/>
        <v>22688.175158685804</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'347K-NR'!G115</f>
        <v>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'347K-NR'!S120*1000</f>
        <v>292500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H96" sqref="H96"/>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F9487EE3-ACF2-4FDA-992D-2280C4727CD1}">
      <formula1>"Y,N"</formula1>
    </dataValidation>
  </dataValidations>
  <pageMargins left="0.75" right="0.75" top="1" bottom="1" header="0.5" footer="0.5"/>
  <pageSetup paperSize="9" orientation="portrait" r:id="rId2"/>
  <headerFooter alignWithMargins="0"/>
  <legacy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61818-B18E-4252-A783-7DE61DFB3ECE}">
  <sheetPr codeName="Sheet27">
    <tabColor indexed="53"/>
  </sheetPr>
  <dimension ref="A4:M64"/>
  <sheetViews>
    <sheetView view="pageBreakPreview" topLeftCell="A3" zoomScale="130" zoomScaleNormal="100" zoomScaleSheetLayoutView="130" workbookViewId="0">
      <selection activeCell="H96" sqref="H96"/>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'347K-NR'!C60</f>
        <v>19999</v>
      </c>
    </row>
    <row r="10" spans="1:13" ht="13">
      <c r="A10" s="109" t="s">
        <v>842</v>
      </c>
      <c r="B10" s="1007" t="s">
        <v>843</v>
      </c>
      <c r="C10" s="1008"/>
      <c r="D10" s="1008"/>
      <c r="E10" s="1008"/>
      <c r="F10" s="1008"/>
      <c r="G10" s="1008"/>
      <c r="H10" s="1008"/>
      <c r="I10" s="1008"/>
    </row>
    <row r="11" spans="1:13" ht="13">
      <c r="A11" s="109" t="s">
        <v>844</v>
      </c>
      <c r="B11" s="1009" t="str">
        <f>'347K-NR'!A2</f>
        <v>347 Kent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SUM('347K-IS'!C12:F12)</f>
        <v>0</v>
      </c>
      <c r="D25" s="119">
        <f>SUM('347K-IS'!D12:G12)</f>
        <v>0</v>
      </c>
      <c r="E25" s="119">
        <f>SUM('347K-IS'!H12:K12)</f>
        <v>0</v>
      </c>
      <c r="F25" s="119">
        <f>SUM('347K-IS'!L12:O12)</f>
        <v>0</v>
      </c>
      <c r="G25" s="119">
        <f>SUM('347K-IS'!P12:S12)</f>
        <v>0</v>
      </c>
      <c r="H25" s="119">
        <f>SUM('347K-IS'!T12:W12)</f>
        <v>0</v>
      </c>
      <c r="I25" s="119">
        <f>SUM('347K-IS'!X12:AA12)</f>
        <v>0</v>
      </c>
      <c r="J25" s="119">
        <f>SUM('347K-IS'!AB12:AE12)</f>
        <v>0</v>
      </c>
      <c r="K25" s="119">
        <f>SUM('347K-IS'!AF12:AI12)</f>
        <v>0</v>
      </c>
      <c r="L25" s="119">
        <f>SUM('347K-IS'!AJ12:AM12)</f>
        <v>0</v>
      </c>
      <c r="M25" s="119">
        <f>SUM('347K-IS'!AN12:AQ12)</f>
        <v>0</v>
      </c>
    </row>
    <row r="26" spans="1:13">
      <c r="A26" s="106" t="s">
        <v>804</v>
      </c>
      <c r="C26" s="120"/>
      <c r="D26" s="119">
        <f>SUM('347K-IS'!D13:G13)</f>
        <v>0</v>
      </c>
      <c r="E26" s="119">
        <f>SUM('347K-IS'!H13:K13)</f>
        <v>0</v>
      </c>
      <c r="F26" s="119">
        <f>SUM('347K-IS'!L13:O13)</f>
        <v>0</v>
      </c>
      <c r="G26" s="119">
        <f>SUM('347K-IS'!P13:S13)</f>
        <v>0</v>
      </c>
      <c r="H26" s="119">
        <f>SUM('347K-IS'!T13:W13)</f>
        <v>0</v>
      </c>
      <c r="I26" s="119">
        <f>SUM('347K-IS'!X13:AA13)</f>
        <v>0</v>
      </c>
      <c r="J26" s="119">
        <f>SUM('347K-IS'!AB13:AE13)</f>
        <v>0</v>
      </c>
      <c r="K26" s="119">
        <f>SUM('347K-IS'!AF13:AI13)</f>
        <v>0</v>
      </c>
      <c r="L26" s="119">
        <f>SUM('347K-IS'!AJ13:AM13)</f>
        <v>0</v>
      </c>
      <c r="M26" s="119">
        <f>SUM('347K-IS'!AN13:AQ13)</f>
        <v>0</v>
      </c>
    </row>
    <row r="27" spans="1:13">
      <c r="A27" s="106" t="s">
        <v>805</v>
      </c>
      <c r="C27" s="120"/>
      <c r="D27" s="119">
        <f>SUM('347K-IS'!D15:G15)+SUM('347K-IS'!D14:G14)</f>
        <v>58500</v>
      </c>
      <c r="E27" s="119">
        <f>SUM('347K-IS'!H15:K15)+SUM('347K-IS'!H14:K14)</f>
        <v>61425.000000000007</v>
      </c>
      <c r="F27" s="119">
        <f>SUM('347K-IS'!L15:O15)+SUM('347K-IS'!L14:O14)</f>
        <v>64496.250000000007</v>
      </c>
      <c r="G27" s="119">
        <f>SUM('347K-IS'!P15:S15)+SUM('347K-IS'!P14:S14)</f>
        <v>67721.062500000015</v>
      </c>
      <c r="H27" s="119">
        <f>SUM('347K-IS'!T15:W15)+SUM('347K-IS'!T14:W14)</f>
        <v>71107.11562500002</v>
      </c>
      <c r="I27" s="119">
        <f>SUM('347K-IS'!X15:AA15)+SUM('347K-IS'!X14:AA14)</f>
        <v>74662.471406250028</v>
      </c>
      <c r="J27" s="119">
        <f>SUM('347K-IS'!AB15:AE15)+SUM('347K-IS'!AB14:AE14)</f>
        <v>78395.594976562541</v>
      </c>
      <c r="K27" s="119">
        <f>SUM('347K-IS'!AF15:AI15)+SUM('347K-IS'!AF14:AI14)</f>
        <v>82315.374725390662</v>
      </c>
      <c r="L27" s="119">
        <f>SUM('347K-IS'!AJ15:AM15)+SUM('347K-IS'!AJ14:AM14)</f>
        <v>86431.143461660206</v>
      </c>
      <c r="M27" s="119">
        <f>SUM('347K-IS'!AN15:AQ15)+SUM('347K-IS'!AN14:AQ14)</f>
        <v>90752.700634743218</v>
      </c>
    </row>
    <row r="28" spans="1:13">
      <c r="A28" s="106" t="s">
        <v>808</v>
      </c>
      <c r="C28" s="120"/>
      <c r="D28" s="119">
        <f>SUM('347K-IS'!D16:G16)</f>
        <v>0</v>
      </c>
      <c r="E28" s="119">
        <f>SUM('347K-IS'!H16:K16)</f>
        <v>0</v>
      </c>
      <c r="F28" s="119">
        <f>SUM('347K-IS'!L16:O16)</f>
        <v>0</v>
      </c>
      <c r="G28" s="119">
        <f>SUM('347K-IS'!P16:S16)</f>
        <v>0</v>
      </c>
      <c r="H28" s="119">
        <f>SUM('347K-IS'!T16:W16)</f>
        <v>0</v>
      </c>
      <c r="I28" s="119">
        <f>SUM('347K-IS'!X16:AA16)</f>
        <v>0</v>
      </c>
      <c r="J28" s="119">
        <f>SUM('347K-IS'!AB16:AE16)</f>
        <v>0</v>
      </c>
      <c r="K28" s="119">
        <f>SUM('347K-IS'!AF16:AI16)</f>
        <v>0</v>
      </c>
      <c r="L28" s="119">
        <f>SUM('347K-IS'!AJ16:AM16)</f>
        <v>0</v>
      </c>
      <c r="M28" s="119">
        <f>SUM('347K-IS'!AN16:AQ16)</f>
        <v>0</v>
      </c>
    </row>
    <row r="29" spans="1:13">
      <c r="A29" s="106" t="s">
        <v>809</v>
      </c>
      <c r="C29" s="120"/>
      <c r="D29" s="119">
        <f>SUM('347K-IS'!D17:G17)</f>
        <v>0</v>
      </c>
      <c r="E29" s="119">
        <f>SUM('347K-IS'!H17:K17)</f>
        <v>0</v>
      </c>
      <c r="F29" s="119">
        <f>SUM('347K-IS'!L17:O17)</f>
        <v>0</v>
      </c>
      <c r="G29" s="119">
        <f>SUM('347K-IS'!P17:S17)</f>
        <v>0</v>
      </c>
      <c r="H29" s="119">
        <f>SUM('347K-IS'!T17:W17)</f>
        <v>0</v>
      </c>
      <c r="I29" s="119">
        <f>SUM('347K-IS'!X17:AA17)</f>
        <v>0</v>
      </c>
      <c r="J29" s="119">
        <f>SUM('347K-IS'!AB17:AE17)</f>
        <v>0</v>
      </c>
      <c r="K29" s="119">
        <f>SUM('347K-IS'!AF17:AI17)</f>
        <v>0</v>
      </c>
      <c r="L29" s="119">
        <f>SUM('347K-IS'!AJ17:AM17)</f>
        <v>0</v>
      </c>
      <c r="M29" s="119">
        <f>SUM('347K-IS'!AN17:AQ17)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58500</v>
      </c>
      <c r="E31" s="125">
        <f t="shared" si="0"/>
        <v>61425.000000000007</v>
      </c>
      <c r="F31" s="125">
        <f t="shared" si="0"/>
        <v>64496.250000000007</v>
      </c>
      <c r="G31" s="125">
        <f t="shared" si="0"/>
        <v>67721.062500000015</v>
      </c>
      <c r="H31" s="125">
        <f t="shared" si="0"/>
        <v>71107.11562500002</v>
      </c>
      <c r="I31" s="125">
        <f t="shared" si="0"/>
        <v>74662.471406250028</v>
      </c>
      <c r="J31" s="125">
        <f t="shared" si="0"/>
        <v>78395.594976562541</v>
      </c>
      <c r="K31" s="125">
        <f t="shared" si="0"/>
        <v>82315.374725390662</v>
      </c>
      <c r="L31" s="125">
        <f t="shared" si="0"/>
        <v>86431.143461660206</v>
      </c>
      <c r="M31" s="125">
        <f t="shared" si="0"/>
        <v>90752.700634743218</v>
      </c>
    </row>
    <row r="32" spans="1:13" ht="13" thickTop="1">
      <c r="A32" s="64" t="s">
        <v>860</v>
      </c>
      <c r="B32" s="79"/>
      <c r="C32" s="77"/>
      <c r="D32" s="152">
        <f>D31/$I$9</f>
        <v>2.9251462573128655</v>
      </c>
      <c r="E32" s="152">
        <f t="shared" ref="E32:M32" si="1">E31/$I$9</f>
        <v>3.0714035701785094</v>
      </c>
      <c r="F32" s="152">
        <f t="shared" si="1"/>
        <v>3.2249737486874346</v>
      </c>
      <c r="G32" s="152">
        <f t="shared" si="1"/>
        <v>3.3862224361218067</v>
      </c>
      <c r="H32" s="152">
        <f t="shared" si="1"/>
        <v>3.5555335579278973</v>
      </c>
      <c r="I32" s="152">
        <f t="shared" si="1"/>
        <v>3.7333102358242924</v>
      </c>
      <c r="J32" s="152">
        <f t="shared" si="1"/>
        <v>3.9199757476155077</v>
      </c>
      <c r="K32" s="152">
        <f t="shared" si="1"/>
        <v>4.1159745349962833</v>
      </c>
      <c r="L32" s="152">
        <f t="shared" si="1"/>
        <v>4.321773261746098</v>
      </c>
      <c r="M32" s="152">
        <f t="shared" si="1"/>
        <v>4.5378619248334022</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'347K-NR'!G67</f>
        <v>CURRENT</v>
      </c>
      <c r="J36" s="127" t="str">
        <f>'347K-NR'!H67</f>
        <v>FY25</v>
      </c>
      <c r="K36" s="127" t="str">
        <f>'347K-NR'!I67</f>
        <v>FY26</v>
      </c>
      <c r="L36" s="127" t="str">
        <f>'347K-NR'!J67</f>
        <v>FY27</v>
      </c>
      <c r="M36" s="127" t="str">
        <f>'347K-NR'!K67</f>
        <v>FY28</v>
      </c>
    </row>
    <row r="37" spans="1:13" ht="25.5">
      <c r="A37" s="128" t="s">
        <v>863</v>
      </c>
      <c r="B37" s="129" t="s">
        <v>864</v>
      </c>
      <c r="D37" s="117"/>
      <c r="E37" s="130"/>
      <c r="F37" s="117"/>
      <c r="G37" s="131" t="s">
        <v>865</v>
      </c>
      <c r="H37" s="132">
        <f>'347K-NR'!S123</f>
        <v>5.1497064579256362</v>
      </c>
      <c r="I37" s="132">
        <f>'347K-NR'!S124</f>
        <v>5.1319155051013077</v>
      </c>
      <c r="J37" s="132">
        <f>'347K-NR'!S125</f>
        <v>5.1319155051013077</v>
      </c>
      <c r="K37" s="132">
        <f>'347K-NR'!S126</f>
        <v>5.1439247095331417</v>
      </c>
      <c r="L37" s="117"/>
    </row>
    <row r="38" spans="1:13" ht="13">
      <c r="G38" s="131" t="s">
        <v>866</v>
      </c>
      <c r="I38" s="133">
        <f>'347K-NR'!G115</f>
        <v>0</v>
      </c>
      <c r="J38" s="133"/>
      <c r="K38" s="133"/>
    </row>
    <row r="39" spans="1:13" ht="13">
      <c r="A39" s="106" t="s">
        <v>867</v>
      </c>
      <c r="B39" s="134">
        <v>0</v>
      </c>
      <c r="E39" s="117"/>
      <c r="F39" s="135"/>
      <c r="G39" s="131" t="s">
        <v>868</v>
      </c>
      <c r="I39" s="136" t="e">
        <f>IRR(C31:M31)</f>
        <v>#NUM!</v>
      </c>
    </row>
    <row r="40" spans="1:13" ht="13">
      <c r="A40" s="128"/>
      <c r="B40" s="137"/>
      <c r="G40" s="131" t="s">
        <v>869</v>
      </c>
      <c r="I40" s="133">
        <f>B43/B41-B43</f>
        <v>907494.94643984828</v>
      </c>
    </row>
    <row r="41" spans="1:13">
      <c r="A41" s="106" t="s">
        <v>870</v>
      </c>
      <c r="B41" s="138">
        <v>7.4999999999999997E-2</v>
      </c>
    </row>
    <row r="42" spans="1:13">
      <c r="A42" s="117"/>
    </row>
    <row r="43" spans="1:13">
      <c r="A43" s="139" t="s">
        <v>871</v>
      </c>
      <c r="B43" s="140">
        <f>SUMIF(D31:M31,"&lt;&gt;0")/COUNTIF(D31:M31,"&lt;&gt;0")</f>
        <v>73580.671332960672</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5.14970645792564 Stars</v>
      </c>
      <c r="G59" s="146">
        <f t="shared" si="2"/>
        <v>5.1319155051013077</v>
      </c>
      <c r="H59" s="146">
        <f t="shared" si="2"/>
        <v>5.1319155051013077</v>
      </c>
      <c r="I59" s="146">
        <f t="shared" si="2"/>
        <v>5.1439247095331417</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f>I40</f>
        <v>907494.94643984828</v>
      </c>
      <c r="H64" s="143"/>
      <c r="I64" s="143"/>
      <c r="J64" s="143"/>
    </row>
  </sheetData>
  <customSheetViews>
    <customSheetView guid="{0FAFE012-8D9E-4ED0-86A4-A997E430971B}" scale="130" showPageBreaks="1" printArea="1" state="hidden" view="pageBreakPreview" topLeftCell="A3">
      <selection activeCell="H96" sqref="H96"/>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29A9CC52-A7FE-44B3-BAE9-BBFD8D050B27}">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0274C67D-58E9-4E6D-8A17-AB16447791BD}">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FC8A0-B364-49FB-BC42-DE1F85C8B603}">
  <sheetPr codeName="Sheet29">
    <tabColor theme="5" tint="0.39997558519241921"/>
  </sheetPr>
  <dimension ref="A2:AQ101"/>
  <sheetViews>
    <sheetView zoomScale="85" zoomScaleNormal="85" workbookViewId="0">
      <selection activeCell="H96" sqref="H96"/>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0</v>
      </c>
      <c r="E21" s="84">
        <f t="shared" si="1"/>
        <v>0</v>
      </c>
      <c r="F21" s="84">
        <f t="shared" si="1"/>
        <v>0</v>
      </c>
      <c r="G21" s="84">
        <f t="shared" si="1"/>
        <v>0</v>
      </c>
      <c r="H21" s="84">
        <f t="shared" si="1"/>
        <v>0</v>
      </c>
      <c r="I21" s="84">
        <f t="shared" si="1"/>
        <v>0</v>
      </c>
      <c r="J21" s="84">
        <f t="shared" si="1"/>
        <v>0</v>
      </c>
      <c r="K21" s="84">
        <f t="shared" si="1"/>
        <v>0</v>
      </c>
      <c r="L21" s="84">
        <f t="shared" si="1"/>
        <v>0</v>
      </c>
      <c r="M21" s="84">
        <f t="shared" si="1"/>
        <v>0</v>
      </c>
      <c r="N21" s="84">
        <f t="shared" si="1"/>
        <v>0</v>
      </c>
      <c r="O21" s="84">
        <f t="shared" si="1"/>
        <v>0</v>
      </c>
      <c r="P21" s="84">
        <f t="shared" si="1"/>
        <v>0</v>
      </c>
      <c r="Q21" s="84">
        <f t="shared" si="1"/>
        <v>0</v>
      </c>
      <c r="R21" s="84">
        <f t="shared" si="1"/>
        <v>0</v>
      </c>
      <c r="S21" s="84">
        <f t="shared" si="1"/>
        <v>0</v>
      </c>
      <c r="T21" s="84">
        <f t="shared" si="1"/>
        <v>0</v>
      </c>
      <c r="U21" s="84">
        <f t="shared" si="1"/>
        <v>0</v>
      </c>
      <c r="V21" s="84">
        <f t="shared" si="1"/>
        <v>0</v>
      </c>
      <c r="W21" s="84">
        <f t="shared" si="1"/>
        <v>0</v>
      </c>
      <c r="X21" s="84">
        <f t="shared" si="1"/>
        <v>0</v>
      </c>
      <c r="Y21" s="84">
        <f t="shared" si="1"/>
        <v>0</v>
      </c>
      <c r="Z21" s="84">
        <f t="shared" si="1"/>
        <v>0</v>
      </c>
      <c r="AA21" s="84">
        <f t="shared" si="1"/>
        <v>0</v>
      </c>
      <c r="AB21" s="84">
        <f t="shared" si="1"/>
        <v>0</v>
      </c>
      <c r="AC21" s="84">
        <f t="shared" si="1"/>
        <v>0</v>
      </c>
      <c r="AD21" s="84">
        <f t="shared" si="1"/>
        <v>0</v>
      </c>
      <c r="AE21" s="84">
        <f t="shared" si="1"/>
        <v>0</v>
      </c>
      <c r="AF21" s="84">
        <f t="shared" si="1"/>
        <v>0</v>
      </c>
      <c r="AG21" s="84">
        <f t="shared" si="1"/>
        <v>0</v>
      </c>
      <c r="AH21" s="84">
        <f t="shared" si="1"/>
        <v>0</v>
      </c>
      <c r="AI21" s="84">
        <f t="shared" si="1"/>
        <v>0</v>
      </c>
      <c r="AJ21" s="84">
        <f t="shared" si="1"/>
        <v>0</v>
      </c>
      <c r="AK21" s="84">
        <f t="shared" si="1"/>
        <v>0</v>
      </c>
      <c r="AL21" s="84">
        <f t="shared" si="1"/>
        <v>0</v>
      </c>
      <c r="AM21" s="84">
        <f t="shared" si="1"/>
        <v>0</v>
      </c>
      <c r="AN21" s="84">
        <f t="shared" si="1"/>
        <v>0</v>
      </c>
      <c r="AO21" s="84">
        <f t="shared" si="1"/>
        <v>0</v>
      </c>
      <c r="AP21" s="84">
        <f t="shared" si="1"/>
        <v>0</v>
      </c>
      <c r="AQ21" s="84">
        <f t="shared" si="1"/>
        <v>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'117C-NR'!G115</f>
        <v>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'117C-NR'!S120*1000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H96" sqref="H96"/>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DDCDD0BE-B67E-4AEE-85C7-8BFB002BDF67}">
      <formula1>"Y,N"</formula1>
    </dataValidation>
  </dataValidations>
  <pageMargins left="0.75" right="0.75" top="1" bottom="1" header="0.5" footer="0.5"/>
  <pageSetup paperSize="9" orientation="portrait" r:id="rId2"/>
  <headerFooter alignWithMargins="0"/>
  <legacyDrawing r:id="rId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D7F60-D908-4F34-96A6-230600163D94}">
  <sheetPr codeName="Sheet30">
    <tabColor indexed="53"/>
  </sheetPr>
  <dimension ref="A4:M64"/>
  <sheetViews>
    <sheetView view="pageBreakPreview" topLeftCell="A3" zoomScale="130" zoomScaleNormal="100" zoomScaleSheetLayoutView="130" workbookViewId="0">
      <selection activeCell="H96" sqref="H96"/>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'117C-NR'!C60</f>
        <v>9319</v>
      </c>
    </row>
    <row r="10" spans="1:13" ht="13">
      <c r="A10" s="109" t="s">
        <v>842</v>
      </c>
      <c r="B10" s="1007" t="s">
        <v>843</v>
      </c>
      <c r="C10" s="1008"/>
      <c r="D10" s="1008"/>
      <c r="E10" s="1008"/>
      <c r="F10" s="1008"/>
      <c r="G10" s="1008"/>
      <c r="H10" s="1008"/>
      <c r="I10" s="1008"/>
    </row>
    <row r="11" spans="1:13" ht="13">
      <c r="A11" s="109" t="s">
        <v>844</v>
      </c>
      <c r="B11" s="1009" t="str">
        <f>'117C-NR'!A2</f>
        <v>117 Clarence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SUM('117C-IS'!C12:F12)</f>
        <v>0</v>
      </c>
      <c r="D25" s="119">
        <f>SUM('117C-IS'!D12:G12)</f>
        <v>0</v>
      </c>
      <c r="E25" s="119">
        <f>SUM('117C-IS'!H12:K12)</f>
        <v>0</v>
      </c>
      <c r="F25" s="119">
        <f>SUM('117C-IS'!L12:O12)</f>
        <v>0</v>
      </c>
      <c r="G25" s="119">
        <f>SUM('117C-IS'!P12:S12)</f>
        <v>0</v>
      </c>
      <c r="H25" s="119">
        <f>SUM('117C-IS'!T12:W12)</f>
        <v>0</v>
      </c>
      <c r="I25" s="119">
        <f>SUM('117C-IS'!X12:AA12)</f>
        <v>0</v>
      </c>
      <c r="J25" s="119">
        <f>SUM('117C-IS'!AB12:AE12)</f>
        <v>0</v>
      </c>
      <c r="K25" s="119">
        <f>SUM('117C-IS'!AF12:AI12)</f>
        <v>0</v>
      </c>
      <c r="L25" s="119">
        <f>SUM('117C-IS'!AJ12:AM12)</f>
        <v>0</v>
      </c>
      <c r="M25" s="119">
        <f>SUM('117C-IS'!AN12:AQ12)</f>
        <v>0</v>
      </c>
    </row>
    <row r="26" spans="1:13">
      <c r="A26" s="106" t="s">
        <v>804</v>
      </c>
      <c r="C26" s="120"/>
      <c r="D26" s="119">
        <f>SUM('117C-IS'!D13:G13)</f>
        <v>0</v>
      </c>
      <c r="E26" s="119">
        <f>SUM('117C-IS'!H13:K13)</f>
        <v>0</v>
      </c>
      <c r="F26" s="119">
        <f>SUM('117C-IS'!L13:O13)</f>
        <v>0</v>
      </c>
      <c r="G26" s="119">
        <f>SUM('117C-IS'!P13:S13)</f>
        <v>0</v>
      </c>
      <c r="H26" s="119">
        <f>SUM('117C-IS'!T13:W13)</f>
        <v>0</v>
      </c>
      <c r="I26" s="119">
        <f>SUM('117C-IS'!X13:AA13)</f>
        <v>0</v>
      </c>
      <c r="J26" s="119">
        <f>SUM('117C-IS'!AB13:AE13)</f>
        <v>0</v>
      </c>
      <c r="K26" s="119">
        <f>SUM('117C-IS'!AF13:AI13)</f>
        <v>0</v>
      </c>
      <c r="L26" s="119">
        <f>SUM('117C-IS'!AJ13:AM13)</f>
        <v>0</v>
      </c>
      <c r="M26" s="119">
        <f>SUM('117C-IS'!AN13:AQ13)</f>
        <v>0</v>
      </c>
    </row>
    <row r="27" spans="1:13">
      <c r="A27" s="106" t="s">
        <v>805</v>
      </c>
      <c r="C27" s="120"/>
      <c r="D27" s="119">
        <f>SUM('117C-IS'!D15:G15)+SUM('117C-IS'!D14:G14)</f>
        <v>0</v>
      </c>
      <c r="E27" s="119">
        <f>SUM('117C-IS'!H15:K15)+SUM('117C-IS'!H14:K14)</f>
        <v>0</v>
      </c>
      <c r="F27" s="119">
        <f>SUM('117C-IS'!L15:O15)+SUM('117C-IS'!L14:O14)</f>
        <v>0</v>
      </c>
      <c r="G27" s="119">
        <f>SUM('117C-IS'!P15:S15)+SUM('117C-IS'!P14:S14)</f>
        <v>0</v>
      </c>
      <c r="H27" s="119">
        <f>SUM('117C-IS'!T15:W15)+SUM('117C-IS'!T14:W14)</f>
        <v>0</v>
      </c>
      <c r="I27" s="119">
        <f>SUM('117C-IS'!X15:AA15)+SUM('117C-IS'!X14:AA14)</f>
        <v>0</v>
      </c>
      <c r="J27" s="119">
        <f>SUM('117C-IS'!AB15:AE15)+SUM('117C-IS'!AB14:AE14)</f>
        <v>0</v>
      </c>
      <c r="K27" s="119">
        <f>SUM('117C-IS'!AF15:AI15)+SUM('117C-IS'!AF14:AI14)</f>
        <v>0</v>
      </c>
      <c r="L27" s="119">
        <f>SUM('117C-IS'!AJ15:AM15)+SUM('117C-IS'!AJ14:AM14)</f>
        <v>0</v>
      </c>
      <c r="M27" s="119">
        <f>SUM('117C-IS'!AN15:AQ15)+SUM('117C-IS'!AN14:AQ14)</f>
        <v>0</v>
      </c>
    </row>
    <row r="28" spans="1:13">
      <c r="A28" s="106" t="s">
        <v>808</v>
      </c>
      <c r="C28" s="120"/>
      <c r="D28" s="119">
        <f>SUM('117C-IS'!D16:G16)</f>
        <v>0</v>
      </c>
      <c r="E28" s="119">
        <f>SUM('117C-IS'!H16:K16)</f>
        <v>0</v>
      </c>
      <c r="F28" s="119">
        <f>SUM('117C-IS'!L16:O16)</f>
        <v>0</v>
      </c>
      <c r="G28" s="119">
        <f>SUM('117C-IS'!P16:S16)</f>
        <v>0</v>
      </c>
      <c r="H28" s="119">
        <f>SUM('117C-IS'!T16:W16)</f>
        <v>0</v>
      </c>
      <c r="I28" s="119">
        <f>SUM('117C-IS'!X16:AA16)</f>
        <v>0</v>
      </c>
      <c r="J28" s="119">
        <f>SUM('117C-IS'!AB16:AE16)</f>
        <v>0</v>
      </c>
      <c r="K28" s="119">
        <f>SUM('117C-IS'!AF16:AI16)</f>
        <v>0</v>
      </c>
      <c r="L28" s="119">
        <f>SUM('117C-IS'!AJ16:AM16)</f>
        <v>0</v>
      </c>
      <c r="M28" s="119">
        <f>SUM('117C-IS'!AN16:AQ16)</f>
        <v>0</v>
      </c>
    </row>
    <row r="29" spans="1:13">
      <c r="A29" s="106" t="s">
        <v>809</v>
      </c>
      <c r="C29" s="120"/>
      <c r="D29" s="119">
        <f>SUM('117C-IS'!D17:G17)</f>
        <v>0</v>
      </c>
      <c r="E29" s="119">
        <f>SUM('117C-IS'!H17:K17)</f>
        <v>0</v>
      </c>
      <c r="F29" s="119">
        <f>SUM('117C-IS'!L17:O17)</f>
        <v>0</v>
      </c>
      <c r="G29" s="119">
        <f>SUM('117C-IS'!P17:S17)</f>
        <v>0</v>
      </c>
      <c r="H29" s="119">
        <f>SUM('117C-IS'!T17:W17)</f>
        <v>0</v>
      </c>
      <c r="I29" s="119">
        <f>SUM('117C-IS'!X17:AA17)</f>
        <v>0</v>
      </c>
      <c r="J29" s="119">
        <f>SUM('117C-IS'!AB17:AE17)</f>
        <v>0</v>
      </c>
      <c r="K29" s="119">
        <f>SUM('117C-IS'!AF17:AI17)</f>
        <v>0</v>
      </c>
      <c r="L29" s="119">
        <f>SUM('117C-IS'!AJ17:AM17)</f>
        <v>0</v>
      </c>
      <c r="M29" s="119">
        <f>SUM('117C-IS'!AN17:AQ17)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'117C-NR'!G67</f>
        <v>CURRENT</v>
      </c>
      <c r="J36" s="127" t="str">
        <f>'117C-NR'!H67</f>
        <v>FY25</v>
      </c>
      <c r="K36" s="127" t="str">
        <f>'117C-NR'!I67</f>
        <v>FY26</v>
      </c>
      <c r="L36" s="127" t="str">
        <f>'117C-NR'!J67</f>
        <v>FY27</v>
      </c>
      <c r="M36" s="127" t="str">
        <f>'117C-NR'!K67</f>
        <v>FY28</v>
      </c>
    </row>
    <row r="37" spans="1:13" ht="25.5">
      <c r="A37" s="128" t="s">
        <v>863</v>
      </c>
      <c r="B37" s="129" t="s">
        <v>864</v>
      </c>
      <c r="D37" s="117"/>
      <c r="E37" s="130"/>
      <c r="F37" s="117"/>
      <c r="G37" s="131" t="s">
        <v>865</v>
      </c>
      <c r="H37" s="132">
        <f>'117C-NR'!S123</f>
        <v>5.361709067188519</v>
      </c>
      <c r="I37" s="132">
        <f>'117C-NR'!S124</f>
        <v>5.3187239545911771</v>
      </c>
      <c r="J37" s="132">
        <f>'117C-NR'!S125</f>
        <v>5.3187239545911771</v>
      </c>
      <c r="K37" s="132">
        <f>'117C-NR'!S126</f>
        <v>5.3187239545911771</v>
      </c>
      <c r="L37" s="117"/>
    </row>
    <row r="38" spans="1:13" ht="13">
      <c r="G38" s="131" t="s">
        <v>866</v>
      </c>
      <c r="I38" s="133">
        <f>'117C-NR'!G115</f>
        <v>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5.36170906718852 Stars</v>
      </c>
      <c r="G59" s="146">
        <f t="shared" si="2"/>
        <v>5.3187239545911771</v>
      </c>
      <c r="H59" s="146">
        <f t="shared" si="2"/>
        <v>5.3187239545911771</v>
      </c>
      <c r="I59" s="146">
        <f t="shared" si="2"/>
        <v>5.3187239545911771</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H96" sqref="H96"/>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374B246D-1486-4573-833B-4E68C08862FC}">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ACC1DA2B-DE6A-4140-BE98-AD286EAA7EA8}">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9AA69-1FDC-427D-BB1C-DE1E88BB5AF6}">
  <sheetPr codeName="Sheet32">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0</v>
      </c>
      <c r="E21" s="84">
        <f t="shared" si="1"/>
        <v>0</v>
      </c>
      <c r="F21" s="84">
        <f t="shared" si="1"/>
        <v>0</v>
      </c>
      <c r="G21" s="84">
        <f t="shared" si="1"/>
        <v>0</v>
      </c>
      <c r="H21" s="84">
        <f t="shared" si="1"/>
        <v>0</v>
      </c>
      <c r="I21" s="84">
        <f t="shared" si="1"/>
        <v>0</v>
      </c>
      <c r="J21" s="84">
        <f t="shared" si="1"/>
        <v>0</v>
      </c>
      <c r="K21" s="84">
        <f t="shared" si="1"/>
        <v>0</v>
      </c>
      <c r="L21" s="84">
        <f t="shared" si="1"/>
        <v>0</v>
      </c>
      <c r="M21" s="84">
        <f t="shared" si="1"/>
        <v>0</v>
      </c>
      <c r="N21" s="84">
        <f t="shared" si="1"/>
        <v>0</v>
      </c>
      <c r="O21" s="84">
        <f t="shared" si="1"/>
        <v>0</v>
      </c>
      <c r="P21" s="84">
        <f t="shared" si="1"/>
        <v>0</v>
      </c>
      <c r="Q21" s="84">
        <f t="shared" si="1"/>
        <v>0</v>
      </c>
      <c r="R21" s="84">
        <f t="shared" si="1"/>
        <v>0</v>
      </c>
      <c r="S21" s="84">
        <f t="shared" si="1"/>
        <v>0</v>
      </c>
      <c r="T21" s="84">
        <f t="shared" si="1"/>
        <v>0</v>
      </c>
      <c r="U21" s="84">
        <f t="shared" si="1"/>
        <v>0</v>
      </c>
      <c r="V21" s="84">
        <f t="shared" si="1"/>
        <v>0</v>
      </c>
      <c r="W21" s="84">
        <f t="shared" si="1"/>
        <v>0</v>
      </c>
      <c r="X21" s="84">
        <f t="shared" si="1"/>
        <v>0</v>
      </c>
      <c r="Y21" s="84">
        <f t="shared" si="1"/>
        <v>0</v>
      </c>
      <c r="Z21" s="84">
        <f t="shared" si="1"/>
        <v>0</v>
      </c>
      <c r="AA21" s="84">
        <f t="shared" si="1"/>
        <v>0</v>
      </c>
      <c r="AB21" s="84">
        <f t="shared" si="1"/>
        <v>0</v>
      </c>
      <c r="AC21" s="84">
        <f t="shared" si="1"/>
        <v>0</v>
      </c>
      <c r="AD21" s="84">
        <f t="shared" si="1"/>
        <v>0</v>
      </c>
      <c r="AE21" s="84">
        <f t="shared" si="1"/>
        <v>0</v>
      </c>
      <c r="AF21" s="84">
        <f t="shared" si="1"/>
        <v>0</v>
      </c>
      <c r="AG21" s="84">
        <f t="shared" si="1"/>
        <v>0</v>
      </c>
      <c r="AH21" s="84">
        <f t="shared" si="1"/>
        <v>0</v>
      </c>
      <c r="AI21" s="84">
        <f t="shared" si="1"/>
        <v>0</v>
      </c>
      <c r="AJ21" s="84">
        <f t="shared" si="1"/>
        <v>0</v>
      </c>
      <c r="AK21" s="84">
        <f t="shared" si="1"/>
        <v>0</v>
      </c>
      <c r="AL21" s="84">
        <f t="shared" si="1"/>
        <v>0</v>
      </c>
      <c r="AM21" s="84">
        <f t="shared" si="1"/>
        <v>0</v>
      </c>
      <c r="AN21" s="84">
        <f t="shared" si="1"/>
        <v>0</v>
      </c>
      <c r="AO21" s="84">
        <f t="shared" si="1"/>
        <v>0</v>
      </c>
      <c r="AP21" s="84">
        <f t="shared" si="1"/>
        <v>0</v>
      </c>
      <c r="AQ21" s="84">
        <f t="shared" si="1"/>
        <v>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'60MP-NR'!G115</f>
        <v>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'60MP-NR'!S120*1000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B8B4F5DC-8C43-4610-8548-49E02DBA93FC}">
      <formula1>"Y,N"</formula1>
    </dataValidation>
  </dataValidations>
  <pageMargins left="0.75" right="0.75" top="1" bottom="1" header="0.5" footer="0.5"/>
  <pageSetup paperSize="9" orientation="portrait" r:id="rId2"/>
  <headerFooter alignWithMargins="0"/>
  <legacyDrawing r:id="rId3"/>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541FB-2B3D-4A94-A770-EA932B4919F0}">
  <sheetPr codeName="Sheet33">
    <tabColor indexed="53"/>
  </sheetPr>
  <dimension ref="A4:M64"/>
  <sheetViews>
    <sheetView view="pageBreakPreview" topLeftCell="A3"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'60MP-NR'!C60</f>
        <v>38846</v>
      </c>
    </row>
    <row r="10" spans="1:13" ht="13">
      <c r="A10" s="109" t="s">
        <v>842</v>
      </c>
      <c r="B10" s="1007" t="s">
        <v>843</v>
      </c>
      <c r="C10" s="1008"/>
      <c r="D10" s="1008"/>
      <c r="E10" s="1008"/>
      <c r="F10" s="1008"/>
      <c r="G10" s="1008"/>
      <c r="H10" s="1008"/>
      <c r="I10" s="1008"/>
    </row>
    <row r="11" spans="1:13" ht="13">
      <c r="A11" s="109" t="s">
        <v>844</v>
      </c>
      <c r="B11" s="1009" t="str">
        <f>'60MP-NR'!A2</f>
        <v>60 Martin Place</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SUM('60MP-IS'!C12:F12)</f>
        <v>0</v>
      </c>
      <c r="D25" s="119">
        <f>SUM('60MP-IS'!D12:G12)</f>
        <v>0</v>
      </c>
      <c r="E25" s="119">
        <f>SUM('60MP-IS'!H12:K12)</f>
        <v>0</v>
      </c>
      <c r="F25" s="119">
        <f>SUM('60MP-IS'!L12:O12)</f>
        <v>0</v>
      </c>
      <c r="G25" s="119">
        <f>SUM('60MP-IS'!P12:S12)</f>
        <v>0</v>
      </c>
      <c r="H25" s="119">
        <f>SUM('60MP-IS'!T12:W12)</f>
        <v>0</v>
      </c>
      <c r="I25" s="119">
        <f>SUM('60MP-IS'!X12:AA12)</f>
        <v>0</v>
      </c>
      <c r="J25" s="119">
        <f>SUM('60MP-IS'!AB12:AE12)</f>
        <v>0</v>
      </c>
      <c r="K25" s="119">
        <f>SUM('60MP-IS'!AF12:AI12)</f>
        <v>0</v>
      </c>
      <c r="L25" s="119">
        <f>SUM('60MP-IS'!AJ12:AM12)</f>
        <v>0</v>
      </c>
      <c r="M25" s="119">
        <f>SUM('60MP-IS'!AN12:AQ12)</f>
        <v>0</v>
      </c>
    </row>
    <row r="26" spans="1:13">
      <c r="A26" s="106" t="s">
        <v>804</v>
      </c>
      <c r="C26" s="120"/>
      <c r="D26" s="119">
        <f>SUM('60MP-IS'!D13:G13)</f>
        <v>0</v>
      </c>
      <c r="E26" s="119">
        <f>SUM('60MP-IS'!H13:K13)</f>
        <v>0</v>
      </c>
      <c r="F26" s="119">
        <f>SUM('60MP-IS'!L13:O13)</f>
        <v>0</v>
      </c>
      <c r="G26" s="119">
        <f>SUM('60MP-IS'!P13:S13)</f>
        <v>0</v>
      </c>
      <c r="H26" s="119">
        <f>SUM('60MP-IS'!T13:W13)</f>
        <v>0</v>
      </c>
      <c r="I26" s="119">
        <f>SUM('60MP-IS'!X13:AA13)</f>
        <v>0</v>
      </c>
      <c r="J26" s="119">
        <f>SUM('60MP-IS'!AB13:AE13)</f>
        <v>0</v>
      </c>
      <c r="K26" s="119">
        <f>SUM('60MP-IS'!AF13:AI13)</f>
        <v>0</v>
      </c>
      <c r="L26" s="119">
        <f>SUM('60MP-IS'!AJ13:AM13)</f>
        <v>0</v>
      </c>
      <c r="M26" s="119">
        <f>SUM('60MP-IS'!AN13:AQ13)</f>
        <v>0</v>
      </c>
    </row>
    <row r="27" spans="1:13">
      <c r="A27" s="106" t="s">
        <v>805</v>
      </c>
      <c r="C27" s="120"/>
      <c r="D27" s="119">
        <f>SUM('60MP-IS'!D15:G15)+SUM('60MP-IS'!D14:G14)</f>
        <v>0</v>
      </c>
      <c r="E27" s="119">
        <f>SUM('60MP-IS'!H15:K15)+SUM('60MP-IS'!H14:K14)</f>
        <v>0</v>
      </c>
      <c r="F27" s="119">
        <f>SUM('60MP-IS'!L15:O15)+SUM('60MP-IS'!L14:O14)</f>
        <v>0</v>
      </c>
      <c r="G27" s="119">
        <f>SUM('60MP-IS'!P15:S15)+SUM('60MP-IS'!P14:S14)</f>
        <v>0</v>
      </c>
      <c r="H27" s="119">
        <f>SUM('60MP-IS'!T15:W15)+SUM('60MP-IS'!T14:W14)</f>
        <v>0</v>
      </c>
      <c r="I27" s="119">
        <f>SUM('60MP-IS'!X15:AA15)+SUM('60MP-IS'!X14:AA14)</f>
        <v>0</v>
      </c>
      <c r="J27" s="119">
        <f>SUM('60MP-IS'!AB15:AE15)+SUM('60MP-IS'!AB14:AE14)</f>
        <v>0</v>
      </c>
      <c r="K27" s="119">
        <f>SUM('60MP-IS'!AF15:AI15)+SUM('60MP-IS'!AF14:AI14)</f>
        <v>0</v>
      </c>
      <c r="L27" s="119">
        <f>SUM('60MP-IS'!AJ15:AM15)+SUM('60MP-IS'!AJ14:AM14)</f>
        <v>0</v>
      </c>
      <c r="M27" s="119">
        <f>SUM('60MP-IS'!AN15:AQ15)+SUM('60MP-IS'!AN14:AQ14)</f>
        <v>0</v>
      </c>
    </row>
    <row r="28" spans="1:13">
      <c r="A28" s="106" t="s">
        <v>808</v>
      </c>
      <c r="C28" s="120"/>
      <c r="D28" s="119">
        <f>SUM('60MP-IS'!D16:G16)</f>
        <v>0</v>
      </c>
      <c r="E28" s="119">
        <f>SUM('60MP-IS'!H16:K16)</f>
        <v>0</v>
      </c>
      <c r="F28" s="119">
        <f>SUM('60MP-IS'!L16:O16)</f>
        <v>0</v>
      </c>
      <c r="G28" s="119">
        <f>SUM('60MP-IS'!P16:S16)</f>
        <v>0</v>
      </c>
      <c r="H28" s="119">
        <f>SUM('60MP-IS'!T16:W16)</f>
        <v>0</v>
      </c>
      <c r="I28" s="119">
        <f>SUM('60MP-IS'!X16:AA16)</f>
        <v>0</v>
      </c>
      <c r="J28" s="119">
        <f>SUM('60MP-IS'!AB16:AE16)</f>
        <v>0</v>
      </c>
      <c r="K28" s="119">
        <f>SUM('60MP-IS'!AF16:AI16)</f>
        <v>0</v>
      </c>
      <c r="L28" s="119">
        <f>SUM('60MP-IS'!AJ16:AM16)</f>
        <v>0</v>
      </c>
      <c r="M28" s="119">
        <f>SUM('60MP-IS'!AN16:AQ16)</f>
        <v>0</v>
      </c>
    </row>
    <row r="29" spans="1:13">
      <c r="A29" s="106" t="s">
        <v>809</v>
      </c>
      <c r="C29" s="120"/>
      <c r="D29" s="119">
        <f>SUM('60MP-IS'!D17:G17)</f>
        <v>0</v>
      </c>
      <c r="E29" s="119">
        <f>SUM('60MP-IS'!H17:K17)</f>
        <v>0</v>
      </c>
      <c r="F29" s="119">
        <f>SUM('60MP-IS'!L17:O17)</f>
        <v>0</v>
      </c>
      <c r="G29" s="119">
        <f>SUM('60MP-IS'!P17:S17)</f>
        <v>0</v>
      </c>
      <c r="H29" s="119">
        <f>SUM('60MP-IS'!T17:W17)</f>
        <v>0</v>
      </c>
      <c r="I29" s="119">
        <f>SUM('60MP-IS'!X17:AA17)</f>
        <v>0</v>
      </c>
      <c r="J29" s="119">
        <f>SUM('60MP-IS'!AB17:AE17)</f>
        <v>0</v>
      </c>
      <c r="K29" s="119">
        <f>SUM('60MP-IS'!AF17:AI17)</f>
        <v>0</v>
      </c>
      <c r="L29" s="119">
        <f>SUM('60MP-IS'!AJ17:AM17)</f>
        <v>0</v>
      </c>
      <c r="M29" s="119">
        <f>SUM('60MP-IS'!AN17:AQ17)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'60MP-NR'!G67</f>
        <v>CURRENT</v>
      </c>
      <c r="J36" s="127" t="str">
        <f>'60MP-NR'!H67</f>
        <v>FY25</v>
      </c>
      <c r="K36" s="127" t="str">
        <f>'60MP-NR'!I67</f>
        <v>FY26</v>
      </c>
      <c r="L36" s="127" t="str">
        <f>'60MP-NR'!J67</f>
        <v>FY27</v>
      </c>
      <c r="M36" s="127" t="str">
        <f>'60MP-NR'!K67</f>
        <v>FY28</v>
      </c>
    </row>
    <row r="37" spans="1:13" ht="25.5">
      <c r="A37" s="128" t="s">
        <v>863</v>
      </c>
      <c r="B37" s="129" t="s">
        <v>864</v>
      </c>
      <c r="D37" s="117"/>
      <c r="E37" s="130"/>
      <c r="F37" s="117"/>
      <c r="G37" s="131" t="s">
        <v>865</v>
      </c>
      <c r="H37" s="132">
        <f>'60MP-NR'!S123</f>
        <v>5.3030006523157214</v>
      </c>
      <c r="I37" s="132">
        <f>'60MP-NR'!S124</f>
        <v>5.2669923839632133</v>
      </c>
      <c r="J37" s="132">
        <f>'60MP-NR'!S125</f>
        <v>5.2669923839632133</v>
      </c>
      <c r="K37" s="132">
        <f>'60MP-NR'!S126</f>
        <v>5.2669923839632133</v>
      </c>
      <c r="L37" s="117"/>
    </row>
    <row r="38" spans="1:13" ht="13">
      <c r="G38" s="131" t="s">
        <v>866</v>
      </c>
      <c r="I38" s="133">
        <f>'60MP-NR'!G115</f>
        <v>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5.30300065231572 Stars</v>
      </c>
      <c r="G59" s="146">
        <f t="shared" si="2"/>
        <v>5.2669923839632133</v>
      </c>
      <c r="H59" s="146">
        <f t="shared" si="2"/>
        <v>5.2669923839632133</v>
      </c>
      <c r="I59" s="146">
        <f t="shared" si="2"/>
        <v>5.2669923839632133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AAF9F84E-1EE1-4001-81B1-1A076EA5AB5D}">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E5A7AD7F-1B41-4FD8-A44F-024AD0CEEE50}">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8A255-115C-4AFB-85C3-DDA661320610}">
  <sheetPr codeName="Sheet35">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0</v>
      </c>
      <c r="E21" s="84">
        <f t="shared" si="1"/>
        <v>0</v>
      </c>
      <c r="F21" s="84">
        <f t="shared" si="1"/>
        <v>0</v>
      </c>
      <c r="G21" s="84">
        <f t="shared" si="1"/>
        <v>0</v>
      </c>
      <c r="H21" s="84">
        <f t="shared" si="1"/>
        <v>0</v>
      </c>
      <c r="I21" s="84">
        <f t="shared" si="1"/>
        <v>0</v>
      </c>
      <c r="J21" s="84">
        <f t="shared" si="1"/>
        <v>0</v>
      </c>
      <c r="K21" s="84">
        <f t="shared" si="1"/>
        <v>0</v>
      </c>
      <c r="L21" s="84">
        <f t="shared" si="1"/>
        <v>0</v>
      </c>
      <c r="M21" s="84">
        <f t="shared" si="1"/>
        <v>0</v>
      </c>
      <c r="N21" s="84">
        <f t="shared" si="1"/>
        <v>0</v>
      </c>
      <c r="O21" s="84">
        <f t="shared" si="1"/>
        <v>0</v>
      </c>
      <c r="P21" s="84">
        <f t="shared" si="1"/>
        <v>0</v>
      </c>
      <c r="Q21" s="84">
        <f t="shared" si="1"/>
        <v>0</v>
      </c>
      <c r="R21" s="84">
        <f t="shared" si="1"/>
        <v>0</v>
      </c>
      <c r="S21" s="84">
        <f t="shared" si="1"/>
        <v>0</v>
      </c>
      <c r="T21" s="84">
        <f t="shared" si="1"/>
        <v>0</v>
      </c>
      <c r="U21" s="84">
        <f t="shared" si="1"/>
        <v>0</v>
      </c>
      <c r="V21" s="84">
        <f t="shared" si="1"/>
        <v>0</v>
      </c>
      <c r="W21" s="84">
        <f t="shared" si="1"/>
        <v>0</v>
      </c>
      <c r="X21" s="84">
        <f t="shared" si="1"/>
        <v>0</v>
      </c>
      <c r="Y21" s="84">
        <f t="shared" si="1"/>
        <v>0</v>
      </c>
      <c r="Z21" s="84">
        <f t="shared" si="1"/>
        <v>0</v>
      </c>
      <c r="AA21" s="84">
        <f t="shared" si="1"/>
        <v>0</v>
      </c>
      <c r="AB21" s="84">
        <f t="shared" si="1"/>
        <v>0</v>
      </c>
      <c r="AC21" s="84">
        <f t="shared" si="1"/>
        <v>0</v>
      </c>
      <c r="AD21" s="84">
        <f t="shared" si="1"/>
        <v>0</v>
      </c>
      <c r="AE21" s="84">
        <f t="shared" si="1"/>
        <v>0</v>
      </c>
      <c r="AF21" s="84">
        <f t="shared" si="1"/>
        <v>0</v>
      </c>
      <c r="AG21" s="84">
        <f t="shared" si="1"/>
        <v>0</v>
      </c>
      <c r="AH21" s="84">
        <f t="shared" si="1"/>
        <v>0</v>
      </c>
      <c r="AI21" s="84">
        <f t="shared" si="1"/>
        <v>0</v>
      </c>
      <c r="AJ21" s="84">
        <f t="shared" si="1"/>
        <v>0</v>
      </c>
      <c r="AK21" s="84">
        <f t="shared" si="1"/>
        <v>0</v>
      </c>
      <c r="AL21" s="84">
        <f t="shared" si="1"/>
        <v>0</v>
      </c>
      <c r="AM21" s="84">
        <f t="shared" si="1"/>
        <v>0</v>
      </c>
      <c r="AN21" s="84">
        <f t="shared" si="1"/>
        <v>0</v>
      </c>
      <c r="AO21" s="84">
        <f t="shared" si="1"/>
        <v>0</v>
      </c>
      <c r="AP21" s="84">
        <f t="shared" si="1"/>
        <v>0</v>
      </c>
      <c r="AQ21" s="84">
        <f t="shared" si="1"/>
        <v>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'130P-NR'!G115</f>
        <v>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'130P-NR'!S120*1000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B540F3B4-D76B-4201-A76D-A0D82BAA2458}">
      <formula1>"Y,N"</formula1>
    </dataValidation>
  </dataValidations>
  <pageMargins left="0.75" right="0.75" top="1" bottom="1" header="0.5" footer="0.5"/>
  <pageSetup paperSize="9" orientation="portrait" r:id="rId2"/>
  <headerFooter alignWithMargins="0"/>
  <legacyDrawing r:id="rId3"/>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D3C2A-41C9-4006-8F2A-431D21E03359}">
  <sheetPr codeName="Sheet36">
    <tabColor indexed="53"/>
  </sheetPr>
  <dimension ref="A4:M64"/>
  <sheetViews>
    <sheetView view="pageBreakPreview" topLeftCell="A3"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'130P-NR'!C60</f>
        <v>5511.8</v>
      </c>
    </row>
    <row r="10" spans="1:13" ht="13">
      <c r="A10" s="109" t="s">
        <v>842</v>
      </c>
      <c r="B10" s="1007" t="s">
        <v>843</v>
      </c>
      <c r="C10" s="1008"/>
      <c r="D10" s="1008"/>
      <c r="E10" s="1008"/>
      <c r="F10" s="1008"/>
      <c r="G10" s="1008"/>
      <c r="H10" s="1008"/>
      <c r="I10" s="1008"/>
    </row>
    <row r="11" spans="1:13" ht="13">
      <c r="A11" s="109" t="s">
        <v>844</v>
      </c>
      <c r="B11" s="1009" t="str">
        <f>'130P-NR'!A2</f>
        <v>130 Pitt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SUM('130P-IS'!C12:F12)</f>
        <v>0</v>
      </c>
      <c r="D25" s="119">
        <f>SUM('130P-IS'!D12:G12)</f>
        <v>0</v>
      </c>
      <c r="E25" s="119">
        <f>SUM('130P-IS'!H12:K12)</f>
        <v>0</v>
      </c>
      <c r="F25" s="119">
        <f>SUM('130P-IS'!L12:O12)</f>
        <v>0</v>
      </c>
      <c r="G25" s="119">
        <f>SUM('130P-IS'!P12:S12)</f>
        <v>0</v>
      </c>
      <c r="H25" s="119">
        <f>SUM('130P-IS'!T12:W12)</f>
        <v>0</v>
      </c>
      <c r="I25" s="119">
        <f>SUM('130P-IS'!X12:AA12)</f>
        <v>0</v>
      </c>
      <c r="J25" s="119">
        <f>SUM('130P-IS'!AB12:AE12)</f>
        <v>0</v>
      </c>
      <c r="K25" s="119">
        <f>SUM('130P-IS'!AF12:AI12)</f>
        <v>0</v>
      </c>
      <c r="L25" s="119">
        <f>SUM('130P-IS'!AJ12:AM12)</f>
        <v>0</v>
      </c>
      <c r="M25" s="119">
        <f>SUM('130P-IS'!AN12:AQ12)</f>
        <v>0</v>
      </c>
    </row>
    <row r="26" spans="1:13">
      <c r="A26" s="106" t="s">
        <v>804</v>
      </c>
      <c r="C26" s="120"/>
      <c r="D26" s="119">
        <f>SUM('130P-IS'!D13:G13)</f>
        <v>0</v>
      </c>
      <c r="E26" s="119">
        <f>SUM('130P-IS'!H13:K13)</f>
        <v>0</v>
      </c>
      <c r="F26" s="119">
        <f>SUM('130P-IS'!L13:O13)</f>
        <v>0</v>
      </c>
      <c r="G26" s="119">
        <f>SUM('130P-IS'!P13:S13)</f>
        <v>0</v>
      </c>
      <c r="H26" s="119">
        <f>SUM('130P-IS'!T13:W13)</f>
        <v>0</v>
      </c>
      <c r="I26" s="119">
        <f>SUM('130P-IS'!X13:AA13)</f>
        <v>0</v>
      </c>
      <c r="J26" s="119">
        <f>SUM('130P-IS'!AB13:AE13)</f>
        <v>0</v>
      </c>
      <c r="K26" s="119">
        <f>SUM('130P-IS'!AF13:AI13)</f>
        <v>0</v>
      </c>
      <c r="L26" s="119">
        <f>SUM('130P-IS'!AJ13:AM13)</f>
        <v>0</v>
      </c>
      <c r="M26" s="119">
        <f>SUM('130P-IS'!AN13:AQ13)</f>
        <v>0</v>
      </c>
    </row>
    <row r="27" spans="1:13">
      <c r="A27" s="106" t="s">
        <v>805</v>
      </c>
      <c r="C27" s="120"/>
      <c r="D27" s="119">
        <f>SUM('130P-IS'!D15:G15)+SUM('130P-IS'!D14:G14)</f>
        <v>0</v>
      </c>
      <c r="E27" s="119">
        <f>SUM('130P-IS'!H15:K15)+SUM('130P-IS'!H14:K14)</f>
        <v>0</v>
      </c>
      <c r="F27" s="119">
        <f>SUM('130P-IS'!L15:O15)+SUM('130P-IS'!L14:O14)</f>
        <v>0</v>
      </c>
      <c r="G27" s="119">
        <f>SUM('130P-IS'!P15:S15)+SUM('130P-IS'!P14:S14)</f>
        <v>0</v>
      </c>
      <c r="H27" s="119">
        <f>SUM('130P-IS'!T15:W15)+SUM('130P-IS'!T14:W14)</f>
        <v>0</v>
      </c>
      <c r="I27" s="119">
        <f>SUM('130P-IS'!X15:AA15)+SUM('130P-IS'!X14:AA14)</f>
        <v>0</v>
      </c>
      <c r="J27" s="119">
        <f>SUM('130P-IS'!AB15:AE15)+SUM('130P-IS'!AB14:AE14)</f>
        <v>0</v>
      </c>
      <c r="K27" s="119">
        <f>SUM('130P-IS'!AF15:AI15)+SUM('130P-IS'!AF14:AI14)</f>
        <v>0</v>
      </c>
      <c r="L27" s="119">
        <f>SUM('130P-IS'!AJ15:AM15)+SUM('130P-IS'!AJ14:AM14)</f>
        <v>0</v>
      </c>
      <c r="M27" s="119">
        <f>SUM('130P-IS'!AN15:AQ15)+SUM('130P-IS'!AN14:AQ14)</f>
        <v>0</v>
      </c>
    </row>
    <row r="28" spans="1:13">
      <c r="A28" s="106" t="s">
        <v>808</v>
      </c>
      <c r="C28" s="120"/>
      <c r="D28" s="119">
        <f>SUM('130P-IS'!D16:G16)</f>
        <v>0</v>
      </c>
      <c r="E28" s="119">
        <f>SUM('130P-IS'!H16:K16)</f>
        <v>0</v>
      </c>
      <c r="F28" s="119">
        <f>SUM('130P-IS'!L16:O16)</f>
        <v>0</v>
      </c>
      <c r="G28" s="119">
        <f>SUM('130P-IS'!P16:S16)</f>
        <v>0</v>
      </c>
      <c r="H28" s="119">
        <f>SUM('130P-IS'!T16:W16)</f>
        <v>0</v>
      </c>
      <c r="I28" s="119">
        <f>SUM('130P-IS'!X16:AA16)</f>
        <v>0</v>
      </c>
      <c r="J28" s="119">
        <f>SUM('130P-IS'!AB16:AE16)</f>
        <v>0</v>
      </c>
      <c r="K28" s="119">
        <f>SUM('130P-IS'!AF16:AI16)</f>
        <v>0</v>
      </c>
      <c r="L28" s="119">
        <f>SUM('130P-IS'!AJ16:AM16)</f>
        <v>0</v>
      </c>
      <c r="M28" s="119">
        <f>SUM('130P-IS'!AN16:AQ16)</f>
        <v>0</v>
      </c>
    </row>
    <row r="29" spans="1:13">
      <c r="A29" s="106" t="s">
        <v>809</v>
      </c>
      <c r="C29" s="120"/>
      <c r="D29" s="119">
        <f>SUM('130P-IS'!D17:G17)</f>
        <v>0</v>
      </c>
      <c r="E29" s="119">
        <f>SUM('130P-IS'!H17:K17)</f>
        <v>0</v>
      </c>
      <c r="F29" s="119">
        <f>SUM('130P-IS'!L17:O17)</f>
        <v>0</v>
      </c>
      <c r="G29" s="119">
        <f>SUM('130P-IS'!P17:S17)</f>
        <v>0</v>
      </c>
      <c r="H29" s="119">
        <f>SUM('130P-IS'!T17:W17)</f>
        <v>0</v>
      </c>
      <c r="I29" s="119">
        <f>SUM('130P-IS'!X17:AA17)</f>
        <v>0</v>
      </c>
      <c r="J29" s="119">
        <f>SUM('130P-IS'!AB17:AE17)</f>
        <v>0</v>
      </c>
      <c r="K29" s="119">
        <f>SUM('130P-IS'!AF17:AI17)</f>
        <v>0</v>
      </c>
      <c r="L29" s="119">
        <f>SUM('130P-IS'!AJ17:AM17)</f>
        <v>0</v>
      </c>
      <c r="M29" s="119">
        <f>SUM('130P-IS'!AN17:AQ17)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'130P-NR'!G67</f>
        <v>CURRENT</v>
      </c>
      <c r="J36" s="127" t="str">
        <f>'130P-NR'!H67</f>
        <v>FY25</v>
      </c>
      <c r="K36" s="127" t="str">
        <f>'130P-NR'!I67</f>
        <v>FY26</v>
      </c>
      <c r="L36" s="127" t="str">
        <f>'130P-NR'!J67</f>
        <v>FY27</v>
      </c>
      <c r="M36" s="127" t="str">
        <f>'130P-NR'!K67</f>
        <v>FY28</v>
      </c>
    </row>
    <row r="37" spans="1:13" ht="25.5">
      <c r="A37" s="128" t="s">
        <v>863</v>
      </c>
      <c r="B37" s="129" t="s">
        <v>864</v>
      </c>
      <c r="D37" s="117"/>
      <c r="E37" s="130"/>
      <c r="F37" s="117"/>
      <c r="G37" s="131" t="s">
        <v>865</v>
      </c>
      <c r="H37" s="132">
        <f>'130P-NR'!S123</f>
        <v>4.5300065231572084</v>
      </c>
      <c r="I37" s="132">
        <f>'130P-NR'!S124</f>
        <v>4.5300065231572084</v>
      </c>
      <c r="J37" s="132">
        <f>'130P-NR'!S125</f>
        <v>4.5300065231572084</v>
      </c>
      <c r="K37" s="132">
        <f>'130P-NR'!S126</f>
        <v>4.5300065231572084</v>
      </c>
      <c r="L37" s="117"/>
    </row>
    <row r="38" spans="1:13" ht="13">
      <c r="G38" s="131" t="s">
        <v>866</v>
      </c>
      <c r="I38" s="133">
        <f>'130P-NR'!G115</f>
        <v>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4.53000652315721 Stars</v>
      </c>
      <c r="G59" s="146">
        <f t="shared" si="2"/>
        <v>4.5300065231572084</v>
      </c>
      <c r="H59" s="146">
        <f t="shared" si="2"/>
        <v>4.5300065231572084</v>
      </c>
      <c r="I59" s="146">
        <f t="shared" si="2"/>
        <v>4.5300065231572084</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C316F1F6-E9B2-4B11-B9E7-335F7B91526A}">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292836FD-F0AF-4BA4-BE05-317965E9C680}">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4C918-587C-4952-84B5-AA6BCB665154}">
  <sheetPr codeName="Sheet37">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-4500</v>
      </c>
      <c r="E15" s="81">
        <f>(0.25*$F$28*$J29)*(1-$B$6+$B$6/2)</f>
        <v>-4500</v>
      </c>
      <c r="F15" s="81">
        <f>(0.25*$F$28*$J29)*(1-$B$6+$B$6/2)</f>
        <v>-4500</v>
      </c>
      <c r="G15" s="81">
        <f>(0.25*$F$28*$J29)*(1-$B$6+$B$6/2)</f>
        <v>-4500</v>
      </c>
      <c r="H15" s="86">
        <f>(0.25*$F$28*$K29)*(1-$B$6+$B$6/2)</f>
        <v>-4725</v>
      </c>
      <c r="I15" s="86">
        <f>(0.25*$F$28*$K29)*(1-$B$6+$B$6/2)</f>
        <v>-4725</v>
      </c>
      <c r="J15" s="86">
        <f>(0.25*$F$28*$K29)*(1-$B$6+$B$6/2)</f>
        <v>-4725</v>
      </c>
      <c r="K15" s="86">
        <f>(0.25*$F$28*$K29)*(1-$B$6+$B$6/2)</f>
        <v>-4725</v>
      </c>
      <c r="L15" s="86">
        <f>(0.25*$F$28*$L29)*(1-$B$6+$B$6/2)</f>
        <v>-4961.2500000000009</v>
      </c>
      <c r="M15" s="86">
        <f>(0.25*$F$28*$L29)*(1-$B$6+$B$6/2)</f>
        <v>-4961.2500000000009</v>
      </c>
      <c r="N15" s="86">
        <f>(0.25*$F$28*$L29)*(1-$B$6+$B$6/2)</f>
        <v>-4961.2500000000009</v>
      </c>
      <c r="O15" s="86">
        <f>(0.25*$F$28*$L29)*(1-$B$6+$B$6/2)</f>
        <v>-4961.2500000000009</v>
      </c>
      <c r="P15" s="86">
        <f>(0.25*$F$28*$M29)*(1-$B$6+$B$6/2)</f>
        <v>-5209.3125000000009</v>
      </c>
      <c r="Q15" s="86">
        <f>(0.25*$F$28*$M29)*(1-$B$6+$B$6/2)</f>
        <v>-5209.3125000000009</v>
      </c>
      <c r="R15" s="86">
        <f>(0.25*$F$28*$M29)*(1-$B$6+$B$6/2)</f>
        <v>-5209.3125000000009</v>
      </c>
      <c r="S15" s="86">
        <f>(0.25*$F$28*$M29)*(1-$B$6+$B$6/2)</f>
        <v>-5209.3125000000009</v>
      </c>
      <c r="T15" s="86">
        <f>(0.25*$F$28*$N29)*(1-$B$6+$B$6/2)</f>
        <v>-5469.7781250000007</v>
      </c>
      <c r="U15" s="86">
        <f>(0.25*$F$28*$N29)*(1-$B$6+$B$6/2)</f>
        <v>-5469.7781250000007</v>
      </c>
      <c r="V15" s="86">
        <f>(0.25*$F$28*$N29)*(1-$B$6+$B$6/2)</f>
        <v>-5469.7781250000007</v>
      </c>
      <c r="W15" s="86">
        <f>(0.25*$F$28*$N29)*(1-$B$6+$B$6/2)</f>
        <v>-5469.7781250000007</v>
      </c>
      <c r="X15" s="86">
        <f>(0.25*$F$28*$O29)*(1-$B$6+$B$6/2)</f>
        <v>-5743.2670312500022</v>
      </c>
      <c r="Y15" s="86">
        <f>(0.25*$F$28*$O29)*(1-$B$6+$B$6/2)</f>
        <v>-5743.2670312500022</v>
      </c>
      <c r="Z15" s="86">
        <f>(0.25*$F$28*$O29)*(1-$B$6+$B$6/2)</f>
        <v>-5743.2670312500022</v>
      </c>
      <c r="AA15" s="86">
        <f>(0.25*$F$28*$O29)*(1-$B$6+$B$6/2)</f>
        <v>-5743.2670312500022</v>
      </c>
      <c r="AB15" s="86">
        <f>(0.25*$F$28*$P29)*(1-$B$6+$B$6/2)</f>
        <v>-6030.430382812503</v>
      </c>
      <c r="AC15" s="86">
        <f>(0.25*$F$28*$P29)*(1-$B$6+$B$6/2)</f>
        <v>-6030.430382812503</v>
      </c>
      <c r="AD15" s="86">
        <f>(0.25*$F$28*$P29)*(1-$B$6+$B$6/2)</f>
        <v>-6030.430382812503</v>
      </c>
      <c r="AE15" s="86">
        <f>(0.25*$F$28*$P29)*(1-$B$6+$B$6/2)</f>
        <v>-6030.430382812503</v>
      </c>
      <c r="AF15" s="86">
        <f>(0.25*$F$28*$Q29)*(1-$B$6+$B$6/2)</f>
        <v>-6331.9519019531272</v>
      </c>
      <c r="AG15" s="86">
        <f>(0.25*$F$28*$Q29)*(1-$B$6+$B$6/2)</f>
        <v>-6331.9519019531272</v>
      </c>
      <c r="AH15" s="86">
        <f>(0.25*$F$28*$Q29)*(1-$B$6+$B$6/2)</f>
        <v>-6331.9519019531272</v>
      </c>
      <c r="AI15" s="86">
        <f>(0.25*$F$28*$Q29)*(1-$B$6+$B$6/2)</f>
        <v>-6331.9519019531272</v>
      </c>
      <c r="AJ15" s="86">
        <f>(0.25*$F$28*$R29)*(1-$B$6+$B$6/2)</f>
        <v>-6648.5494970507852</v>
      </c>
      <c r="AK15" s="86">
        <f>(0.25*$F$28*$R29)*(1-$B$6+$B$6/2)</f>
        <v>-6648.5494970507852</v>
      </c>
      <c r="AL15" s="86">
        <f>(0.25*$F$28*$R29)*(1-$B$6+$B$6/2)</f>
        <v>-6648.5494970507852</v>
      </c>
      <c r="AM15" s="86">
        <f>(0.25*$F$28*$R29)*(1-$B$6+$B$6/2)</f>
        <v>-6648.5494970507852</v>
      </c>
      <c r="AN15" s="86">
        <f>(0.25*$F$28*$S29)*(1-$B$6+$B$6/2)</f>
        <v>-6980.9769719033247</v>
      </c>
      <c r="AO15" s="86">
        <f>(0.25*$F$28*$S29)*(1-$B$6+$B$6/2)</f>
        <v>-6980.9769719033247</v>
      </c>
      <c r="AP15" s="86">
        <f>(0.25*$F$28*$S29)*(1-$B$6+$B$6/2)</f>
        <v>-6980.9769719033247</v>
      </c>
      <c r="AQ15" s="86">
        <f>(0.25*$F$28*$S29)*(1-$B$6+$B$6/2)</f>
        <v>-6980.9769719033247</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-4500</v>
      </c>
      <c r="E19" s="92">
        <f t="shared" si="0"/>
        <v>-4500</v>
      </c>
      <c r="F19" s="92">
        <f t="shared" si="0"/>
        <v>-4500</v>
      </c>
      <c r="G19" s="90">
        <f t="shared" si="0"/>
        <v>-4500</v>
      </c>
      <c r="H19" s="91">
        <f t="shared" si="0"/>
        <v>-4725</v>
      </c>
      <c r="I19" s="92">
        <f t="shared" si="0"/>
        <v>-4725</v>
      </c>
      <c r="J19" s="92">
        <f t="shared" si="0"/>
        <v>-4725</v>
      </c>
      <c r="K19" s="90">
        <f t="shared" si="0"/>
        <v>-4725</v>
      </c>
      <c r="L19" s="91">
        <f t="shared" si="0"/>
        <v>-4961.2500000000009</v>
      </c>
      <c r="M19" s="92">
        <f t="shared" si="0"/>
        <v>-4961.2500000000009</v>
      </c>
      <c r="N19" s="92">
        <f t="shared" si="0"/>
        <v>-4961.2500000000009</v>
      </c>
      <c r="O19" s="90">
        <f t="shared" si="0"/>
        <v>-4961.2500000000009</v>
      </c>
      <c r="P19" s="91">
        <f t="shared" si="0"/>
        <v>-5209.3125000000009</v>
      </c>
      <c r="Q19" s="92">
        <f t="shared" si="0"/>
        <v>-5209.3125000000009</v>
      </c>
      <c r="R19" s="92">
        <f t="shared" si="0"/>
        <v>-5209.3125000000009</v>
      </c>
      <c r="S19" s="90">
        <f t="shared" si="0"/>
        <v>-5209.3125000000009</v>
      </c>
      <c r="T19" s="91">
        <f t="shared" si="0"/>
        <v>-5469.7781250000007</v>
      </c>
      <c r="U19" s="92">
        <f t="shared" si="0"/>
        <v>-5469.7781250000007</v>
      </c>
      <c r="V19" s="92">
        <f t="shared" si="0"/>
        <v>-5469.7781250000007</v>
      </c>
      <c r="W19" s="90">
        <f t="shared" si="0"/>
        <v>-5469.7781250000007</v>
      </c>
      <c r="X19" s="91">
        <f t="shared" si="0"/>
        <v>-5743.2670312500022</v>
      </c>
      <c r="Y19" s="92">
        <f t="shared" si="0"/>
        <v>-5743.2670312500022</v>
      </c>
      <c r="Z19" s="92">
        <f t="shared" si="0"/>
        <v>-5743.2670312500022</v>
      </c>
      <c r="AA19" s="90">
        <f t="shared" si="0"/>
        <v>-5743.2670312500022</v>
      </c>
      <c r="AB19" s="91">
        <f t="shared" si="0"/>
        <v>-6030.430382812503</v>
      </c>
      <c r="AC19" s="92">
        <f t="shared" si="0"/>
        <v>-6030.430382812503</v>
      </c>
      <c r="AD19" s="92">
        <f t="shared" si="0"/>
        <v>-6030.430382812503</v>
      </c>
      <c r="AE19" s="90">
        <f t="shared" si="0"/>
        <v>-6030.430382812503</v>
      </c>
      <c r="AF19" s="91">
        <f t="shared" si="0"/>
        <v>-6331.9519019531272</v>
      </c>
      <c r="AG19" s="92">
        <f t="shared" si="0"/>
        <v>-6331.9519019531272</v>
      </c>
      <c r="AH19" s="92">
        <f t="shared" si="0"/>
        <v>-6331.9519019531272</v>
      </c>
      <c r="AI19" s="90">
        <f t="shared" si="0"/>
        <v>-6331.9519019531272</v>
      </c>
      <c r="AJ19" s="91">
        <f t="shared" si="0"/>
        <v>-6648.5494970507852</v>
      </c>
      <c r="AK19" s="92">
        <f t="shared" si="0"/>
        <v>-6648.5494970507852</v>
      </c>
      <c r="AL19" s="92">
        <f t="shared" si="0"/>
        <v>-6648.5494970507852</v>
      </c>
      <c r="AM19" s="90">
        <f t="shared" si="0"/>
        <v>-6648.5494970507852</v>
      </c>
      <c r="AN19" s="91">
        <f t="shared" si="0"/>
        <v>-6980.9769719033247</v>
      </c>
      <c r="AO19" s="92">
        <f t="shared" si="0"/>
        <v>-6980.9769719033247</v>
      </c>
      <c r="AP19" s="92">
        <f t="shared" si="0"/>
        <v>-6980.9769719033247</v>
      </c>
      <c r="AQ19" s="90">
        <f t="shared" si="0"/>
        <v>-6980.9769719033247</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-4500</v>
      </c>
      <c r="E21" s="84">
        <f t="shared" si="1"/>
        <v>-9000</v>
      </c>
      <c r="F21" s="84">
        <f t="shared" si="1"/>
        <v>-13500</v>
      </c>
      <c r="G21" s="84">
        <f t="shared" si="1"/>
        <v>-18000</v>
      </c>
      <c r="H21" s="84">
        <f t="shared" si="1"/>
        <v>-22725</v>
      </c>
      <c r="I21" s="84">
        <f t="shared" si="1"/>
        <v>-27450</v>
      </c>
      <c r="J21" s="84">
        <f t="shared" si="1"/>
        <v>-32175</v>
      </c>
      <c r="K21" s="84">
        <f t="shared" si="1"/>
        <v>-36900</v>
      </c>
      <c r="L21" s="84">
        <f t="shared" si="1"/>
        <v>-41861.25</v>
      </c>
      <c r="M21" s="84">
        <f t="shared" si="1"/>
        <v>-46822.5</v>
      </c>
      <c r="N21" s="84">
        <f t="shared" si="1"/>
        <v>-51783.75</v>
      </c>
      <c r="O21" s="84">
        <f t="shared" si="1"/>
        <v>-56745</v>
      </c>
      <c r="P21" s="84">
        <f t="shared" si="1"/>
        <v>-61954.3125</v>
      </c>
      <c r="Q21" s="84">
        <f t="shared" si="1"/>
        <v>-67163.625</v>
      </c>
      <c r="R21" s="84">
        <f t="shared" si="1"/>
        <v>-72372.9375</v>
      </c>
      <c r="S21" s="84">
        <f t="shared" si="1"/>
        <v>-77582.25</v>
      </c>
      <c r="T21" s="84">
        <f t="shared" si="1"/>
        <v>-83052.028124999997</v>
      </c>
      <c r="U21" s="84">
        <f t="shared" si="1"/>
        <v>-88521.806249999994</v>
      </c>
      <c r="V21" s="84">
        <f t="shared" si="1"/>
        <v>-93991.584374999991</v>
      </c>
      <c r="W21" s="84">
        <f t="shared" si="1"/>
        <v>-99461.362499999988</v>
      </c>
      <c r="X21" s="84">
        <f t="shared" si="1"/>
        <v>-105204.62953124999</v>
      </c>
      <c r="Y21" s="84">
        <f t="shared" si="1"/>
        <v>-110947.89656249998</v>
      </c>
      <c r="Z21" s="84">
        <f t="shared" si="1"/>
        <v>-116691.16359374998</v>
      </c>
      <c r="AA21" s="84">
        <f t="shared" si="1"/>
        <v>-122434.43062499998</v>
      </c>
      <c r="AB21" s="84">
        <f t="shared" si="1"/>
        <v>-128464.86100781248</v>
      </c>
      <c r="AC21" s="84">
        <f t="shared" si="1"/>
        <v>-134495.29139062497</v>
      </c>
      <c r="AD21" s="84">
        <f t="shared" si="1"/>
        <v>-140525.72177343749</v>
      </c>
      <c r="AE21" s="84">
        <f t="shared" si="1"/>
        <v>-146556.15215625</v>
      </c>
      <c r="AF21" s="84">
        <f t="shared" si="1"/>
        <v>-152888.10405820311</v>
      </c>
      <c r="AG21" s="84">
        <f t="shared" si="1"/>
        <v>-159220.05596015623</v>
      </c>
      <c r="AH21" s="84">
        <f t="shared" si="1"/>
        <v>-165552.00786210934</v>
      </c>
      <c r="AI21" s="84">
        <f t="shared" si="1"/>
        <v>-171883.95976406246</v>
      </c>
      <c r="AJ21" s="84">
        <f t="shared" si="1"/>
        <v>-178532.50926111324</v>
      </c>
      <c r="AK21" s="84">
        <f t="shared" si="1"/>
        <v>-185181.05875816403</v>
      </c>
      <c r="AL21" s="84">
        <f t="shared" si="1"/>
        <v>-191829.60825521481</v>
      </c>
      <c r="AM21" s="84">
        <f t="shared" si="1"/>
        <v>-198478.1577522656</v>
      </c>
      <c r="AN21" s="84">
        <f t="shared" si="1"/>
        <v>-205459.13472416892</v>
      </c>
      <c r="AO21" s="84">
        <f t="shared" si="1"/>
        <v>-212440.11169607224</v>
      </c>
      <c r="AP21" s="84">
        <f t="shared" si="1"/>
        <v>-219421.08866797556</v>
      </c>
      <c r="AQ21" s="84">
        <f t="shared" si="1"/>
        <v>-226402.06563987889</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-4500</v>
      </c>
      <c r="E25" s="84">
        <f t="shared" si="3"/>
        <v>-4500</v>
      </c>
      <c r="F25" s="84">
        <f t="shared" si="3"/>
        <v>-4500</v>
      </c>
      <c r="G25" s="84">
        <f t="shared" si="3"/>
        <v>-4500</v>
      </c>
      <c r="H25" s="84">
        <f t="shared" si="3"/>
        <v>-4725</v>
      </c>
      <c r="I25" s="84">
        <f t="shared" si="3"/>
        <v>-4725</v>
      </c>
      <c r="J25" s="84">
        <f t="shared" si="3"/>
        <v>-4725</v>
      </c>
      <c r="K25" s="84">
        <f t="shared" si="3"/>
        <v>-4725</v>
      </c>
      <c r="L25" s="84">
        <f t="shared" si="3"/>
        <v>-4961.2500000000009</v>
      </c>
      <c r="M25" s="84">
        <f t="shared" si="3"/>
        <v>-4961.2500000000009</v>
      </c>
      <c r="N25" s="84">
        <f t="shared" si="3"/>
        <v>-4961.2500000000009</v>
      </c>
      <c r="O25" s="84">
        <f t="shared" si="3"/>
        <v>-4961.2500000000009</v>
      </c>
      <c r="P25" s="84">
        <f t="shared" si="3"/>
        <v>-5209.3125000000009</v>
      </c>
      <c r="Q25" s="84">
        <f t="shared" si="3"/>
        <v>-5209.3125000000009</v>
      </c>
      <c r="R25" s="84">
        <f t="shared" si="3"/>
        <v>-5209.3125000000009</v>
      </c>
      <c r="S25" s="84">
        <f t="shared" si="3"/>
        <v>-5209.3125000000009</v>
      </c>
      <c r="T25" s="84">
        <f t="shared" si="3"/>
        <v>-5469.7781250000007</v>
      </c>
      <c r="U25" s="84">
        <f t="shared" si="3"/>
        <v>-5469.7781250000007</v>
      </c>
      <c r="V25" s="84">
        <f t="shared" si="3"/>
        <v>-5469.7781250000007</v>
      </c>
      <c r="W25" s="84">
        <f t="shared" si="3"/>
        <v>-5469.7781250000007</v>
      </c>
      <c r="X25" s="84">
        <f t="shared" si="3"/>
        <v>-5743.2670312500022</v>
      </c>
      <c r="Y25" s="84">
        <f t="shared" si="3"/>
        <v>-5743.2670312500022</v>
      </c>
      <c r="Z25" s="84">
        <f t="shared" si="3"/>
        <v>-5743.2670312500022</v>
      </c>
      <c r="AA25" s="84">
        <f t="shared" si="3"/>
        <v>-5743.2670312500022</v>
      </c>
      <c r="AB25" s="84">
        <f t="shared" si="3"/>
        <v>-6030.430382812503</v>
      </c>
      <c r="AC25" s="84">
        <f t="shared" si="3"/>
        <v>-6030.430382812503</v>
      </c>
      <c r="AD25" s="84">
        <f t="shared" si="3"/>
        <v>-6030.430382812503</v>
      </c>
      <c r="AE25" s="84">
        <f t="shared" si="3"/>
        <v>-6030.430382812503</v>
      </c>
      <c r="AF25" s="84">
        <f t="shared" si="3"/>
        <v>-6331.9519019531272</v>
      </c>
      <c r="AG25" s="84">
        <f t="shared" si="3"/>
        <v>-6331.9519019531272</v>
      </c>
      <c r="AH25" s="84">
        <f t="shared" si="3"/>
        <v>-6331.9519019531272</v>
      </c>
      <c r="AI25" s="84">
        <f t="shared" si="3"/>
        <v>-6331.9519019531272</v>
      </c>
      <c r="AJ25" s="84">
        <f t="shared" si="3"/>
        <v>-6648.5494970507852</v>
      </c>
      <c r="AK25" s="84">
        <f t="shared" si="3"/>
        <v>-6648.5494970507852</v>
      </c>
      <c r="AL25" s="84">
        <f t="shared" si="3"/>
        <v>-6648.5494970507852</v>
      </c>
      <c r="AM25" s="84">
        <f t="shared" si="3"/>
        <v>-6648.5494970507852</v>
      </c>
      <c r="AN25" s="84">
        <f t="shared" si="3"/>
        <v>-6980.9769719033247</v>
      </c>
      <c r="AO25" s="84">
        <f t="shared" si="3"/>
        <v>-6980.9769719033247</v>
      </c>
      <c r="AP25" s="84">
        <f t="shared" si="3"/>
        <v>-6980.9769719033247</v>
      </c>
      <c r="AQ25" s="84">
        <f t="shared" si="3"/>
        <v>-6980.9769719033247</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'151C-NR'!G115</f>
        <v>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'151C-NR'!S120*1000</f>
        <v>-90000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EDAD4A37-DA80-46FA-9236-9334EEBFB5C4}">
      <formula1>"Y,N"</formula1>
    </dataValidation>
  </dataValidations>
  <pageMargins left="0.75" right="0.75" top="1" bottom="1" header="0.5" footer="0.5"/>
  <pageSetup paperSize="9" orientation="portrait" r:id="rId2"/>
  <headerFooter alignWithMargins="0"/>
  <legacyDrawing r:id="rId3"/>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1B02E-C241-4F97-AE3A-A9DC7F7B2FA1}">
  <sheetPr codeName="Sheet38">
    <tabColor indexed="53"/>
  </sheetPr>
  <dimension ref="A4:M64"/>
  <sheetViews>
    <sheetView view="pageBreakPreview" topLeftCell="A3"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'151C-NR'!C60</f>
        <v>20094</v>
      </c>
    </row>
    <row r="10" spans="1:13" ht="13">
      <c r="A10" s="109" t="s">
        <v>842</v>
      </c>
      <c r="B10" s="1007" t="s">
        <v>843</v>
      </c>
      <c r="C10" s="1008"/>
      <c r="D10" s="1008"/>
      <c r="E10" s="1008"/>
      <c r="F10" s="1008"/>
      <c r="G10" s="1008"/>
      <c r="H10" s="1008"/>
      <c r="I10" s="1008"/>
    </row>
    <row r="11" spans="1:13" ht="13">
      <c r="A11" s="109" t="s">
        <v>844</v>
      </c>
      <c r="B11" s="1009" t="str">
        <f>'151C-NR'!A2</f>
        <v>151 Clarence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SUM('151C-IS'!C12:F12)</f>
        <v>0</v>
      </c>
      <c r="D25" s="119">
        <f>SUM('151C-IS'!D12:G12)</f>
        <v>0</v>
      </c>
      <c r="E25" s="119">
        <f>SUM('151C-IS'!H12:K12)</f>
        <v>0</v>
      </c>
      <c r="F25" s="119">
        <f>SUM('151C-IS'!L12:O12)</f>
        <v>0</v>
      </c>
      <c r="G25" s="119">
        <f>SUM('151C-IS'!P12:S12)</f>
        <v>0</v>
      </c>
      <c r="H25" s="119">
        <f>SUM('151C-IS'!T12:W12)</f>
        <v>0</v>
      </c>
      <c r="I25" s="119">
        <f>SUM('151C-IS'!X12:AA12)</f>
        <v>0</v>
      </c>
      <c r="J25" s="119">
        <f>SUM('151C-IS'!AB12:AE12)</f>
        <v>0</v>
      </c>
      <c r="K25" s="119">
        <f>SUM('151C-IS'!AF12:AI12)</f>
        <v>0</v>
      </c>
      <c r="L25" s="119">
        <f>SUM('151C-IS'!AJ12:AM12)</f>
        <v>0</v>
      </c>
      <c r="M25" s="119">
        <f>SUM('151C-IS'!AN12:AQ12)</f>
        <v>0</v>
      </c>
    </row>
    <row r="26" spans="1:13">
      <c r="A26" s="106" t="s">
        <v>804</v>
      </c>
      <c r="C26" s="120"/>
      <c r="D26" s="119">
        <f>SUM('151C-IS'!D13:G13)</f>
        <v>0</v>
      </c>
      <c r="E26" s="119">
        <f>SUM('151C-IS'!H13:K13)</f>
        <v>0</v>
      </c>
      <c r="F26" s="119">
        <f>SUM('151C-IS'!L13:O13)</f>
        <v>0</v>
      </c>
      <c r="G26" s="119">
        <f>SUM('151C-IS'!P13:S13)</f>
        <v>0</v>
      </c>
      <c r="H26" s="119">
        <f>SUM('151C-IS'!T13:W13)</f>
        <v>0</v>
      </c>
      <c r="I26" s="119">
        <f>SUM('151C-IS'!X13:AA13)</f>
        <v>0</v>
      </c>
      <c r="J26" s="119">
        <f>SUM('151C-IS'!AB13:AE13)</f>
        <v>0</v>
      </c>
      <c r="K26" s="119">
        <f>SUM('151C-IS'!AF13:AI13)</f>
        <v>0</v>
      </c>
      <c r="L26" s="119">
        <f>SUM('151C-IS'!AJ13:AM13)</f>
        <v>0</v>
      </c>
      <c r="M26" s="119">
        <f>SUM('151C-IS'!AN13:AQ13)</f>
        <v>0</v>
      </c>
    </row>
    <row r="27" spans="1:13">
      <c r="A27" s="106" t="s">
        <v>805</v>
      </c>
      <c r="C27" s="120"/>
      <c r="D27" s="119">
        <f>SUM('151C-IS'!D15:G15)+SUM('151C-IS'!D14:G14)</f>
        <v>-18000</v>
      </c>
      <c r="E27" s="119">
        <f>SUM('151C-IS'!H15:K15)+SUM('151C-IS'!H14:K14)</f>
        <v>-18900</v>
      </c>
      <c r="F27" s="119">
        <f>SUM('151C-IS'!L15:O15)+SUM('151C-IS'!L14:O14)</f>
        <v>-19845.000000000004</v>
      </c>
      <c r="G27" s="119">
        <f>SUM('151C-IS'!P15:S15)+SUM('151C-IS'!P14:S14)</f>
        <v>-20837.250000000004</v>
      </c>
      <c r="H27" s="119">
        <f>SUM('151C-IS'!T15:W15)+SUM('151C-IS'!T14:W14)</f>
        <v>-21879.112500000003</v>
      </c>
      <c r="I27" s="119">
        <f>SUM('151C-IS'!X15:AA15)+SUM('151C-IS'!X14:AA14)</f>
        <v>-22973.068125000009</v>
      </c>
      <c r="J27" s="119">
        <f>SUM('151C-IS'!AB15:AE15)+SUM('151C-IS'!AB14:AE14)</f>
        <v>-24121.721531250012</v>
      </c>
      <c r="K27" s="119">
        <f>SUM('151C-IS'!AF15:AI15)+SUM('151C-IS'!AF14:AI14)</f>
        <v>-25327.807607812509</v>
      </c>
      <c r="L27" s="119">
        <f>SUM('151C-IS'!AJ15:AM15)+SUM('151C-IS'!AJ14:AM14)</f>
        <v>-26594.197988203141</v>
      </c>
      <c r="M27" s="119">
        <f>SUM('151C-IS'!AN15:AQ15)+SUM('151C-IS'!AN14:AQ14)</f>
        <v>-27923.907887613299</v>
      </c>
    </row>
    <row r="28" spans="1:13">
      <c r="A28" s="106" t="s">
        <v>808</v>
      </c>
      <c r="C28" s="120"/>
      <c r="D28" s="119">
        <f>SUM('151C-IS'!D16:G16)</f>
        <v>0</v>
      </c>
      <c r="E28" s="119">
        <f>SUM('151C-IS'!H16:K16)</f>
        <v>0</v>
      </c>
      <c r="F28" s="119">
        <f>SUM('151C-IS'!L16:O16)</f>
        <v>0</v>
      </c>
      <c r="G28" s="119">
        <f>SUM('151C-IS'!P16:S16)</f>
        <v>0</v>
      </c>
      <c r="H28" s="119">
        <f>SUM('151C-IS'!T16:W16)</f>
        <v>0</v>
      </c>
      <c r="I28" s="119">
        <f>SUM('151C-IS'!X16:AA16)</f>
        <v>0</v>
      </c>
      <c r="J28" s="119">
        <f>SUM('151C-IS'!AB16:AE16)</f>
        <v>0</v>
      </c>
      <c r="K28" s="119">
        <f>SUM('151C-IS'!AF16:AI16)</f>
        <v>0</v>
      </c>
      <c r="L28" s="119">
        <f>SUM('151C-IS'!AJ16:AM16)</f>
        <v>0</v>
      </c>
      <c r="M28" s="119">
        <f>SUM('151C-IS'!AN16:AQ16)</f>
        <v>0</v>
      </c>
    </row>
    <row r="29" spans="1:13">
      <c r="A29" s="106" t="s">
        <v>809</v>
      </c>
      <c r="C29" s="120"/>
      <c r="D29" s="119">
        <f>SUM('151C-IS'!D17:G17)</f>
        <v>0</v>
      </c>
      <c r="E29" s="119">
        <f>SUM('151C-IS'!H17:K17)</f>
        <v>0</v>
      </c>
      <c r="F29" s="119">
        <f>SUM('151C-IS'!L17:O17)</f>
        <v>0</v>
      </c>
      <c r="G29" s="119">
        <f>SUM('151C-IS'!P17:S17)</f>
        <v>0</v>
      </c>
      <c r="H29" s="119">
        <f>SUM('151C-IS'!T17:W17)</f>
        <v>0</v>
      </c>
      <c r="I29" s="119">
        <f>SUM('151C-IS'!X17:AA17)</f>
        <v>0</v>
      </c>
      <c r="J29" s="119">
        <f>SUM('151C-IS'!AB17:AE17)</f>
        <v>0</v>
      </c>
      <c r="K29" s="119">
        <f>SUM('151C-IS'!AF17:AI17)</f>
        <v>0</v>
      </c>
      <c r="L29" s="119">
        <f>SUM('151C-IS'!AJ17:AM17)</f>
        <v>0</v>
      </c>
      <c r="M29" s="119">
        <f>SUM('151C-IS'!AN17:AQ17)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-18000</v>
      </c>
      <c r="E31" s="125">
        <f t="shared" si="0"/>
        <v>-18900</v>
      </c>
      <c r="F31" s="125">
        <f t="shared" si="0"/>
        <v>-19845.000000000004</v>
      </c>
      <c r="G31" s="125">
        <f t="shared" si="0"/>
        <v>-20837.250000000004</v>
      </c>
      <c r="H31" s="125">
        <f t="shared" si="0"/>
        <v>-21879.112500000003</v>
      </c>
      <c r="I31" s="125">
        <f t="shared" si="0"/>
        <v>-22973.068125000009</v>
      </c>
      <c r="J31" s="125">
        <f t="shared" si="0"/>
        <v>-24121.721531250012</v>
      </c>
      <c r="K31" s="125">
        <f t="shared" si="0"/>
        <v>-25327.807607812509</v>
      </c>
      <c r="L31" s="125">
        <f t="shared" si="0"/>
        <v>-26594.197988203141</v>
      </c>
      <c r="M31" s="125">
        <f t="shared" si="0"/>
        <v>-27923.907887613299</v>
      </c>
    </row>
    <row r="32" spans="1:13" ht="13" thickTop="1">
      <c r="A32" s="64" t="s">
        <v>860</v>
      </c>
      <c r="B32" s="79"/>
      <c r="C32" s="77"/>
      <c r="D32" s="152">
        <f>D31/$I$9</f>
        <v>-0.89578978799641684</v>
      </c>
      <c r="E32" s="152">
        <f t="shared" ref="E32:M32" si="1">E31/$I$9</f>
        <v>-0.9405792773962377</v>
      </c>
      <c r="F32" s="152">
        <f t="shared" si="1"/>
        <v>-0.98760824126604974</v>
      </c>
      <c r="G32" s="152">
        <f t="shared" si="1"/>
        <v>-1.0369886533293522</v>
      </c>
      <c r="H32" s="152">
        <f t="shared" si="1"/>
        <v>-1.0888380859958198</v>
      </c>
      <c r="I32" s="152">
        <f t="shared" si="1"/>
        <v>-1.143279990295611</v>
      </c>
      <c r="J32" s="152">
        <f t="shared" si="1"/>
        <v>-1.2004439898103918</v>
      </c>
      <c r="K32" s="152">
        <f t="shared" si="1"/>
        <v>-1.2604661893009113</v>
      </c>
      <c r="L32" s="152">
        <f t="shared" si="1"/>
        <v>-1.3234894987659571</v>
      </c>
      <c r="M32" s="152">
        <f t="shared" si="1"/>
        <v>-1.3896639737042549</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'151C-NR'!G67</f>
        <v>CURRENT</v>
      </c>
      <c r="J36" s="127" t="str">
        <f>'151C-NR'!H67</f>
        <v>FY25</v>
      </c>
      <c r="K36" s="127" t="str">
        <f>'151C-NR'!I67</f>
        <v>FY26</v>
      </c>
      <c r="L36" s="127" t="str">
        <f>'151C-NR'!J67</f>
        <v>FY27</v>
      </c>
      <c r="M36" s="127" t="str">
        <f>'151C-NR'!K67</f>
        <v>FY28</v>
      </c>
    </row>
    <row r="37" spans="1:13" ht="25.5">
      <c r="A37" s="128" t="s">
        <v>863</v>
      </c>
      <c r="B37" s="129" t="s">
        <v>864</v>
      </c>
      <c r="D37" s="117"/>
      <c r="E37" s="130"/>
      <c r="F37" s="117"/>
      <c r="G37" s="131" t="s">
        <v>865</v>
      </c>
      <c r="H37" s="132">
        <f>'151C-NR'!S123</f>
        <v>5.6779709728409253</v>
      </c>
      <c r="I37" s="132">
        <f>'151C-NR'!S124</f>
        <v>5.6779709728409253</v>
      </c>
      <c r="J37" s="132">
        <f>'151C-NR'!S125</f>
        <v>5.6779709728409253</v>
      </c>
      <c r="K37" s="132">
        <f>'151C-NR'!S126</f>
        <v>5.6779709728409253</v>
      </c>
      <c r="L37" s="117"/>
    </row>
    <row r="38" spans="1:13" ht="13">
      <c r="G38" s="131" t="s">
        <v>866</v>
      </c>
      <c r="I38" s="133">
        <f>'151C-NR'!G115</f>
        <v>0</v>
      </c>
      <c r="J38" s="133"/>
      <c r="K38" s="133"/>
    </row>
    <row r="39" spans="1:13" ht="13">
      <c r="A39" s="106" t="s">
        <v>867</v>
      </c>
      <c r="B39" s="134">
        <v>0</v>
      </c>
      <c r="E39" s="117"/>
      <c r="F39" s="135"/>
      <c r="G39" s="131" t="s">
        <v>868</v>
      </c>
      <c r="I39" s="136" t="e">
        <f>IRR(C31:M31)</f>
        <v>#NUM!</v>
      </c>
    </row>
    <row r="40" spans="1:13" ht="13">
      <c r="A40" s="128"/>
      <c r="B40" s="137"/>
      <c r="G40" s="131" t="s">
        <v>869</v>
      </c>
      <c r="I40" s="133">
        <f>B43/B41-B43</f>
        <v>-279229.21428918408</v>
      </c>
    </row>
    <row r="41" spans="1:13">
      <c r="A41" s="106" t="s">
        <v>870</v>
      </c>
      <c r="B41" s="138">
        <v>7.4999999999999997E-2</v>
      </c>
    </row>
    <row r="42" spans="1:13">
      <c r="A42" s="117"/>
    </row>
    <row r="43" spans="1:13">
      <c r="A43" s="139" t="s">
        <v>871</v>
      </c>
      <c r="B43" s="140">
        <f>SUMIF(D31:M31,"&lt;&gt;0")/COUNTIF(D31:M31,"&lt;&gt;0")</f>
        <v>-22640.206563987897</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5.67797097284093 Stars</v>
      </c>
      <c r="G59" s="146">
        <f t="shared" si="2"/>
        <v>5.6779709728409253</v>
      </c>
      <c r="H59" s="146">
        <f t="shared" si="2"/>
        <v>5.6779709728409253</v>
      </c>
      <c r="I59" s="146">
        <f t="shared" si="2"/>
        <v>5.6779709728409253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f>I40</f>
        <v>-279229.21428918408</v>
      </c>
      <c r="H64" s="143"/>
      <c r="I64" s="143"/>
      <c r="J64" s="143"/>
    </row>
  </sheetData>
  <customSheetViews>
    <customSheetView guid="{0FAFE012-8D9E-4ED0-86A4-A997E430971B}" scale="130" showPageBreaks="1" printArea="1" state="hidden" view="pageBreakPreview" topLeftCell="A3">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9D5D1B6E-CE18-4351-A68E-76B5245236B1}">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DF7A0430-57A2-455D-96A3-31F35D83E3DF}">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500E4-900B-44F2-9CDA-543F16FF2C4C}">
  <sheetPr codeName="Sheet40">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22631.625000000004</v>
      </c>
      <c r="E15" s="81">
        <f>(0.25*$F$28*$J29)*(1-$B$6+$B$6/2)</f>
        <v>22631.625000000004</v>
      </c>
      <c r="F15" s="81">
        <f>(0.25*$F$28*$J29)*(1-$B$6+$B$6/2)</f>
        <v>22631.625000000004</v>
      </c>
      <c r="G15" s="81">
        <f>(0.25*$F$28*$J29)*(1-$B$6+$B$6/2)</f>
        <v>22631.625000000004</v>
      </c>
      <c r="H15" s="86">
        <f>(0.25*$F$28*$K29)*(1-$B$6+$B$6/2)</f>
        <v>23763.206250000007</v>
      </c>
      <c r="I15" s="86">
        <f>(0.25*$F$28*$K29)*(1-$B$6+$B$6/2)</f>
        <v>23763.206250000007</v>
      </c>
      <c r="J15" s="86">
        <f>(0.25*$F$28*$K29)*(1-$B$6+$B$6/2)</f>
        <v>23763.206250000007</v>
      </c>
      <c r="K15" s="86">
        <f>(0.25*$F$28*$K29)*(1-$B$6+$B$6/2)</f>
        <v>23763.206250000007</v>
      </c>
      <c r="L15" s="86">
        <f>(0.25*$F$28*$L29)*(1-$B$6+$B$6/2)</f>
        <v>24951.366562500007</v>
      </c>
      <c r="M15" s="86">
        <f>(0.25*$F$28*$L29)*(1-$B$6+$B$6/2)</f>
        <v>24951.366562500007</v>
      </c>
      <c r="N15" s="86">
        <f>(0.25*$F$28*$L29)*(1-$B$6+$B$6/2)</f>
        <v>24951.366562500007</v>
      </c>
      <c r="O15" s="86">
        <f>(0.25*$F$28*$L29)*(1-$B$6+$B$6/2)</f>
        <v>24951.366562500007</v>
      </c>
      <c r="P15" s="86">
        <f>(0.25*$F$28*$M29)*(1-$B$6+$B$6/2)</f>
        <v>26198.934890625009</v>
      </c>
      <c r="Q15" s="86">
        <f>(0.25*$F$28*$M29)*(1-$B$6+$B$6/2)</f>
        <v>26198.934890625009</v>
      </c>
      <c r="R15" s="86">
        <f>(0.25*$F$28*$M29)*(1-$B$6+$B$6/2)</f>
        <v>26198.934890625009</v>
      </c>
      <c r="S15" s="86">
        <f>(0.25*$F$28*$M29)*(1-$B$6+$B$6/2)</f>
        <v>26198.934890625009</v>
      </c>
      <c r="T15" s="86">
        <f>(0.25*$F$28*$N29)*(1-$B$6+$B$6/2)</f>
        <v>27508.88163515626</v>
      </c>
      <c r="U15" s="86">
        <f>(0.25*$F$28*$N29)*(1-$B$6+$B$6/2)</f>
        <v>27508.88163515626</v>
      </c>
      <c r="V15" s="86">
        <f>(0.25*$F$28*$N29)*(1-$B$6+$B$6/2)</f>
        <v>27508.88163515626</v>
      </c>
      <c r="W15" s="86">
        <f>(0.25*$F$28*$N29)*(1-$B$6+$B$6/2)</f>
        <v>27508.88163515626</v>
      </c>
      <c r="X15" s="86">
        <f>(0.25*$F$28*$O29)*(1-$B$6+$B$6/2)</f>
        <v>28884.325716914074</v>
      </c>
      <c r="Y15" s="86">
        <f>(0.25*$F$28*$O29)*(1-$B$6+$B$6/2)</f>
        <v>28884.325716914074</v>
      </c>
      <c r="Z15" s="86">
        <f>(0.25*$F$28*$O29)*(1-$B$6+$B$6/2)</f>
        <v>28884.325716914074</v>
      </c>
      <c r="AA15" s="86">
        <f>(0.25*$F$28*$O29)*(1-$B$6+$B$6/2)</f>
        <v>28884.325716914074</v>
      </c>
      <c r="AB15" s="86">
        <f>(0.25*$F$28*$P29)*(1-$B$6+$B$6/2)</f>
        <v>30328.542002759783</v>
      </c>
      <c r="AC15" s="86">
        <f>(0.25*$F$28*$P29)*(1-$B$6+$B$6/2)</f>
        <v>30328.542002759783</v>
      </c>
      <c r="AD15" s="86">
        <f>(0.25*$F$28*$P29)*(1-$B$6+$B$6/2)</f>
        <v>30328.542002759783</v>
      </c>
      <c r="AE15" s="86">
        <f>(0.25*$F$28*$P29)*(1-$B$6+$B$6/2)</f>
        <v>30328.542002759783</v>
      </c>
      <c r="AF15" s="86">
        <f>(0.25*$F$28*$Q29)*(1-$B$6+$B$6/2)</f>
        <v>31844.969102897772</v>
      </c>
      <c r="AG15" s="86">
        <f>(0.25*$F$28*$Q29)*(1-$B$6+$B$6/2)</f>
        <v>31844.969102897772</v>
      </c>
      <c r="AH15" s="86">
        <f>(0.25*$F$28*$Q29)*(1-$B$6+$B$6/2)</f>
        <v>31844.969102897772</v>
      </c>
      <c r="AI15" s="86">
        <f>(0.25*$F$28*$Q29)*(1-$B$6+$B$6/2)</f>
        <v>31844.969102897772</v>
      </c>
      <c r="AJ15" s="86">
        <f>(0.25*$F$28*$R29)*(1-$B$6+$B$6/2)</f>
        <v>33437.217558042663</v>
      </c>
      <c r="AK15" s="86">
        <f>(0.25*$F$28*$R29)*(1-$B$6+$B$6/2)</f>
        <v>33437.217558042663</v>
      </c>
      <c r="AL15" s="86">
        <f>(0.25*$F$28*$R29)*(1-$B$6+$B$6/2)</f>
        <v>33437.217558042663</v>
      </c>
      <c r="AM15" s="86">
        <f>(0.25*$F$28*$R29)*(1-$B$6+$B$6/2)</f>
        <v>33437.217558042663</v>
      </c>
      <c r="AN15" s="86">
        <f>(0.25*$F$28*$S29)*(1-$B$6+$B$6/2)</f>
        <v>35109.078435944801</v>
      </c>
      <c r="AO15" s="86">
        <f>(0.25*$F$28*$S29)*(1-$B$6+$B$6/2)</f>
        <v>35109.078435944801</v>
      </c>
      <c r="AP15" s="86">
        <f>(0.25*$F$28*$S29)*(1-$B$6+$B$6/2)</f>
        <v>35109.078435944801</v>
      </c>
      <c r="AQ15" s="86">
        <f>(0.25*$F$28*$S29)*(1-$B$6+$B$6/2)</f>
        <v>35109.078435944801</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22631.625000000004</v>
      </c>
      <c r="E19" s="92">
        <f t="shared" si="0"/>
        <v>22631.625000000004</v>
      </c>
      <c r="F19" s="92">
        <f t="shared" si="0"/>
        <v>22631.625000000004</v>
      </c>
      <c r="G19" s="90">
        <f t="shared" si="0"/>
        <v>22631.625000000004</v>
      </c>
      <c r="H19" s="91">
        <f t="shared" si="0"/>
        <v>23763.206250000007</v>
      </c>
      <c r="I19" s="92">
        <f t="shared" si="0"/>
        <v>23763.206250000007</v>
      </c>
      <c r="J19" s="92">
        <f t="shared" si="0"/>
        <v>23763.206250000007</v>
      </c>
      <c r="K19" s="90">
        <f t="shared" si="0"/>
        <v>23763.206250000007</v>
      </c>
      <c r="L19" s="91">
        <f t="shared" si="0"/>
        <v>24951.366562500007</v>
      </c>
      <c r="M19" s="92">
        <f t="shared" si="0"/>
        <v>24951.366562500007</v>
      </c>
      <c r="N19" s="92">
        <f t="shared" si="0"/>
        <v>24951.366562500007</v>
      </c>
      <c r="O19" s="90">
        <f t="shared" si="0"/>
        <v>24951.366562500007</v>
      </c>
      <c r="P19" s="91">
        <f t="shared" si="0"/>
        <v>26198.934890625009</v>
      </c>
      <c r="Q19" s="92">
        <f t="shared" si="0"/>
        <v>26198.934890625009</v>
      </c>
      <c r="R19" s="92">
        <f t="shared" si="0"/>
        <v>26198.934890625009</v>
      </c>
      <c r="S19" s="90">
        <f t="shared" si="0"/>
        <v>26198.934890625009</v>
      </c>
      <c r="T19" s="91">
        <f t="shared" si="0"/>
        <v>27508.88163515626</v>
      </c>
      <c r="U19" s="92">
        <f t="shared" si="0"/>
        <v>27508.88163515626</v>
      </c>
      <c r="V19" s="92">
        <f t="shared" si="0"/>
        <v>27508.88163515626</v>
      </c>
      <c r="W19" s="90">
        <f t="shared" si="0"/>
        <v>27508.88163515626</v>
      </c>
      <c r="X19" s="91">
        <f t="shared" si="0"/>
        <v>28884.325716914074</v>
      </c>
      <c r="Y19" s="92">
        <f t="shared" si="0"/>
        <v>28884.325716914074</v>
      </c>
      <c r="Z19" s="92">
        <f t="shared" si="0"/>
        <v>28884.325716914074</v>
      </c>
      <c r="AA19" s="90">
        <f t="shared" si="0"/>
        <v>28884.325716914074</v>
      </c>
      <c r="AB19" s="91">
        <f t="shared" si="0"/>
        <v>30328.542002759783</v>
      </c>
      <c r="AC19" s="92">
        <f t="shared" si="0"/>
        <v>30328.542002759783</v>
      </c>
      <c r="AD19" s="92">
        <f t="shared" si="0"/>
        <v>30328.542002759783</v>
      </c>
      <c r="AE19" s="90">
        <f t="shared" si="0"/>
        <v>30328.542002759783</v>
      </c>
      <c r="AF19" s="91">
        <f t="shared" si="0"/>
        <v>31844.969102897772</v>
      </c>
      <c r="AG19" s="92">
        <f t="shared" si="0"/>
        <v>31844.969102897772</v>
      </c>
      <c r="AH19" s="92">
        <f t="shared" si="0"/>
        <v>31844.969102897772</v>
      </c>
      <c r="AI19" s="90">
        <f t="shared" si="0"/>
        <v>31844.969102897772</v>
      </c>
      <c r="AJ19" s="91">
        <f t="shared" si="0"/>
        <v>33437.217558042663</v>
      </c>
      <c r="AK19" s="92">
        <f t="shared" si="0"/>
        <v>33437.217558042663</v>
      </c>
      <c r="AL19" s="92">
        <f t="shared" si="0"/>
        <v>33437.217558042663</v>
      </c>
      <c r="AM19" s="90">
        <f t="shared" si="0"/>
        <v>33437.217558042663</v>
      </c>
      <c r="AN19" s="91">
        <f t="shared" si="0"/>
        <v>35109.078435944801</v>
      </c>
      <c r="AO19" s="92">
        <f t="shared" si="0"/>
        <v>35109.078435944801</v>
      </c>
      <c r="AP19" s="92">
        <f t="shared" si="0"/>
        <v>35109.078435944801</v>
      </c>
      <c r="AQ19" s="90">
        <f t="shared" si="0"/>
        <v>35109.078435944801</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22631.625000000004</v>
      </c>
      <c r="E21" s="84">
        <f t="shared" si="1"/>
        <v>45263.250000000007</v>
      </c>
      <c r="F21" s="84">
        <f t="shared" si="1"/>
        <v>67894.875000000015</v>
      </c>
      <c r="G21" s="84">
        <f t="shared" si="1"/>
        <v>90526.500000000015</v>
      </c>
      <c r="H21" s="84">
        <f t="shared" si="1"/>
        <v>114289.70625000002</v>
      </c>
      <c r="I21" s="84">
        <f t="shared" si="1"/>
        <v>138052.91250000003</v>
      </c>
      <c r="J21" s="84">
        <f t="shared" si="1"/>
        <v>161816.11875000005</v>
      </c>
      <c r="K21" s="84">
        <f t="shared" si="1"/>
        <v>185579.32500000007</v>
      </c>
      <c r="L21" s="84">
        <f t="shared" si="1"/>
        <v>210530.69156250008</v>
      </c>
      <c r="M21" s="84">
        <f t="shared" si="1"/>
        <v>235482.0581250001</v>
      </c>
      <c r="N21" s="84">
        <f t="shared" si="1"/>
        <v>260433.42468750011</v>
      </c>
      <c r="O21" s="84">
        <f t="shared" si="1"/>
        <v>285384.79125000013</v>
      </c>
      <c r="P21" s="84">
        <f t="shared" si="1"/>
        <v>311583.72614062513</v>
      </c>
      <c r="Q21" s="84">
        <f t="shared" si="1"/>
        <v>337782.66103125014</v>
      </c>
      <c r="R21" s="84">
        <f t="shared" si="1"/>
        <v>363981.59592187515</v>
      </c>
      <c r="S21" s="84">
        <f t="shared" si="1"/>
        <v>390180.53081250016</v>
      </c>
      <c r="T21" s="84">
        <f t="shared" si="1"/>
        <v>417689.41244765645</v>
      </c>
      <c r="U21" s="84">
        <f t="shared" si="1"/>
        <v>445198.29408281273</v>
      </c>
      <c r="V21" s="84">
        <f t="shared" si="1"/>
        <v>472707.17571796902</v>
      </c>
      <c r="W21" s="84">
        <f t="shared" si="1"/>
        <v>500216.0573531253</v>
      </c>
      <c r="X21" s="84">
        <f t="shared" si="1"/>
        <v>529100.38307003933</v>
      </c>
      <c r="Y21" s="84">
        <f t="shared" si="1"/>
        <v>557984.70878695336</v>
      </c>
      <c r="Z21" s="84">
        <f t="shared" si="1"/>
        <v>586869.03450386738</v>
      </c>
      <c r="AA21" s="84">
        <f t="shared" si="1"/>
        <v>615753.36022078141</v>
      </c>
      <c r="AB21" s="84">
        <f t="shared" si="1"/>
        <v>646081.90222354117</v>
      </c>
      <c r="AC21" s="84">
        <f t="shared" si="1"/>
        <v>676410.44422630093</v>
      </c>
      <c r="AD21" s="84">
        <f t="shared" si="1"/>
        <v>706738.98622906068</v>
      </c>
      <c r="AE21" s="84">
        <f t="shared" si="1"/>
        <v>737067.52823182044</v>
      </c>
      <c r="AF21" s="84">
        <f t="shared" si="1"/>
        <v>768912.49733471824</v>
      </c>
      <c r="AG21" s="84">
        <f t="shared" si="1"/>
        <v>800757.46643761604</v>
      </c>
      <c r="AH21" s="84">
        <f t="shared" si="1"/>
        <v>832602.43554051383</v>
      </c>
      <c r="AI21" s="84">
        <f t="shared" si="1"/>
        <v>864447.40464341163</v>
      </c>
      <c r="AJ21" s="84">
        <f t="shared" si="1"/>
        <v>897884.62220145424</v>
      </c>
      <c r="AK21" s="84">
        <f t="shared" si="1"/>
        <v>931321.83975949686</v>
      </c>
      <c r="AL21" s="84">
        <f t="shared" si="1"/>
        <v>964759.05731753947</v>
      </c>
      <c r="AM21" s="84">
        <f t="shared" si="1"/>
        <v>998196.27487558208</v>
      </c>
      <c r="AN21" s="84">
        <f t="shared" si="1"/>
        <v>1033305.3533115268</v>
      </c>
      <c r="AO21" s="84">
        <f t="shared" si="1"/>
        <v>1068414.4317474717</v>
      </c>
      <c r="AP21" s="84">
        <f t="shared" si="1"/>
        <v>1103523.5101834165</v>
      </c>
      <c r="AQ21" s="84">
        <f t="shared" si="1"/>
        <v>1138632.5886193614</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22631.625000000004</v>
      </c>
      <c r="E25" s="84">
        <f t="shared" si="3"/>
        <v>22631.625000000004</v>
      </c>
      <c r="F25" s="84">
        <f t="shared" si="3"/>
        <v>22631.625000000004</v>
      </c>
      <c r="G25" s="84">
        <f t="shared" si="3"/>
        <v>22631.625000000004</v>
      </c>
      <c r="H25" s="84">
        <f t="shared" si="3"/>
        <v>23763.206250000007</v>
      </c>
      <c r="I25" s="84">
        <f t="shared" si="3"/>
        <v>23763.206250000007</v>
      </c>
      <c r="J25" s="84">
        <f t="shared" si="3"/>
        <v>23763.206250000007</v>
      </c>
      <c r="K25" s="84">
        <f t="shared" si="3"/>
        <v>23763.206250000007</v>
      </c>
      <c r="L25" s="84">
        <f t="shared" si="3"/>
        <v>24951.366562500007</v>
      </c>
      <c r="M25" s="84">
        <f t="shared" si="3"/>
        <v>24951.366562500007</v>
      </c>
      <c r="N25" s="84">
        <f t="shared" si="3"/>
        <v>24951.366562500007</v>
      </c>
      <c r="O25" s="84">
        <f t="shared" si="3"/>
        <v>24951.366562500007</v>
      </c>
      <c r="P25" s="84">
        <f t="shared" si="3"/>
        <v>26198.934890625009</v>
      </c>
      <c r="Q25" s="84">
        <f t="shared" si="3"/>
        <v>26198.934890625009</v>
      </c>
      <c r="R25" s="84">
        <f t="shared" si="3"/>
        <v>26198.934890625009</v>
      </c>
      <c r="S25" s="84">
        <f t="shared" si="3"/>
        <v>26198.934890625009</v>
      </c>
      <c r="T25" s="84">
        <f t="shared" si="3"/>
        <v>27508.88163515626</v>
      </c>
      <c r="U25" s="84">
        <f t="shared" si="3"/>
        <v>27508.88163515626</v>
      </c>
      <c r="V25" s="84">
        <f t="shared" si="3"/>
        <v>27508.88163515626</v>
      </c>
      <c r="W25" s="84">
        <f t="shared" si="3"/>
        <v>27508.88163515626</v>
      </c>
      <c r="X25" s="84">
        <f t="shared" si="3"/>
        <v>28884.325716914074</v>
      </c>
      <c r="Y25" s="84">
        <f t="shared" si="3"/>
        <v>28884.325716914074</v>
      </c>
      <c r="Z25" s="84">
        <f t="shared" si="3"/>
        <v>28884.325716914074</v>
      </c>
      <c r="AA25" s="84">
        <f t="shared" si="3"/>
        <v>28884.325716914074</v>
      </c>
      <c r="AB25" s="84">
        <f t="shared" si="3"/>
        <v>30328.542002759783</v>
      </c>
      <c r="AC25" s="84">
        <f t="shared" si="3"/>
        <v>30328.542002759783</v>
      </c>
      <c r="AD25" s="84">
        <f t="shared" si="3"/>
        <v>30328.542002759783</v>
      </c>
      <c r="AE25" s="84">
        <f t="shared" si="3"/>
        <v>30328.542002759783</v>
      </c>
      <c r="AF25" s="84">
        <f t="shared" si="3"/>
        <v>31844.969102897772</v>
      </c>
      <c r="AG25" s="84">
        <f t="shared" si="3"/>
        <v>31844.969102897772</v>
      </c>
      <c r="AH25" s="84">
        <f t="shared" si="3"/>
        <v>31844.969102897772</v>
      </c>
      <c r="AI25" s="84">
        <f t="shared" si="3"/>
        <v>31844.969102897772</v>
      </c>
      <c r="AJ25" s="84">
        <f t="shared" si="3"/>
        <v>33437.217558042663</v>
      </c>
      <c r="AK25" s="84">
        <f t="shared" si="3"/>
        <v>33437.217558042663</v>
      </c>
      <c r="AL25" s="84">
        <f t="shared" si="3"/>
        <v>33437.217558042663</v>
      </c>
      <c r="AM25" s="84">
        <f t="shared" si="3"/>
        <v>33437.217558042663</v>
      </c>
      <c r="AN25" s="84">
        <f t="shared" si="3"/>
        <v>35109.078435944801</v>
      </c>
      <c r="AO25" s="84">
        <f t="shared" si="3"/>
        <v>35109.078435944801</v>
      </c>
      <c r="AP25" s="84">
        <f t="shared" si="3"/>
        <v>35109.078435944801</v>
      </c>
      <c r="AQ25" s="84">
        <f t="shared" si="3"/>
        <v>35109.078435944801</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'6OC-NR'!G115</f>
        <v>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'6OC-NR'!S120*1000</f>
        <v>452632.50000000006</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8BF96D31-2C7C-4DD2-8669-A7FBE5B2BABE}">
      <formula1>"Y,N"</formula1>
    </dataValidation>
  </dataValidations>
  <pageMargins left="0.75" right="0.75" top="1" bottom="1" header="0.5" footer="0.5"/>
  <pageSetup paperSize="9" orientation="portrait" r:id="rId2"/>
  <headerFooter alignWithMargins="0"/>
  <legacyDrawing r:id="rId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EA1D7-7E35-47FF-BA8A-4AA442286608}">
  <sheetPr codeName="Sheet41">
    <tabColor indexed="53"/>
  </sheetPr>
  <dimension ref="A4:M64"/>
  <sheetViews>
    <sheetView view="pageBreakPreview" topLeftCell="A3"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'6OC-NR'!C60</f>
        <v>13004</v>
      </c>
    </row>
    <row r="10" spans="1:13" ht="13">
      <c r="A10" s="109" t="s">
        <v>842</v>
      </c>
      <c r="B10" s="1007" t="s">
        <v>843</v>
      </c>
      <c r="C10" s="1008"/>
      <c r="D10" s="1008"/>
      <c r="E10" s="1008"/>
      <c r="F10" s="1008"/>
      <c r="G10" s="1008"/>
      <c r="H10" s="1008"/>
      <c r="I10" s="1008"/>
    </row>
    <row r="11" spans="1:13" ht="13">
      <c r="A11" s="109" t="s">
        <v>844</v>
      </c>
      <c r="B11" s="1009" t="str">
        <f>'6OC-NR'!A2</f>
        <v>6 O'Connell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SUM('6O''C-IS'!C12:F12)</f>
        <v>0</v>
      </c>
      <c r="D25" s="119">
        <f>SUM('6O''C-IS'!D12:G12)</f>
        <v>0</v>
      </c>
      <c r="E25" s="119">
        <f>SUM('6O''C-IS'!H12:K12)</f>
        <v>0</v>
      </c>
      <c r="F25" s="119">
        <f>SUM('6O''C-IS'!L12:O12)</f>
        <v>0</v>
      </c>
      <c r="G25" s="119">
        <f>SUM('6O''C-IS'!P12:S12)</f>
        <v>0</v>
      </c>
      <c r="H25" s="119">
        <f>SUM('6O''C-IS'!T12:W12)</f>
        <v>0</v>
      </c>
      <c r="I25" s="119">
        <f>SUM('6O''C-IS'!X12:AA12)</f>
        <v>0</v>
      </c>
      <c r="J25" s="119">
        <f>SUM('6O''C-IS'!AB12:AE12)</f>
        <v>0</v>
      </c>
      <c r="K25" s="119">
        <f>SUM('6O''C-IS'!AF12:AI12)</f>
        <v>0</v>
      </c>
      <c r="L25" s="119">
        <f>SUM('6O''C-IS'!AJ12:AM12)</f>
        <v>0</v>
      </c>
      <c r="M25" s="119">
        <f>SUM('6O''C-IS'!AN12:AQ12)</f>
        <v>0</v>
      </c>
    </row>
    <row r="26" spans="1:13">
      <c r="A26" s="106" t="s">
        <v>804</v>
      </c>
      <c r="C26" s="120"/>
      <c r="D26" s="119">
        <f>SUM('6O''C-IS'!D13:G13)</f>
        <v>0</v>
      </c>
      <c r="E26" s="119">
        <f>SUM('6O''C-IS'!H13:K13)</f>
        <v>0</v>
      </c>
      <c r="F26" s="119">
        <f>SUM('6O''C-IS'!L13:O13)</f>
        <v>0</v>
      </c>
      <c r="G26" s="119">
        <f>SUM('6O''C-IS'!P13:S13)</f>
        <v>0</v>
      </c>
      <c r="H26" s="119">
        <f>SUM('6O''C-IS'!T13:W13)</f>
        <v>0</v>
      </c>
      <c r="I26" s="119">
        <f>SUM('6O''C-IS'!X13:AA13)</f>
        <v>0</v>
      </c>
      <c r="J26" s="119">
        <f>SUM('6O''C-IS'!AB13:AE13)</f>
        <v>0</v>
      </c>
      <c r="K26" s="119">
        <f>SUM('6O''C-IS'!AF13:AI13)</f>
        <v>0</v>
      </c>
      <c r="L26" s="119">
        <f>SUM('6O''C-IS'!AJ13:AM13)</f>
        <v>0</v>
      </c>
      <c r="M26" s="119">
        <f>SUM('6O''C-IS'!AN13:AQ13)</f>
        <v>0</v>
      </c>
    </row>
    <row r="27" spans="1:13">
      <c r="A27" s="106" t="s">
        <v>805</v>
      </c>
      <c r="C27" s="120"/>
      <c r="D27" s="119">
        <f>SUM('6O''C-IS'!D15:G15)+SUM('6O''C-IS'!D14:G14)</f>
        <v>90526.500000000015</v>
      </c>
      <c r="E27" s="119">
        <f>SUM('6O''C-IS'!H15:K15)+SUM('6O''C-IS'!H14:K14)</f>
        <v>95052.825000000026</v>
      </c>
      <c r="F27" s="119">
        <f>SUM('6O''C-IS'!L15:O15)+SUM('6O''C-IS'!L14:O14)</f>
        <v>99805.466250000027</v>
      </c>
      <c r="G27" s="119">
        <f>SUM('6O''C-IS'!P15:S15)+SUM('6O''C-IS'!P14:S14)</f>
        <v>104795.73956250004</v>
      </c>
      <c r="H27" s="119">
        <f>SUM('6O''C-IS'!T15:W15)+SUM('6O''C-IS'!T14:W14)</f>
        <v>110035.52654062504</v>
      </c>
      <c r="I27" s="119">
        <f>SUM('6O''C-IS'!X15:AA15)+SUM('6O''C-IS'!X14:AA14)</f>
        <v>115537.3028676563</v>
      </c>
      <c r="J27" s="119">
        <f>SUM('6O''C-IS'!AB15:AE15)+SUM('6O''C-IS'!AB14:AE14)</f>
        <v>121314.16801103913</v>
      </c>
      <c r="K27" s="119">
        <f>SUM('6O''C-IS'!AF15:AI15)+SUM('6O''C-IS'!AF14:AI14)</f>
        <v>127379.87641159109</v>
      </c>
      <c r="L27" s="119">
        <f>SUM('6O''C-IS'!AJ15:AM15)+SUM('6O''C-IS'!AJ14:AM14)</f>
        <v>133748.87023217065</v>
      </c>
      <c r="M27" s="119">
        <f>SUM('6O''C-IS'!AN15:AQ15)+SUM('6O''C-IS'!AN14:AQ14)</f>
        <v>140436.3137437792</v>
      </c>
    </row>
    <row r="28" spans="1:13">
      <c r="A28" s="106" t="s">
        <v>808</v>
      </c>
      <c r="C28" s="120"/>
      <c r="D28" s="119">
        <f>SUM('6O''C-IS'!D16:G16)</f>
        <v>0</v>
      </c>
      <c r="E28" s="119">
        <f>SUM('6O''C-IS'!H16:K16)</f>
        <v>0</v>
      </c>
      <c r="F28" s="119">
        <f>SUM('6O''C-IS'!L16:O16)</f>
        <v>0</v>
      </c>
      <c r="G28" s="119">
        <f>SUM('6O''C-IS'!P16:S16)</f>
        <v>0</v>
      </c>
      <c r="H28" s="119">
        <f>SUM('6O''C-IS'!T16:W16)</f>
        <v>0</v>
      </c>
      <c r="I28" s="119">
        <f>SUM('6O''C-IS'!X16:AA16)</f>
        <v>0</v>
      </c>
      <c r="J28" s="119">
        <f>SUM('6O''C-IS'!AB16:AE16)</f>
        <v>0</v>
      </c>
      <c r="K28" s="119">
        <f>SUM('6O''C-IS'!AF16:AI16)</f>
        <v>0</v>
      </c>
      <c r="L28" s="119">
        <f>SUM('6O''C-IS'!AJ16:AM16)</f>
        <v>0</v>
      </c>
      <c r="M28" s="119">
        <f>SUM('6O''C-IS'!AN16:AQ16)</f>
        <v>0</v>
      </c>
    </row>
    <row r="29" spans="1:13">
      <c r="A29" s="106" t="s">
        <v>809</v>
      </c>
      <c r="C29" s="120"/>
      <c r="D29" s="119">
        <f>SUM('6O''C-IS'!D17:G17)</f>
        <v>0</v>
      </c>
      <c r="E29" s="119">
        <f>SUM('6O''C-IS'!H17:K17)</f>
        <v>0</v>
      </c>
      <c r="F29" s="119">
        <f>SUM('6O''C-IS'!L17:O17)</f>
        <v>0</v>
      </c>
      <c r="G29" s="119">
        <f>SUM('6O''C-IS'!P17:S17)</f>
        <v>0</v>
      </c>
      <c r="H29" s="119">
        <f>SUM('6O''C-IS'!T17:W17)</f>
        <v>0</v>
      </c>
      <c r="I29" s="119">
        <f>SUM('6O''C-IS'!X17:AA17)</f>
        <v>0</v>
      </c>
      <c r="J29" s="119">
        <f>SUM('6O''C-IS'!AB17:AE17)</f>
        <v>0</v>
      </c>
      <c r="K29" s="119">
        <f>SUM('6O''C-IS'!AF17:AI17)</f>
        <v>0</v>
      </c>
      <c r="L29" s="119">
        <f>SUM('6O''C-IS'!AJ17:AM17)</f>
        <v>0</v>
      </c>
      <c r="M29" s="119">
        <f>SUM('6O''C-IS'!AN17:AQ17)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90526.500000000015</v>
      </c>
      <c r="E31" s="125">
        <f t="shared" si="0"/>
        <v>95052.825000000026</v>
      </c>
      <c r="F31" s="125">
        <f t="shared" si="0"/>
        <v>99805.466250000027</v>
      </c>
      <c r="G31" s="125">
        <f t="shared" si="0"/>
        <v>104795.73956250004</v>
      </c>
      <c r="H31" s="125">
        <f t="shared" si="0"/>
        <v>110035.52654062504</v>
      </c>
      <c r="I31" s="125">
        <f t="shared" si="0"/>
        <v>115537.3028676563</v>
      </c>
      <c r="J31" s="125">
        <f t="shared" si="0"/>
        <v>121314.16801103913</v>
      </c>
      <c r="K31" s="125">
        <f t="shared" si="0"/>
        <v>127379.87641159109</v>
      </c>
      <c r="L31" s="125">
        <f t="shared" si="0"/>
        <v>133748.87023217065</v>
      </c>
      <c r="M31" s="125">
        <f t="shared" si="0"/>
        <v>140436.3137437792</v>
      </c>
    </row>
    <row r="32" spans="1:13" ht="13" thickTop="1">
      <c r="A32" s="64" t="s">
        <v>860</v>
      </c>
      <c r="B32" s="79"/>
      <c r="C32" s="77"/>
      <c r="D32" s="152">
        <f>D31/$I$9</f>
        <v>6.9614349430944333</v>
      </c>
      <c r="E32" s="152">
        <f t="shared" ref="E32:M32" si="1">E31/$I$9</f>
        <v>7.3095066902491563</v>
      </c>
      <c r="F32" s="152">
        <f t="shared" si="1"/>
        <v>7.6749820247616141</v>
      </c>
      <c r="G32" s="152">
        <f t="shared" si="1"/>
        <v>8.0587311259996959</v>
      </c>
      <c r="H32" s="152">
        <f t="shared" si="1"/>
        <v>8.4616676822996801</v>
      </c>
      <c r="I32" s="152">
        <f t="shared" si="1"/>
        <v>8.8847510664146654</v>
      </c>
      <c r="J32" s="152">
        <f t="shared" si="1"/>
        <v>9.3289886197353997</v>
      </c>
      <c r="K32" s="152">
        <f t="shared" si="1"/>
        <v>9.7954380507221686</v>
      </c>
      <c r="L32" s="152">
        <f t="shared" si="1"/>
        <v>10.285209953258278</v>
      </c>
      <c r="M32" s="152">
        <f t="shared" si="1"/>
        <v>10.799470450921193</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'6OC-NR'!G67</f>
        <v>CURRENT</v>
      </c>
      <c r="J36" s="127" t="str">
        <f>'6OC-NR'!H67</f>
        <v>FY25</v>
      </c>
      <c r="K36" s="127" t="str">
        <f>'6OC-NR'!I67</f>
        <v>FY26</v>
      </c>
      <c r="L36" s="127" t="str">
        <f>'6OC-NR'!J67</f>
        <v>FY27</v>
      </c>
      <c r="M36" s="127" t="str">
        <f>'6OC-NR'!K67</f>
        <v>FY28</v>
      </c>
    </row>
    <row r="37" spans="1:13" ht="25.5">
      <c r="A37" s="128" t="s">
        <v>863</v>
      </c>
      <c r="B37" s="129" t="s">
        <v>864</v>
      </c>
      <c r="D37" s="117"/>
      <c r="E37" s="130"/>
      <c r="F37" s="117"/>
      <c r="G37" s="131" t="s">
        <v>865</v>
      </c>
      <c r="H37" s="132">
        <f>'6OC-NR'!S123</f>
        <v>4.7628832354859751</v>
      </c>
      <c r="I37" s="132">
        <f>'6OC-NR'!S124</f>
        <v>4.7628832354859751</v>
      </c>
      <c r="J37" s="132">
        <f>'6OC-NR'!S125</f>
        <v>4.7628832354859751</v>
      </c>
      <c r="K37" s="132">
        <f>'6OC-NR'!S126</f>
        <v>5.3353020390224728</v>
      </c>
      <c r="L37" s="117"/>
    </row>
    <row r="38" spans="1:13" ht="13">
      <c r="G38" s="131" t="s">
        <v>866</v>
      </c>
      <c r="I38" s="133">
        <f>'6OC-NR'!G115</f>
        <v>0</v>
      </c>
      <c r="J38" s="133"/>
      <c r="K38" s="133"/>
    </row>
    <row r="39" spans="1:13" ht="13">
      <c r="A39" s="106" t="s">
        <v>867</v>
      </c>
      <c r="B39" s="134">
        <v>0</v>
      </c>
      <c r="E39" s="117"/>
      <c r="F39" s="135"/>
      <c r="G39" s="131" t="s">
        <v>868</v>
      </c>
      <c r="I39" s="136" t="e">
        <f>IRR(C31:M31)</f>
        <v>#NUM!</v>
      </c>
    </row>
    <row r="40" spans="1:13" ht="13">
      <c r="A40" s="128"/>
      <c r="B40" s="137"/>
      <c r="G40" s="131" t="s">
        <v>869</v>
      </c>
      <c r="I40" s="133">
        <f>B43/B41-B43</f>
        <v>1404313.5259638794</v>
      </c>
    </row>
    <row r="41" spans="1:13">
      <c r="A41" s="106" t="s">
        <v>870</v>
      </c>
      <c r="B41" s="138">
        <v>7.4999999999999997E-2</v>
      </c>
    </row>
    <row r="42" spans="1:13">
      <c r="A42" s="117"/>
    </row>
    <row r="43" spans="1:13">
      <c r="A43" s="139" t="s">
        <v>871</v>
      </c>
      <c r="B43" s="140">
        <f>SUMIF(D31:M31,"&lt;&gt;0")/COUNTIF(D31:M31,"&lt;&gt;0")</f>
        <v>113863.25886193616</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4.76288323548598 Stars</v>
      </c>
      <c r="G59" s="146">
        <f t="shared" si="2"/>
        <v>4.7628832354859751</v>
      </c>
      <c r="H59" s="146">
        <f t="shared" si="2"/>
        <v>4.7628832354859751</v>
      </c>
      <c r="I59" s="146">
        <f t="shared" si="2"/>
        <v>5.3353020390224728</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f>I40</f>
        <v>1404313.5259638794</v>
      </c>
      <c r="H64" s="143"/>
      <c r="I64" s="143"/>
      <c r="J64" s="143"/>
    </row>
  </sheetData>
  <customSheetViews>
    <customSheetView guid="{0FAFE012-8D9E-4ED0-86A4-A997E430971B}" scale="130" showPageBreaks="1" printArea="1" state="hidden" view="pageBreakPreview" topLeftCell="A3">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693DD789-3960-4ED0-95E5-FD24D2C50027}">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A2CD2299-157E-4E0D-A29C-E105E03CCA7F}">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D42A5-5D94-4603-9C38-07AE02D42E7F}">
  <sheetPr codeName="Sheet43">
    <tabColor theme="5" tint="0.39997558519241921"/>
  </sheetPr>
  <dimension ref="A2:AQ101"/>
  <sheetViews>
    <sheetView zoomScale="85" zoomScaleNormal="85" workbookViewId="0">
      <selection activeCell="A3" sqref="A3"/>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-25000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4162.5</v>
      </c>
      <c r="E15" s="81">
        <f>(0.25*$F$28*$J29)*(1-$B$6+$B$6/2)</f>
        <v>4162.5</v>
      </c>
      <c r="F15" s="81">
        <f>(0.25*$F$28*$J29)*(1-$B$6+$B$6/2)</f>
        <v>4162.5</v>
      </c>
      <c r="G15" s="81">
        <f>(0.25*$F$28*$J29)*(1-$B$6+$B$6/2)</f>
        <v>4162.5</v>
      </c>
      <c r="H15" s="86">
        <f>(0.25*$F$28*$K29)*(1-$B$6+$B$6/2)</f>
        <v>4370.625</v>
      </c>
      <c r="I15" s="86">
        <f>(0.25*$F$28*$K29)*(1-$B$6+$B$6/2)</f>
        <v>4370.625</v>
      </c>
      <c r="J15" s="86">
        <f>(0.25*$F$28*$K29)*(1-$B$6+$B$6/2)</f>
        <v>4370.625</v>
      </c>
      <c r="K15" s="86">
        <f>(0.25*$F$28*$K29)*(1-$B$6+$B$6/2)</f>
        <v>4370.625</v>
      </c>
      <c r="L15" s="86">
        <f>(0.25*$F$28*$L29)*(1-$B$6+$B$6/2)</f>
        <v>4589.1562500000009</v>
      </c>
      <c r="M15" s="86">
        <f>(0.25*$F$28*$L29)*(1-$B$6+$B$6/2)</f>
        <v>4589.1562500000009</v>
      </c>
      <c r="N15" s="86">
        <f>(0.25*$F$28*$L29)*(1-$B$6+$B$6/2)</f>
        <v>4589.1562500000009</v>
      </c>
      <c r="O15" s="86">
        <f>(0.25*$F$28*$L29)*(1-$B$6+$B$6/2)</f>
        <v>4589.1562500000009</v>
      </c>
      <c r="P15" s="86">
        <f>(0.25*$F$28*$M29)*(1-$B$6+$B$6/2)</f>
        <v>4818.6140625000007</v>
      </c>
      <c r="Q15" s="86">
        <f>(0.25*$F$28*$M29)*(1-$B$6+$B$6/2)</f>
        <v>4818.6140625000007</v>
      </c>
      <c r="R15" s="86">
        <f>(0.25*$F$28*$M29)*(1-$B$6+$B$6/2)</f>
        <v>4818.6140625000007</v>
      </c>
      <c r="S15" s="86">
        <f>(0.25*$F$28*$M29)*(1-$B$6+$B$6/2)</f>
        <v>4818.6140625000007</v>
      </c>
      <c r="T15" s="86">
        <f>(0.25*$F$28*$N29)*(1-$B$6+$B$6/2)</f>
        <v>5059.5447656250008</v>
      </c>
      <c r="U15" s="86">
        <f>(0.25*$F$28*$N29)*(1-$B$6+$B$6/2)</f>
        <v>5059.5447656250008</v>
      </c>
      <c r="V15" s="86">
        <f>(0.25*$F$28*$N29)*(1-$B$6+$B$6/2)</f>
        <v>5059.5447656250008</v>
      </c>
      <c r="W15" s="86">
        <f>(0.25*$F$28*$N29)*(1-$B$6+$B$6/2)</f>
        <v>5059.5447656250008</v>
      </c>
      <c r="X15" s="86">
        <f>(0.25*$F$28*$O29)*(1-$B$6+$B$6/2)</f>
        <v>5312.5220039062515</v>
      </c>
      <c r="Y15" s="86">
        <f>(0.25*$F$28*$O29)*(1-$B$6+$B$6/2)</f>
        <v>5312.5220039062515</v>
      </c>
      <c r="Z15" s="86">
        <f>(0.25*$F$28*$O29)*(1-$B$6+$B$6/2)</f>
        <v>5312.5220039062515</v>
      </c>
      <c r="AA15" s="86">
        <f>(0.25*$F$28*$O29)*(1-$B$6+$B$6/2)</f>
        <v>5312.5220039062515</v>
      </c>
      <c r="AB15" s="86">
        <f>(0.25*$F$28*$P29)*(1-$B$6+$B$6/2)</f>
        <v>5578.148104101565</v>
      </c>
      <c r="AC15" s="86">
        <f>(0.25*$F$28*$P29)*(1-$B$6+$B$6/2)</f>
        <v>5578.148104101565</v>
      </c>
      <c r="AD15" s="86">
        <f>(0.25*$F$28*$P29)*(1-$B$6+$B$6/2)</f>
        <v>5578.148104101565</v>
      </c>
      <c r="AE15" s="86">
        <f>(0.25*$F$28*$P29)*(1-$B$6+$B$6/2)</f>
        <v>5578.148104101565</v>
      </c>
      <c r="AF15" s="86">
        <f>(0.25*$F$28*$Q29)*(1-$B$6+$B$6/2)</f>
        <v>5857.0555093066432</v>
      </c>
      <c r="AG15" s="86">
        <f>(0.25*$F$28*$Q29)*(1-$B$6+$B$6/2)</f>
        <v>5857.0555093066432</v>
      </c>
      <c r="AH15" s="86">
        <f>(0.25*$F$28*$Q29)*(1-$B$6+$B$6/2)</f>
        <v>5857.0555093066432</v>
      </c>
      <c r="AI15" s="86">
        <f>(0.25*$F$28*$Q29)*(1-$B$6+$B$6/2)</f>
        <v>5857.0555093066432</v>
      </c>
      <c r="AJ15" s="86">
        <f>(0.25*$F$28*$R29)*(1-$B$6+$B$6/2)</f>
        <v>6149.9082847719756</v>
      </c>
      <c r="AK15" s="86">
        <f>(0.25*$F$28*$R29)*(1-$B$6+$B$6/2)</f>
        <v>6149.9082847719756</v>
      </c>
      <c r="AL15" s="86">
        <f>(0.25*$F$28*$R29)*(1-$B$6+$B$6/2)</f>
        <v>6149.9082847719756</v>
      </c>
      <c r="AM15" s="86">
        <f>(0.25*$F$28*$R29)*(1-$B$6+$B$6/2)</f>
        <v>6149.9082847719756</v>
      </c>
      <c r="AN15" s="86">
        <f>(0.25*$F$28*$S29)*(1-$B$6+$B$6/2)</f>
        <v>6457.4036990105751</v>
      </c>
      <c r="AO15" s="86">
        <f>(0.25*$F$28*$S29)*(1-$B$6+$B$6/2)</f>
        <v>6457.4036990105751</v>
      </c>
      <c r="AP15" s="86">
        <f>(0.25*$F$28*$S29)*(1-$B$6+$B$6/2)</f>
        <v>6457.4036990105751</v>
      </c>
      <c r="AQ15" s="86">
        <f>(0.25*$F$28*$S29)*(1-$B$6+$B$6/2)</f>
        <v>6457.4036990105751</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-25000</v>
      </c>
      <c r="D19" s="91">
        <f t="shared" si="0"/>
        <v>4162.5</v>
      </c>
      <c r="E19" s="92">
        <f t="shared" si="0"/>
        <v>4162.5</v>
      </c>
      <c r="F19" s="92">
        <f t="shared" si="0"/>
        <v>4162.5</v>
      </c>
      <c r="G19" s="90">
        <f t="shared" si="0"/>
        <v>4162.5</v>
      </c>
      <c r="H19" s="91">
        <f t="shared" si="0"/>
        <v>4370.625</v>
      </c>
      <c r="I19" s="92">
        <f t="shared" si="0"/>
        <v>4370.625</v>
      </c>
      <c r="J19" s="92">
        <f t="shared" si="0"/>
        <v>4370.625</v>
      </c>
      <c r="K19" s="90">
        <f t="shared" si="0"/>
        <v>4370.625</v>
      </c>
      <c r="L19" s="91">
        <f t="shared" si="0"/>
        <v>4589.1562500000009</v>
      </c>
      <c r="M19" s="92">
        <f t="shared" si="0"/>
        <v>4589.1562500000009</v>
      </c>
      <c r="N19" s="92">
        <f t="shared" si="0"/>
        <v>4589.1562500000009</v>
      </c>
      <c r="O19" s="90">
        <f t="shared" si="0"/>
        <v>4589.1562500000009</v>
      </c>
      <c r="P19" s="91">
        <f t="shared" si="0"/>
        <v>4818.6140625000007</v>
      </c>
      <c r="Q19" s="92">
        <f t="shared" si="0"/>
        <v>4818.6140625000007</v>
      </c>
      <c r="R19" s="92">
        <f t="shared" si="0"/>
        <v>4818.6140625000007</v>
      </c>
      <c r="S19" s="90">
        <f t="shared" si="0"/>
        <v>4818.6140625000007</v>
      </c>
      <c r="T19" s="91">
        <f t="shared" si="0"/>
        <v>5059.5447656250008</v>
      </c>
      <c r="U19" s="92">
        <f t="shared" si="0"/>
        <v>5059.5447656250008</v>
      </c>
      <c r="V19" s="92">
        <f t="shared" si="0"/>
        <v>5059.5447656250008</v>
      </c>
      <c r="W19" s="90">
        <f t="shared" si="0"/>
        <v>5059.5447656250008</v>
      </c>
      <c r="X19" s="91">
        <f t="shared" si="0"/>
        <v>5312.5220039062515</v>
      </c>
      <c r="Y19" s="92">
        <f t="shared" si="0"/>
        <v>5312.5220039062515</v>
      </c>
      <c r="Z19" s="92">
        <f t="shared" si="0"/>
        <v>5312.5220039062515</v>
      </c>
      <c r="AA19" s="90">
        <f t="shared" si="0"/>
        <v>5312.5220039062515</v>
      </c>
      <c r="AB19" s="91">
        <f t="shared" si="0"/>
        <v>5578.148104101565</v>
      </c>
      <c r="AC19" s="92">
        <f t="shared" si="0"/>
        <v>5578.148104101565</v>
      </c>
      <c r="AD19" s="92">
        <f t="shared" si="0"/>
        <v>5578.148104101565</v>
      </c>
      <c r="AE19" s="90">
        <f t="shared" si="0"/>
        <v>5578.148104101565</v>
      </c>
      <c r="AF19" s="91">
        <f t="shared" si="0"/>
        <v>5857.0555093066432</v>
      </c>
      <c r="AG19" s="92">
        <f t="shared" si="0"/>
        <v>5857.0555093066432</v>
      </c>
      <c r="AH19" s="92">
        <f t="shared" si="0"/>
        <v>5857.0555093066432</v>
      </c>
      <c r="AI19" s="90">
        <f t="shared" si="0"/>
        <v>5857.0555093066432</v>
      </c>
      <c r="AJ19" s="91">
        <f t="shared" si="0"/>
        <v>6149.9082847719756</v>
      </c>
      <c r="AK19" s="92">
        <f t="shared" si="0"/>
        <v>6149.9082847719756</v>
      </c>
      <c r="AL19" s="92">
        <f t="shared" si="0"/>
        <v>6149.9082847719756</v>
      </c>
      <c r="AM19" s="90">
        <f t="shared" si="0"/>
        <v>6149.9082847719756</v>
      </c>
      <c r="AN19" s="91">
        <f t="shared" si="0"/>
        <v>6457.4036990105751</v>
      </c>
      <c r="AO19" s="92">
        <f t="shared" si="0"/>
        <v>6457.4036990105751</v>
      </c>
      <c r="AP19" s="92">
        <f t="shared" si="0"/>
        <v>6457.4036990105751</v>
      </c>
      <c r="AQ19" s="90">
        <f t="shared" si="0"/>
        <v>6457.4036990105751</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-25000</v>
      </c>
      <c r="D21" s="84">
        <f t="shared" ref="D21:AQ21" si="1">+C21+D19</f>
        <v>-20837.5</v>
      </c>
      <c r="E21" s="84">
        <f t="shared" si="1"/>
        <v>-16675</v>
      </c>
      <c r="F21" s="84">
        <f t="shared" si="1"/>
        <v>-12512.5</v>
      </c>
      <c r="G21" s="84">
        <f t="shared" si="1"/>
        <v>-8350</v>
      </c>
      <c r="H21" s="84">
        <f t="shared" si="1"/>
        <v>-3979.375</v>
      </c>
      <c r="I21" s="84">
        <f t="shared" si="1"/>
        <v>391.25</v>
      </c>
      <c r="J21" s="84">
        <f t="shared" si="1"/>
        <v>4761.875</v>
      </c>
      <c r="K21" s="84">
        <f t="shared" si="1"/>
        <v>9132.5</v>
      </c>
      <c r="L21" s="84">
        <f t="shared" si="1"/>
        <v>13721.65625</v>
      </c>
      <c r="M21" s="84">
        <f t="shared" si="1"/>
        <v>18310.8125</v>
      </c>
      <c r="N21" s="84">
        <f t="shared" si="1"/>
        <v>22899.96875</v>
      </c>
      <c r="O21" s="84">
        <f t="shared" si="1"/>
        <v>27489.125</v>
      </c>
      <c r="P21" s="84">
        <f t="shared" si="1"/>
        <v>32307.739062500001</v>
      </c>
      <c r="Q21" s="84">
        <f t="shared" si="1"/>
        <v>37126.353125000001</v>
      </c>
      <c r="R21" s="84">
        <f t="shared" si="1"/>
        <v>41944.967187500006</v>
      </c>
      <c r="S21" s="84">
        <f t="shared" si="1"/>
        <v>46763.581250000003</v>
      </c>
      <c r="T21" s="84">
        <f t="shared" si="1"/>
        <v>51823.126015625006</v>
      </c>
      <c r="U21" s="84">
        <f t="shared" si="1"/>
        <v>56882.67078125001</v>
      </c>
      <c r="V21" s="84">
        <f t="shared" si="1"/>
        <v>61942.215546875013</v>
      </c>
      <c r="W21" s="84">
        <f t="shared" si="1"/>
        <v>67001.760312500017</v>
      </c>
      <c r="X21" s="84">
        <f t="shared" si="1"/>
        <v>72314.282316406272</v>
      </c>
      <c r="Y21" s="84">
        <f t="shared" si="1"/>
        <v>77626.804320312527</v>
      </c>
      <c r="Z21" s="84">
        <f t="shared" si="1"/>
        <v>82939.326324218782</v>
      </c>
      <c r="AA21" s="84">
        <f t="shared" si="1"/>
        <v>88251.848328125037</v>
      </c>
      <c r="AB21" s="84">
        <f t="shared" si="1"/>
        <v>93829.996432226602</v>
      </c>
      <c r="AC21" s="84">
        <f t="shared" si="1"/>
        <v>99408.144536328167</v>
      </c>
      <c r="AD21" s="84">
        <f t="shared" si="1"/>
        <v>104986.29264042973</v>
      </c>
      <c r="AE21" s="84">
        <f t="shared" si="1"/>
        <v>110564.4407445313</v>
      </c>
      <c r="AF21" s="84">
        <f t="shared" si="1"/>
        <v>116421.49625383795</v>
      </c>
      <c r="AG21" s="84">
        <f t="shared" si="1"/>
        <v>122278.55176314458</v>
      </c>
      <c r="AH21" s="84">
        <f t="shared" si="1"/>
        <v>128135.60727245122</v>
      </c>
      <c r="AI21" s="84">
        <f t="shared" si="1"/>
        <v>133992.66278175786</v>
      </c>
      <c r="AJ21" s="84">
        <f t="shared" si="1"/>
        <v>140142.57106652984</v>
      </c>
      <c r="AK21" s="84">
        <f t="shared" si="1"/>
        <v>146292.47935130182</v>
      </c>
      <c r="AL21" s="84">
        <f t="shared" si="1"/>
        <v>152442.38763607381</v>
      </c>
      <c r="AM21" s="84">
        <f t="shared" si="1"/>
        <v>158592.29592084579</v>
      </c>
      <c r="AN21" s="84">
        <f t="shared" si="1"/>
        <v>165049.69961985637</v>
      </c>
      <c r="AO21" s="84">
        <f t="shared" si="1"/>
        <v>171507.10331886695</v>
      </c>
      <c r="AP21" s="84">
        <f t="shared" si="1"/>
        <v>177964.50701787753</v>
      </c>
      <c r="AQ21" s="84">
        <f t="shared" si="1"/>
        <v>184421.91071688812</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-25000</v>
      </c>
      <c r="D25" s="84">
        <f t="shared" si="3"/>
        <v>4162.5</v>
      </c>
      <c r="E25" s="84">
        <f t="shared" si="3"/>
        <v>4162.5</v>
      </c>
      <c r="F25" s="84">
        <f t="shared" si="3"/>
        <v>4162.5</v>
      </c>
      <c r="G25" s="84">
        <f t="shared" si="3"/>
        <v>4162.5</v>
      </c>
      <c r="H25" s="84">
        <f t="shared" si="3"/>
        <v>4370.625</v>
      </c>
      <c r="I25" s="84">
        <f t="shared" si="3"/>
        <v>4370.625</v>
      </c>
      <c r="J25" s="84">
        <f t="shared" si="3"/>
        <v>4370.625</v>
      </c>
      <c r="K25" s="84">
        <f t="shared" si="3"/>
        <v>4370.625</v>
      </c>
      <c r="L25" s="84">
        <f t="shared" si="3"/>
        <v>4589.1562500000009</v>
      </c>
      <c r="M25" s="84">
        <f t="shared" si="3"/>
        <v>4589.1562500000009</v>
      </c>
      <c r="N25" s="84">
        <f t="shared" si="3"/>
        <v>4589.1562500000009</v>
      </c>
      <c r="O25" s="84">
        <f t="shared" si="3"/>
        <v>4589.1562500000009</v>
      </c>
      <c r="P25" s="84">
        <f t="shared" si="3"/>
        <v>4818.6140625000007</v>
      </c>
      <c r="Q25" s="84">
        <f t="shared" si="3"/>
        <v>4818.6140625000007</v>
      </c>
      <c r="R25" s="84">
        <f t="shared" si="3"/>
        <v>4818.6140625000007</v>
      </c>
      <c r="S25" s="84">
        <f t="shared" si="3"/>
        <v>4818.6140625000007</v>
      </c>
      <c r="T25" s="84">
        <f t="shared" si="3"/>
        <v>5059.5447656250008</v>
      </c>
      <c r="U25" s="84">
        <f t="shared" si="3"/>
        <v>5059.5447656250008</v>
      </c>
      <c r="V25" s="84">
        <f t="shared" si="3"/>
        <v>5059.5447656250008</v>
      </c>
      <c r="W25" s="84">
        <f t="shared" si="3"/>
        <v>5059.5447656250008</v>
      </c>
      <c r="X25" s="84">
        <f t="shared" si="3"/>
        <v>5312.5220039062515</v>
      </c>
      <c r="Y25" s="84">
        <f t="shared" si="3"/>
        <v>5312.5220039062515</v>
      </c>
      <c r="Z25" s="84">
        <f t="shared" si="3"/>
        <v>5312.5220039062515</v>
      </c>
      <c r="AA25" s="84">
        <f t="shared" si="3"/>
        <v>5312.5220039062515</v>
      </c>
      <c r="AB25" s="84">
        <f t="shared" si="3"/>
        <v>5578.148104101565</v>
      </c>
      <c r="AC25" s="84">
        <f t="shared" si="3"/>
        <v>5578.148104101565</v>
      </c>
      <c r="AD25" s="84">
        <f t="shared" si="3"/>
        <v>5578.148104101565</v>
      </c>
      <c r="AE25" s="84">
        <f t="shared" si="3"/>
        <v>5578.148104101565</v>
      </c>
      <c r="AF25" s="84">
        <f t="shared" si="3"/>
        <v>5857.0555093066432</v>
      </c>
      <c r="AG25" s="84">
        <f t="shared" si="3"/>
        <v>5857.0555093066432</v>
      </c>
      <c r="AH25" s="84">
        <f t="shared" si="3"/>
        <v>5857.0555093066432</v>
      </c>
      <c r="AI25" s="84">
        <f t="shared" si="3"/>
        <v>5857.0555093066432</v>
      </c>
      <c r="AJ25" s="84">
        <f t="shared" si="3"/>
        <v>6149.9082847719756</v>
      </c>
      <c r="AK25" s="84">
        <f t="shared" si="3"/>
        <v>6149.9082847719756</v>
      </c>
      <c r="AL25" s="84">
        <f t="shared" si="3"/>
        <v>6149.9082847719756</v>
      </c>
      <c r="AM25" s="84">
        <f t="shared" si="3"/>
        <v>6149.9082847719756</v>
      </c>
      <c r="AN25" s="84">
        <f t="shared" si="3"/>
        <v>6457.4036990105751</v>
      </c>
      <c r="AO25" s="84">
        <f t="shared" si="3"/>
        <v>6457.4036990105751</v>
      </c>
      <c r="AP25" s="84">
        <f t="shared" si="3"/>
        <v>6457.4036990105751</v>
      </c>
      <c r="AQ25" s="84">
        <f t="shared" si="3"/>
        <v>6457.4036990105751</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'179T-NR'!G115</f>
        <v>25000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'179T-NR'!S120*1000</f>
        <v>83250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3" sqref="A3"/>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7D7D8174-4E84-41DE-BF71-BE1E8F93A4B5}">
      <formula1>"Y,N"</formula1>
    </dataValidation>
  </dataValidations>
  <pageMargins left="0.75" right="0.75" top="1" bottom="1" header="0.5" footer="0.5"/>
  <pageSetup paperSize="9" orientation="portrait" r:id="rId2"/>
  <headerFooter alignWithMargins="0"/>
  <legacyDrawing r:id="rId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CB9E-84B8-4FB9-A180-4C94DA60C4DB}">
  <sheetPr codeName="Sheet44">
    <tabColor indexed="53"/>
  </sheetPr>
  <dimension ref="A4:M64"/>
  <sheetViews>
    <sheetView view="pageBreakPreview" topLeftCell="A3" zoomScale="130" zoomScaleNormal="100" zoomScaleSheetLayoutView="130" workbookViewId="0">
      <selection activeCell="A3" sqref="A3"/>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'179T-NR'!C60</f>
        <v>9828</v>
      </c>
    </row>
    <row r="10" spans="1:13" ht="13">
      <c r="A10" s="109" t="s">
        <v>842</v>
      </c>
      <c r="B10" s="1007" t="s">
        <v>843</v>
      </c>
      <c r="C10" s="1008"/>
      <c r="D10" s="1008"/>
      <c r="E10" s="1008"/>
      <c r="F10" s="1008"/>
      <c r="G10" s="1008"/>
      <c r="H10" s="1008"/>
      <c r="I10" s="1008"/>
    </row>
    <row r="11" spans="1:13" ht="13">
      <c r="A11" s="109" t="s">
        <v>844</v>
      </c>
      <c r="B11" s="1009" t="str">
        <f>'179T-NR'!A2</f>
        <v>179 Turbot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SUM('179T-IS'!C12:F12)</f>
        <v>-25000</v>
      </c>
      <c r="D25" s="119">
        <f>SUM('179T-IS'!D12:G12)</f>
        <v>0</v>
      </c>
      <c r="E25" s="119">
        <f>SUM('179T-IS'!H12:K12)</f>
        <v>0</v>
      </c>
      <c r="F25" s="119">
        <f>SUM('179T-IS'!L12:O12)</f>
        <v>0</v>
      </c>
      <c r="G25" s="119">
        <f>SUM('179T-IS'!P12:S12)</f>
        <v>0</v>
      </c>
      <c r="H25" s="119">
        <f>SUM('179T-IS'!T12:W12)</f>
        <v>0</v>
      </c>
      <c r="I25" s="119">
        <f>SUM('179T-IS'!X12:AA12)</f>
        <v>0</v>
      </c>
      <c r="J25" s="119">
        <f>SUM('179T-IS'!AB12:AE12)</f>
        <v>0</v>
      </c>
      <c r="K25" s="119">
        <f>SUM('179T-IS'!AF12:AI12)</f>
        <v>0</v>
      </c>
      <c r="L25" s="119">
        <f>SUM('179T-IS'!AJ12:AM12)</f>
        <v>0</v>
      </c>
      <c r="M25" s="119">
        <f>SUM('179T-IS'!AN12:AQ12)</f>
        <v>0</v>
      </c>
    </row>
    <row r="26" spans="1:13">
      <c r="A26" s="106" t="s">
        <v>804</v>
      </c>
      <c r="C26" s="120"/>
      <c r="D26" s="119">
        <f>SUM('179T-IS'!D13:G13)</f>
        <v>0</v>
      </c>
      <c r="E26" s="119">
        <f>SUM('179T-IS'!H13:K13)</f>
        <v>0</v>
      </c>
      <c r="F26" s="119">
        <f>SUM('179T-IS'!L13:O13)</f>
        <v>0</v>
      </c>
      <c r="G26" s="119">
        <f>SUM('179T-IS'!P13:S13)</f>
        <v>0</v>
      </c>
      <c r="H26" s="119">
        <f>SUM('179T-IS'!T13:W13)</f>
        <v>0</v>
      </c>
      <c r="I26" s="119">
        <f>SUM('179T-IS'!X13:AA13)</f>
        <v>0</v>
      </c>
      <c r="J26" s="119">
        <f>SUM('179T-IS'!AB13:AE13)</f>
        <v>0</v>
      </c>
      <c r="K26" s="119">
        <f>SUM('179T-IS'!AF13:AI13)</f>
        <v>0</v>
      </c>
      <c r="L26" s="119">
        <f>SUM('179T-IS'!AJ13:AM13)</f>
        <v>0</v>
      </c>
      <c r="M26" s="119">
        <f>SUM('179T-IS'!AN13:AQ13)</f>
        <v>0</v>
      </c>
    </row>
    <row r="27" spans="1:13">
      <c r="A27" s="106" t="s">
        <v>805</v>
      </c>
      <c r="C27" s="120"/>
      <c r="D27" s="119">
        <f>SUM('179T-IS'!D15:G15)+SUM('179T-IS'!D14:G14)</f>
        <v>16650</v>
      </c>
      <c r="E27" s="119">
        <f>SUM('179T-IS'!H15:K15)+SUM('179T-IS'!H14:K14)</f>
        <v>17482.5</v>
      </c>
      <c r="F27" s="119">
        <f>SUM('179T-IS'!L15:O15)+SUM('179T-IS'!L14:O14)</f>
        <v>18356.625000000004</v>
      </c>
      <c r="G27" s="119">
        <f>SUM('179T-IS'!P15:S15)+SUM('179T-IS'!P14:S14)</f>
        <v>19274.456250000003</v>
      </c>
      <c r="H27" s="119">
        <f>SUM('179T-IS'!T15:W15)+SUM('179T-IS'!T14:W14)</f>
        <v>20238.179062500003</v>
      </c>
      <c r="I27" s="119">
        <f>SUM('179T-IS'!X15:AA15)+SUM('179T-IS'!X14:AA14)</f>
        <v>21250.088015625006</v>
      </c>
      <c r="J27" s="119">
        <f>SUM('179T-IS'!AB15:AE15)+SUM('179T-IS'!AB14:AE14)</f>
        <v>22312.59241640626</v>
      </c>
      <c r="K27" s="119">
        <f>SUM('179T-IS'!AF15:AI15)+SUM('179T-IS'!AF14:AI14)</f>
        <v>23428.222037226573</v>
      </c>
      <c r="L27" s="119">
        <f>SUM('179T-IS'!AJ15:AM15)+SUM('179T-IS'!AJ14:AM14)</f>
        <v>24599.633139087902</v>
      </c>
      <c r="M27" s="119">
        <f>SUM('179T-IS'!AN15:AQ15)+SUM('179T-IS'!AN14:AQ14)</f>
        <v>25829.6147960423</v>
      </c>
    </row>
    <row r="28" spans="1:13">
      <c r="A28" s="106" t="s">
        <v>808</v>
      </c>
      <c r="C28" s="120"/>
      <c r="D28" s="119">
        <f>SUM('179T-IS'!D16:G16)</f>
        <v>0</v>
      </c>
      <c r="E28" s="119">
        <f>SUM('179T-IS'!H16:K16)</f>
        <v>0</v>
      </c>
      <c r="F28" s="119">
        <f>SUM('179T-IS'!L16:O16)</f>
        <v>0</v>
      </c>
      <c r="G28" s="119">
        <f>SUM('179T-IS'!P16:S16)</f>
        <v>0</v>
      </c>
      <c r="H28" s="119">
        <f>SUM('179T-IS'!T16:W16)</f>
        <v>0</v>
      </c>
      <c r="I28" s="119">
        <f>SUM('179T-IS'!X16:AA16)</f>
        <v>0</v>
      </c>
      <c r="J28" s="119">
        <f>SUM('179T-IS'!AB16:AE16)</f>
        <v>0</v>
      </c>
      <c r="K28" s="119">
        <f>SUM('179T-IS'!AF16:AI16)</f>
        <v>0</v>
      </c>
      <c r="L28" s="119">
        <f>SUM('179T-IS'!AJ16:AM16)</f>
        <v>0</v>
      </c>
      <c r="M28" s="119">
        <f>SUM('179T-IS'!AN16:AQ16)</f>
        <v>0</v>
      </c>
    </row>
    <row r="29" spans="1:13">
      <c r="A29" s="106" t="s">
        <v>809</v>
      </c>
      <c r="C29" s="120"/>
      <c r="D29" s="119">
        <f>SUM('179T-IS'!D17:G17)</f>
        <v>0</v>
      </c>
      <c r="E29" s="119">
        <f>SUM('179T-IS'!H17:K17)</f>
        <v>0</v>
      </c>
      <c r="F29" s="119">
        <f>SUM('179T-IS'!L17:O17)</f>
        <v>0</v>
      </c>
      <c r="G29" s="119">
        <f>SUM('179T-IS'!P17:S17)</f>
        <v>0</v>
      </c>
      <c r="H29" s="119">
        <f>SUM('179T-IS'!T17:W17)</f>
        <v>0</v>
      </c>
      <c r="I29" s="119">
        <f>SUM('179T-IS'!X17:AA17)</f>
        <v>0</v>
      </c>
      <c r="J29" s="119">
        <f>SUM('179T-IS'!AB17:AE17)</f>
        <v>0</v>
      </c>
      <c r="K29" s="119">
        <f>SUM('179T-IS'!AF17:AI17)</f>
        <v>0</v>
      </c>
      <c r="L29" s="119">
        <f>SUM('179T-IS'!AJ17:AM17)</f>
        <v>0</v>
      </c>
      <c r="M29" s="119">
        <f>SUM('179T-IS'!AN17:AQ17)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-25000</v>
      </c>
      <c r="D31" s="124">
        <f t="shared" si="0"/>
        <v>16650</v>
      </c>
      <c r="E31" s="125">
        <f t="shared" si="0"/>
        <v>17482.5</v>
      </c>
      <c r="F31" s="125">
        <f t="shared" si="0"/>
        <v>18356.625000000004</v>
      </c>
      <c r="G31" s="125">
        <f t="shared" si="0"/>
        <v>19274.456250000003</v>
      </c>
      <c r="H31" s="125">
        <f t="shared" si="0"/>
        <v>20238.179062500003</v>
      </c>
      <c r="I31" s="125">
        <f t="shared" si="0"/>
        <v>21250.088015625006</v>
      </c>
      <c r="J31" s="125">
        <f t="shared" si="0"/>
        <v>22312.59241640626</v>
      </c>
      <c r="K31" s="125">
        <f t="shared" si="0"/>
        <v>23428.222037226573</v>
      </c>
      <c r="L31" s="125">
        <f t="shared" si="0"/>
        <v>24599.633139087902</v>
      </c>
      <c r="M31" s="125">
        <f t="shared" si="0"/>
        <v>25829.6147960423</v>
      </c>
    </row>
    <row r="32" spans="1:13" ht="13" thickTop="1">
      <c r="A32" s="64" t="s">
        <v>860</v>
      </c>
      <c r="B32" s="79"/>
      <c r="C32" s="77"/>
      <c r="D32" s="152">
        <f>D31/$I$9</f>
        <v>1.6941391941391941</v>
      </c>
      <c r="E32" s="152">
        <f t="shared" ref="E32:M32" si="1">E31/$I$9</f>
        <v>1.7788461538461537</v>
      </c>
      <c r="F32" s="152">
        <f t="shared" si="1"/>
        <v>1.8677884615384619</v>
      </c>
      <c r="G32" s="152">
        <f t="shared" si="1"/>
        <v>1.9611778846153849</v>
      </c>
      <c r="H32" s="152">
        <f t="shared" si="1"/>
        <v>2.0592367788461541</v>
      </c>
      <c r="I32" s="152">
        <f t="shared" si="1"/>
        <v>2.1621986177884622</v>
      </c>
      <c r="J32" s="152">
        <f t="shared" si="1"/>
        <v>2.2703085486778858</v>
      </c>
      <c r="K32" s="152">
        <f t="shared" si="1"/>
        <v>2.3838239761117799</v>
      </c>
      <c r="L32" s="152">
        <f t="shared" si="1"/>
        <v>2.503015174917369</v>
      </c>
      <c r="M32" s="152">
        <f t="shared" si="1"/>
        <v>2.6281659336632379</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'179T-NR'!G67</f>
        <v>CURRENT</v>
      </c>
      <c r="J36" s="127" t="str">
        <f>'179T-NR'!H67</f>
        <v>FY25</v>
      </c>
      <c r="K36" s="127" t="str">
        <f>'179T-NR'!I67</f>
        <v>FY26</v>
      </c>
      <c r="L36" s="127" t="str">
        <f>'179T-NR'!J67</f>
        <v>FY27</v>
      </c>
      <c r="M36" s="127" t="str">
        <f>'179T-NR'!K67</f>
        <v>FY28</v>
      </c>
    </row>
    <row r="37" spans="1:13" ht="25.5">
      <c r="A37" s="128" t="s">
        <v>863</v>
      </c>
      <c r="B37" s="129" t="s">
        <v>864</v>
      </c>
      <c r="D37" s="117"/>
      <c r="E37" s="130"/>
      <c r="F37" s="117"/>
      <c r="G37" s="131" t="s">
        <v>865</v>
      </c>
      <c r="H37" s="132">
        <f>'179T-NR'!S123</f>
        <v>5.2286184210526319</v>
      </c>
      <c r="I37" s="132">
        <f>'179T-NR'!S124</f>
        <v>5.1171842068287203</v>
      </c>
      <c r="J37" s="132">
        <f>'179T-NR'!S125</f>
        <v>5.1171842068287203</v>
      </c>
      <c r="K37" s="132">
        <f>'179T-NR'!S126</f>
        <v>5.1171842068287203</v>
      </c>
      <c r="L37" s="117"/>
    </row>
    <row r="38" spans="1:13" ht="13">
      <c r="G38" s="131" t="s">
        <v>866</v>
      </c>
      <c r="I38" s="133">
        <f>'179T-NR'!G115</f>
        <v>25000</v>
      </c>
      <c r="J38" s="133"/>
      <c r="K38" s="133"/>
    </row>
    <row r="39" spans="1:13" ht="13">
      <c r="A39" s="106" t="s">
        <v>867</v>
      </c>
      <c r="B39" s="134">
        <v>0</v>
      </c>
      <c r="E39" s="117"/>
      <c r="F39" s="135"/>
      <c r="G39" s="131" t="s">
        <v>868</v>
      </c>
      <c r="I39" s="136">
        <f>IRR(C31:M31)</f>
        <v>0.71095356133717225</v>
      </c>
    </row>
    <row r="40" spans="1:13" ht="13">
      <c r="A40" s="128"/>
      <c r="B40" s="137"/>
      <c r="G40" s="131" t="s">
        <v>869</v>
      </c>
      <c r="I40" s="133">
        <f>B43/B41-B43</f>
        <v>258287.02321749527</v>
      </c>
    </row>
    <row r="41" spans="1:13">
      <c r="A41" s="106" t="s">
        <v>870</v>
      </c>
      <c r="B41" s="138">
        <v>7.4999999999999997E-2</v>
      </c>
    </row>
    <row r="42" spans="1:13">
      <c r="A42" s="117"/>
    </row>
    <row r="43" spans="1:13">
      <c r="A43" s="139" t="s">
        <v>871</v>
      </c>
      <c r="B43" s="140">
        <f>SUMIF(D31:M31,"&lt;&gt;0")/COUNTIF(D31:M31,"&lt;&gt;0")</f>
        <v>20942.191071688805</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5.22861842105263 Stars</v>
      </c>
      <c r="G59" s="146">
        <f t="shared" si="2"/>
        <v>5.1171842068287203</v>
      </c>
      <c r="H59" s="146">
        <f t="shared" si="2"/>
        <v>5.1171842068287203</v>
      </c>
      <c r="I59" s="146">
        <f t="shared" si="2"/>
        <v>5.1171842068287203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25000</v>
      </c>
      <c r="H62" s="149">
        <f>J38</f>
        <v>0</v>
      </c>
      <c r="I62" s="149">
        <f>K38</f>
        <v>0</v>
      </c>
      <c r="J62" s="143"/>
    </row>
    <row r="63" spans="5:10" ht="17.5">
      <c r="E63" s="143"/>
      <c r="F63" s="147"/>
      <c r="G63" s="150">
        <f>I39</f>
        <v>0.71095356133717225</v>
      </c>
      <c r="H63" s="147"/>
      <c r="I63" s="147"/>
      <c r="J63" s="143"/>
    </row>
    <row r="64" spans="5:10" ht="17.5">
      <c r="E64" s="143"/>
      <c r="F64" s="143"/>
      <c r="G64" s="151">
        <f>I40</f>
        <v>258287.02321749527</v>
      </c>
      <c r="H64" s="143"/>
      <c r="I64" s="143"/>
      <c r="J64" s="143"/>
    </row>
  </sheetData>
  <customSheetViews>
    <customSheetView guid="{0FAFE012-8D9E-4ED0-86A4-A997E430971B}" scale="130" showPageBreaks="1" printArea="1" state="hidden" view="pageBreakPreview" topLeftCell="A3">
      <selection activeCell="A3" sqref="A3"/>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6A6FFCCC-4ACD-4709-8C71-3636599C7F91}">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199E319B-FF6E-4EBC-8D40-FB32728B7EC6}">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6E2C-E5C0-4411-AD2C-6752220C8033}">
  <sheetPr codeName="Sheet46">
    <tabColor theme="5" tint="0.39997558519241921"/>
  </sheetPr>
  <dimension ref="A2:AQ101"/>
  <sheetViews>
    <sheetView zoomScale="85" zoomScaleNormal="85" workbookViewId="0">
      <selection activeCell="J45" sqref="J45"/>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11139.487875000001</v>
      </c>
      <c r="E15" s="81">
        <f>(0.25*$F$28*$J29)*(1-$B$6+$B$6/2)</f>
        <v>11139.487875000001</v>
      </c>
      <c r="F15" s="81">
        <f>(0.25*$F$28*$J29)*(1-$B$6+$B$6/2)</f>
        <v>11139.487875000001</v>
      </c>
      <c r="G15" s="81">
        <f>(0.25*$F$28*$J29)*(1-$B$6+$B$6/2)</f>
        <v>11139.487875000001</v>
      </c>
      <c r="H15" s="86">
        <f>(0.25*$F$28*$K29)*(1-$B$6+$B$6/2)</f>
        <v>11696.462268750001</v>
      </c>
      <c r="I15" s="86">
        <f>(0.25*$F$28*$K29)*(1-$B$6+$B$6/2)</f>
        <v>11696.462268750001</v>
      </c>
      <c r="J15" s="86">
        <f>(0.25*$F$28*$K29)*(1-$B$6+$B$6/2)</f>
        <v>11696.462268750001</v>
      </c>
      <c r="K15" s="86">
        <f>(0.25*$F$28*$K29)*(1-$B$6+$B$6/2)</f>
        <v>11696.462268750001</v>
      </c>
      <c r="L15" s="86">
        <f>(0.25*$F$28*$L29)*(1-$B$6+$B$6/2)</f>
        <v>12281.285382187501</v>
      </c>
      <c r="M15" s="86">
        <f>(0.25*$F$28*$L29)*(1-$B$6+$B$6/2)</f>
        <v>12281.285382187501</v>
      </c>
      <c r="N15" s="86">
        <f>(0.25*$F$28*$L29)*(1-$B$6+$B$6/2)</f>
        <v>12281.285382187501</v>
      </c>
      <c r="O15" s="86">
        <f>(0.25*$F$28*$L29)*(1-$B$6+$B$6/2)</f>
        <v>12281.285382187501</v>
      </c>
      <c r="P15" s="86">
        <f>(0.25*$F$28*$M29)*(1-$B$6+$B$6/2)</f>
        <v>12895.349651296878</v>
      </c>
      <c r="Q15" s="86">
        <f>(0.25*$F$28*$M29)*(1-$B$6+$B$6/2)</f>
        <v>12895.349651296878</v>
      </c>
      <c r="R15" s="86">
        <f>(0.25*$F$28*$M29)*(1-$B$6+$B$6/2)</f>
        <v>12895.349651296878</v>
      </c>
      <c r="S15" s="86">
        <f>(0.25*$F$28*$M29)*(1-$B$6+$B$6/2)</f>
        <v>12895.349651296878</v>
      </c>
      <c r="T15" s="86">
        <f>(0.25*$F$28*$N29)*(1-$B$6+$B$6/2)</f>
        <v>13540.117133861722</v>
      </c>
      <c r="U15" s="86">
        <f>(0.25*$F$28*$N29)*(1-$B$6+$B$6/2)</f>
        <v>13540.117133861722</v>
      </c>
      <c r="V15" s="86">
        <f>(0.25*$F$28*$N29)*(1-$B$6+$B$6/2)</f>
        <v>13540.117133861722</v>
      </c>
      <c r="W15" s="86">
        <f>(0.25*$F$28*$N29)*(1-$B$6+$B$6/2)</f>
        <v>13540.117133861722</v>
      </c>
      <c r="X15" s="86">
        <f>(0.25*$F$28*$O29)*(1-$B$6+$B$6/2)</f>
        <v>14217.12299055481</v>
      </c>
      <c r="Y15" s="86">
        <f>(0.25*$F$28*$O29)*(1-$B$6+$B$6/2)</f>
        <v>14217.12299055481</v>
      </c>
      <c r="Z15" s="86">
        <f>(0.25*$F$28*$O29)*(1-$B$6+$B$6/2)</f>
        <v>14217.12299055481</v>
      </c>
      <c r="AA15" s="86">
        <f>(0.25*$F$28*$O29)*(1-$B$6+$B$6/2)</f>
        <v>14217.12299055481</v>
      </c>
      <c r="AB15" s="86">
        <f>(0.25*$F$28*$P29)*(1-$B$6+$B$6/2)</f>
        <v>14927.979140082552</v>
      </c>
      <c r="AC15" s="86">
        <f>(0.25*$F$28*$P29)*(1-$B$6+$B$6/2)</f>
        <v>14927.979140082552</v>
      </c>
      <c r="AD15" s="86">
        <f>(0.25*$F$28*$P29)*(1-$B$6+$B$6/2)</f>
        <v>14927.979140082552</v>
      </c>
      <c r="AE15" s="86">
        <f>(0.25*$F$28*$P29)*(1-$B$6+$B$6/2)</f>
        <v>14927.979140082552</v>
      </c>
      <c r="AF15" s="86">
        <f>(0.25*$F$28*$Q29)*(1-$B$6+$B$6/2)</f>
        <v>15674.378097086679</v>
      </c>
      <c r="AG15" s="86">
        <f>(0.25*$F$28*$Q29)*(1-$B$6+$B$6/2)</f>
        <v>15674.378097086679</v>
      </c>
      <c r="AH15" s="86">
        <f>(0.25*$F$28*$Q29)*(1-$B$6+$B$6/2)</f>
        <v>15674.378097086679</v>
      </c>
      <c r="AI15" s="86">
        <f>(0.25*$F$28*$Q29)*(1-$B$6+$B$6/2)</f>
        <v>15674.378097086679</v>
      </c>
      <c r="AJ15" s="86">
        <f>(0.25*$F$28*$R29)*(1-$B$6+$B$6/2)</f>
        <v>16458.097001941016</v>
      </c>
      <c r="AK15" s="86">
        <f>(0.25*$F$28*$R29)*(1-$B$6+$B$6/2)</f>
        <v>16458.097001941016</v>
      </c>
      <c r="AL15" s="86">
        <f>(0.25*$F$28*$R29)*(1-$B$6+$B$6/2)</f>
        <v>16458.097001941016</v>
      </c>
      <c r="AM15" s="86">
        <f>(0.25*$F$28*$R29)*(1-$B$6+$B$6/2)</f>
        <v>16458.097001941016</v>
      </c>
      <c r="AN15" s="86">
        <f>(0.25*$F$28*$S29)*(1-$B$6+$B$6/2)</f>
        <v>17281.001852038069</v>
      </c>
      <c r="AO15" s="86">
        <f>(0.25*$F$28*$S29)*(1-$B$6+$B$6/2)</f>
        <v>17281.001852038069</v>
      </c>
      <c r="AP15" s="86">
        <f>(0.25*$F$28*$S29)*(1-$B$6+$B$6/2)</f>
        <v>17281.001852038069</v>
      </c>
      <c r="AQ15" s="86">
        <f>(0.25*$F$28*$S29)*(1-$B$6+$B$6/2)</f>
        <v>17281.001852038069</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11139.487875000001</v>
      </c>
      <c r="E19" s="92">
        <f t="shared" si="0"/>
        <v>11139.487875000001</v>
      </c>
      <c r="F19" s="92">
        <f t="shared" si="0"/>
        <v>11139.487875000001</v>
      </c>
      <c r="G19" s="90">
        <f t="shared" si="0"/>
        <v>11139.487875000001</v>
      </c>
      <c r="H19" s="91">
        <f t="shared" si="0"/>
        <v>11696.462268750001</v>
      </c>
      <c r="I19" s="92">
        <f t="shared" si="0"/>
        <v>11696.462268750001</v>
      </c>
      <c r="J19" s="92">
        <f t="shared" si="0"/>
        <v>11696.462268750001</v>
      </c>
      <c r="K19" s="90">
        <f t="shared" si="0"/>
        <v>11696.462268750001</v>
      </c>
      <c r="L19" s="91">
        <f t="shared" si="0"/>
        <v>12281.285382187501</v>
      </c>
      <c r="M19" s="92">
        <f t="shared" si="0"/>
        <v>12281.285382187501</v>
      </c>
      <c r="N19" s="92">
        <f t="shared" si="0"/>
        <v>12281.285382187501</v>
      </c>
      <c r="O19" s="90">
        <f t="shared" si="0"/>
        <v>12281.285382187501</v>
      </c>
      <c r="P19" s="91">
        <f t="shared" si="0"/>
        <v>12895.349651296878</v>
      </c>
      <c r="Q19" s="92">
        <f t="shared" si="0"/>
        <v>12895.349651296878</v>
      </c>
      <c r="R19" s="92">
        <f t="shared" si="0"/>
        <v>12895.349651296878</v>
      </c>
      <c r="S19" s="90">
        <f t="shared" si="0"/>
        <v>12895.349651296878</v>
      </c>
      <c r="T19" s="91">
        <f t="shared" si="0"/>
        <v>13540.117133861722</v>
      </c>
      <c r="U19" s="92">
        <f t="shared" si="0"/>
        <v>13540.117133861722</v>
      </c>
      <c r="V19" s="92">
        <f t="shared" si="0"/>
        <v>13540.117133861722</v>
      </c>
      <c r="W19" s="90">
        <f t="shared" si="0"/>
        <v>13540.117133861722</v>
      </c>
      <c r="X19" s="91">
        <f t="shared" si="0"/>
        <v>14217.12299055481</v>
      </c>
      <c r="Y19" s="92">
        <f t="shared" si="0"/>
        <v>14217.12299055481</v>
      </c>
      <c r="Z19" s="92">
        <f t="shared" si="0"/>
        <v>14217.12299055481</v>
      </c>
      <c r="AA19" s="90">
        <f t="shared" si="0"/>
        <v>14217.12299055481</v>
      </c>
      <c r="AB19" s="91">
        <f t="shared" si="0"/>
        <v>14927.979140082552</v>
      </c>
      <c r="AC19" s="92">
        <f t="shared" si="0"/>
        <v>14927.979140082552</v>
      </c>
      <c r="AD19" s="92">
        <f t="shared" si="0"/>
        <v>14927.979140082552</v>
      </c>
      <c r="AE19" s="90">
        <f t="shared" si="0"/>
        <v>14927.979140082552</v>
      </c>
      <c r="AF19" s="91">
        <f t="shared" si="0"/>
        <v>15674.378097086679</v>
      </c>
      <c r="AG19" s="92">
        <f t="shared" si="0"/>
        <v>15674.378097086679</v>
      </c>
      <c r="AH19" s="92">
        <f t="shared" si="0"/>
        <v>15674.378097086679</v>
      </c>
      <c r="AI19" s="90">
        <f t="shared" si="0"/>
        <v>15674.378097086679</v>
      </c>
      <c r="AJ19" s="91">
        <f t="shared" si="0"/>
        <v>16458.097001941016</v>
      </c>
      <c r="AK19" s="92">
        <f t="shared" si="0"/>
        <v>16458.097001941016</v>
      </c>
      <c r="AL19" s="92">
        <f t="shared" si="0"/>
        <v>16458.097001941016</v>
      </c>
      <c r="AM19" s="90">
        <f t="shared" si="0"/>
        <v>16458.097001941016</v>
      </c>
      <c r="AN19" s="91">
        <f t="shared" si="0"/>
        <v>17281.001852038069</v>
      </c>
      <c r="AO19" s="92">
        <f t="shared" si="0"/>
        <v>17281.001852038069</v>
      </c>
      <c r="AP19" s="92">
        <f t="shared" si="0"/>
        <v>17281.001852038069</v>
      </c>
      <c r="AQ19" s="90">
        <f t="shared" si="0"/>
        <v>17281.001852038069</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11139.487875000001</v>
      </c>
      <c r="E21" s="84">
        <f t="shared" si="1"/>
        <v>22278.975750000001</v>
      </c>
      <c r="F21" s="84">
        <f t="shared" si="1"/>
        <v>33418.463625000004</v>
      </c>
      <c r="G21" s="84">
        <f t="shared" si="1"/>
        <v>44557.951500000003</v>
      </c>
      <c r="H21" s="84">
        <f t="shared" si="1"/>
        <v>56254.413768750004</v>
      </c>
      <c r="I21" s="84">
        <f t="shared" si="1"/>
        <v>67950.876037500013</v>
      </c>
      <c r="J21" s="84">
        <f t="shared" si="1"/>
        <v>79647.338306250022</v>
      </c>
      <c r="K21" s="84">
        <f t="shared" si="1"/>
        <v>91343.80057500003</v>
      </c>
      <c r="L21" s="84">
        <f t="shared" si="1"/>
        <v>103625.08595718753</v>
      </c>
      <c r="M21" s="84">
        <f t="shared" si="1"/>
        <v>115906.37133937504</v>
      </c>
      <c r="N21" s="84">
        <f t="shared" si="1"/>
        <v>128187.65672156254</v>
      </c>
      <c r="O21" s="84">
        <f t="shared" si="1"/>
        <v>140468.94210375004</v>
      </c>
      <c r="P21" s="84">
        <f t="shared" si="1"/>
        <v>153364.29175504693</v>
      </c>
      <c r="Q21" s="84">
        <f t="shared" si="1"/>
        <v>166259.64140634381</v>
      </c>
      <c r="R21" s="84">
        <f t="shared" si="1"/>
        <v>179154.9910576407</v>
      </c>
      <c r="S21" s="84">
        <f t="shared" si="1"/>
        <v>192050.34070893758</v>
      </c>
      <c r="T21" s="84">
        <f t="shared" si="1"/>
        <v>205590.45784279931</v>
      </c>
      <c r="U21" s="84">
        <f t="shared" si="1"/>
        <v>219130.57497666104</v>
      </c>
      <c r="V21" s="84">
        <f t="shared" si="1"/>
        <v>232670.69211052277</v>
      </c>
      <c r="W21" s="84">
        <f t="shared" si="1"/>
        <v>246210.80924438449</v>
      </c>
      <c r="X21" s="84">
        <f t="shared" si="1"/>
        <v>260427.9322349393</v>
      </c>
      <c r="Y21" s="84">
        <f t="shared" si="1"/>
        <v>274645.05522549408</v>
      </c>
      <c r="Z21" s="84">
        <f t="shared" si="1"/>
        <v>288862.17821604887</v>
      </c>
      <c r="AA21" s="84">
        <f t="shared" si="1"/>
        <v>303079.30120660365</v>
      </c>
      <c r="AB21" s="84">
        <f t="shared" si="1"/>
        <v>318007.2803466862</v>
      </c>
      <c r="AC21" s="84">
        <f t="shared" si="1"/>
        <v>332935.25948676874</v>
      </c>
      <c r="AD21" s="84">
        <f t="shared" si="1"/>
        <v>347863.23862685129</v>
      </c>
      <c r="AE21" s="84">
        <f t="shared" si="1"/>
        <v>362791.21776693384</v>
      </c>
      <c r="AF21" s="84">
        <f t="shared" si="1"/>
        <v>378465.59586402052</v>
      </c>
      <c r="AG21" s="84">
        <f t="shared" si="1"/>
        <v>394139.9739611072</v>
      </c>
      <c r="AH21" s="84">
        <f t="shared" si="1"/>
        <v>409814.35205819388</v>
      </c>
      <c r="AI21" s="84">
        <f t="shared" si="1"/>
        <v>425488.73015528056</v>
      </c>
      <c r="AJ21" s="84">
        <f t="shared" si="1"/>
        <v>441946.82715722156</v>
      </c>
      <c r="AK21" s="84">
        <f t="shared" si="1"/>
        <v>458404.92415916256</v>
      </c>
      <c r="AL21" s="84">
        <f t="shared" si="1"/>
        <v>474863.02116110356</v>
      </c>
      <c r="AM21" s="84">
        <f t="shared" si="1"/>
        <v>491321.11816304456</v>
      </c>
      <c r="AN21" s="84">
        <f t="shared" si="1"/>
        <v>508602.12001508265</v>
      </c>
      <c r="AO21" s="84">
        <f t="shared" si="1"/>
        <v>525883.12186712073</v>
      </c>
      <c r="AP21" s="84">
        <f t="shared" si="1"/>
        <v>543164.12371915882</v>
      </c>
      <c r="AQ21" s="84">
        <f t="shared" si="1"/>
        <v>560445.1255711969</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11139.487875000001</v>
      </c>
      <c r="E25" s="84">
        <f t="shared" si="3"/>
        <v>11139.487875000001</v>
      </c>
      <c r="F25" s="84">
        <f t="shared" si="3"/>
        <v>11139.487875000001</v>
      </c>
      <c r="G25" s="84">
        <f t="shared" si="3"/>
        <v>11139.487875000001</v>
      </c>
      <c r="H25" s="84">
        <f t="shared" si="3"/>
        <v>11696.462268750001</v>
      </c>
      <c r="I25" s="84">
        <f t="shared" si="3"/>
        <v>11696.462268750001</v>
      </c>
      <c r="J25" s="84">
        <f t="shared" si="3"/>
        <v>11696.462268750001</v>
      </c>
      <c r="K25" s="84">
        <f t="shared" si="3"/>
        <v>11696.462268750001</v>
      </c>
      <c r="L25" s="84">
        <f t="shared" si="3"/>
        <v>12281.285382187501</v>
      </c>
      <c r="M25" s="84">
        <f t="shared" si="3"/>
        <v>12281.285382187501</v>
      </c>
      <c r="N25" s="84">
        <f t="shared" si="3"/>
        <v>12281.285382187501</v>
      </c>
      <c r="O25" s="84">
        <f t="shared" si="3"/>
        <v>12281.285382187501</v>
      </c>
      <c r="P25" s="84">
        <f t="shared" si="3"/>
        <v>12895.349651296878</v>
      </c>
      <c r="Q25" s="84">
        <f t="shared" si="3"/>
        <v>12895.349651296878</v>
      </c>
      <c r="R25" s="84">
        <f t="shared" si="3"/>
        <v>12895.349651296878</v>
      </c>
      <c r="S25" s="84">
        <f t="shared" si="3"/>
        <v>12895.349651296878</v>
      </c>
      <c r="T25" s="84">
        <f t="shared" si="3"/>
        <v>13540.117133861722</v>
      </c>
      <c r="U25" s="84">
        <f t="shared" si="3"/>
        <v>13540.117133861722</v>
      </c>
      <c r="V25" s="84">
        <f t="shared" si="3"/>
        <v>13540.117133861722</v>
      </c>
      <c r="W25" s="84">
        <f t="shared" si="3"/>
        <v>13540.117133861722</v>
      </c>
      <c r="X25" s="84">
        <f t="shared" si="3"/>
        <v>14217.12299055481</v>
      </c>
      <c r="Y25" s="84">
        <f t="shared" si="3"/>
        <v>14217.12299055481</v>
      </c>
      <c r="Z25" s="84">
        <f t="shared" si="3"/>
        <v>14217.12299055481</v>
      </c>
      <c r="AA25" s="84">
        <f t="shared" si="3"/>
        <v>14217.12299055481</v>
      </c>
      <c r="AB25" s="84">
        <f t="shared" si="3"/>
        <v>14927.979140082552</v>
      </c>
      <c r="AC25" s="84">
        <f t="shared" si="3"/>
        <v>14927.979140082552</v>
      </c>
      <c r="AD25" s="84">
        <f t="shared" si="3"/>
        <v>14927.979140082552</v>
      </c>
      <c r="AE25" s="84">
        <f t="shared" si="3"/>
        <v>14927.979140082552</v>
      </c>
      <c r="AF25" s="84">
        <f t="shared" si="3"/>
        <v>15674.378097086679</v>
      </c>
      <c r="AG25" s="84">
        <f t="shared" si="3"/>
        <v>15674.378097086679</v>
      </c>
      <c r="AH25" s="84">
        <f t="shared" si="3"/>
        <v>15674.378097086679</v>
      </c>
      <c r="AI25" s="84">
        <f t="shared" si="3"/>
        <v>15674.378097086679</v>
      </c>
      <c r="AJ25" s="84">
        <f t="shared" si="3"/>
        <v>16458.097001941016</v>
      </c>
      <c r="AK25" s="84">
        <f t="shared" si="3"/>
        <v>16458.097001941016</v>
      </c>
      <c r="AL25" s="84">
        <f t="shared" si="3"/>
        <v>16458.097001941016</v>
      </c>
      <c r="AM25" s="84">
        <f t="shared" si="3"/>
        <v>16458.097001941016</v>
      </c>
      <c r="AN25" s="84">
        <f t="shared" si="3"/>
        <v>17281.001852038069</v>
      </c>
      <c r="AO25" s="84">
        <f t="shared" si="3"/>
        <v>17281.001852038069</v>
      </c>
      <c r="AP25" s="84">
        <f t="shared" si="3"/>
        <v>17281.001852038069</v>
      </c>
      <c r="AQ25" s="84">
        <f t="shared" si="3"/>
        <v>17281.001852038069</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'259Q-NR'!G115</f>
        <v>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'259Q-NR'!S120*1000</f>
        <v>222789.75750000001</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J45" sqref="J45"/>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06FB71D3-A37D-435E-A085-D669ECC07331}">
      <formula1>"Y,N"</formula1>
    </dataValidation>
  </dataValidations>
  <pageMargins left="0.75" right="0.75" top="1" bottom="1" header="0.5" footer="0.5"/>
  <pageSetup paperSize="9" orientation="portrait" r:id="rId2"/>
  <headerFooter alignWithMargins="0"/>
  <legacyDrawing r:id="rId3"/>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3C868-C7C0-4A11-899A-CF5E15F028C8}">
  <sheetPr codeName="Sheet47">
    <tabColor indexed="53"/>
  </sheetPr>
  <dimension ref="A4:M64"/>
  <sheetViews>
    <sheetView view="pageBreakPreview" topLeftCell="A3" zoomScale="130" zoomScaleNormal="100" zoomScaleSheetLayoutView="130" workbookViewId="0">
      <selection activeCell="J45" sqref="J45"/>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'259Q-NR'!C60</f>
        <v>23771</v>
      </c>
    </row>
    <row r="10" spans="1:13" ht="13">
      <c r="A10" s="109" t="s">
        <v>842</v>
      </c>
      <c r="B10" s="1007" t="s">
        <v>843</v>
      </c>
      <c r="C10" s="1008"/>
      <c r="D10" s="1008"/>
      <c r="E10" s="1008"/>
      <c r="F10" s="1008"/>
      <c r="G10" s="1008"/>
      <c r="H10" s="1008"/>
      <c r="I10" s="1008"/>
    </row>
    <row r="11" spans="1:13" ht="13">
      <c r="A11" s="109" t="s">
        <v>844</v>
      </c>
      <c r="B11" s="1009" t="str">
        <f>'259Q-NR'!A2</f>
        <v>259 Queen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SUM('259Q-IS'!C12:F12)</f>
        <v>0</v>
      </c>
      <c r="D25" s="119">
        <f>SUM('259Q-IS'!D12:G12)</f>
        <v>0</v>
      </c>
      <c r="E25" s="119">
        <f>SUM('259Q-IS'!H12:K12)</f>
        <v>0</v>
      </c>
      <c r="F25" s="119">
        <f>SUM('259Q-IS'!L12:O12)</f>
        <v>0</v>
      </c>
      <c r="G25" s="119">
        <f>SUM('259Q-IS'!P12:S12)</f>
        <v>0</v>
      </c>
      <c r="H25" s="119">
        <f>SUM('259Q-IS'!T12:W12)</f>
        <v>0</v>
      </c>
      <c r="I25" s="119">
        <f>SUM('259Q-IS'!X12:AA12)</f>
        <v>0</v>
      </c>
      <c r="J25" s="119">
        <f>SUM('259Q-IS'!AB12:AE12)</f>
        <v>0</v>
      </c>
      <c r="K25" s="119">
        <f>SUM('259Q-IS'!AF12:AI12)</f>
        <v>0</v>
      </c>
      <c r="L25" s="119">
        <f>SUM('259Q-IS'!AJ12:AM12)</f>
        <v>0</v>
      </c>
      <c r="M25" s="119">
        <f>SUM('259Q-IS'!AN12:AQ12)</f>
        <v>0</v>
      </c>
    </row>
    <row r="26" spans="1:13">
      <c r="A26" s="106" t="s">
        <v>804</v>
      </c>
      <c r="C26" s="120"/>
      <c r="D26" s="119">
        <f>SUM('259Q-IS'!D13:G13)</f>
        <v>0</v>
      </c>
      <c r="E26" s="119">
        <f>SUM('259Q-IS'!H13:K13)</f>
        <v>0</v>
      </c>
      <c r="F26" s="119">
        <f>SUM('259Q-IS'!L13:O13)</f>
        <v>0</v>
      </c>
      <c r="G26" s="119">
        <f>SUM('259Q-IS'!P13:S13)</f>
        <v>0</v>
      </c>
      <c r="H26" s="119">
        <f>SUM('259Q-IS'!T13:W13)</f>
        <v>0</v>
      </c>
      <c r="I26" s="119">
        <f>SUM('259Q-IS'!X13:AA13)</f>
        <v>0</v>
      </c>
      <c r="J26" s="119">
        <f>SUM('259Q-IS'!AB13:AE13)</f>
        <v>0</v>
      </c>
      <c r="K26" s="119">
        <f>SUM('259Q-IS'!AF13:AI13)</f>
        <v>0</v>
      </c>
      <c r="L26" s="119">
        <f>SUM('259Q-IS'!AJ13:AM13)</f>
        <v>0</v>
      </c>
      <c r="M26" s="119">
        <f>SUM('259Q-IS'!AN13:AQ13)</f>
        <v>0</v>
      </c>
    </row>
    <row r="27" spans="1:13">
      <c r="A27" s="106" t="s">
        <v>805</v>
      </c>
      <c r="C27" s="120"/>
      <c r="D27" s="119">
        <f>SUM('259Q-IS'!D15:G15)+SUM('259Q-IS'!D14:G14)</f>
        <v>44557.951500000003</v>
      </c>
      <c r="E27" s="119">
        <f>SUM('259Q-IS'!H15:K15)+SUM('259Q-IS'!H14:K14)</f>
        <v>46785.849075000006</v>
      </c>
      <c r="F27" s="119">
        <f>SUM('259Q-IS'!L15:O15)+SUM('259Q-IS'!L14:O14)</f>
        <v>49125.141528750006</v>
      </c>
      <c r="G27" s="119">
        <f>SUM('259Q-IS'!P15:S15)+SUM('259Q-IS'!P14:S14)</f>
        <v>51581.398605187511</v>
      </c>
      <c r="H27" s="119">
        <f>SUM('259Q-IS'!T15:W15)+SUM('259Q-IS'!T14:W14)</f>
        <v>54160.468535446889</v>
      </c>
      <c r="I27" s="119">
        <f>SUM('259Q-IS'!X15:AA15)+SUM('259Q-IS'!X14:AA14)</f>
        <v>56868.491962219239</v>
      </c>
      <c r="J27" s="119">
        <f>SUM('259Q-IS'!AB15:AE15)+SUM('259Q-IS'!AB14:AE14)</f>
        <v>59711.91656033021</v>
      </c>
      <c r="K27" s="119">
        <f>SUM('259Q-IS'!AF15:AI15)+SUM('259Q-IS'!AF14:AI14)</f>
        <v>62697.512388346717</v>
      </c>
      <c r="L27" s="119">
        <f>SUM('259Q-IS'!AJ15:AM15)+SUM('259Q-IS'!AJ14:AM14)</f>
        <v>65832.388007764064</v>
      </c>
      <c r="M27" s="119">
        <f>SUM('259Q-IS'!AN15:AQ15)+SUM('259Q-IS'!AN14:AQ14)</f>
        <v>69124.007408152276</v>
      </c>
    </row>
    <row r="28" spans="1:13">
      <c r="A28" s="106" t="s">
        <v>808</v>
      </c>
      <c r="C28" s="120"/>
      <c r="D28" s="119">
        <f>SUM('259Q-IS'!D16:G16)</f>
        <v>0</v>
      </c>
      <c r="E28" s="119">
        <f>SUM('259Q-IS'!H16:K16)</f>
        <v>0</v>
      </c>
      <c r="F28" s="119">
        <f>SUM('259Q-IS'!L16:O16)</f>
        <v>0</v>
      </c>
      <c r="G28" s="119">
        <f>SUM('259Q-IS'!P16:S16)</f>
        <v>0</v>
      </c>
      <c r="H28" s="119">
        <f>SUM('259Q-IS'!T16:W16)</f>
        <v>0</v>
      </c>
      <c r="I28" s="119">
        <f>SUM('259Q-IS'!X16:AA16)</f>
        <v>0</v>
      </c>
      <c r="J28" s="119">
        <f>SUM('259Q-IS'!AB16:AE16)</f>
        <v>0</v>
      </c>
      <c r="K28" s="119">
        <f>SUM('259Q-IS'!AF16:AI16)</f>
        <v>0</v>
      </c>
      <c r="L28" s="119">
        <f>SUM('259Q-IS'!AJ16:AM16)</f>
        <v>0</v>
      </c>
      <c r="M28" s="119">
        <f>SUM('259Q-IS'!AN16:AQ16)</f>
        <v>0</v>
      </c>
    </row>
    <row r="29" spans="1:13">
      <c r="A29" s="106" t="s">
        <v>809</v>
      </c>
      <c r="C29" s="120"/>
      <c r="D29" s="119">
        <f>SUM('259Q-IS'!D17:G17)</f>
        <v>0</v>
      </c>
      <c r="E29" s="119">
        <f>SUM('259Q-IS'!H17:K17)</f>
        <v>0</v>
      </c>
      <c r="F29" s="119">
        <f>SUM('259Q-IS'!L17:O17)</f>
        <v>0</v>
      </c>
      <c r="G29" s="119">
        <f>SUM('259Q-IS'!P17:S17)</f>
        <v>0</v>
      </c>
      <c r="H29" s="119">
        <f>SUM('259Q-IS'!T17:W17)</f>
        <v>0</v>
      </c>
      <c r="I29" s="119">
        <f>SUM('259Q-IS'!X17:AA17)</f>
        <v>0</v>
      </c>
      <c r="J29" s="119">
        <f>SUM('259Q-IS'!AB17:AE17)</f>
        <v>0</v>
      </c>
      <c r="K29" s="119">
        <f>SUM('259Q-IS'!AF17:AI17)</f>
        <v>0</v>
      </c>
      <c r="L29" s="119">
        <f>SUM('259Q-IS'!AJ17:AM17)</f>
        <v>0</v>
      </c>
      <c r="M29" s="119">
        <f>SUM('259Q-IS'!AN17:AQ17)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44557.951500000003</v>
      </c>
      <c r="E31" s="125">
        <f t="shared" si="0"/>
        <v>46785.849075000006</v>
      </c>
      <c r="F31" s="125">
        <f t="shared" si="0"/>
        <v>49125.141528750006</v>
      </c>
      <c r="G31" s="125">
        <f t="shared" si="0"/>
        <v>51581.398605187511</v>
      </c>
      <c r="H31" s="125">
        <f t="shared" si="0"/>
        <v>54160.468535446889</v>
      </c>
      <c r="I31" s="125">
        <f t="shared" si="0"/>
        <v>56868.491962219239</v>
      </c>
      <c r="J31" s="125">
        <f t="shared" si="0"/>
        <v>59711.91656033021</v>
      </c>
      <c r="K31" s="125">
        <f t="shared" si="0"/>
        <v>62697.512388346717</v>
      </c>
      <c r="L31" s="125">
        <f t="shared" si="0"/>
        <v>65832.388007764064</v>
      </c>
      <c r="M31" s="125">
        <f t="shared" si="0"/>
        <v>69124.007408152276</v>
      </c>
    </row>
    <row r="32" spans="1:13" ht="13" thickTop="1">
      <c r="A32" s="64" t="s">
        <v>860</v>
      </c>
      <c r="B32" s="79"/>
      <c r="C32" s="77"/>
      <c r="D32" s="152">
        <f>D31/$I$9</f>
        <v>1.8744668503638888</v>
      </c>
      <c r="E32" s="152">
        <f t="shared" ref="E32:M32" si="1">E31/$I$9</f>
        <v>1.9681901928820835</v>
      </c>
      <c r="F32" s="152">
        <f t="shared" si="1"/>
        <v>2.0665997025261875</v>
      </c>
      <c r="G32" s="152">
        <f t="shared" si="1"/>
        <v>2.1699296876524974</v>
      </c>
      <c r="H32" s="152">
        <f t="shared" si="1"/>
        <v>2.2784261720351222</v>
      </c>
      <c r="I32" s="152">
        <f t="shared" si="1"/>
        <v>2.3923474806368783</v>
      </c>
      <c r="J32" s="152">
        <f t="shared" si="1"/>
        <v>2.5119648546687228</v>
      </c>
      <c r="K32" s="152">
        <f t="shared" si="1"/>
        <v>2.6375630974021589</v>
      </c>
      <c r="L32" s="152">
        <f t="shared" si="1"/>
        <v>2.7694412522722671</v>
      </c>
      <c r="M32" s="152">
        <f t="shared" si="1"/>
        <v>2.9079133148858811</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'259Q-NR'!G67</f>
        <v>CURRENT</v>
      </c>
      <c r="J36" s="127" t="str">
        <f>'259Q-NR'!H67</f>
        <v>FY25</v>
      </c>
      <c r="K36" s="127" t="str">
        <f>'259Q-NR'!I67</f>
        <v>FY26</v>
      </c>
      <c r="L36" s="127" t="str">
        <f>'259Q-NR'!J67</f>
        <v>FY27</v>
      </c>
      <c r="M36" s="127" t="str">
        <f>'259Q-NR'!K67</f>
        <v>FY28</v>
      </c>
    </row>
    <row r="37" spans="1:13" ht="25.5">
      <c r="A37" s="128" t="s">
        <v>863</v>
      </c>
      <c r="B37" s="129" t="s">
        <v>864</v>
      </c>
      <c r="D37" s="117"/>
      <c r="E37" s="130"/>
      <c r="F37" s="117"/>
      <c r="G37" s="131" t="s">
        <v>865</v>
      </c>
      <c r="H37" s="132">
        <f>'259Q-NR'!S123</f>
        <v>5.9413377192982448</v>
      </c>
      <c r="I37" s="132">
        <f>'259Q-NR'!S124</f>
        <v>5.4825066741604607</v>
      </c>
      <c r="J37" s="132">
        <f>'259Q-NR'!S125</f>
        <v>5.4825066741604607</v>
      </c>
      <c r="K37" s="132">
        <f>'259Q-NR'!S126</f>
        <v>5.4825066802171643</v>
      </c>
      <c r="L37" s="117"/>
    </row>
    <row r="38" spans="1:13" ht="13">
      <c r="G38" s="131" t="s">
        <v>866</v>
      </c>
      <c r="I38" s="133">
        <f>'259Q-NR'!G115</f>
        <v>0</v>
      </c>
      <c r="J38" s="133"/>
      <c r="K38" s="133"/>
    </row>
    <row r="39" spans="1:13" ht="13">
      <c r="A39" s="106" t="s">
        <v>867</v>
      </c>
      <c r="B39" s="134">
        <v>0</v>
      </c>
      <c r="E39" s="117"/>
      <c r="F39" s="135"/>
      <c r="G39" s="131" t="s">
        <v>868</v>
      </c>
      <c r="I39" s="136" t="e">
        <f>IRR(C31:M31)</f>
        <v>#NUM!</v>
      </c>
    </row>
    <row r="40" spans="1:13" ht="13">
      <c r="A40" s="128"/>
      <c r="B40" s="137"/>
      <c r="G40" s="131" t="s">
        <v>869</v>
      </c>
      <c r="I40" s="133">
        <f>B43/B41-B43</f>
        <v>691215.65487114282</v>
      </c>
    </row>
    <row r="41" spans="1:13">
      <c r="A41" s="106" t="s">
        <v>870</v>
      </c>
      <c r="B41" s="138">
        <v>7.4999999999999997E-2</v>
      </c>
    </row>
    <row r="42" spans="1:13">
      <c r="A42" s="117"/>
    </row>
    <row r="43" spans="1:13">
      <c r="A43" s="139" t="s">
        <v>871</v>
      </c>
      <c r="B43" s="140">
        <f>SUMIF(D31:M31,"&lt;&gt;0")/COUNTIF(D31:M31,"&lt;&gt;0")</f>
        <v>56044.512557119691</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5.94133771929824 Stars</v>
      </c>
      <c r="G59" s="146">
        <f t="shared" si="2"/>
        <v>5.4825066741604607</v>
      </c>
      <c r="H59" s="146">
        <f t="shared" si="2"/>
        <v>5.4825066741604607</v>
      </c>
      <c r="I59" s="146">
        <f t="shared" si="2"/>
        <v>5.4825066802171643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f>I40</f>
        <v>691215.65487114282</v>
      </c>
      <c r="H64" s="143"/>
      <c r="I64" s="143"/>
      <c r="J64" s="143"/>
    </row>
  </sheetData>
  <customSheetViews>
    <customSheetView guid="{0FAFE012-8D9E-4ED0-86A4-A997E430971B}" scale="130" showPageBreaks="1" printArea="1" state="hidden" view="pageBreakPreview" topLeftCell="A3">
      <selection activeCell="J45" sqref="J45"/>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E37F4B02-AF39-4191-B491-18E30CEB0D6B}">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E71B9FCD-5FD4-4768-9130-E0A66001B612}">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7E4E-0AF6-4F47-9695-7285BD9816B0}">
  <sheetPr codeName="Sheet48">
    <tabColor theme="5" tint="0.39997558519241921"/>
  </sheetPr>
  <dimension ref="A2:AQ101"/>
  <sheetViews>
    <sheetView zoomScale="85" zoomScaleNormal="85" workbookViewId="0">
      <selection activeCell="J45" sqref="J45"/>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0</v>
      </c>
      <c r="E21" s="84">
        <f t="shared" si="1"/>
        <v>0</v>
      </c>
      <c r="F21" s="84">
        <f t="shared" si="1"/>
        <v>0</v>
      </c>
      <c r="G21" s="84">
        <f t="shared" si="1"/>
        <v>0</v>
      </c>
      <c r="H21" s="84">
        <f t="shared" si="1"/>
        <v>0</v>
      </c>
      <c r="I21" s="84">
        <f t="shared" si="1"/>
        <v>0</v>
      </c>
      <c r="J21" s="84">
        <f t="shared" si="1"/>
        <v>0</v>
      </c>
      <c r="K21" s="84">
        <f t="shared" si="1"/>
        <v>0</v>
      </c>
      <c r="L21" s="84">
        <f t="shared" si="1"/>
        <v>0</v>
      </c>
      <c r="M21" s="84">
        <f t="shared" si="1"/>
        <v>0</v>
      </c>
      <c r="N21" s="84">
        <f t="shared" si="1"/>
        <v>0</v>
      </c>
      <c r="O21" s="84">
        <f t="shared" si="1"/>
        <v>0</v>
      </c>
      <c r="P21" s="84">
        <f t="shared" si="1"/>
        <v>0</v>
      </c>
      <c r="Q21" s="84">
        <f t="shared" si="1"/>
        <v>0</v>
      </c>
      <c r="R21" s="84">
        <f t="shared" si="1"/>
        <v>0</v>
      </c>
      <c r="S21" s="84">
        <f t="shared" si="1"/>
        <v>0</v>
      </c>
      <c r="T21" s="84">
        <f t="shared" si="1"/>
        <v>0</v>
      </c>
      <c r="U21" s="84">
        <f t="shared" si="1"/>
        <v>0</v>
      </c>
      <c r="V21" s="84">
        <f t="shared" si="1"/>
        <v>0</v>
      </c>
      <c r="W21" s="84">
        <f t="shared" si="1"/>
        <v>0</v>
      </c>
      <c r="X21" s="84">
        <f t="shared" si="1"/>
        <v>0</v>
      </c>
      <c r="Y21" s="84">
        <f t="shared" si="1"/>
        <v>0</v>
      </c>
      <c r="Z21" s="84">
        <f t="shared" si="1"/>
        <v>0</v>
      </c>
      <c r="AA21" s="84">
        <f t="shared" si="1"/>
        <v>0</v>
      </c>
      <c r="AB21" s="84">
        <f t="shared" si="1"/>
        <v>0</v>
      </c>
      <c r="AC21" s="84">
        <f t="shared" si="1"/>
        <v>0</v>
      </c>
      <c r="AD21" s="84">
        <f t="shared" si="1"/>
        <v>0</v>
      </c>
      <c r="AE21" s="84">
        <f t="shared" si="1"/>
        <v>0</v>
      </c>
      <c r="AF21" s="84">
        <f t="shared" si="1"/>
        <v>0</v>
      </c>
      <c r="AG21" s="84">
        <f t="shared" si="1"/>
        <v>0</v>
      </c>
      <c r="AH21" s="84">
        <f t="shared" si="1"/>
        <v>0</v>
      </c>
      <c r="AI21" s="84">
        <f t="shared" si="1"/>
        <v>0</v>
      </c>
      <c r="AJ21" s="84">
        <f t="shared" si="1"/>
        <v>0</v>
      </c>
      <c r="AK21" s="84">
        <f t="shared" si="1"/>
        <v>0</v>
      </c>
      <c r="AL21" s="84">
        <f t="shared" si="1"/>
        <v>0</v>
      </c>
      <c r="AM21" s="84">
        <f t="shared" si="1"/>
        <v>0</v>
      </c>
      <c r="AN21" s="84">
        <f t="shared" si="1"/>
        <v>0</v>
      </c>
      <c r="AO21" s="84">
        <f t="shared" si="1"/>
        <v>0</v>
      </c>
      <c r="AP21" s="84">
        <f t="shared" si="1"/>
        <v>0</v>
      </c>
      <c r="AQ21" s="84">
        <f t="shared" si="1"/>
        <v>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'120C-NR'!G115</f>
        <v>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'120C-NR'!S120*1000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J45" sqref="J45"/>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63BC6C0C-4D27-4233-B0AE-8966F21B1B74}">
      <formula1>"Y,N"</formula1>
    </dataValidation>
  </dataValidations>
  <pageMargins left="0.75" right="0.75" top="1" bottom="1" header="0.5" footer="0.5"/>
  <pageSetup paperSize="9" orientation="portrait" r:id="rId2"/>
  <headerFooter alignWithMargins="0"/>
  <legacyDrawing r:id="rId3"/>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F6A9B-49E3-4D44-A970-A7E3568980B7}">
  <sheetPr codeName="Sheet49">
    <tabColor indexed="53"/>
  </sheetPr>
  <dimension ref="A4:M64"/>
  <sheetViews>
    <sheetView view="pageBreakPreview" topLeftCell="A3" zoomScale="130" zoomScaleNormal="100" zoomScaleSheetLayoutView="130" workbookViewId="0">
      <selection activeCell="J45" sqref="J45"/>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'120C-NR'!C60</f>
        <v>50900</v>
      </c>
    </row>
    <row r="10" spans="1:13" ht="13">
      <c r="A10" s="109" t="s">
        <v>842</v>
      </c>
      <c r="B10" s="1007" t="s">
        <v>843</v>
      </c>
      <c r="C10" s="1008"/>
      <c r="D10" s="1008"/>
      <c r="E10" s="1008"/>
      <c r="F10" s="1008"/>
      <c r="G10" s="1008"/>
      <c r="H10" s="1008"/>
      <c r="I10" s="1008"/>
    </row>
    <row r="11" spans="1:13" ht="13">
      <c r="A11" s="109" t="s">
        <v>844</v>
      </c>
      <c r="B11" s="1009" t="str">
        <f>'120C-NR'!A2</f>
        <v>120 Collins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SUM('120C-IS'!C12:F12)</f>
        <v>0</v>
      </c>
      <c r="D25" s="119">
        <f>SUM('120C-IS'!D12:G12)</f>
        <v>0</v>
      </c>
      <c r="E25" s="119">
        <f>SUM('120C-IS'!H12:K12)</f>
        <v>0</v>
      </c>
      <c r="F25" s="119">
        <f>SUM('120C-IS'!L12:O12)</f>
        <v>0</v>
      </c>
      <c r="G25" s="119">
        <f>SUM('120C-IS'!P12:S12)</f>
        <v>0</v>
      </c>
      <c r="H25" s="119">
        <f>SUM('120C-IS'!T12:W12)</f>
        <v>0</v>
      </c>
      <c r="I25" s="119">
        <f>SUM('120C-IS'!X12:AA12)</f>
        <v>0</v>
      </c>
      <c r="J25" s="119">
        <f>SUM('120C-IS'!AB12:AE12)</f>
        <v>0</v>
      </c>
      <c r="K25" s="119">
        <f>SUM('120C-IS'!AF12:AI12)</f>
        <v>0</v>
      </c>
      <c r="L25" s="119">
        <f>SUM('120C-IS'!AJ12:AM12)</f>
        <v>0</v>
      </c>
      <c r="M25" s="119">
        <f>SUM('120C-IS'!AN12:AQ12)</f>
        <v>0</v>
      </c>
    </row>
    <row r="26" spans="1:13">
      <c r="A26" s="106" t="s">
        <v>804</v>
      </c>
      <c r="C26" s="120"/>
      <c r="D26" s="119">
        <f>SUM('120C-IS'!D13:G13)</f>
        <v>0</v>
      </c>
      <c r="E26" s="119">
        <f>SUM('120C-IS'!H13:K13)</f>
        <v>0</v>
      </c>
      <c r="F26" s="119">
        <f>SUM('120C-IS'!L13:O13)</f>
        <v>0</v>
      </c>
      <c r="G26" s="119">
        <f>SUM('120C-IS'!P13:S13)</f>
        <v>0</v>
      </c>
      <c r="H26" s="119">
        <f>SUM('120C-IS'!T13:W13)</f>
        <v>0</v>
      </c>
      <c r="I26" s="119">
        <f>SUM('120C-IS'!X13:AA13)</f>
        <v>0</v>
      </c>
      <c r="J26" s="119">
        <f>SUM('120C-IS'!AB13:AE13)</f>
        <v>0</v>
      </c>
      <c r="K26" s="119">
        <f>SUM('120C-IS'!AF13:AI13)</f>
        <v>0</v>
      </c>
      <c r="L26" s="119">
        <f>SUM('120C-IS'!AJ13:AM13)</f>
        <v>0</v>
      </c>
      <c r="M26" s="119">
        <f>SUM('120C-IS'!AN13:AQ13)</f>
        <v>0</v>
      </c>
    </row>
    <row r="27" spans="1:13">
      <c r="A27" s="106" t="s">
        <v>805</v>
      </c>
      <c r="C27" s="120"/>
      <c r="D27" s="119">
        <f>SUM('120C-IS'!D15:G15)+SUM('120C-IS'!D14:G14)</f>
        <v>0</v>
      </c>
      <c r="E27" s="119">
        <f>SUM('120C-IS'!H15:K15)+SUM('120C-IS'!H14:K14)</f>
        <v>0</v>
      </c>
      <c r="F27" s="119">
        <f>SUM('120C-IS'!L15:O15)+SUM('120C-IS'!L14:O14)</f>
        <v>0</v>
      </c>
      <c r="G27" s="119">
        <f>SUM('120C-IS'!P15:S15)+SUM('120C-IS'!P14:S14)</f>
        <v>0</v>
      </c>
      <c r="H27" s="119">
        <f>SUM('120C-IS'!T15:W15)+SUM('120C-IS'!T14:W14)</f>
        <v>0</v>
      </c>
      <c r="I27" s="119">
        <f>SUM('120C-IS'!X15:AA15)+SUM('120C-IS'!X14:AA14)</f>
        <v>0</v>
      </c>
      <c r="J27" s="119">
        <f>SUM('120C-IS'!AB15:AE15)+SUM('120C-IS'!AB14:AE14)</f>
        <v>0</v>
      </c>
      <c r="K27" s="119">
        <f>SUM('120C-IS'!AF15:AI15)+SUM('120C-IS'!AF14:AI14)</f>
        <v>0</v>
      </c>
      <c r="L27" s="119">
        <f>SUM('120C-IS'!AJ15:AM15)+SUM('120C-IS'!AJ14:AM14)</f>
        <v>0</v>
      </c>
      <c r="M27" s="119">
        <f>SUM('120C-IS'!AN15:AQ15)+SUM('120C-IS'!AN14:AQ14)</f>
        <v>0</v>
      </c>
    </row>
    <row r="28" spans="1:13">
      <c r="A28" s="106" t="s">
        <v>808</v>
      </c>
      <c r="C28" s="120"/>
      <c r="D28" s="119">
        <f>SUM('120C-IS'!D16:G16)</f>
        <v>0</v>
      </c>
      <c r="E28" s="119">
        <f>SUM('120C-IS'!H16:K16)</f>
        <v>0</v>
      </c>
      <c r="F28" s="119">
        <f>SUM('120C-IS'!L16:O16)</f>
        <v>0</v>
      </c>
      <c r="G28" s="119">
        <f>SUM('120C-IS'!P16:S16)</f>
        <v>0</v>
      </c>
      <c r="H28" s="119">
        <f>SUM('120C-IS'!T16:W16)</f>
        <v>0</v>
      </c>
      <c r="I28" s="119">
        <f>SUM('120C-IS'!X16:AA16)</f>
        <v>0</v>
      </c>
      <c r="J28" s="119">
        <f>SUM('120C-IS'!AB16:AE16)</f>
        <v>0</v>
      </c>
      <c r="K28" s="119">
        <f>SUM('120C-IS'!AF16:AI16)</f>
        <v>0</v>
      </c>
      <c r="L28" s="119">
        <f>SUM('120C-IS'!AJ16:AM16)</f>
        <v>0</v>
      </c>
      <c r="M28" s="119">
        <f>SUM('120C-IS'!AN16:AQ16)</f>
        <v>0</v>
      </c>
    </row>
    <row r="29" spans="1:13">
      <c r="A29" s="106" t="s">
        <v>809</v>
      </c>
      <c r="C29" s="120"/>
      <c r="D29" s="119">
        <f>SUM('120C-IS'!D17:G17)</f>
        <v>0</v>
      </c>
      <c r="E29" s="119">
        <f>SUM('120C-IS'!H17:K17)</f>
        <v>0</v>
      </c>
      <c r="F29" s="119">
        <f>SUM('120C-IS'!L17:O17)</f>
        <v>0</v>
      </c>
      <c r="G29" s="119">
        <f>SUM('120C-IS'!P17:S17)</f>
        <v>0</v>
      </c>
      <c r="H29" s="119">
        <f>SUM('120C-IS'!T17:W17)</f>
        <v>0</v>
      </c>
      <c r="I29" s="119">
        <f>SUM('120C-IS'!X17:AA17)</f>
        <v>0</v>
      </c>
      <c r="J29" s="119">
        <f>SUM('120C-IS'!AB17:AE17)</f>
        <v>0</v>
      </c>
      <c r="K29" s="119">
        <f>SUM('120C-IS'!AF17:AI17)</f>
        <v>0</v>
      </c>
      <c r="L29" s="119">
        <f>SUM('120C-IS'!AJ17:AM17)</f>
        <v>0</v>
      </c>
      <c r="M29" s="119">
        <f>SUM('120C-IS'!AN17:AQ17)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'120C-NR'!G67</f>
        <v>CURRENT</v>
      </c>
      <c r="J36" s="127" t="str">
        <f>'120C-NR'!H67</f>
        <v>FY25</v>
      </c>
      <c r="K36" s="127" t="str">
        <f>'120C-NR'!I67</f>
        <v>FY26</v>
      </c>
      <c r="L36" s="127" t="str">
        <f>'120C-NR'!J67</f>
        <v>FY27</v>
      </c>
      <c r="M36" s="127" t="str">
        <f>'120C-NR'!K67</f>
        <v>FY28</v>
      </c>
    </row>
    <row r="37" spans="1:13" ht="25.5">
      <c r="A37" s="128" t="s">
        <v>863</v>
      </c>
      <c r="B37" s="129" t="s">
        <v>864</v>
      </c>
      <c r="D37" s="117"/>
      <c r="E37" s="130"/>
      <c r="F37" s="117"/>
      <c r="G37" s="131" t="s">
        <v>865</v>
      </c>
      <c r="H37" s="132">
        <f>'120C-NR'!S123</f>
        <v>4.2064719358533793</v>
      </c>
      <c r="I37" s="132">
        <f>'120C-NR'!S124</f>
        <v>4.2064719358533793</v>
      </c>
      <c r="J37" s="132">
        <f>'120C-NR'!S125</f>
        <v>4.2064719358533793</v>
      </c>
      <c r="K37" s="132">
        <f>'120C-NR'!S126</f>
        <v>4.2064719358533793</v>
      </c>
      <c r="L37" s="117"/>
    </row>
    <row r="38" spans="1:13" ht="13">
      <c r="G38" s="131" t="s">
        <v>866</v>
      </c>
      <c r="I38" s="133">
        <f>'120C-NR'!G115</f>
        <v>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4.20647193585338 Stars</v>
      </c>
      <c r="G59" s="146">
        <f t="shared" si="2"/>
        <v>4.2064719358533793</v>
      </c>
      <c r="H59" s="146">
        <f t="shared" si="2"/>
        <v>4.2064719358533793</v>
      </c>
      <c r="I59" s="146">
        <f t="shared" si="2"/>
        <v>4.2064719358533793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J45" sqref="J45"/>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F2215EF3-1C03-4BC2-99E3-C28689A2EBC8}">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398171D1-32CC-478A-9497-D1221AD7F187}">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96D79-D072-418E-997D-4E6397A39AF6}">
  <sheetPr codeName="Sheet51">
    <tabColor theme="5" tint="0.39997558519241921"/>
  </sheetPr>
  <dimension ref="A2:AQ101"/>
  <sheetViews>
    <sheetView zoomScale="85" zoomScaleNormal="85" workbookViewId="0">
      <selection activeCell="J45" sqref="J45"/>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-9500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11615</v>
      </c>
      <c r="E15" s="81">
        <f>(0.25*$F$28*$J29)*(1-$B$6+$B$6/2)</f>
        <v>11615</v>
      </c>
      <c r="F15" s="81">
        <f>(0.25*$F$28*$J29)*(1-$B$6+$B$6/2)</f>
        <v>11615</v>
      </c>
      <c r="G15" s="81">
        <f>(0.25*$F$28*$J29)*(1-$B$6+$B$6/2)</f>
        <v>11615</v>
      </c>
      <c r="H15" s="86">
        <f>(0.25*$F$28*$K29)*(1-$B$6+$B$6/2)</f>
        <v>12195.75</v>
      </c>
      <c r="I15" s="86">
        <f>(0.25*$F$28*$K29)*(1-$B$6+$B$6/2)</f>
        <v>12195.75</v>
      </c>
      <c r="J15" s="86">
        <f>(0.25*$F$28*$K29)*(1-$B$6+$B$6/2)</f>
        <v>12195.75</v>
      </c>
      <c r="K15" s="86">
        <f>(0.25*$F$28*$K29)*(1-$B$6+$B$6/2)</f>
        <v>12195.75</v>
      </c>
      <c r="L15" s="86">
        <f>(0.25*$F$28*$L29)*(1-$B$6+$B$6/2)</f>
        <v>12805.5375</v>
      </c>
      <c r="M15" s="86">
        <f>(0.25*$F$28*$L29)*(1-$B$6+$B$6/2)</f>
        <v>12805.5375</v>
      </c>
      <c r="N15" s="86">
        <f>(0.25*$F$28*$L29)*(1-$B$6+$B$6/2)</f>
        <v>12805.5375</v>
      </c>
      <c r="O15" s="86">
        <f>(0.25*$F$28*$L29)*(1-$B$6+$B$6/2)</f>
        <v>12805.5375</v>
      </c>
      <c r="P15" s="86">
        <f>(0.25*$F$28*$M29)*(1-$B$6+$B$6/2)</f>
        <v>13445.814375</v>
      </c>
      <c r="Q15" s="86">
        <f>(0.25*$F$28*$M29)*(1-$B$6+$B$6/2)</f>
        <v>13445.814375</v>
      </c>
      <c r="R15" s="86">
        <f>(0.25*$F$28*$M29)*(1-$B$6+$B$6/2)</f>
        <v>13445.814375</v>
      </c>
      <c r="S15" s="86">
        <f>(0.25*$F$28*$M29)*(1-$B$6+$B$6/2)</f>
        <v>13445.814375</v>
      </c>
      <c r="T15" s="86">
        <f>(0.25*$F$28*$N29)*(1-$B$6+$B$6/2)</f>
        <v>14118.10509375</v>
      </c>
      <c r="U15" s="86">
        <f>(0.25*$F$28*$N29)*(1-$B$6+$B$6/2)</f>
        <v>14118.10509375</v>
      </c>
      <c r="V15" s="86">
        <f>(0.25*$F$28*$N29)*(1-$B$6+$B$6/2)</f>
        <v>14118.10509375</v>
      </c>
      <c r="W15" s="86">
        <f>(0.25*$F$28*$N29)*(1-$B$6+$B$6/2)</f>
        <v>14118.10509375</v>
      </c>
      <c r="X15" s="86">
        <f>(0.25*$F$28*$O29)*(1-$B$6+$B$6/2)</f>
        <v>14824.010348437503</v>
      </c>
      <c r="Y15" s="86">
        <f>(0.25*$F$28*$O29)*(1-$B$6+$B$6/2)</f>
        <v>14824.010348437503</v>
      </c>
      <c r="Z15" s="86">
        <f>(0.25*$F$28*$O29)*(1-$B$6+$B$6/2)</f>
        <v>14824.010348437503</v>
      </c>
      <c r="AA15" s="86">
        <f>(0.25*$F$28*$O29)*(1-$B$6+$B$6/2)</f>
        <v>14824.010348437503</v>
      </c>
      <c r="AB15" s="86">
        <f>(0.25*$F$28*$P29)*(1-$B$6+$B$6/2)</f>
        <v>15565.210865859381</v>
      </c>
      <c r="AC15" s="86">
        <f>(0.25*$F$28*$P29)*(1-$B$6+$B$6/2)</f>
        <v>15565.210865859381</v>
      </c>
      <c r="AD15" s="86">
        <f>(0.25*$F$28*$P29)*(1-$B$6+$B$6/2)</f>
        <v>15565.210865859381</v>
      </c>
      <c r="AE15" s="86">
        <f>(0.25*$F$28*$P29)*(1-$B$6+$B$6/2)</f>
        <v>15565.210865859381</v>
      </c>
      <c r="AF15" s="86">
        <f>(0.25*$F$28*$Q29)*(1-$B$6+$B$6/2)</f>
        <v>16343.471409152349</v>
      </c>
      <c r="AG15" s="86">
        <f>(0.25*$F$28*$Q29)*(1-$B$6+$B$6/2)</f>
        <v>16343.471409152349</v>
      </c>
      <c r="AH15" s="86">
        <f>(0.25*$F$28*$Q29)*(1-$B$6+$B$6/2)</f>
        <v>16343.471409152349</v>
      </c>
      <c r="AI15" s="86">
        <f>(0.25*$F$28*$Q29)*(1-$B$6+$B$6/2)</f>
        <v>16343.471409152349</v>
      </c>
      <c r="AJ15" s="86">
        <f>(0.25*$F$28*$R29)*(1-$B$6+$B$6/2)</f>
        <v>17160.64497960997</v>
      </c>
      <c r="AK15" s="86">
        <f>(0.25*$F$28*$R29)*(1-$B$6+$B$6/2)</f>
        <v>17160.64497960997</v>
      </c>
      <c r="AL15" s="86">
        <f>(0.25*$F$28*$R29)*(1-$B$6+$B$6/2)</f>
        <v>17160.64497960997</v>
      </c>
      <c r="AM15" s="86">
        <f>(0.25*$F$28*$R29)*(1-$B$6+$B$6/2)</f>
        <v>17160.64497960997</v>
      </c>
      <c r="AN15" s="86">
        <f>(0.25*$F$28*$S29)*(1-$B$6+$B$6/2)</f>
        <v>18018.67722859047</v>
      </c>
      <c r="AO15" s="86">
        <f>(0.25*$F$28*$S29)*(1-$B$6+$B$6/2)</f>
        <v>18018.67722859047</v>
      </c>
      <c r="AP15" s="86">
        <f>(0.25*$F$28*$S29)*(1-$B$6+$B$6/2)</f>
        <v>18018.67722859047</v>
      </c>
      <c r="AQ15" s="86">
        <f>(0.25*$F$28*$S29)*(1-$B$6+$B$6/2)</f>
        <v>18018.67722859047</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-9500</v>
      </c>
      <c r="D19" s="91">
        <f t="shared" si="0"/>
        <v>11615</v>
      </c>
      <c r="E19" s="92">
        <f t="shared" si="0"/>
        <v>11615</v>
      </c>
      <c r="F19" s="92">
        <f t="shared" si="0"/>
        <v>11615</v>
      </c>
      <c r="G19" s="90">
        <f t="shared" si="0"/>
        <v>11615</v>
      </c>
      <c r="H19" s="91">
        <f t="shared" si="0"/>
        <v>12195.75</v>
      </c>
      <c r="I19" s="92">
        <f t="shared" si="0"/>
        <v>12195.75</v>
      </c>
      <c r="J19" s="92">
        <f t="shared" si="0"/>
        <v>12195.75</v>
      </c>
      <c r="K19" s="90">
        <f t="shared" si="0"/>
        <v>12195.75</v>
      </c>
      <c r="L19" s="91">
        <f t="shared" si="0"/>
        <v>12805.5375</v>
      </c>
      <c r="M19" s="92">
        <f t="shared" si="0"/>
        <v>12805.5375</v>
      </c>
      <c r="N19" s="92">
        <f t="shared" si="0"/>
        <v>12805.5375</v>
      </c>
      <c r="O19" s="90">
        <f t="shared" si="0"/>
        <v>12805.5375</v>
      </c>
      <c r="P19" s="91">
        <f t="shared" si="0"/>
        <v>13445.814375</v>
      </c>
      <c r="Q19" s="92">
        <f t="shared" si="0"/>
        <v>13445.814375</v>
      </c>
      <c r="R19" s="92">
        <f t="shared" si="0"/>
        <v>13445.814375</v>
      </c>
      <c r="S19" s="90">
        <f t="shared" si="0"/>
        <v>13445.814375</v>
      </c>
      <c r="T19" s="91">
        <f t="shared" si="0"/>
        <v>14118.10509375</v>
      </c>
      <c r="U19" s="92">
        <f t="shared" si="0"/>
        <v>14118.10509375</v>
      </c>
      <c r="V19" s="92">
        <f t="shared" si="0"/>
        <v>14118.10509375</v>
      </c>
      <c r="W19" s="90">
        <f t="shared" si="0"/>
        <v>14118.10509375</v>
      </c>
      <c r="X19" s="91">
        <f t="shared" si="0"/>
        <v>14824.010348437503</v>
      </c>
      <c r="Y19" s="92">
        <f t="shared" si="0"/>
        <v>14824.010348437503</v>
      </c>
      <c r="Z19" s="92">
        <f t="shared" si="0"/>
        <v>14824.010348437503</v>
      </c>
      <c r="AA19" s="90">
        <f t="shared" si="0"/>
        <v>14824.010348437503</v>
      </c>
      <c r="AB19" s="91">
        <f t="shared" si="0"/>
        <v>15565.210865859381</v>
      </c>
      <c r="AC19" s="92">
        <f t="shared" si="0"/>
        <v>15565.210865859381</v>
      </c>
      <c r="AD19" s="92">
        <f t="shared" si="0"/>
        <v>15565.210865859381</v>
      </c>
      <c r="AE19" s="90">
        <f t="shared" si="0"/>
        <v>15565.210865859381</v>
      </c>
      <c r="AF19" s="91">
        <f t="shared" si="0"/>
        <v>16343.471409152349</v>
      </c>
      <c r="AG19" s="92">
        <f t="shared" si="0"/>
        <v>16343.471409152349</v>
      </c>
      <c r="AH19" s="92">
        <f t="shared" si="0"/>
        <v>16343.471409152349</v>
      </c>
      <c r="AI19" s="90">
        <f t="shared" si="0"/>
        <v>16343.471409152349</v>
      </c>
      <c r="AJ19" s="91">
        <f t="shared" si="0"/>
        <v>17160.64497960997</v>
      </c>
      <c r="AK19" s="92">
        <f t="shared" si="0"/>
        <v>17160.64497960997</v>
      </c>
      <c r="AL19" s="92">
        <f t="shared" si="0"/>
        <v>17160.64497960997</v>
      </c>
      <c r="AM19" s="90">
        <f t="shared" si="0"/>
        <v>17160.64497960997</v>
      </c>
      <c r="AN19" s="91">
        <f t="shared" si="0"/>
        <v>18018.67722859047</v>
      </c>
      <c r="AO19" s="92">
        <f t="shared" si="0"/>
        <v>18018.67722859047</v>
      </c>
      <c r="AP19" s="92">
        <f t="shared" si="0"/>
        <v>18018.67722859047</v>
      </c>
      <c r="AQ19" s="90">
        <f t="shared" si="0"/>
        <v>18018.67722859047</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-9500</v>
      </c>
      <c r="D21" s="84">
        <f t="shared" ref="D21:AQ21" si="1">+C21+D19</f>
        <v>2115</v>
      </c>
      <c r="E21" s="84">
        <f t="shared" si="1"/>
        <v>13730</v>
      </c>
      <c r="F21" s="84">
        <f t="shared" si="1"/>
        <v>25345</v>
      </c>
      <c r="G21" s="84">
        <f t="shared" si="1"/>
        <v>36960</v>
      </c>
      <c r="H21" s="84">
        <f t="shared" si="1"/>
        <v>49155.75</v>
      </c>
      <c r="I21" s="84">
        <f t="shared" si="1"/>
        <v>61351.5</v>
      </c>
      <c r="J21" s="84">
        <f t="shared" si="1"/>
        <v>73547.25</v>
      </c>
      <c r="K21" s="84">
        <f t="shared" si="1"/>
        <v>85743</v>
      </c>
      <c r="L21" s="84">
        <f t="shared" si="1"/>
        <v>98548.537500000006</v>
      </c>
      <c r="M21" s="84">
        <f t="shared" si="1"/>
        <v>111354.07500000001</v>
      </c>
      <c r="N21" s="84">
        <f t="shared" si="1"/>
        <v>124159.61250000002</v>
      </c>
      <c r="O21" s="84">
        <f t="shared" si="1"/>
        <v>136965.15000000002</v>
      </c>
      <c r="P21" s="84">
        <f t="shared" si="1"/>
        <v>150410.96437500001</v>
      </c>
      <c r="Q21" s="84">
        <f t="shared" si="1"/>
        <v>163856.77875</v>
      </c>
      <c r="R21" s="84">
        <f t="shared" si="1"/>
        <v>177302.59312499998</v>
      </c>
      <c r="S21" s="84">
        <f t="shared" si="1"/>
        <v>190748.40749999997</v>
      </c>
      <c r="T21" s="84">
        <f t="shared" si="1"/>
        <v>204866.51259374997</v>
      </c>
      <c r="U21" s="84">
        <f t="shared" si="1"/>
        <v>218984.61768749997</v>
      </c>
      <c r="V21" s="84">
        <f t="shared" si="1"/>
        <v>233102.72278124996</v>
      </c>
      <c r="W21" s="84">
        <f t="shared" si="1"/>
        <v>247220.82787499996</v>
      </c>
      <c r="X21" s="84">
        <f t="shared" si="1"/>
        <v>262044.83822343746</v>
      </c>
      <c r="Y21" s="84">
        <f t="shared" si="1"/>
        <v>276868.84857187496</v>
      </c>
      <c r="Z21" s="84">
        <f t="shared" si="1"/>
        <v>291692.85892031249</v>
      </c>
      <c r="AA21" s="84">
        <f t="shared" si="1"/>
        <v>306516.86926875002</v>
      </c>
      <c r="AB21" s="84">
        <f t="shared" si="1"/>
        <v>322082.08013460942</v>
      </c>
      <c r="AC21" s="84">
        <f t="shared" si="1"/>
        <v>337647.29100046883</v>
      </c>
      <c r="AD21" s="84">
        <f t="shared" si="1"/>
        <v>353212.50186632824</v>
      </c>
      <c r="AE21" s="84">
        <f t="shared" si="1"/>
        <v>368777.71273218765</v>
      </c>
      <c r="AF21" s="84">
        <f t="shared" si="1"/>
        <v>385121.18414133997</v>
      </c>
      <c r="AG21" s="84">
        <f t="shared" si="1"/>
        <v>401464.65555049235</v>
      </c>
      <c r="AH21" s="84">
        <f t="shared" si="1"/>
        <v>417808.12695964472</v>
      </c>
      <c r="AI21" s="84">
        <f t="shared" si="1"/>
        <v>434151.5983687971</v>
      </c>
      <c r="AJ21" s="84">
        <f t="shared" si="1"/>
        <v>451312.24334840709</v>
      </c>
      <c r="AK21" s="84">
        <f t="shared" si="1"/>
        <v>468472.88832801708</v>
      </c>
      <c r="AL21" s="84">
        <f t="shared" si="1"/>
        <v>485633.53330762708</v>
      </c>
      <c r="AM21" s="84">
        <f t="shared" si="1"/>
        <v>502794.17828723707</v>
      </c>
      <c r="AN21" s="84">
        <f t="shared" si="1"/>
        <v>520812.85551582754</v>
      </c>
      <c r="AO21" s="84">
        <f t="shared" si="1"/>
        <v>538831.53274441801</v>
      </c>
      <c r="AP21" s="84">
        <f t="shared" si="1"/>
        <v>556850.20997300849</v>
      </c>
      <c r="AQ21" s="84">
        <f t="shared" si="1"/>
        <v>574868.88720159896</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-9500</v>
      </c>
      <c r="D25" s="84">
        <f t="shared" si="3"/>
        <v>11615</v>
      </c>
      <c r="E25" s="84">
        <f t="shared" si="3"/>
        <v>11615</v>
      </c>
      <c r="F25" s="84">
        <f t="shared" si="3"/>
        <v>11615</v>
      </c>
      <c r="G25" s="84">
        <f t="shared" si="3"/>
        <v>11615</v>
      </c>
      <c r="H25" s="84">
        <f t="shared" si="3"/>
        <v>12195.75</v>
      </c>
      <c r="I25" s="84">
        <f t="shared" si="3"/>
        <v>12195.75</v>
      </c>
      <c r="J25" s="84">
        <f t="shared" si="3"/>
        <v>12195.75</v>
      </c>
      <c r="K25" s="84">
        <f t="shared" si="3"/>
        <v>12195.75</v>
      </c>
      <c r="L25" s="84">
        <f t="shared" si="3"/>
        <v>12805.5375</v>
      </c>
      <c r="M25" s="84">
        <f t="shared" si="3"/>
        <v>12805.5375</v>
      </c>
      <c r="N25" s="84">
        <f t="shared" si="3"/>
        <v>12805.5375</v>
      </c>
      <c r="O25" s="84">
        <f t="shared" si="3"/>
        <v>12805.5375</v>
      </c>
      <c r="P25" s="84">
        <f t="shared" si="3"/>
        <v>13445.814375</v>
      </c>
      <c r="Q25" s="84">
        <f t="shared" si="3"/>
        <v>13445.814375</v>
      </c>
      <c r="R25" s="84">
        <f t="shared" si="3"/>
        <v>13445.814375</v>
      </c>
      <c r="S25" s="84">
        <f t="shared" si="3"/>
        <v>13445.814375</v>
      </c>
      <c r="T25" s="84">
        <f t="shared" si="3"/>
        <v>14118.10509375</v>
      </c>
      <c r="U25" s="84">
        <f t="shared" si="3"/>
        <v>14118.10509375</v>
      </c>
      <c r="V25" s="84">
        <f t="shared" si="3"/>
        <v>14118.10509375</v>
      </c>
      <c r="W25" s="84">
        <f t="shared" si="3"/>
        <v>14118.10509375</v>
      </c>
      <c r="X25" s="84">
        <f t="shared" si="3"/>
        <v>14824.010348437503</v>
      </c>
      <c r="Y25" s="84">
        <f t="shared" si="3"/>
        <v>14824.010348437503</v>
      </c>
      <c r="Z25" s="84">
        <f t="shared" si="3"/>
        <v>14824.010348437503</v>
      </c>
      <c r="AA25" s="84">
        <f t="shared" si="3"/>
        <v>14824.010348437503</v>
      </c>
      <c r="AB25" s="84">
        <f t="shared" si="3"/>
        <v>15565.210865859381</v>
      </c>
      <c r="AC25" s="84">
        <f t="shared" si="3"/>
        <v>15565.210865859381</v>
      </c>
      <c r="AD25" s="84">
        <f t="shared" si="3"/>
        <v>15565.210865859381</v>
      </c>
      <c r="AE25" s="84">
        <f t="shared" si="3"/>
        <v>15565.210865859381</v>
      </c>
      <c r="AF25" s="84">
        <f t="shared" si="3"/>
        <v>16343.471409152349</v>
      </c>
      <c r="AG25" s="84">
        <f t="shared" si="3"/>
        <v>16343.471409152349</v>
      </c>
      <c r="AH25" s="84">
        <f t="shared" si="3"/>
        <v>16343.471409152349</v>
      </c>
      <c r="AI25" s="84">
        <f t="shared" si="3"/>
        <v>16343.471409152349</v>
      </c>
      <c r="AJ25" s="84">
        <f t="shared" si="3"/>
        <v>17160.64497960997</v>
      </c>
      <c r="AK25" s="84">
        <f t="shared" si="3"/>
        <v>17160.64497960997</v>
      </c>
      <c r="AL25" s="84">
        <f t="shared" si="3"/>
        <v>17160.64497960997</v>
      </c>
      <c r="AM25" s="84">
        <f t="shared" si="3"/>
        <v>17160.64497960997</v>
      </c>
      <c r="AN25" s="84">
        <f t="shared" si="3"/>
        <v>18018.67722859047</v>
      </c>
      <c r="AO25" s="84">
        <f t="shared" si="3"/>
        <v>18018.67722859047</v>
      </c>
      <c r="AP25" s="84">
        <f t="shared" si="3"/>
        <v>18018.67722859047</v>
      </c>
      <c r="AQ25" s="84">
        <f t="shared" si="3"/>
        <v>18018.67722859047</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'567C-NR'!G115</f>
        <v>9500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'567C-NR'!S120*1000</f>
        <v>232299.99999999997</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J45" sqref="J45"/>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7DB67414-A3D8-476D-AE31-BEA02B9FB3A0}">
      <formula1>"Y,N"</formula1>
    </dataValidation>
  </dataValidations>
  <pageMargins left="0.75" right="0.75" top="1" bottom="1" header="0.5" footer="0.5"/>
  <pageSetup paperSize="9" orientation="portrait" r:id="rId2"/>
  <headerFooter alignWithMargins="0"/>
  <legacyDrawing r:id="rId3"/>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6E24-55D2-4140-A905-87C9C83633EC}">
  <sheetPr codeName="Sheet52">
    <tabColor indexed="53"/>
  </sheetPr>
  <dimension ref="A4:M64"/>
  <sheetViews>
    <sheetView view="pageBreakPreview" topLeftCell="A3" zoomScale="130" zoomScaleNormal="100" zoomScaleSheetLayoutView="130" workbookViewId="0">
      <selection activeCell="J45" sqref="J45"/>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'567C-NR'!C60</f>
        <v>47563.3</v>
      </c>
    </row>
    <row r="10" spans="1:13" ht="13">
      <c r="A10" s="109" t="s">
        <v>842</v>
      </c>
      <c r="B10" s="1007" t="s">
        <v>843</v>
      </c>
      <c r="C10" s="1008"/>
      <c r="D10" s="1008"/>
      <c r="E10" s="1008"/>
      <c r="F10" s="1008"/>
      <c r="G10" s="1008"/>
      <c r="H10" s="1008"/>
      <c r="I10" s="1008"/>
    </row>
    <row r="11" spans="1:13" ht="13">
      <c r="A11" s="109" t="s">
        <v>844</v>
      </c>
      <c r="B11" s="1009" t="str">
        <f>'567C-NR'!A2</f>
        <v>567 Collins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SUM('567C-IS'!C12:F12)</f>
        <v>-9500</v>
      </c>
      <c r="D25" s="119">
        <f>SUM('567C-IS'!D12:G12)</f>
        <v>0</v>
      </c>
      <c r="E25" s="119">
        <f>SUM('567C-IS'!H12:K12)</f>
        <v>0</v>
      </c>
      <c r="F25" s="119">
        <f>SUM('567C-IS'!L12:O12)</f>
        <v>0</v>
      </c>
      <c r="G25" s="119">
        <f>SUM('567C-IS'!P12:S12)</f>
        <v>0</v>
      </c>
      <c r="H25" s="119">
        <f>SUM('567C-IS'!T12:W12)</f>
        <v>0</v>
      </c>
      <c r="I25" s="119">
        <f>SUM('567C-IS'!X12:AA12)</f>
        <v>0</v>
      </c>
      <c r="J25" s="119">
        <f>SUM('567C-IS'!AB12:AE12)</f>
        <v>0</v>
      </c>
      <c r="K25" s="119">
        <f>SUM('567C-IS'!AF12:AI12)</f>
        <v>0</v>
      </c>
      <c r="L25" s="119">
        <f>SUM('567C-IS'!AJ12:AM12)</f>
        <v>0</v>
      </c>
      <c r="M25" s="119">
        <f>SUM('567C-IS'!AN12:AQ12)</f>
        <v>0</v>
      </c>
    </row>
    <row r="26" spans="1:13">
      <c r="A26" s="106" t="s">
        <v>804</v>
      </c>
      <c r="C26" s="120"/>
      <c r="D26" s="119">
        <f>SUM('567C-IS'!D13:G13)</f>
        <v>0</v>
      </c>
      <c r="E26" s="119">
        <f>SUM('567C-IS'!H13:K13)</f>
        <v>0</v>
      </c>
      <c r="F26" s="119">
        <f>SUM('567C-IS'!L13:O13)</f>
        <v>0</v>
      </c>
      <c r="G26" s="119">
        <f>SUM('567C-IS'!P13:S13)</f>
        <v>0</v>
      </c>
      <c r="H26" s="119">
        <f>SUM('567C-IS'!T13:W13)</f>
        <v>0</v>
      </c>
      <c r="I26" s="119">
        <f>SUM('567C-IS'!X13:AA13)</f>
        <v>0</v>
      </c>
      <c r="J26" s="119">
        <f>SUM('567C-IS'!AB13:AE13)</f>
        <v>0</v>
      </c>
      <c r="K26" s="119">
        <f>SUM('567C-IS'!AF13:AI13)</f>
        <v>0</v>
      </c>
      <c r="L26" s="119">
        <f>SUM('567C-IS'!AJ13:AM13)</f>
        <v>0</v>
      </c>
      <c r="M26" s="119">
        <f>SUM('567C-IS'!AN13:AQ13)</f>
        <v>0</v>
      </c>
    </row>
    <row r="27" spans="1:13">
      <c r="A27" s="106" t="s">
        <v>805</v>
      </c>
      <c r="C27" s="120"/>
      <c r="D27" s="119">
        <f>SUM('567C-IS'!D15:G15)+SUM('567C-IS'!D14:G14)</f>
        <v>46460</v>
      </c>
      <c r="E27" s="119">
        <f>SUM('567C-IS'!H15:K15)+SUM('567C-IS'!H14:K14)</f>
        <v>48783</v>
      </c>
      <c r="F27" s="119">
        <f>SUM('567C-IS'!L15:O15)+SUM('567C-IS'!L14:O14)</f>
        <v>51222.15</v>
      </c>
      <c r="G27" s="119">
        <f>SUM('567C-IS'!P15:S15)+SUM('567C-IS'!P14:S14)</f>
        <v>53783.2575</v>
      </c>
      <c r="H27" s="119">
        <f>SUM('567C-IS'!T15:W15)+SUM('567C-IS'!T14:W14)</f>
        <v>56472.420375000002</v>
      </c>
      <c r="I27" s="119">
        <f>SUM('567C-IS'!X15:AA15)+SUM('567C-IS'!X14:AA14)</f>
        <v>59296.041393750013</v>
      </c>
      <c r="J27" s="119">
        <f>SUM('567C-IS'!AB15:AE15)+SUM('567C-IS'!AB14:AE14)</f>
        <v>62260.843463437523</v>
      </c>
      <c r="K27" s="119">
        <f>SUM('567C-IS'!AF15:AI15)+SUM('567C-IS'!AF14:AI14)</f>
        <v>65373.885636609397</v>
      </c>
      <c r="L27" s="119">
        <f>SUM('567C-IS'!AJ15:AM15)+SUM('567C-IS'!AJ14:AM14)</f>
        <v>68642.579918439878</v>
      </c>
      <c r="M27" s="119">
        <f>SUM('567C-IS'!AN15:AQ15)+SUM('567C-IS'!AN14:AQ14)</f>
        <v>72074.70891436188</v>
      </c>
    </row>
    <row r="28" spans="1:13">
      <c r="A28" s="106" t="s">
        <v>808</v>
      </c>
      <c r="C28" s="120"/>
      <c r="D28" s="119">
        <f>SUM('567C-IS'!D16:G16)</f>
        <v>0</v>
      </c>
      <c r="E28" s="119">
        <f>SUM('567C-IS'!H16:K16)</f>
        <v>0</v>
      </c>
      <c r="F28" s="119">
        <f>SUM('567C-IS'!L16:O16)</f>
        <v>0</v>
      </c>
      <c r="G28" s="119">
        <f>SUM('567C-IS'!P16:S16)</f>
        <v>0</v>
      </c>
      <c r="H28" s="119">
        <f>SUM('567C-IS'!T16:W16)</f>
        <v>0</v>
      </c>
      <c r="I28" s="119">
        <f>SUM('567C-IS'!X16:AA16)</f>
        <v>0</v>
      </c>
      <c r="J28" s="119">
        <f>SUM('567C-IS'!AB16:AE16)</f>
        <v>0</v>
      </c>
      <c r="K28" s="119">
        <f>SUM('567C-IS'!AF16:AI16)</f>
        <v>0</v>
      </c>
      <c r="L28" s="119">
        <f>SUM('567C-IS'!AJ16:AM16)</f>
        <v>0</v>
      </c>
      <c r="M28" s="119">
        <f>SUM('567C-IS'!AN16:AQ16)</f>
        <v>0</v>
      </c>
    </row>
    <row r="29" spans="1:13">
      <c r="A29" s="106" t="s">
        <v>809</v>
      </c>
      <c r="C29" s="120"/>
      <c r="D29" s="119">
        <f>SUM('567C-IS'!D17:G17)</f>
        <v>0</v>
      </c>
      <c r="E29" s="119">
        <f>SUM('567C-IS'!H17:K17)</f>
        <v>0</v>
      </c>
      <c r="F29" s="119">
        <f>SUM('567C-IS'!L17:O17)</f>
        <v>0</v>
      </c>
      <c r="G29" s="119">
        <f>SUM('567C-IS'!P17:S17)</f>
        <v>0</v>
      </c>
      <c r="H29" s="119">
        <f>SUM('567C-IS'!T17:W17)</f>
        <v>0</v>
      </c>
      <c r="I29" s="119">
        <f>SUM('567C-IS'!X17:AA17)</f>
        <v>0</v>
      </c>
      <c r="J29" s="119">
        <f>SUM('567C-IS'!AB17:AE17)</f>
        <v>0</v>
      </c>
      <c r="K29" s="119">
        <f>SUM('567C-IS'!AF17:AI17)</f>
        <v>0</v>
      </c>
      <c r="L29" s="119">
        <f>SUM('567C-IS'!AJ17:AM17)</f>
        <v>0</v>
      </c>
      <c r="M29" s="119">
        <f>SUM('567C-IS'!AN17:AQ17)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-9500</v>
      </c>
      <c r="D31" s="124">
        <f t="shared" si="0"/>
        <v>46460</v>
      </c>
      <c r="E31" s="125">
        <f t="shared" si="0"/>
        <v>48783</v>
      </c>
      <c r="F31" s="125">
        <f t="shared" si="0"/>
        <v>51222.15</v>
      </c>
      <c r="G31" s="125">
        <f t="shared" si="0"/>
        <v>53783.2575</v>
      </c>
      <c r="H31" s="125">
        <f t="shared" si="0"/>
        <v>56472.420375000002</v>
      </c>
      <c r="I31" s="125">
        <f t="shared" si="0"/>
        <v>59296.041393750013</v>
      </c>
      <c r="J31" s="125">
        <f t="shared" si="0"/>
        <v>62260.843463437523</v>
      </c>
      <c r="K31" s="125">
        <f t="shared" si="0"/>
        <v>65373.885636609397</v>
      </c>
      <c r="L31" s="125">
        <f t="shared" si="0"/>
        <v>68642.579918439878</v>
      </c>
      <c r="M31" s="125">
        <f t="shared" si="0"/>
        <v>72074.70891436188</v>
      </c>
    </row>
    <row r="32" spans="1:13" ht="13" thickTop="1">
      <c r="A32" s="64" t="s">
        <v>860</v>
      </c>
      <c r="B32" s="79"/>
      <c r="C32" s="77"/>
      <c r="D32" s="152">
        <f>D31/$I$9</f>
        <v>0.97680354390885404</v>
      </c>
      <c r="E32" s="152">
        <f t="shared" ref="E32:M32" si="1">E31/$I$9</f>
        <v>1.0256437211042968</v>
      </c>
      <c r="F32" s="152">
        <f t="shared" si="1"/>
        <v>1.0769259071595116</v>
      </c>
      <c r="G32" s="152">
        <f t="shared" si="1"/>
        <v>1.1307722025174871</v>
      </c>
      <c r="H32" s="152">
        <f t="shared" si="1"/>
        <v>1.1873108126433616</v>
      </c>
      <c r="I32" s="152">
        <f t="shared" si="1"/>
        <v>1.2466763532755298</v>
      </c>
      <c r="J32" s="152">
        <f t="shared" si="1"/>
        <v>1.3090101709393065</v>
      </c>
      <c r="K32" s="152">
        <f t="shared" si="1"/>
        <v>1.3744606794862719</v>
      </c>
      <c r="L32" s="152">
        <f t="shared" si="1"/>
        <v>1.4431837134605856</v>
      </c>
      <c r="M32" s="152">
        <f t="shared" si="1"/>
        <v>1.5153428991336151</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'567C-NR'!G67</f>
        <v>CURRENT</v>
      </c>
      <c r="J36" s="127" t="str">
        <f>'567C-NR'!H67</f>
        <v>FY25</v>
      </c>
      <c r="K36" s="127" t="str">
        <f>'567C-NR'!I67</f>
        <v>FY26</v>
      </c>
      <c r="L36" s="127" t="str">
        <f>'567C-NR'!J67</f>
        <v>FY27</v>
      </c>
      <c r="M36" s="127" t="str">
        <f>'567C-NR'!K67</f>
        <v>FY28</v>
      </c>
    </row>
    <row r="37" spans="1:13" ht="25.5">
      <c r="A37" s="128" t="s">
        <v>863</v>
      </c>
      <c r="B37" s="129" t="s">
        <v>864</v>
      </c>
      <c r="D37" s="117"/>
      <c r="E37" s="130"/>
      <c r="F37" s="117"/>
      <c r="G37" s="131" t="s">
        <v>865</v>
      </c>
      <c r="H37" s="132">
        <f>'567C-NR'!S123</f>
        <v>5.8616838487972514</v>
      </c>
      <c r="I37" s="132">
        <f>'567C-NR'!S124</f>
        <v>5.7617711039606681</v>
      </c>
      <c r="J37" s="132">
        <f>'567C-NR'!S125</f>
        <v>5.7937039159584529</v>
      </c>
      <c r="K37" s="132">
        <f>'567C-NR'!S126</f>
        <v>5.8427640888844419</v>
      </c>
      <c r="L37" s="117"/>
    </row>
    <row r="38" spans="1:13" ht="13">
      <c r="G38" s="131" t="s">
        <v>866</v>
      </c>
      <c r="I38" s="133">
        <f>'567C-NR'!G115</f>
        <v>9500</v>
      </c>
      <c r="J38" s="133"/>
      <c r="K38" s="133"/>
    </row>
    <row r="39" spans="1:13" ht="13">
      <c r="A39" s="106" t="s">
        <v>867</v>
      </c>
      <c r="B39" s="134">
        <v>0</v>
      </c>
      <c r="E39" s="117"/>
      <c r="F39" s="135"/>
      <c r="G39" s="131" t="s">
        <v>868</v>
      </c>
      <c r="I39" s="136">
        <f>IRR(C31:M31)</f>
        <v>4.9405261702437482</v>
      </c>
    </row>
    <row r="40" spans="1:13" ht="13">
      <c r="A40" s="128"/>
      <c r="B40" s="137"/>
      <c r="G40" s="131" t="s">
        <v>869</v>
      </c>
      <c r="I40" s="133">
        <f>B43/B41-B43</f>
        <v>720721.62754863838</v>
      </c>
    </row>
    <row r="41" spans="1:13">
      <c r="A41" s="106" t="s">
        <v>870</v>
      </c>
      <c r="B41" s="138">
        <v>7.4999999999999997E-2</v>
      </c>
    </row>
    <row r="42" spans="1:13">
      <c r="A42" s="117"/>
    </row>
    <row r="43" spans="1:13">
      <c r="A43" s="139" t="s">
        <v>871</v>
      </c>
      <c r="B43" s="140">
        <f>SUMIF(D31:M31,"&lt;&gt;0")/COUNTIF(D31:M31,"&lt;&gt;0")</f>
        <v>58436.88872015987</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5.86168384879725 Stars</v>
      </c>
      <c r="G59" s="146">
        <f t="shared" si="2"/>
        <v>5.7617711039606681</v>
      </c>
      <c r="H59" s="146">
        <f t="shared" si="2"/>
        <v>5.7937039159584529</v>
      </c>
      <c r="I59" s="146">
        <f t="shared" si="2"/>
        <v>5.8427640888844419</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9500</v>
      </c>
      <c r="H62" s="149">
        <f>J38</f>
        <v>0</v>
      </c>
      <c r="I62" s="149">
        <f>K38</f>
        <v>0</v>
      </c>
      <c r="J62" s="143"/>
    </row>
    <row r="63" spans="5:10" ht="17.5">
      <c r="E63" s="143"/>
      <c r="F63" s="147"/>
      <c r="G63" s="150">
        <f>I39</f>
        <v>4.9405261702437482</v>
      </c>
      <c r="H63" s="147"/>
      <c r="I63" s="147"/>
      <c r="J63" s="143"/>
    </row>
    <row r="64" spans="5:10" ht="17.5">
      <c r="E64" s="143"/>
      <c r="F64" s="143"/>
      <c r="G64" s="151">
        <f>I40</f>
        <v>720721.62754863838</v>
      </c>
      <c r="H64" s="143"/>
      <c r="I64" s="143"/>
      <c r="J64" s="143"/>
    </row>
  </sheetData>
  <customSheetViews>
    <customSheetView guid="{0FAFE012-8D9E-4ED0-86A4-A997E430971B}" scale="130" showPageBreaks="1" printArea="1" state="hidden" view="pageBreakPreview" topLeftCell="A3">
      <selection activeCell="J45" sqref="J45"/>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3B246A36-01D2-4663-9118-54033D5D82DB}">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B887F9FB-4A98-46D7-8559-52F6A5A0614F}">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DFC0-F404-45BA-92EA-00A2C793E604}">
  <sheetPr codeName="Sheet54">
    <tabColor theme="5" tint="0.39997558519241921"/>
  </sheetPr>
  <dimension ref="A2:AQ101"/>
  <sheetViews>
    <sheetView zoomScale="85" zoomScaleNormal="85" workbookViewId="0">
      <selection activeCell="J45" sqref="J45"/>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0</v>
      </c>
      <c r="E21" s="84">
        <f t="shared" si="1"/>
        <v>0</v>
      </c>
      <c r="F21" s="84">
        <f t="shared" si="1"/>
        <v>0</v>
      </c>
      <c r="G21" s="84">
        <f t="shared" si="1"/>
        <v>0</v>
      </c>
      <c r="H21" s="84">
        <f t="shared" si="1"/>
        <v>0</v>
      </c>
      <c r="I21" s="84">
        <f t="shared" si="1"/>
        <v>0</v>
      </c>
      <c r="J21" s="84">
        <f t="shared" si="1"/>
        <v>0</v>
      </c>
      <c r="K21" s="84">
        <f t="shared" si="1"/>
        <v>0</v>
      </c>
      <c r="L21" s="84">
        <f t="shared" si="1"/>
        <v>0</v>
      </c>
      <c r="M21" s="84">
        <f t="shared" si="1"/>
        <v>0</v>
      </c>
      <c r="N21" s="84">
        <f t="shared" si="1"/>
        <v>0</v>
      </c>
      <c r="O21" s="84">
        <f t="shared" si="1"/>
        <v>0</v>
      </c>
      <c r="P21" s="84">
        <f t="shared" si="1"/>
        <v>0</v>
      </c>
      <c r="Q21" s="84">
        <f t="shared" si="1"/>
        <v>0</v>
      </c>
      <c r="R21" s="84">
        <f t="shared" si="1"/>
        <v>0</v>
      </c>
      <c r="S21" s="84">
        <f t="shared" si="1"/>
        <v>0</v>
      </c>
      <c r="T21" s="84">
        <f t="shared" si="1"/>
        <v>0</v>
      </c>
      <c r="U21" s="84">
        <f t="shared" si="1"/>
        <v>0</v>
      </c>
      <c r="V21" s="84">
        <f t="shared" si="1"/>
        <v>0</v>
      </c>
      <c r="W21" s="84">
        <f t="shared" si="1"/>
        <v>0</v>
      </c>
      <c r="X21" s="84">
        <f t="shared" si="1"/>
        <v>0</v>
      </c>
      <c r="Y21" s="84">
        <f t="shared" si="1"/>
        <v>0</v>
      </c>
      <c r="Z21" s="84">
        <f t="shared" si="1"/>
        <v>0</v>
      </c>
      <c r="AA21" s="84">
        <f t="shared" si="1"/>
        <v>0</v>
      </c>
      <c r="AB21" s="84">
        <f t="shared" si="1"/>
        <v>0</v>
      </c>
      <c r="AC21" s="84">
        <f t="shared" si="1"/>
        <v>0</v>
      </c>
      <c r="AD21" s="84">
        <f t="shared" si="1"/>
        <v>0</v>
      </c>
      <c r="AE21" s="84">
        <f t="shared" si="1"/>
        <v>0</v>
      </c>
      <c r="AF21" s="84">
        <f t="shared" si="1"/>
        <v>0</v>
      </c>
      <c r="AG21" s="84">
        <f t="shared" si="1"/>
        <v>0</v>
      </c>
      <c r="AH21" s="84">
        <f t="shared" si="1"/>
        <v>0</v>
      </c>
      <c r="AI21" s="84">
        <f t="shared" si="1"/>
        <v>0</v>
      </c>
      <c r="AJ21" s="84">
        <f t="shared" si="1"/>
        <v>0</v>
      </c>
      <c r="AK21" s="84">
        <f t="shared" si="1"/>
        <v>0</v>
      </c>
      <c r="AL21" s="84">
        <f t="shared" si="1"/>
        <v>0</v>
      </c>
      <c r="AM21" s="84">
        <f t="shared" si="1"/>
        <v>0</v>
      </c>
      <c r="AN21" s="84">
        <f t="shared" si="1"/>
        <v>0</v>
      </c>
      <c r="AO21" s="84">
        <f t="shared" si="1"/>
        <v>0</v>
      </c>
      <c r="AP21" s="84">
        <f t="shared" si="1"/>
        <v>0</v>
      </c>
      <c r="AQ21" s="84">
        <f t="shared" si="1"/>
        <v>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'220L-NR'!G115</f>
        <v>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'220L-NR'!S120*1000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J45" sqref="J45"/>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8AEEC23F-CFAC-4974-8E09-76D5F7612D29}">
      <formula1>"Y,N"</formula1>
    </dataValidation>
  </dataValidations>
  <pageMargins left="0.75" right="0.75" top="1" bottom="1" header="0.5" footer="0.5"/>
  <pageSetup paperSize="9" orientation="portrait" r:id="rId2"/>
  <headerFooter alignWithMargins="0"/>
  <legacyDrawing r:id="rId3"/>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D0A73-0C3F-4F60-A9E8-C863C7C25C67}">
  <sheetPr codeName="Sheet55">
    <tabColor indexed="53"/>
  </sheetPr>
  <dimension ref="A4:M64"/>
  <sheetViews>
    <sheetView view="pageBreakPreview" topLeftCell="A3" zoomScale="130" zoomScaleNormal="100" zoomScaleSheetLayoutView="130" workbookViewId="0">
      <selection activeCell="J45" sqref="J45"/>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'220L-NR'!C60</f>
        <v>20860.96</v>
      </c>
    </row>
    <row r="10" spans="1:13" ht="13">
      <c r="A10" s="109" t="s">
        <v>842</v>
      </c>
      <c r="B10" s="1007" t="s">
        <v>843</v>
      </c>
      <c r="C10" s="1008"/>
      <c r="D10" s="1008"/>
      <c r="E10" s="1008"/>
      <c r="F10" s="1008"/>
      <c r="G10" s="1008"/>
      <c r="H10" s="1008"/>
      <c r="I10" s="1008"/>
    </row>
    <row r="11" spans="1:13" ht="13">
      <c r="A11" s="109" t="s">
        <v>844</v>
      </c>
      <c r="B11" s="1009" t="str">
        <f>'220L-NR'!A2</f>
        <v>220 London Circuit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SUM('575B-IS'!C12:F12)</f>
        <v>0</v>
      </c>
      <c r="D25" s="119">
        <f>SUM('575B-IS'!D12:G12)</f>
        <v>0</v>
      </c>
      <c r="E25" s="119">
        <f>SUM('575B-IS'!H12:K12)</f>
        <v>0</v>
      </c>
      <c r="F25" s="119">
        <f>SUM('575B-IS'!L12:O12)</f>
        <v>0</v>
      </c>
      <c r="G25" s="119">
        <f>SUM('575B-IS'!P12:S12)</f>
        <v>0</v>
      </c>
      <c r="H25" s="119">
        <f>SUM('575B-IS'!T12:W12)</f>
        <v>0</v>
      </c>
      <c r="I25" s="119">
        <f>SUM('575B-IS'!X12:AA12)</f>
        <v>0</v>
      </c>
      <c r="J25" s="119">
        <f>SUM('575B-IS'!AB12:AE12)</f>
        <v>0</v>
      </c>
      <c r="K25" s="119">
        <f>SUM('575B-IS'!AF12:AI12)</f>
        <v>0</v>
      </c>
      <c r="L25" s="119">
        <f>SUM('575B-IS'!AJ12:AM12)</f>
        <v>0</v>
      </c>
      <c r="M25" s="119">
        <f>SUM('575B-IS'!AN12:AQ12)</f>
        <v>0</v>
      </c>
    </row>
    <row r="26" spans="1:13">
      <c r="A26" s="106" t="s">
        <v>804</v>
      </c>
      <c r="C26" s="120"/>
      <c r="D26" s="119">
        <f>SUM('575B-IS'!D13:G13)</f>
        <v>0</v>
      </c>
      <c r="E26" s="119">
        <f>SUM('575B-IS'!H13:K13)</f>
        <v>0</v>
      </c>
      <c r="F26" s="119">
        <f>SUM('575B-IS'!L13:O13)</f>
        <v>0</v>
      </c>
      <c r="G26" s="119">
        <f>SUM('575B-IS'!P13:S13)</f>
        <v>0</v>
      </c>
      <c r="H26" s="119">
        <f>SUM('575B-IS'!T13:W13)</f>
        <v>0</v>
      </c>
      <c r="I26" s="119">
        <f>SUM('575B-IS'!X13:AA13)</f>
        <v>0</v>
      </c>
      <c r="J26" s="119">
        <f>SUM('575B-IS'!AB13:AE13)</f>
        <v>0</v>
      </c>
      <c r="K26" s="119">
        <f>SUM('575B-IS'!AF13:AI13)</f>
        <v>0</v>
      </c>
      <c r="L26" s="119">
        <f>SUM('575B-IS'!AJ13:AM13)</f>
        <v>0</v>
      </c>
      <c r="M26" s="119">
        <f>SUM('575B-IS'!AN13:AQ13)</f>
        <v>0</v>
      </c>
    </row>
    <row r="27" spans="1:13">
      <c r="A27" s="106" t="s">
        <v>805</v>
      </c>
      <c r="C27" s="120"/>
      <c r="D27" s="119">
        <f>SUM('575B-IS'!D15:G15)+SUM('575B-IS'!D14:G14)</f>
        <v>0</v>
      </c>
      <c r="E27" s="119">
        <f>SUM('575B-IS'!H15:K15)+SUM('575B-IS'!H14:K14)</f>
        <v>0</v>
      </c>
      <c r="F27" s="119">
        <f>SUM('575B-IS'!L15:O15)+SUM('575B-IS'!L14:O14)</f>
        <v>0</v>
      </c>
      <c r="G27" s="119">
        <f>SUM('575B-IS'!P15:S15)+SUM('575B-IS'!P14:S14)</f>
        <v>0</v>
      </c>
      <c r="H27" s="119">
        <f>SUM('575B-IS'!T15:W15)+SUM('575B-IS'!T14:W14)</f>
        <v>0</v>
      </c>
      <c r="I27" s="119">
        <f>SUM('575B-IS'!X15:AA15)+SUM('575B-IS'!X14:AA14)</f>
        <v>0</v>
      </c>
      <c r="J27" s="119">
        <f>SUM('575B-IS'!AB15:AE15)+SUM('575B-IS'!AB14:AE14)</f>
        <v>0</v>
      </c>
      <c r="K27" s="119">
        <f>SUM('575B-IS'!AF15:AI15)+SUM('575B-IS'!AF14:AI14)</f>
        <v>0</v>
      </c>
      <c r="L27" s="119">
        <f>SUM('575B-IS'!AJ15:AM15)+SUM('575B-IS'!AJ14:AM14)</f>
        <v>0</v>
      </c>
      <c r="M27" s="119">
        <f>SUM('575B-IS'!AN15:AQ15)+SUM('575B-IS'!AN14:AQ14)</f>
        <v>0</v>
      </c>
    </row>
    <row r="28" spans="1:13">
      <c r="A28" s="106" t="s">
        <v>808</v>
      </c>
      <c r="C28" s="120"/>
      <c r="D28" s="119">
        <f>SUM('575B-IS'!D16:G16)</f>
        <v>0</v>
      </c>
      <c r="E28" s="119">
        <f>SUM('575B-IS'!H16:K16)</f>
        <v>0</v>
      </c>
      <c r="F28" s="119">
        <f>SUM('575B-IS'!L16:O16)</f>
        <v>0</v>
      </c>
      <c r="G28" s="119">
        <f>SUM('575B-IS'!P16:S16)</f>
        <v>0</v>
      </c>
      <c r="H28" s="119">
        <f>SUM('575B-IS'!T16:W16)</f>
        <v>0</v>
      </c>
      <c r="I28" s="119">
        <f>SUM('575B-IS'!X16:AA16)</f>
        <v>0</v>
      </c>
      <c r="J28" s="119">
        <f>SUM('575B-IS'!AB16:AE16)</f>
        <v>0</v>
      </c>
      <c r="K28" s="119">
        <f>SUM('575B-IS'!AF16:AI16)</f>
        <v>0</v>
      </c>
      <c r="L28" s="119">
        <f>SUM('575B-IS'!AJ16:AM16)</f>
        <v>0</v>
      </c>
      <c r="M28" s="119">
        <f>SUM('575B-IS'!AN16:AQ16)</f>
        <v>0</v>
      </c>
    </row>
    <row r="29" spans="1:13">
      <c r="A29" s="106" t="s">
        <v>809</v>
      </c>
      <c r="C29" s="120"/>
      <c r="D29" s="119">
        <f>SUM('575B-IS'!D17:G17)</f>
        <v>0</v>
      </c>
      <c r="E29" s="119">
        <f>SUM('575B-IS'!H17:K17)</f>
        <v>0</v>
      </c>
      <c r="F29" s="119">
        <f>SUM('575B-IS'!L17:O17)</f>
        <v>0</v>
      </c>
      <c r="G29" s="119">
        <f>SUM('575B-IS'!P17:S17)</f>
        <v>0</v>
      </c>
      <c r="H29" s="119">
        <f>SUM('575B-IS'!T17:W17)</f>
        <v>0</v>
      </c>
      <c r="I29" s="119">
        <f>SUM('575B-IS'!X17:AA17)</f>
        <v>0</v>
      </c>
      <c r="J29" s="119">
        <f>SUM('575B-IS'!AB17:AE17)</f>
        <v>0</v>
      </c>
      <c r="K29" s="119">
        <f>SUM('575B-IS'!AF17:AI17)</f>
        <v>0</v>
      </c>
      <c r="L29" s="119">
        <f>SUM('575B-IS'!AJ17:AM17)</f>
        <v>0</v>
      </c>
      <c r="M29" s="119">
        <f>SUM('575B-IS'!AN17:AQ17)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'220L-NR'!G67</f>
        <v>CURRENT</v>
      </c>
      <c r="J36" s="127" t="str">
        <f>'220L-NR'!H67</f>
        <v>FY25</v>
      </c>
      <c r="K36" s="127" t="str">
        <f>'220L-NR'!I67</f>
        <v>FY26</v>
      </c>
      <c r="L36" s="127" t="str">
        <f>'220L-NR'!J67</f>
        <v>FY27</v>
      </c>
      <c r="M36" s="127" t="str">
        <f>'220L-NR'!K67</f>
        <v>FY28</v>
      </c>
    </row>
    <row r="37" spans="1:13" ht="25.5">
      <c r="A37" s="128" t="s">
        <v>863</v>
      </c>
      <c r="B37" s="129" t="s">
        <v>864</v>
      </c>
      <c r="D37" s="117"/>
      <c r="E37" s="130"/>
      <c r="F37" s="117"/>
      <c r="G37" s="131" t="s">
        <v>865</v>
      </c>
      <c r="H37" s="132" t="e">
        <f>'220L-NR'!S123</f>
        <v>#N/A</v>
      </c>
      <c r="I37" s="132">
        <f>'220L-NR'!S124</f>
        <v>4.790932811480757</v>
      </c>
      <c r="J37" s="132">
        <f>'220L-NR'!S125</f>
        <v>4.790932811480757</v>
      </c>
      <c r="K37" s="132">
        <f>'220L-NR'!S126</f>
        <v>4.790932811480757</v>
      </c>
      <c r="L37" s="117"/>
    </row>
    <row r="38" spans="1:13" ht="13">
      <c r="G38" s="131" t="s">
        <v>866</v>
      </c>
      <c r="I38" s="133">
        <f>'220L-NR'!G115</f>
        <v>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e">
        <f>H37&amp;" Stars"</f>
        <v>#N/A</v>
      </c>
      <c r="G59" s="146">
        <f t="shared" si="2"/>
        <v>4.790932811480757</v>
      </c>
      <c r="H59" s="146">
        <f t="shared" si="2"/>
        <v>4.790932811480757</v>
      </c>
      <c r="I59" s="146">
        <f t="shared" si="2"/>
        <v>4.790932811480757</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J45" sqref="J45"/>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B812727E-80B6-4D72-A49B-44899192557A}">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911F86FD-2DDC-4A54-900F-091E8EE4285E}">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FAF4-FC0E-4753-81E2-298CB3E55EC8}">
  <sheetPr codeName="Sheet63">
    <tabColor theme="5"/>
    <pageSetUpPr fitToPage="1"/>
  </sheetPr>
  <dimension ref="A1:CJ272"/>
  <sheetViews>
    <sheetView showGridLines="0" topLeftCell="G11" zoomScaleNormal="100" workbookViewId="0">
      <selection activeCell="K71" sqref="K71"/>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7"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4" s="7" customFormat="1" ht="53.25" customHeight="1">
      <c r="A1" s="1" t="s">
        <v>301</v>
      </c>
      <c r="B1" s="1"/>
      <c r="C1" s="2"/>
      <c r="D1" s="2"/>
      <c r="E1" s="3"/>
      <c r="F1" s="2"/>
      <c r="G1" s="4"/>
      <c r="H1" s="5"/>
      <c r="I1" s="6"/>
      <c r="J1" s="360"/>
      <c r="K1" s="360"/>
      <c r="L1" s="360"/>
      <c r="M1" s="360"/>
      <c r="N1" s="360"/>
      <c r="O1" s="357"/>
      <c r="P1" s="357"/>
      <c r="Q1" s="357"/>
      <c r="R1" s="357"/>
      <c r="S1" s="357"/>
      <c r="T1" s="8"/>
      <c r="U1" s="8"/>
      <c r="V1" s="8"/>
      <c r="W1" s="8"/>
      <c r="X1" s="8"/>
    </row>
    <row r="2" spans="1:24" s="7" customFormat="1" ht="36.75" customHeight="1">
      <c r="A2" s="1" t="s">
        <v>64</v>
      </c>
      <c r="B2" s="1"/>
      <c r="C2" s="2"/>
      <c r="D2" s="2"/>
      <c r="E2" s="3"/>
      <c r="F2" s="2"/>
      <c r="G2" s="4"/>
      <c r="H2" s="4"/>
      <c r="J2" s="8"/>
      <c r="K2" s="8"/>
      <c r="L2" s="8"/>
      <c r="M2" s="8"/>
      <c r="N2" s="8"/>
      <c r="O2" s="8"/>
      <c r="P2" s="8"/>
      <c r="Q2" s="357"/>
      <c r="R2" s="366"/>
      <c r="S2" s="357"/>
      <c r="T2" s="8"/>
      <c r="U2" s="8"/>
      <c r="V2" s="8"/>
      <c r="W2" s="8"/>
      <c r="X2" s="8"/>
    </row>
    <row r="3" spans="1:24" s="7" customFormat="1" ht="36.75" customHeight="1">
      <c r="A3" s="1"/>
      <c r="B3" s="1"/>
      <c r="C3" s="2"/>
      <c r="D3" s="2"/>
      <c r="E3" s="3"/>
      <c r="F3" s="2"/>
      <c r="G3" s="4"/>
      <c r="H3" s="4"/>
      <c r="J3" s="8"/>
      <c r="K3" s="8"/>
      <c r="L3" s="8"/>
      <c r="M3" s="8"/>
      <c r="N3" s="8"/>
      <c r="O3" s="8"/>
      <c r="P3" s="482" t="s">
        <v>302</v>
      </c>
      <c r="Q3" s="478"/>
      <c r="R3" s="366"/>
      <c r="S3" s="357"/>
      <c r="T3" s="8"/>
      <c r="U3" s="8"/>
      <c r="V3" s="8"/>
      <c r="W3" s="8"/>
      <c r="X3" s="8"/>
    </row>
    <row r="4" spans="1:24" s="7" customFormat="1" ht="36.75" customHeight="1" thickBot="1">
      <c r="A4" s="9" t="s">
        <v>303</v>
      </c>
      <c r="B4" s="368"/>
      <c r="C4" s="2"/>
      <c r="D4" s="2"/>
      <c r="E4" s="3"/>
      <c r="F4" s="2"/>
      <c r="G4" s="4"/>
      <c r="H4" s="4"/>
      <c r="J4" s="8"/>
      <c r="K4" s="8"/>
      <c r="L4" s="8"/>
      <c r="M4" s="8"/>
      <c r="N4" s="8"/>
      <c r="O4" s="8"/>
      <c r="P4" s="8"/>
      <c r="Q4" s="357"/>
      <c r="R4" s="366"/>
      <c r="S4" s="357"/>
      <c r="T4" s="8"/>
      <c r="U4" s="8"/>
      <c r="V4" s="8"/>
      <c r="W4" s="8"/>
      <c r="X4" s="8"/>
    </row>
    <row r="5" spans="1:24" s="7" customFormat="1" ht="36.75" customHeight="1" thickTop="1" thickBot="1">
      <c r="A5" s="184" t="s">
        <v>282</v>
      </c>
      <c r="B5" s="184" t="s">
        <v>304</v>
      </c>
      <c r="C5" s="200" t="s">
        <v>305</v>
      </c>
      <c r="D5" s="200" t="s">
        <v>306</v>
      </c>
      <c r="E5" s="200" t="s">
        <v>307</v>
      </c>
      <c r="F5" s="200" t="str">
        <f>F55</f>
        <v>BASE</v>
      </c>
      <c r="G5" s="200" t="str">
        <f>G67</f>
        <v>CURRENT</v>
      </c>
      <c r="H5" s="200" t="str">
        <f t="shared" ref="H5:P5" si="0">H67</f>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c r="V5" s="8"/>
      <c r="W5" s="8"/>
      <c r="X5" s="8"/>
    </row>
    <row r="6" spans="1:24" s="7" customFormat="1" ht="17.25" customHeight="1" thickTop="1">
      <c r="A6" s="368" t="str">
        <f>VLOOKUP($A$2,'Asset Attributes'!$B$3:$D$25,2,0)</f>
        <v>WA2</v>
      </c>
      <c r="B6" s="368" t="s">
        <v>309</v>
      </c>
      <c r="C6" s="484" t="s">
        <v>41</v>
      </c>
      <c r="D6" s="485">
        <f>(VLOOKUP($A$2,Assumptions!$B$41:$C$63,2,0))/1000</f>
        <v>0</v>
      </c>
      <c r="E6" s="367" t="s">
        <v>311</v>
      </c>
      <c r="F6" s="517">
        <f>VLOOKUP($A$2,'Footprint Summary'!$B$4:$R$26,COLUMNS('Footprint Summary'!$B$4:F$26)+1,0)</f>
        <v>2379.8910000000001</v>
      </c>
      <c r="G6" s="517">
        <f>VLOOKUP($A$2,'Footprint Summary'!$B$4:$R$26,COLUMNS('Footprint Summary'!$B$4:G$26)+1,0)</f>
        <v>2379.8910000000001</v>
      </c>
      <c r="H6" s="517">
        <f>VLOOKUP($A$2,'Footprint Summary'!$B$4:$R$26,COLUMNS('Footprint Summary'!$B$4:H$26)+1,0)</f>
        <v>2379.8910000000001</v>
      </c>
      <c r="I6" s="517">
        <f>VLOOKUP($A$2,'Footprint Summary'!$B$4:$R$26,COLUMNS('Footprint Summary'!$B$4:I$26)+1,0)</f>
        <v>2379.8910000000001</v>
      </c>
      <c r="J6" s="517">
        <f>VLOOKUP($A$2,'Footprint Summary'!$B$4:$R$26,COLUMNS('Footprint Summary'!$B$4:J$26)+1,0)</f>
        <v>2379.8910000000001</v>
      </c>
      <c r="K6" s="517">
        <f>VLOOKUP($A$2,'Footprint Summary'!$B$4:$R$26,COLUMNS('Footprint Summary'!$B$4:K$26)+1,0)</f>
        <v>2561.2690000000002</v>
      </c>
      <c r="L6" s="517">
        <f>VLOOKUP($A$2,'Footprint Summary'!$B$4:$R$26,COLUMNS('Footprint Summary'!$B$4:L$26)+1,0)</f>
        <v>2561.2690000000002</v>
      </c>
      <c r="M6" s="517">
        <f>VLOOKUP($A$2,'Footprint Summary'!$B$4:$R$26,COLUMNS('Footprint Summary'!$B$4:M$26)+1,0)</f>
        <v>2561.2690000000002</v>
      </c>
      <c r="N6" s="517">
        <f>VLOOKUP($A$2,'Footprint Summary'!$B$4:$R$26,COLUMNS('Footprint Summary'!$B$4:N$26)+1,0)</f>
        <v>2561.2690000000002</v>
      </c>
      <c r="O6" s="517">
        <f>VLOOKUP($A$2,'Footprint Summary'!$B$4:$R$26,COLUMNS('Footprint Summary'!$B$4:O$26)+1,0)</f>
        <v>2561.2690000000002</v>
      </c>
      <c r="P6" s="517">
        <f>VLOOKUP($A$2,'Footprint Summary'!$B$4:$R$26,COLUMNS('Footprint Summary'!$B$4:P$26)+1,0)</f>
        <v>2561.2690000000002</v>
      </c>
      <c r="Q6" s="429">
        <f>(P6-F6)/F6</f>
        <v>7.6212734112612784E-2</v>
      </c>
      <c r="R6" s="366"/>
      <c r="S6" s="357"/>
      <c r="T6" s="8"/>
      <c r="U6" s="8"/>
      <c r="V6" s="8"/>
      <c r="W6" s="8"/>
      <c r="X6" s="8"/>
    </row>
    <row r="7" spans="1:24" s="7" customFormat="1" ht="17.25" customHeight="1">
      <c r="A7" s="368" t="str">
        <f>VLOOKUP($A$2,'Asset Attributes'!$B$3:$D$25,2,0)</f>
        <v>WA2</v>
      </c>
      <c r="B7" s="368" t="s">
        <v>312</v>
      </c>
      <c r="E7" s="367" t="s">
        <v>311</v>
      </c>
      <c r="F7" s="518">
        <f>F6-$F$6</f>
        <v>0</v>
      </c>
      <c r="G7" s="518">
        <f t="shared" ref="G7:P7" si="1">G6-$F$6</f>
        <v>0</v>
      </c>
      <c r="H7" s="518">
        <f t="shared" si="1"/>
        <v>0</v>
      </c>
      <c r="I7" s="518">
        <f t="shared" si="1"/>
        <v>0</v>
      </c>
      <c r="J7" s="518">
        <f t="shared" si="1"/>
        <v>0</v>
      </c>
      <c r="K7" s="518">
        <f t="shared" si="1"/>
        <v>181.37800000000016</v>
      </c>
      <c r="L7" s="518">
        <f t="shared" si="1"/>
        <v>181.37800000000016</v>
      </c>
      <c r="M7" s="518">
        <f t="shared" si="1"/>
        <v>181.37800000000016</v>
      </c>
      <c r="N7" s="518">
        <f t="shared" si="1"/>
        <v>181.37800000000016</v>
      </c>
      <c r="O7" s="518">
        <f t="shared" si="1"/>
        <v>181.37800000000016</v>
      </c>
      <c r="P7" s="518">
        <f t="shared" si="1"/>
        <v>181.37800000000016</v>
      </c>
      <c r="Q7" s="490">
        <f>SUM(F7:P7)</f>
        <v>1088.2680000000009</v>
      </c>
      <c r="R7" s="366"/>
      <c r="S7" s="357"/>
      <c r="T7" s="8"/>
      <c r="U7" s="8"/>
      <c r="V7" s="8"/>
      <c r="W7" s="8"/>
      <c r="X7" s="8"/>
    </row>
    <row r="8" spans="1:24" s="7" customFormat="1" ht="17.25" customHeight="1">
      <c r="A8" s="419" t="s">
        <v>284</v>
      </c>
      <c r="B8" s="368" t="s">
        <v>313</v>
      </c>
      <c r="C8" s="2"/>
      <c r="D8" s="486">
        <f>(VLOOKUP($A$2,Assumptions!$B$69:$C$91,2,0))</f>
        <v>0</v>
      </c>
      <c r="E8" s="422" t="s">
        <v>314</v>
      </c>
      <c r="F8" s="519">
        <f>VLOOKUP($A$2,'Footprint Summary'!$B$33:$R$55,COLUMNS('Footprint Summary'!$B$33:F$55)+1,0)</f>
        <v>2165.6136000000001</v>
      </c>
      <c r="G8" s="519">
        <f>VLOOKUP($A$2,'Footprint Summary'!$B$33:$R$55,COLUMNS('Footprint Summary'!$B$33:G$55)+1,0)</f>
        <v>2165.6136000000001</v>
      </c>
      <c r="H8" s="519">
        <f>VLOOKUP($A$2,'Footprint Summary'!$B$33:$R$55,COLUMNS('Footprint Summary'!$B$33:H$55)+1,0)</f>
        <v>2165.6136000000001</v>
      </c>
      <c r="I8" s="519">
        <f>VLOOKUP($A$2,'Footprint Summary'!$B$33:$R$55,COLUMNS('Footprint Summary'!$B$33:I$55)+1,0)</f>
        <v>2165.6136000000001</v>
      </c>
      <c r="J8" s="519">
        <f>VLOOKUP($A$2,'Footprint Summary'!$B$33:$R$55,COLUMNS('Footprint Summary'!$B$33:J$55)+1,0)</f>
        <v>2165.6136000000001</v>
      </c>
      <c r="K8" s="519">
        <f>VLOOKUP($A$2,'Footprint Summary'!$B$33:$R$55,COLUMNS('Footprint Summary'!$B$33:K$55)+1,0)</f>
        <v>2165.6136000000001</v>
      </c>
      <c r="L8" s="519">
        <f>VLOOKUP($A$2,'Footprint Summary'!$B$33:$R$55,COLUMNS('Footprint Summary'!$B$33:L$55)+1,0)</f>
        <v>451.61360000000013</v>
      </c>
      <c r="M8" s="519">
        <f>VLOOKUP($A$2,'Footprint Summary'!$B$33:$R$55,COLUMNS('Footprint Summary'!$B$33:M$55)+1,0)</f>
        <v>451.61360000000013</v>
      </c>
      <c r="N8" s="519">
        <f>VLOOKUP($A$2,'Footprint Summary'!$B$33:$R$55,COLUMNS('Footprint Summary'!$B$33:N$55)+1,0)</f>
        <v>451.61360000000013</v>
      </c>
      <c r="O8" s="519">
        <f>VLOOKUP($A$2,'Footprint Summary'!$B$33:$R$55,COLUMNS('Footprint Summary'!$B$33:O$55)+1,0)</f>
        <v>451.61360000000013</v>
      </c>
      <c r="P8" s="519">
        <f>VLOOKUP($A$2,'Footprint Summary'!$B$33:$R$55,COLUMNS('Footprint Summary'!$B$33:P$55)+1,0)</f>
        <v>451.61360000000013</v>
      </c>
      <c r="Q8" s="429">
        <f>(P8-F8)/F8</f>
        <v>-0.79146159776610192</v>
      </c>
      <c r="R8" s="366"/>
      <c r="S8" s="357"/>
      <c r="T8" s="8"/>
      <c r="U8" s="8"/>
      <c r="V8" s="8"/>
      <c r="W8" s="8"/>
      <c r="X8" s="8"/>
    </row>
    <row r="9" spans="1:24"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-1714</v>
      </c>
      <c r="M9" s="518">
        <f>M8-$F$8</f>
        <v>-1714</v>
      </c>
      <c r="N9" s="518">
        <f t="shared" si="2"/>
        <v>-1714</v>
      </c>
      <c r="O9" s="518">
        <f t="shared" si="2"/>
        <v>-1714</v>
      </c>
      <c r="P9" s="518">
        <f t="shared" si="2"/>
        <v>-1714</v>
      </c>
      <c r="Q9" s="490">
        <f>SUM(F9:P9)</f>
        <v>-8570</v>
      </c>
      <c r="R9" s="366"/>
      <c r="S9" s="357"/>
      <c r="T9" s="8"/>
      <c r="U9" s="8"/>
      <c r="V9" s="8"/>
      <c r="W9" s="8"/>
      <c r="X9" s="8"/>
    </row>
    <row r="10" spans="1:24" s="7" customFormat="1" ht="36.75" customHeight="1">
      <c r="F10" s="641"/>
      <c r="R10" s="366"/>
      <c r="S10" s="357"/>
      <c r="T10" s="8"/>
      <c r="U10" s="8"/>
      <c r="V10" s="8"/>
      <c r="W10" s="8"/>
      <c r="X10" s="8"/>
    </row>
    <row r="11" spans="1:24" s="7" customFormat="1" ht="36.75" customHeight="1" thickBot="1">
      <c r="A11" s="9" t="s">
        <v>316</v>
      </c>
      <c r="R11" s="366"/>
      <c r="S11" s="357"/>
      <c r="T11" s="8"/>
      <c r="U11" s="8"/>
      <c r="V11" s="8"/>
      <c r="W11" s="8"/>
      <c r="X11" s="7" t="s">
        <v>916</v>
      </c>
    </row>
    <row r="12" spans="1:24" s="7" customFormat="1" ht="36.75" customHeight="1" thickTop="1" thickBot="1">
      <c r="A12" s="184" t="s">
        <v>282</v>
      </c>
      <c r="B12" s="184" t="s">
        <v>304</v>
      </c>
      <c r="C12" s="370"/>
      <c r="D12" s="184"/>
      <c r="E12" s="200" t="s">
        <v>307</v>
      </c>
      <c r="F12" s="200" t="str">
        <f>F55</f>
        <v>BASE</v>
      </c>
      <c r="G12" s="200" t="str">
        <f>G67</f>
        <v>CURRENT</v>
      </c>
      <c r="H12" s="200" t="str">
        <f t="shared" ref="H12:P12" si="3">H67</f>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c r="V12" s="8"/>
      <c r="W12" s="8"/>
      <c r="X12" s="8"/>
    </row>
    <row r="13" spans="1:24" s="7" customFormat="1" ht="17.25" customHeight="1" thickTop="1">
      <c r="A13" s="368" t="str">
        <f>VLOOKUP($A$2,'Asset Attributes'!$B$3:$D$25,2,0)</f>
        <v>WA2</v>
      </c>
      <c r="B13" s="368" t="s">
        <v>317</v>
      </c>
      <c r="C13" s="367"/>
      <c r="D13" s="2"/>
      <c r="E13" s="367" t="s">
        <v>321</v>
      </c>
      <c r="F13" s="367">
        <f>VLOOKUP($A$2,'Footprint Summary'!$B$4:$R$26,COLUMNS('Footprint Summary'!$B$4:F$26)+1,0)*VLOOKUP($A$13,Assumptions!$A$4:$N$14,COLUMNS(Assumptions!$A$4:B$14)+1,0)</f>
        <v>1642.1247899999998</v>
      </c>
      <c r="G13" s="367">
        <f>VLOOKUP($A$2,'Footprint Summary'!$B$4:$R$26,COLUMNS('Footprint Summary'!$B$4:G$26)+1,0)*VLOOKUP($A$13,Assumptions!$A$4:$N$14,COLUMNS(Assumptions!$A$4:C$14)+1,0)</f>
        <v>0</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c r="V13" s="8"/>
      <c r="W13" s="8"/>
      <c r="X13" s="8"/>
    </row>
    <row r="14" spans="1:24" s="7" customFormat="1" ht="17.25" customHeight="1">
      <c r="A14" s="368" t="s">
        <v>284</v>
      </c>
      <c r="B14" s="368" t="s">
        <v>285</v>
      </c>
      <c r="C14" s="2"/>
      <c r="D14" s="2"/>
      <c r="E14" s="367" t="s">
        <v>321</v>
      </c>
      <c r="F14" s="517">
        <f>(VLOOKUP($A$2,'Footprint Summary'!$B$33:$R$55,COLUMNS('Footprint Summary'!$B$33:F$55)+1,0)*VLOOKUP($B$14,Assumptions!$B$17:$N$29,COLUMNS(Assumptions!$B$18:B$29)+1,0)/1000)-F22</f>
        <v>111.59406880800002</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c r="V14" s="8"/>
      <c r="W14" s="8"/>
      <c r="X14" s="8"/>
    </row>
    <row r="15" spans="1:24" s="7" customFormat="1" ht="17.25" customHeight="1">
      <c r="A15" s="417" t="s">
        <v>319</v>
      </c>
      <c r="B15" s="417" t="s">
        <v>320</v>
      </c>
      <c r="C15" s="418"/>
      <c r="D15" s="418"/>
      <c r="E15" s="421" t="s">
        <v>321</v>
      </c>
      <c r="F15" s="517">
        <f>VLOOKUP($A$2,'Footprint Summary'!$B$216:$R$238,COLUMNS('Footprint Summary'!$B$216:F238)+1,0)-F24</f>
        <v>106.52684795796</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c r="V15" s="8"/>
      <c r="W15" s="8"/>
      <c r="X15" s="8"/>
    </row>
    <row r="16" spans="1:24" s="7" customFormat="1" ht="17.25" customHeight="1" thickBot="1">
      <c r="A16" s="1"/>
      <c r="B16" s="368"/>
      <c r="C16" s="2"/>
      <c r="D16" s="2"/>
      <c r="E16" s="367" t="s">
        <v>321</v>
      </c>
      <c r="F16" s="434">
        <f>SUM(F13:F15)</f>
        <v>1860.2457067659598</v>
      </c>
      <c r="G16" s="434">
        <f t="shared" ref="G16:P16" si="4">SUM(G13:G15)</f>
        <v>0</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c r="V16" s="8"/>
      <c r="W16" s="8"/>
      <c r="X16" s="8"/>
    </row>
    <row r="17" spans="1:24" s="7" customFormat="1" ht="17.25" customHeight="1" thickTop="1">
      <c r="E17" s="367" t="s">
        <v>883</v>
      </c>
      <c r="F17" s="428">
        <f>1000*F16/(VLOOKUP($A$2,'Asset Attributes'!$B$3:$D$25,3,0))</f>
        <v>30.432471849852924</v>
      </c>
      <c r="G17" s="428">
        <f>1000*G16/(VLOOKUP($A$2,'Asset Attributes'!$B$3:$D$25,3,0))</f>
        <v>0</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c r="V17" s="8"/>
      <c r="W17" s="8"/>
      <c r="X17" s="8"/>
    </row>
    <row r="18" spans="1:24" s="7" customFormat="1" ht="28.5" customHeight="1" thickBot="1">
      <c r="A18" s="9" t="s">
        <v>323</v>
      </c>
      <c r="E18" s="367" t="s">
        <v>917</v>
      </c>
      <c r="F18" s="428">
        <f>1000*(F14+F13)/(VLOOKUP($A$2,'Asset Attributes'!$B$3:$D$25,3,0))</f>
        <v>28.689758352413826</v>
      </c>
      <c r="G18" s="428">
        <f>1000*(G14+G13)/(VLOOKUP($A$2,'Asset Attributes'!$B$3:$D$25,3,0))</f>
        <v>0</v>
      </c>
      <c r="H18" s="428">
        <f>1000*(H14+H13)/(VLOOKUP($A$2,'Asset Attributes'!$B$3:$D$25,3,0))</f>
        <v>0</v>
      </c>
      <c r="I18" s="428">
        <f>1000*(I14+I13)/(VLOOKUP($A$2,'Asset Attributes'!$B$3:$D$25,3,0))</f>
        <v>0</v>
      </c>
      <c r="J18" s="428">
        <f>1000*(J14+J13)/(VLOOKUP($A$2,'Asset Attributes'!$B$3:$D$25,3,0))</f>
        <v>0</v>
      </c>
      <c r="K18" s="428">
        <f>1000*(K14+K13)/(VLOOKUP($A$2,'Asset Attributes'!$B$3:$D$25,3,0))</f>
        <v>0</v>
      </c>
      <c r="L18" s="428">
        <f>1000*(L14+L13)/(VLOOKUP($A$2,'Asset Attributes'!$B$3:$D$25,3,0))</f>
        <v>0</v>
      </c>
      <c r="M18" s="428">
        <f>1000*(M14+M13)/(VLOOKUP($A$2,'Asset Attributes'!$B$3:$D$25,3,0))</f>
        <v>0</v>
      </c>
      <c r="N18" s="428">
        <f>1000*(N14+N13)/(VLOOKUP($A$2,'Asset Attributes'!$B$3:$D$25,3,0))</f>
        <v>0</v>
      </c>
      <c r="O18" s="428">
        <f>1000*(O14+O13)/(VLOOKUP($A$2,'Asset Attributes'!$B$3:$D$25,3,0))</f>
        <v>0</v>
      </c>
      <c r="P18" s="428">
        <f>1000*(P14+P13)/(VLOOKUP($A$2,'Asset Attributes'!$B$3:$D$25,3,0))</f>
        <v>0</v>
      </c>
      <c r="R18" s="366"/>
      <c r="S18" s="357"/>
      <c r="T18" s="8"/>
      <c r="U18" s="8"/>
      <c r="V18" s="8"/>
      <c r="W18" s="8"/>
      <c r="X18" s="8"/>
    </row>
    <row r="19" spans="1:24" s="7" customFormat="1" ht="36.75" customHeight="1" thickTop="1" thickBot="1">
      <c r="A19" s="184" t="s">
        <v>282</v>
      </c>
      <c r="B19" s="184" t="s">
        <v>304</v>
      </c>
      <c r="C19" s="370"/>
      <c r="D19" s="184"/>
      <c r="E19" s="200" t="s">
        <v>307</v>
      </c>
      <c r="F19" s="200" t="str">
        <f>F55</f>
        <v>BASE</v>
      </c>
      <c r="G19" s="200" t="str">
        <f>G67</f>
        <v>CURRENT</v>
      </c>
      <c r="H19" s="200" t="str">
        <f t="shared" ref="H19:P19" si="5">H67</f>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c r="V19" s="8"/>
      <c r="W19" s="8"/>
      <c r="X19" s="8"/>
    </row>
    <row r="20" spans="1:24"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-98.880117704754497</v>
      </c>
      <c r="L20" s="499">
        <f>-1*(VLOOKUP($A$2,'Footprint Summary'!$B$244:X$266,COLUMNS('Footprint Summary'!$B$244:L$266)+1,0))</f>
        <v>-91.958509465421685</v>
      </c>
      <c r="M20" s="499">
        <f>-1*(VLOOKUP($A$2,'Footprint Summary'!$B$244:Y$266,COLUMNS('Footprint Summary'!$B$244:M$266)+1,0))</f>
        <v>-87.360583992150595</v>
      </c>
      <c r="N20" s="499">
        <f>-1*(VLOOKUP($A$2,'Footprint Summary'!$B$244:Z$266,COLUMNS('Footprint Summary'!$B$244:N$266)+1,0))</f>
        <v>-82.992554792543075</v>
      </c>
      <c r="O20" s="499">
        <f>-1*(VLOOKUP($A$2,'Footprint Summary'!$B$244:AA$266,COLUMNS('Footprint Summary'!$B$244:O$266)+1,0))</f>
        <v>-78.842927052915911</v>
      </c>
      <c r="P20" s="499">
        <f>-1*(VLOOKUP($A$2,'Footprint Summary'!$B$244:AB$266,COLUMNS('Footprint Summary'!$B$244:P$266)+1,0))</f>
        <v>-74.900780700270118</v>
      </c>
      <c r="Q20" s="499">
        <f>SUM(G20:P20)</f>
        <v>-514.93547370805595</v>
      </c>
      <c r="R20" s="366"/>
      <c r="S20" s="357"/>
      <c r="T20" s="8"/>
      <c r="U20" s="8"/>
      <c r="V20" s="8"/>
      <c r="W20" s="8"/>
      <c r="X20" s="8"/>
    </row>
    <row r="21" spans="1:24" s="7" customFormat="1" ht="19.5" customHeight="1">
      <c r="A21" s="368" t="str">
        <f>VLOOKUP($A$2,'Asset Attributes'!$B$3:$D$25,2,0)</f>
        <v>WA2</v>
      </c>
      <c r="B21" s="368" t="s">
        <v>326</v>
      </c>
      <c r="E21" s="367" t="s">
        <v>321</v>
      </c>
      <c r="F21" s="499">
        <f>-1*(VLOOKUP($A$2,'Footprint Summary'!$B$302:$R$324,COLUMNS('Footprint Summary'!$B$302:F324)+1,0))</f>
        <v>0</v>
      </c>
      <c r="G21" s="499">
        <f>-1*(VLOOKUP($A$2,'Footprint Summary'!$B$302:$R$324,COLUMNS('Footprint Summary'!$B$302:G324)+1,0))</f>
        <v>1642.1247899999998</v>
      </c>
      <c r="H21" s="499">
        <f>-1*(VLOOKUP($A$2,'Footprint Summary'!$B$302:$R$324,COLUMNS('Footprint Summary'!$B$302:H324)+1,0))</f>
        <v>1597.3192022783082</v>
      </c>
      <c r="I21" s="499">
        <f>-1*(VLOOKUP($A$2,'Footprint Summary'!$B$302:$R$324,COLUMNS('Footprint Summary'!$B$302:I324)+1,0))</f>
        <v>1517.4532421643928</v>
      </c>
      <c r="J21" s="499">
        <f>-1*(VLOOKUP($A$2,'Footprint Summary'!$B$302:$R$324,COLUMNS('Footprint Summary'!$B$302:J324)+1,0))</f>
        <v>1365.7079179479535</v>
      </c>
      <c r="K21" s="499">
        <f>-1*(VLOOKUP($A$2,'Footprint Summary'!$B$302:$R$324,COLUMNS('Footprint Summary'!$B$302:K324)+1,0))</f>
        <v>1396.3026397553101</v>
      </c>
      <c r="L21" s="499">
        <f>-1*(VLOOKUP($A$2,'Footprint Summary'!$B$302:$R$324,COLUMNS('Footprint Summary'!$B$302:L324)+1,0))</f>
        <v>1298.5614549724385</v>
      </c>
      <c r="M21" s="499">
        <f>-1*(VLOOKUP($A$2,'Footprint Summary'!$B$302:$R$324,COLUMNS('Footprint Summary'!$B$302:M324)+1,0))</f>
        <v>1233.6333822238166</v>
      </c>
      <c r="N21" s="499">
        <f>-1*(VLOOKUP($A$2,'Footprint Summary'!$B$302:$R$324,COLUMNS('Footprint Summary'!$B$302:N324)+1,0))</f>
        <v>1171.9517131126258</v>
      </c>
      <c r="O21" s="499">
        <f>-1*(VLOOKUP($A$2,'Footprint Summary'!$B$302:$R$324,COLUMNS('Footprint Summary'!$B$302:O324)+1,0))</f>
        <v>1113.3541274569943</v>
      </c>
      <c r="P21" s="499">
        <f>-1*(VLOOKUP($A$2,'Footprint Summary'!$B$302:$R$324,COLUMNS('Footprint Summary'!$B$302:P324)+1,0))</f>
        <v>1057.6864210841447</v>
      </c>
      <c r="Q21" s="499">
        <f t="shared" ref="Q21:Q27" si="6">SUM(G21:P21)</f>
        <v>13394.094890995984</v>
      </c>
      <c r="R21" s="366"/>
      <c r="S21" s="357"/>
      <c r="T21" s="8"/>
      <c r="U21" s="8"/>
      <c r="V21" s="8"/>
      <c r="W21" s="8"/>
      <c r="X21" s="8"/>
    </row>
    <row r="22" spans="1:24" s="7" customFormat="1" ht="19.5" customHeight="1">
      <c r="A22" s="368" t="s">
        <v>284</v>
      </c>
      <c r="B22" s="368" t="s">
        <v>327</v>
      </c>
      <c r="E22" s="425" t="s">
        <v>321</v>
      </c>
      <c r="F22" s="499">
        <v>0</v>
      </c>
      <c r="G22" s="499">
        <f>(VLOOKUP($A$2,'Footprint Summary'!$B$33:$R$55,COLUMNS('Footprint Summary'!$B$33:G$55)+1,0)*VLOOKUP($B$14,Assumptions!$B$17:$N$29,COLUMNS(Assumptions!$B$18:C$29)+1,0)/1000)</f>
        <v>111.59406880800002</v>
      </c>
      <c r="H22" s="499">
        <f>(VLOOKUP($A$2,'Footprint Summary'!$B$33:$R$55,COLUMNS('Footprint Summary'!$B$33:H$55)+1,0)*VLOOKUP($B$14,Assumptions!$B$17:$N$29,COLUMNS(Assumptions!$B$18:D$29)+1,0)/1000)</f>
        <v>111.59406880800002</v>
      </c>
      <c r="I22" s="499">
        <f>(VLOOKUP($A$2,'Footprint Summary'!$B$33:$R$55,COLUMNS('Footprint Summary'!$B$33:I$55)+1,0)*VLOOKUP($B$14,Assumptions!$B$17:$N$29,COLUMNS(Assumptions!$B$18:E$29)+1,0)/1000)</f>
        <v>111.59406880800002</v>
      </c>
      <c r="J22" s="499">
        <f>(VLOOKUP($A$2,'Footprint Summary'!$B$33:$R$55,COLUMNS('Footprint Summary'!$B$33:J$55)+1,0)*VLOOKUP($B$14,Assumptions!$B$17:$N$29,COLUMNS(Assumptions!$B$18:F$29)+1,0)/1000)</f>
        <v>111.59406880800002</v>
      </c>
      <c r="K22" s="499">
        <f>(VLOOKUP($A$2,'Footprint Summary'!$B$33:$R$55,COLUMNS('Footprint Summary'!$B$33:K$55)+1,0)*VLOOKUP($B$14,Assumptions!$B$17:$N$29,COLUMNS(Assumptions!$B$18:G$29)+1,0)/1000)</f>
        <v>111.59406880800002</v>
      </c>
      <c r="L22" s="499">
        <f>(VLOOKUP($A$2,'Footprint Summary'!$B$33:$R$55,COLUMNS('Footprint Summary'!$B$33:L$55)+1,0)*VLOOKUP($B$14,Assumptions!$B$17:$N$29,COLUMNS(Assumptions!$B$18:H$29)+1,0)/1000)</f>
        <v>23.271648808000009</v>
      </c>
      <c r="M22" s="499">
        <f>(VLOOKUP($A$2,'Footprint Summary'!$B$33:$R$55,COLUMNS('Footprint Summary'!$B$33:M$55)+1,0)*VLOOKUP($B$14,Assumptions!$B$17:$N$29,COLUMNS(Assumptions!$B$18:I$29)+1,0)/1000)</f>
        <v>23.271648808000009</v>
      </c>
      <c r="N22" s="499">
        <f>(VLOOKUP($A$2,'Footprint Summary'!$B$33:$R$55,COLUMNS('Footprint Summary'!$B$33:N$55)+1,0)*VLOOKUP($B$14,Assumptions!$B$17:$N$29,COLUMNS(Assumptions!$B$18:J$29)+1,0)/1000)</f>
        <v>23.271648808000009</v>
      </c>
      <c r="O22" s="499">
        <f>(VLOOKUP($A$2,'Footprint Summary'!$B$33:$R$55,COLUMNS('Footprint Summary'!$B$33:O$55)+1,0)*VLOOKUP($B$14,Assumptions!$B$17:$N$29,COLUMNS(Assumptions!$B$18:K$29)+1,0)/1000)</f>
        <v>23.271648808000009</v>
      </c>
      <c r="P22" s="499">
        <f>(VLOOKUP($A$2,'Footprint Summary'!$B$33:$R$55,COLUMNS('Footprint Summary'!$B$33:P$55)+1,0)*VLOOKUP($B$14,Assumptions!$B$17:$N$29,COLUMNS(Assumptions!$B$18:L$29)+1,0)/1000)</f>
        <v>23.271648808000009</v>
      </c>
      <c r="Q22" s="499">
        <f t="shared" si="6"/>
        <v>674.32858808000015</v>
      </c>
      <c r="R22" s="366"/>
      <c r="S22" s="357"/>
      <c r="T22" s="8"/>
      <c r="U22" s="8"/>
      <c r="V22" s="8"/>
      <c r="W22" s="8"/>
      <c r="X22" s="8"/>
    </row>
    <row r="23" spans="1:24"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88.322419999999994</v>
      </c>
      <c r="M23" s="499">
        <f>-1*(VLOOKUP($A$2,'Footprint Summary'!$B$273:Y$295,COLUMNS('Footprint Summary'!$B$273:M$295)+1,0))</f>
        <v>88.322419999999994</v>
      </c>
      <c r="N23" s="499">
        <f>-1*(VLOOKUP($A$2,'Footprint Summary'!$B$273:Z$295,COLUMNS('Footprint Summary'!$B$273:N$295)+1,0))</f>
        <v>88.322419999999994</v>
      </c>
      <c r="O23" s="499">
        <f>-1*(VLOOKUP($A$2,'Footprint Summary'!$B$273:AA$295,COLUMNS('Footprint Summary'!$B$273:O$295)+1,0))</f>
        <v>88.322419999999994</v>
      </c>
      <c r="P23" s="499">
        <f>-1*(VLOOKUP($A$2,'Footprint Summary'!$B$273:AB$295,COLUMNS('Footprint Summary'!$B$273:P$295)+1,0))</f>
        <v>88.322419999999994</v>
      </c>
      <c r="Q23" s="499">
        <f t="shared" si="6"/>
        <v>441.61209999999994</v>
      </c>
      <c r="R23" s="366"/>
      <c r="S23" s="357"/>
      <c r="T23" s="8"/>
      <c r="U23" s="8"/>
      <c r="V23" s="8"/>
      <c r="W23" s="8"/>
      <c r="X23" s="8"/>
    </row>
    <row r="24" spans="1:24" s="7" customFormat="1" ht="19.5" customHeight="1">
      <c r="A24" s="419" t="s">
        <v>319</v>
      </c>
      <c r="B24" s="419" t="s">
        <v>329</v>
      </c>
      <c r="E24" s="425" t="s">
        <v>321</v>
      </c>
      <c r="F24" s="499">
        <v>0</v>
      </c>
      <c r="G24" s="499">
        <f>VLOOKUP($A$2,'Footprint Summary'!$B$216:$R$238,COLUMNS('Footprint Summary'!$B$216:G238)+1,0)</f>
        <v>100.00816485152001</v>
      </c>
      <c r="H24" s="499">
        <f>VLOOKUP($A$2,'Footprint Summary'!$B$216:$R$238,COLUMNS('Footprint Summary'!$B$216:H238)+1,0)</f>
        <v>93.489481745080013</v>
      </c>
      <c r="I24" s="499">
        <f>VLOOKUP($A$2,'Footprint Summary'!$B$216:$R$238,COLUMNS('Footprint Summary'!$B$216:I238)+1,0)</f>
        <v>86.970798638640005</v>
      </c>
      <c r="J24" s="499">
        <f>VLOOKUP($A$2,'Footprint Summary'!$B$216:$R$238,COLUMNS('Footprint Summary'!$B$216:J238)+1,0)</f>
        <v>80.452115532199997</v>
      </c>
      <c r="K24" s="499">
        <f>VLOOKUP($A$2,'Footprint Summary'!$B$216:$R$238,COLUMNS('Footprint Summary'!$B$216:K238)+1,0)</f>
        <v>73.933432425760003</v>
      </c>
      <c r="L24" s="499">
        <f>VLOOKUP($A$2,'Footprint Summary'!$B$216:$R$238,COLUMNS('Footprint Summary'!$B$216:L238)+1,0)</f>
        <v>67.414749319320009</v>
      </c>
      <c r="M24" s="499">
        <f>VLOOKUP($A$2,'Footprint Summary'!$B$216:$R$238,COLUMNS('Footprint Summary'!$B$216:M238)+1,0)</f>
        <v>60.896066212880001</v>
      </c>
      <c r="N24" s="499">
        <f>VLOOKUP($A$2,'Footprint Summary'!$B$216:$R$238,COLUMNS('Footprint Summary'!$B$216:N238)+1,0)</f>
        <v>54.37738310644</v>
      </c>
      <c r="O24" s="499">
        <f>VLOOKUP($A$2,'Footprint Summary'!$B$216:$R$238,COLUMNS('Footprint Summary'!$B$216:O238)+1,0)</f>
        <v>47.858699999999999</v>
      </c>
      <c r="P24" s="499">
        <f>VLOOKUP($A$2,'Footprint Summary'!$B$216:$R$238,COLUMNS('Footprint Summary'!$B$216:P238)+1,0)</f>
        <v>47.858699999999999</v>
      </c>
      <c r="Q24" s="499">
        <f t="shared" si="6"/>
        <v>713.25959183184</v>
      </c>
      <c r="R24" s="366"/>
      <c r="S24" s="357"/>
      <c r="T24" s="8"/>
      <c r="U24" s="8"/>
      <c r="V24" s="8"/>
      <c r="W24" s="8"/>
      <c r="X24" s="8"/>
    </row>
    <row r="25" spans="1:24" s="7" customFormat="1" ht="19.5" customHeight="1">
      <c r="A25" s="419" t="s">
        <v>319</v>
      </c>
      <c r="B25" s="419" t="s">
        <v>319</v>
      </c>
      <c r="E25" s="425" t="s">
        <v>321</v>
      </c>
      <c r="F25" s="499">
        <f>VLOOKUP($A$2,'Footprint Summary'!$B$216:$R$238,COLUMNS('Footprint Summary'!$B$216:F238)+1,0)-F24</f>
        <v>106.52684795796</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c r="V25" s="8"/>
      <c r="W25" s="8"/>
      <c r="X25" s="7" t="s">
        <v>918</v>
      </c>
    </row>
    <row r="26" spans="1:24" s="7" customFormat="1" ht="19.5" customHeight="1">
      <c r="A26" s="419" t="s">
        <v>284</v>
      </c>
      <c r="B26" s="368" t="s">
        <v>285</v>
      </c>
      <c r="E26" s="425" t="s">
        <v>321</v>
      </c>
      <c r="F26" s="499">
        <f>(VLOOKUP($A$2,'Footprint Summary'!$B$33:$R$55,COLUMNS('Footprint Summary'!$B$33:F$55)+1,0)*VLOOKUP($B$14,Assumptions!$B$17:$N$29,COLUMNS(Assumptions!$B$18:B$29)+1,0)/1000)-F22</f>
        <v>111.59406880800002</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c r="V26" s="8"/>
      <c r="W26" s="8"/>
      <c r="X26" s="643" t="s">
        <v>919</v>
      </c>
    </row>
    <row r="27" spans="1:24" s="7" customFormat="1" ht="19.5" customHeight="1">
      <c r="A27" s="368" t="str">
        <f>VLOOKUP($A$2,'Asset Attributes'!$B$3:$D$25,2,0)</f>
        <v>WA2</v>
      </c>
      <c r="B27" s="368" t="s">
        <v>330</v>
      </c>
      <c r="E27" s="425" t="s">
        <v>321</v>
      </c>
      <c r="F27" s="367">
        <f>VLOOKUP($A$2,'Footprint Summary'!$B$4:$R$26,COLUMNS('Footprint Summary'!$B$4:F$26)+1,0)*VLOOKUP($A$13,Assumptions!$A$4:$N$14,COLUMNS(Assumptions!$A$4:B$14)+1,0)</f>
        <v>1642.1247899999998</v>
      </c>
      <c r="G27" s="499">
        <f>VLOOKUP($A$2,'Footprint Summary'!$B$4:$R$26,COLUMNS('Footprint Summary'!$B$4:G$26)+1,0)*VLOOKUP($A$13,Assumptions!$A$4:$N$14,COLUMNS(Assumptions!$A$4:C$14)+1,0)</f>
        <v>0</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0</v>
      </c>
      <c r="R27" s="366"/>
      <c r="S27" s="357"/>
      <c r="T27" s="8"/>
      <c r="U27" s="8"/>
      <c r="V27" s="8"/>
      <c r="W27" s="8"/>
      <c r="X27" s="8"/>
    </row>
    <row r="28" spans="1:24" s="7" customFormat="1" ht="19.5" customHeight="1" thickBot="1">
      <c r="E28" s="425" t="s">
        <v>321</v>
      </c>
      <c r="F28" s="434">
        <f>SUM(F20:F23)</f>
        <v>0</v>
      </c>
      <c r="G28" s="434">
        <f t="shared" ref="G28:P28" si="7">SUM(G20:G23)</f>
        <v>1753.7188588079998</v>
      </c>
      <c r="H28" s="434">
        <f t="shared" si="7"/>
        <v>1708.9132710863082</v>
      </c>
      <c r="I28" s="434">
        <f t="shared" si="7"/>
        <v>1629.0473109723928</v>
      </c>
      <c r="J28" s="434">
        <f t="shared" si="7"/>
        <v>1477.3019867559535</v>
      </c>
      <c r="K28" s="434">
        <f t="shared" si="7"/>
        <v>1409.0165908585557</v>
      </c>
      <c r="L28" s="434">
        <f t="shared" si="7"/>
        <v>1318.1970143150168</v>
      </c>
      <c r="M28" s="434">
        <f t="shared" si="7"/>
        <v>1257.866867039666</v>
      </c>
      <c r="N28" s="434">
        <f t="shared" si="7"/>
        <v>1200.5532271280827</v>
      </c>
      <c r="O28" s="434">
        <f t="shared" si="7"/>
        <v>1146.1052692120784</v>
      </c>
      <c r="P28" s="434">
        <f t="shared" si="7"/>
        <v>1094.3797091918746</v>
      </c>
      <c r="Q28" s="434">
        <f t="shared" ref="Q28" si="8">SUM(Q20:Q24)</f>
        <v>14708.359697199769</v>
      </c>
      <c r="R28" s="366"/>
      <c r="S28" s="357"/>
      <c r="T28" s="8"/>
      <c r="U28" s="8"/>
      <c r="V28" s="8"/>
      <c r="W28" s="8"/>
      <c r="X28" s="8"/>
    </row>
    <row r="29" spans="1:24"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c r="V29" s="8"/>
      <c r="W29" s="8"/>
      <c r="X29" s="8"/>
    </row>
    <row r="30" spans="1:24" s="7" customFormat="1" ht="36.75" customHeight="1" thickTop="1" thickBot="1">
      <c r="A30" s="184" t="s">
        <v>282</v>
      </c>
      <c r="B30" s="184" t="s">
        <v>304</v>
      </c>
      <c r="C30" s="370"/>
      <c r="D30" s="184"/>
      <c r="E30" s="370"/>
      <c r="F30" s="200" t="str">
        <f>F55</f>
        <v>BASE</v>
      </c>
      <c r="G30" s="200" t="str">
        <f>G67</f>
        <v>CURRENT</v>
      </c>
      <c r="H30" s="200" t="str">
        <f t="shared" ref="H30:P30" si="9">H67</f>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c r="V30" s="8"/>
      <c r="W30" s="8"/>
      <c r="X30" s="8"/>
    </row>
    <row r="31" spans="1:24" s="7" customFormat="1" ht="17.25" customHeight="1" thickTop="1">
      <c r="A31" s="436" t="s">
        <v>332</v>
      </c>
      <c r="B31" s="437"/>
      <c r="C31" s="435"/>
      <c r="S31" s="357"/>
      <c r="T31" s="8"/>
      <c r="U31" s="8"/>
      <c r="V31" s="8"/>
      <c r="W31" s="8"/>
      <c r="X31" s="8"/>
    </row>
    <row r="32" spans="1:24" s="7" customFormat="1" ht="17.25" customHeight="1">
      <c r="A32" s="368" t="s">
        <v>30</v>
      </c>
      <c r="B32" s="368" t="s">
        <v>334</v>
      </c>
      <c r="F32" s="424">
        <f>VLOOKUP($A$2,'Costs Summary'!$B$154:$R$176,COLUMNS('Costs Summary'!$B$154:F$176)+1,0)</f>
        <v>0</v>
      </c>
      <c r="G32" s="424">
        <f>VLOOKUP($A$2,'Costs Summary'!$B$154:$R$176,COLUMNS('Costs Summary'!$B$154:G$176)+1,0)</f>
        <v>0</v>
      </c>
      <c r="H32" s="424">
        <f>VLOOKUP($A$2,'Costs Summary'!$B$154:$R$176,COLUMNS('Costs Summary'!$B$154:H$176)+1,0)</f>
        <v>0</v>
      </c>
      <c r="I32" s="424">
        <f>VLOOKUP($A$2,'Costs Summary'!$B$154:$R$176,COLUMNS('Costs Summary'!$B$154:I$176)+1,0)</f>
        <v>0</v>
      </c>
      <c r="J32" s="424">
        <f>VLOOKUP($A$2,'Costs Summary'!$B$154:$R$176,COLUMNS('Costs Summary'!$B$154:J$176)+1,0)</f>
        <v>0</v>
      </c>
      <c r="K32" s="424">
        <f>VLOOKUP($A$2,'Costs Summary'!$B$154:$R$176,COLUMNS('Costs Summary'!$B$154:K$176)+1,0)</f>
        <v>0</v>
      </c>
      <c r="L32" s="424">
        <f>VLOOKUP($A$2,'Costs Summary'!$B$154:$R$176,COLUMNS('Costs Summary'!$B$154:L$176)+1,0)</f>
        <v>0</v>
      </c>
      <c r="M32" s="424">
        <f>VLOOKUP($A$2,'Costs Summary'!$B$154:$R$176,COLUMNS('Costs Summary'!$B$154:M$176)+1,0)</f>
        <v>0</v>
      </c>
      <c r="N32" s="424">
        <f>VLOOKUP($A$2,'Costs Summary'!$B$154:$R$176,COLUMNS('Costs Summary'!$B$154:N$176)+1,0)</f>
        <v>0</v>
      </c>
      <c r="O32" s="424">
        <f>VLOOKUP($A$2,'Costs Summary'!$B$154:$R$176,COLUMNS('Costs Summary'!$B$154:O$176)+1,0)</f>
        <v>0</v>
      </c>
      <c r="P32" s="424">
        <f>VLOOKUP($A$2,'Costs Summary'!$B$154:$R$176,COLUMNS('Costs Summary'!$B$154:P$176)+1,0)</f>
        <v>0</v>
      </c>
      <c r="Q32" s="433">
        <f>SUM(G32:P32)</f>
        <v>0</v>
      </c>
      <c r="R32" s="366"/>
      <c r="S32" s="357"/>
      <c r="T32" s="8"/>
      <c r="U32" s="8"/>
      <c r="V32" s="8"/>
      <c r="W32" s="8"/>
      <c r="X32" s="8"/>
    </row>
    <row r="33" spans="1:21" s="7" customFormat="1" ht="17.25" customHeight="1">
      <c r="A33" s="368" t="s">
        <v>284</v>
      </c>
      <c r="B33" s="368" t="s">
        <v>335</v>
      </c>
      <c r="C33" s="423"/>
      <c r="D33" s="423"/>
      <c r="E33" s="423"/>
      <c r="F33" s="424">
        <f>VLOOKUP($A$2,'Costs Summary'!$B$183:$R$205,COLUMNS('Costs Summary'!$B$183:F$205)+1,0)</f>
        <v>0</v>
      </c>
      <c r="G33" s="424">
        <f>VLOOKUP($A$2,'Costs Summary'!$B$183:$R$205,COLUMNS('Costs Summary'!$B$183:G$205)+1,0)</f>
        <v>0</v>
      </c>
      <c r="H33" s="424">
        <f>VLOOKUP($A$2,'Costs Summary'!$B$183:$R$205,COLUMNS('Costs Summary'!$B$183:H$205)+1,0)</f>
        <v>0</v>
      </c>
      <c r="I33" s="424">
        <f>VLOOKUP($A$2,'Costs Summary'!$B$183:$R$205,COLUMNS('Costs Summary'!$B$183:I$205)+1,0)</f>
        <v>0</v>
      </c>
      <c r="J33" s="424">
        <f>VLOOKUP($A$2,'Costs Summary'!$B$183:$R$205,COLUMNS('Costs Summary'!$B$183:J$205)+1,0)</f>
        <v>0</v>
      </c>
      <c r="K33" s="424">
        <f>VLOOKUP($A$2,'Costs Summary'!$B$183:$R$205,COLUMNS('Costs Summary'!$B$183:K$205)+1,0)</f>
        <v>0</v>
      </c>
      <c r="L33" s="424">
        <f>VLOOKUP($A$2,'Costs Summary'!$B$183:$R$205,COLUMNS('Costs Summary'!$B$183:L$205)+1,0)</f>
        <v>0</v>
      </c>
      <c r="M33" s="424">
        <f>VLOOKUP($A$2,'Costs Summary'!$B$183:$R$205,COLUMNS('Costs Summary'!$B$183:M$205)+1,0)</f>
        <v>0</v>
      </c>
      <c r="N33" s="424">
        <f>VLOOKUP($A$2,'Costs Summary'!$B$183:$R$205,COLUMNS('Costs Summary'!$B$183:N$205)+1,0)</f>
        <v>0</v>
      </c>
      <c r="O33" s="424">
        <f>VLOOKUP($A$2,'Costs Summary'!$B$183:$R$205,COLUMNS('Costs Summary'!$B$183:O$205)+1,0)</f>
        <v>0</v>
      </c>
      <c r="P33" s="424">
        <f>VLOOKUP($A$2,'Costs Summary'!$B$183:$R$205,COLUMNS('Costs Summary'!$B$183:P$205)+1,0)</f>
        <v>0</v>
      </c>
      <c r="Q33" s="433">
        <f>SUM(G33:P33)</f>
        <v>0</v>
      </c>
      <c r="R33" s="366"/>
      <c r="S33" s="357"/>
      <c r="T33" s="8"/>
      <c r="U33" s="8"/>
    </row>
    <row r="34" spans="1:21" s="7" customFormat="1" ht="17.25" customHeight="1">
      <c r="A34" s="368" t="s">
        <v>284</v>
      </c>
      <c r="B34" s="368" t="s">
        <v>336</v>
      </c>
      <c r="H34" s="424">
        <f>VLOOKUP($A$2,'Costs Summary'!$B$241:$R$263,COLUMNS('Costs Summary'!$B$241:H263)+1,0)</f>
        <v>6695.6441284800012</v>
      </c>
      <c r="I34" s="424">
        <f>VLOOKUP($A$2,'Costs Summary'!$B$241:$R$263,COLUMNS('Costs Summary'!$B$241:I263)+1,0)</f>
        <v>6695.6441284800012</v>
      </c>
      <c r="J34" s="424">
        <f>VLOOKUP($A$2,'Costs Summary'!$B$241:$R$263,COLUMNS('Costs Summary'!$B$241:J263)+1,0)</f>
        <v>6695.6441284800012</v>
      </c>
      <c r="K34" s="424">
        <f>VLOOKUP($A$2,'Costs Summary'!$B$241:$R$263,COLUMNS('Costs Summary'!$B$241:K263)+1,0)</f>
        <v>6695.6441284800012</v>
      </c>
      <c r="L34" s="424">
        <f>VLOOKUP($A$2,'Costs Summary'!$B$241:$R$263,COLUMNS('Costs Summary'!$B$241:L263)+1,0)</f>
        <v>6695.6441284800012</v>
      </c>
      <c r="M34" s="424">
        <f>VLOOKUP($A$2,'Costs Summary'!$B$241:$R$263,COLUMNS('Costs Summary'!$B$241:M263)+1,0)</f>
        <v>6695.6441284800012</v>
      </c>
      <c r="N34" s="424">
        <f>VLOOKUP($A$2,'Costs Summary'!$B$241:$R$263,COLUMNS('Costs Summary'!$B$241:N263)+1,0)</f>
        <v>6695.6441284800012</v>
      </c>
      <c r="O34" s="424">
        <f>VLOOKUP($A$2,'Costs Summary'!$B$241:$R$263,COLUMNS('Costs Summary'!$B$241:O263)+1,0)</f>
        <v>6695.6441284800012</v>
      </c>
      <c r="P34" s="424">
        <f>VLOOKUP($A$2,'Costs Summary'!$B$241:$R$263,COLUMNS('Costs Summary'!$B$241:P263)+1,0)</f>
        <v>6695.6441284800012</v>
      </c>
      <c r="Q34" s="433">
        <f>SUM(G34:P34)</f>
        <v>60260.797156320012</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5609.368904704801</v>
      </c>
      <c r="I35" s="424">
        <f>VLOOKUP($A$2,'Costs Summary'!$B$212:$R$234,COLUMNS('Costs Summary'!$B$212:I$234)+1,0)</f>
        <v>5218.2479183184005</v>
      </c>
      <c r="J35" s="424">
        <f>VLOOKUP($A$2,'Costs Summary'!$B$212:$R$234,COLUMNS('Costs Summary'!$B$212:J$234)+1,0)</f>
        <v>4827.1269319319999</v>
      </c>
      <c r="K35" s="424">
        <f>VLOOKUP($A$2,'Costs Summary'!$B$212:$R$234,COLUMNS('Costs Summary'!$B$212:K$234)+1,0)</f>
        <v>4436.0059455456003</v>
      </c>
      <c r="L35" s="424">
        <f>VLOOKUP($A$2,'Costs Summary'!$B$212:$R$234,COLUMNS('Costs Summary'!$B$212:L$234)+1,0)</f>
        <v>4044.8849591592007</v>
      </c>
      <c r="M35" s="424">
        <f>VLOOKUP($A$2,'Costs Summary'!$B$212:$R$234,COLUMNS('Costs Summary'!$B$212:M$234)+1,0)</f>
        <v>3653.7639727728001</v>
      </c>
      <c r="N35" s="424">
        <f>VLOOKUP($A$2,'Costs Summary'!$B$212:$R$234,COLUMNS('Costs Summary'!$B$212:N$234)+1,0)</f>
        <v>3262.6429863864</v>
      </c>
      <c r="O35" s="424">
        <f>VLOOKUP($A$2,'Costs Summary'!$B$212:$R$234,COLUMNS('Costs Summary'!$B$212:O$234)+1,0)</f>
        <v>2871.5219999999999</v>
      </c>
      <c r="P35" s="424">
        <f>VLOOKUP($A$2,'Costs Summary'!$B$212:$R$234,COLUMNS('Costs Summary'!$B$212:P$234)+1,0)</f>
        <v>2871.5219999999999</v>
      </c>
      <c r="Q35" s="433">
        <f>SUM(G35:P35)</f>
        <v>36795.085618819197</v>
      </c>
      <c r="R35" s="366"/>
      <c r="S35" s="357"/>
      <c r="T35" s="8"/>
      <c r="U35" s="8"/>
    </row>
    <row r="36" spans="1:21" s="7" customFormat="1" ht="17.25" customHeight="1" thickBot="1">
      <c r="A36" s="437" t="s">
        <v>338</v>
      </c>
      <c r="C36" s="423"/>
      <c r="D36" s="423"/>
      <c r="E36" s="368" t="s">
        <v>669</v>
      </c>
      <c r="F36" s="461">
        <f t="shared" ref="F36:P36" si="10">SUM(F32:F35)</f>
        <v>0</v>
      </c>
      <c r="G36" s="461">
        <f t="shared" si="10"/>
        <v>0</v>
      </c>
      <c r="H36" s="461">
        <f t="shared" si="10"/>
        <v>12305.013033184801</v>
      </c>
      <c r="I36" s="461">
        <f t="shared" si="10"/>
        <v>11913.892046798403</v>
      </c>
      <c r="J36" s="461">
        <f t="shared" si="10"/>
        <v>11522.771060412</v>
      </c>
      <c r="K36" s="461">
        <f t="shared" si="10"/>
        <v>11131.650074025601</v>
      </c>
      <c r="L36" s="461">
        <f t="shared" si="10"/>
        <v>10740.529087639203</v>
      </c>
      <c r="M36" s="461">
        <f t="shared" si="10"/>
        <v>10349.4081012528</v>
      </c>
      <c r="N36" s="461">
        <f t="shared" si="10"/>
        <v>9958.2871148664017</v>
      </c>
      <c r="O36" s="461">
        <f t="shared" si="10"/>
        <v>9567.1661284800011</v>
      </c>
      <c r="P36" s="461">
        <f t="shared" si="10"/>
        <v>9567.1661284800011</v>
      </c>
      <c r="Q36" s="462">
        <f t="shared" ref="Q36" si="11">SUM(Q32:Q35)</f>
        <v>97055.882775139209</v>
      </c>
      <c r="R36" s="366"/>
      <c r="S36" s="357"/>
      <c r="T36" s="8"/>
      <c r="U36" s="8"/>
    </row>
    <row r="37" spans="1:21" s="7" customFormat="1" ht="17.25" customHeight="1" thickTop="1" thickBot="1">
      <c r="C37" s="423"/>
      <c r="D37" s="423"/>
      <c r="E37" s="368" t="s">
        <v>340</v>
      </c>
      <c r="F37" s="468">
        <f>F36/(VLOOKUP($A$2,'Asset Attributes'!$B$3:$D$25,3,0))</f>
        <v>0</v>
      </c>
      <c r="G37" s="468">
        <f>G36/(VLOOKUP($A$2,'Asset Attributes'!$B$3:$D$25,3,0))</f>
        <v>0</v>
      </c>
      <c r="H37" s="468">
        <f>H36/(VLOOKUP($A$2,'Asset Attributes'!$B$3:$D$25,3,0))</f>
        <v>0.20130242009561733</v>
      </c>
      <c r="I37" s="468">
        <f>I36/(VLOOKUP($A$2,'Asset Attributes'!$B$3:$D$25,3,0))</f>
        <v>0.19490392210967988</v>
      </c>
      <c r="J37" s="468">
        <f>J36/(VLOOKUP($A$2,'Asset Attributes'!$B$3:$D$25,3,0))</f>
        <v>0.18850542412374238</v>
      </c>
      <c r="K37" s="468">
        <f>K36/(VLOOKUP($A$2,'Asset Attributes'!$B$3:$D$25,3,0))</f>
        <v>0.18210692613780491</v>
      </c>
      <c r="L37" s="468">
        <f>L36/(VLOOKUP($A$2,'Asset Attributes'!$B$3:$D$25,3,0))</f>
        <v>0.17570842815186746</v>
      </c>
      <c r="M37" s="468">
        <f>M36/(VLOOKUP($A$2,'Asset Attributes'!$B$3:$D$25,3,0))</f>
        <v>0.16930993016592996</v>
      </c>
      <c r="N37" s="468">
        <f>N36/(VLOOKUP($A$2,'Asset Attributes'!$B$3:$D$25,3,0))</f>
        <v>0.16291143217999252</v>
      </c>
      <c r="O37" s="468">
        <f>O36/(VLOOKUP($A$2,'Asset Attributes'!$B$3:$D$25,3,0))</f>
        <v>0.15651293419405501</v>
      </c>
      <c r="P37" s="468">
        <f>P36/(VLOOKUP($A$2,'Asset Attributes'!$B$3:$D$25,3,0))</f>
        <v>0.15651293419405501</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WA2</v>
      </c>
      <c r="B39" s="368" t="s">
        <v>342</v>
      </c>
      <c r="C39" s="423"/>
      <c r="D39" s="423"/>
      <c r="E39" s="367"/>
      <c r="F39" s="424">
        <f>VLOOKUP($A$2,'Costs Summary'!$B$4:$R$26,COLUMNS('Costs Summary'!$B$4:F$26)+1,0)</f>
        <v>0</v>
      </c>
      <c r="G39" s="424">
        <f>VLOOKUP($A$2,'Costs Summary'!$B$4:$R$26,COLUMNS('Costs Summary'!$B$4:G$26)+1,0)</f>
        <v>0</v>
      </c>
      <c r="H39" s="424">
        <f>VLOOKUP($A$2,'Costs Summary'!$B$4:$R$26,COLUMNS('Costs Summary'!$B$4:H$26)+1,0)</f>
        <v>0</v>
      </c>
      <c r="I39" s="424">
        <f>VLOOKUP($A$2,'Costs Summary'!$B$4:$R$26,COLUMNS('Costs Summary'!$B$4:I$26)+1,0)</f>
        <v>0</v>
      </c>
      <c r="J39" s="424">
        <f>VLOOKUP($A$2,'Costs Summary'!$B$4:$R$26,COLUMNS('Costs Summary'!$B$4:J$26)+1,0)</f>
        <v>0</v>
      </c>
      <c r="K39" s="424">
        <f>VLOOKUP($A$2,'Costs Summary'!$B$4:$R$26,COLUMNS('Costs Summary'!$B$4:K$26)+1,0)</f>
        <v>0</v>
      </c>
      <c r="L39" s="424">
        <f>VLOOKUP($A$2,'Costs Summary'!$B$4:$R$26,COLUMNS('Costs Summary'!$B$4:L$26)+1,0)</f>
        <v>0</v>
      </c>
      <c r="M39" s="424">
        <f>VLOOKUP($A$2,'Costs Summary'!$B$4:$R$26,COLUMNS('Costs Summary'!$B$4:M$26)+1,0)</f>
        <v>0</v>
      </c>
      <c r="N39" s="424">
        <f>VLOOKUP($A$2,'Costs Summary'!$B$4:$R$26,COLUMNS('Costs Summary'!$B$4:N$26)+1,0)</f>
        <v>0</v>
      </c>
      <c r="O39" s="424">
        <f>VLOOKUP($A$2,'Costs Summary'!$B$4:$R$26,COLUMNS('Costs Summary'!$B$4:O$26)+1,0)</f>
        <v>0</v>
      </c>
      <c r="P39" s="424">
        <f>VLOOKUP($A$2,'Costs Summary'!$B$4:$R$26,COLUMNS('Costs Summary'!$B$4:P$26)+1,0)</f>
        <v>0</v>
      </c>
      <c r="Q39" s="433">
        <f>SUM(G39:P39)</f>
        <v>0</v>
      </c>
      <c r="R39" s="366"/>
      <c r="S39" s="357"/>
      <c r="T39" s="8"/>
      <c r="U39" s="8"/>
    </row>
    <row r="40" spans="1:21" s="7" customFormat="1" ht="17.25" customHeight="1">
      <c r="A40" s="368" t="s">
        <v>284</v>
      </c>
      <c r="B40" s="368" t="s">
        <v>343</v>
      </c>
      <c r="C40" s="423"/>
      <c r="D40" s="423"/>
      <c r="E40" s="423"/>
      <c r="F40" s="424">
        <f>VLOOKUP($A$2,'Costs Summary'!$B$33:$R$55,COLUMNS('Costs Summary'!$B$33:F$55)+1,0)</f>
        <v>0</v>
      </c>
      <c r="G40" s="424">
        <f>VLOOKUP($A$2,'Costs Summary'!$B$33:$R$55,COLUMNS('Costs Summary'!$B$33:G$55)+1,0)</f>
        <v>0</v>
      </c>
      <c r="H40" s="424">
        <f>VLOOKUP($A$2,'Costs Summary'!$B$33:$R$55,COLUMNS('Costs Summary'!$B$33:H$55)+1,0)</f>
        <v>0</v>
      </c>
      <c r="I40" s="424">
        <f>VLOOKUP($A$2,'Costs Summary'!$B$33:$R$55,COLUMNS('Costs Summary'!$B$33:I$55)+1,0)</f>
        <v>0</v>
      </c>
      <c r="J40" s="424">
        <f>VLOOKUP($A$2,'Costs Summary'!$B$33:$R$55,COLUMNS('Costs Summary'!$B$33:J$55)+1,0)</f>
        <v>0</v>
      </c>
      <c r="K40" s="424">
        <f>VLOOKUP($A$2,'Costs Summary'!$B$33:$R$55,COLUMNS('Costs Summary'!$B$33:K$55)+1,0)</f>
        <v>0</v>
      </c>
      <c r="L40" s="424">
        <f>VLOOKUP($A$2,'Costs Summary'!$B$33:$R$55,COLUMNS('Costs Summary'!$B$33:L$55)+1,0)</f>
        <v>0</v>
      </c>
      <c r="M40" s="424">
        <f>VLOOKUP($A$2,'Costs Summary'!$B$33:$R$55,COLUMNS('Costs Summary'!$B$33:M$55)+1,0)</f>
        <v>0</v>
      </c>
      <c r="N40" s="424">
        <f>VLOOKUP($A$2,'Costs Summary'!$B$33:$R$55,COLUMNS('Costs Summary'!$B$33:N$55)+1,0)</f>
        <v>0</v>
      </c>
      <c r="O40" s="424">
        <f>VLOOKUP($A$2,'Costs Summary'!$B$33:$R$55,COLUMNS('Costs Summary'!$B$33:O$55)+1,0)</f>
        <v>0</v>
      </c>
      <c r="P40" s="424">
        <f>VLOOKUP($A$2,'Costs Summary'!$B$33:$R$55,COLUMNS('Costs Summary'!$B$33:P$55)+1,0)</f>
        <v>0</v>
      </c>
      <c r="Q40" s="433">
        <f>SUM(G40:P40)</f>
        <v>0</v>
      </c>
      <c r="R40" s="366"/>
      <c r="S40" s="357"/>
      <c r="T40" s="8"/>
      <c r="U40" s="8"/>
    </row>
    <row r="41" spans="1:21" s="7" customFormat="1" ht="17.25" customHeight="1">
      <c r="A41" s="368" t="s">
        <v>284</v>
      </c>
      <c r="B41" s="368" t="s">
        <v>336</v>
      </c>
      <c r="H41" s="424">
        <f>VLOOKUP($A$2,'Costs Summary'!$B$125:$R$147,COLUMNS('Costs Summary'!$B$125:H$147)+1,0)</f>
        <v>6695.6441284800012</v>
      </c>
      <c r="I41" s="424">
        <f>VLOOKUP($A$2,'Costs Summary'!$B$125:$R$147,COLUMNS('Costs Summary'!$B$125:I$147)+1,0)</f>
        <v>6695.6441284800012</v>
      </c>
      <c r="J41" s="424">
        <f>VLOOKUP($A$2,'Costs Summary'!$B$125:$R$147,COLUMNS('Costs Summary'!$B$125:J$147)+1,0)</f>
        <v>6695.6441284800012</v>
      </c>
      <c r="K41" s="424">
        <f>VLOOKUP($A$2,'Costs Summary'!$B$125:$R$147,COLUMNS('Costs Summary'!$B$125:K$147)+1,0)</f>
        <v>6695.6441284800012</v>
      </c>
      <c r="L41" s="424">
        <f>VLOOKUP($A$2,'Costs Summary'!$B$125:$R$147,COLUMNS('Costs Summary'!$B$125:L$147)+1,0)</f>
        <v>1396.2989284800005</v>
      </c>
      <c r="M41" s="424">
        <f>VLOOKUP($A$2,'Costs Summary'!$B$125:$R$147,COLUMNS('Costs Summary'!$B$125:M$147)+1,0)</f>
        <v>1396.2989284800005</v>
      </c>
      <c r="N41" s="424">
        <f>VLOOKUP($A$2,'Costs Summary'!$B$125:$R$147,COLUMNS('Costs Summary'!$B$125:N$147)+1,0)</f>
        <v>1396.2989284800005</v>
      </c>
      <c r="O41" s="424">
        <f>VLOOKUP($A$2,'Costs Summary'!$B$125:$R$147,COLUMNS('Costs Summary'!$B$125:O$147)+1,0)</f>
        <v>1396.2989284800005</v>
      </c>
      <c r="P41" s="424">
        <f>VLOOKUP($A$2,'Costs Summary'!$B$125:$R$147,COLUMNS('Costs Summary'!$B$125:P$147)+1,0)</f>
        <v>1396.2989284800005</v>
      </c>
      <c r="Q41" s="433">
        <f t="shared" ref="Q41:Q42" si="12">SUM(G41:P41)</f>
        <v>33764.071156320002</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5609.368904704801</v>
      </c>
      <c r="I42" s="424">
        <f>VLOOKUP($A$2,'Costs Summary'!$B$212:$R$234,COLUMNS('Costs Summary'!$B$212:I$234)+1,0)</f>
        <v>5218.2479183184005</v>
      </c>
      <c r="J42" s="424">
        <f>VLOOKUP($A$2,'Costs Summary'!$B$212:$R$234,COLUMNS('Costs Summary'!$B$212:J$234)+1,0)</f>
        <v>4827.1269319319999</v>
      </c>
      <c r="K42" s="424">
        <f>VLOOKUP($A$2,'Costs Summary'!$B$212:$R$234,COLUMNS('Costs Summary'!$B$212:K$234)+1,0)</f>
        <v>4436.0059455456003</v>
      </c>
      <c r="L42" s="424">
        <f>VLOOKUP($A$2,'Costs Summary'!$B$212:$R$234,COLUMNS('Costs Summary'!$B$212:L$234)+1,0)</f>
        <v>4044.8849591592007</v>
      </c>
      <c r="M42" s="424">
        <f>VLOOKUP($A$2,'Costs Summary'!$B$212:$R$234,COLUMNS('Costs Summary'!$B$212:M$234)+1,0)</f>
        <v>3653.7639727728001</v>
      </c>
      <c r="N42" s="424">
        <f>VLOOKUP($A$2,'Costs Summary'!$B$212:$R$234,COLUMNS('Costs Summary'!$B$212:N$234)+1,0)</f>
        <v>3262.6429863864</v>
      </c>
      <c r="O42" s="424">
        <f>VLOOKUP($A$2,'Costs Summary'!$B$212:$R$234,COLUMNS('Costs Summary'!$B$212:O$234)+1,0)</f>
        <v>2871.5219999999999</v>
      </c>
      <c r="P42" s="424">
        <f>VLOOKUP($A$2,'Costs Summary'!$B$212:$R$234,COLUMNS('Costs Summary'!$B$212:P$234)+1,0)</f>
        <v>2871.5219999999999</v>
      </c>
      <c r="Q42" s="433">
        <f t="shared" si="12"/>
        <v>36795.085618819197</v>
      </c>
      <c r="R42" s="366"/>
      <c r="S42" s="357"/>
      <c r="T42" s="8"/>
      <c r="U42" s="8"/>
    </row>
    <row r="43" spans="1:21" s="7" customFormat="1" ht="17.25" customHeight="1" thickBot="1">
      <c r="A43" s="437" t="s">
        <v>338</v>
      </c>
      <c r="E43" s="368" t="s">
        <v>669</v>
      </c>
      <c r="F43" s="461">
        <f t="shared" ref="F43:P43" si="13">SUM(F39:F42)</f>
        <v>0</v>
      </c>
      <c r="G43" s="461">
        <f t="shared" si="13"/>
        <v>0</v>
      </c>
      <c r="H43" s="461">
        <f t="shared" si="13"/>
        <v>12305.013033184801</v>
      </c>
      <c r="I43" s="461">
        <f t="shared" si="13"/>
        <v>11913.892046798403</v>
      </c>
      <c r="J43" s="461">
        <f t="shared" si="13"/>
        <v>11522.771060412</v>
      </c>
      <c r="K43" s="461">
        <f t="shared" si="13"/>
        <v>11131.650074025601</v>
      </c>
      <c r="L43" s="461">
        <f t="shared" si="13"/>
        <v>5441.1838876392012</v>
      </c>
      <c r="M43" s="461">
        <f t="shared" si="13"/>
        <v>5050.0629012528007</v>
      </c>
      <c r="N43" s="461">
        <f t="shared" si="13"/>
        <v>4658.9419148664001</v>
      </c>
      <c r="O43" s="461">
        <f t="shared" si="13"/>
        <v>4267.8209284800005</v>
      </c>
      <c r="P43" s="461">
        <f t="shared" si="13"/>
        <v>4267.8209284800005</v>
      </c>
      <c r="Q43" s="462">
        <f t="shared" ref="Q43" si="14">SUM(Q39:Q42)</f>
        <v>70559.156775139199</v>
      </c>
      <c r="R43" s="366"/>
      <c r="S43" s="357"/>
      <c r="T43" s="8"/>
      <c r="U43" s="8"/>
    </row>
    <row r="44" spans="1:21" s="7" customFormat="1" ht="17.25" customHeight="1" thickTop="1" thickBot="1">
      <c r="E44" s="368" t="s">
        <v>340</v>
      </c>
      <c r="F44" s="468">
        <f>F43/(VLOOKUP($A$2,'Asset Attributes'!$B$3:$D$25,3,0))</f>
        <v>0</v>
      </c>
      <c r="G44" s="468">
        <f>G43/(VLOOKUP($A$2,'Asset Attributes'!$B$3:$D$25,3,0))</f>
        <v>0</v>
      </c>
      <c r="H44" s="468">
        <f>H43/(VLOOKUP($A$2,'Asset Attributes'!$B$3:$D$25,3,0))</f>
        <v>0.20130242009561733</v>
      </c>
      <c r="I44" s="468">
        <f>I43/(VLOOKUP($A$2,'Asset Attributes'!$B$3:$D$25,3,0))</f>
        <v>0.19490392210967988</v>
      </c>
      <c r="J44" s="468">
        <f>J43/(VLOOKUP($A$2,'Asset Attributes'!$B$3:$D$25,3,0))</f>
        <v>0.18850542412374238</v>
      </c>
      <c r="K44" s="468">
        <f>K43/(VLOOKUP($A$2,'Asset Attributes'!$B$3:$D$25,3,0))</f>
        <v>0.18210692613780491</v>
      </c>
      <c r="L44" s="468">
        <f>L43/(VLOOKUP($A$2,'Asset Attributes'!$B$3:$D$25,3,0))</f>
        <v>8.9014410778202782E-2</v>
      </c>
      <c r="M44" s="468">
        <f>M43/(VLOOKUP($A$2,'Asset Attributes'!$B$3:$D$25,3,0))</f>
        <v>8.2615912792265295E-2</v>
      </c>
      <c r="N44" s="468">
        <f>N43/(VLOOKUP($A$2,'Asset Attributes'!$B$3:$D$25,3,0))</f>
        <v>7.6217414806327807E-2</v>
      </c>
      <c r="O44" s="468">
        <f>O43/(VLOOKUP($A$2,'Asset Attributes'!$B$3:$D$25,3,0))</f>
        <v>6.9818916820390348E-2</v>
      </c>
      <c r="P44" s="468">
        <f>P43/(VLOOKUP($A$2,'Asset Attributes'!$B$3:$D$25,3,0))</f>
        <v>6.9818916820390348E-2</v>
      </c>
      <c r="Q44" s="460">
        <f>Q43/(VLOOKUP($A$2,'Asset Attributes'!$B$3:$D$25,3,0))</f>
        <v>1.154304264484421</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0</v>
      </c>
      <c r="L46" s="461">
        <f t="shared" si="15"/>
        <v>-5299.3452000000016</v>
      </c>
      <c r="M46" s="461">
        <f t="shared" si="15"/>
        <v>-5299.3451999999997</v>
      </c>
      <c r="N46" s="461">
        <f t="shared" si="15"/>
        <v>-5299.3452000000016</v>
      </c>
      <c r="O46" s="461">
        <f t="shared" si="15"/>
        <v>-5299.3452000000007</v>
      </c>
      <c r="P46" s="461">
        <f t="shared" si="15"/>
        <v>-5299.3452000000007</v>
      </c>
      <c r="Q46" s="462">
        <f>SUM(F46:P46)</f>
        <v>-26496.726000000002</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-8.6694017373664695E-2</v>
      </c>
      <c r="M47" s="468">
        <f>M46/(VLOOKUP($A$2,'Asset Attributes'!$B$3:$D$25,3,0))</f>
        <v>-8.6694017373664667E-2</v>
      </c>
      <c r="N47" s="468">
        <f>N46/(VLOOKUP($A$2,'Asset Attributes'!$B$3:$D$25,3,0))</f>
        <v>-8.6694017373664695E-2</v>
      </c>
      <c r="O47" s="468">
        <f>O46/(VLOOKUP($A$2,'Asset Attributes'!$B$3:$D$25,3,0))</f>
        <v>-8.6694017373664681E-2</v>
      </c>
      <c r="P47" s="468">
        <f>P46/(VLOOKUP($A$2,'Asset Attributes'!$B$3:$D$25,3,0))</f>
        <v>-8.6694017373664681E-2</v>
      </c>
      <c r="Q47" s="460">
        <f>Q46/(VLOOKUP($A$2,'Asset Attributes'!$B$3:$D$25,3,0))</f>
        <v>-0.43347008686832339</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5" s="7" customFormat="1" ht="17.25" customHeight="1">
      <c r="B49" s="368" t="s">
        <v>346</v>
      </c>
      <c r="C49" s="2"/>
      <c r="D49" s="2"/>
      <c r="E49" s="459" t="s">
        <v>347</v>
      </c>
      <c r="F49" s="463"/>
      <c r="G49" s="464">
        <f t="shared" ref="G49:P49" si="16">G115</f>
        <v>0</v>
      </c>
      <c r="H49" s="464">
        <f t="shared" si="16"/>
        <v>0</v>
      </c>
      <c r="I49" s="464">
        <f t="shared" si="16"/>
        <v>0</v>
      </c>
      <c r="J49" s="464">
        <f t="shared" si="16"/>
        <v>0</v>
      </c>
      <c r="K49" s="464">
        <f t="shared" si="16"/>
        <v>3000000</v>
      </c>
      <c r="L49" s="464">
        <f t="shared" si="16"/>
        <v>0</v>
      </c>
      <c r="M49" s="464">
        <f t="shared" si="16"/>
        <v>0</v>
      </c>
      <c r="N49" s="464">
        <f t="shared" si="16"/>
        <v>0</v>
      </c>
      <c r="O49" s="464">
        <f t="shared" si="16"/>
        <v>0</v>
      </c>
      <c r="P49" s="464">
        <f t="shared" si="16"/>
        <v>0</v>
      </c>
      <c r="Q49" s="465">
        <f>+SUM(F49:P49)</f>
        <v>3000000</v>
      </c>
      <c r="R49" s="366"/>
      <c r="S49" s="357"/>
      <c r="T49" s="8"/>
      <c r="U49" s="8"/>
      <c r="V49" s="8"/>
      <c r="W49" s="8"/>
      <c r="X49" s="8"/>
      <c r="Y49" s="8"/>
    </row>
    <row r="50" spans="1:25"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0</v>
      </c>
      <c r="L50" s="466">
        <f t="shared" si="17"/>
        <v>-5299.3452000000016</v>
      </c>
      <c r="M50" s="466">
        <f t="shared" si="17"/>
        <v>-5299.3451999999997</v>
      </c>
      <c r="N50" s="466">
        <f t="shared" si="17"/>
        <v>-5299.3452000000016</v>
      </c>
      <c r="O50" s="466">
        <f t="shared" si="17"/>
        <v>-5299.3452000000007</v>
      </c>
      <c r="P50" s="466">
        <f t="shared" si="17"/>
        <v>-5299.3452000000007</v>
      </c>
      <c r="Q50" s="467">
        <f>Q46</f>
        <v>-26496.726000000002</v>
      </c>
      <c r="R50" s="366"/>
      <c r="S50" s="357"/>
      <c r="T50" s="8"/>
      <c r="U50" s="8"/>
      <c r="V50" s="8"/>
      <c r="W50" s="8"/>
      <c r="X50" s="8"/>
      <c r="Y50" s="8"/>
    </row>
    <row r="51" spans="1:25" s="7" customFormat="1" ht="17.25" customHeight="1">
      <c r="A51" s="9"/>
      <c r="B51" s="368"/>
      <c r="C51" s="2"/>
      <c r="D51" s="2"/>
      <c r="E51" s="3"/>
      <c r="F51" s="431">
        <f>-1*F50</f>
        <v>0</v>
      </c>
      <c r="G51" s="431">
        <f>-1*G50/(VLOOKUP($A$2,'Asset Attributes'!$B$3:$D$25,3,0))</f>
        <v>0</v>
      </c>
      <c r="H51" s="431">
        <f>-1*H50/(VLOOKUP($A$2,'Asset Attributes'!$B$3:$D$25,3,0))</f>
        <v>0</v>
      </c>
      <c r="I51" s="431">
        <f>-1*I50/(VLOOKUP($A$2,'Asset Attributes'!$B$3:$D$25,3,0))</f>
        <v>0</v>
      </c>
      <c r="J51" s="431">
        <f>-1*J50/(VLOOKUP($A$2,'Asset Attributes'!$B$3:$D$25,3,0))</f>
        <v>0</v>
      </c>
      <c r="K51" s="431">
        <f>-1*K50/(VLOOKUP($A$2,'Asset Attributes'!$B$3:$D$25,3,0))</f>
        <v>0</v>
      </c>
      <c r="L51" s="431">
        <f>-1*L50/(VLOOKUP($A$2,'Asset Attributes'!$B$3:$D$25,3,0))</f>
        <v>8.6694017373664695E-2</v>
      </c>
      <c r="M51" s="431">
        <f>-1*M50/(VLOOKUP($A$2,'Asset Attributes'!$B$3:$D$25,3,0))</f>
        <v>8.6694017373664667E-2</v>
      </c>
      <c r="N51" s="431">
        <f>-1*N50/(VLOOKUP($A$2,'Asset Attributes'!$B$3:$D$25,3,0))</f>
        <v>8.6694017373664695E-2</v>
      </c>
      <c r="O51" s="431">
        <f>-1*O50/(VLOOKUP($A$2,'Asset Attributes'!$B$3:$D$25,3,0))</f>
        <v>8.6694017373664681E-2</v>
      </c>
      <c r="P51" s="431">
        <f>-1*P50/(VLOOKUP($A$2,'Asset Attributes'!$B$3:$D$25,3,0))</f>
        <v>8.6694017373664681E-2</v>
      </c>
      <c r="Q51" s="537">
        <f>Q46/(10*((VLOOKUP($A$2,'Asset Attributes'!$B$3:$D$25,3,0))))</f>
        <v>-4.3347008686832333E-2</v>
      </c>
      <c r="R51" s="366"/>
      <c r="S51" s="357"/>
      <c r="T51" s="8"/>
      <c r="U51" s="8"/>
      <c r="V51" s="8"/>
      <c r="W51" s="8"/>
      <c r="X51" s="8"/>
      <c r="Y51" s="8"/>
    </row>
    <row r="52" spans="1:25"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c r="Y52" s="8"/>
    </row>
    <row r="53" spans="1:25"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c r="Y53" s="8"/>
    </row>
    <row r="54" spans="1:25"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c r="Y54" s="8"/>
    </row>
    <row r="55" spans="1:25" s="7" customFormat="1" ht="33.75" customHeight="1" thickTop="1" thickBot="1">
      <c r="A55" s="184" t="s">
        <v>671</v>
      </c>
      <c r="B55" s="200"/>
      <c r="C55" s="200" t="s">
        <v>920</v>
      </c>
      <c r="D55" s="10"/>
      <c r="E55" s="441" t="s">
        <v>205</v>
      </c>
      <c r="F55" s="625" t="s">
        <v>188</v>
      </c>
      <c r="G55" s="625" t="str">
        <f>G67</f>
        <v>CURRENT</v>
      </c>
      <c r="H55" s="625" t="str">
        <f t="shared" ref="H55:P55" si="18">H67</f>
        <v>FY25</v>
      </c>
      <c r="I55" s="625" t="str">
        <f t="shared" si="18"/>
        <v>FY26</v>
      </c>
      <c r="J55" s="625" t="str">
        <f t="shared" si="18"/>
        <v>FY27</v>
      </c>
      <c r="K55" s="625" t="str">
        <f t="shared" si="18"/>
        <v>FY28</v>
      </c>
      <c r="L55" s="625" t="str">
        <f t="shared" si="18"/>
        <v>FY29</v>
      </c>
      <c r="M55" s="625" t="str">
        <f t="shared" si="18"/>
        <v>FY30</v>
      </c>
      <c r="N55" s="625" t="str">
        <f t="shared" si="18"/>
        <v>FY31</v>
      </c>
      <c r="O55" s="625" t="str">
        <f t="shared" si="18"/>
        <v>FY32</v>
      </c>
      <c r="P55" s="625" t="str">
        <f t="shared" si="18"/>
        <v>FY33</v>
      </c>
      <c r="Q55" s="200" t="s">
        <v>84</v>
      </c>
      <c r="R55" s="992" t="s">
        <v>673</v>
      </c>
      <c r="S55" s="992"/>
      <c r="T55" s="992" t="s">
        <v>355</v>
      </c>
      <c r="U55" s="992"/>
      <c r="V55" s="992" t="s">
        <v>356</v>
      </c>
      <c r="W55" s="992"/>
      <c r="X55" s="8"/>
      <c r="Y55" s="8"/>
    </row>
    <row r="56" spans="1:25" ht="25.5" customHeight="1" thickTop="1">
      <c r="A56" s="438" t="s">
        <v>357</v>
      </c>
      <c r="B56" s="11"/>
      <c r="C56" s="442">
        <v>45046</v>
      </c>
      <c r="D56" s="159"/>
      <c r="E56" s="487" t="str">
        <f>A2</f>
        <v>QV1</v>
      </c>
      <c r="F56" s="440">
        <f t="shared" ref="F56:P56" si="19">F272</f>
        <v>5.6286137879911049</v>
      </c>
      <c r="G56" s="440">
        <f t="shared" si="19"/>
        <v>5.6286137879911049</v>
      </c>
      <c r="H56" s="440">
        <f t="shared" si="19"/>
        <v>5.6286137879911049</v>
      </c>
      <c r="I56" s="440">
        <f t="shared" si="19"/>
        <v>5.6286137879911049</v>
      </c>
      <c r="J56" s="440">
        <f t="shared" si="19"/>
        <v>5.6286137879911049</v>
      </c>
      <c r="K56" s="440">
        <f t="shared" si="19"/>
        <v>5.6262326096847133</v>
      </c>
      <c r="L56" s="440">
        <f t="shared" si="19"/>
        <v>5.6005773337384372</v>
      </c>
      <c r="M56" s="440">
        <f t="shared" si="19"/>
        <v>5.6005773337384372</v>
      </c>
      <c r="N56" s="440">
        <f t="shared" si="19"/>
        <v>5.6005773337384372</v>
      </c>
      <c r="O56" s="440">
        <f t="shared" si="19"/>
        <v>5.6005773337384372</v>
      </c>
      <c r="P56" s="440">
        <f t="shared" si="19"/>
        <v>5.6005773337384372</v>
      </c>
      <c r="Q56" s="470">
        <f>IF(E56="",0,P56-F56)</f>
        <v>-2.8036454252667653E-2</v>
      </c>
      <c r="R56" s="473" t="s">
        <v>358</v>
      </c>
      <c r="S56" s="478" t="s">
        <v>18</v>
      </c>
      <c r="T56" s="473" t="s">
        <v>358</v>
      </c>
      <c r="U56" s="478" t="s">
        <v>18</v>
      </c>
      <c r="V56" s="473" t="s">
        <v>358</v>
      </c>
      <c r="W56" s="479" t="str">
        <f>IF(W58=1,"Complete",IF(W60&lt;&gt;0,"Complete","Outstanding"))</f>
        <v>Complete</v>
      </c>
      <c r="X56" s="14"/>
      <c r="Y56" s="14"/>
    </row>
    <row r="57" spans="1:25" ht="25.5" customHeight="1">
      <c r="A57" s="438" t="s">
        <v>6</v>
      </c>
      <c r="C57" s="275" t="s">
        <v>147</v>
      </c>
      <c r="D57" s="160"/>
      <c r="E57" s="488" t="str">
        <f>IF(VLOOKUP($A$2,'Asset Attributes'!B3:G25,4,0)&gt;0.001,"ICPF","")</f>
        <v>ICPF</v>
      </c>
      <c r="F57" s="439">
        <f>IF($E$57="ICPF",(SUMPRODUCT('Footprint Summary'!G153:G175,'Footprint Summary'!$C153:$C175,'Footprint Summary'!$D153:$D175)/SUMPRODUCT('Footprint Summary'!$C153:$C175,'Footprint Summary'!$D153:$D175)),"")</f>
        <v>5.2939894644512195</v>
      </c>
      <c r="G57" s="439">
        <f>IF($E$57="ICPF",(SUMPRODUCT('Footprint Summary'!H153:H175,'Footprint Summary'!$C153:$C175,'Footprint Summary'!$D153:$D175)/SUMPRODUCT('Footprint Summary'!$C153:$C175,'Footprint Summary'!$D153:$D175)),"")</f>
        <v>5.2979162441742069</v>
      </c>
      <c r="H57" s="439">
        <f>IF($E$57="ICPF",(SUMPRODUCT('Footprint Summary'!I153:I175,'Footprint Summary'!$C153:$C175,'Footprint Summary'!$D153:$D175)/SUMPRODUCT('Footprint Summary'!$C153:$C175,'Footprint Summary'!$D153:$D175)),"")</f>
        <v>5.3084382327323487</v>
      </c>
      <c r="I57" s="439">
        <f>IF($E$57="ICPF",(SUMPRODUCT('Footprint Summary'!J153:J175,'Footprint Summary'!$C153:$C175,'Footprint Summary'!$D153:$D175)/SUMPRODUCT('Footprint Summary'!$C153:$C175,'Footprint Summary'!$D153:$D175)),"")</f>
        <v>5.3896758583664868</v>
      </c>
      <c r="J57" s="439">
        <f>IF($E$57="ICPF",(SUMPRODUCT('Footprint Summary'!K153:K175,'Footprint Summary'!$C153:$C175,'Footprint Summary'!$D153:$D175)/SUMPRODUCT('Footprint Summary'!$C153:$C175,'Footprint Summary'!$D153:$D175)),"")</f>
        <v>5.3955950251223559</v>
      </c>
      <c r="K57" s="439">
        <f>IF($E$57="ICPF",(SUMPRODUCT('Footprint Summary'!L153:L175,'Footprint Summary'!$C153:$C175,'Footprint Summary'!$D153:$D175)/SUMPRODUCT('Footprint Summary'!$C153:$C175,'Footprint Summary'!$D153:$D175)),"")</f>
        <v>5.4346681904031584</v>
      </c>
      <c r="L57" s="439">
        <f>IF($E$57="ICPF",(SUMPRODUCT('Footprint Summary'!M153:M175,'Footprint Summary'!$C153:$C175,'Footprint Summary'!$D153:$D175)/SUMPRODUCT('Footprint Summary'!$C153:$C175,'Footprint Summary'!$D153:$D175)),"")</f>
        <v>5.4494614148100462</v>
      </c>
      <c r="M57" s="439">
        <f>IF($E$57="ICPF",(SUMPRODUCT('Footprint Summary'!N153:N175,'Footprint Summary'!$C153:$C175,'Footprint Summary'!$D153:$D175)/SUMPRODUCT('Footprint Summary'!$C153:$C175,'Footprint Summary'!$D153:$D175)),"")</f>
        <v>5.4515664832300406</v>
      </c>
      <c r="N57" s="439">
        <f>IF($E$57="ICPF",(SUMPRODUCT('Footprint Summary'!O153:O175,'Footprint Summary'!$C153:$C175,'Footprint Summary'!$D153:$D175)/SUMPRODUCT('Footprint Summary'!$C153:$C175,'Footprint Summary'!$D153:$D175)),"")</f>
        <v>5.4802157545291266</v>
      </c>
      <c r="O57" s="439">
        <f>IF($E$57="ICPF",(SUMPRODUCT('Footprint Summary'!P153:P175,'Footprint Summary'!$C153:$C175,'Footprint Summary'!$D153:$D175)/SUMPRODUCT('Footprint Summary'!$C153:$C175,'Footprint Summary'!$D153:$D175)),"")</f>
        <v>5.5092024034949612</v>
      </c>
      <c r="P57" s="439">
        <f>IF($E$57="ICPF",(SUMPRODUCT('Footprint Summary'!Q153:Q175,'Footprint Summary'!$C153:$C175,'Footprint Summary'!$D153:$D175)/SUMPRODUCT('Footprint Summary'!$C153:$C175,'Footprint Summary'!$D153:$D175)),"")</f>
        <v>5.558571873208872</v>
      </c>
      <c r="Q57" s="470">
        <f>IF(E57="","",P57-F57)</f>
        <v>0.26458240875765249</v>
      </c>
      <c r="R57" s="473" t="s">
        <v>669</v>
      </c>
      <c r="S57" s="479">
        <f>IF(S56="Underway","",R115)</f>
        <v>900000</v>
      </c>
      <c r="T57" s="473" t="s">
        <v>669</v>
      </c>
      <c r="U57" s="479">
        <f>IF(U56="Underway","",S115)</f>
        <v>4050000</v>
      </c>
      <c r="V57" s="473" t="s">
        <v>361</v>
      </c>
      <c r="W57" s="478" t="s">
        <v>680</v>
      </c>
      <c r="X57" s="14"/>
      <c r="Y57" s="14"/>
    </row>
    <row r="58" spans="1:25" ht="25.5" customHeight="1">
      <c r="A58" s="438" t="s">
        <v>363</v>
      </c>
      <c r="B58" s="14"/>
      <c r="C58" s="275" t="s">
        <v>364</v>
      </c>
      <c r="D58" s="160" t="s">
        <v>365</v>
      </c>
      <c r="E58" s="488" t="str">
        <f>IF(VLOOKUP($A$2,'Asset Attributes'!B3:G25,6,0)&gt;0.001,"IOM","")</f>
        <v/>
      </c>
      <c r="F58" s="439" t="str">
        <f>IF($E$58="IOM",SUMPRODUCT('Footprint Summary'!G153:G175,'Footprint Summary'!$C153:$C175,'Footprint Summary'!$F153:$F175)/SUMPRODUCT('Footprint Summary'!$C153:$C175,'Footprint Summary'!$F153:$F175),"")</f>
        <v/>
      </c>
      <c r="G58" s="439" t="str">
        <f>IF($E$58="IOM",SUMPRODUCT('Footprint Summary'!H153:H175,'Footprint Summary'!$C153:$C175,'Footprint Summary'!$F153:$F175)/SUMPRODUCT('Footprint Summary'!$C153:$C175,'Footprint Summary'!$F153:$F175),"")</f>
        <v/>
      </c>
      <c r="H58" s="439" t="str">
        <f>IF($E$58="IOM",SUMPRODUCT('Footprint Summary'!I153:I175,'Footprint Summary'!$C153:$C175,'Footprint Summary'!$F153:$F175)/SUMPRODUCT('Footprint Summary'!$C153:$C175,'Footprint Summary'!$F153:$F175),"")</f>
        <v/>
      </c>
      <c r="I58" s="439" t="str">
        <f>IF($E$58="IOM",SUMPRODUCT('Footprint Summary'!J153:J175,'Footprint Summary'!$C153:$C175,'Footprint Summary'!$F153:$F175)/SUMPRODUCT('Footprint Summary'!$C153:$C175,'Footprint Summary'!$F153:$F175),"")</f>
        <v/>
      </c>
      <c r="J58" s="439" t="str">
        <f>IF($E$58="IOM",SUMPRODUCT('Footprint Summary'!K153:K175,'Footprint Summary'!$C153:$C175,'Footprint Summary'!$F153:$F175)/SUMPRODUCT('Footprint Summary'!$C153:$C175,'Footprint Summary'!$F153:$F175),"")</f>
        <v/>
      </c>
      <c r="K58" s="439" t="str">
        <f>IF($E$58="IOM",SUMPRODUCT('Footprint Summary'!L153:L175,'Footprint Summary'!$C153:$C175,'Footprint Summary'!$F153:$F175)/SUMPRODUCT('Footprint Summary'!$C153:$C175,'Footprint Summary'!$F153:$F175),"")</f>
        <v/>
      </c>
      <c r="L58" s="439" t="str">
        <f>IF($E$58="IOM",SUMPRODUCT('Footprint Summary'!M153:M175,'Footprint Summary'!$C153:$C175,'Footprint Summary'!$F153:$F175)/SUMPRODUCT('Footprint Summary'!$C153:$C175,'Footprint Summary'!$F153:$F175),"")</f>
        <v/>
      </c>
      <c r="M58" s="439" t="str">
        <f>IF($E$58="IOM",SUMPRODUCT('Footprint Summary'!N153:N175,'Footprint Summary'!$C153:$C175,'Footprint Summary'!$F153:$F175)/SUMPRODUCT('Footprint Summary'!$C153:$C175,'Footprint Summary'!$F153:$F175),"")</f>
        <v/>
      </c>
      <c r="N58" s="439" t="str">
        <f>IF($E$58="IOM",SUMPRODUCT('Footprint Summary'!O153:O175,'Footprint Summary'!$C153:$C175,'Footprint Summary'!$F153:$F175)/SUMPRODUCT('Footprint Summary'!$C153:$C175,'Footprint Summary'!$F153:$F175),"")</f>
        <v/>
      </c>
      <c r="O58" s="439" t="str">
        <f>IF($E$58="IOM",SUMPRODUCT('Footprint Summary'!P153:P175,'Footprint Summary'!$C153:$C175,'Footprint Summary'!$F153:$F175)/SUMPRODUCT('Footprint Summary'!$C153:$C175,'Footprint Summary'!$F153:$F175),"")</f>
        <v/>
      </c>
      <c r="P58" s="439" t="str">
        <f>IF($E$58="IOM",SUMPRODUCT('Footprint Summary'!Q153:Q175,'Footprint Summary'!$C153:$C175,'Footprint Summary'!$F153:$F175)/SUMPRODUCT('Footprint Summary'!$C153:$C175,'Footprint Summary'!$F153:$F175),"")</f>
        <v/>
      </c>
      <c r="Q58" s="470" t="str">
        <f>IF(E58="","",P58-F58)</f>
        <v/>
      </c>
      <c r="R58" s="482" t="s">
        <v>366</v>
      </c>
      <c r="S58" s="479">
        <f>IF(S56="Underway","",-1*(1000*AL214*D6+AM214*D8))</f>
        <v>0</v>
      </c>
      <c r="T58" s="473" t="s">
        <v>367</v>
      </c>
      <c r="U58" s="478">
        <f>IF(U56="Underway","",-1*S64)</f>
        <v>1.2696567845713564</v>
      </c>
      <c r="V58" s="473" t="s">
        <v>368</v>
      </c>
      <c r="W58" s="478">
        <v>1</v>
      </c>
      <c r="X58" s="14"/>
      <c r="Y58" s="14"/>
    </row>
    <row r="59" spans="1:25" ht="25.5" customHeight="1">
      <c r="A59" s="438" t="s">
        <v>369</v>
      </c>
      <c r="B59" s="14"/>
      <c r="C59" s="443">
        <v>6000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0</v>
      </c>
      <c r="T59" s="473" t="s">
        <v>371</v>
      </c>
      <c r="U59" s="483" t="e">
        <f ca="1">IF(U56="Underway","",_xlfn.MAXIFS(E69:E88,S69:S88,"Yes"))</f>
        <v>#NAME?</v>
      </c>
      <c r="V59" s="482" t="s">
        <v>372</v>
      </c>
      <c r="W59" s="479">
        <f>T115</f>
        <v>0</v>
      </c>
      <c r="X59" s="14"/>
      <c r="Y59" s="14"/>
    </row>
    <row r="60" spans="1:25" ht="25.5" customHeight="1">
      <c r="A60" s="438" t="s">
        <v>373</v>
      </c>
      <c r="B60" s="14"/>
      <c r="C60" s="275">
        <v>48033.8</v>
      </c>
      <c r="D60" s="160"/>
      <c r="Q60" s="10"/>
      <c r="R60" s="473" t="s">
        <v>374</v>
      </c>
      <c r="S60" s="481" t="e">
        <f>IF(S56="Underway","",U115)</f>
        <v>#DIV/0!</v>
      </c>
      <c r="T60" s="10"/>
      <c r="U60" s="10"/>
      <c r="V60" s="473" t="s">
        <v>375</v>
      </c>
      <c r="W60" s="483" t="str">
        <f>IF(IF(W58=1,"Complete",_xlfn.MAXIFS(E69:E114,T69:T114,"Yes"))=0,"",IF(W58=1,"Complete",_xlfn.MAXIFS(E69:E114,T69:T114,"Yes")))</f>
        <v>Complete</v>
      </c>
      <c r="X60" s="14"/>
      <c r="Y60" s="14"/>
    </row>
    <row r="61" spans="1:25" ht="25.5" customHeight="1">
      <c r="A61" s="438" t="s">
        <v>376</v>
      </c>
      <c r="B61" s="14"/>
      <c r="C61" s="444">
        <v>51</v>
      </c>
      <c r="D61" s="162"/>
      <c r="H61" s="13"/>
      <c r="J61" s="14"/>
      <c r="K61" s="14"/>
      <c r="L61" s="14"/>
      <c r="M61" s="10"/>
      <c r="N61" s="10"/>
      <c r="O61" s="10"/>
      <c r="P61" s="10"/>
      <c r="Q61" s="10"/>
      <c r="R61" s="482" t="s">
        <v>377</v>
      </c>
      <c r="S61" s="481">
        <f>P272</f>
        <v>5.6005773337384372</v>
      </c>
      <c r="T61" s="10"/>
      <c r="U61" s="10"/>
      <c r="V61" s="473" t="s">
        <v>378</v>
      </c>
      <c r="W61" s="478">
        <v>1</v>
      </c>
      <c r="X61" s="14"/>
      <c r="Y61" s="14"/>
    </row>
    <row r="62" spans="1:25" ht="25.5" customHeight="1">
      <c r="A62" s="438" t="s">
        <v>379</v>
      </c>
      <c r="B62" s="14"/>
      <c r="C62" s="275">
        <v>2379.8910000000001</v>
      </c>
      <c r="H62" s="13"/>
      <c r="J62" s="14"/>
      <c r="K62" s="14"/>
      <c r="L62" s="347"/>
      <c r="M62" s="10"/>
      <c r="N62" s="10"/>
      <c r="O62" s="10"/>
      <c r="P62" s="10"/>
      <c r="Q62" s="10"/>
      <c r="R62" s="482" t="s">
        <v>380</v>
      </c>
      <c r="S62" s="481">
        <f>Q272</f>
        <v>5.6228587067829068</v>
      </c>
      <c r="T62" s="10"/>
      <c r="U62" s="10"/>
      <c r="V62" s="10"/>
      <c r="W62" s="14"/>
      <c r="X62" s="14"/>
      <c r="Y62" s="14"/>
    </row>
    <row r="63" spans="1:25" ht="25.5" customHeight="1">
      <c r="A63" s="438" t="s">
        <v>382</v>
      </c>
      <c r="B63" s="14"/>
      <c r="C63" s="275">
        <v>2165.6136000000001</v>
      </c>
      <c r="H63" s="13"/>
      <c r="J63" s="14"/>
      <c r="K63" s="14"/>
      <c r="L63" s="10"/>
      <c r="M63" s="10"/>
      <c r="N63" s="10"/>
      <c r="O63" s="10"/>
      <c r="P63" s="10"/>
      <c r="Q63" s="10"/>
      <c r="R63" s="476" t="s">
        <v>383</v>
      </c>
      <c r="S63" s="478">
        <f>C115/C62</f>
        <v>-9.5379998495729437E-2</v>
      </c>
      <c r="T63" s="10"/>
      <c r="U63" s="10"/>
      <c r="V63" s="10"/>
      <c r="W63" s="14"/>
      <c r="X63" s="14"/>
      <c r="Y63" s="14"/>
    </row>
    <row r="64" spans="1:25" ht="25.5" customHeight="1">
      <c r="A64" s="446" t="s">
        <v>385</v>
      </c>
      <c r="B64" s="447"/>
      <c r="C64" s="629">
        <v>37</v>
      </c>
      <c r="D64" s="495">
        <f>(AJ215-C64)/C64</f>
        <v>2.0443879344242463E-2</v>
      </c>
      <c r="H64" s="13"/>
      <c r="J64" s="14"/>
      <c r="K64" s="14"/>
      <c r="L64" s="10"/>
      <c r="M64" s="10"/>
      <c r="N64" s="10"/>
      <c r="O64" s="10"/>
      <c r="P64" s="10"/>
      <c r="Q64" s="10"/>
      <c r="R64" s="476" t="s">
        <v>386</v>
      </c>
      <c r="S64" s="478">
        <f>D115/C63</f>
        <v>-1.2696567845713564</v>
      </c>
      <c r="T64" s="10"/>
      <c r="U64" s="14"/>
      <c r="V64" s="10"/>
      <c r="W64" s="14"/>
      <c r="X64" s="14"/>
      <c r="Y64" s="14"/>
    </row>
    <row r="65" spans="1:25" ht="25.5" customHeight="1">
      <c r="B65" s="487" t="s">
        <v>387</v>
      </c>
      <c r="C65" s="489">
        <f>Z216</f>
        <v>5.6286137879911049</v>
      </c>
      <c r="D65" s="16"/>
      <c r="J65" s="14"/>
      <c r="K65" s="14"/>
      <c r="L65" s="14"/>
      <c r="M65" s="14"/>
      <c r="N65" s="14"/>
      <c r="O65" s="14"/>
      <c r="P65" s="14"/>
      <c r="Q65" s="14"/>
      <c r="R65" s="10"/>
      <c r="S65" s="10"/>
      <c r="T65" s="14"/>
      <c r="U65" s="14"/>
      <c r="V65" s="14"/>
      <c r="W65" s="14"/>
      <c r="X65" s="14"/>
      <c r="Y65" s="14"/>
    </row>
    <row r="66" spans="1:25"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c r="Y66" s="12"/>
    </row>
    <row r="67" spans="1:25" s="18" customFormat="1" ht="43" thickTop="1" thickBot="1">
      <c r="A67" s="184" t="s">
        <v>391</v>
      </c>
      <c r="B67" s="184" t="s">
        <v>392</v>
      </c>
      <c r="C67" s="370" t="s">
        <v>393</v>
      </c>
      <c r="D67" s="370" t="s">
        <v>677</v>
      </c>
      <c r="E67" s="370" t="s">
        <v>395</v>
      </c>
      <c r="F67" s="370" t="s">
        <v>396</v>
      </c>
      <c r="G67" s="625" t="s">
        <v>189</v>
      </c>
      <c r="H67" s="625" t="s">
        <v>190</v>
      </c>
      <c r="I67" s="625" t="s">
        <v>191</v>
      </c>
      <c r="J67" s="625" t="s">
        <v>192</v>
      </c>
      <c r="K67" s="625" t="s">
        <v>193</v>
      </c>
      <c r="L67" s="625" t="s">
        <v>194</v>
      </c>
      <c r="M67" s="625" t="s">
        <v>195</v>
      </c>
      <c r="N67" s="625" t="s">
        <v>196</v>
      </c>
      <c r="O67" s="625" t="s">
        <v>197</v>
      </c>
      <c r="P67" s="625" t="s">
        <v>198</v>
      </c>
      <c r="Q67" s="637" t="s">
        <v>921</v>
      </c>
      <c r="R67" s="200" t="s">
        <v>397</v>
      </c>
      <c r="S67" s="200" t="s">
        <v>328</v>
      </c>
      <c r="T67" s="200" t="s">
        <v>398</v>
      </c>
      <c r="U67" s="200" t="s">
        <v>399</v>
      </c>
      <c r="V67" s="200" t="s">
        <v>370</v>
      </c>
      <c r="W67" s="200" t="s">
        <v>400</v>
      </c>
      <c r="X67" s="200" t="s">
        <v>401</v>
      </c>
      <c r="Y67" s="200" t="s">
        <v>402</v>
      </c>
    </row>
    <row r="68" spans="1:25" ht="17.25" hidden="1" customHeight="1" thickTop="1">
      <c r="A68" s="17"/>
      <c r="B68" s="371"/>
      <c r="C68" s="371"/>
      <c r="D68" s="371"/>
      <c r="E68" s="371"/>
      <c r="P68" s="372"/>
      <c r="Q68" s="372"/>
      <c r="S68" s="372"/>
      <c r="V68" s="12"/>
      <c r="W68" s="12"/>
      <c r="X68" s="12"/>
      <c r="Y68" s="12"/>
    </row>
    <row r="69" spans="1:25" ht="15.5" thickTop="1">
      <c r="A69" s="373"/>
      <c r="B69" s="374"/>
      <c r="C69" s="375"/>
      <c r="D69" s="376"/>
      <c r="E69" s="377"/>
      <c r="F69" s="378"/>
      <c r="G69" s="403">
        <f>IF(E69&lt;G66,F69,0)</f>
        <v>0</v>
      </c>
      <c r="H69" s="404">
        <f t="shared" ref="H69:Q77"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640">
        <f t="shared" si="21"/>
        <v>0</v>
      </c>
      <c r="R69" s="379"/>
      <c r="S69" s="379"/>
      <c r="T69" s="380"/>
      <c r="U69" s="411" t="e">
        <f>IF(-0.75*((C69/(VLOOKUP($A$2,Assumptions!$B$124:$G$147,2,0)))+D69/(VLOOKUP($A$2,Assumptions!$B$124:$G$147,5,0)))=0,"",-0.75*((C69/(VLOOKUP($A$2,Assumptions!$B$124:$G$147,2,0)))+D69/(VLOOKUP($A$2,Assumptions!$B$124:$G$147,5,0))))</f>
        <v>#DIV/0!</v>
      </c>
      <c r="V69" s="412" t="str">
        <f t="shared" ref="V69:V88" si="22">IF(ISERROR(((-1*C69*1000*$D$6)+(-1*D69*$D$8))/F69),"",((-1*C69*1000*$D$6)+(-1*D69*$D$8))/F69)</f>
        <v/>
      </c>
      <c r="W69" s="450"/>
      <c r="X69" s="506"/>
      <c r="Y69" s="506"/>
    </row>
    <row r="70" spans="1:25" ht="15">
      <c r="A70" s="373"/>
      <c r="B70" s="374" t="s">
        <v>922</v>
      </c>
      <c r="C70" s="381">
        <v>-468.572</v>
      </c>
      <c r="D70" s="381">
        <v>0</v>
      </c>
      <c r="E70" s="377">
        <v>49033</v>
      </c>
      <c r="F70" s="378">
        <v>900000</v>
      </c>
      <c r="G70" s="403">
        <f t="shared" ref="G70:G77" si="23">IF($E70&lt;G$66,$F70,0)</f>
        <v>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635">
        <f t="shared" si="21"/>
        <v>900000</v>
      </c>
      <c r="R70" s="379" t="s">
        <v>32</v>
      </c>
      <c r="S70" s="379"/>
      <c r="T70" s="382"/>
      <c r="U70" s="413" t="e">
        <f>IF(-0.75*((C70/(VLOOKUP($A$2,Assumptions!$B$124:$G$147,2,0)))+D70/(VLOOKUP($A$2,Assumptions!$B$124:$G$147,5,0)))=0,"",-0.75*((C70/(VLOOKUP($A$2,Assumptions!$B$124:$G$147,2,0)))+D70/(VLOOKUP($A$2,Assumptions!$B$124:$G$147,5,0))))</f>
        <v>#DIV/0!</v>
      </c>
      <c r="V70" s="414">
        <f t="shared" si="22"/>
        <v>0</v>
      </c>
      <c r="W70" s="451"/>
      <c r="X70" s="507"/>
      <c r="Y70" s="507"/>
    </row>
    <row r="71" spans="1:25" ht="90">
      <c r="A71" s="373"/>
      <c r="B71" s="374" t="s">
        <v>923</v>
      </c>
      <c r="C71" s="383">
        <v>181.37799999999999</v>
      </c>
      <c r="D71" s="375">
        <v>-1714</v>
      </c>
      <c r="E71" s="377">
        <v>46842</v>
      </c>
      <c r="F71" s="384">
        <v>3000000</v>
      </c>
      <c r="G71" s="403">
        <f t="shared" si="23"/>
        <v>0</v>
      </c>
      <c r="H71" s="404">
        <f t="shared" si="21"/>
        <v>0</v>
      </c>
      <c r="I71" s="405">
        <f t="shared" si="21"/>
        <v>0</v>
      </c>
      <c r="J71" s="405">
        <f t="shared" si="21"/>
        <v>0</v>
      </c>
      <c r="K71" s="405">
        <f t="shared" si="21"/>
        <v>3000000</v>
      </c>
      <c r="L71" s="405">
        <f t="shared" si="21"/>
        <v>0</v>
      </c>
      <c r="M71" s="405">
        <f t="shared" si="21"/>
        <v>0</v>
      </c>
      <c r="N71" s="405">
        <f t="shared" si="21"/>
        <v>0</v>
      </c>
      <c r="O71" s="405">
        <f t="shared" si="21"/>
        <v>0</v>
      </c>
      <c r="P71" s="406">
        <f t="shared" si="21"/>
        <v>0</v>
      </c>
      <c r="Q71" s="635">
        <f t="shared" si="21"/>
        <v>0</v>
      </c>
      <c r="R71" s="379"/>
      <c r="S71" s="379" t="s">
        <v>32</v>
      </c>
      <c r="T71" s="382"/>
      <c r="U71" s="413" t="e">
        <f>IF(-0.75*((C71/(VLOOKUP($A$2,Assumptions!$B$124:$G$147,2,0)))+D71/(VLOOKUP($A$2,Assumptions!$B$124:$G$147,5,0)))=0,"",-0.75*((C71/(VLOOKUP($A$2,Assumptions!$B$124:$G$147,2,0)))+D71/(VLOOKUP($A$2,Assumptions!$B$124:$G$147,5,0))))</f>
        <v>#DIV/0!</v>
      </c>
      <c r="V71" s="414">
        <f t="shared" si="22"/>
        <v>0</v>
      </c>
      <c r="W71" s="451"/>
      <c r="X71" s="507"/>
      <c r="Y71" s="507"/>
    </row>
    <row r="72" spans="1:25" ht="75">
      <c r="A72" s="373"/>
      <c r="B72" s="374" t="s">
        <v>924</v>
      </c>
      <c r="C72" s="508">
        <v>60.2</v>
      </c>
      <c r="D72" s="381">
        <v>-758.54200000000003</v>
      </c>
      <c r="E72" s="377">
        <v>49033</v>
      </c>
      <c r="F72" s="378">
        <v>700000</v>
      </c>
      <c r="G72" s="403">
        <f t="shared" si="23"/>
        <v>0</v>
      </c>
      <c r="H72" s="404">
        <f t="shared" si="21"/>
        <v>0</v>
      </c>
      <c r="I72" s="405">
        <f t="shared" si="21"/>
        <v>0</v>
      </c>
      <c r="J72" s="405">
        <f t="shared" si="21"/>
        <v>0</v>
      </c>
      <c r="K72" s="405">
        <f t="shared" si="21"/>
        <v>0</v>
      </c>
      <c r="L72" s="405">
        <f t="shared" si="21"/>
        <v>0</v>
      </c>
      <c r="M72" s="405">
        <f t="shared" si="21"/>
        <v>0</v>
      </c>
      <c r="N72" s="405">
        <f t="shared" si="21"/>
        <v>0</v>
      </c>
      <c r="O72" s="405">
        <f t="shared" si="21"/>
        <v>0</v>
      </c>
      <c r="P72" s="406">
        <f t="shared" si="21"/>
        <v>0</v>
      </c>
      <c r="Q72" s="635">
        <f t="shared" si="21"/>
        <v>700000</v>
      </c>
      <c r="R72" s="379"/>
      <c r="S72" s="379" t="s">
        <v>32</v>
      </c>
      <c r="T72" s="382"/>
      <c r="U72" s="413" t="e">
        <f>IF(-0.75*((C72/(VLOOKUP($A$2,Assumptions!$B$124:$G$147,2,0)))+D72/(VLOOKUP($A$2,Assumptions!$B$124:$G$147,5,0)))=0,"",-0.75*((C72/(VLOOKUP($A$2,Assumptions!$B$124:$G$147,2,0)))+D72/(VLOOKUP($A$2,Assumptions!$B$124:$G$147,5,0))))</f>
        <v>#DIV/0!</v>
      </c>
      <c r="V72" s="414">
        <f t="shared" si="22"/>
        <v>0</v>
      </c>
      <c r="W72" s="451"/>
      <c r="X72" s="507"/>
      <c r="Y72" s="507"/>
    </row>
    <row r="73" spans="1:25" ht="30">
      <c r="A73" s="373"/>
      <c r="B73" s="374" t="s">
        <v>925</v>
      </c>
      <c r="C73" s="383"/>
      <c r="D73" s="381">
        <v>-277.04399999999998</v>
      </c>
      <c r="E73" s="377">
        <v>49033</v>
      </c>
      <c r="F73" s="378">
        <v>350000</v>
      </c>
      <c r="G73" s="403">
        <f t="shared" si="23"/>
        <v>0</v>
      </c>
      <c r="H73" s="404">
        <f t="shared" si="21"/>
        <v>0</v>
      </c>
      <c r="I73" s="405">
        <f t="shared" si="21"/>
        <v>0</v>
      </c>
      <c r="J73" s="405">
        <f t="shared" si="21"/>
        <v>0</v>
      </c>
      <c r="K73" s="405">
        <f t="shared" si="21"/>
        <v>0</v>
      </c>
      <c r="L73" s="405">
        <f t="shared" si="21"/>
        <v>0</v>
      </c>
      <c r="M73" s="405">
        <f t="shared" si="21"/>
        <v>0</v>
      </c>
      <c r="N73" s="405">
        <f t="shared" si="21"/>
        <v>0</v>
      </c>
      <c r="O73" s="405">
        <f t="shared" si="21"/>
        <v>0</v>
      </c>
      <c r="P73" s="406">
        <f t="shared" si="21"/>
        <v>0</v>
      </c>
      <c r="Q73" s="635">
        <f t="shared" si="21"/>
        <v>350000</v>
      </c>
      <c r="R73" s="379"/>
      <c r="S73" s="379" t="s">
        <v>32</v>
      </c>
      <c r="T73" s="382"/>
      <c r="U73" s="413" t="e">
        <f>IF(-0.75*((C73/(VLOOKUP($A$2,Assumptions!$B$124:$G$147,2,0)))+D73/(VLOOKUP($A$2,Assumptions!$B$124:$G$147,5,0)))=0,"",-0.75*((C73/(VLOOKUP($A$2,Assumptions!$B$124:$G$147,2,0)))+D73/(VLOOKUP($A$2,Assumptions!$B$124:$G$147,5,0))))</f>
        <v>#DIV/0!</v>
      </c>
      <c r="V73" s="414">
        <f t="shared" si="22"/>
        <v>0</v>
      </c>
      <c r="W73" s="451"/>
      <c r="X73" s="507"/>
      <c r="Y73" s="507"/>
    </row>
    <row r="74" spans="1:25" ht="30">
      <c r="A74" s="373"/>
      <c r="B74" s="458" t="s">
        <v>926</v>
      </c>
      <c r="C74" s="375"/>
      <c r="D74" s="375"/>
      <c r="E74" s="377"/>
      <c r="F74" s="378"/>
      <c r="G74" s="403">
        <f t="shared" si="23"/>
        <v>0</v>
      </c>
      <c r="H74" s="404">
        <f t="shared" si="21"/>
        <v>0</v>
      </c>
      <c r="I74" s="405">
        <f t="shared" si="21"/>
        <v>0</v>
      </c>
      <c r="J74" s="405">
        <f t="shared" si="21"/>
        <v>0</v>
      </c>
      <c r="K74" s="405">
        <f t="shared" si="21"/>
        <v>0</v>
      </c>
      <c r="L74" s="405">
        <f t="shared" si="21"/>
        <v>0</v>
      </c>
      <c r="M74" s="405">
        <f t="shared" si="21"/>
        <v>0</v>
      </c>
      <c r="N74" s="405">
        <f t="shared" si="21"/>
        <v>0</v>
      </c>
      <c r="O74" s="405">
        <f t="shared" si="21"/>
        <v>0</v>
      </c>
      <c r="P74" s="406">
        <f t="shared" si="21"/>
        <v>0</v>
      </c>
      <c r="Q74" s="635">
        <f t="shared" si="21"/>
        <v>0</v>
      </c>
      <c r="R74" s="379"/>
      <c r="S74" s="379"/>
      <c r="T74" s="382"/>
      <c r="U74" s="413" t="e">
        <f>IF(-0.75*((C74/(VLOOKUP($A$2,Assumptions!$B$124:$G$147,2,0)))+D74/(VLOOKUP($A$2,Assumptions!$B$124:$G$147,5,0)))=0,"",-0.75*((C74/(VLOOKUP($A$2,Assumptions!$B$124:$G$147,2,0)))+D74/(VLOOKUP($A$2,Assumptions!$B$124:$G$147,5,0))))</f>
        <v>#DIV/0!</v>
      </c>
      <c r="V74" s="414" t="str">
        <f t="shared" si="22"/>
        <v/>
      </c>
      <c r="W74" s="451"/>
      <c r="X74" s="507"/>
      <c r="Y74" s="507"/>
    </row>
    <row r="75" spans="1:25" ht="15">
      <c r="A75" s="373"/>
      <c r="B75" s="374"/>
      <c r="C75" s="375"/>
      <c r="D75" s="375"/>
      <c r="E75" s="377"/>
      <c r="F75" s="378"/>
      <c r="G75" s="403">
        <f t="shared" si="23"/>
        <v>0</v>
      </c>
      <c r="H75" s="404">
        <f t="shared" si="21"/>
        <v>0</v>
      </c>
      <c r="I75" s="405">
        <f t="shared" si="21"/>
        <v>0</v>
      </c>
      <c r="J75" s="405">
        <f t="shared" si="21"/>
        <v>0</v>
      </c>
      <c r="K75" s="405">
        <f t="shared" si="21"/>
        <v>0</v>
      </c>
      <c r="L75" s="405">
        <f t="shared" si="21"/>
        <v>0</v>
      </c>
      <c r="M75" s="405">
        <f t="shared" si="21"/>
        <v>0</v>
      </c>
      <c r="N75" s="405">
        <f t="shared" si="21"/>
        <v>0</v>
      </c>
      <c r="O75" s="405">
        <f t="shared" si="21"/>
        <v>0</v>
      </c>
      <c r="P75" s="406">
        <f t="shared" si="21"/>
        <v>0</v>
      </c>
      <c r="Q75" s="635">
        <f t="shared" si="21"/>
        <v>0</v>
      </c>
      <c r="R75" s="379"/>
      <c r="S75" s="379"/>
      <c r="T75" s="382"/>
      <c r="U75" s="413" t="e">
        <f>IF(-0.75*((C75/(VLOOKUP($A$2,Assumptions!$B$124:$G$147,2,0)))+D75/(VLOOKUP($A$2,Assumptions!$B$124:$G$147,5,0)))=0,"",-0.75*((C75/(VLOOKUP($A$2,Assumptions!$B$124:$G$147,2,0)))+D75/(VLOOKUP($A$2,Assumptions!$B$124:$G$147,5,0))))</f>
        <v>#DIV/0!</v>
      </c>
      <c r="V75" s="414" t="str">
        <f t="shared" si="22"/>
        <v/>
      </c>
      <c r="W75" s="451"/>
      <c r="X75" s="507"/>
      <c r="Y75" s="507"/>
    </row>
    <row r="76" spans="1:25" ht="15">
      <c r="A76" s="373"/>
      <c r="B76" s="374"/>
      <c r="C76" s="375"/>
      <c r="D76" s="375"/>
      <c r="E76" s="377"/>
      <c r="F76" s="378"/>
      <c r="G76" s="403">
        <f t="shared" si="23"/>
        <v>0</v>
      </c>
      <c r="H76" s="404">
        <f t="shared" si="21"/>
        <v>0</v>
      </c>
      <c r="I76" s="405">
        <f t="shared" si="21"/>
        <v>0</v>
      </c>
      <c r="J76" s="405">
        <f t="shared" si="21"/>
        <v>0</v>
      </c>
      <c r="K76" s="405">
        <f t="shared" si="21"/>
        <v>0</v>
      </c>
      <c r="L76" s="405">
        <f t="shared" si="21"/>
        <v>0</v>
      </c>
      <c r="M76" s="405">
        <f t="shared" si="21"/>
        <v>0</v>
      </c>
      <c r="N76" s="405">
        <f t="shared" si="21"/>
        <v>0</v>
      </c>
      <c r="O76" s="405">
        <f t="shared" si="21"/>
        <v>0</v>
      </c>
      <c r="P76" s="406">
        <f t="shared" si="21"/>
        <v>0</v>
      </c>
      <c r="Q76" s="635">
        <f t="shared" si="21"/>
        <v>0</v>
      </c>
      <c r="R76" s="379"/>
      <c r="S76" s="379"/>
      <c r="T76" s="382"/>
      <c r="U76" s="413" t="e">
        <f>IF(-0.75*((C76/(VLOOKUP($A$2,Assumptions!$B$124:$G$147,2,0)))+D76/(VLOOKUP($A$2,Assumptions!$B$124:$G$147,5,0)))=0,"",-0.75*((C76/(VLOOKUP($A$2,Assumptions!$B$124:$G$147,2,0)))+D76/(VLOOKUP($A$2,Assumptions!$B$124:$G$147,5,0))))</f>
        <v>#DIV/0!</v>
      </c>
      <c r="V76" s="414" t="str">
        <f t="shared" si="22"/>
        <v/>
      </c>
      <c r="W76" s="451"/>
      <c r="X76" s="507"/>
      <c r="Y76" s="507"/>
    </row>
    <row r="77" spans="1:25" ht="15">
      <c r="A77" s="373"/>
      <c r="B77" s="374"/>
      <c r="C77" s="375"/>
      <c r="D77" s="375"/>
      <c r="E77" s="377"/>
      <c r="F77" s="378"/>
      <c r="G77" s="403">
        <f t="shared" si="23"/>
        <v>0</v>
      </c>
      <c r="H77" s="404">
        <f t="shared" si="21"/>
        <v>0</v>
      </c>
      <c r="I77" s="405">
        <f t="shared" si="21"/>
        <v>0</v>
      </c>
      <c r="J77" s="405">
        <f t="shared" si="21"/>
        <v>0</v>
      </c>
      <c r="K77" s="405">
        <f t="shared" si="21"/>
        <v>0</v>
      </c>
      <c r="L77" s="405">
        <f t="shared" si="21"/>
        <v>0</v>
      </c>
      <c r="M77" s="405">
        <f t="shared" si="21"/>
        <v>0</v>
      </c>
      <c r="N77" s="405">
        <f t="shared" si="21"/>
        <v>0</v>
      </c>
      <c r="O77" s="405">
        <f t="shared" si="21"/>
        <v>0</v>
      </c>
      <c r="P77" s="406">
        <f t="shared" si="21"/>
        <v>0</v>
      </c>
      <c r="Q77" s="635">
        <f t="shared" si="21"/>
        <v>0</v>
      </c>
      <c r="R77" s="379"/>
      <c r="S77" s="379"/>
      <c r="T77" s="385"/>
      <c r="U77" s="413" t="e">
        <f>IF(-0.75*((C77/(VLOOKUP($A$2,Assumptions!$B$124:$G$147,2,0)))+D77/(VLOOKUP($A$2,Assumptions!$B$124:$G$147,5,0)))=0,"",-0.75*((C77/(VLOOKUP($A$2,Assumptions!$B$124:$G$147,2,0)))+D77/(VLOOKUP($A$2,Assumptions!$B$124:$G$147,5,0))))</f>
        <v>#DIV/0!</v>
      </c>
      <c r="V77" s="414" t="str">
        <f t="shared" si="22"/>
        <v/>
      </c>
      <c r="W77" s="451"/>
      <c r="X77" s="507"/>
      <c r="Y77" s="507"/>
    </row>
    <row r="78" spans="1:25" ht="15">
      <c r="A78" s="373"/>
      <c r="B78" s="374"/>
      <c r="C78" s="375"/>
      <c r="D78" s="375"/>
      <c r="E78" s="377"/>
      <c r="F78" s="378"/>
      <c r="G78" s="403"/>
      <c r="H78" s="404"/>
      <c r="I78" s="405"/>
      <c r="J78" s="405"/>
      <c r="K78" s="405"/>
      <c r="L78" s="405"/>
      <c r="M78" s="405"/>
      <c r="N78" s="405"/>
      <c r="O78" s="405"/>
      <c r="P78" s="406"/>
      <c r="Q78" s="635"/>
      <c r="R78" s="379"/>
      <c r="S78" s="386"/>
      <c r="T78" s="387"/>
      <c r="U78" s="413" t="e">
        <f>IF(-0.75*((C78/(VLOOKUP($A$2,Assumptions!$B$124:$G$147,2,0)))+D78/(VLOOKUP($A$2,Assumptions!$B$124:$G$147,5,0)))=0,"",-0.75*((C78/(VLOOKUP($A$2,Assumptions!$B$124:$G$147,2,0)))+D78/(VLOOKUP($A$2,Assumptions!$B$124:$G$147,5,0))))</f>
        <v>#DIV/0!</v>
      </c>
      <c r="V78" s="414" t="str">
        <f t="shared" si="22"/>
        <v/>
      </c>
      <c r="W78" s="451"/>
      <c r="X78" s="507"/>
      <c r="Y78" s="507"/>
    </row>
    <row r="79" spans="1:25" ht="15">
      <c r="A79" s="373"/>
      <c r="B79" s="374"/>
      <c r="C79" s="375"/>
      <c r="D79" s="375"/>
      <c r="E79" s="377"/>
      <c r="F79" s="378"/>
      <c r="G79" s="403"/>
      <c r="H79" s="404"/>
      <c r="I79" s="405"/>
      <c r="J79" s="405"/>
      <c r="K79" s="405"/>
      <c r="L79" s="405"/>
      <c r="M79" s="405"/>
      <c r="N79" s="405"/>
      <c r="O79" s="405"/>
      <c r="P79" s="406"/>
      <c r="Q79" s="635"/>
      <c r="R79" s="379"/>
      <c r="S79" s="386"/>
      <c r="T79" s="387"/>
      <c r="U79" s="413" t="e">
        <f>IF(-0.75*((C79/(VLOOKUP($A$2,Assumptions!$B$124:$G$147,2,0)))+D79/(VLOOKUP($A$2,Assumptions!$B$124:$G$147,5,0)))=0,"",-0.75*((C79/(VLOOKUP($A$2,Assumptions!$B$124:$G$147,2,0)))+D79/(VLOOKUP($A$2,Assumptions!$B$124:$G$147,5,0))))</f>
        <v>#DIV/0!</v>
      </c>
      <c r="V79" s="414" t="str">
        <f t="shared" si="22"/>
        <v/>
      </c>
      <c r="W79" s="451"/>
      <c r="X79" s="507"/>
      <c r="Y79" s="507"/>
    </row>
    <row r="80" spans="1:25" ht="15">
      <c r="A80" s="373"/>
      <c r="B80" s="374"/>
      <c r="C80" s="375"/>
      <c r="D80" s="375"/>
      <c r="E80" s="377"/>
      <c r="F80" s="378"/>
      <c r="G80" s="403"/>
      <c r="H80" s="404"/>
      <c r="I80" s="405"/>
      <c r="J80" s="405"/>
      <c r="K80" s="405"/>
      <c r="L80" s="405"/>
      <c r="M80" s="405"/>
      <c r="N80" s="405"/>
      <c r="O80" s="405"/>
      <c r="P80" s="406"/>
      <c r="Q80" s="635"/>
      <c r="R80" s="379"/>
      <c r="S80" s="386"/>
      <c r="T80" s="387"/>
      <c r="U80" s="413" t="e">
        <f>IF(-0.75*((C80/(VLOOKUP($A$2,Assumptions!$B$124:$G$147,2,0)))+D80/(VLOOKUP($A$2,Assumptions!$B$124:$G$147,5,0)))=0,"",-0.75*((C80/(VLOOKUP($A$2,Assumptions!$B$124:$G$147,2,0)))+D80/(VLOOKUP($A$2,Assumptions!$B$124:$G$147,5,0))))</f>
        <v>#DIV/0!</v>
      </c>
      <c r="V80" s="414" t="str">
        <f t="shared" si="22"/>
        <v/>
      </c>
      <c r="W80" s="451"/>
      <c r="X80" s="507"/>
      <c r="Y80" s="507"/>
    </row>
    <row r="81" spans="1:25" ht="15">
      <c r="A81" s="373"/>
      <c r="B81" s="457"/>
      <c r="C81" s="375"/>
      <c r="D81" s="375"/>
      <c r="E81" s="377"/>
      <c r="F81" s="378"/>
      <c r="G81" s="403"/>
      <c r="H81" s="404"/>
      <c r="I81" s="405"/>
      <c r="J81" s="405"/>
      <c r="K81" s="405"/>
      <c r="L81" s="405"/>
      <c r="M81" s="405"/>
      <c r="N81" s="405"/>
      <c r="O81" s="405"/>
      <c r="P81" s="406"/>
      <c r="Q81" s="635"/>
      <c r="R81" s="379"/>
      <c r="S81" s="386"/>
      <c r="T81" s="387"/>
      <c r="U81" s="413" t="e">
        <f>IF(-0.75*((C81/(VLOOKUP($A$2,Assumptions!$B$124:$G$147,2,0)))+D81/(VLOOKUP($A$2,Assumptions!$B$124:$G$147,5,0)))=0,"",-0.75*((C81/(VLOOKUP($A$2,Assumptions!$B$124:$G$147,2,0)))+D81/(VLOOKUP($A$2,Assumptions!$B$124:$G$147,5,0))))</f>
        <v>#DIV/0!</v>
      </c>
      <c r="V81" s="414" t="str">
        <f t="shared" si="22"/>
        <v/>
      </c>
      <c r="W81" s="451"/>
      <c r="X81" s="507"/>
      <c r="Y81" s="507"/>
    </row>
    <row r="82" spans="1:25" ht="15">
      <c r="A82" s="373"/>
      <c r="B82" s="457"/>
      <c r="C82" s="375"/>
      <c r="D82" s="375"/>
      <c r="E82" s="377"/>
      <c r="F82" s="378"/>
      <c r="G82" s="403"/>
      <c r="H82" s="404"/>
      <c r="I82" s="405"/>
      <c r="J82" s="405"/>
      <c r="K82" s="405"/>
      <c r="L82" s="405"/>
      <c r="M82" s="405"/>
      <c r="N82" s="405"/>
      <c r="O82" s="405"/>
      <c r="P82" s="406"/>
      <c r="Q82" s="635"/>
      <c r="R82" s="379"/>
      <c r="S82" s="386"/>
      <c r="T82" s="387"/>
      <c r="U82" s="413" t="e">
        <f>IF(-0.75*((C82/(VLOOKUP($A$2,Assumptions!$B$124:$G$147,2,0)))+D82/(VLOOKUP($A$2,Assumptions!$B$124:$G$147,5,0)))=0,"",-0.75*((C82/(VLOOKUP($A$2,Assumptions!$B$124:$G$147,2,0)))+D82/(VLOOKUP($A$2,Assumptions!$B$124:$G$147,5,0))))</f>
        <v>#DIV/0!</v>
      </c>
      <c r="V82" s="414" t="str">
        <f t="shared" si="22"/>
        <v/>
      </c>
      <c r="W82" s="451"/>
      <c r="X82" s="507"/>
      <c r="Y82" s="507"/>
    </row>
    <row r="83" spans="1:25" ht="15">
      <c r="A83" s="373"/>
      <c r="B83" s="457"/>
      <c r="C83" s="375"/>
      <c r="D83" s="375"/>
      <c r="E83" s="377"/>
      <c r="F83" s="378"/>
      <c r="G83" s="403"/>
      <c r="H83" s="404"/>
      <c r="I83" s="405"/>
      <c r="J83" s="405"/>
      <c r="K83" s="405"/>
      <c r="L83" s="405"/>
      <c r="M83" s="405"/>
      <c r="N83" s="405"/>
      <c r="O83" s="405"/>
      <c r="P83" s="406"/>
      <c r="Q83" s="635"/>
      <c r="R83" s="379"/>
      <c r="S83" s="386"/>
      <c r="T83" s="387"/>
      <c r="U83" s="413" t="e">
        <f>IF(-0.75*((C83/(VLOOKUP($A$2,Assumptions!$B$124:$G$147,2,0)))+D83/(VLOOKUP($A$2,Assumptions!$B$124:$G$147,5,0)))=0,"",-0.75*((C83/(VLOOKUP($A$2,Assumptions!$B$124:$G$147,2,0)))+D83/(VLOOKUP($A$2,Assumptions!$B$124:$G$147,5,0))))</f>
        <v>#DIV/0!</v>
      </c>
      <c r="V83" s="414" t="str">
        <f t="shared" si="22"/>
        <v/>
      </c>
      <c r="W83" s="451"/>
      <c r="X83" s="507"/>
      <c r="Y83" s="507"/>
    </row>
    <row r="84" spans="1:25" ht="15">
      <c r="A84" s="373"/>
      <c r="B84" s="457"/>
      <c r="C84" s="375"/>
      <c r="D84" s="375"/>
      <c r="E84" s="377"/>
      <c r="F84" s="378"/>
      <c r="G84" s="403"/>
      <c r="H84" s="404"/>
      <c r="I84" s="405"/>
      <c r="J84" s="405"/>
      <c r="K84" s="405"/>
      <c r="L84" s="405"/>
      <c r="M84" s="405"/>
      <c r="N84" s="405"/>
      <c r="O84" s="405"/>
      <c r="P84" s="406"/>
      <c r="Q84" s="635"/>
      <c r="R84" s="379"/>
      <c r="S84" s="386"/>
      <c r="T84" s="387"/>
      <c r="U84" s="413" t="e">
        <f>IF(-0.75*((C84/(VLOOKUP($A$2,Assumptions!$B$124:$G$147,2,0)))+D84/(VLOOKUP($A$2,Assumptions!$B$124:$G$147,5,0)))=0,"",-0.75*((C84/(VLOOKUP($A$2,Assumptions!$B$124:$G$147,2,0)))+D84/(VLOOKUP($A$2,Assumptions!$B$124:$G$147,5,0))))</f>
        <v>#DIV/0!</v>
      </c>
      <c r="V84" s="414" t="str">
        <f t="shared" si="22"/>
        <v/>
      </c>
      <c r="W84" s="451"/>
      <c r="X84" s="507"/>
      <c r="Y84" s="507"/>
    </row>
    <row r="85" spans="1:25" ht="15">
      <c r="A85" s="373"/>
      <c r="B85" s="457"/>
      <c r="C85" s="375"/>
      <c r="D85" s="375"/>
      <c r="E85" s="377"/>
      <c r="F85" s="378"/>
      <c r="G85" s="403"/>
      <c r="H85" s="404"/>
      <c r="I85" s="405"/>
      <c r="J85" s="405"/>
      <c r="K85" s="405"/>
      <c r="L85" s="405"/>
      <c r="M85" s="405"/>
      <c r="N85" s="405"/>
      <c r="O85" s="405"/>
      <c r="P85" s="406"/>
      <c r="Q85" s="635"/>
      <c r="R85" s="379"/>
      <c r="S85" s="386"/>
      <c r="T85" s="387"/>
      <c r="U85" s="413" t="e">
        <f>IF(-0.75*((C85/(VLOOKUP($A$2,Assumptions!$B$124:$G$147,2,0)))+D85/(VLOOKUP($A$2,Assumptions!$B$124:$G$147,5,0)))=0,"",-0.75*((C85/(VLOOKUP($A$2,Assumptions!$B$124:$G$147,2,0)))+D85/(VLOOKUP($A$2,Assumptions!$B$124:$G$147,5,0))))</f>
        <v>#DIV/0!</v>
      </c>
      <c r="V85" s="414" t="str">
        <f t="shared" si="22"/>
        <v/>
      </c>
      <c r="W85" s="451"/>
      <c r="X85" s="507"/>
      <c r="Y85" s="507"/>
    </row>
    <row r="86" spans="1:25" ht="15">
      <c r="A86" s="373"/>
      <c r="B86" s="457"/>
      <c r="C86" s="375"/>
      <c r="D86" s="375"/>
      <c r="E86" s="377"/>
      <c r="F86" s="378"/>
      <c r="G86" s="403"/>
      <c r="H86" s="404"/>
      <c r="I86" s="405"/>
      <c r="J86" s="405"/>
      <c r="K86" s="405"/>
      <c r="L86" s="405"/>
      <c r="M86" s="405"/>
      <c r="N86" s="405"/>
      <c r="O86" s="405"/>
      <c r="P86" s="406"/>
      <c r="Q86" s="635"/>
      <c r="R86" s="379"/>
      <c r="S86" s="386"/>
      <c r="T86" s="387"/>
      <c r="U86" s="413" t="e">
        <f>IF(-0.75*((C86/(VLOOKUP($A$2,Assumptions!$B$124:$G$147,2,0)))+D86/(VLOOKUP($A$2,Assumptions!$B$124:$G$147,5,0)))=0,"",-0.75*((C86/(VLOOKUP($A$2,Assumptions!$B$124:$G$147,2,0)))+D86/(VLOOKUP($A$2,Assumptions!$B$124:$G$147,5,0))))</f>
        <v>#DIV/0!</v>
      </c>
      <c r="V86" s="414" t="str">
        <f t="shared" si="22"/>
        <v/>
      </c>
      <c r="W86" s="451"/>
      <c r="X86" s="507"/>
      <c r="Y86" s="507"/>
    </row>
    <row r="87" spans="1:25" ht="15">
      <c r="A87" s="373"/>
      <c r="B87" s="374"/>
      <c r="C87" s="375"/>
      <c r="D87" s="375"/>
      <c r="E87" s="377"/>
      <c r="F87" s="378"/>
      <c r="G87" s="403"/>
      <c r="H87" s="404"/>
      <c r="I87" s="405"/>
      <c r="J87" s="405"/>
      <c r="K87" s="405"/>
      <c r="L87" s="405"/>
      <c r="M87" s="405"/>
      <c r="N87" s="405"/>
      <c r="O87" s="405"/>
      <c r="P87" s="406"/>
      <c r="Q87" s="635"/>
      <c r="R87" s="379"/>
      <c r="S87" s="379"/>
      <c r="T87" s="387"/>
      <c r="U87" s="413" t="e">
        <f>IF(-0.75*((C87/(VLOOKUP($A$2,Assumptions!$B$124:$G$147,2,0)))+D87/(VLOOKUP($A$2,Assumptions!$B$124:$G$147,5,0)))=0,"",-0.75*((C87/(VLOOKUP($A$2,Assumptions!$B$124:$G$147,2,0)))+D87/(VLOOKUP($A$2,Assumptions!$B$124:$G$147,5,0))))</f>
        <v>#DIV/0!</v>
      </c>
      <c r="V87" s="414" t="str">
        <f t="shared" si="22"/>
        <v/>
      </c>
      <c r="W87" s="451"/>
      <c r="X87" s="507"/>
      <c r="Y87" s="507"/>
    </row>
    <row r="88" spans="1:25" ht="15">
      <c r="A88" s="456"/>
      <c r="B88" s="397"/>
      <c r="C88" s="398"/>
      <c r="D88" s="398"/>
      <c r="E88" s="399"/>
      <c r="F88" s="400"/>
      <c r="G88" s="407"/>
      <c r="H88" s="408"/>
      <c r="I88" s="409"/>
      <c r="J88" s="409"/>
      <c r="K88" s="409"/>
      <c r="L88" s="409"/>
      <c r="M88" s="409"/>
      <c r="N88" s="409"/>
      <c r="O88" s="409"/>
      <c r="P88" s="410"/>
      <c r="Q88" s="636"/>
      <c r="R88" s="401"/>
      <c r="S88" s="401"/>
      <c r="T88" s="402"/>
      <c r="U88" s="413" t="e">
        <f>IF(-0.75*((C88/(VLOOKUP($A$2,Assumptions!$B$124:$G$147,2,0)))+D88/(VLOOKUP($A$2,Assumptions!$B$124:$G$147,5,0)))=0,"",-0.75*((C88/(VLOOKUP($A$2,Assumptions!$B$124:$G$147,2,0)))+D88/(VLOOKUP($A$2,Assumptions!$B$124:$G$147,5,0))))</f>
        <v>#DIV/0!</v>
      </c>
      <c r="V88" s="415" t="str">
        <f t="shared" si="22"/>
        <v/>
      </c>
      <c r="W88" s="452"/>
      <c r="X88" s="507"/>
      <c r="Y88" s="507"/>
    </row>
    <row r="89" spans="1:25"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c r="Y89" s="304"/>
    </row>
    <row r="90" spans="1:25"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c r="Y90" s="170"/>
    </row>
    <row r="91" spans="1:25"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c r="Y91" s="170"/>
    </row>
    <row r="92" spans="1:25"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c r="Y92" s="170"/>
    </row>
    <row r="93" spans="1:25"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c r="Y93" s="170"/>
    </row>
    <row r="94" spans="1:25"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c r="Y94" s="170"/>
    </row>
    <row r="95" spans="1:25"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c r="Y95" s="170"/>
    </row>
    <row r="96" spans="1:25"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c r="Y96" s="170"/>
    </row>
    <row r="97" spans="1:25"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c r="Y97" s="170"/>
    </row>
    <row r="98" spans="1:25"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c r="Y98" s="170"/>
    </row>
    <row r="99" spans="1:25"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c r="Y99" s="170"/>
    </row>
    <row r="100" spans="1:25"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c r="Y100" s="170"/>
    </row>
    <row r="101" spans="1:25"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c r="Y101" s="170"/>
    </row>
    <row r="102" spans="1:25"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c r="Y102" s="170"/>
    </row>
    <row r="103" spans="1:25"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c r="Y103" s="170"/>
    </row>
    <row r="104" spans="1:25"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c r="Y104" s="170"/>
    </row>
    <row r="105" spans="1:25"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c r="Y105" s="170"/>
    </row>
    <row r="106" spans="1:25"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c r="Y106" s="170"/>
    </row>
    <row r="107" spans="1:25"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c r="Y107" s="170"/>
    </row>
    <row r="108" spans="1:25"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c r="Y108" s="170"/>
    </row>
    <row r="109" spans="1:25"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c r="Y109" s="170"/>
    </row>
    <row r="110" spans="1:25"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c r="Y110" s="170"/>
    </row>
    <row r="111" spans="1:25"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c r="Y111" s="170"/>
    </row>
    <row r="112" spans="1:25"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c r="Y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c r="Y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c r="Y114" s="173"/>
    </row>
    <row r="115" spans="1:31" ht="15">
      <c r="A115" s="13"/>
      <c r="B115" s="353"/>
      <c r="C115" s="354">
        <f>SUM(C69:C88)</f>
        <v>-226.99400000000003</v>
      </c>
      <c r="D115" s="354">
        <f>SUM(D69:D88)</f>
        <v>-2749.5859999999998</v>
      </c>
      <c r="E115" s="355"/>
      <c r="F115" s="333">
        <f>SUM(F69:F114)</f>
        <v>4950000</v>
      </c>
      <c r="G115" s="388">
        <f>SUM(G69:G114)</f>
        <v>0</v>
      </c>
      <c r="H115" s="388">
        <f t="shared" ref="H115:N115" si="25">SUM(H69:H114)</f>
        <v>0</v>
      </c>
      <c r="I115" s="388">
        <f t="shared" si="25"/>
        <v>0</v>
      </c>
      <c r="J115" s="388">
        <f t="shared" si="25"/>
        <v>0</v>
      </c>
      <c r="K115" s="388">
        <f t="shared" si="25"/>
        <v>3000000</v>
      </c>
      <c r="L115" s="388">
        <f t="shared" si="25"/>
        <v>0</v>
      </c>
      <c r="M115" s="388">
        <f t="shared" si="25"/>
        <v>0</v>
      </c>
      <c r="N115" s="388">
        <f t="shared" si="25"/>
        <v>0</v>
      </c>
      <c r="O115" s="388">
        <f>SUM(O69:O114)</f>
        <v>0</v>
      </c>
      <c r="P115" s="388">
        <f>SUM(P69:P114)</f>
        <v>0</v>
      </c>
      <c r="Q115" s="388">
        <f>SUM(Q69:Q114)</f>
        <v>1950000</v>
      </c>
      <c r="R115" s="388">
        <f>SUMIFS(F69:F114,R69:R114,"Yes")-0.5*SUMIFS(F69:F114,R69:R114,"Yes",S69:S114,"Yes")</f>
        <v>900000</v>
      </c>
      <c r="S115" s="388">
        <f>SUMIFS(F69:F114,S69:S114,"Yes")-0.5*SUMIFS(F69:F114,S69:S114,"Yes",R69:R114,"Yes")</f>
        <v>4050000</v>
      </c>
      <c r="T115" s="388">
        <f>SUMIFS(F69:F114,T69:T114,"Yes")</f>
        <v>0</v>
      </c>
      <c r="U115" s="389" t="e">
        <f>SUM(U69:U114)</f>
        <v>#DIV/0!</v>
      </c>
      <c r="V115" s="390">
        <f>IF(ISERROR(((-1*C115*1000*$D$6)+(-1*D115*$D$8))/F115),"",((-1*C115*1000*$D$6)+(-1*D115*$D$8))/F115)</f>
        <v>0</v>
      </c>
      <c r="W115" s="391">
        <f>SUMIFS(F69:F114,W69:W114,"Yes")</f>
        <v>0</v>
      </c>
      <c r="X115" s="388">
        <f>SUMIFS(F69:F114,X69:X114,"Yes")</f>
        <v>0</v>
      </c>
      <c r="Y115" s="391">
        <f>SUMIFS(F69:F114,Y69:Y114,"Yes")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226.99400000000003</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6.0059311981020169</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30/4/2024:</v>
      </c>
      <c r="S124" s="22">
        <f>AA216</f>
        <v>5.6286137879911049</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30/4/2025:</v>
      </c>
      <c r="S125" s="22">
        <f>AB216</f>
        <v>5.6286137879911049</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30/4/2026:</v>
      </c>
      <c r="S126" s="22">
        <f>AC216</f>
        <v>5.6286137879911049</v>
      </c>
      <c r="AA126" s="22">
        <f t="shared" ref="AA126:AC126" si="26">AK216</f>
        <v>5.6228587067829068</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30/4/2027:</v>
      </c>
      <c r="S127" s="22">
        <f>AD216</f>
        <v>5.6286137879911049</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30/4/2028:</v>
      </c>
      <c r="S128" s="22">
        <f>AE216</f>
        <v>5.6262326096847133</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30/4/2029:</v>
      </c>
      <c r="S129" s="22">
        <f>AF216</f>
        <v>5.6005773337384372</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30/4/2030:</v>
      </c>
      <c r="S130" s="22">
        <f>AG216</f>
        <v>5.6005773337384372</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30/4/2031:</v>
      </c>
      <c r="S131" s="22">
        <f>AH216</f>
        <v>5.6005773337384372</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30/4/2032:</v>
      </c>
      <c r="S132" s="22">
        <f>AI216</f>
        <v>5.6005773337384372</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30/4/2033:</v>
      </c>
      <c r="S133" s="22">
        <f>AJ216</f>
        <v>5.6005773337384372</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26.98</v>
      </c>
      <c r="BC154" s="24" t="s">
        <v>436</v>
      </c>
      <c r="BD154" s="8"/>
      <c r="BE154" s="8"/>
      <c r="BF154" s="24">
        <f t="shared" ref="BF154:BF155" si="31">IF($C$59&gt;7000,"error",IF($C$59&gt;5999,AR154,IF($C$59&gt;4999,AQ154,IF($C$59&gt;3999,AP154,IF($C$59&gt;2999,AO154,IF($C$59&gt;1999,AN154,"Error"))))))</f>
        <v>26.98</v>
      </c>
      <c r="BG154" s="24">
        <f t="shared" ref="BG154:BG164" si="32">IF($C$59&gt;7000,"error",IF($C$59&gt;5999,AY154,IF($C$59&gt;4999,AX154,IF($C$59&gt;3999,AW154,IF($C$59&gt;2999,AV154,IF($C$59&gt;1999,AU154,"Error"))))))</f>
        <v>44.87</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40.47</v>
      </c>
      <c r="BC155" s="24" t="s">
        <v>436</v>
      </c>
      <c r="BE155" s="24"/>
      <c r="BF155" s="24">
        <f t="shared" si="31"/>
        <v>40.47</v>
      </c>
      <c r="BG155" s="24">
        <f t="shared" si="32"/>
        <v>67.304999999999993</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53.96</v>
      </c>
      <c r="BC156" s="24" t="s">
        <v>436</v>
      </c>
      <c r="BD156" s="24">
        <f>IF(C58="base",BF156,BG156)</f>
        <v>53.96</v>
      </c>
      <c r="BE156" s="24"/>
      <c r="BF156" s="24">
        <f>IF($C$59&gt;7000,"error",IF($C$59&gt;5999,AR156,IF($C$59&gt;4999,AQ156,IF($C$59&gt;3999,AP156,IF($C$59&gt;2999,AO156,IF($C$59&gt;1999,AN156,"Error"))))))</f>
        <v>53.96</v>
      </c>
      <c r="BG156" s="24">
        <f t="shared" si="32"/>
        <v>89.74</v>
      </c>
      <c r="BH156" s="24"/>
      <c r="BI156" s="29" t="s">
        <v>142</v>
      </c>
      <c r="BJ156" s="29">
        <v>810</v>
      </c>
      <c r="BK156" s="29">
        <v>51.33</v>
      </c>
      <c r="BL156" s="24">
        <v>2000</v>
      </c>
      <c r="BM156" s="25"/>
      <c r="BN156" s="24"/>
      <c r="BO156" s="24"/>
      <c r="BP156" s="179">
        <f>BP157+BP158</f>
        <v>37</v>
      </c>
      <c r="BQ156" s="29" t="s">
        <v>441</v>
      </c>
      <c r="BR156" s="29" t="s">
        <v>442</v>
      </c>
      <c r="BS156" s="29" t="s">
        <v>443</v>
      </c>
      <c r="BT156" s="14"/>
      <c r="BU156" s="30" t="s">
        <v>444</v>
      </c>
      <c r="BV156" s="31">
        <f>C60</f>
        <v>48033.8</v>
      </c>
      <c r="BW156" s="14" t="s">
        <v>445</v>
      </c>
      <c r="BX156" s="181" t="s">
        <v>13</v>
      </c>
      <c r="BY156" s="38">
        <f>BY157/BV156</f>
        <v>36.005621584967251</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62.39</v>
      </c>
      <c r="BC157" s="24" t="s">
        <v>436</v>
      </c>
      <c r="BD157" s="24">
        <f>BB157-BB156</f>
        <v>8.43</v>
      </c>
      <c r="BE157" s="24"/>
      <c r="BF157" s="24">
        <f t="shared" ref="BF157:BF164" si="36">IF($C$59&gt;7000,"error",IF($C$59&gt;5999,AR157,IF($C$59&gt;4999,AQ157,IF($C$59&gt;3999,AP157,IF($C$59&gt;2999,AO157,IF($C$59&gt;1999,AN157,"Error"))))))</f>
        <v>62.39</v>
      </c>
      <c r="BG157" s="24">
        <f t="shared" si="32"/>
        <v>105.77</v>
      </c>
      <c r="BH157" s="24"/>
      <c r="BI157" s="29" t="s">
        <v>118</v>
      </c>
      <c r="BJ157" s="29">
        <v>810</v>
      </c>
      <c r="BK157" s="29">
        <v>51.33</v>
      </c>
      <c r="BL157" s="24">
        <v>2000</v>
      </c>
      <c r="BM157" s="25"/>
      <c r="BN157" s="24">
        <f>BV161/BV158</f>
        <v>68.739539987599372</v>
      </c>
      <c r="BO157" s="32" t="s">
        <v>447</v>
      </c>
      <c r="BP157" s="179">
        <f>$BY$158/SUM($BY$158:$BY$159)*C64</f>
        <v>34.621863929105913</v>
      </c>
      <c r="BQ157" s="29" t="s">
        <v>448</v>
      </c>
      <c r="BR157" s="29" t="s">
        <v>449</v>
      </c>
      <c r="BS157" s="29" t="s">
        <v>450</v>
      </c>
      <c r="BT157" s="14"/>
      <c r="BU157" s="30" t="s">
        <v>451</v>
      </c>
      <c r="BV157" s="33"/>
      <c r="BW157" s="14" t="s">
        <v>452</v>
      </c>
      <c r="BX157" s="181" t="s">
        <v>453</v>
      </c>
      <c r="BY157" s="180">
        <f>SUM(BY158:BY159)</f>
        <v>1729486.8260880001</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70.83</v>
      </c>
      <c r="BC158" s="24" t="s">
        <v>436</v>
      </c>
      <c r="BD158" s="24">
        <f t="shared" ref="BD158:BD164" si="37">BB158-BB157</f>
        <v>8.4399999999999977</v>
      </c>
      <c r="BE158" s="24"/>
      <c r="BF158" s="24">
        <f t="shared" si="36"/>
        <v>70.83</v>
      </c>
      <c r="BG158" s="24">
        <f t="shared" si="32"/>
        <v>121.79</v>
      </c>
      <c r="BH158" s="24"/>
      <c r="BI158" s="29" t="s">
        <v>150</v>
      </c>
      <c r="BJ158" s="29">
        <v>810</v>
      </c>
      <c r="BK158" s="29">
        <v>51.33</v>
      </c>
      <c r="BL158" s="24">
        <v>3000</v>
      </c>
      <c r="BM158" s="25"/>
      <c r="BN158" s="179">
        <f>BV162/BV163</f>
        <v>910.63485664460495</v>
      </c>
      <c r="BO158" s="24" t="s">
        <v>454</v>
      </c>
      <c r="BP158" s="179">
        <f>$BY$159/SUM($BY$158:$BY$159)*C64</f>
        <v>2.3781360708940862</v>
      </c>
      <c r="BQ158" s="29" t="s">
        <v>455</v>
      </c>
      <c r="BR158" s="29" t="s">
        <v>456</v>
      </c>
      <c r="BS158" s="29" t="s">
        <v>457</v>
      </c>
      <c r="BT158" s="14"/>
      <c r="BU158" s="30" t="s">
        <v>458</v>
      </c>
      <c r="BV158" s="31">
        <f>BP157</f>
        <v>34.621863929105913</v>
      </c>
      <c r="BW158" s="14" t="s">
        <v>436</v>
      </c>
      <c r="BX158" s="181" t="s">
        <v>459</v>
      </c>
      <c r="BY158" s="178">
        <f>INDEX($BJ$156:$BJ$161,MATCH($C$57,$BI$156:$BI$161,0))*$C$62</f>
        <v>1618325.8800000001</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79.260000000000005</v>
      </c>
      <c r="BC159" s="24" t="s">
        <v>436</v>
      </c>
      <c r="BD159" s="24">
        <f t="shared" si="37"/>
        <v>8.4300000000000068</v>
      </c>
      <c r="BE159" s="24"/>
      <c r="BF159" s="24">
        <f t="shared" si="36"/>
        <v>79.260000000000005</v>
      </c>
      <c r="BG159" s="24">
        <f t="shared" si="32"/>
        <v>137.82</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111160.946088</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87.69</v>
      </c>
      <c r="BC160" s="24" t="s">
        <v>436</v>
      </c>
      <c r="BD160" s="24">
        <f t="shared" si="37"/>
        <v>8.4299999999999926</v>
      </c>
      <c r="BE160" s="24"/>
      <c r="BF160" s="24">
        <f t="shared" si="36"/>
        <v>87.69</v>
      </c>
      <c r="BG160" s="24">
        <f t="shared" si="32"/>
        <v>153.85</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35.29962900486985</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96.12</v>
      </c>
      <c r="BC161" s="24" t="s">
        <v>436</v>
      </c>
      <c r="BD161" s="24">
        <f t="shared" si="37"/>
        <v>8.4300000000000068</v>
      </c>
      <c r="BE161" s="24"/>
      <c r="BF161" s="24">
        <f t="shared" si="36"/>
        <v>96.12</v>
      </c>
      <c r="BG161" s="24">
        <f t="shared" si="32"/>
        <v>169.87</v>
      </c>
      <c r="BH161" s="24"/>
      <c r="BI161" s="29" t="s">
        <v>147</v>
      </c>
      <c r="BJ161" s="29">
        <v>680</v>
      </c>
      <c r="BK161" s="29">
        <v>51.33</v>
      </c>
      <c r="BL161" s="24">
        <v>6000</v>
      </c>
      <c r="BM161" s="37"/>
      <c r="BN161" s="37"/>
      <c r="BO161" s="37"/>
      <c r="BP161" s="37"/>
      <c r="BQ161" s="29" t="s">
        <v>470</v>
      </c>
      <c r="BR161" s="29" t="s">
        <v>18</v>
      </c>
      <c r="BS161" s="29"/>
      <c r="BT161" s="14"/>
      <c r="BU161" s="14" t="s">
        <v>471</v>
      </c>
      <c r="BV161" s="31">
        <f>C62</f>
        <v>2379.8910000000001</v>
      </c>
      <c r="BW161" s="14" t="s">
        <v>311</v>
      </c>
      <c r="BX161" s="14"/>
      <c r="BY161" s="14"/>
      <c r="BZ161" s="38">
        <f>5-(0.5*(C64-CE177)/(CE176-CE177))</f>
        <v>6.0059311981020169</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104.55</v>
      </c>
      <c r="BC162" s="24" t="s">
        <v>436</v>
      </c>
      <c r="BD162" s="24">
        <f t="shared" si="37"/>
        <v>8.4299999999999926</v>
      </c>
      <c r="BE162" s="24"/>
      <c r="BF162" s="24">
        <f t="shared" si="36"/>
        <v>104.55</v>
      </c>
      <c r="BG162" s="24">
        <f t="shared" si="32"/>
        <v>185.9</v>
      </c>
      <c r="BH162" s="24"/>
      <c r="BI162" s="24"/>
      <c r="BJ162" s="24"/>
      <c r="BK162" s="24"/>
      <c r="BL162" s="24"/>
      <c r="BM162" s="37"/>
      <c r="BN162" s="37"/>
      <c r="BO162" s="37"/>
      <c r="BP162" s="37"/>
      <c r="BQ162" s="29" t="s">
        <v>473</v>
      </c>
      <c r="BR162" s="24"/>
      <c r="BS162" s="24"/>
      <c r="BT162" s="14"/>
      <c r="BU162" s="14" t="s">
        <v>474</v>
      </c>
      <c r="BV162" s="31">
        <f>C63</f>
        <v>2165.6136000000001</v>
      </c>
      <c r="BW162" s="14" t="s">
        <v>314</v>
      </c>
      <c r="BX162" s="14"/>
      <c r="BY162" s="38">
        <f>C63*BK156</f>
        <v>111160.946088</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112.98</v>
      </c>
      <c r="BC163" s="24" t="s">
        <v>436</v>
      </c>
      <c r="BD163" s="24">
        <f t="shared" si="37"/>
        <v>8.4300000000000068</v>
      </c>
      <c r="BE163" s="24"/>
      <c r="BF163" s="24">
        <f t="shared" si="36"/>
        <v>112.98</v>
      </c>
      <c r="BG163" s="24">
        <f t="shared" si="32"/>
        <v>201.92</v>
      </c>
      <c r="BH163" s="24"/>
      <c r="BI163" s="24"/>
      <c r="BJ163" s="24"/>
      <c r="BK163" s="24"/>
      <c r="BL163" s="24"/>
      <c r="BM163" s="37"/>
      <c r="BN163" s="37"/>
      <c r="BO163" s="37"/>
      <c r="BP163" s="37"/>
      <c r="BQ163" s="29" t="s">
        <v>475</v>
      </c>
      <c r="BR163" s="24"/>
      <c r="BS163" s="24"/>
      <c r="BT163" s="14"/>
      <c r="BU163" s="14" t="s">
        <v>476</v>
      </c>
      <c r="BV163" s="38">
        <f>BP158</f>
        <v>2.3781360708940862</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121.42</v>
      </c>
      <c r="BC164" s="24" t="s">
        <v>436</v>
      </c>
      <c r="BD164" s="24">
        <f t="shared" si="37"/>
        <v>8.4399999999999977</v>
      </c>
      <c r="BE164" s="24"/>
      <c r="BF164" s="24">
        <f t="shared" si="36"/>
        <v>121.42</v>
      </c>
      <c r="BG164" s="24">
        <f t="shared" si="32"/>
        <v>217.95</v>
      </c>
      <c r="BH164" s="24"/>
      <c r="BI164" s="24"/>
      <c r="BJ164" s="24"/>
      <c r="BK164" s="24"/>
      <c r="BL164" s="24"/>
      <c r="BM164" s="37"/>
      <c r="BN164" s="37"/>
      <c r="BO164" s="37"/>
      <c r="BP164" s="37"/>
      <c r="BQ164" s="29" t="s">
        <v>478</v>
      </c>
      <c r="BR164" s="24"/>
      <c r="BS164" s="24"/>
      <c r="BT164" s="14"/>
      <c r="BU164" s="14"/>
      <c r="BV164" s="38">
        <f>BV163+BV158</f>
        <v>37</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642">
        <v>45473</v>
      </c>
      <c r="H166" s="642">
        <f>DATE(YEAR(G66)+1,MONTH(G66),DAY(G66))</f>
        <v>45838</v>
      </c>
      <c r="I166" s="642">
        <f t="shared" ref="I166:Q166" si="38">DATE(YEAR(H66)+1,MONTH(H66),DAY(H66))</f>
        <v>46203</v>
      </c>
      <c r="J166" s="642">
        <f t="shared" si="38"/>
        <v>46568</v>
      </c>
      <c r="K166" s="642">
        <f t="shared" si="38"/>
        <v>46934</v>
      </c>
      <c r="L166" s="642">
        <f t="shared" si="38"/>
        <v>47299</v>
      </c>
      <c r="M166" s="642">
        <f t="shared" si="38"/>
        <v>47664</v>
      </c>
      <c r="N166" s="642">
        <f t="shared" si="38"/>
        <v>48029</v>
      </c>
      <c r="O166" s="642">
        <f t="shared" si="38"/>
        <v>48395</v>
      </c>
      <c r="P166" s="642">
        <f t="shared" si="38"/>
        <v>48760</v>
      </c>
      <c r="Q166" s="642">
        <f t="shared" si="38"/>
        <v>49125</v>
      </c>
      <c r="T166" s="43"/>
      <c r="U166" s="43"/>
      <c r="V166" s="43"/>
      <c r="W166" s="44" t="s">
        <v>200</v>
      </c>
      <c r="X166" s="44" t="s">
        <v>480</v>
      </c>
      <c r="Y166" s="45" t="s">
        <v>481</v>
      </c>
      <c r="Z166" s="44" t="s">
        <v>436</v>
      </c>
      <c r="AA166" s="46">
        <f>DATE(YEAR(C56)+1,MONTH(C56),DAY(C56))</f>
        <v>45412</v>
      </c>
      <c r="AB166" s="46">
        <f>DATE(YEAR(AA166)+1,MONTH(AA166),DAY(AA166))</f>
        <v>45777</v>
      </c>
      <c r="AC166" s="46">
        <f t="shared" ref="AC166:AK166" si="39">DATE(YEAR(AB166)+1,MONTH(AB166),DAY(AB166))</f>
        <v>46142</v>
      </c>
      <c r="AD166" s="46">
        <f t="shared" si="39"/>
        <v>46507</v>
      </c>
      <c r="AE166" s="46">
        <f t="shared" si="39"/>
        <v>46873</v>
      </c>
      <c r="AF166" s="46">
        <f t="shared" si="39"/>
        <v>47238</v>
      </c>
      <c r="AG166" s="46">
        <f t="shared" si="39"/>
        <v>47603</v>
      </c>
      <c r="AH166" s="46">
        <f t="shared" si="39"/>
        <v>47968</v>
      </c>
      <c r="AI166" s="46">
        <f t="shared" si="39"/>
        <v>48334</v>
      </c>
      <c r="AJ166" s="46">
        <f t="shared" si="39"/>
        <v>48699</v>
      </c>
      <c r="AK166" s="46">
        <f t="shared" si="39"/>
        <v>49064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0">IF($C$58="base",INDEX($AN$157:$AR$157,MATCH($C$57,$AN$165:$AR$165,0)),INDEX($AU$157:$AY$157,MATCH($C$57,$AU$165:$AY$165,0)))</f>
        <v>62.39</v>
      </c>
      <c r="BF166" s="47" t="s">
        <v>388</v>
      </c>
      <c r="BG166" s="47">
        <f>BD156</f>
        <v>53.96</v>
      </c>
      <c r="BH166" s="47">
        <f>BD157</f>
        <v>8.43</v>
      </c>
      <c r="BI166" s="47">
        <f>BD158</f>
        <v>8.4399999999999977</v>
      </c>
      <c r="BJ166" s="47">
        <f>BD159</f>
        <v>8.4300000000000068</v>
      </c>
      <c r="BK166" s="47">
        <f>BD160</f>
        <v>8.4299999999999926</v>
      </c>
      <c r="BL166" s="47">
        <f>BD161</f>
        <v>8.4300000000000068</v>
      </c>
      <c r="BM166" s="47">
        <f>BD162</f>
        <v>8.4299999999999926</v>
      </c>
      <c r="BN166" s="47">
        <f>BD163</f>
        <v>8.4300000000000068</v>
      </c>
      <c r="BO166" s="47">
        <f>BD164</f>
        <v>8.4399999999999977</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0</v>
      </c>
      <c r="K167" s="12">
        <f t="shared" ref="K167:K209" si="43">IF($E69&lt;K$66,$C69,0)</f>
        <v>0</v>
      </c>
      <c r="L167" s="12">
        <f t="shared" ref="L167:N186" si="44">IF($E69&gt;L$66,0,IF($E69&lt;L$66-365,$C69,0))</f>
        <v>0</v>
      </c>
      <c r="M167" s="12">
        <f t="shared" si="44"/>
        <v>0</v>
      </c>
      <c r="N167" s="12">
        <f t="shared" si="44"/>
        <v>0</v>
      </c>
      <c r="O167" s="12">
        <f t="shared" ref="O167:O209" si="45">IF($E69&lt;O$66,$C69,0)</f>
        <v>0</v>
      </c>
      <c r="P167" s="12">
        <f t="shared" ref="P167:Q186" si="46">IF($E69&gt;P$66,0,IF($E69&lt;P$66-365,$C69,0))</f>
        <v>0</v>
      </c>
      <c r="Q167" s="12">
        <f t="shared" si="46"/>
        <v>0</v>
      </c>
      <c r="T167" s="14"/>
      <c r="U167" s="14"/>
      <c r="V167" s="14"/>
      <c r="W167" s="53">
        <f t="shared" ref="W167:W211" si="47">C68*$BN$160*1000</f>
        <v>0</v>
      </c>
      <c r="X167" s="54" t="e">
        <f t="shared" ref="X167:X211" si="48">-1*F68/W167</f>
        <v>#DIV/0!</v>
      </c>
      <c r="Y167" s="25">
        <f>Z167/$BH$166</f>
        <v>0</v>
      </c>
      <c r="Z167" s="54">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si="40"/>
        <v>62.39</v>
      </c>
      <c r="BF167" s="24" t="s">
        <v>486</v>
      </c>
      <c r="BG167" s="56">
        <f>BV158+($C$64-$BV$158)</f>
        <v>37</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0</v>
      </c>
      <c r="K168" s="12">
        <f t="shared" si="43"/>
        <v>0</v>
      </c>
      <c r="L168" s="12">
        <f t="shared" si="44"/>
        <v>0</v>
      </c>
      <c r="M168" s="12">
        <f t="shared" si="44"/>
        <v>0</v>
      </c>
      <c r="N168" s="12">
        <f t="shared" si="44"/>
        <v>0</v>
      </c>
      <c r="O168" s="12">
        <f t="shared" si="45"/>
        <v>0</v>
      </c>
      <c r="P168" s="12">
        <f t="shared" si="46"/>
        <v>0</v>
      </c>
      <c r="Q168" s="12">
        <f t="shared" si="46"/>
        <v>0</v>
      </c>
      <c r="T168" s="57"/>
      <c r="U168" s="57"/>
      <c r="V168" s="57"/>
      <c r="W168" s="53">
        <f t="shared" si="47"/>
        <v>0</v>
      </c>
      <c r="X168" s="54" t="e">
        <f t="shared" si="48"/>
        <v>#DIV/0!</v>
      </c>
      <c r="Y168" s="54">
        <f t="shared" ref="Y168:Y213" si="55">Z168/$BH$166</f>
        <v>0</v>
      </c>
      <c r="Z168" s="54">
        <f>($C69/$BN$157)+($D69/$BN$158)</f>
        <v>0</v>
      </c>
      <c r="AA168" s="54">
        <f t="shared" si="49"/>
        <v>0</v>
      </c>
      <c r="AB168" s="54">
        <f t="shared" si="49"/>
        <v>0</v>
      </c>
      <c r="AC168" s="54">
        <f t="shared" si="49"/>
        <v>0</v>
      </c>
      <c r="AD168" s="54">
        <f>IF($E69+365&lt;$C$56,0,IF($E69&lt;$C$56,(($E69+365-$C$56)/365)*(($C69/$BN$157)+($D69/$BN$158)),IF($E69&gt;AD$166,0,IF($E69+365&lt;AD$166,($C69/$BN$157)+($D69/$BN$158),((AD$166-$E69)/365)*(($C69/$BN$157)+($D69/$BN$158))))))</f>
        <v>0</v>
      </c>
      <c r="AE168" s="54">
        <f t="shared" si="49"/>
        <v>0</v>
      </c>
      <c r="AF168" s="54">
        <f t="shared" si="49"/>
        <v>0</v>
      </c>
      <c r="AG168" s="54">
        <f t="shared" si="49"/>
        <v>0</v>
      </c>
      <c r="AH168" s="54">
        <f t="shared" si="49"/>
        <v>0</v>
      </c>
      <c r="AI168" s="54">
        <f t="shared" si="49"/>
        <v>0</v>
      </c>
      <c r="AJ168" s="54">
        <f t="shared" si="49"/>
        <v>0</v>
      </c>
      <c r="AK168" s="54">
        <f t="shared" ref="AK168" si="56">IF($E69+365&lt;$C$56,0,IF($E69&lt;$C$56,(($E69+365-$C$56)/365)*(($C69/$BN$157)+($D69/$BN$158)),IF($E69&gt;AK$166,0,IF($E69+365&lt;AK$166,($C69/$BN$157)+($D69/$BN$158),((AK$166-$E69)/365)*(($C69/$BN$157)+($D69/$BN$158))))))</f>
        <v>0</v>
      </c>
      <c r="AL168" s="24">
        <f t="shared" si="51"/>
        <v>0</v>
      </c>
      <c r="AM168" s="24">
        <f t="shared" si="52"/>
        <v>0</v>
      </c>
      <c r="AN168" s="55">
        <f t="shared" si="53"/>
        <v>0</v>
      </c>
      <c r="AO168" s="55">
        <f t="shared" si="54"/>
        <v>0</v>
      </c>
      <c r="AP168" s="24"/>
      <c r="AQ168" s="24"/>
      <c r="AR168" s="24"/>
      <c r="AS168" s="24"/>
      <c r="AT168" s="24"/>
      <c r="AU168" s="24"/>
      <c r="AV168" s="24"/>
      <c r="AW168" s="24"/>
      <c r="AX168" s="24"/>
      <c r="AY168" s="24"/>
      <c r="AZ168" s="24"/>
      <c r="BA168" s="24"/>
      <c r="BB168" s="24"/>
      <c r="BC168" s="24"/>
      <c r="BD168" s="24"/>
      <c r="BE168" s="24">
        <f t="shared" si="40"/>
        <v>62.39</v>
      </c>
      <c r="BF168" s="59">
        <f>AB166</f>
        <v>45777</v>
      </c>
      <c r="BG168" s="36">
        <f>(BV158+AB214)+($C$64-$BV$158)</f>
        <v>37</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WA</v>
      </c>
      <c r="CF168" s="14" t="str">
        <f>C57</f>
        <v>WA</v>
      </c>
      <c r="CG168" s="14"/>
      <c r="CH168" s="25" t="s">
        <v>388</v>
      </c>
      <c r="CI168" s="14" t="s">
        <v>488</v>
      </c>
      <c r="CJ168" s="14"/>
    </row>
    <row r="169" spans="7:88">
      <c r="G169" s="12">
        <f t="shared" si="41"/>
        <v>0</v>
      </c>
      <c r="H169" s="12">
        <f t="shared" si="42"/>
        <v>0</v>
      </c>
      <c r="I169" s="12">
        <f t="shared" si="42"/>
        <v>0</v>
      </c>
      <c r="J169" s="12">
        <f t="shared" si="42"/>
        <v>0</v>
      </c>
      <c r="K169" s="12">
        <f t="shared" si="43"/>
        <v>181.37799999999999</v>
      </c>
      <c r="L169" s="12">
        <f t="shared" si="44"/>
        <v>181.37799999999999</v>
      </c>
      <c r="M169" s="12">
        <f t="shared" si="44"/>
        <v>181.37799999999999</v>
      </c>
      <c r="N169" s="12">
        <f t="shared" si="44"/>
        <v>181.37799999999999</v>
      </c>
      <c r="O169" s="12">
        <f t="shared" si="45"/>
        <v>181.37799999999999</v>
      </c>
      <c r="P169" s="12">
        <f t="shared" si="46"/>
        <v>181.37799999999999</v>
      </c>
      <c r="Q169" s="12">
        <f t="shared" si="46"/>
        <v>181.37799999999999</v>
      </c>
      <c r="T169" s="61"/>
      <c r="U169" s="61"/>
      <c r="V169" s="61"/>
      <c r="W169" s="53">
        <f t="shared" si="47"/>
        <v>-71222.944000000003</v>
      </c>
      <c r="X169" s="54">
        <f t="shared" si="48"/>
        <v>12.636377401080191</v>
      </c>
      <c r="Y169" s="343">
        <f>Z169/$BH$166</f>
        <v>-0.80861564030236244</v>
      </c>
      <c r="Z169" s="54">
        <f>($C70/$BN$157)+($D70/$BN$158)</f>
        <v>-6.8166298477489153</v>
      </c>
      <c r="AA169" s="54">
        <f t="shared" si="49"/>
        <v>0</v>
      </c>
      <c r="AB169" s="54">
        <f t="shared" si="49"/>
        <v>0</v>
      </c>
      <c r="AC169" s="54">
        <f t="shared" si="49"/>
        <v>0</v>
      </c>
      <c r="AD169" s="54">
        <f>IF($E70+365&lt;$C$56,0,IF($E70&lt;$C$56,(($E70+365-$C$56)/365)*(($C70/$BN$157)+($D70/$BN$158)),IF($E70&gt;AD$166,0,IF($E70+365&lt;AD$166,($C70/$BN$157)+($D70/$BN$158),((AD$166-$E70)/365)*(($C70/$BN$157)+($D70/$BN$158))))))</f>
        <v>0</v>
      </c>
      <c r="AE169" s="54">
        <f t="shared" si="49"/>
        <v>0</v>
      </c>
      <c r="AF169" s="54">
        <f t="shared" si="49"/>
        <v>0</v>
      </c>
      <c r="AG169" s="54">
        <f t="shared" si="49"/>
        <v>0</v>
      </c>
      <c r="AH169" s="54">
        <f t="shared" si="49"/>
        <v>0</v>
      </c>
      <c r="AI169" s="54">
        <f t="shared" si="49"/>
        <v>0</v>
      </c>
      <c r="AJ169" s="54">
        <f t="shared" si="49"/>
        <v>0</v>
      </c>
      <c r="AK169" s="54">
        <f t="shared" ref="AK169" si="57">IF($E70+365&lt;$C$56,0,IF($E70&lt;$C$56,(($E70+365-$C$56)/365)*(($C70/$BN$157)+($D70/$BN$158)),IF($E70&gt;AK$166,0,IF($E70+365&lt;AK$166,($C70/$BN$157)+($D70/$BN$158),((AK$166-$E70)/365)*(($C70/$BN$157)+($D70/$BN$158))))))</f>
        <v>-0.57894664460333256</v>
      </c>
      <c r="AL169" s="24">
        <f t="shared" si="51"/>
        <v>-468.572</v>
      </c>
      <c r="AM169" s="24">
        <f t="shared" si="52"/>
        <v>0</v>
      </c>
      <c r="AN169" s="55">
        <f t="shared" si="53"/>
        <v>900000</v>
      </c>
      <c r="AO169" s="55">
        <f t="shared" si="54"/>
        <v>0</v>
      </c>
      <c r="AP169" s="24"/>
      <c r="AQ169" s="24"/>
      <c r="AR169" s="24"/>
      <c r="AS169" s="24"/>
      <c r="AT169" s="24"/>
      <c r="AU169" s="24"/>
      <c r="AV169" s="24"/>
      <c r="AW169" s="24"/>
      <c r="AX169" s="24"/>
      <c r="AY169" s="24"/>
      <c r="AZ169" s="24"/>
      <c r="BA169" s="24"/>
      <c r="BB169" s="24"/>
      <c r="BC169" s="24"/>
      <c r="BD169" s="24"/>
      <c r="BE169" s="24">
        <f t="shared" si="40"/>
        <v>62.39</v>
      </c>
      <c r="BF169" s="59">
        <f>BF168+365</f>
        <v>46142</v>
      </c>
      <c r="BG169" s="36">
        <f>BV158+AC214+($C$64-$BV$158)</f>
        <v>37</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121.42</v>
      </c>
      <c r="CF169" s="14">
        <f>CJ177</f>
        <v>217.95</v>
      </c>
      <c r="CG169" s="14"/>
      <c r="CH169" s="25">
        <v>5</v>
      </c>
      <c r="CI169" s="14">
        <f t="shared" ref="CI169:CI177" si="58">INDEX(AN156:AR156,MATCH($CE$168,$AN$165:$AR$165,0))</f>
        <v>53.96</v>
      </c>
      <c r="CJ169" s="14">
        <f t="shared" ref="CJ169:CJ177" si="59">INDEX(AU156:AY156,MATCH($CE$168,$AN$165:$AR$165,0))</f>
        <v>89.74</v>
      </c>
    </row>
    <row r="170" spans="7:88">
      <c r="G170" s="12">
        <f t="shared" si="41"/>
        <v>0</v>
      </c>
      <c r="H170" s="12">
        <f t="shared" si="42"/>
        <v>0</v>
      </c>
      <c r="I170" s="12">
        <f t="shared" si="42"/>
        <v>0</v>
      </c>
      <c r="J170" s="12">
        <f t="shared" si="42"/>
        <v>0</v>
      </c>
      <c r="K170" s="12">
        <f t="shared" si="43"/>
        <v>0</v>
      </c>
      <c r="L170" s="12">
        <f t="shared" si="44"/>
        <v>0</v>
      </c>
      <c r="M170" s="12">
        <f t="shared" si="44"/>
        <v>0</v>
      </c>
      <c r="N170" s="12">
        <f t="shared" si="44"/>
        <v>0</v>
      </c>
      <c r="O170" s="12">
        <f t="shared" si="45"/>
        <v>0</v>
      </c>
      <c r="P170" s="12">
        <f t="shared" si="46"/>
        <v>0</v>
      </c>
      <c r="Q170" s="12">
        <f t="shared" si="46"/>
        <v>0</v>
      </c>
      <c r="T170" s="61"/>
      <c r="U170" s="61"/>
      <c r="V170" s="61"/>
      <c r="W170" s="53">
        <f t="shared" si="47"/>
        <v>27569.455999999998</v>
      </c>
      <c r="X170" s="54">
        <f t="shared" si="48"/>
        <v>-108.81607529724199</v>
      </c>
      <c r="Y170" s="25">
        <f t="shared" si="55"/>
        <v>8.9729956789676477E-2</v>
      </c>
      <c r="Z170" s="54">
        <f t="shared" ref="Z170:Z213" si="60">($C71/$BN$157)+($D71/$BN$158)</f>
        <v>0.75642353573697263</v>
      </c>
      <c r="AA170" s="54">
        <f t="shared" si="49"/>
        <v>0</v>
      </c>
      <c r="AB170" s="54">
        <f t="shared" si="49"/>
        <v>0</v>
      </c>
      <c r="AC170" s="54">
        <f t="shared" si="49"/>
        <v>0</v>
      </c>
      <c r="AD170" s="54">
        <f t="shared" si="49"/>
        <v>0</v>
      </c>
      <c r="AE170" s="54">
        <f t="shared" si="49"/>
        <v>6.4244190706427812E-2</v>
      </c>
      <c r="AF170" s="54">
        <f t="shared" si="49"/>
        <v>0.75642353573697263</v>
      </c>
      <c r="AG170" s="54">
        <f t="shared" si="49"/>
        <v>0.75642353573697263</v>
      </c>
      <c r="AH170" s="54">
        <f t="shared" si="49"/>
        <v>0.75642353573697263</v>
      </c>
      <c r="AI170" s="54">
        <f t="shared" si="49"/>
        <v>0.75642353573697263</v>
      </c>
      <c r="AJ170" s="54">
        <f t="shared" si="49"/>
        <v>0.75642353573697263</v>
      </c>
      <c r="AK170" s="54">
        <f t="shared" ref="AK170" si="61">IF($E71+365&lt;$C$56,0,IF($E71&lt;$C$56,(($E71+365-$C$56)/365)*(($C71/$BN$157)+($D71/$BN$158)),IF($E71&gt;AK$166,0,IF($E71+365&lt;AK$166,($C71/$BN$157)+($D71/$BN$158),((AK$166-$E71)/365)*(($C71/$BN$157)+($D71/$BN$158))))))</f>
        <v>0.75642353573697263</v>
      </c>
      <c r="AL170" s="24">
        <f t="shared" si="51"/>
        <v>181.37799999999999</v>
      </c>
      <c r="AM170" s="24">
        <f t="shared" si="52"/>
        <v>-1714</v>
      </c>
      <c r="AN170" s="55">
        <f t="shared" si="53"/>
        <v>3000000</v>
      </c>
      <c r="AO170" s="55">
        <f t="shared" si="54"/>
        <v>0</v>
      </c>
      <c r="AP170" s="24"/>
      <c r="AQ170" s="24"/>
      <c r="AR170" s="24"/>
      <c r="AS170" s="24"/>
      <c r="AT170" s="24"/>
      <c r="AU170" s="24"/>
      <c r="AV170" s="24"/>
      <c r="AW170" s="24"/>
      <c r="AX170" s="24"/>
      <c r="AY170" s="24"/>
      <c r="AZ170" s="24"/>
      <c r="BA170" s="24"/>
      <c r="BB170" s="24"/>
      <c r="BC170" s="24"/>
      <c r="BD170" s="24"/>
      <c r="BE170" s="24">
        <f t="shared" si="40"/>
        <v>62.39</v>
      </c>
      <c r="BF170" s="59">
        <f>BF169+365</f>
        <v>46507</v>
      </c>
      <c r="BG170" s="36">
        <f>$BV$158+AD214+($C$64-$BV$158)</f>
        <v>37</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112.98</v>
      </c>
      <c r="CF170" s="14">
        <f>CJ176</f>
        <v>201.92</v>
      </c>
      <c r="CG170" s="14"/>
      <c r="CH170" s="25">
        <v>4.5</v>
      </c>
      <c r="CI170" s="14">
        <f t="shared" si="58"/>
        <v>62.39</v>
      </c>
      <c r="CJ170" s="14">
        <f t="shared" si="59"/>
        <v>105.77</v>
      </c>
    </row>
    <row r="171" spans="7:88">
      <c r="G171" s="12">
        <f t="shared" si="41"/>
        <v>0</v>
      </c>
      <c r="H171" s="12">
        <f t="shared" si="42"/>
        <v>0</v>
      </c>
      <c r="I171" s="12">
        <f t="shared" si="42"/>
        <v>0</v>
      </c>
      <c r="J171" s="12">
        <f t="shared" si="42"/>
        <v>0</v>
      </c>
      <c r="K171" s="12">
        <f t="shared" si="43"/>
        <v>0</v>
      </c>
      <c r="L171" s="12">
        <f t="shared" si="44"/>
        <v>0</v>
      </c>
      <c r="M171" s="12">
        <f t="shared" si="44"/>
        <v>0</v>
      </c>
      <c r="N171" s="12">
        <f t="shared" si="44"/>
        <v>0</v>
      </c>
      <c r="O171" s="12">
        <f t="shared" si="45"/>
        <v>0</v>
      </c>
      <c r="P171" s="12">
        <f t="shared" si="46"/>
        <v>0</v>
      </c>
      <c r="Q171" s="12">
        <f t="shared" si="46"/>
        <v>0</v>
      </c>
      <c r="T171" s="61"/>
      <c r="U171" s="61"/>
      <c r="V171" s="61"/>
      <c r="W171" s="53">
        <f t="shared" si="47"/>
        <v>9150.4</v>
      </c>
      <c r="X171" s="54">
        <f t="shared" si="48"/>
        <v>-76.499388004895962</v>
      </c>
      <c r="Y171" s="54">
        <f t="shared" si="55"/>
        <v>5.0756934643382294E-3</v>
      </c>
      <c r="Z171" s="54">
        <f>($C72/$BN$157)+($D72/$BN$158)</f>
        <v>4.2788095904371271E-2</v>
      </c>
      <c r="AA171" s="54">
        <f t="shared" si="49"/>
        <v>0</v>
      </c>
      <c r="AB171" s="54">
        <f t="shared" si="49"/>
        <v>0</v>
      </c>
      <c r="AC171" s="54">
        <f t="shared" si="49"/>
        <v>0</v>
      </c>
      <c r="AD171" s="54">
        <f t="shared" si="49"/>
        <v>0</v>
      </c>
      <c r="AE171" s="54">
        <f t="shared" si="49"/>
        <v>0</v>
      </c>
      <c r="AF171" s="54">
        <f>IF($E72+365&lt;$C$56,0,IF($E72&lt;$C$56,(($E72+365-$C$56)/365)*(($C72/$BN$157)+($D72/$BN$158)),IF($E72&gt;AF$166,0,IF($E72+365&lt;AF$166,($C72/$BN$157)+($D72/$BN$158),((AF$166-$E72)/365)*(($C72/$BN$157)+($D72/$BN$158))))))</f>
        <v>0</v>
      </c>
      <c r="AG171" s="54">
        <f t="shared" si="49"/>
        <v>0</v>
      </c>
      <c r="AH171" s="54">
        <f t="shared" si="49"/>
        <v>0</v>
      </c>
      <c r="AI171" s="54">
        <f t="shared" si="49"/>
        <v>0</v>
      </c>
      <c r="AJ171" s="54">
        <f t="shared" si="49"/>
        <v>0</v>
      </c>
      <c r="AK171" s="54">
        <f t="shared" ref="AK171" si="62">IF($E72+365&lt;$C$56,0,IF($E72&lt;$C$56,(($E72+365-$C$56)/365)*(($C72/$BN$157)+($D72/$BN$158)),IF($E72&gt;AK$166,0,IF($E72+365&lt;AK$166,($C72/$BN$157)+($D72/$BN$158),((AK$166-$E72)/365)*(($C72/$BN$157)+($D72/$BN$158))))))</f>
        <v>3.6340574603712585E-3</v>
      </c>
      <c r="AL171" s="24">
        <f t="shared" si="51"/>
        <v>60.2</v>
      </c>
      <c r="AM171" s="24">
        <f t="shared" si="52"/>
        <v>-758.54200000000003</v>
      </c>
      <c r="AN171" s="55">
        <f t="shared" si="53"/>
        <v>700000</v>
      </c>
      <c r="AO171" s="55">
        <f t="shared" si="54"/>
        <v>0</v>
      </c>
      <c r="AP171" s="24"/>
      <c r="AQ171" s="24"/>
      <c r="AR171" s="24"/>
      <c r="AS171" s="24"/>
      <c r="AT171" s="24"/>
      <c r="AU171" s="24"/>
      <c r="AV171" s="24"/>
      <c r="AW171" s="24"/>
      <c r="AX171" s="24"/>
      <c r="AY171" s="24"/>
      <c r="AZ171" s="24"/>
      <c r="BA171" s="24"/>
      <c r="BB171" s="24"/>
      <c r="BC171" s="24"/>
      <c r="BD171" s="24"/>
      <c r="BE171" s="24">
        <f t="shared" si="40"/>
        <v>62.39</v>
      </c>
      <c r="BF171" s="59">
        <f t="shared" ref="BF171:BF176" si="63">BF170+365</f>
        <v>46872</v>
      </c>
      <c r="BG171" s="36">
        <f>$BV$158+AE214+($C$64-$BV$158)</f>
        <v>37.064244190706425</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104.55</v>
      </c>
      <c r="CF171" s="14">
        <f>CJ175</f>
        <v>185.9</v>
      </c>
      <c r="CG171" s="14"/>
      <c r="CH171" s="25">
        <v>4</v>
      </c>
      <c r="CI171" s="14">
        <f t="shared" si="58"/>
        <v>70.83</v>
      </c>
      <c r="CJ171" s="14">
        <f t="shared" si="59"/>
        <v>121.79</v>
      </c>
    </row>
    <row r="172" spans="7:88">
      <c r="G172" s="12">
        <f t="shared" si="41"/>
        <v>0</v>
      </c>
      <c r="H172" s="12">
        <f t="shared" si="42"/>
        <v>0</v>
      </c>
      <c r="I172" s="12">
        <f t="shared" si="42"/>
        <v>0</v>
      </c>
      <c r="J172" s="12">
        <f t="shared" si="42"/>
        <v>0</v>
      </c>
      <c r="K172" s="12">
        <f t="shared" si="43"/>
        <v>0</v>
      </c>
      <c r="L172" s="12">
        <f t="shared" si="44"/>
        <v>0</v>
      </c>
      <c r="M172" s="12">
        <f t="shared" si="44"/>
        <v>0</v>
      </c>
      <c r="N172" s="12">
        <f t="shared" si="44"/>
        <v>0</v>
      </c>
      <c r="O172" s="12">
        <f t="shared" si="45"/>
        <v>0</v>
      </c>
      <c r="P172" s="12">
        <f t="shared" si="46"/>
        <v>0</v>
      </c>
      <c r="Q172" s="12">
        <f t="shared" si="46"/>
        <v>0</v>
      </c>
      <c r="T172" s="61"/>
      <c r="U172" s="61"/>
      <c r="V172" s="61"/>
      <c r="W172" s="53">
        <f t="shared" si="47"/>
        <v>0</v>
      </c>
      <c r="X172" s="54" t="e">
        <f t="shared" si="48"/>
        <v>#DIV/0!</v>
      </c>
      <c r="Y172" s="25">
        <f>Z172/$BH$166</f>
        <v>-3.6089170867668302E-2</v>
      </c>
      <c r="Z172" s="54">
        <f t="shared" si="60"/>
        <v>-0.3042317104144438</v>
      </c>
      <c r="AA172" s="54">
        <f t="shared" si="49"/>
        <v>0</v>
      </c>
      <c r="AB172" s="54">
        <f t="shared" si="49"/>
        <v>0</v>
      </c>
      <c r="AC172" s="54">
        <f t="shared" si="49"/>
        <v>0</v>
      </c>
      <c r="AD172" s="54">
        <f t="shared" si="49"/>
        <v>0</v>
      </c>
      <c r="AE172" s="54">
        <f t="shared" si="49"/>
        <v>0</v>
      </c>
      <c r="AF172" s="54">
        <f t="shared" si="49"/>
        <v>0</v>
      </c>
      <c r="AG172" s="54">
        <f t="shared" si="49"/>
        <v>0</v>
      </c>
      <c r="AH172" s="54">
        <f t="shared" si="49"/>
        <v>0</v>
      </c>
      <c r="AI172" s="54">
        <f t="shared" si="49"/>
        <v>0</v>
      </c>
      <c r="AJ172" s="54">
        <f t="shared" si="49"/>
        <v>0</v>
      </c>
      <c r="AK172" s="54">
        <f t="shared" ref="AK172" si="64">IF($E73+365&lt;$C$56,0,IF($E73&lt;$C$56,(($E73+365-$C$56)/365)*(($C73/$BN$157)+($D73/$BN$158)),IF($E73&gt;AK$166,0,IF($E73+365&lt;AK$166,($C73/$BN$157)+($D73/$BN$158),((AK$166-$E73)/365)*(($C73/$BN$157)+($D73/$BN$158))))))</f>
        <v>-2.5838857596843172E-2</v>
      </c>
      <c r="AL172" s="24">
        <f t="shared" si="51"/>
        <v>0</v>
      </c>
      <c r="AM172" s="24">
        <f t="shared" si="52"/>
        <v>-277.04399999999998</v>
      </c>
      <c r="AN172" s="55">
        <f t="shared" si="53"/>
        <v>350000</v>
      </c>
      <c r="AO172" s="55">
        <f t="shared" si="54"/>
        <v>0</v>
      </c>
      <c r="AP172" s="24"/>
      <c r="AQ172" s="24"/>
      <c r="AR172" s="24"/>
      <c r="AS172" s="24"/>
      <c r="AT172" s="24"/>
      <c r="AU172" s="24"/>
      <c r="AV172" s="24"/>
      <c r="AW172" s="24"/>
      <c r="AX172" s="24"/>
      <c r="AY172" s="24"/>
      <c r="AZ172" s="24"/>
      <c r="BA172" s="24"/>
      <c r="BB172" s="24"/>
      <c r="BC172" s="24"/>
      <c r="BD172" s="24"/>
      <c r="BE172" s="24">
        <f t="shared" si="40"/>
        <v>62.39</v>
      </c>
      <c r="BF172" s="59">
        <f t="shared" si="63"/>
        <v>47237</v>
      </c>
      <c r="BG172" s="36">
        <f>$BV$158+AF214+($C$64-$BV$158)</f>
        <v>37.756423535736971</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96.12</v>
      </c>
      <c r="CF172" s="14">
        <f>CJ174</f>
        <v>169.87</v>
      </c>
      <c r="CG172" s="14"/>
      <c r="CH172" s="25">
        <v>3.5</v>
      </c>
      <c r="CI172" s="14">
        <f t="shared" si="58"/>
        <v>79.260000000000005</v>
      </c>
      <c r="CJ172" s="14">
        <f t="shared" si="59"/>
        <v>137.82</v>
      </c>
    </row>
    <row r="173" spans="7:88">
      <c r="G173" s="12">
        <f t="shared" si="41"/>
        <v>0</v>
      </c>
      <c r="H173" s="12">
        <f t="shared" si="42"/>
        <v>0</v>
      </c>
      <c r="I173" s="12">
        <f t="shared" si="42"/>
        <v>0</v>
      </c>
      <c r="J173" s="12">
        <f t="shared" si="42"/>
        <v>0</v>
      </c>
      <c r="K173" s="12">
        <f t="shared" si="43"/>
        <v>0</v>
      </c>
      <c r="L173" s="12">
        <f t="shared" si="44"/>
        <v>0</v>
      </c>
      <c r="M173" s="12">
        <f t="shared" si="44"/>
        <v>0</v>
      </c>
      <c r="N173" s="12">
        <f t="shared" si="44"/>
        <v>0</v>
      </c>
      <c r="O173" s="12">
        <f t="shared" si="45"/>
        <v>0</v>
      </c>
      <c r="P173" s="12">
        <f t="shared" si="46"/>
        <v>0</v>
      </c>
      <c r="Q173" s="12">
        <f t="shared" si="46"/>
        <v>0</v>
      </c>
      <c r="T173" s="61"/>
      <c r="U173" s="61"/>
      <c r="V173" s="61"/>
      <c r="W173" s="53">
        <f t="shared" si="47"/>
        <v>0</v>
      </c>
      <c r="X173" s="54" t="e">
        <f t="shared" si="48"/>
        <v>#DIV/0!</v>
      </c>
      <c r="Y173" s="25">
        <f t="shared" si="55"/>
        <v>0</v>
      </c>
      <c r="Z173" s="54">
        <f t="shared" si="60"/>
        <v>0</v>
      </c>
      <c r="AA173" s="54">
        <f t="shared" si="49"/>
        <v>0</v>
      </c>
      <c r="AB173" s="54">
        <f t="shared" si="49"/>
        <v>0</v>
      </c>
      <c r="AC173" s="54">
        <f t="shared" si="49"/>
        <v>0</v>
      </c>
      <c r="AD173" s="54">
        <f t="shared" si="49"/>
        <v>0</v>
      </c>
      <c r="AE173" s="54">
        <f t="shared" si="49"/>
        <v>0</v>
      </c>
      <c r="AF173" s="54">
        <f t="shared" si="49"/>
        <v>0</v>
      </c>
      <c r="AG173" s="54">
        <f t="shared" si="49"/>
        <v>0</v>
      </c>
      <c r="AH173" s="54">
        <f t="shared" si="49"/>
        <v>0</v>
      </c>
      <c r="AI173" s="54">
        <f t="shared" si="49"/>
        <v>0</v>
      </c>
      <c r="AJ173" s="54">
        <f t="shared" si="49"/>
        <v>0</v>
      </c>
      <c r="AK173" s="54">
        <f t="shared" ref="AK173" si="65">IF($E74+365&lt;$C$56,0,IF($E74&lt;$C$56,(($E74+365-$C$56)/365)*(($C74/$BN$157)+($D74/$BN$158)),IF($E74&gt;AK$166,0,IF($E74+365&lt;AK$166,($C74/$BN$157)+($D74/$BN$158),((AK$166-$E74)/365)*(($C74/$BN$157)+($D74/$BN$158))))))</f>
        <v>0</v>
      </c>
      <c r="AL173" s="24">
        <f t="shared" si="51"/>
        <v>0</v>
      </c>
      <c r="AM173" s="24">
        <f t="shared" si="52"/>
        <v>0</v>
      </c>
      <c r="AN173" s="55">
        <f t="shared" si="53"/>
        <v>0</v>
      </c>
      <c r="AO173" s="55">
        <f t="shared" si="54"/>
        <v>0</v>
      </c>
      <c r="AP173" s="24"/>
      <c r="AQ173" s="24"/>
      <c r="AR173" s="24"/>
      <c r="AS173" s="24"/>
      <c r="AT173" s="24"/>
      <c r="AU173" s="24"/>
      <c r="AV173" s="24"/>
      <c r="AW173" s="24"/>
      <c r="AX173" s="24"/>
      <c r="AY173" s="24"/>
      <c r="AZ173" s="24"/>
      <c r="BA173" s="24"/>
      <c r="BB173" s="24"/>
      <c r="BC173" s="24"/>
      <c r="BD173" s="24"/>
      <c r="BE173" s="24">
        <f t="shared" si="40"/>
        <v>62.39</v>
      </c>
      <c r="BF173" s="59">
        <f t="shared" si="63"/>
        <v>47602</v>
      </c>
      <c r="BG173" s="36">
        <f>$BV$158+AG214+($C$64-$BV$158)</f>
        <v>37.756423535736971</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87.69</v>
      </c>
      <c r="CF173" s="14">
        <f>CJ173</f>
        <v>153.85</v>
      </c>
      <c r="CG173" s="14"/>
      <c r="CH173" s="25">
        <v>3</v>
      </c>
      <c r="CI173" s="14">
        <f t="shared" si="58"/>
        <v>87.69</v>
      </c>
      <c r="CJ173" s="14">
        <f t="shared" si="59"/>
        <v>153.85</v>
      </c>
    </row>
    <row r="174" spans="7:88">
      <c r="G174" s="12">
        <f t="shared" si="41"/>
        <v>0</v>
      </c>
      <c r="H174" s="12">
        <f t="shared" si="42"/>
        <v>0</v>
      </c>
      <c r="I174" s="12">
        <f t="shared" si="42"/>
        <v>0</v>
      </c>
      <c r="J174" s="12">
        <f t="shared" si="42"/>
        <v>0</v>
      </c>
      <c r="K174" s="12">
        <f t="shared" si="43"/>
        <v>0</v>
      </c>
      <c r="L174" s="12">
        <f t="shared" si="44"/>
        <v>0</v>
      </c>
      <c r="M174" s="12">
        <f t="shared" si="44"/>
        <v>0</v>
      </c>
      <c r="N174" s="12">
        <f t="shared" si="44"/>
        <v>0</v>
      </c>
      <c r="O174" s="12">
        <f t="shared" si="45"/>
        <v>0</v>
      </c>
      <c r="P174" s="12">
        <f t="shared" si="46"/>
        <v>0</v>
      </c>
      <c r="Q174" s="12">
        <f t="shared" si="46"/>
        <v>0</v>
      </c>
      <c r="T174" s="61"/>
      <c r="U174" s="61"/>
      <c r="V174" s="61"/>
      <c r="W174" s="53">
        <f t="shared" si="47"/>
        <v>0</v>
      </c>
      <c r="X174" s="54" t="e">
        <f t="shared" si="48"/>
        <v>#DIV/0!</v>
      </c>
      <c r="Y174" s="25">
        <f t="shared" si="55"/>
        <v>0</v>
      </c>
      <c r="Z174" s="54">
        <f t="shared" si="60"/>
        <v>0</v>
      </c>
      <c r="AA174" s="54">
        <f t="shared" si="49"/>
        <v>0</v>
      </c>
      <c r="AB174" s="54">
        <f t="shared" si="49"/>
        <v>0</v>
      </c>
      <c r="AC174" s="54">
        <f t="shared" si="49"/>
        <v>0</v>
      </c>
      <c r="AD174" s="54">
        <f t="shared" si="49"/>
        <v>0</v>
      </c>
      <c r="AE174" s="54">
        <f t="shared" si="49"/>
        <v>0</v>
      </c>
      <c r="AF174" s="54">
        <f t="shared" si="49"/>
        <v>0</v>
      </c>
      <c r="AG174" s="54">
        <f t="shared" si="49"/>
        <v>0</v>
      </c>
      <c r="AH174" s="54">
        <f t="shared" si="49"/>
        <v>0</v>
      </c>
      <c r="AI174" s="54">
        <f t="shared" si="49"/>
        <v>0</v>
      </c>
      <c r="AJ174" s="54">
        <f t="shared" si="49"/>
        <v>0</v>
      </c>
      <c r="AK174" s="54">
        <f t="shared" ref="AK174" si="66">IF($E75+365&lt;$C$56,0,IF($E75&lt;$C$56,(($E75+365-$C$56)/365)*(($C75/$BN$157)+($D75/$BN$158)),IF($E75&gt;AK$166,0,IF($E75+365&lt;AK$166,($C75/$BN$157)+($D75/$BN$158),((AK$166-$E75)/365)*(($C75/$BN$157)+($D75/$BN$158))))))</f>
        <v>0</v>
      </c>
      <c r="AL174" s="24">
        <f t="shared" si="51"/>
        <v>0</v>
      </c>
      <c r="AM174" s="24">
        <f t="shared" si="52"/>
        <v>0</v>
      </c>
      <c r="AN174" s="55">
        <f t="shared" si="53"/>
        <v>0</v>
      </c>
      <c r="AO174" s="55">
        <f t="shared" si="54"/>
        <v>0</v>
      </c>
      <c r="AP174" s="24"/>
      <c r="AQ174" s="24"/>
      <c r="AR174" s="24"/>
      <c r="AS174" s="24"/>
      <c r="AT174" s="24"/>
      <c r="AU174" s="24"/>
      <c r="AV174" s="24"/>
      <c r="AW174" s="24"/>
      <c r="AX174" s="24"/>
      <c r="AY174" s="24"/>
      <c r="AZ174" s="24"/>
      <c r="BA174" s="24"/>
      <c r="BB174" s="24"/>
      <c r="BC174" s="24"/>
      <c r="BD174" s="24"/>
      <c r="BE174" s="24">
        <f t="shared" si="40"/>
        <v>62.39</v>
      </c>
      <c r="BF174" s="59">
        <f t="shared" si="63"/>
        <v>47967</v>
      </c>
      <c r="BG174" s="36">
        <f>$BV$158+AH214+($C$64-$BV$158)</f>
        <v>37.756423535736971</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79.260000000000005</v>
      </c>
      <c r="CF174" s="14">
        <f>CJ172</f>
        <v>137.82</v>
      </c>
      <c r="CG174" s="14"/>
      <c r="CH174" s="25">
        <v>2.5</v>
      </c>
      <c r="CI174" s="14">
        <f t="shared" si="58"/>
        <v>96.12</v>
      </c>
      <c r="CJ174" s="14">
        <f t="shared" si="59"/>
        <v>169.87</v>
      </c>
    </row>
    <row r="175" spans="7:88">
      <c r="G175" s="12">
        <f t="shared" si="41"/>
        <v>0</v>
      </c>
      <c r="H175" s="12">
        <f t="shared" si="42"/>
        <v>0</v>
      </c>
      <c r="I175" s="12">
        <f t="shared" si="42"/>
        <v>0</v>
      </c>
      <c r="J175" s="12">
        <f t="shared" si="42"/>
        <v>0</v>
      </c>
      <c r="K175" s="12">
        <f t="shared" si="43"/>
        <v>0</v>
      </c>
      <c r="L175" s="12">
        <f t="shared" si="44"/>
        <v>0</v>
      </c>
      <c r="M175" s="12">
        <f t="shared" si="44"/>
        <v>0</v>
      </c>
      <c r="N175" s="12">
        <f t="shared" si="44"/>
        <v>0</v>
      </c>
      <c r="O175" s="12">
        <f t="shared" si="45"/>
        <v>0</v>
      </c>
      <c r="P175" s="12">
        <f t="shared" si="46"/>
        <v>0</v>
      </c>
      <c r="Q175" s="12">
        <f t="shared" si="46"/>
        <v>0</v>
      </c>
      <c r="T175" s="61"/>
      <c r="U175" s="61"/>
      <c r="V175" s="61"/>
      <c r="W175" s="53">
        <f t="shared" si="47"/>
        <v>0</v>
      </c>
      <c r="X175" s="54" t="e">
        <f t="shared" si="48"/>
        <v>#DIV/0!</v>
      </c>
      <c r="Y175" s="25">
        <f t="shared" si="55"/>
        <v>0</v>
      </c>
      <c r="Z175" s="54">
        <f t="shared" si="60"/>
        <v>0</v>
      </c>
      <c r="AA175" s="54">
        <f t="shared" si="49"/>
        <v>0</v>
      </c>
      <c r="AB175" s="54">
        <f t="shared" si="49"/>
        <v>0</v>
      </c>
      <c r="AC175" s="54">
        <f t="shared" si="49"/>
        <v>0</v>
      </c>
      <c r="AD175" s="54">
        <f t="shared" si="49"/>
        <v>0</v>
      </c>
      <c r="AE175" s="54">
        <f t="shared" si="49"/>
        <v>0</v>
      </c>
      <c r="AF175" s="54">
        <f t="shared" si="49"/>
        <v>0</v>
      </c>
      <c r="AG175" s="54">
        <f t="shared" si="49"/>
        <v>0</v>
      </c>
      <c r="AH175" s="54">
        <f t="shared" si="49"/>
        <v>0</v>
      </c>
      <c r="AI175" s="54">
        <f t="shared" si="49"/>
        <v>0</v>
      </c>
      <c r="AJ175" s="54">
        <f t="shared" si="49"/>
        <v>0</v>
      </c>
      <c r="AK175" s="54">
        <f t="shared" ref="AK175" si="67">IF($E76+365&lt;$C$56,0,IF($E76&lt;$C$56,(($E76+365-$C$56)/365)*(($C76/$BN$157)+($D76/$BN$158)),IF($E76&gt;AK$166,0,IF($E76+365&lt;AK$166,($C76/$BN$157)+($D76/$BN$158),((AK$166-$E76)/365)*(($C76/$BN$157)+($D76/$BN$158))))))</f>
        <v>0</v>
      </c>
      <c r="AL175" s="24">
        <f t="shared" si="51"/>
        <v>0</v>
      </c>
      <c r="AM175" s="24">
        <f t="shared" si="52"/>
        <v>0</v>
      </c>
      <c r="AN175" s="55">
        <f t="shared" si="53"/>
        <v>0</v>
      </c>
      <c r="AO175" s="55">
        <f t="shared" si="54"/>
        <v>0</v>
      </c>
      <c r="AP175" s="24"/>
      <c r="AQ175" s="24"/>
      <c r="AR175" s="24"/>
      <c r="AS175" s="24"/>
      <c r="AT175" s="24"/>
      <c r="AU175" s="24"/>
      <c r="AV175" s="24"/>
      <c r="AW175" s="24"/>
      <c r="AX175" s="24"/>
      <c r="AY175" s="24"/>
      <c r="AZ175" s="24"/>
      <c r="BA175" s="24"/>
      <c r="BB175" s="24"/>
      <c r="BC175" s="24"/>
      <c r="BD175" s="24"/>
      <c r="BE175" s="24">
        <f t="shared" si="40"/>
        <v>62.39</v>
      </c>
      <c r="BF175" s="59">
        <f t="shared" si="63"/>
        <v>48332</v>
      </c>
      <c r="BG175" s="36">
        <f>$BV$158+AI214+($C$64-$BV$158)</f>
        <v>37.756423535736971</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70.83</v>
      </c>
      <c r="CF175" s="14">
        <f>CJ171</f>
        <v>121.79</v>
      </c>
      <c r="CG175" s="14"/>
      <c r="CH175" s="25">
        <v>2</v>
      </c>
      <c r="CI175" s="14">
        <f t="shared" si="58"/>
        <v>104.55</v>
      </c>
      <c r="CJ175" s="14">
        <f t="shared" si="59"/>
        <v>185.9</v>
      </c>
    </row>
    <row r="176" spans="7:88">
      <c r="G176" s="12">
        <f t="shared" si="41"/>
        <v>0</v>
      </c>
      <c r="H176" s="12">
        <f t="shared" si="42"/>
        <v>0</v>
      </c>
      <c r="I176" s="12">
        <f t="shared" si="42"/>
        <v>0</v>
      </c>
      <c r="J176" s="12">
        <f t="shared" si="42"/>
        <v>0</v>
      </c>
      <c r="K176" s="12">
        <f t="shared" si="43"/>
        <v>0</v>
      </c>
      <c r="L176" s="12">
        <f t="shared" si="44"/>
        <v>0</v>
      </c>
      <c r="M176" s="12">
        <f t="shared" si="44"/>
        <v>0</v>
      </c>
      <c r="N176" s="12">
        <f t="shared" si="44"/>
        <v>0</v>
      </c>
      <c r="O176" s="12">
        <f t="shared" si="45"/>
        <v>0</v>
      </c>
      <c r="P176" s="12">
        <f t="shared" si="46"/>
        <v>0</v>
      </c>
      <c r="Q176" s="12">
        <f t="shared" si="46"/>
        <v>0</v>
      </c>
      <c r="T176" s="61"/>
      <c r="U176" s="61"/>
      <c r="V176" s="61"/>
      <c r="W176" s="53">
        <f t="shared" si="47"/>
        <v>0</v>
      </c>
      <c r="X176" s="54" t="e">
        <f t="shared" si="48"/>
        <v>#DIV/0!</v>
      </c>
      <c r="Y176" s="25">
        <f t="shared" si="55"/>
        <v>0</v>
      </c>
      <c r="Z176" s="54">
        <f t="shared" si="60"/>
        <v>0</v>
      </c>
      <c r="AA176" s="54">
        <f t="shared" si="49"/>
        <v>0</v>
      </c>
      <c r="AB176" s="54">
        <f t="shared" si="49"/>
        <v>0</v>
      </c>
      <c r="AC176" s="54">
        <f t="shared" si="49"/>
        <v>0</v>
      </c>
      <c r="AD176" s="54">
        <f t="shared" si="49"/>
        <v>0</v>
      </c>
      <c r="AE176" s="54">
        <f t="shared" si="49"/>
        <v>0</v>
      </c>
      <c r="AF176" s="54">
        <f t="shared" si="49"/>
        <v>0</v>
      </c>
      <c r="AG176" s="54">
        <f t="shared" si="49"/>
        <v>0</v>
      </c>
      <c r="AH176" s="54">
        <f t="shared" si="49"/>
        <v>0</v>
      </c>
      <c r="AI176" s="54">
        <f t="shared" si="49"/>
        <v>0</v>
      </c>
      <c r="AJ176" s="54">
        <f t="shared" si="49"/>
        <v>0</v>
      </c>
      <c r="AK176" s="54">
        <f t="shared" ref="AK176" si="68">IF($E77+365&lt;$C$56,0,IF($E77&lt;$C$56,(($E77+365-$C$56)/365)*(($C77/$BN$157)+($D77/$BN$158)),IF($E77&gt;AK$166,0,IF($E77+365&lt;AK$166,($C77/$BN$157)+($D77/$BN$158),((AK$166-$E77)/365)*(($C77/$BN$157)+($D77/$BN$158))))))</f>
        <v>0</v>
      </c>
      <c r="AL176" s="24">
        <f t="shared" si="51"/>
        <v>0</v>
      </c>
      <c r="AM176" s="24">
        <f t="shared" si="52"/>
        <v>0</v>
      </c>
      <c r="AN176" s="55">
        <f t="shared" si="53"/>
        <v>0</v>
      </c>
      <c r="AO176" s="55">
        <f t="shared" si="54"/>
        <v>0</v>
      </c>
      <c r="AP176" s="24"/>
      <c r="AQ176" s="24"/>
      <c r="AR176" s="24"/>
      <c r="AS176" s="24"/>
      <c r="AT176" s="24"/>
      <c r="AU176" s="24"/>
      <c r="AV176" s="24"/>
      <c r="AW176" s="24"/>
      <c r="AX176" s="24"/>
      <c r="AY176" s="24"/>
      <c r="AZ176" s="24"/>
      <c r="BA176" s="24"/>
      <c r="BB176" s="24"/>
      <c r="BC176" s="24"/>
      <c r="BD176" s="24"/>
      <c r="BE176" s="24">
        <f t="shared" si="40"/>
        <v>62.39</v>
      </c>
      <c r="BF176" s="59">
        <f t="shared" si="63"/>
        <v>48697</v>
      </c>
      <c r="BG176" s="36">
        <f>$BV$158+AJ214+($C$64-$BV$158)</f>
        <v>37.756423535736971</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62.39</v>
      </c>
      <c r="CF176" s="14">
        <f>CJ170</f>
        <v>105.77</v>
      </c>
      <c r="CG176" s="14"/>
      <c r="CH176" s="25">
        <v>1.5</v>
      </c>
      <c r="CI176" s="14">
        <f t="shared" si="58"/>
        <v>112.98</v>
      </c>
      <c r="CJ176" s="14">
        <f t="shared" si="59"/>
        <v>201.92</v>
      </c>
    </row>
    <row r="177" spans="7:88">
      <c r="G177" s="12">
        <f t="shared" si="41"/>
        <v>0</v>
      </c>
      <c r="H177" s="12">
        <f t="shared" si="42"/>
        <v>0</v>
      </c>
      <c r="I177" s="12">
        <f t="shared" si="42"/>
        <v>0</v>
      </c>
      <c r="J177" s="12">
        <f t="shared" si="42"/>
        <v>0</v>
      </c>
      <c r="K177" s="12">
        <f t="shared" si="43"/>
        <v>0</v>
      </c>
      <c r="L177" s="12">
        <f t="shared" si="44"/>
        <v>0</v>
      </c>
      <c r="M177" s="12">
        <f t="shared" si="44"/>
        <v>0</v>
      </c>
      <c r="N177" s="12">
        <f t="shared" si="44"/>
        <v>0</v>
      </c>
      <c r="O177" s="12">
        <f t="shared" si="45"/>
        <v>0</v>
      </c>
      <c r="P177" s="12">
        <f t="shared" si="46"/>
        <v>0</v>
      </c>
      <c r="Q177" s="12">
        <f t="shared" si="46"/>
        <v>0</v>
      </c>
      <c r="T177" s="61"/>
      <c r="U177" s="61"/>
      <c r="V177" s="61"/>
      <c r="W177" s="53">
        <f t="shared" si="47"/>
        <v>0</v>
      </c>
      <c r="X177" s="54" t="e">
        <f t="shared" si="48"/>
        <v>#DIV/0!</v>
      </c>
      <c r="Y177" s="25">
        <f t="shared" si="55"/>
        <v>0</v>
      </c>
      <c r="Z177" s="54">
        <f t="shared" si="60"/>
        <v>0</v>
      </c>
      <c r="AA177" s="54">
        <f t="shared" si="49"/>
        <v>0</v>
      </c>
      <c r="AB177" s="54">
        <f t="shared" si="49"/>
        <v>0</v>
      </c>
      <c r="AC177" s="54">
        <f t="shared" si="49"/>
        <v>0</v>
      </c>
      <c r="AD177" s="54">
        <f t="shared" si="49"/>
        <v>0</v>
      </c>
      <c r="AE177" s="54">
        <f t="shared" si="49"/>
        <v>0</v>
      </c>
      <c r="AF177" s="54">
        <f t="shared" si="49"/>
        <v>0</v>
      </c>
      <c r="AG177" s="54">
        <f t="shared" si="49"/>
        <v>0</v>
      </c>
      <c r="AH177" s="54">
        <f t="shared" si="49"/>
        <v>0</v>
      </c>
      <c r="AI177" s="54">
        <f t="shared" si="49"/>
        <v>0</v>
      </c>
      <c r="AJ177" s="54">
        <f t="shared" si="49"/>
        <v>0</v>
      </c>
      <c r="AK177" s="54">
        <f t="shared" ref="AK177" si="69">IF($E78+365&lt;$C$56,0,IF($E78&lt;$C$56,(($E78+365-$C$56)/365)*(($C78/$BN$157)+($D78/$BN$158)),IF($E78&gt;AK$166,0,IF($E78+365&lt;AK$166,($C78/$BN$157)+($D78/$BN$158),((AK$166-$E78)/365)*(($C78/$BN$157)+($D78/$BN$158))))))</f>
        <v>0</v>
      </c>
      <c r="AL177" s="24">
        <f t="shared" si="51"/>
        <v>0</v>
      </c>
      <c r="AM177" s="24">
        <f t="shared" si="52"/>
        <v>0</v>
      </c>
      <c r="AN177" s="55">
        <f t="shared" si="53"/>
        <v>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53.96</v>
      </c>
      <c r="CF177" s="14">
        <f>CJ169</f>
        <v>89.74</v>
      </c>
      <c r="CG177" s="14"/>
      <c r="CH177" s="25">
        <v>1</v>
      </c>
      <c r="CI177" s="14">
        <f t="shared" si="58"/>
        <v>121.42</v>
      </c>
      <c r="CJ177" s="14">
        <f t="shared" si="59"/>
        <v>217.95</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0</v>
      </c>
      <c r="X178" s="54" t="e">
        <f t="shared" si="48"/>
        <v>#DIV/0!</v>
      </c>
      <c r="Y178" s="25">
        <f t="shared" si="55"/>
        <v>0</v>
      </c>
      <c r="Z178" s="54">
        <f t="shared" si="60"/>
        <v>0</v>
      </c>
      <c r="AA178" s="54">
        <f t="shared" si="49"/>
        <v>0</v>
      </c>
      <c r="AB178" s="54">
        <f t="shared" si="49"/>
        <v>0</v>
      </c>
      <c r="AC178" s="54">
        <f>IF($E79+365&lt;$C$56,0,IF($E79&lt;$C$56,(($E79+365-$C$56)/365)*(($C79/$BN$157)+($D79/$BN$158)),IF($E79&gt;AC$166,0,IF($E79+365&lt;AC$166,($C79/$BN$157)+($D79/$BN$158),((AC$166-$E79)/365)*(($C79/$BN$157)+($D79/$BN$158))))))</f>
        <v>0</v>
      </c>
      <c r="AD178" s="54">
        <f t="shared" si="49"/>
        <v>0</v>
      </c>
      <c r="AE178" s="54">
        <f t="shared" si="49"/>
        <v>0</v>
      </c>
      <c r="AF178" s="54">
        <f t="shared" si="49"/>
        <v>0</v>
      </c>
      <c r="AG178" s="54">
        <f t="shared" si="49"/>
        <v>0</v>
      </c>
      <c r="AH178" s="54">
        <f t="shared" si="49"/>
        <v>0</v>
      </c>
      <c r="AI178" s="54">
        <f t="shared" si="49"/>
        <v>0</v>
      </c>
      <c r="AJ178" s="54">
        <f t="shared" si="49"/>
        <v>0</v>
      </c>
      <c r="AK178" s="54">
        <f t="shared" ref="AK178" si="70">IF($E79+365&lt;$C$56,0,IF($E79&lt;$C$56,(($E79+365-$C$56)/365)*(($C79/$BN$157)+($D79/$BN$158)),IF($E79&gt;AK$166,0,IF($E79+365&lt;AK$166,($C79/$BN$157)+($D79/$BN$158),((AK$166-$E79)/365)*(($C79/$BN$157)+($D79/$BN$158))))))</f>
        <v>0</v>
      </c>
      <c r="AL178" s="24">
        <f t="shared" si="51"/>
        <v>0</v>
      </c>
      <c r="AM178" s="24">
        <f t="shared" si="52"/>
        <v>0</v>
      </c>
      <c r="AN178" s="55">
        <f t="shared" si="53"/>
        <v>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0</v>
      </c>
      <c r="X179" s="54" t="e">
        <f t="shared" si="48"/>
        <v>#DIV/0!</v>
      </c>
      <c r="Y179" s="25">
        <f t="shared" si="55"/>
        <v>0</v>
      </c>
      <c r="Z179" s="54">
        <f t="shared" si="60"/>
        <v>0</v>
      </c>
      <c r="AA179" s="54">
        <f t="shared" si="49"/>
        <v>0</v>
      </c>
      <c r="AB179" s="54">
        <f t="shared" si="49"/>
        <v>0</v>
      </c>
      <c r="AC179" s="54">
        <f t="shared" si="49"/>
        <v>0</v>
      </c>
      <c r="AD179" s="54">
        <f t="shared" si="49"/>
        <v>0</v>
      </c>
      <c r="AE179" s="54">
        <f t="shared" si="49"/>
        <v>0</v>
      </c>
      <c r="AF179" s="54">
        <f t="shared" si="49"/>
        <v>0</v>
      </c>
      <c r="AG179" s="54">
        <f t="shared" si="49"/>
        <v>0</v>
      </c>
      <c r="AH179" s="54">
        <f t="shared" si="49"/>
        <v>0</v>
      </c>
      <c r="AI179" s="54">
        <f t="shared" si="49"/>
        <v>0</v>
      </c>
      <c r="AJ179" s="54">
        <f t="shared" si="49"/>
        <v>0</v>
      </c>
      <c r="AK179" s="54">
        <f t="shared" ref="AK179" si="71">IF($E80+365&lt;$C$56,0,IF($E80&lt;$C$56,(($E80+365-$C$56)/365)*(($C80/$BN$157)+($D80/$BN$158)),IF($E80&gt;AK$166,0,IF($E80+365&lt;AK$166,($C80/$BN$157)+($D80/$BN$158),((AK$166-$E80)/365)*(($C80/$BN$157)+($D80/$BN$158))))))</f>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48"/>
        <v>#DIV/0!</v>
      </c>
      <c r="Y180" s="25">
        <f t="shared" si="55"/>
        <v>0</v>
      </c>
      <c r="Z180" s="54">
        <f t="shared" si="60"/>
        <v>0</v>
      </c>
      <c r="AA180" s="54">
        <f t="shared" si="49"/>
        <v>0</v>
      </c>
      <c r="AB180" s="54">
        <f t="shared" si="49"/>
        <v>0</v>
      </c>
      <c r="AC180" s="54">
        <f t="shared" si="49"/>
        <v>0</v>
      </c>
      <c r="AD180" s="54">
        <f t="shared" si="49"/>
        <v>0</v>
      </c>
      <c r="AE180" s="54">
        <f t="shared" si="49"/>
        <v>0</v>
      </c>
      <c r="AF180" s="54">
        <f t="shared" si="49"/>
        <v>0</v>
      </c>
      <c r="AG180" s="54">
        <f t="shared" si="49"/>
        <v>0</v>
      </c>
      <c r="AH180" s="54">
        <f t="shared" si="49"/>
        <v>0</v>
      </c>
      <c r="AI180" s="54">
        <f t="shared" si="49"/>
        <v>0</v>
      </c>
      <c r="AJ180" s="54">
        <f t="shared" si="49"/>
        <v>0</v>
      </c>
      <c r="AK180" s="54">
        <f t="shared" ref="AK180" si="72">IF($E81+365&lt;$C$56,0,IF($E81&lt;$C$56,(($E81+365-$C$56)/365)*(($C81/$BN$157)+($D81/$BN$158)),IF($E81&gt;AK$166,0,IF($E81+365&lt;AK$166,($C81/$BN$157)+($D81/$BN$158),((AK$166-$E81)/365)*(($C81/$BN$157)+($D81/$BN$158))))))</f>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48"/>
        <v>#DIV/0!</v>
      </c>
      <c r="Y181" s="25">
        <f t="shared" si="55"/>
        <v>0</v>
      </c>
      <c r="Z181" s="54">
        <f t="shared" si="60"/>
        <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48"/>
        <v>#DIV/0!</v>
      </c>
      <c r="Y182" s="25">
        <f t="shared" si="55"/>
        <v>0</v>
      </c>
      <c r="Z182" s="54">
        <f t="shared" si="60"/>
        <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48"/>
        <v>#DIV/0!</v>
      </c>
      <c r="Y183" s="25">
        <f t="shared" si="55"/>
        <v>0</v>
      </c>
      <c r="Z183" s="54">
        <f t="shared" si="60"/>
        <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48"/>
        <v>#DIV/0!</v>
      </c>
      <c r="Y184" s="25">
        <f t="shared" si="55"/>
        <v>0</v>
      </c>
      <c r="Z184" s="54">
        <f t="shared" si="60"/>
        <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48"/>
        <v>#DIV/0!</v>
      </c>
      <c r="Y185" s="25">
        <f t="shared" si="55"/>
        <v>0</v>
      </c>
      <c r="Z185" s="54">
        <f t="shared" si="60"/>
        <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48"/>
        <v>#DIV/0!</v>
      </c>
      <c r="Y186" s="25">
        <f t="shared" si="55"/>
        <v>0</v>
      </c>
      <c r="Z186" s="54">
        <f t="shared" si="60"/>
        <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48"/>
        <v>#DIV/0!</v>
      </c>
      <c r="Y187" s="25">
        <f t="shared" si="55"/>
        <v>0</v>
      </c>
      <c r="Z187" s="54">
        <f t="shared" si="60"/>
        <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48"/>
        <v>#DIV/0!</v>
      </c>
      <c r="Y188" s="25">
        <f t="shared" si="55"/>
        <v>0</v>
      </c>
      <c r="Z188" s="54">
        <f t="shared" si="60"/>
        <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48"/>
        <v>#DIV/0!</v>
      </c>
      <c r="Y189" s="25">
        <f t="shared" si="55"/>
        <v>0</v>
      </c>
      <c r="Z189" s="54">
        <f t="shared" si="60"/>
        <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48"/>
        <v>#DIV/0!</v>
      </c>
      <c r="Y190" s="25">
        <f t="shared" si="55"/>
        <v>0</v>
      </c>
      <c r="Z190" s="54">
        <f t="shared" si="60"/>
        <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48"/>
        <v>#DIV/0!</v>
      </c>
      <c r="Y191" s="25">
        <f t="shared" si="55"/>
        <v>0</v>
      </c>
      <c r="Z191" s="54">
        <f t="shared" si="60"/>
        <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48"/>
        <v>#DIV/0!</v>
      </c>
      <c r="Y192" s="25">
        <f t="shared" si="55"/>
        <v>0</v>
      </c>
      <c r="Z192" s="54">
        <f t="shared" si="60"/>
        <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48"/>
        <v>#DIV/0!</v>
      </c>
      <c r="Y193" s="25">
        <f t="shared" si="55"/>
        <v>0</v>
      </c>
      <c r="Z193" s="54">
        <f t="shared" si="60"/>
        <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48"/>
        <v>#DIV/0!</v>
      </c>
      <c r="Y194" s="25">
        <f t="shared" si="55"/>
        <v>0</v>
      </c>
      <c r="Z194" s="54">
        <f t="shared" si="60"/>
        <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0">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48"/>
        <v>#DIV/0!</v>
      </c>
      <c r="Y195" s="25">
        <f t="shared" si="55"/>
        <v>0</v>
      </c>
      <c r="Z195" s="54">
        <f t="shared" si="60"/>
        <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1">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48"/>
        <v>#DIV/0!</v>
      </c>
      <c r="Y196" s="25">
        <f t="shared" si="55"/>
        <v>0</v>
      </c>
      <c r="Z196" s="54">
        <f t="shared" si="60"/>
        <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2">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48"/>
        <v>#DIV/0!</v>
      </c>
      <c r="Y197" s="25">
        <f t="shared" si="55"/>
        <v>0</v>
      </c>
      <c r="Z197" s="54">
        <f t="shared" si="60"/>
        <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3">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48"/>
        <v>#DIV/0!</v>
      </c>
      <c r="Y198" s="25">
        <f t="shared" si="55"/>
        <v>0</v>
      </c>
      <c r="Z198" s="54">
        <f t="shared" si="60"/>
        <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4">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48"/>
        <v>#DIV/0!</v>
      </c>
      <c r="Y199" s="25">
        <f t="shared" si="55"/>
        <v>0</v>
      </c>
      <c r="Z199" s="54">
        <f t="shared" si="60"/>
        <v>0</v>
      </c>
      <c r="AA199" s="54">
        <f t="shared" ref="AA199:AJ213" si="95">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ref="AK199" si="96">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c r="AU199" s="24"/>
      <c r="AV199" s="24"/>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48"/>
        <v>#DIV/0!</v>
      </c>
      <c r="Y200" s="25">
        <f t="shared" si="55"/>
        <v>0</v>
      </c>
      <c r="Z200" s="54">
        <f t="shared" si="60"/>
        <v>0</v>
      </c>
      <c r="AA200" s="54">
        <f t="shared" si="95"/>
        <v>0</v>
      </c>
      <c r="AB200" s="54">
        <f t="shared" si="95"/>
        <v>0</v>
      </c>
      <c r="AC200" s="54">
        <f t="shared" si="95"/>
        <v>0</v>
      </c>
      <c r="AD200" s="54">
        <f t="shared" si="95"/>
        <v>0</v>
      </c>
      <c r="AE200" s="54">
        <f t="shared" si="95"/>
        <v>0</v>
      </c>
      <c r="AF200" s="54">
        <f t="shared" si="95"/>
        <v>0</v>
      </c>
      <c r="AG200" s="54">
        <f t="shared" si="95"/>
        <v>0</v>
      </c>
      <c r="AH200" s="54">
        <f t="shared" si="95"/>
        <v>0</v>
      </c>
      <c r="AI200" s="54">
        <f t="shared" si="95"/>
        <v>0</v>
      </c>
      <c r="AJ200" s="54">
        <f t="shared" si="95"/>
        <v>0</v>
      </c>
      <c r="AK200" s="54">
        <f t="shared" ref="AK200" si="97">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c r="AT200" s="24"/>
      <c r="AU200" s="24"/>
      <c r="AV200" s="24"/>
      <c r="AW200" s="24"/>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48"/>
        <v>#DIV/0!</v>
      </c>
      <c r="Y201" s="25">
        <f t="shared" si="55"/>
        <v>0</v>
      </c>
      <c r="Z201" s="54">
        <f t="shared" si="60"/>
        <v>0</v>
      </c>
      <c r="AA201" s="54">
        <f t="shared" si="95"/>
        <v>0</v>
      </c>
      <c r="AB201" s="54">
        <f t="shared" si="95"/>
        <v>0</v>
      </c>
      <c r="AC201" s="54">
        <f t="shared" si="95"/>
        <v>0</v>
      </c>
      <c r="AD201" s="54">
        <f t="shared" si="95"/>
        <v>0</v>
      </c>
      <c r="AE201" s="54">
        <f t="shared" si="95"/>
        <v>0</v>
      </c>
      <c r="AF201" s="54">
        <f t="shared" si="95"/>
        <v>0</v>
      </c>
      <c r="AG201" s="54">
        <f t="shared" si="95"/>
        <v>0</v>
      </c>
      <c r="AH201" s="54">
        <f t="shared" si="95"/>
        <v>0</v>
      </c>
      <c r="AI201" s="54">
        <f t="shared" si="95"/>
        <v>0</v>
      </c>
      <c r="AJ201" s="54">
        <f t="shared" si="95"/>
        <v>0</v>
      </c>
      <c r="AK201" s="54">
        <f t="shared" ref="AK201" si="98">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c r="AU201" s="24"/>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48"/>
        <v>#DIV/0!</v>
      </c>
      <c r="Y202" s="25">
        <f t="shared" si="55"/>
        <v>0</v>
      </c>
      <c r="Z202" s="54">
        <f t="shared" si="60"/>
        <v>0</v>
      </c>
      <c r="AA202" s="54">
        <f t="shared" si="95"/>
        <v>0</v>
      </c>
      <c r="AB202" s="54">
        <f t="shared" si="95"/>
        <v>0</v>
      </c>
      <c r="AC202" s="54">
        <f t="shared" si="95"/>
        <v>0</v>
      </c>
      <c r="AD202" s="54">
        <f t="shared" si="95"/>
        <v>0</v>
      </c>
      <c r="AE202" s="54">
        <f t="shared" si="95"/>
        <v>0</v>
      </c>
      <c r="AF202" s="54">
        <f t="shared" si="95"/>
        <v>0</v>
      </c>
      <c r="AG202" s="54">
        <f t="shared" si="95"/>
        <v>0</v>
      </c>
      <c r="AH202" s="54">
        <f t="shared" si="95"/>
        <v>0</v>
      </c>
      <c r="AI202" s="54">
        <f t="shared" si="95"/>
        <v>0</v>
      </c>
      <c r="AJ202" s="54">
        <f t="shared" si="95"/>
        <v>0</v>
      </c>
      <c r="AK202" s="54">
        <f t="shared" ref="AK202" si="99">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48"/>
        <v>#DIV/0!</v>
      </c>
      <c r="Y203" s="25">
        <f t="shared" si="55"/>
        <v>0</v>
      </c>
      <c r="Z203" s="54">
        <f t="shared" si="60"/>
        <v>0</v>
      </c>
      <c r="AA203" s="54">
        <f t="shared" si="95"/>
        <v>0</v>
      </c>
      <c r="AB203" s="54">
        <f t="shared" si="95"/>
        <v>0</v>
      </c>
      <c r="AC203" s="54">
        <f t="shared" si="95"/>
        <v>0</v>
      </c>
      <c r="AD203" s="54">
        <f t="shared" si="95"/>
        <v>0</v>
      </c>
      <c r="AE203" s="54">
        <f t="shared" si="95"/>
        <v>0</v>
      </c>
      <c r="AF203" s="54">
        <f t="shared" si="95"/>
        <v>0</v>
      </c>
      <c r="AG203" s="54">
        <f t="shared" si="95"/>
        <v>0</v>
      </c>
      <c r="AH203" s="54">
        <f t="shared" si="95"/>
        <v>0</v>
      </c>
      <c r="AI203" s="54">
        <f t="shared" si="95"/>
        <v>0</v>
      </c>
      <c r="AJ203" s="54">
        <f t="shared" si="95"/>
        <v>0</v>
      </c>
      <c r="AK203" s="54">
        <f t="shared" ref="AK203" si="100">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48"/>
        <v>#DIV/0!</v>
      </c>
      <c r="Y204" s="25">
        <f t="shared" si="55"/>
        <v>0</v>
      </c>
      <c r="Z204" s="54">
        <f t="shared" si="60"/>
        <v>0</v>
      </c>
      <c r="AA204" s="54">
        <f t="shared" si="95"/>
        <v>0</v>
      </c>
      <c r="AB204" s="54">
        <f t="shared" si="95"/>
        <v>0</v>
      </c>
      <c r="AC204" s="54">
        <f t="shared" si="95"/>
        <v>0</v>
      </c>
      <c r="AD204" s="54">
        <f t="shared" si="95"/>
        <v>0</v>
      </c>
      <c r="AE204" s="54">
        <f t="shared" si="95"/>
        <v>0</v>
      </c>
      <c r="AF204" s="54">
        <f t="shared" si="95"/>
        <v>0</v>
      </c>
      <c r="AG204" s="54">
        <f t="shared" si="95"/>
        <v>0</v>
      </c>
      <c r="AH204" s="54">
        <f t="shared" si="95"/>
        <v>0</v>
      </c>
      <c r="AI204" s="54">
        <f t="shared" si="95"/>
        <v>0</v>
      </c>
      <c r="AJ204" s="54">
        <f t="shared" si="95"/>
        <v>0</v>
      </c>
      <c r="AK204" s="54">
        <f t="shared" ref="AK204" si="101">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48"/>
        <v>#DIV/0!</v>
      </c>
      <c r="Y205" s="25">
        <f t="shared" si="55"/>
        <v>0</v>
      </c>
      <c r="Z205" s="54">
        <f t="shared" si="60"/>
        <v>0</v>
      </c>
      <c r="AA205" s="54">
        <f t="shared" si="95"/>
        <v>0</v>
      </c>
      <c r="AB205" s="54">
        <f t="shared" si="95"/>
        <v>0</v>
      </c>
      <c r="AC205" s="54">
        <f t="shared" si="95"/>
        <v>0</v>
      </c>
      <c r="AD205" s="54">
        <f t="shared" si="95"/>
        <v>0</v>
      </c>
      <c r="AE205" s="54">
        <f t="shared" si="95"/>
        <v>0</v>
      </c>
      <c r="AF205" s="54">
        <f t="shared" si="95"/>
        <v>0</v>
      </c>
      <c r="AG205" s="54">
        <f t="shared" si="95"/>
        <v>0</v>
      </c>
      <c r="AH205" s="54">
        <f t="shared" si="95"/>
        <v>0</v>
      </c>
      <c r="AI205" s="54">
        <f t="shared" si="95"/>
        <v>0</v>
      </c>
      <c r="AJ205" s="54">
        <f t="shared" si="95"/>
        <v>0</v>
      </c>
      <c r="AK205" s="54">
        <f t="shared" ref="AK205" si="102">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48"/>
        <v>#DIV/0!</v>
      </c>
      <c r="Y206" s="25">
        <f t="shared" si="55"/>
        <v>0</v>
      </c>
      <c r="Z206" s="54">
        <f t="shared" si="60"/>
        <v>0</v>
      </c>
      <c r="AA206" s="54">
        <f t="shared" si="95"/>
        <v>0</v>
      </c>
      <c r="AB206" s="54">
        <f t="shared" si="95"/>
        <v>0</v>
      </c>
      <c r="AC206" s="54">
        <f t="shared" si="95"/>
        <v>0</v>
      </c>
      <c r="AD206" s="54">
        <f t="shared" si="95"/>
        <v>0</v>
      </c>
      <c r="AE206" s="54">
        <f t="shared" si="95"/>
        <v>0</v>
      </c>
      <c r="AF206" s="54">
        <f t="shared" si="95"/>
        <v>0</v>
      </c>
      <c r="AG206" s="54">
        <f t="shared" si="95"/>
        <v>0</v>
      </c>
      <c r="AH206" s="54">
        <f t="shared" si="95"/>
        <v>0</v>
      </c>
      <c r="AI206" s="54">
        <f t="shared" si="95"/>
        <v>0</v>
      </c>
      <c r="AJ206" s="54">
        <f t="shared" si="95"/>
        <v>0</v>
      </c>
      <c r="AK206" s="54">
        <f t="shared" ref="AK206" si="103">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4">IF($E109&gt;H$66,0,IF($E109&lt;H$66-365,$C109,0))</f>
        <v>0</v>
      </c>
      <c r="I207" s="12">
        <f t="shared" si="104"/>
        <v>0</v>
      </c>
      <c r="J207" s="12">
        <f t="shared" si="104"/>
        <v>0</v>
      </c>
      <c r="K207" s="12">
        <f t="shared" si="43"/>
        <v>0</v>
      </c>
      <c r="L207" s="12">
        <f t="shared" ref="L207:N209" si="105">IF($E109&gt;L$66,0,IF($E109&lt;L$66-365,$C109,0))</f>
        <v>0</v>
      </c>
      <c r="M207" s="12">
        <f t="shared" si="105"/>
        <v>0</v>
      </c>
      <c r="N207" s="12">
        <f t="shared" si="105"/>
        <v>0</v>
      </c>
      <c r="O207" s="12">
        <f t="shared" si="45"/>
        <v>0</v>
      </c>
      <c r="P207" s="12">
        <f t="shared" ref="P207:Q209" si="106">IF($E109&gt;P$66,0,IF($E109&lt;P$66-365,$C109,0))</f>
        <v>0</v>
      </c>
      <c r="Q207" s="12">
        <f t="shared" si="106"/>
        <v>0</v>
      </c>
      <c r="T207" s="61"/>
      <c r="U207" s="61"/>
      <c r="V207" s="61"/>
      <c r="W207" s="53">
        <f t="shared" si="47"/>
        <v>0</v>
      </c>
      <c r="X207" s="54" t="e">
        <f t="shared" si="48"/>
        <v>#DIV/0!</v>
      </c>
      <c r="Y207" s="25">
        <f t="shared" si="55"/>
        <v>0</v>
      </c>
      <c r="Z207" s="54">
        <f t="shared" si="60"/>
        <v>0</v>
      </c>
      <c r="AA207" s="54">
        <f t="shared" si="95"/>
        <v>0</v>
      </c>
      <c r="AB207" s="54">
        <f t="shared" si="95"/>
        <v>0</v>
      </c>
      <c r="AC207" s="54">
        <f t="shared" si="95"/>
        <v>0</v>
      </c>
      <c r="AD207" s="54">
        <f t="shared" si="95"/>
        <v>0</v>
      </c>
      <c r="AE207" s="54">
        <f t="shared" si="95"/>
        <v>0</v>
      </c>
      <c r="AF207" s="54">
        <f t="shared" si="95"/>
        <v>0</v>
      </c>
      <c r="AG207" s="54">
        <f t="shared" si="95"/>
        <v>0</v>
      </c>
      <c r="AH207" s="54">
        <f t="shared" si="95"/>
        <v>0</v>
      </c>
      <c r="AI207" s="54">
        <f t="shared" si="95"/>
        <v>0</v>
      </c>
      <c r="AJ207" s="54">
        <f t="shared" si="95"/>
        <v>0</v>
      </c>
      <c r="AK207" s="54">
        <f t="shared" ref="AK207" si="107">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4"/>
        <v>0</v>
      </c>
      <c r="I208" s="12">
        <f t="shared" si="104"/>
        <v>0</v>
      </c>
      <c r="J208" s="12">
        <f t="shared" si="104"/>
        <v>0</v>
      </c>
      <c r="K208" s="12">
        <f t="shared" si="43"/>
        <v>0</v>
      </c>
      <c r="L208" s="12">
        <f t="shared" si="105"/>
        <v>0</v>
      </c>
      <c r="M208" s="12">
        <f t="shared" si="105"/>
        <v>0</v>
      </c>
      <c r="N208" s="12">
        <f t="shared" si="105"/>
        <v>0</v>
      </c>
      <c r="O208" s="12">
        <f t="shared" si="45"/>
        <v>0</v>
      </c>
      <c r="P208" s="12">
        <f t="shared" si="106"/>
        <v>0</v>
      </c>
      <c r="Q208" s="12">
        <f t="shared" si="106"/>
        <v>0</v>
      </c>
      <c r="T208" s="61"/>
      <c r="U208" s="61"/>
      <c r="V208" s="61"/>
      <c r="W208" s="53">
        <f t="shared" si="47"/>
        <v>0</v>
      </c>
      <c r="X208" s="54" t="e">
        <f t="shared" si="48"/>
        <v>#DIV/0!</v>
      </c>
      <c r="Y208" s="25">
        <f t="shared" si="55"/>
        <v>0</v>
      </c>
      <c r="Z208" s="54">
        <f t="shared" si="60"/>
        <v>0</v>
      </c>
      <c r="AA208" s="54">
        <f t="shared" si="95"/>
        <v>0</v>
      </c>
      <c r="AB208" s="54">
        <f t="shared" si="95"/>
        <v>0</v>
      </c>
      <c r="AC208" s="54">
        <f t="shared" si="95"/>
        <v>0</v>
      </c>
      <c r="AD208" s="54">
        <f t="shared" si="95"/>
        <v>0</v>
      </c>
      <c r="AE208" s="54">
        <f t="shared" si="95"/>
        <v>0</v>
      </c>
      <c r="AF208" s="54">
        <f t="shared" si="95"/>
        <v>0</v>
      </c>
      <c r="AG208" s="54">
        <f t="shared" si="95"/>
        <v>0</v>
      </c>
      <c r="AH208" s="54">
        <f t="shared" si="95"/>
        <v>0</v>
      </c>
      <c r="AI208" s="54">
        <f t="shared" si="95"/>
        <v>0</v>
      </c>
      <c r="AJ208" s="54">
        <f t="shared" si="95"/>
        <v>0</v>
      </c>
      <c r="AK208" s="54">
        <f t="shared" ref="AK208" si="108">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4"/>
        <v>0</v>
      </c>
      <c r="I209" s="12">
        <f t="shared" si="104"/>
        <v>0</v>
      </c>
      <c r="J209" s="12">
        <f t="shared" si="104"/>
        <v>0</v>
      </c>
      <c r="K209" s="12">
        <f t="shared" si="43"/>
        <v>0</v>
      </c>
      <c r="L209" s="12">
        <f t="shared" si="105"/>
        <v>0</v>
      </c>
      <c r="M209" s="12">
        <f t="shared" si="105"/>
        <v>0</v>
      </c>
      <c r="N209" s="12">
        <f t="shared" si="105"/>
        <v>0</v>
      </c>
      <c r="O209" s="12">
        <f t="shared" si="45"/>
        <v>0</v>
      </c>
      <c r="P209" s="12">
        <f t="shared" si="106"/>
        <v>0</v>
      </c>
      <c r="Q209" s="12">
        <f t="shared" si="106"/>
        <v>0</v>
      </c>
      <c r="T209" s="61"/>
      <c r="U209" s="61"/>
      <c r="V209" s="61"/>
      <c r="W209" s="53">
        <f t="shared" si="47"/>
        <v>0</v>
      </c>
      <c r="X209" s="54" t="e">
        <f t="shared" si="48"/>
        <v>#DIV/0!</v>
      </c>
      <c r="Y209" s="25">
        <f t="shared" si="55"/>
        <v>0</v>
      </c>
      <c r="Z209" s="54">
        <f t="shared" si="60"/>
        <v>0</v>
      </c>
      <c r="AA209" s="54">
        <f t="shared" si="95"/>
        <v>0</v>
      </c>
      <c r="AB209" s="54">
        <f t="shared" si="95"/>
        <v>0</v>
      </c>
      <c r="AC209" s="54">
        <f t="shared" si="95"/>
        <v>0</v>
      </c>
      <c r="AD209" s="54">
        <f t="shared" si="95"/>
        <v>0</v>
      </c>
      <c r="AE209" s="54">
        <f t="shared" si="95"/>
        <v>0</v>
      </c>
      <c r="AF209" s="54">
        <f t="shared" si="95"/>
        <v>0</v>
      </c>
      <c r="AG209" s="54">
        <f t="shared" si="95"/>
        <v>0</v>
      </c>
      <c r="AH209" s="54">
        <f t="shared" si="95"/>
        <v>0</v>
      </c>
      <c r="AI209" s="54">
        <f t="shared" si="95"/>
        <v>0</v>
      </c>
      <c r="AJ209" s="54">
        <f t="shared" si="95"/>
        <v>0</v>
      </c>
      <c r="AK209" s="54">
        <f t="shared" ref="AK209" si="109">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48"/>
        <v>#DIV/0!</v>
      </c>
      <c r="Y210" s="25">
        <f t="shared" si="55"/>
        <v>0</v>
      </c>
      <c r="Z210" s="54">
        <f t="shared" si="60"/>
        <v>0</v>
      </c>
      <c r="AA210" s="54">
        <f t="shared" si="95"/>
        <v>0</v>
      </c>
      <c r="AB210" s="54">
        <f t="shared" si="95"/>
        <v>0</v>
      </c>
      <c r="AC210" s="54">
        <f t="shared" si="95"/>
        <v>0</v>
      </c>
      <c r="AD210" s="54">
        <f t="shared" si="95"/>
        <v>0</v>
      </c>
      <c r="AE210" s="54">
        <f t="shared" si="95"/>
        <v>0</v>
      </c>
      <c r="AF210" s="54">
        <f t="shared" si="95"/>
        <v>0</v>
      </c>
      <c r="AG210" s="54">
        <f t="shared" si="95"/>
        <v>0</v>
      </c>
      <c r="AH210" s="54">
        <f t="shared" si="95"/>
        <v>0</v>
      </c>
      <c r="AI210" s="54">
        <f t="shared" si="95"/>
        <v>0</v>
      </c>
      <c r="AJ210" s="54">
        <f t="shared" si="95"/>
        <v>0</v>
      </c>
      <c r="AK210" s="54">
        <f t="shared" ref="AK210" si="110">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48"/>
        <v>#DIV/0!</v>
      </c>
      <c r="Y211" s="25">
        <f t="shared" si="55"/>
        <v>0</v>
      </c>
      <c r="Z211" s="54">
        <f t="shared" si="60"/>
        <v>0</v>
      </c>
      <c r="AA211" s="54">
        <f t="shared" si="95"/>
        <v>0</v>
      </c>
      <c r="AB211" s="54">
        <f t="shared" si="95"/>
        <v>0</v>
      </c>
      <c r="AC211" s="54">
        <f t="shared" si="95"/>
        <v>0</v>
      </c>
      <c r="AD211" s="54">
        <f t="shared" si="95"/>
        <v>0</v>
      </c>
      <c r="AE211" s="54">
        <f t="shared" si="95"/>
        <v>0</v>
      </c>
      <c r="AF211" s="54">
        <f t="shared" si="95"/>
        <v>0</v>
      </c>
      <c r="AG211" s="54">
        <f t="shared" si="95"/>
        <v>0</v>
      </c>
      <c r="AH211" s="54">
        <f t="shared" si="95"/>
        <v>0</v>
      </c>
      <c r="AI211" s="54">
        <f t="shared" si="95"/>
        <v>0</v>
      </c>
      <c r="AJ211" s="54">
        <f t="shared" si="95"/>
        <v>0</v>
      </c>
      <c r="AK211" s="54">
        <f t="shared" ref="AK211" si="111">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c r="Y212" s="25">
        <f t="shared" si="55"/>
        <v>0</v>
      </c>
      <c r="Z212" s="54">
        <f t="shared" si="60"/>
        <v>0</v>
      </c>
      <c r="AA212" s="54">
        <f t="shared" si="95"/>
        <v>0</v>
      </c>
      <c r="AB212" s="54">
        <f t="shared" si="95"/>
        <v>0</v>
      </c>
      <c r="AC212" s="54">
        <f t="shared" si="95"/>
        <v>0</v>
      </c>
      <c r="AD212" s="54">
        <f t="shared" si="95"/>
        <v>0</v>
      </c>
      <c r="AE212" s="54">
        <f t="shared" si="95"/>
        <v>0</v>
      </c>
      <c r="AF212" s="54">
        <f t="shared" si="95"/>
        <v>0</v>
      </c>
      <c r="AG212" s="54">
        <f t="shared" si="95"/>
        <v>0</v>
      </c>
      <c r="AH212" s="54">
        <f t="shared" si="95"/>
        <v>0</v>
      </c>
      <c r="AI212" s="54">
        <f t="shared" si="95"/>
        <v>0</v>
      </c>
      <c r="AJ212" s="54">
        <f t="shared" si="95"/>
        <v>0</v>
      </c>
      <c r="AK212" s="54">
        <f t="shared" ref="AK212" si="112">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c r="Y213" s="25">
        <f t="shared" si="55"/>
        <v>0</v>
      </c>
      <c r="Z213" s="54">
        <f t="shared" si="60"/>
        <v>0</v>
      </c>
      <c r="AA213" s="54">
        <f t="shared" si="95"/>
        <v>0</v>
      </c>
      <c r="AB213" s="54">
        <f t="shared" si="95"/>
        <v>0</v>
      </c>
      <c r="AC213" s="54">
        <f t="shared" si="95"/>
        <v>0</v>
      </c>
      <c r="AD213" s="54">
        <f t="shared" si="95"/>
        <v>0</v>
      </c>
      <c r="AE213" s="54">
        <f t="shared" si="95"/>
        <v>0</v>
      </c>
      <c r="AF213" s="54">
        <f t="shared" si="95"/>
        <v>0</v>
      </c>
      <c r="AG213" s="54">
        <f t="shared" si="95"/>
        <v>0</v>
      </c>
      <c r="AH213" s="54">
        <f t="shared" si="95"/>
        <v>0</v>
      </c>
      <c r="AI213" s="54">
        <f t="shared" si="95"/>
        <v>0</v>
      </c>
      <c r="AJ213" s="54">
        <f t="shared" si="95"/>
        <v>0</v>
      </c>
      <c r="AK213" s="54">
        <f t="shared" ref="AK213" si="113">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0</v>
      </c>
      <c r="H214" s="187">
        <f t="shared" ref="H214:Q214" si="114">SUM(H167:H213)</f>
        <v>0</v>
      </c>
      <c r="I214" s="187">
        <f t="shared" si="114"/>
        <v>0</v>
      </c>
      <c r="J214" s="187">
        <f t="shared" si="114"/>
        <v>0</v>
      </c>
      <c r="K214" s="187">
        <f t="shared" si="114"/>
        <v>181.37799999999999</v>
      </c>
      <c r="L214" s="187">
        <f t="shared" si="114"/>
        <v>181.37799999999999</v>
      </c>
      <c r="M214" s="187">
        <f t="shared" si="114"/>
        <v>181.37799999999999</v>
      </c>
      <c r="N214" s="187">
        <f t="shared" si="114"/>
        <v>181.37799999999999</v>
      </c>
      <c r="O214" s="187">
        <f t="shared" si="114"/>
        <v>181.37799999999999</v>
      </c>
      <c r="P214" s="187">
        <f t="shared" si="114"/>
        <v>181.37799999999999</v>
      </c>
      <c r="Q214" s="187">
        <f t="shared" si="114"/>
        <v>181.37799999999999</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6.4244190706427812E-2</v>
      </c>
      <c r="AF214" s="155">
        <f>VLOOKUP($A$2,Assumptions!$B$124:$G$147,6,0)*SUM(AF167:AF213)</f>
        <v>0.75642353573697263</v>
      </c>
      <c r="AG214" s="155">
        <f>VLOOKUP($A$2,Assumptions!$B$124:$G$147,6,0)*SUM(AG167:AG213)</f>
        <v>0.75642353573697263</v>
      </c>
      <c r="AH214" s="155">
        <f>VLOOKUP($A$2,Assumptions!$B$124:$G$147,6,0)*SUM(AH167:AH213)</f>
        <v>0.75642353573697263</v>
      </c>
      <c r="AI214" s="155">
        <f>VLOOKUP($A$2,Assumptions!$B$124:$G$147,6,0)*SUM(AI167:AI213)</f>
        <v>0.75642353573697263</v>
      </c>
      <c r="AJ214" s="155">
        <f>VLOOKUP($A$2,Assumptions!$B$124:$G$147,6,0)*SUM(AJ167:AJ213)</f>
        <v>0.75642353573697263</v>
      </c>
      <c r="AK214" s="155">
        <f>VLOOKUP($A$2,Assumptions!$B$124:$G$147,6,0)*SUM(AK167:AK213)</f>
        <v>0.15527209099716816</v>
      </c>
      <c r="AL214" s="155">
        <f>VLOOKUP($A$2,Assumptions!$B$124:$G$147,6,0)*SUM(AL167:AL213)</f>
        <v>-226.99400000000003</v>
      </c>
      <c r="AM214" s="155">
        <f>VLOOKUP($A$2,Assumptions!$B$124:$G$147,6,0)*SUM(AM167:AM213)</f>
        <v>-2749.5859999999998</v>
      </c>
      <c r="AN214" s="55">
        <f>SUM(AN167:AN213)</f>
        <v>4950000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37</v>
      </c>
      <c r="AA215" s="156">
        <f>$C$64+AA214</f>
        <v>37</v>
      </c>
      <c r="AB215" s="156">
        <f t="shared" ref="AB215:AE215" si="115">$C$64+AB214</f>
        <v>37</v>
      </c>
      <c r="AC215" s="156">
        <f t="shared" si="115"/>
        <v>37</v>
      </c>
      <c r="AD215" s="156">
        <f t="shared" si="115"/>
        <v>37</v>
      </c>
      <c r="AE215" s="156">
        <f t="shared" si="115"/>
        <v>37.064244190706425</v>
      </c>
      <c r="AF215" s="156">
        <f>$C$64+AF214</f>
        <v>37.756423535736971</v>
      </c>
      <c r="AG215" s="156">
        <f t="shared" ref="AG215:AJ215" si="116">$C$64+AG214</f>
        <v>37.756423535736971</v>
      </c>
      <c r="AH215" s="156">
        <f>$C$64+AH214</f>
        <v>37.756423535736971</v>
      </c>
      <c r="AI215" s="156">
        <f t="shared" si="116"/>
        <v>37.756423535736971</v>
      </c>
      <c r="AJ215" s="156">
        <f t="shared" si="116"/>
        <v>37.756423535736971</v>
      </c>
      <c r="AK215" s="156">
        <f t="shared" ref="AK215" si="117">$C$64+AK214</f>
        <v>37.155272090997165</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 t="shared" ref="Z216:AJ216" si="118">IF(Z215&lt;$BB$154,(6+(1-Z215/$BB$154)),IF(Z215&lt;$BB$155,5.5+(0.5*(($BB$155-Z215)/($BB$155-$BB$154))),IF(Z215&lt;$BB$156,5-0.5*((Z215)-$BB$156)/($BB$156-$BB$155),IF(Z215&lt;$BB$157,4.5-0.5*((Z215-$BB$157)/($BB$157-$BB$156)),5-0.5*((Z215-$BB$156)/$BH$166)))))</f>
        <v>5.6286137879911049</v>
      </c>
      <c r="AA216" s="154">
        <f t="shared" si="118"/>
        <v>5.6286137879911049</v>
      </c>
      <c r="AB216" s="154">
        <f t="shared" si="118"/>
        <v>5.6286137879911049</v>
      </c>
      <c r="AC216" s="154">
        <f t="shared" si="118"/>
        <v>5.6286137879911049</v>
      </c>
      <c r="AD216" s="154">
        <f t="shared" si="118"/>
        <v>5.6286137879911049</v>
      </c>
      <c r="AE216" s="154">
        <f t="shared" si="118"/>
        <v>5.6262326096847133</v>
      </c>
      <c r="AF216" s="154">
        <f t="shared" si="118"/>
        <v>5.6005773337384372</v>
      </c>
      <c r="AG216" s="154">
        <f t="shared" si="118"/>
        <v>5.6005773337384372</v>
      </c>
      <c r="AH216" s="154">
        <f t="shared" si="118"/>
        <v>5.6005773337384372</v>
      </c>
      <c r="AI216" s="154">
        <f t="shared" si="118"/>
        <v>5.6005773337384372</v>
      </c>
      <c r="AJ216" s="154">
        <f t="shared" si="118"/>
        <v>5.6005773337384372</v>
      </c>
      <c r="AK216" s="154">
        <f>IF(AK215&lt;$BB$154,(6+(1-AK215/$BB$154)),IF(AK215&lt;$BB$155,5.5+(0.5*(($BB$155-AK215)/($BB$155-$BB$154))),IF(AK215&lt;$BB$156,5-0.5*((AK215)-$BB$156)/($BB$156-$BB$155),IF(AK215&lt;$BB$157,4.5-0.5*((AK215-$BB$157)/($BB$157-$BB$156)),5-0.5*((AK215-$BB$156)/$BH$166)))))</f>
        <v>5.6228587067829068</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9">IF($E69&lt;G$66,$D69,0)</f>
        <v>0</v>
      </c>
      <c r="H220" s="12">
        <f t="shared" ref="H220:Q220" si="120">IF($E69&gt;H$66,0,IF($E69&lt;H$66-365,$D69,0))</f>
        <v>0</v>
      </c>
      <c r="I220" s="12">
        <f t="shared" si="120"/>
        <v>0</v>
      </c>
      <c r="J220" s="12">
        <f t="shared" si="120"/>
        <v>0</v>
      </c>
      <c r="K220" s="12">
        <f t="shared" si="120"/>
        <v>0</v>
      </c>
      <c r="L220" s="12">
        <f t="shared" si="120"/>
        <v>0</v>
      </c>
      <c r="M220" s="12">
        <f t="shared" si="120"/>
        <v>0</v>
      </c>
      <c r="N220" s="12">
        <f t="shared" si="120"/>
        <v>0</v>
      </c>
      <c r="O220" s="12">
        <f t="shared" si="120"/>
        <v>0</v>
      </c>
      <c r="P220" s="12">
        <f t="shared" si="120"/>
        <v>0</v>
      </c>
      <c r="Q220" s="12">
        <f t="shared" si="120"/>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9"/>
        <v>0</v>
      </c>
      <c r="H221" s="12">
        <f t="shared" ref="H221:Q221" si="121">IF($E70&gt;H$66,0,IF($E70&lt;H$66-365,$D70,0))</f>
        <v>0</v>
      </c>
      <c r="I221" s="12">
        <f t="shared" si="121"/>
        <v>0</v>
      </c>
      <c r="J221" s="12">
        <f t="shared" si="121"/>
        <v>0</v>
      </c>
      <c r="K221" s="12">
        <f t="shared" si="121"/>
        <v>0</v>
      </c>
      <c r="L221" s="12">
        <f t="shared" si="121"/>
        <v>0</v>
      </c>
      <c r="M221" s="12">
        <f t="shared" si="121"/>
        <v>0</v>
      </c>
      <c r="N221" s="12">
        <f t="shared" si="121"/>
        <v>0</v>
      </c>
      <c r="O221" s="12">
        <f t="shared" si="121"/>
        <v>0</v>
      </c>
      <c r="P221" s="12">
        <f t="shared" si="121"/>
        <v>0</v>
      </c>
      <c r="Q221" s="12">
        <f t="shared" si="12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9"/>
        <v>0</v>
      </c>
      <c r="H222" s="12">
        <f t="shared" ref="H222:Q222" si="122">IF($E71&gt;H$66,0,IF($E71&lt;H$66-365,$D71,0))</f>
        <v>0</v>
      </c>
      <c r="I222" s="12">
        <f t="shared" si="122"/>
        <v>0</v>
      </c>
      <c r="J222" s="12">
        <f t="shared" si="122"/>
        <v>0</v>
      </c>
      <c r="K222" s="12">
        <f t="shared" si="122"/>
        <v>0</v>
      </c>
      <c r="L222" s="12">
        <f t="shared" si="122"/>
        <v>-1714</v>
      </c>
      <c r="M222" s="12">
        <f t="shared" si="122"/>
        <v>-1714</v>
      </c>
      <c r="N222" s="12">
        <f t="shared" si="122"/>
        <v>-1714</v>
      </c>
      <c r="O222" s="12">
        <f t="shared" si="122"/>
        <v>-1714</v>
      </c>
      <c r="P222" s="12">
        <f t="shared" si="122"/>
        <v>-1714</v>
      </c>
      <c r="Q222" s="12">
        <f t="shared" si="122"/>
        <v>-1714</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9"/>
        <v>0</v>
      </c>
      <c r="H223" s="12">
        <f t="shared" ref="H223:Q223" si="123">IF($E72&gt;H$66,0,IF($E72&lt;H$66-365,$D72,0))</f>
        <v>0</v>
      </c>
      <c r="I223" s="12">
        <f t="shared" si="123"/>
        <v>0</v>
      </c>
      <c r="J223" s="12">
        <f t="shared" si="123"/>
        <v>0</v>
      </c>
      <c r="K223" s="12">
        <f t="shared" si="123"/>
        <v>0</v>
      </c>
      <c r="L223" s="12">
        <f t="shared" si="123"/>
        <v>0</v>
      </c>
      <c r="M223" s="12">
        <f t="shared" si="123"/>
        <v>0</v>
      </c>
      <c r="N223" s="12">
        <f t="shared" si="123"/>
        <v>0</v>
      </c>
      <c r="O223" s="12">
        <f t="shared" si="123"/>
        <v>0</v>
      </c>
      <c r="P223" s="12">
        <f t="shared" si="123"/>
        <v>0</v>
      </c>
      <c r="Q223" s="12">
        <f t="shared" si="123"/>
        <v>0</v>
      </c>
      <c r="T223" s="20"/>
      <c r="U223" s="20"/>
      <c r="V223" s="20"/>
    </row>
    <row r="224" spans="6:51">
      <c r="G224" s="12">
        <f t="shared" si="119"/>
        <v>0</v>
      </c>
      <c r="H224" s="12">
        <f t="shared" ref="H224:Q224" si="124">IF($E73&gt;H$66,0,IF($E73&lt;H$66-365,$D73,0))</f>
        <v>0</v>
      </c>
      <c r="I224" s="12">
        <f t="shared" si="124"/>
        <v>0</v>
      </c>
      <c r="J224" s="12">
        <f t="shared" si="124"/>
        <v>0</v>
      </c>
      <c r="K224" s="12">
        <f t="shared" si="124"/>
        <v>0</v>
      </c>
      <c r="L224" s="12">
        <f t="shared" si="124"/>
        <v>0</v>
      </c>
      <c r="M224" s="12">
        <f t="shared" si="124"/>
        <v>0</v>
      </c>
      <c r="N224" s="12">
        <f t="shared" si="124"/>
        <v>0</v>
      </c>
      <c r="O224" s="12">
        <f t="shared" si="124"/>
        <v>0</v>
      </c>
      <c r="P224" s="12">
        <f t="shared" si="124"/>
        <v>0</v>
      </c>
      <c r="Q224" s="12">
        <f t="shared" si="124"/>
        <v>0</v>
      </c>
      <c r="T224" s="20"/>
      <c r="U224" s="20"/>
      <c r="V224" s="20"/>
    </row>
    <row r="225" spans="7:28">
      <c r="G225" s="12">
        <f t="shared" si="119"/>
        <v>0</v>
      </c>
      <c r="H225" s="12">
        <f t="shared" ref="H225:Q225" si="125">IF($E74&gt;H$66,0,IF($E74&lt;H$66-365,$D74,0))</f>
        <v>0</v>
      </c>
      <c r="I225" s="12">
        <f t="shared" si="125"/>
        <v>0</v>
      </c>
      <c r="J225" s="12">
        <f t="shared" si="125"/>
        <v>0</v>
      </c>
      <c r="K225" s="12">
        <f t="shared" si="125"/>
        <v>0</v>
      </c>
      <c r="L225" s="12">
        <f t="shared" si="125"/>
        <v>0</v>
      </c>
      <c r="M225" s="12">
        <f t="shared" si="125"/>
        <v>0</v>
      </c>
      <c r="N225" s="12">
        <f t="shared" si="125"/>
        <v>0</v>
      </c>
      <c r="O225" s="12">
        <f t="shared" si="125"/>
        <v>0</v>
      </c>
      <c r="P225" s="12">
        <f t="shared" si="125"/>
        <v>0</v>
      </c>
      <c r="Q225" s="12">
        <f t="shared" si="125"/>
        <v>0</v>
      </c>
      <c r="T225" s="20"/>
      <c r="U225" s="20"/>
      <c r="V225" s="20"/>
      <c r="AA225" s="55">
        <f>SUM(AN167:AN213)</f>
        <v>4950000</v>
      </c>
      <c r="AB225" s="24">
        <f>SUM(AO167:AO213)</f>
        <v>0</v>
      </c>
    </row>
    <row r="226" spans="7:28">
      <c r="G226" s="12">
        <f t="shared" si="119"/>
        <v>0</v>
      </c>
      <c r="H226" s="12">
        <f t="shared" ref="H226:Q226" si="126">IF($E75&gt;H$66,0,IF($E75&lt;H$66-365,$D75,0))</f>
        <v>0</v>
      </c>
      <c r="I226" s="12">
        <f t="shared" si="126"/>
        <v>0</v>
      </c>
      <c r="J226" s="12">
        <f t="shared" si="126"/>
        <v>0</v>
      </c>
      <c r="K226" s="12">
        <f t="shared" si="126"/>
        <v>0</v>
      </c>
      <c r="L226" s="12">
        <f t="shared" si="126"/>
        <v>0</v>
      </c>
      <c r="M226" s="12">
        <f t="shared" si="126"/>
        <v>0</v>
      </c>
      <c r="N226" s="12">
        <f t="shared" si="126"/>
        <v>0</v>
      </c>
      <c r="O226" s="12">
        <f t="shared" si="126"/>
        <v>0</v>
      </c>
      <c r="P226" s="12">
        <f t="shared" si="126"/>
        <v>0</v>
      </c>
      <c r="Q226" s="12">
        <f t="shared" si="126"/>
        <v>0</v>
      </c>
      <c r="T226" s="20"/>
      <c r="U226" s="20"/>
      <c r="V226" s="20"/>
      <c r="AA226" s="24">
        <f>AA225*1.35</f>
        <v>6682500</v>
      </c>
      <c r="AB226" s="24">
        <f>AB225*1.35</f>
        <v>0</v>
      </c>
    </row>
    <row r="227" spans="7:28">
      <c r="G227" s="12">
        <f t="shared" si="119"/>
        <v>0</v>
      </c>
      <c r="H227" s="12">
        <f t="shared" ref="H227:Q227" si="127">IF($E76&gt;H$66,0,IF($E76&lt;H$66-365,$D76,0))</f>
        <v>0</v>
      </c>
      <c r="I227" s="12">
        <f t="shared" si="127"/>
        <v>0</v>
      </c>
      <c r="J227" s="12">
        <f t="shared" si="127"/>
        <v>0</v>
      </c>
      <c r="K227" s="12">
        <f t="shared" si="127"/>
        <v>0</v>
      </c>
      <c r="L227" s="12">
        <f t="shared" si="127"/>
        <v>0</v>
      </c>
      <c r="M227" s="12">
        <f t="shared" si="127"/>
        <v>0</v>
      </c>
      <c r="N227" s="12">
        <f t="shared" si="127"/>
        <v>0</v>
      </c>
      <c r="O227" s="12">
        <f t="shared" si="127"/>
        <v>0</v>
      </c>
      <c r="P227" s="12">
        <f t="shared" si="127"/>
        <v>0</v>
      </c>
      <c r="Q227" s="12">
        <f t="shared" si="127"/>
        <v>0</v>
      </c>
    </row>
    <row r="228" spans="7:28">
      <c r="G228" s="12">
        <f t="shared" si="119"/>
        <v>0</v>
      </c>
      <c r="H228" s="12">
        <f t="shared" ref="H228:Q228" si="128">IF($E77&gt;H$66,0,IF($E77&lt;H$66-365,$D77,0))</f>
        <v>0</v>
      </c>
      <c r="I228" s="12">
        <f t="shared" si="128"/>
        <v>0</v>
      </c>
      <c r="J228" s="12">
        <f t="shared" si="128"/>
        <v>0</v>
      </c>
      <c r="K228" s="12">
        <f t="shared" si="128"/>
        <v>0</v>
      </c>
      <c r="L228" s="12">
        <f t="shared" si="128"/>
        <v>0</v>
      </c>
      <c r="M228" s="12">
        <f t="shared" si="128"/>
        <v>0</v>
      </c>
      <c r="N228" s="12">
        <f t="shared" si="128"/>
        <v>0</v>
      </c>
      <c r="O228" s="12">
        <f t="shared" si="128"/>
        <v>0</v>
      </c>
      <c r="P228" s="12">
        <f t="shared" si="128"/>
        <v>0</v>
      </c>
      <c r="Q228" s="12">
        <f t="shared" si="128"/>
        <v>0</v>
      </c>
    </row>
    <row r="229" spans="7:28">
      <c r="G229" s="12">
        <f t="shared" si="119"/>
        <v>0</v>
      </c>
      <c r="H229" s="12">
        <f t="shared" ref="H229:Q229" si="129">IF($E78&gt;H$66,0,IF($E78&lt;H$66-365,$D78,0))</f>
        <v>0</v>
      </c>
      <c r="I229" s="12">
        <f t="shared" si="129"/>
        <v>0</v>
      </c>
      <c r="J229" s="12">
        <f t="shared" si="129"/>
        <v>0</v>
      </c>
      <c r="K229" s="12">
        <f t="shared" si="129"/>
        <v>0</v>
      </c>
      <c r="L229" s="12">
        <f t="shared" si="129"/>
        <v>0</v>
      </c>
      <c r="M229" s="12">
        <f t="shared" si="129"/>
        <v>0</v>
      </c>
      <c r="N229" s="12">
        <f t="shared" si="129"/>
        <v>0</v>
      </c>
      <c r="O229" s="12">
        <f t="shared" si="129"/>
        <v>0</v>
      </c>
      <c r="P229" s="12">
        <f t="shared" si="129"/>
        <v>0</v>
      </c>
      <c r="Q229" s="12">
        <f t="shared" si="129"/>
        <v>0</v>
      </c>
    </row>
    <row r="230" spans="7:28">
      <c r="G230" s="12">
        <f t="shared" si="119"/>
        <v>0</v>
      </c>
      <c r="H230" s="12">
        <f t="shared" ref="H230:Q230" si="130">IF($E79&gt;H$66,0,IF($E79&lt;H$66-365,$D79,0))</f>
        <v>0</v>
      </c>
      <c r="I230" s="12">
        <f t="shared" si="130"/>
        <v>0</v>
      </c>
      <c r="J230" s="12">
        <f t="shared" si="130"/>
        <v>0</v>
      </c>
      <c r="K230" s="12">
        <f t="shared" si="130"/>
        <v>0</v>
      </c>
      <c r="L230" s="12">
        <f t="shared" si="130"/>
        <v>0</v>
      </c>
      <c r="M230" s="12">
        <f t="shared" si="130"/>
        <v>0</v>
      </c>
      <c r="N230" s="12">
        <f t="shared" si="130"/>
        <v>0</v>
      </c>
      <c r="O230" s="12">
        <f t="shared" si="130"/>
        <v>0</v>
      </c>
      <c r="P230" s="12">
        <f t="shared" si="130"/>
        <v>0</v>
      </c>
      <c r="Q230" s="12">
        <f t="shared" si="130"/>
        <v>0</v>
      </c>
    </row>
    <row r="231" spans="7:28">
      <c r="G231" s="12">
        <f t="shared" si="119"/>
        <v>0</v>
      </c>
      <c r="H231" s="12">
        <f t="shared" ref="H231:Q231" si="131">IF($E80&gt;H$66,0,IF($E80&lt;H$66-365,$D80,0))</f>
        <v>0</v>
      </c>
      <c r="I231" s="12">
        <f t="shared" si="131"/>
        <v>0</v>
      </c>
      <c r="J231" s="12">
        <f t="shared" si="131"/>
        <v>0</v>
      </c>
      <c r="K231" s="12">
        <f t="shared" si="131"/>
        <v>0</v>
      </c>
      <c r="L231" s="12">
        <f t="shared" si="131"/>
        <v>0</v>
      </c>
      <c r="M231" s="12">
        <f t="shared" si="131"/>
        <v>0</v>
      </c>
      <c r="N231" s="12">
        <f t="shared" si="131"/>
        <v>0</v>
      </c>
      <c r="O231" s="12">
        <f t="shared" si="131"/>
        <v>0</v>
      </c>
      <c r="P231" s="12">
        <f t="shared" si="131"/>
        <v>0</v>
      </c>
      <c r="Q231" s="12">
        <f t="shared" si="131"/>
        <v>0</v>
      </c>
    </row>
    <row r="232" spans="7:28">
      <c r="G232" s="12">
        <f t="shared" si="119"/>
        <v>0</v>
      </c>
      <c r="H232" s="12">
        <f t="shared" ref="H232:Q232" si="132">IF($E81&gt;H$66,0,IF($E81&lt;H$66-365,$D81,0))</f>
        <v>0</v>
      </c>
      <c r="I232" s="12">
        <f t="shared" si="132"/>
        <v>0</v>
      </c>
      <c r="J232" s="12">
        <f t="shared" si="132"/>
        <v>0</v>
      </c>
      <c r="K232" s="12">
        <f t="shared" si="132"/>
        <v>0</v>
      </c>
      <c r="L232" s="12">
        <f t="shared" si="132"/>
        <v>0</v>
      </c>
      <c r="M232" s="12">
        <f t="shared" si="132"/>
        <v>0</v>
      </c>
      <c r="N232" s="12">
        <f t="shared" si="132"/>
        <v>0</v>
      </c>
      <c r="O232" s="12">
        <f t="shared" si="132"/>
        <v>0</v>
      </c>
      <c r="P232" s="12">
        <f t="shared" si="132"/>
        <v>0</v>
      </c>
      <c r="Q232" s="12">
        <f t="shared" si="132"/>
        <v>0</v>
      </c>
    </row>
    <row r="233" spans="7:28">
      <c r="G233" s="12">
        <f t="shared" si="119"/>
        <v>0</v>
      </c>
      <c r="H233" s="12">
        <f t="shared" ref="H233:Q233" si="133">IF($E82&gt;H$66,0,IF($E82&lt;H$66-365,$D82,0))</f>
        <v>0</v>
      </c>
      <c r="I233" s="12">
        <f t="shared" si="133"/>
        <v>0</v>
      </c>
      <c r="J233" s="12">
        <f t="shared" si="133"/>
        <v>0</v>
      </c>
      <c r="K233" s="12">
        <f t="shared" si="133"/>
        <v>0</v>
      </c>
      <c r="L233" s="12">
        <f t="shared" si="133"/>
        <v>0</v>
      </c>
      <c r="M233" s="12">
        <f t="shared" si="133"/>
        <v>0</v>
      </c>
      <c r="N233" s="12">
        <f t="shared" si="133"/>
        <v>0</v>
      </c>
      <c r="O233" s="12">
        <f t="shared" si="133"/>
        <v>0</v>
      </c>
      <c r="P233" s="12">
        <f t="shared" si="133"/>
        <v>0</v>
      </c>
      <c r="Q233" s="12">
        <f t="shared" si="133"/>
        <v>0</v>
      </c>
    </row>
    <row r="234" spans="7:28">
      <c r="G234" s="12">
        <f t="shared" si="119"/>
        <v>0</v>
      </c>
      <c r="H234" s="12">
        <f t="shared" ref="H234:Q234" si="134">IF($E83&gt;H$66,0,IF($E83&lt;H$66-365,$D83,0))</f>
        <v>0</v>
      </c>
      <c r="I234" s="12">
        <f t="shared" si="134"/>
        <v>0</v>
      </c>
      <c r="J234" s="12">
        <f t="shared" si="134"/>
        <v>0</v>
      </c>
      <c r="K234" s="12">
        <f t="shared" si="134"/>
        <v>0</v>
      </c>
      <c r="L234" s="12">
        <f t="shared" si="134"/>
        <v>0</v>
      </c>
      <c r="M234" s="12">
        <f t="shared" si="134"/>
        <v>0</v>
      </c>
      <c r="N234" s="12">
        <f t="shared" si="134"/>
        <v>0</v>
      </c>
      <c r="O234" s="12">
        <f t="shared" si="134"/>
        <v>0</v>
      </c>
      <c r="P234" s="12">
        <f t="shared" si="134"/>
        <v>0</v>
      </c>
      <c r="Q234" s="12">
        <f t="shared" si="134"/>
        <v>0</v>
      </c>
    </row>
    <row r="235" spans="7:28">
      <c r="G235" s="12">
        <f t="shared" si="119"/>
        <v>0</v>
      </c>
      <c r="H235" s="12">
        <f t="shared" ref="H235:Q235" si="135">IF($E84&gt;H$66,0,IF($E84&lt;H$66-365,$D84,0))</f>
        <v>0</v>
      </c>
      <c r="I235" s="12">
        <f t="shared" si="135"/>
        <v>0</v>
      </c>
      <c r="J235" s="12">
        <f t="shared" si="135"/>
        <v>0</v>
      </c>
      <c r="K235" s="12">
        <f t="shared" si="135"/>
        <v>0</v>
      </c>
      <c r="L235" s="12">
        <f t="shared" si="135"/>
        <v>0</v>
      </c>
      <c r="M235" s="12">
        <f t="shared" si="135"/>
        <v>0</v>
      </c>
      <c r="N235" s="12">
        <f t="shared" si="135"/>
        <v>0</v>
      </c>
      <c r="O235" s="12">
        <f t="shared" si="135"/>
        <v>0</v>
      </c>
      <c r="P235" s="12">
        <f t="shared" si="135"/>
        <v>0</v>
      </c>
      <c r="Q235" s="12">
        <f t="shared" si="135"/>
        <v>0</v>
      </c>
    </row>
    <row r="236" spans="7:28">
      <c r="G236" s="12">
        <f t="shared" si="119"/>
        <v>0</v>
      </c>
      <c r="H236" s="12">
        <f t="shared" ref="H236:Q236" si="136">IF($E85&gt;H$66,0,IF($E85&lt;H$66-365,$D85,0))</f>
        <v>0</v>
      </c>
      <c r="I236" s="12">
        <f t="shared" si="136"/>
        <v>0</v>
      </c>
      <c r="J236" s="12">
        <f t="shared" si="136"/>
        <v>0</v>
      </c>
      <c r="K236" s="12">
        <f t="shared" si="136"/>
        <v>0</v>
      </c>
      <c r="L236" s="12">
        <f t="shared" si="136"/>
        <v>0</v>
      </c>
      <c r="M236" s="12">
        <f t="shared" si="136"/>
        <v>0</v>
      </c>
      <c r="N236" s="12">
        <f t="shared" si="136"/>
        <v>0</v>
      </c>
      <c r="O236" s="12">
        <f t="shared" si="136"/>
        <v>0</v>
      </c>
      <c r="P236" s="12">
        <f t="shared" si="136"/>
        <v>0</v>
      </c>
      <c r="Q236" s="12">
        <f t="shared" si="136"/>
        <v>0</v>
      </c>
    </row>
    <row r="237" spans="7:28">
      <c r="G237" s="12">
        <f t="shared" si="119"/>
        <v>0</v>
      </c>
      <c r="H237" s="12">
        <f t="shared" ref="H237:Q237" si="137">IF($E86&gt;H$66,0,IF($E86&lt;H$66-365,$D86,0))</f>
        <v>0</v>
      </c>
      <c r="I237" s="12">
        <f t="shared" si="137"/>
        <v>0</v>
      </c>
      <c r="J237" s="12">
        <f t="shared" si="137"/>
        <v>0</v>
      </c>
      <c r="K237" s="12">
        <f t="shared" si="137"/>
        <v>0</v>
      </c>
      <c r="L237" s="12">
        <f t="shared" si="137"/>
        <v>0</v>
      </c>
      <c r="M237" s="12">
        <f t="shared" si="137"/>
        <v>0</v>
      </c>
      <c r="N237" s="12">
        <f t="shared" si="137"/>
        <v>0</v>
      </c>
      <c r="O237" s="12">
        <f t="shared" si="137"/>
        <v>0</v>
      </c>
      <c r="P237" s="12">
        <f t="shared" si="137"/>
        <v>0</v>
      </c>
      <c r="Q237" s="12">
        <f t="shared" si="137"/>
        <v>0</v>
      </c>
    </row>
    <row r="238" spans="7:28">
      <c r="G238" s="12">
        <f t="shared" si="119"/>
        <v>0</v>
      </c>
      <c r="H238" s="12">
        <f t="shared" ref="H238:Q238" si="138">IF($E87&gt;H$66,0,IF($E87&lt;H$66-365,$D87,0))</f>
        <v>0</v>
      </c>
      <c r="I238" s="12">
        <f t="shared" si="138"/>
        <v>0</v>
      </c>
      <c r="J238" s="12">
        <f t="shared" si="138"/>
        <v>0</v>
      </c>
      <c r="K238" s="12">
        <f t="shared" si="138"/>
        <v>0</v>
      </c>
      <c r="L238" s="12">
        <f t="shared" si="138"/>
        <v>0</v>
      </c>
      <c r="M238" s="12">
        <f t="shared" si="138"/>
        <v>0</v>
      </c>
      <c r="N238" s="12">
        <f t="shared" si="138"/>
        <v>0</v>
      </c>
      <c r="O238" s="12">
        <f t="shared" si="138"/>
        <v>0</v>
      </c>
      <c r="P238" s="12">
        <f t="shared" si="138"/>
        <v>0</v>
      </c>
      <c r="Q238" s="12">
        <f t="shared" si="138"/>
        <v>0</v>
      </c>
    </row>
    <row r="239" spans="7:28">
      <c r="G239" s="12">
        <f t="shared" si="119"/>
        <v>0</v>
      </c>
      <c r="H239" s="12">
        <f t="shared" ref="H239:Q239" si="139">IF($E88&gt;H$66,0,IF($E88&lt;H$66-365,$D88,0))</f>
        <v>0</v>
      </c>
      <c r="I239" s="12">
        <f t="shared" si="139"/>
        <v>0</v>
      </c>
      <c r="J239" s="12">
        <f t="shared" si="139"/>
        <v>0</v>
      </c>
      <c r="K239" s="12">
        <f t="shared" si="139"/>
        <v>0</v>
      </c>
      <c r="L239" s="12">
        <f t="shared" si="139"/>
        <v>0</v>
      </c>
      <c r="M239" s="12">
        <f t="shared" si="139"/>
        <v>0</v>
      </c>
      <c r="N239" s="12">
        <f t="shared" si="139"/>
        <v>0</v>
      </c>
      <c r="O239" s="12">
        <f t="shared" si="139"/>
        <v>0</v>
      </c>
      <c r="P239" s="12">
        <f t="shared" si="139"/>
        <v>0</v>
      </c>
      <c r="Q239" s="12">
        <f t="shared" si="139"/>
        <v>0</v>
      </c>
    </row>
    <row r="240" spans="7:28">
      <c r="G240" s="12">
        <f t="shared" si="119"/>
        <v>0</v>
      </c>
      <c r="H240" s="12">
        <f t="shared" ref="H240:Q240" si="140">IF($E89&gt;H$66,0,IF($E89&lt;H$66-365,$D89,0))</f>
        <v>0</v>
      </c>
      <c r="I240" s="12">
        <f t="shared" si="140"/>
        <v>0</v>
      </c>
      <c r="J240" s="12">
        <f t="shared" si="140"/>
        <v>0</v>
      </c>
      <c r="K240" s="12">
        <f t="shared" si="140"/>
        <v>0</v>
      </c>
      <c r="L240" s="12">
        <f t="shared" si="140"/>
        <v>0</v>
      </c>
      <c r="M240" s="12">
        <f t="shared" si="140"/>
        <v>0</v>
      </c>
      <c r="N240" s="12">
        <f t="shared" si="140"/>
        <v>0</v>
      </c>
      <c r="O240" s="12">
        <f t="shared" si="140"/>
        <v>0</v>
      </c>
      <c r="P240" s="12">
        <f t="shared" si="140"/>
        <v>0</v>
      </c>
      <c r="Q240" s="12">
        <f t="shared" si="140"/>
        <v>0</v>
      </c>
    </row>
    <row r="241" spans="7:17">
      <c r="G241" s="12">
        <f t="shared" si="119"/>
        <v>0</v>
      </c>
      <c r="H241" s="12">
        <f t="shared" ref="H241:Q241" si="141">IF($E90&gt;H$66,0,IF($E90&lt;H$66-365,$D90,0))</f>
        <v>0</v>
      </c>
      <c r="I241" s="12">
        <f t="shared" si="141"/>
        <v>0</v>
      </c>
      <c r="J241" s="12">
        <f t="shared" si="141"/>
        <v>0</v>
      </c>
      <c r="K241" s="12">
        <f t="shared" si="141"/>
        <v>0</v>
      </c>
      <c r="L241" s="12">
        <f t="shared" si="141"/>
        <v>0</v>
      </c>
      <c r="M241" s="12">
        <f t="shared" si="141"/>
        <v>0</v>
      </c>
      <c r="N241" s="12">
        <f t="shared" si="141"/>
        <v>0</v>
      </c>
      <c r="O241" s="12">
        <f t="shared" si="141"/>
        <v>0</v>
      </c>
      <c r="P241" s="12">
        <f t="shared" si="141"/>
        <v>0</v>
      </c>
      <c r="Q241" s="12">
        <f t="shared" si="141"/>
        <v>0</v>
      </c>
    </row>
    <row r="242" spans="7:17">
      <c r="G242" s="12">
        <f t="shared" si="119"/>
        <v>0</v>
      </c>
      <c r="H242" s="12">
        <f t="shared" ref="H242:Q242" si="142">IF($E91&gt;H$66,0,IF($E91&lt;H$66-365,$D91,0))</f>
        <v>0</v>
      </c>
      <c r="I242" s="12">
        <f t="shared" si="142"/>
        <v>0</v>
      </c>
      <c r="J242" s="12">
        <f t="shared" si="142"/>
        <v>0</v>
      </c>
      <c r="K242" s="12">
        <f t="shared" si="142"/>
        <v>0</v>
      </c>
      <c r="L242" s="12">
        <f t="shared" si="142"/>
        <v>0</v>
      </c>
      <c r="M242" s="12">
        <f t="shared" si="142"/>
        <v>0</v>
      </c>
      <c r="N242" s="12">
        <f t="shared" si="142"/>
        <v>0</v>
      </c>
      <c r="O242" s="12">
        <f t="shared" si="142"/>
        <v>0</v>
      </c>
      <c r="P242" s="12">
        <f t="shared" si="142"/>
        <v>0</v>
      </c>
      <c r="Q242" s="12">
        <f t="shared" si="142"/>
        <v>0</v>
      </c>
    </row>
    <row r="243" spans="7:17">
      <c r="G243" s="12">
        <f t="shared" si="119"/>
        <v>0</v>
      </c>
      <c r="H243" s="12">
        <f t="shared" ref="H243:Q243" si="143">IF($E92&gt;H$66,0,IF($E92&lt;H$66-365,$D92,0))</f>
        <v>0</v>
      </c>
      <c r="I243" s="12">
        <f t="shared" si="143"/>
        <v>0</v>
      </c>
      <c r="J243" s="12">
        <f t="shared" si="143"/>
        <v>0</v>
      </c>
      <c r="K243" s="12">
        <f t="shared" si="143"/>
        <v>0</v>
      </c>
      <c r="L243" s="12">
        <f t="shared" si="143"/>
        <v>0</v>
      </c>
      <c r="M243" s="12">
        <f t="shared" si="143"/>
        <v>0</v>
      </c>
      <c r="N243" s="12">
        <f t="shared" si="143"/>
        <v>0</v>
      </c>
      <c r="O243" s="12">
        <f t="shared" si="143"/>
        <v>0</v>
      </c>
      <c r="P243" s="12">
        <f t="shared" si="143"/>
        <v>0</v>
      </c>
      <c r="Q243" s="12">
        <f t="shared" si="143"/>
        <v>0</v>
      </c>
    </row>
    <row r="244" spans="7:17">
      <c r="G244" s="12">
        <f t="shared" si="119"/>
        <v>0</v>
      </c>
      <c r="H244" s="12">
        <f t="shared" ref="H244:Q244" si="144">IF($E93&gt;H$66,0,IF($E93&lt;H$66-365,$D93,0))</f>
        <v>0</v>
      </c>
      <c r="I244" s="12">
        <f t="shared" si="144"/>
        <v>0</v>
      </c>
      <c r="J244" s="12">
        <f t="shared" si="144"/>
        <v>0</v>
      </c>
      <c r="K244" s="12">
        <f t="shared" si="144"/>
        <v>0</v>
      </c>
      <c r="L244" s="12">
        <f t="shared" si="144"/>
        <v>0</v>
      </c>
      <c r="M244" s="12">
        <f t="shared" si="144"/>
        <v>0</v>
      </c>
      <c r="N244" s="12">
        <f t="shared" si="144"/>
        <v>0</v>
      </c>
      <c r="O244" s="12">
        <f t="shared" si="144"/>
        <v>0</v>
      </c>
      <c r="P244" s="12">
        <f t="shared" si="144"/>
        <v>0</v>
      </c>
      <c r="Q244" s="12">
        <f t="shared" si="144"/>
        <v>0</v>
      </c>
    </row>
    <row r="245" spans="7:17">
      <c r="G245" s="12">
        <f t="shared" si="119"/>
        <v>0</v>
      </c>
      <c r="H245" s="12">
        <f t="shared" ref="H245:Q245" si="145">IF($E94&gt;H$66,0,IF($E94&lt;H$66-365,$D94,0))</f>
        <v>0</v>
      </c>
      <c r="I245" s="12">
        <f t="shared" si="145"/>
        <v>0</v>
      </c>
      <c r="J245" s="12">
        <f t="shared" si="145"/>
        <v>0</v>
      </c>
      <c r="K245" s="12">
        <f t="shared" si="145"/>
        <v>0</v>
      </c>
      <c r="L245" s="12">
        <f t="shared" si="145"/>
        <v>0</v>
      </c>
      <c r="M245" s="12">
        <f t="shared" si="145"/>
        <v>0</v>
      </c>
      <c r="N245" s="12">
        <f t="shared" si="145"/>
        <v>0</v>
      </c>
      <c r="O245" s="12">
        <f t="shared" si="145"/>
        <v>0</v>
      </c>
      <c r="P245" s="12">
        <f t="shared" si="145"/>
        <v>0</v>
      </c>
      <c r="Q245" s="12">
        <f t="shared" si="145"/>
        <v>0</v>
      </c>
    </row>
    <row r="246" spans="7:17">
      <c r="G246" s="12">
        <f t="shared" si="119"/>
        <v>0</v>
      </c>
      <c r="H246" s="12">
        <f t="shared" ref="H246:Q246" si="146">IF($E95&gt;H$66,0,IF($E95&lt;H$66-365,$D95,0))</f>
        <v>0</v>
      </c>
      <c r="I246" s="12">
        <f t="shared" si="146"/>
        <v>0</v>
      </c>
      <c r="J246" s="12">
        <f t="shared" si="146"/>
        <v>0</v>
      </c>
      <c r="K246" s="12">
        <f t="shared" si="146"/>
        <v>0</v>
      </c>
      <c r="L246" s="12">
        <f t="shared" si="146"/>
        <v>0</v>
      </c>
      <c r="M246" s="12">
        <f t="shared" si="146"/>
        <v>0</v>
      </c>
      <c r="N246" s="12">
        <f t="shared" si="146"/>
        <v>0</v>
      </c>
      <c r="O246" s="12">
        <f t="shared" si="146"/>
        <v>0</v>
      </c>
      <c r="P246" s="12">
        <f t="shared" si="146"/>
        <v>0</v>
      </c>
      <c r="Q246" s="12">
        <f t="shared" si="146"/>
        <v>0</v>
      </c>
    </row>
    <row r="247" spans="7:17">
      <c r="G247" s="12">
        <f t="shared" si="119"/>
        <v>0</v>
      </c>
      <c r="H247" s="12">
        <f t="shared" ref="H247:Q247" si="147">IF($E96&gt;H$66,0,IF($E96&lt;H$66-365,$D96,0))</f>
        <v>0</v>
      </c>
      <c r="I247" s="12">
        <f t="shared" si="147"/>
        <v>0</v>
      </c>
      <c r="J247" s="12">
        <f t="shared" si="147"/>
        <v>0</v>
      </c>
      <c r="K247" s="12">
        <f t="shared" si="147"/>
        <v>0</v>
      </c>
      <c r="L247" s="12">
        <f t="shared" si="147"/>
        <v>0</v>
      </c>
      <c r="M247" s="12">
        <f t="shared" si="147"/>
        <v>0</v>
      </c>
      <c r="N247" s="12">
        <f t="shared" si="147"/>
        <v>0</v>
      </c>
      <c r="O247" s="12">
        <f t="shared" si="147"/>
        <v>0</v>
      </c>
      <c r="P247" s="12">
        <f t="shared" si="147"/>
        <v>0</v>
      </c>
      <c r="Q247" s="12">
        <f t="shared" si="147"/>
        <v>0</v>
      </c>
    </row>
    <row r="248" spans="7:17">
      <c r="G248" s="12">
        <f t="shared" si="119"/>
        <v>0</v>
      </c>
      <c r="H248" s="12">
        <f t="shared" ref="H248:Q248" si="148">IF($E97&gt;H$66,0,IF($E97&lt;H$66-365,$D97,0))</f>
        <v>0</v>
      </c>
      <c r="I248" s="12">
        <f t="shared" si="148"/>
        <v>0</v>
      </c>
      <c r="J248" s="12">
        <f t="shared" si="148"/>
        <v>0</v>
      </c>
      <c r="K248" s="12">
        <f t="shared" si="148"/>
        <v>0</v>
      </c>
      <c r="L248" s="12">
        <f t="shared" si="148"/>
        <v>0</v>
      </c>
      <c r="M248" s="12">
        <f t="shared" si="148"/>
        <v>0</v>
      </c>
      <c r="N248" s="12">
        <f t="shared" si="148"/>
        <v>0</v>
      </c>
      <c r="O248" s="12">
        <f t="shared" si="148"/>
        <v>0</v>
      </c>
      <c r="P248" s="12">
        <f t="shared" si="148"/>
        <v>0</v>
      </c>
      <c r="Q248" s="12">
        <f t="shared" si="148"/>
        <v>0</v>
      </c>
    </row>
    <row r="249" spans="7:17">
      <c r="G249" s="12">
        <f t="shared" si="119"/>
        <v>0</v>
      </c>
      <c r="H249" s="12">
        <f t="shared" ref="H249:Q249" si="149">IF($E98&gt;H$66,0,IF($E98&lt;H$66-365,$D98,0))</f>
        <v>0</v>
      </c>
      <c r="I249" s="12">
        <f t="shared" si="149"/>
        <v>0</v>
      </c>
      <c r="J249" s="12">
        <f t="shared" si="149"/>
        <v>0</v>
      </c>
      <c r="K249" s="12">
        <f t="shared" si="149"/>
        <v>0</v>
      </c>
      <c r="L249" s="12">
        <f t="shared" si="149"/>
        <v>0</v>
      </c>
      <c r="M249" s="12">
        <f t="shared" si="149"/>
        <v>0</v>
      </c>
      <c r="N249" s="12">
        <f t="shared" si="149"/>
        <v>0</v>
      </c>
      <c r="O249" s="12">
        <f t="shared" si="149"/>
        <v>0</v>
      </c>
      <c r="P249" s="12">
        <f t="shared" si="149"/>
        <v>0</v>
      </c>
      <c r="Q249" s="12">
        <f t="shared" si="149"/>
        <v>0</v>
      </c>
    </row>
    <row r="250" spans="7:17">
      <c r="G250" s="12">
        <f t="shared" si="119"/>
        <v>0</v>
      </c>
      <c r="H250" s="12">
        <f t="shared" ref="H250:Q250" si="150">IF($E99&gt;H$66,0,IF($E99&lt;H$66-365,$D99,0))</f>
        <v>0</v>
      </c>
      <c r="I250" s="12">
        <f t="shared" si="150"/>
        <v>0</v>
      </c>
      <c r="J250" s="12">
        <f t="shared" si="150"/>
        <v>0</v>
      </c>
      <c r="K250" s="12">
        <f t="shared" si="150"/>
        <v>0</v>
      </c>
      <c r="L250" s="12">
        <f t="shared" si="150"/>
        <v>0</v>
      </c>
      <c r="M250" s="12">
        <f t="shared" si="150"/>
        <v>0</v>
      </c>
      <c r="N250" s="12">
        <f t="shared" si="150"/>
        <v>0</v>
      </c>
      <c r="O250" s="12">
        <f t="shared" si="150"/>
        <v>0</v>
      </c>
      <c r="P250" s="12">
        <f t="shared" si="150"/>
        <v>0</v>
      </c>
      <c r="Q250" s="12">
        <f t="shared" si="150"/>
        <v>0</v>
      </c>
    </row>
    <row r="251" spans="7:17">
      <c r="G251" s="12">
        <f t="shared" si="119"/>
        <v>0</v>
      </c>
      <c r="H251" s="12">
        <f t="shared" ref="H251:Q251" si="151">IF($E100&gt;H$66,0,IF($E100&lt;H$66-365,$D100,0))</f>
        <v>0</v>
      </c>
      <c r="I251" s="12">
        <f t="shared" si="151"/>
        <v>0</v>
      </c>
      <c r="J251" s="12">
        <f t="shared" si="151"/>
        <v>0</v>
      </c>
      <c r="K251" s="12">
        <f t="shared" si="151"/>
        <v>0</v>
      </c>
      <c r="L251" s="12">
        <f t="shared" si="151"/>
        <v>0</v>
      </c>
      <c r="M251" s="12">
        <f t="shared" si="151"/>
        <v>0</v>
      </c>
      <c r="N251" s="12">
        <f t="shared" si="151"/>
        <v>0</v>
      </c>
      <c r="O251" s="12">
        <f t="shared" si="151"/>
        <v>0</v>
      </c>
      <c r="P251" s="12">
        <f t="shared" si="151"/>
        <v>0</v>
      </c>
      <c r="Q251" s="12">
        <f t="shared" si="151"/>
        <v>0</v>
      </c>
    </row>
    <row r="252" spans="7:17">
      <c r="G252" s="12">
        <f t="shared" si="119"/>
        <v>0</v>
      </c>
      <c r="H252" s="12">
        <f t="shared" ref="H252:Q252" si="152">IF($E101&gt;H$66,0,IF($E101&lt;H$66-365,$D101,0))</f>
        <v>0</v>
      </c>
      <c r="I252" s="12">
        <f t="shared" si="152"/>
        <v>0</v>
      </c>
      <c r="J252" s="12">
        <f t="shared" si="152"/>
        <v>0</v>
      </c>
      <c r="K252" s="12">
        <f t="shared" si="152"/>
        <v>0</v>
      </c>
      <c r="L252" s="12">
        <f t="shared" si="152"/>
        <v>0</v>
      </c>
      <c r="M252" s="12">
        <f t="shared" si="152"/>
        <v>0</v>
      </c>
      <c r="N252" s="12">
        <f t="shared" si="152"/>
        <v>0</v>
      </c>
      <c r="O252" s="12">
        <f t="shared" si="152"/>
        <v>0</v>
      </c>
      <c r="P252" s="12">
        <f t="shared" si="152"/>
        <v>0</v>
      </c>
      <c r="Q252" s="12">
        <f t="shared" si="152"/>
        <v>0</v>
      </c>
    </row>
    <row r="253" spans="7:17">
      <c r="G253" s="12">
        <f t="shared" si="119"/>
        <v>0</v>
      </c>
      <c r="H253" s="12">
        <f t="shared" ref="H253:Q253" si="153">IF($E102&gt;H$66,0,IF($E102&lt;H$66-365,$D102,0))</f>
        <v>0</v>
      </c>
      <c r="I253" s="12">
        <f t="shared" si="153"/>
        <v>0</v>
      </c>
      <c r="J253" s="12">
        <f t="shared" si="153"/>
        <v>0</v>
      </c>
      <c r="K253" s="12">
        <f t="shared" si="153"/>
        <v>0</v>
      </c>
      <c r="L253" s="12">
        <f t="shared" si="153"/>
        <v>0</v>
      </c>
      <c r="M253" s="12">
        <f t="shared" si="153"/>
        <v>0</v>
      </c>
      <c r="N253" s="12">
        <f t="shared" si="153"/>
        <v>0</v>
      </c>
      <c r="O253" s="12">
        <f t="shared" si="153"/>
        <v>0</v>
      </c>
      <c r="P253" s="12">
        <f t="shared" si="153"/>
        <v>0</v>
      </c>
      <c r="Q253" s="12">
        <f t="shared" si="153"/>
        <v>0</v>
      </c>
    </row>
    <row r="254" spans="7:17">
      <c r="G254" s="12">
        <f t="shared" si="119"/>
        <v>0</v>
      </c>
      <c r="H254" s="12">
        <f t="shared" ref="H254:Q254" si="154">IF($E103&gt;H$66,0,IF($E103&lt;H$66-365,$D103,0))</f>
        <v>0</v>
      </c>
      <c r="I254" s="12">
        <f t="shared" si="154"/>
        <v>0</v>
      </c>
      <c r="J254" s="12">
        <f t="shared" si="154"/>
        <v>0</v>
      </c>
      <c r="K254" s="12">
        <f t="shared" si="154"/>
        <v>0</v>
      </c>
      <c r="L254" s="12">
        <f t="shared" si="154"/>
        <v>0</v>
      </c>
      <c r="M254" s="12">
        <f t="shared" si="154"/>
        <v>0</v>
      </c>
      <c r="N254" s="12">
        <f t="shared" si="154"/>
        <v>0</v>
      </c>
      <c r="O254" s="12">
        <f t="shared" si="154"/>
        <v>0</v>
      </c>
      <c r="P254" s="12">
        <f t="shared" si="154"/>
        <v>0</v>
      </c>
      <c r="Q254" s="12">
        <f t="shared" si="154"/>
        <v>0</v>
      </c>
    </row>
    <row r="255" spans="7:17">
      <c r="G255" s="12">
        <f t="shared" si="119"/>
        <v>0</v>
      </c>
      <c r="H255" s="12">
        <f t="shared" ref="H255:Q255" si="155">IF($E104&gt;H$66,0,IF($E104&lt;H$66-365,$D104,0))</f>
        <v>0</v>
      </c>
      <c r="I255" s="12">
        <f t="shared" si="155"/>
        <v>0</v>
      </c>
      <c r="J255" s="12">
        <f t="shared" si="155"/>
        <v>0</v>
      </c>
      <c r="K255" s="12">
        <f t="shared" si="155"/>
        <v>0</v>
      </c>
      <c r="L255" s="12">
        <f t="shared" si="155"/>
        <v>0</v>
      </c>
      <c r="M255" s="12">
        <f t="shared" si="155"/>
        <v>0</v>
      </c>
      <c r="N255" s="12">
        <f t="shared" si="155"/>
        <v>0</v>
      </c>
      <c r="O255" s="12">
        <f t="shared" si="155"/>
        <v>0</v>
      </c>
      <c r="P255" s="12">
        <f t="shared" si="155"/>
        <v>0</v>
      </c>
      <c r="Q255" s="12">
        <f t="shared" si="155"/>
        <v>0</v>
      </c>
    </row>
    <row r="256" spans="7:17">
      <c r="G256" s="12">
        <f t="shared" si="119"/>
        <v>0</v>
      </c>
      <c r="H256" s="12">
        <f t="shared" ref="H256:Q256" si="156">IF($E105&gt;H$66,0,IF($E105&lt;H$66-365,$D105,0))</f>
        <v>0</v>
      </c>
      <c r="I256" s="12">
        <f t="shared" si="156"/>
        <v>0</v>
      </c>
      <c r="J256" s="12">
        <f t="shared" si="156"/>
        <v>0</v>
      </c>
      <c r="K256" s="12">
        <f t="shared" si="156"/>
        <v>0</v>
      </c>
      <c r="L256" s="12">
        <f t="shared" si="156"/>
        <v>0</v>
      </c>
      <c r="M256" s="12">
        <f t="shared" si="156"/>
        <v>0</v>
      </c>
      <c r="N256" s="12">
        <f t="shared" si="156"/>
        <v>0</v>
      </c>
      <c r="O256" s="12">
        <f t="shared" si="156"/>
        <v>0</v>
      </c>
      <c r="P256" s="12">
        <f t="shared" si="156"/>
        <v>0</v>
      </c>
      <c r="Q256" s="12">
        <f t="shared" si="156"/>
        <v>0</v>
      </c>
    </row>
    <row r="257" spans="5:18">
      <c r="G257" s="12">
        <f t="shared" si="119"/>
        <v>0</v>
      </c>
      <c r="H257" s="12">
        <f t="shared" ref="H257:Q257" si="157">IF($E106&gt;H$66,0,IF($E106&lt;H$66-365,$D106,0))</f>
        <v>0</v>
      </c>
      <c r="I257" s="12">
        <f t="shared" si="157"/>
        <v>0</v>
      </c>
      <c r="J257" s="12">
        <f t="shared" si="157"/>
        <v>0</v>
      </c>
      <c r="K257" s="12">
        <f t="shared" si="157"/>
        <v>0</v>
      </c>
      <c r="L257" s="12">
        <f t="shared" si="157"/>
        <v>0</v>
      </c>
      <c r="M257" s="12">
        <f t="shared" si="157"/>
        <v>0</v>
      </c>
      <c r="N257" s="12">
        <f t="shared" si="157"/>
        <v>0</v>
      </c>
      <c r="O257" s="12">
        <f t="shared" si="157"/>
        <v>0</v>
      </c>
      <c r="P257" s="12">
        <f t="shared" si="157"/>
        <v>0</v>
      </c>
      <c r="Q257" s="12">
        <f t="shared" si="157"/>
        <v>0</v>
      </c>
    </row>
    <row r="258" spans="5:18">
      <c r="G258" s="12">
        <f t="shared" si="119"/>
        <v>0</v>
      </c>
      <c r="H258" s="12">
        <f t="shared" ref="H258:Q258" si="158">IF($E107&gt;H$66,0,IF($E107&lt;H$66-365,$D107,0))</f>
        <v>0</v>
      </c>
      <c r="I258" s="12">
        <f t="shared" si="158"/>
        <v>0</v>
      </c>
      <c r="J258" s="12">
        <f t="shared" si="158"/>
        <v>0</v>
      </c>
      <c r="K258" s="12">
        <f t="shared" si="158"/>
        <v>0</v>
      </c>
      <c r="L258" s="12">
        <f t="shared" si="158"/>
        <v>0</v>
      </c>
      <c r="M258" s="12">
        <f t="shared" si="158"/>
        <v>0</v>
      </c>
      <c r="N258" s="12">
        <f t="shared" si="158"/>
        <v>0</v>
      </c>
      <c r="O258" s="12">
        <f t="shared" si="158"/>
        <v>0</v>
      </c>
      <c r="P258" s="12">
        <f t="shared" si="158"/>
        <v>0</v>
      </c>
      <c r="Q258" s="12">
        <f t="shared" si="158"/>
        <v>0</v>
      </c>
    </row>
    <row r="259" spans="5:18">
      <c r="G259" s="12">
        <f t="shared" si="119"/>
        <v>0</v>
      </c>
      <c r="H259" s="12">
        <f t="shared" ref="H259:Q259" si="159">IF($E108&gt;H$66,0,IF($E108&lt;H$66-365,$D108,0))</f>
        <v>0</v>
      </c>
      <c r="I259" s="12">
        <f t="shared" si="159"/>
        <v>0</v>
      </c>
      <c r="J259" s="12">
        <f t="shared" si="159"/>
        <v>0</v>
      </c>
      <c r="K259" s="12">
        <f t="shared" si="159"/>
        <v>0</v>
      </c>
      <c r="L259" s="12">
        <f t="shared" si="159"/>
        <v>0</v>
      </c>
      <c r="M259" s="12">
        <f t="shared" si="159"/>
        <v>0</v>
      </c>
      <c r="N259" s="12">
        <f t="shared" si="159"/>
        <v>0</v>
      </c>
      <c r="O259" s="12">
        <f t="shared" si="159"/>
        <v>0</v>
      </c>
      <c r="P259" s="12">
        <f t="shared" si="159"/>
        <v>0</v>
      </c>
      <c r="Q259" s="12">
        <f t="shared" si="159"/>
        <v>0</v>
      </c>
    </row>
    <row r="260" spans="5:18">
      <c r="G260" s="12">
        <f t="shared" si="119"/>
        <v>0</v>
      </c>
      <c r="H260" s="12">
        <f t="shared" ref="H260:Q260" si="160">IF($E109&gt;H$66,0,IF($E109&lt;H$66-365,$D109,0))</f>
        <v>0</v>
      </c>
      <c r="I260" s="12">
        <f t="shared" si="160"/>
        <v>0</v>
      </c>
      <c r="J260" s="12">
        <f t="shared" si="160"/>
        <v>0</v>
      </c>
      <c r="K260" s="12">
        <f t="shared" si="160"/>
        <v>0</v>
      </c>
      <c r="L260" s="12">
        <f t="shared" si="160"/>
        <v>0</v>
      </c>
      <c r="M260" s="12">
        <f t="shared" si="160"/>
        <v>0</v>
      </c>
      <c r="N260" s="12">
        <f t="shared" si="160"/>
        <v>0</v>
      </c>
      <c r="O260" s="12">
        <f t="shared" si="160"/>
        <v>0</v>
      </c>
      <c r="P260" s="12">
        <f t="shared" si="160"/>
        <v>0</v>
      </c>
      <c r="Q260" s="12">
        <f t="shared" si="160"/>
        <v>0</v>
      </c>
    </row>
    <row r="261" spans="5:18">
      <c r="G261" s="12">
        <f t="shared" si="119"/>
        <v>0</v>
      </c>
      <c r="H261" s="12">
        <f t="shared" ref="H261:Q261" si="161">IF($E110&gt;H$66,0,IF($E110&lt;H$66-365,$D110,0))</f>
        <v>0</v>
      </c>
      <c r="I261" s="12">
        <f t="shared" si="161"/>
        <v>0</v>
      </c>
      <c r="J261" s="12">
        <f t="shared" si="161"/>
        <v>0</v>
      </c>
      <c r="K261" s="12">
        <f t="shared" si="161"/>
        <v>0</v>
      </c>
      <c r="L261" s="12">
        <f t="shared" si="161"/>
        <v>0</v>
      </c>
      <c r="M261" s="12">
        <f t="shared" si="161"/>
        <v>0</v>
      </c>
      <c r="N261" s="12">
        <f t="shared" si="161"/>
        <v>0</v>
      </c>
      <c r="O261" s="12">
        <f t="shared" si="161"/>
        <v>0</v>
      </c>
      <c r="P261" s="12">
        <f t="shared" si="161"/>
        <v>0</v>
      </c>
      <c r="Q261" s="12">
        <f t="shared" si="161"/>
        <v>0</v>
      </c>
    </row>
    <row r="262" spans="5:18">
      <c r="G262" s="12">
        <f t="shared" si="119"/>
        <v>0</v>
      </c>
      <c r="H262" s="12">
        <f t="shared" ref="H262:Q262" si="162">IF($E111&gt;H$66,0,IF($E111&lt;H$66-365,$D111,0))</f>
        <v>0</v>
      </c>
      <c r="I262" s="12">
        <f t="shared" si="162"/>
        <v>0</v>
      </c>
      <c r="J262" s="12">
        <f t="shared" si="162"/>
        <v>0</v>
      </c>
      <c r="K262" s="12">
        <f t="shared" si="162"/>
        <v>0</v>
      </c>
      <c r="L262" s="12">
        <f t="shared" si="162"/>
        <v>0</v>
      </c>
      <c r="M262" s="12">
        <f t="shared" si="162"/>
        <v>0</v>
      </c>
      <c r="N262" s="12">
        <f t="shared" si="162"/>
        <v>0</v>
      </c>
      <c r="O262" s="12">
        <f t="shared" si="162"/>
        <v>0</v>
      </c>
      <c r="P262" s="12">
        <f t="shared" si="162"/>
        <v>0</v>
      </c>
      <c r="Q262" s="12">
        <f t="shared" si="162"/>
        <v>0</v>
      </c>
    </row>
    <row r="263" spans="5:18">
      <c r="G263" s="12">
        <f t="shared" si="119"/>
        <v>0</v>
      </c>
      <c r="H263" s="12">
        <f t="shared" ref="H263:Q263" si="163">IF($E112&gt;H$66,0,IF($E112&lt;H$66-365,$D112,0))</f>
        <v>0</v>
      </c>
      <c r="I263" s="12">
        <f t="shared" si="163"/>
        <v>0</v>
      </c>
      <c r="J263" s="12">
        <f t="shared" si="163"/>
        <v>0</v>
      </c>
      <c r="K263" s="12">
        <f t="shared" si="163"/>
        <v>0</v>
      </c>
      <c r="L263" s="12">
        <f t="shared" si="163"/>
        <v>0</v>
      </c>
      <c r="M263" s="12">
        <f t="shared" si="163"/>
        <v>0</v>
      </c>
      <c r="N263" s="12">
        <f t="shared" si="163"/>
        <v>0</v>
      </c>
      <c r="O263" s="12">
        <f t="shared" si="163"/>
        <v>0</v>
      </c>
      <c r="P263" s="12">
        <f t="shared" si="163"/>
        <v>0</v>
      </c>
      <c r="Q263" s="12">
        <f t="shared" si="163"/>
        <v>0</v>
      </c>
    </row>
    <row r="264" spans="5:18">
      <c r="G264" s="12">
        <f t="shared" si="119"/>
        <v>0</v>
      </c>
      <c r="H264" s="12">
        <f t="shared" ref="H264:Q264" si="164">IF($E113&gt;H$66,0,IF($E113&lt;H$66-365,$D113,0))</f>
        <v>0</v>
      </c>
      <c r="I264" s="12">
        <f t="shared" si="164"/>
        <v>0</v>
      </c>
      <c r="J264" s="12">
        <f t="shared" si="164"/>
        <v>0</v>
      </c>
      <c r="K264" s="12">
        <f t="shared" si="164"/>
        <v>0</v>
      </c>
      <c r="L264" s="12">
        <f t="shared" si="164"/>
        <v>0</v>
      </c>
      <c r="M264" s="12">
        <f t="shared" si="164"/>
        <v>0</v>
      </c>
      <c r="N264" s="12">
        <f t="shared" si="164"/>
        <v>0</v>
      </c>
      <c r="O264" s="12">
        <f t="shared" si="164"/>
        <v>0</v>
      </c>
      <c r="P264" s="12">
        <f t="shared" si="164"/>
        <v>0</v>
      </c>
      <c r="Q264" s="12">
        <f t="shared" si="164"/>
        <v>0</v>
      </c>
    </row>
    <row r="265" spans="5:18">
      <c r="G265" s="12">
        <f t="shared" si="119"/>
        <v>0</v>
      </c>
      <c r="H265" s="12">
        <f t="shared" ref="H265:Q265" si="165">IF($E114&gt;H$66,0,IF($E114&lt;H$66-365,$D114,0))</f>
        <v>0</v>
      </c>
      <c r="I265" s="12">
        <f t="shared" si="165"/>
        <v>0</v>
      </c>
      <c r="J265" s="12">
        <f t="shared" si="165"/>
        <v>0</v>
      </c>
      <c r="K265" s="12">
        <f t="shared" si="165"/>
        <v>0</v>
      </c>
      <c r="L265" s="12">
        <f t="shared" si="165"/>
        <v>0</v>
      </c>
      <c r="M265" s="12">
        <f t="shared" si="165"/>
        <v>0</v>
      </c>
      <c r="N265" s="12">
        <f t="shared" si="165"/>
        <v>0</v>
      </c>
      <c r="O265" s="12">
        <f t="shared" si="165"/>
        <v>0</v>
      </c>
      <c r="P265" s="12">
        <f t="shared" si="165"/>
        <v>0</v>
      </c>
      <c r="Q265" s="12">
        <f t="shared" si="165"/>
        <v>0</v>
      </c>
    </row>
    <row r="267" spans="5:18">
      <c r="F267" s="187" t="s">
        <v>493</v>
      </c>
      <c r="G267" s="187">
        <f>SUM(G220:G265)</f>
        <v>0</v>
      </c>
      <c r="H267" s="187">
        <f t="shared" ref="H267:Q267" si="166">SUM(H220:H265)</f>
        <v>0</v>
      </c>
      <c r="I267" s="187">
        <f t="shared" si="166"/>
        <v>0</v>
      </c>
      <c r="J267" s="187">
        <f t="shared" si="166"/>
        <v>0</v>
      </c>
      <c r="K267" s="187">
        <f t="shared" si="166"/>
        <v>0</v>
      </c>
      <c r="L267" s="187">
        <f t="shared" si="166"/>
        <v>-1714</v>
      </c>
      <c r="M267" s="187">
        <f t="shared" si="166"/>
        <v>-1714</v>
      </c>
      <c r="N267" s="187">
        <f t="shared" si="166"/>
        <v>-1714</v>
      </c>
      <c r="O267" s="187">
        <f t="shared" si="166"/>
        <v>-1714</v>
      </c>
      <c r="P267" s="187">
        <f t="shared" si="166"/>
        <v>-1714</v>
      </c>
      <c r="Q267" s="187">
        <f t="shared" si="166"/>
        <v>-1714</v>
      </c>
    </row>
    <row r="271" spans="5:18">
      <c r="F271" s="207" t="s">
        <v>486</v>
      </c>
      <c r="G271" s="206">
        <f>G66</f>
        <v>45473</v>
      </c>
      <c r="H271" s="206">
        <f>DATE(YEAR(G271)+1,MONTH(G271),DAY(G271))</f>
        <v>45838</v>
      </c>
      <c r="I271" s="206">
        <f t="shared" ref="I271:Q271" si="167">DATE(YEAR(H271)+1,MONTH(H271),DAY(H271))</f>
        <v>46203</v>
      </c>
      <c r="J271" s="206">
        <f t="shared" si="167"/>
        <v>46568</v>
      </c>
      <c r="K271" s="206">
        <f t="shared" si="167"/>
        <v>46934</v>
      </c>
      <c r="L271" s="206">
        <f t="shared" si="167"/>
        <v>47299</v>
      </c>
      <c r="M271" s="206">
        <f t="shared" si="167"/>
        <v>47664</v>
      </c>
      <c r="N271" s="206">
        <f t="shared" si="167"/>
        <v>48029</v>
      </c>
      <c r="O271" s="206">
        <f t="shared" si="167"/>
        <v>48395</v>
      </c>
      <c r="P271" s="206">
        <f t="shared" si="167"/>
        <v>48760</v>
      </c>
      <c r="Q271" s="206">
        <f t="shared" si="167"/>
        <v>49125</v>
      </c>
      <c r="R271" s="206">
        <f t="shared" ref="R271" si="168">Q271+365</f>
        <v>49490</v>
      </c>
    </row>
    <row r="272" spans="5:18">
      <c r="E272" s="12" t="s">
        <v>399</v>
      </c>
      <c r="F272" s="348">
        <f t="shared" ref="F272:P272" si="169">Z216</f>
        <v>5.6286137879911049</v>
      </c>
      <c r="G272" s="348">
        <f t="shared" si="169"/>
        <v>5.6286137879911049</v>
      </c>
      <c r="H272" s="348">
        <f t="shared" si="169"/>
        <v>5.6286137879911049</v>
      </c>
      <c r="I272" s="348">
        <f t="shared" si="169"/>
        <v>5.6286137879911049</v>
      </c>
      <c r="J272" s="348">
        <f t="shared" si="169"/>
        <v>5.6286137879911049</v>
      </c>
      <c r="K272" s="348">
        <f t="shared" si="169"/>
        <v>5.6262326096847133</v>
      </c>
      <c r="L272" s="348">
        <f t="shared" si="169"/>
        <v>5.6005773337384372</v>
      </c>
      <c r="M272" s="348">
        <f t="shared" si="169"/>
        <v>5.6005773337384372</v>
      </c>
      <c r="N272" s="348">
        <f t="shared" si="169"/>
        <v>5.6005773337384372</v>
      </c>
      <c r="O272" s="348">
        <f t="shared" si="169"/>
        <v>5.6005773337384372</v>
      </c>
      <c r="P272" s="348">
        <f t="shared" si="169"/>
        <v>5.6005773337384372</v>
      </c>
      <c r="Q272" s="348">
        <f>AK216</f>
        <v>5.6228587067829068</v>
      </c>
    </row>
  </sheetData>
  <sheetProtection formatCells="0" formatColumns="0" formatRows="0" selectLockedCells="1"/>
  <customSheetViews>
    <customSheetView guid="{0FAFE012-8D9E-4ED0-86A4-A997E430971B}" showGridLines="0" fitToPage="1" hiddenRows="1" topLeftCell="G11">
      <selection activeCell="K71" sqref="K71"/>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conditionalFormatting sqref="F7:Q7 F9:Q9">
    <cfRule type="cellIs" dxfId="14" priority="1" operator="lessThan">
      <formula>0</formula>
    </cfRule>
  </conditionalFormatting>
  <conditionalFormatting sqref="F46:Q47">
    <cfRule type="cellIs" dxfId="13" priority="3" operator="lessThan">
      <formula>0</formula>
    </cfRule>
  </conditionalFormatting>
  <conditionalFormatting sqref="F50:Q50">
    <cfRule type="cellIs" dxfId="12" priority="2" operator="lessThan">
      <formula>0</formula>
    </cfRule>
  </conditionalFormatting>
  <dataValidations disablePrompts="1" count="3">
    <dataValidation type="list" allowBlank="1" showInputMessage="1" showErrorMessage="1" sqref="O114:Q114" xr:uid="{CDB7E410-B084-4297-BA21-FD0F658E7FC0}">
      <formula1>$BS$156:$BS$159</formula1>
    </dataValidation>
    <dataValidation type="list" allowBlank="1" showInputMessage="1" showErrorMessage="1" sqref="E114" xr:uid="{E31ED2EC-A101-474B-A4AA-0E5D160DF288}">
      <formula1>$BQ$155:$BQ$169</formula1>
    </dataValidation>
    <dataValidation type="list" allowBlank="1" showInputMessage="1" showErrorMessage="1" sqref="F141:G141" xr:uid="{CA906FB1-5877-473D-AD0A-508318A3C1D2}">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1" orientation="landscape" r:id="rId2"/>
  <headerFooter alignWithMargins="0"/>
  <drawing r:id="rId3"/>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52EAA-BEF8-4B03-A193-48B8B1F7B4E5}">
  <sheetPr codeName="Sheet56">
    <tabColor rgb="FFFFC000"/>
    <pageSetUpPr fitToPage="1"/>
  </sheetPr>
  <dimension ref="A1:CJ272"/>
  <sheetViews>
    <sheetView showGridLines="0" zoomScale="70" zoomScaleNormal="70" workbookViewId="0">
      <selection activeCell="A13" sqref="A13:P15"/>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5.72656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166</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VIC2</v>
      </c>
      <c r="B6" s="368" t="s">
        <v>309</v>
      </c>
      <c r="C6" s="484" t="s">
        <v>41</v>
      </c>
      <c r="D6" s="485">
        <f>(VLOOKUP($A$2,Assumptions!$B$41:$C$63,2,0))/1000</f>
        <v>0.28980467713342467</v>
      </c>
      <c r="E6" s="367" t="s">
        <v>311</v>
      </c>
      <c r="F6" s="517">
        <f>VLOOKUP($A$2,'Footprint Summary'!$B$4:$R$26,COLUMNS('Footprint Summary'!$B$4:F$26)+1,0)</f>
        <v>775.36580000000004</v>
      </c>
      <c r="G6" s="517">
        <f>VLOOKUP($A$2,'Footprint Summary'!$B$4:$R$26,COLUMNS('Footprint Summary'!$B$4:G$26)+1,0)</f>
        <v>533.16579999999999</v>
      </c>
      <c r="H6" s="517">
        <f>VLOOKUP($A$2,'Footprint Summary'!$B$4:$R$26,COLUMNS('Footprint Summary'!$B$4:H$26)+1,0)</f>
        <v>533.16579999999999</v>
      </c>
      <c r="I6" s="517">
        <f>VLOOKUP($A$2,'Footprint Summary'!$B$4:$R$26,COLUMNS('Footprint Summary'!$B$4:I$26)+1,0)</f>
        <v>432.96580000000006</v>
      </c>
      <c r="J6" s="517">
        <f>VLOOKUP($A$2,'Footprint Summary'!$B$4:$R$26,COLUMNS('Footprint Summary'!$B$4:J$26)+1,0)</f>
        <v>386.76580000000007</v>
      </c>
      <c r="K6" s="517">
        <f>VLOOKUP($A$2,'Footprint Summary'!$B$4:$R$26,COLUMNS('Footprint Summary'!$B$4:K$26)+1,0)</f>
        <v>354.96580000000006</v>
      </c>
      <c r="L6" s="517">
        <f>VLOOKUP($A$2,'Footprint Summary'!$B$4:$R$26,COLUMNS('Footprint Summary'!$B$4:L$26)+1,0)</f>
        <v>354.96580000000006</v>
      </c>
      <c r="M6" s="517">
        <f>VLOOKUP($A$2,'Footprint Summary'!$B$4:$R$26,COLUMNS('Footprint Summary'!$B$4:M$26)+1,0)</f>
        <v>354.96580000000006</v>
      </c>
      <c r="N6" s="517">
        <f>VLOOKUP($A$2,'Footprint Summary'!$B$4:$R$26,COLUMNS('Footprint Summary'!$B$4:N$26)+1,0)</f>
        <v>346.76580000000007</v>
      </c>
      <c r="O6" s="517">
        <f>VLOOKUP($A$2,'Footprint Summary'!$B$4:$R$26,COLUMNS('Footprint Summary'!$B$4:O$26)+1,0)</f>
        <v>346.76580000000007</v>
      </c>
      <c r="P6" s="517">
        <f>VLOOKUP($A$2,'Footprint Summary'!$B$4:$R$26,COLUMNS('Footprint Summary'!$B$4:P$26)+1,0)</f>
        <v>346.76580000000007</v>
      </c>
      <c r="Q6" s="429">
        <f>(P6-F6)/F6</f>
        <v>-0.55277134998732202</v>
      </c>
      <c r="R6" s="366"/>
      <c r="S6" s="357"/>
      <c r="T6" s="8"/>
      <c r="U6" s="8"/>
    </row>
    <row r="7" spans="1:21" s="7" customFormat="1" ht="17.25" customHeight="1">
      <c r="A7" s="368" t="str">
        <f>VLOOKUP($A$2,'Asset Attributes'!$B$3:$D$25,2,0)</f>
        <v>VIC2</v>
      </c>
      <c r="B7" s="368" t="s">
        <v>312</v>
      </c>
      <c r="E7" s="367" t="s">
        <v>311</v>
      </c>
      <c r="F7" s="518">
        <f>F6-$F$6</f>
        <v>0</v>
      </c>
      <c r="G7" s="518">
        <f t="shared" ref="G7:P7" si="1">G6-$F$6</f>
        <v>-242.20000000000005</v>
      </c>
      <c r="H7" s="518">
        <f t="shared" si="1"/>
        <v>-242.20000000000005</v>
      </c>
      <c r="I7" s="518">
        <f t="shared" si="1"/>
        <v>-342.4</v>
      </c>
      <c r="J7" s="518">
        <f t="shared" si="1"/>
        <v>-388.59999999999997</v>
      </c>
      <c r="K7" s="518">
        <f t="shared" si="1"/>
        <v>-420.4</v>
      </c>
      <c r="L7" s="518">
        <f t="shared" si="1"/>
        <v>-420.4</v>
      </c>
      <c r="M7" s="518">
        <f t="shared" si="1"/>
        <v>-420.4</v>
      </c>
      <c r="N7" s="518">
        <f t="shared" si="1"/>
        <v>-428.59999999999997</v>
      </c>
      <c r="O7" s="518">
        <f t="shared" si="1"/>
        <v>-428.59999999999997</v>
      </c>
      <c r="P7" s="518">
        <f t="shared" si="1"/>
        <v>-428.59999999999997</v>
      </c>
      <c r="Q7" s="490">
        <f>SUM(F7:P7)</f>
        <v>-3762.4</v>
      </c>
      <c r="R7" s="366"/>
      <c r="S7" s="357"/>
      <c r="T7" s="8"/>
      <c r="U7" s="8"/>
    </row>
    <row r="8" spans="1:21" s="7" customFormat="1" ht="17.25" customHeight="1">
      <c r="A8" s="419" t="s">
        <v>284</v>
      </c>
      <c r="B8" s="368" t="s">
        <v>313</v>
      </c>
      <c r="C8" s="2"/>
      <c r="D8" s="486">
        <f>(VLOOKUP($A$2,Assumptions!$B$69:$C$91,2,0))</f>
        <v>18.341455649901572</v>
      </c>
      <c r="E8" s="422" t="s">
        <v>314</v>
      </c>
      <c r="F8" s="519">
        <f>VLOOKUP($A$2,'Footprint Summary'!$B$33:$R$55,COLUMNS('Footprint Summary'!$B$33:F$55)+1,0)</f>
        <v>1726.5909999999999</v>
      </c>
      <c r="G8" s="519">
        <f>VLOOKUP($A$2,'Footprint Summary'!$B$33:$R$55,COLUMNS('Footprint Summary'!$B$33:G$55)+1,0)</f>
        <v>1577.6909999999998</v>
      </c>
      <c r="H8" s="519">
        <f>VLOOKUP($A$2,'Footprint Summary'!$B$33:$R$55,COLUMNS('Footprint Summary'!$B$33:H$55)+1,0)</f>
        <v>1577.6909999999998</v>
      </c>
      <c r="I8" s="519">
        <f>VLOOKUP($A$2,'Footprint Summary'!$B$33:$R$55,COLUMNS('Footprint Summary'!$B$33:I$55)+1,0)</f>
        <v>1309.491</v>
      </c>
      <c r="J8" s="519">
        <f>VLOOKUP($A$2,'Footprint Summary'!$B$33:$R$55,COLUMNS('Footprint Summary'!$B$33:J$55)+1,0)</f>
        <v>974.29099999999994</v>
      </c>
      <c r="K8" s="519">
        <f>VLOOKUP($A$2,'Footprint Summary'!$B$33:$R$55,COLUMNS('Footprint Summary'!$B$33:K$55)+1,0)</f>
        <v>974.29099999999994</v>
      </c>
      <c r="L8" s="519">
        <f>VLOOKUP($A$2,'Footprint Summary'!$B$33:$R$55,COLUMNS('Footprint Summary'!$B$33:L$55)+1,0)</f>
        <v>974.29099999999994</v>
      </c>
      <c r="M8" s="519">
        <f>VLOOKUP($A$2,'Footprint Summary'!$B$33:$R$55,COLUMNS('Footprint Summary'!$B$33:M$55)+1,0)</f>
        <v>974.29099999999994</v>
      </c>
      <c r="N8" s="519">
        <f>VLOOKUP($A$2,'Footprint Summary'!$B$33:$R$55,COLUMNS('Footprint Summary'!$B$33:N$55)+1,0)</f>
        <v>940.79099999999994</v>
      </c>
      <c r="O8" s="519">
        <f>VLOOKUP($A$2,'Footprint Summary'!$B$33:$R$55,COLUMNS('Footprint Summary'!$B$33:O$55)+1,0)</f>
        <v>940.79099999999994</v>
      </c>
      <c r="P8" s="519">
        <f>VLOOKUP($A$2,'Footprint Summary'!$B$33:$R$55,COLUMNS('Footprint Summary'!$B$33:P$55)+1,0)</f>
        <v>940.79099999999994</v>
      </c>
      <c r="Q8" s="429">
        <f>(P8-F8)/F8</f>
        <v>-0.45511646938968175</v>
      </c>
      <c r="R8" s="366"/>
      <c r="S8" s="357"/>
      <c r="T8" s="8"/>
      <c r="U8" s="8"/>
    </row>
    <row r="9" spans="1:21" s="7" customFormat="1" ht="17.25" customHeight="1">
      <c r="A9" s="419" t="s">
        <v>284</v>
      </c>
      <c r="B9" s="368" t="s">
        <v>315</v>
      </c>
      <c r="C9" s="2"/>
      <c r="D9" s="2"/>
      <c r="E9" s="422" t="s">
        <v>314</v>
      </c>
      <c r="F9" s="518">
        <f t="shared" ref="F9:P9" si="2">F8-$F$8</f>
        <v>0</v>
      </c>
      <c r="G9" s="518">
        <f t="shared" si="2"/>
        <v>-148.90000000000009</v>
      </c>
      <c r="H9" s="518">
        <f t="shared" si="2"/>
        <v>-148.90000000000009</v>
      </c>
      <c r="I9" s="518">
        <f t="shared" si="2"/>
        <v>-417.09999999999991</v>
      </c>
      <c r="J9" s="518">
        <f t="shared" si="2"/>
        <v>-752.3</v>
      </c>
      <c r="K9" s="518">
        <f t="shared" si="2"/>
        <v>-752.3</v>
      </c>
      <c r="L9" s="518">
        <f t="shared" si="2"/>
        <v>-752.3</v>
      </c>
      <c r="M9" s="518">
        <f t="shared" si="2"/>
        <v>-752.3</v>
      </c>
      <c r="N9" s="518">
        <f t="shared" si="2"/>
        <v>-785.8</v>
      </c>
      <c r="O9" s="518">
        <f t="shared" si="2"/>
        <v>-785.8</v>
      </c>
      <c r="P9" s="518">
        <f t="shared" si="2"/>
        <v>-785.8</v>
      </c>
      <c r="Q9" s="490">
        <f>SUM(F9:P9)</f>
        <v>-6081.5000000000009</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VIC2</v>
      </c>
      <c r="B13" s="368" t="s">
        <v>317</v>
      </c>
      <c r="C13" s="367"/>
      <c r="D13" s="2"/>
      <c r="E13" s="367" t="s">
        <v>321</v>
      </c>
      <c r="F13" s="367">
        <f>VLOOKUP($A$2,'Footprint Summary'!$B$4:$R$26,COLUMNS('Footprint Summary'!$B$4:F$26)+1,0)*VLOOKUP($A$13,Assumptions!$A$4:$N$14,COLUMNS(Assumptions!$A$4:B$14)+1,0)</f>
        <v>713.33653600000002</v>
      </c>
      <c r="G13" s="367">
        <f>VLOOKUP($A$2,'Footprint Summary'!$B$4:$R$26,COLUMNS('Footprint Summary'!$B$4:G$26)+1,0)*VLOOKUP($A$13,Assumptions!$A$4:$N$14,COLUMNS(Assumptions!$A$4:C$14)+1,0)</f>
        <v>235.39270070000001</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88.971234230000007</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104.92433291729085</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907.2321031472909</v>
      </c>
      <c r="G16" s="434">
        <f t="shared" ref="G16:P16" si="4">SUM(G13:G15)</f>
        <v>235.39270070000001</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t="e">
        <f>1000*F16/(VLOOKUP($A$2,'Asset Attributes'!$B$3:$D$25,3,0))</f>
        <v>#DIV/0!</v>
      </c>
      <c r="G17" s="428" t="e">
        <f>1000*G16/(VLOOKUP($A$2,'Asset Attributes'!$B$3:$D$25,3,0))</f>
        <v>#DIV/0!</v>
      </c>
      <c r="H17" s="428" t="e">
        <f>1000*H16/(VLOOKUP($A$2,'Asset Attributes'!$B$3:$D$25,3,0))</f>
        <v>#DIV/0!</v>
      </c>
      <c r="I17" s="428" t="e">
        <f>1000*I16/(VLOOKUP($A$2,'Asset Attributes'!$B$3:$D$25,3,0))</f>
        <v>#DIV/0!</v>
      </c>
      <c r="J17" s="428" t="e">
        <f>1000*J16/(VLOOKUP($A$2,'Asset Attributes'!$B$3:$D$25,3,0))</f>
        <v>#DIV/0!</v>
      </c>
      <c r="K17" s="428" t="e">
        <f>1000*K16/(VLOOKUP($A$2,'Asset Attributes'!$B$3:$D$25,3,0))</f>
        <v>#DIV/0!</v>
      </c>
      <c r="L17" s="428" t="e">
        <f>1000*L16/(VLOOKUP($A$2,'Asset Attributes'!$B$3:$D$25,3,0))</f>
        <v>#DIV/0!</v>
      </c>
      <c r="M17" s="428" t="e">
        <f>1000*M16/(VLOOKUP($A$2,'Asset Attributes'!$B$3:$D$25,3,0))</f>
        <v>#DIV/0!</v>
      </c>
      <c r="N17" s="428" t="e">
        <f>1000*N16/(VLOOKUP($A$2,'Asset Attributes'!$B$3:$D$25,3,0))</f>
        <v>#DIV/0!</v>
      </c>
      <c r="O17" s="428" t="e">
        <f>1000*O16/(VLOOKUP($A$2,'Asset Attributes'!$B$3:$D$25,3,0))</f>
        <v>#DIV/0!</v>
      </c>
      <c r="P17" s="428" t="e">
        <f>1000*P16/(VLOOKUP($A$2,'Asset Attributes'!$B$3:$D$25,3,0))</f>
        <v>#DIV/0!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213.86260000000004</v>
      </c>
      <c r="H20" s="499">
        <f>-1*(VLOOKUP($A$2,'Footprint Summary'!$B$244:T$266,COLUMNS('Footprint Summary'!$B$244:H$266)+1,0))</f>
        <v>186.97840000000005</v>
      </c>
      <c r="I20" s="499">
        <f>-1*(VLOOKUP($A$2,'Footprint Summary'!$B$244:U$266,COLUMNS('Footprint Summary'!$B$244:I$266)+1,0))</f>
        <v>250.97919999999999</v>
      </c>
      <c r="J20" s="499">
        <f>-1*(VLOOKUP($A$2,'Footprint Summary'!$B$244:V$266,COLUMNS('Footprint Summary'!$B$244:J$266)+1,0))</f>
        <v>277.07179999999994</v>
      </c>
      <c r="K20" s="499">
        <f>-1*(VLOOKUP($A$2,'Footprint Summary'!$B$244:W$266,COLUMNS('Footprint Summary'!$B$244:K$266)+1,0))</f>
        <v>293.85959999999994</v>
      </c>
      <c r="L20" s="499">
        <f>-1*(VLOOKUP($A$2,'Footprint Summary'!$B$244:X$266,COLUMNS('Footprint Summary'!$B$244:L$266)+1,0))</f>
        <v>276.6232</v>
      </c>
      <c r="M20" s="499">
        <f>-1*(VLOOKUP($A$2,'Footprint Summary'!$B$244:Y$266,COLUMNS('Footprint Summary'!$B$244:M$266)+1,0))</f>
        <v>246.77479999999997</v>
      </c>
      <c r="N20" s="499">
        <f>-1*(VLOOKUP($A$2,'Footprint Summary'!$B$244:Z$266,COLUMNS('Footprint Summary'!$B$244:N$266)+1,0))</f>
        <v>221.1576</v>
      </c>
      <c r="O20" s="499">
        <f>-1*(VLOOKUP($A$2,'Footprint Summary'!$B$244:AA$266,COLUMNS('Footprint Summary'!$B$244:O$266)+1,0))</f>
        <v>197.58459999999999</v>
      </c>
      <c r="P20" s="499">
        <f>-1*(VLOOKUP($A$2,'Footprint Summary'!$B$244:AB$266,COLUMNS('Footprint Summary'!$B$244:P$266)+1,0))</f>
        <v>187.7268</v>
      </c>
      <c r="Q20" s="499">
        <f>SUM(G20:P20)</f>
        <v>2352.6185999999998</v>
      </c>
      <c r="R20" s="366"/>
      <c r="S20" s="357"/>
      <c r="T20" s="8"/>
      <c r="U20" s="8"/>
    </row>
    <row r="21" spans="1:21" s="7" customFormat="1" ht="19.5" customHeight="1">
      <c r="A21" s="368" t="str">
        <f>VLOOKUP($A$2,'Asset Attributes'!$B$3:$D$25,2,0)</f>
        <v>VIC2</v>
      </c>
      <c r="B21" s="368" t="s">
        <v>326</v>
      </c>
      <c r="E21" s="367" t="s">
        <v>321</v>
      </c>
      <c r="F21" s="499">
        <f>-1*(VLOOKUP($A$2,'Footprint Summary'!$B$302:$R$324,COLUMNS('Footprint Summary'!$B$302:F324)+1,0))</f>
        <v>0</v>
      </c>
      <c r="G21" s="499">
        <f>-1*(VLOOKUP($A$2,'Footprint Summary'!$B$302:$R$324,COLUMNS('Footprint Summary'!$B$302:G324)+1,0))</f>
        <v>235.39270070000001</v>
      </c>
      <c r="H21" s="499">
        <f>-1*(VLOOKUP($A$2,'Footprint Summary'!$B$302:$R$324,COLUMNS('Footprint Summary'!$B$302:H324)+1,0))</f>
        <v>411.60399760000001</v>
      </c>
      <c r="I21" s="499">
        <f>-1*(VLOOKUP($A$2,'Footprint Summary'!$B$302:$R$324,COLUMNS('Footprint Summary'!$B$302:I324)+1,0))</f>
        <v>317.36393140000001</v>
      </c>
      <c r="J21" s="499">
        <f>-1*(VLOOKUP($A$2,'Footprint Summary'!$B$302:$R$324,COLUMNS('Footprint Summary'!$B$302:J324)+1,0))</f>
        <v>275.76401540000006</v>
      </c>
      <c r="K21" s="499">
        <f>-1*(VLOOKUP($A$2,'Footprint Summary'!$B$302:$R$324,COLUMNS('Footprint Summary'!$B$302:K324)+1,0))</f>
        <v>248.12109420000002</v>
      </c>
      <c r="L21" s="499">
        <f>-1*(VLOOKUP($A$2,'Footprint Summary'!$B$302:$R$324,COLUMNS('Footprint Summary'!$B$302:L324)+1,0))</f>
        <v>233.56749640000004</v>
      </c>
      <c r="M21" s="499">
        <f>-1*(VLOOKUP($A$2,'Footprint Summary'!$B$302:$R$324,COLUMNS('Footprint Summary'!$B$302:M324)+1,0))</f>
        <v>208.36492460000002</v>
      </c>
      <c r="N21" s="499">
        <f>-1*(VLOOKUP($A$2,'Footprint Summary'!$B$302:$R$324,COLUMNS('Footprint Summary'!$B$302:N324)+1,0))</f>
        <v>178.93115280000004</v>
      </c>
      <c r="O21" s="499">
        <f>-1*(VLOOKUP($A$2,'Footprint Summary'!$B$302:$R$324,COLUMNS('Footprint Summary'!$B$302:O324)+1,0))</f>
        <v>159.85903380000005</v>
      </c>
      <c r="P21" s="499">
        <f>-1*(VLOOKUP($A$2,'Footprint Summary'!$B$302:$R$324,COLUMNS('Footprint Summary'!$B$302:P324)+1,0))</f>
        <v>151.88342040000003</v>
      </c>
      <c r="Q21" s="499">
        <f t="shared" ref="Q21:Q27" si="6">SUM(G21:P21)</f>
        <v>2420.8517673000001</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81.298417229999998</v>
      </c>
      <c r="H22" s="499">
        <f>(VLOOKUP($A$2,'Footprint Summary'!$B$33:$R$55,COLUMNS('Footprint Summary'!$B$33:H$55)+1,0)*VLOOKUP($B$14,Assumptions!$B$17:$N$29,COLUMNS(Assumptions!$B$18:D$29)+1,0)/1000)</f>
        <v>81.298417229999998</v>
      </c>
      <c r="I22" s="499">
        <f>(VLOOKUP($A$2,'Footprint Summary'!$B$33:$R$55,COLUMNS('Footprint Summary'!$B$33:I$55)+1,0)*VLOOKUP($B$14,Assumptions!$B$17:$N$29,COLUMNS(Assumptions!$B$18:E$29)+1,0)/1000)</f>
        <v>67.478071229999998</v>
      </c>
      <c r="J22" s="499">
        <f>(VLOOKUP($A$2,'Footprint Summary'!$B$33:$R$55,COLUMNS('Footprint Summary'!$B$33:J$55)+1,0)*VLOOKUP($B$14,Assumptions!$B$17:$N$29,COLUMNS(Assumptions!$B$18:F$29)+1,0)/1000)</f>
        <v>50.20521523</v>
      </c>
      <c r="K22" s="499">
        <f>(VLOOKUP($A$2,'Footprint Summary'!$B$33:$R$55,COLUMNS('Footprint Summary'!$B$33:K$55)+1,0)*VLOOKUP($B$14,Assumptions!$B$17:$N$29,COLUMNS(Assumptions!$B$18:G$29)+1,0)/1000)</f>
        <v>50.20521523</v>
      </c>
      <c r="L22" s="499">
        <f>(VLOOKUP($A$2,'Footprint Summary'!$B$33:$R$55,COLUMNS('Footprint Summary'!$B$33:L$55)+1,0)*VLOOKUP($B$14,Assumptions!$B$17:$N$29,COLUMNS(Assumptions!$B$18:H$29)+1,0)/1000)</f>
        <v>50.20521523</v>
      </c>
      <c r="M22" s="499">
        <f>(VLOOKUP($A$2,'Footprint Summary'!$B$33:$R$55,COLUMNS('Footprint Summary'!$B$33:M$55)+1,0)*VLOOKUP($B$14,Assumptions!$B$17:$N$29,COLUMNS(Assumptions!$B$18:I$29)+1,0)/1000)</f>
        <v>50.20521523</v>
      </c>
      <c r="N22" s="499">
        <f>(VLOOKUP($A$2,'Footprint Summary'!$B$33:$R$55,COLUMNS('Footprint Summary'!$B$33:N$55)+1,0)*VLOOKUP($B$14,Assumptions!$B$17:$N$29,COLUMNS(Assumptions!$B$18:J$29)+1,0)/1000)</f>
        <v>48.478960229999998</v>
      </c>
      <c r="O22" s="499">
        <f>(VLOOKUP($A$2,'Footprint Summary'!$B$33:$R$55,COLUMNS('Footprint Summary'!$B$33:O$55)+1,0)*VLOOKUP($B$14,Assumptions!$B$17:$N$29,COLUMNS(Assumptions!$B$18:K$29)+1,0)/1000)</f>
        <v>48.478960229999998</v>
      </c>
      <c r="P22" s="499">
        <f>(VLOOKUP($A$2,'Footprint Summary'!$B$33:$R$55,COLUMNS('Footprint Summary'!$B$33:P$55)+1,0)*VLOOKUP($B$14,Assumptions!$B$17:$N$29,COLUMNS(Assumptions!$B$18:L$29)+1,0)/1000)</f>
        <v>48.478960229999998</v>
      </c>
      <c r="Q22" s="499">
        <f t="shared" si="6"/>
        <v>576.33264730000008</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7.6728170000000047</v>
      </c>
      <c r="H23" s="499">
        <f>-1*(VLOOKUP($A$2,'Footprint Summary'!$B$273:T$295,COLUMNS('Footprint Summary'!$B$273:H$295)+1,0))</f>
        <v>7.6728170000000047</v>
      </c>
      <c r="I23" s="499">
        <f>-1*(VLOOKUP($A$2,'Footprint Summary'!$B$273:U$295,COLUMNS('Footprint Summary'!$B$273:I$295)+1,0))</f>
        <v>21.493162999999996</v>
      </c>
      <c r="J23" s="499">
        <f>-1*(VLOOKUP($A$2,'Footprint Summary'!$B$273:V$295,COLUMNS('Footprint Summary'!$B$273:J$295)+1,0))</f>
        <v>38.766019</v>
      </c>
      <c r="K23" s="499">
        <f>-1*(VLOOKUP($A$2,'Footprint Summary'!$B$273:W$295,COLUMNS('Footprint Summary'!$B$273:K$295)+1,0))</f>
        <v>38.766019</v>
      </c>
      <c r="L23" s="499">
        <f>-1*(VLOOKUP($A$2,'Footprint Summary'!$B$273:X$295,COLUMNS('Footprint Summary'!$B$273:L$295)+1,0))</f>
        <v>38.766019</v>
      </c>
      <c r="M23" s="499">
        <f>-1*(VLOOKUP($A$2,'Footprint Summary'!$B$273:Y$295,COLUMNS('Footprint Summary'!$B$273:M$295)+1,0))</f>
        <v>38.766019</v>
      </c>
      <c r="N23" s="499">
        <f>-1*(VLOOKUP($A$2,'Footprint Summary'!$B$273:Z$295,COLUMNS('Footprint Summary'!$B$273:N$295)+1,0))</f>
        <v>40.492273999999995</v>
      </c>
      <c r="O23" s="499">
        <f>-1*(VLOOKUP($A$2,'Footprint Summary'!$B$273:AA$295,COLUMNS('Footprint Summary'!$B$273:O$295)+1,0))</f>
        <v>40.492273999999995</v>
      </c>
      <c r="P23" s="499">
        <f>-1*(VLOOKUP($A$2,'Footprint Summary'!$B$273:AB$295,COLUMNS('Footprint Summary'!$B$273:P$295)+1,0))</f>
        <v>40.492273999999995</v>
      </c>
      <c r="Q23" s="499">
        <f t="shared" si="6"/>
        <v>313.37969500000003</v>
      </c>
      <c r="R23" s="366"/>
      <c r="S23" s="357"/>
      <c r="T23" s="8"/>
      <c r="U23" s="8"/>
    </row>
    <row r="24" spans="1:21" s="7" customFormat="1" ht="19.5" customHeight="1">
      <c r="A24" s="419" t="s">
        <v>319</v>
      </c>
      <c r="B24" s="419" t="s">
        <v>329</v>
      </c>
      <c r="E24" s="425" t="s">
        <v>321</v>
      </c>
      <c r="F24" s="499">
        <v>0</v>
      </c>
      <c r="G24" s="499">
        <f>VLOOKUP($A$2,'Footprint Summary'!$B$216:$R$238,COLUMNS('Footprint Summary'!$B$216:G238)+1,0)</f>
        <v>93.89625072892521</v>
      </c>
      <c r="H24" s="499">
        <f>VLOOKUP($A$2,'Footprint Summary'!$B$216:$R$238,COLUMNS('Footprint Summary'!$B$216:H238)+1,0)</f>
        <v>82.868168540559552</v>
      </c>
      <c r="I24" s="499">
        <f>VLOOKUP($A$2,'Footprint Summary'!$B$216:$R$238,COLUMNS('Footprint Summary'!$B$216:I238)+1,0)</f>
        <v>71.840086352193893</v>
      </c>
      <c r="J24" s="499">
        <f>VLOOKUP($A$2,'Footprint Summary'!$B$216:$R$238,COLUMNS('Footprint Summary'!$B$216:J238)+1,0)</f>
        <v>60.812004163828249</v>
      </c>
      <c r="K24" s="499">
        <f>VLOOKUP($A$2,'Footprint Summary'!$B$216:$R$238,COLUMNS('Footprint Summary'!$B$216:K238)+1,0)</f>
        <v>49.78392197546259</v>
      </c>
      <c r="L24" s="499">
        <f>VLOOKUP($A$2,'Footprint Summary'!$B$216:$R$238,COLUMNS('Footprint Summary'!$B$216:L238)+1,0)</f>
        <v>38.755839787096939</v>
      </c>
      <c r="M24" s="499">
        <f>VLOOKUP($A$2,'Footprint Summary'!$B$216:$R$238,COLUMNS('Footprint Summary'!$B$216:M238)+1,0)</f>
        <v>27.727757598731287</v>
      </c>
      <c r="N24" s="499">
        <f>VLOOKUP($A$2,'Footprint Summary'!$B$216:$R$238,COLUMNS('Footprint Summary'!$B$216:N238)+1,0)</f>
        <v>16.699675410365636</v>
      </c>
      <c r="O24" s="499">
        <f>VLOOKUP($A$2,'Footprint Summary'!$B$216:$R$238,COLUMNS('Footprint Summary'!$B$216:O238)+1,0)</f>
        <v>5.6715932219999861</v>
      </c>
      <c r="P24" s="499">
        <f>VLOOKUP($A$2,'Footprint Summary'!$B$216:$R$238,COLUMNS('Footprint Summary'!$B$216:P238)+1,0)</f>
        <v>5.6715932219999994</v>
      </c>
      <c r="Q24" s="499">
        <f t="shared" si="6"/>
        <v>453.72689100116332</v>
      </c>
      <c r="R24" s="366"/>
      <c r="S24" s="357"/>
      <c r="T24" s="8"/>
      <c r="U24" s="8"/>
    </row>
    <row r="25" spans="1:21" s="7" customFormat="1" ht="19.5" customHeight="1">
      <c r="A25" s="419" t="s">
        <v>319</v>
      </c>
      <c r="B25" s="419" t="s">
        <v>319</v>
      </c>
      <c r="E25" s="425" t="s">
        <v>321</v>
      </c>
      <c r="F25" s="499">
        <f>VLOOKUP($A$2,'Footprint Summary'!$B$216:$R$238,COLUMNS('Footprint Summary'!$B$216:F238)+1,0)-F24</f>
        <v>104.92433291729085</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88.971234230000007</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VIC2</v>
      </c>
      <c r="B27" s="368" t="s">
        <v>330</v>
      </c>
      <c r="E27" s="425" t="s">
        <v>321</v>
      </c>
      <c r="F27" s="367">
        <f>VLOOKUP($A$2,'Footprint Summary'!$B$4:$R$26,COLUMNS('Footprint Summary'!$B$4:F$26)+1,0)*VLOOKUP($A$13,Assumptions!$A$4:$N$14,COLUMNS(Assumptions!$A$4:B$14)+1,0)</f>
        <v>713.33653600000002</v>
      </c>
      <c r="G27" s="499">
        <f>VLOOKUP($A$2,'Footprint Summary'!$B$4:$R$26,COLUMNS('Footprint Summary'!$B$4:G$26)+1,0)*VLOOKUP($A$13,Assumptions!$A$4:$N$14,COLUMNS(Assumptions!$A$4:C$14)+1,0)</f>
        <v>235.39270070000001</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235.39270070000001</v>
      </c>
      <c r="R27" s="366"/>
      <c r="S27" s="357"/>
      <c r="T27" s="8"/>
      <c r="U27" s="8"/>
    </row>
    <row r="28" spans="1:21" s="7" customFormat="1" ht="19.5" customHeight="1" thickBot="1">
      <c r="E28" s="425" t="s">
        <v>321</v>
      </c>
      <c r="F28" s="434">
        <f>SUM(F20:F23)</f>
        <v>0</v>
      </c>
      <c r="G28" s="434">
        <f t="shared" ref="G28:P28" si="7">SUM(G20:G23)</f>
        <v>538.22653493000007</v>
      </c>
      <c r="H28" s="434">
        <f t="shared" si="7"/>
        <v>687.55363183000009</v>
      </c>
      <c r="I28" s="434">
        <f t="shared" si="7"/>
        <v>657.31436562999988</v>
      </c>
      <c r="J28" s="434">
        <f t="shared" si="7"/>
        <v>641.80704963000005</v>
      </c>
      <c r="K28" s="434">
        <f t="shared" si="7"/>
        <v>630.95192843000007</v>
      </c>
      <c r="L28" s="434">
        <f t="shared" si="7"/>
        <v>599.16193063000003</v>
      </c>
      <c r="M28" s="434">
        <f t="shared" si="7"/>
        <v>544.11095883000007</v>
      </c>
      <c r="N28" s="434">
        <f t="shared" si="7"/>
        <v>489.05998703000006</v>
      </c>
      <c r="O28" s="434">
        <f t="shared" si="7"/>
        <v>446.41486803000004</v>
      </c>
      <c r="P28" s="434">
        <f t="shared" si="7"/>
        <v>428.58145463</v>
      </c>
      <c r="Q28" s="434">
        <f t="shared" ref="Q28" si="8">SUM(Q20:Q24)</f>
        <v>6116.9096006011632</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201250.68</v>
      </c>
      <c r="G32" s="424">
        <f>VLOOKUP($A$2,'Costs Summary'!$B$154:$R$176,COLUMNS('Costs Summary'!$B$154:G$176)+1,0)</f>
        <v>292116.0259280894</v>
      </c>
      <c r="H32" s="424">
        <f>VLOOKUP($A$2,'Costs Summary'!$B$154:$R$176,COLUMNS('Costs Summary'!$B$154:H$176)+1,0)</f>
        <v>302340.0868355725</v>
      </c>
      <c r="I32" s="424">
        <f>VLOOKUP($A$2,'Costs Summary'!$B$154:$R$176,COLUMNS('Costs Summary'!$B$154:I$176)+1,0)</f>
        <v>312921.98987481749</v>
      </c>
      <c r="J32" s="424">
        <f>VLOOKUP($A$2,'Costs Summary'!$B$154:$R$176,COLUMNS('Costs Summary'!$B$154:J$176)+1,0)</f>
        <v>323874.25952043611</v>
      </c>
      <c r="K32" s="424">
        <f>VLOOKUP($A$2,'Costs Summary'!$B$154:$R$176,COLUMNS('Costs Summary'!$B$154:K$176)+1,0)</f>
        <v>335209.85860365134</v>
      </c>
      <c r="L32" s="424">
        <f>VLOOKUP($A$2,'Costs Summary'!$B$154:$R$176,COLUMNS('Costs Summary'!$B$154:L$176)+1,0)</f>
        <v>346942.20365477912</v>
      </c>
      <c r="M32" s="424">
        <f>VLOOKUP($A$2,'Costs Summary'!$B$154:$R$176,COLUMNS('Costs Summary'!$B$154:M$176)+1,0)</f>
        <v>359085.18078269635</v>
      </c>
      <c r="N32" s="424">
        <f>VLOOKUP($A$2,'Costs Summary'!$B$154:$R$176,COLUMNS('Costs Summary'!$B$154:N$176)+1,0)</f>
        <v>430902.21693923563</v>
      </c>
      <c r="O32" s="424">
        <f>VLOOKUP($A$2,'Costs Summary'!$B$154:$R$176,COLUMNS('Costs Summary'!$B$154:O$176)+1,0)</f>
        <v>445983.79453210882</v>
      </c>
      <c r="P32" s="424">
        <f>VLOOKUP($A$2,'Costs Summary'!$B$154:$R$176,COLUMNS('Costs Summary'!$B$154:P$176)+1,0)</f>
        <v>461593.22734073264</v>
      </c>
      <c r="Q32" s="433">
        <f>SUM(G32:P32)</f>
        <v>3610968.8440121198</v>
      </c>
      <c r="R32" s="366"/>
      <c r="S32" s="357"/>
      <c r="T32" s="8"/>
      <c r="U32" s="8"/>
    </row>
    <row r="33" spans="1:21" s="7" customFormat="1" ht="17.25" customHeight="1">
      <c r="A33" s="368" t="s">
        <v>284</v>
      </c>
      <c r="B33" s="368" t="s">
        <v>335</v>
      </c>
      <c r="C33" s="423"/>
      <c r="D33" s="423"/>
      <c r="E33" s="423"/>
      <c r="F33" s="424">
        <f>VLOOKUP($A$2,'Costs Summary'!$B$183:$R$205,COLUMNS('Costs Summary'!$B$183:F$205)+1,0)</f>
        <v>30753.603199999998</v>
      </c>
      <c r="G33" s="424">
        <f>VLOOKUP($A$2,'Costs Summary'!$B$183:$R$205,COLUMNS('Costs Summary'!$B$183:G$205)+1,0)</f>
        <v>32618.238019579778</v>
      </c>
      <c r="H33" s="424">
        <f>VLOOKUP($A$2,'Costs Summary'!$B$183:$R$205,COLUMNS('Costs Summary'!$B$183:H$205)+1,0)</f>
        <v>33596.785160167172</v>
      </c>
      <c r="I33" s="424">
        <f>VLOOKUP($A$2,'Costs Summary'!$B$183:$R$205,COLUMNS('Costs Summary'!$B$183:I$205)+1,0)</f>
        <v>34604.688714972188</v>
      </c>
      <c r="J33" s="424">
        <f>VLOOKUP($A$2,'Costs Summary'!$B$183:$R$205,COLUMNS('Costs Summary'!$B$183:J$205)+1,0)</f>
        <v>35642.829376421359</v>
      </c>
      <c r="K33" s="424">
        <f>VLOOKUP($A$2,'Costs Summary'!$B$183:$R$205,COLUMNS('Costs Summary'!$B$183:K$205)+1,0)</f>
        <v>36712.114257713998</v>
      </c>
      <c r="L33" s="424">
        <f>VLOOKUP($A$2,'Costs Summary'!$B$183:$R$205,COLUMNS('Costs Summary'!$B$183:L$205)+1,0)</f>
        <v>37813.477685445418</v>
      </c>
      <c r="M33" s="424">
        <f>VLOOKUP($A$2,'Costs Summary'!$B$183:$R$205,COLUMNS('Costs Summary'!$B$183:M$205)+1,0)</f>
        <v>38947.882016008785</v>
      </c>
      <c r="N33" s="424">
        <f>VLOOKUP($A$2,'Costs Summary'!$B$183:$R$205,COLUMNS('Costs Summary'!$B$183:N$205)+1,0)</f>
        <v>40116.318476489047</v>
      </c>
      <c r="O33" s="424">
        <f>VLOOKUP($A$2,'Costs Summary'!$B$183:$R$205,COLUMNS('Costs Summary'!$B$183:O$205)+1,0)</f>
        <v>41319.808030783723</v>
      </c>
      <c r="P33" s="424">
        <f>VLOOKUP($A$2,'Costs Summary'!$B$183:$R$205,COLUMNS('Costs Summary'!$B$183:P$205)+1,0)</f>
        <v>42559.402271707237</v>
      </c>
      <c r="Q33" s="433">
        <f>SUM(G33:P33)</f>
        <v>373931.54400928877</v>
      </c>
      <c r="R33" s="366"/>
      <c r="S33" s="357"/>
      <c r="T33" s="8"/>
      <c r="U33" s="8"/>
    </row>
    <row r="34" spans="1:21" s="7" customFormat="1" ht="17.25" customHeight="1">
      <c r="A34" s="368" t="s">
        <v>284</v>
      </c>
      <c r="B34" s="368" t="s">
        <v>336</v>
      </c>
      <c r="H34" s="424">
        <f>VLOOKUP($A$2,'Costs Summary'!$B$241:$R$263,COLUMNS('Costs Summary'!$B$241:H263)+1,0)</f>
        <v>4877.9050337999997</v>
      </c>
      <c r="I34" s="424">
        <f>VLOOKUP($A$2,'Costs Summary'!$B$241:$R$263,COLUMNS('Costs Summary'!$B$241:I263)+1,0)</f>
        <v>4877.9050337999997</v>
      </c>
      <c r="J34" s="424">
        <f>VLOOKUP($A$2,'Costs Summary'!$B$241:$R$263,COLUMNS('Costs Summary'!$B$241:J263)+1,0)</f>
        <v>4877.9050337999997</v>
      </c>
      <c r="K34" s="424">
        <f>VLOOKUP($A$2,'Costs Summary'!$B$241:$R$263,COLUMNS('Costs Summary'!$B$241:K263)+1,0)</f>
        <v>4877.9050337999997</v>
      </c>
      <c r="L34" s="424">
        <f>VLOOKUP($A$2,'Costs Summary'!$B$241:$R$263,COLUMNS('Costs Summary'!$B$241:L263)+1,0)</f>
        <v>4877.9050337999997</v>
      </c>
      <c r="M34" s="424">
        <f>VLOOKUP($A$2,'Costs Summary'!$B$241:$R$263,COLUMNS('Costs Summary'!$B$241:M263)+1,0)</f>
        <v>4877.9050337999997</v>
      </c>
      <c r="N34" s="424">
        <f>VLOOKUP($A$2,'Costs Summary'!$B$241:$R$263,COLUMNS('Costs Summary'!$B$241:N263)+1,0)</f>
        <v>4877.9050337999997</v>
      </c>
      <c r="O34" s="424">
        <f>VLOOKUP($A$2,'Costs Summary'!$B$241:$R$263,COLUMNS('Costs Summary'!$B$241:O263)+1,0)</f>
        <v>4877.9050337999997</v>
      </c>
      <c r="P34" s="424">
        <f>VLOOKUP($A$2,'Costs Summary'!$B$241:$R$263,COLUMNS('Costs Summary'!$B$241:P263)+1,0)</f>
        <v>4877.9050337999997</v>
      </c>
      <c r="Q34" s="433">
        <f>SUM(G34:P34)</f>
        <v>43901.145304200007</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4972.0901124335733</v>
      </c>
      <c r="I35" s="424">
        <f>VLOOKUP($A$2,'Costs Summary'!$B$212:$R$234,COLUMNS('Costs Summary'!$B$212:I$234)+1,0)</f>
        <v>4310.405181131634</v>
      </c>
      <c r="J35" s="424">
        <f>VLOOKUP($A$2,'Costs Summary'!$B$212:$R$234,COLUMNS('Costs Summary'!$B$212:J$234)+1,0)</f>
        <v>3648.7202498296947</v>
      </c>
      <c r="K35" s="424">
        <f>VLOOKUP($A$2,'Costs Summary'!$B$212:$R$234,COLUMNS('Costs Summary'!$B$212:K$234)+1,0)</f>
        <v>2987.0353185277554</v>
      </c>
      <c r="L35" s="424">
        <f>VLOOKUP($A$2,'Costs Summary'!$B$212:$R$234,COLUMNS('Costs Summary'!$B$212:L$234)+1,0)</f>
        <v>2325.3503872258161</v>
      </c>
      <c r="M35" s="424">
        <f>VLOOKUP($A$2,'Costs Summary'!$B$212:$R$234,COLUMNS('Costs Summary'!$B$212:M$234)+1,0)</f>
        <v>1663.6654559238773</v>
      </c>
      <c r="N35" s="424">
        <f>VLOOKUP($A$2,'Costs Summary'!$B$212:$R$234,COLUMNS('Costs Summary'!$B$212:N$234)+1,0)</f>
        <v>1001.9805246219381</v>
      </c>
      <c r="O35" s="424">
        <f>VLOOKUP($A$2,'Costs Summary'!$B$212:$R$234,COLUMNS('Costs Summary'!$B$212:O$234)+1,0)</f>
        <v>340.29559331999917</v>
      </c>
      <c r="P35" s="424">
        <f>VLOOKUP($A$2,'Costs Summary'!$B$212:$R$234,COLUMNS('Costs Summary'!$B$212:P$234)+1,0)</f>
        <v>340.29559331999997</v>
      </c>
      <c r="Q35" s="433">
        <f>SUM(G35:P35)</f>
        <v>21589.838416334285</v>
      </c>
      <c r="R35" s="366"/>
      <c r="S35" s="357"/>
      <c r="T35" s="8"/>
      <c r="U35" s="8"/>
    </row>
    <row r="36" spans="1:21" s="7" customFormat="1" ht="17.25" customHeight="1" thickBot="1">
      <c r="A36" s="437" t="s">
        <v>338</v>
      </c>
      <c r="C36" s="423"/>
      <c r="D36" s="423"/>
      <c r="E36" s="368" t="s">
        <v>669</v>
      </c>
      <c r="F36" s="461">
        <f t="shared" ref="F36:P36" si="10">SUM(F32:F35)</f>
        <v>232004.28320000001</v>
      </c>
      <c r="G36" s="461">
        <f t="shared" si="10"/>
        <v>324734.26394766918</v>
      </c>
      <c r="H36" s="461">
        <f t="shared" si="10"/>
        <v>345786.86714197323</v>
      </c>
      <c r="I36" s="461">
        <f t="shared" si="10"/>
        <v>356714.98880472127</v>
      </c>
      <c r="J36" s="461">
        <f t="shared" si="10"/>
        <v>368043.71418048715</v>
      </c>
      <c r="K36" s="461">
        <f t="shared" si="10"/>
        <v>379786.91321369313</v>
      </c>
      <c r="L36" s="461">
        <f t="shared" si="10"/>
        <v>391958.93676125031</v>
      </c>
      <c r="M36" s="461">
        <f t="shared" si="10"/>
        <v>404574.633288429</v>
      </c>
      <c r="N36" s="461">
        <f t="shared" si="10"/>
        <v>476898.42097414663</v>
      </c>
      <c r="O36" s="461">
        <f t="shared" si="10"/>
        <v>492521.80319001252</v>
      </c>
      <c r="P36" s="461">
        <f t="shared" si="10"/>
        <v>509370.83023955987</v>
      </c>
      <c r="Q36" s="462">
        <f t="shared" ref="Q36" si="11">SUM(Q32:Q35)</f>
        <v>4050391.3717419431</v>
      </c>
      <c r="R36" s="366"/>
      <c r="S36" s="357"/>
      <c r="T36" s="8"/>
      <c r="U36" s="8"/>
    </row>
    <row r="37" spans="1:21" s="7" customFormat="1" ht="17.25" customHeight="1" thickTop="1" thickBot="1">
      <c r="C37" s="423"/>
      <c r="D37" s="423"/>
      <c r="E37" s="368" t="s">
        <v>340</v>
      </c>
      <c r="F37" s="468" t="e">
        <f>F36/(VLOOKUP($A$2,'Asset Attributes'!$B$3:$D$25,3,0))</f>
        <v>#DIV/0!</v>
      </c>
      <c r="G37" s="468" t="e">
        <f>G36/(VLOOKUP($A$2,'Asset Attributes'!$B$3:$D$25,3,0))</f>
        <v>#DIV/0!</v>
      </c>
      <c r="H37" s="468" t="e">
        <f>H36/(VLOOKUP($A$2,'Asset Attributes'!$B$3:$D$25,3,0))</f>
        <v>#DIV/0!</v>
      </c>
      <c r="I37" s="468" t="e">
        <f>I36/(VLOOKUP($A$2,'Asset Attributes'!$B$3:$D$25,3,0))</f>
        <v>#DIV/0!</v>
      </c>
      <c r="J37" s="468" t="e">
        <f>J36/(VLOOKUP($A$2,'Asset Attributes'!$B$3:$D$25,3,0))</f>
        <v>#DIV/0!</v>
      </c>
      <c r="K37" s="468" t="e">
        <f>K36/(VLOOKUP($A$2,'Asset Attributes'!$B$3:$D$25,3,0))</f>
        <v>#DIV/0!</v>
      </c>
      <c r="L37" s="468" t="e">
        <f>L36/(VLOOKUP($A$2,'Asset Attributes'!$B$3:$D$25,3,0))</f>
        <v>#DIV/0!</v>
      </c>
      <c r="M37" s="468" t="e">
        <f>M36/(VLOOKUP($A$2,'Asset Attributes'!$B$3:$D$25,3,0))</f>
        <v>#DIV/0!</v>
      </c>
      <c r="N37" s="468" t="e">
        <f>N36/(VLOOKUP($A$2,'Asset Attributes'!$B$3:$D$25,3,0))</f>
        <v>#DIV/0!</v>
      </c>
      <c r="O37" s="468" t="e">
        <f>O36/(VLOOKUP($A$2,'Asset Attributes'!$B$3:$D$25,3,0))</f>
        <v>#DIV/0!</v>
      </c>
      <c r="P37" s="468" t="e">
        <f>P36/(VLOOKUP($A$2,'Asset Attributes'!$B$3:$D$25,3,0))</f>
        <v>#DIV/0!</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VIC2</v>
      </c>
      <c r="B39" s="368" t="s">
        <v>342</v>
      </c>
      <c r="C39" s="423"/>
      <c r="D39" s="423"/>
      <c r="E39" s="367"/>
      <c r="F39" s="424">
        <f>VLOOKUP($A$2,'Costs Summary'!$B$4:$R$26,COLUMNS('Costs Summary'!$B$4:F$26)+1,0)</f>
        <v>201250.68</v>
      </c>
      <c r="G39" s="424">
        <f>VLOOKUP($A$2,'Costs Summary'!$B$4:$R$26,COLUMNS('Costs Summary'!$B$4:G$26)+1,0)</f>
        <v>200868.12528585931</v>
      </c>
      <c r="H39" s="424">
        <f>VLOOKUP($A$2,'Costs Summary'!$B$4:$R$26,COLUMNS('Costs Summary'!$B$4:H$26)+1,0)</f>
        <v>207898.50967086435</v>
      </c>
      <c r="I39" s="424">
        <f>VLOOKUP($A$2,'Costs Summary'!$B$4:$R$26,COLUMNS('Costs Summary'!$B$4:I$26)+1,0)</f>
        <v>174736.25956128354</v>
      </c>
      <c r="J39" s="424">
        <f>VLOOKUP($A$2,'Costs Summary'!$B$4:$R$26,COLUMNS('Costs Summary'!$B$4:J$26)+1,0)</f>
        <v>161554.05240059478</v>
      </c>
      <c r="K39" s="424">
        <f>VLOOKUP($A$2,'Costs Summary'!$B$4:$R$26,COLUMNS('Costs Summary'!$B$4:K$26)+1,0)</f>
        <v>153460.51583282626</v>
      </c>
      <c r="L39" s="424">
        <f>VLOOKUP($A$2,'Costs Summary'!$B$4:$R$26,COLUMNS('Costs Summary'!$B$4:L$26)+1,0)</f>
        <v>158831.63388697518</v>
      </c>
      <c r="M39" s="424">
        <f>VLOOKUP($A$2,'Costs Summary'!$B$4:$R$26,COLUMNS('Costs Summary'!$B$4:M$26)+1,0)</f>
        <v>164390.74107301928</v>
      </c>
      <c r="N39" s="424">
        <f>VLOOKUP($A$2,'Costs Summary'!$B$4:$R$26,COLUMNS('Costs Summary'!$B$4:N$26)+1,0)</f>
        <v>192711.81676920445</v>
      </c>
      <c r="O39" s="424">
        <f>VLOOKUP($A$2,'Costs Summary'!$B$4:$R$26,COLUMNS('Costs Summary'!$B$4:O$26)+1,0)</f>
        <v>199456.73035612659</v>
      </c>
      <c r="P39" s="424">
        <f>VLOOKUP($A$2,'Costs Summary'!$B$4:$R$26,COLUMNS('Costs Summary'!$B$4:P$26)+1,0)</f>
        <v>206437.71591859101</v>
      </c>
      <c r="Q39" s="433">
        <f>SUM(G39:P39)</f>
        <v>1820346.1007553448</v>
      </c>
      <c r="R39" s="366"/>
      <c r="S39" s="357"/>
      <c r="T39" s="8"/>
      <c r="U39" s="8"/>
    </row>
    <row r="40" spans="1:21" s="7" customFormat="1" ht="17.25" customHeight="1">
      <c r="A40" s="368" t="s">
        <v>284</v>
      </c>
      <c r="B40" s="368" t="s">
        <v>343</v>
      </c>
      <c r="C40" s="423"/>
      <c r="D40" s="423"/>
      <c r="E40" s="423"/>
      <c r="F40" s="424">
        <f>VLOOKUP($A$2,'Costs Summary'!$B$33:$R$55,COLUMNS('Costs Summary'!$B$33:F$55)+1,0)</f>
        <v>30753.603199999998</v>
      </c>
      <c r="G40" s="424">
        <f>VLOOKUP($A$2,'Costs Summary'!$B$33:$R$55,COLUMNS('Costs Summary'!$B$33:G$55)+1,0)</f>
        <v>29805.263990921321</v>
      </c>
      <c r="H40" s="424">
        <f>VLOOKUP($A$2,'Costs Summary'!$B$33:$R$55,COLUMNS('Costs Summary'!$B$33:H$55)+1,0)</f>
        <v>30699.421910648962</v>
      </c>
      <c r="I40" s="424">
        <f>VLOOKUP($A$2,'Costs Summary'!$B$33:$R$55,COLUMNS('Costs Summary'!$B$33:I$55)+1,0)</f>
        <v>26245.085506676249</v>
      </c>
      <c r="J40" s="424">
        <f>VLOOKUP($A$2,'Costs Summary'!$B$33:$R$55,COLUMNS('Costs Summary'!$B$33:J$55)+1,0)</f>
        <v>20112.746953958951</v>
      </c>
      <c r="K40" s="424">
        <f>VLOOKUP($A$2,'Costs Summary'!$B$33:$R$55,COLUMNS('Costs Summary'!$B$33:K$55)+1,0)</f>
        <v>20716.129362577722</v>
      </c>
      <c r="L40" s="424">
        <f>VLOOKUP($A$2,'Costs Summary'!$B$33:$R$55,COLUMNS('Costs Summary'!$B$33:L$55)+1,0)</f>
        <v>21337.613243455053</v>
      </c>
      <c r="M40" s="424">
        <f>VLOOKUP($A$2,'Costs Summary'!$B$33:$R$55,COLUMNS('Costs Summary'!$B$33:M$55)+1,0)</f>
        <v>21977.741640758704</v>
      </c>
      <c r="N40" s="424">
        <f>VLOOKUP($A$2,'Costs Summary'!$B$33:$R$55,COLUMNS('Costs Summary'!$B$33:N$55)+1,0)</f>
        <v>21858.721246557296</v>
      </c>
      <c r="O40" s="424">
        <f>VLOOKUP($A$2,'Costs Summary'!$B$33:$R$55,COLUMNS('Costs Summary'!$B$33:O$55)+1,0)</f>
        <v>22514.482883954017</v>
      </c>
      <c r="P40" s="424">
        <f>VLOOKUP($A$2,'Costs Summary'!$B$33:$R$55,COLUMNS('Costs Summary'!$B$33:P$55)+1,0)</f>
        <v>23189.917370472638</v>
      </c>
      <c r="Q40" s="433">
        <f>SUM(G40:P40)</f>
        <v>238457.12410998088</v>
      </c>
      <c r="R40" s="366"/>
      <c r="S40" s="357"/>
      <c r="T40" s="8"/>
      <c r="U40" s="8"/>
    </row>
    <row r="41" spans="1:21" s="7" customFormat="1" ht="17.25" customHeight="1">
      <c r="A41" s="368" t="s">
        <v>284</v>
      </c>
      <c r="B41" s="368" t="s">
        <v>336</v>
      </c>
      <c r="H41" s="424">
        <f>VLOOKUP($A$2,'Costs Summary'!$B$125:$R$147,COLUMNS('Costs Summary'!$B$125:H$147)+1,0)</f>
        <v>4877.9050337999997</v>
      </c>
      <c r="I41" s="424">
        <f>VLOOKUP($A$2,'Costs Summary'!$B$125:$R$147,COLUMNS('Costs Summary'!$B$125:I$147)+1,0)</f>
        <v>4048.6842738</v>
      </c>
      <c r="J41" s="424">
        <f>VLOOKUP($A$2,'Costs Summary'!$B$125:$R$147,COLUMNS('Costs Summary'!$B$125:J$147)+1,0)</f>
        <v>3012.3129137999999</v>
      </c>
      <c r="K41" s="424">
        <f>VLOOKUP($A$2,'Costs Summary'!$B$125:$R$147,COLUMNS('Costs Summary'!$B$125:K$147)+1,0)</f>
        <v>3012.3129137999999</v>
      </c>
      <c r="L41" s="424">
        <f>VLOOKUP($A$2,'Costs Summary'!$B$125:$R$147,COLUMNS('Costs Summary'!$B$125:L$147)+1,0)</f>
        <v>3012.3129137999999</v>
      </c>
      <c r="M41" s="424">
        <f>VLOOKUP($A$2,'Costs Summary'!$B$125:$R$147,COLUMNS('Costs Summary'!$B$125:M$147)+1,0)</f>
        <v>3012.3129137999999</v>
      </c>
      <c r="N41" s="424">
        <f>VLOOKUP($A$2,'Costs Summary'!$B$125:$R$147,COLUMNS('Costs Summary'!$B$125:N$147)+1,0)</f>
        <v>2908.7376138</v>
      </c>
      <c r="O41" s="424">
        <f>VLOOKUP($A$2,'Costs Summary'!$B$125:$R$147,COLUMNS('Costs Summary'!$B$125:O$147)+1,0)</f>
        <v>2908.7376138</v>
      </c>
      <c r="P41" s="424">
        <f>VLOOKUP($A$2,'Costs Summary'!$B$125:$R$147,COLUMNS('Costs Summary'!$B$125:P$147)+1,0)</f>
        <v>2908.7376138</v>
      </c>
      <c r="Q41" s="433">
        <f t="shared" ref="Q41:Q42" si="12">SUM(G41:P41)</f>
        <v>29702.053804200001</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4972.0901124335733</v>
      </c>
      <c r="I42" s="424">
        <f>VLOOKUP($A$2,'Costs Summary'!$B$212:$R$234,COLUMNS('Costs Summary'!$B$212:I$234)+1,0)</f>
        <v>4310.405181131634</v>
      </c>
      <c r="J42" s="424">
        <f>VLOOKUP($A$2,'Costs Summary'!$B$212:$R$234,COLUMNS('Costs Summary'!$B$212:J$234)+1,0)</f>
        <v>3648.7202498296947</v>
      </c>
      <c r="K42" s="424">
        <f>VLOOKUP($A$2,'Costs Summary'!$B$212:$R$234,COLUMNS('Costs Summary'!$B$212:K$234)+1,0)</f>
        <v>2987.0353185277554</v>
      </c>
      <c r="L42" s="424">
        <f>VLOOKUP($A$2,'Costs Summary'!$B$212:$R$234,COLUMNS('Costs Summary'!$B$212:L$234)+1,0)</f>
        <v>2325.3503872258161</v>
      </c>
      <c r="M42" s="424">
        <f>VLOOKUP($A$2,'Costs Summary'!$B$212:$R$234,COLUMNS('Costs Summary'!$B$212:M$234)+1,0)</f>
        <v>1663.6654559238773</v>
      </c>
      <c r="N42" s="424">
        <f>VLOOKUP($A$2,'Costs Summary'!$B$212:$R$234,COLUMNS('Costs Summary'!$B$212:N$234)+1,0)</f>
        <v>1001.9805246219381</v>
      </c>
      <c r="O42" s="424">
        <f>VLOOKUP($A$2,'Costs Summary'!$B$212:$R$234,COLUMNS('Costs Summary'!$B$212:O$234)+1,0)</f>
        <v>340.29559331999917</v>
      </c>
      <c r="P42" s="424">
        <f>VLOOKUP($A$2,'Costs Summary'!$B$212:$R$234,COLUMNS('Costs Summary'!$B$212:P$234)+1,0)</f>
        <v>340.29559331999997</v>
      </c>
      <c r="Q42" s="433">
        <f t="shared" si="12"/>
        <v>21589.838416334285</v>
      </c>
      <c r="R42" s="366"/>
      <c r="S42" s="357"/>
      <c r="T42" s="8"/>
      <c r="U42" s="8"/>
    </row>
    <row r="43" spans="1:21" s="7" customFormat="1" ht="17.25" customHeight="1" thickBot="1">
      <c r="A43" s="437" t="s">
        <v>338</v>
      </c>
      <c r="E43" s="368" t="s">
        <v>669</v>
      </c>
      <c r="F43" s="461">
        <f t="shared" ref="F43:P43" si="13">SUM(F39:F42)</f>
        <v>232004.28320000001</v>
      </c>
      <c r="G43" s="461">
        <f t="shared" si="13"/>
        <v>230673.38927678062</v>
      </c>
      <c r="H43" s="461">
        <f t="shared" si="13"/>
        <v>248447.92672774688</v>
      </c>
      <c r="I43" s="461">
        <f t="shared" si="13"/>
        <v>209340.43452289145</v>
      </c>
      <c r="J43" s="461">
        <f t="shared" si="13"/>
        <v>188327.83251818345</v>
      </c>
      <c r="K43" s="461">
        <f t="shared" si="13"/>
        <v>180175.99342773174</v>
      </c>
      <c r="L43" s="461">
        <f t="shared" si="13"/>
        <v>185506.91043145608</v>
      </c>
      <c r="M43" s="461">
        <f t="shared" si="13"/>
        <v>191044.46108350187</v>
      </c>
      <c r="N43" s="461">
        <f t="shared" si="13"/>
        <v>218481.25615418371</v>
      </c>
      <c r="O43" s="461">
        <f t="shared" si="13"/>
        <v>225220.2464472006</v>
      </c>
      <c r="P43" s="461">
        <f t="shared" si="13"/>
        <v>232876.66649618367</v>
      </c>
      <c r="Q43" s="462">
        <f t="shared" ref="Q43" si="14">SUM(Q39:Q42)</f>
        <v>2110095.1170858601</v>
      </c>
      <c r="R43" s="366"/>
      <c r="S43" s="357"/>
      <c r="T43" s="8"/>
      <c r="U43" s="8"/>
    </row>
    <row r="44" spans="1:21" s="7" customFormat="1" ht="17.25" customHeight="1" thickTop="1" thickBot="1">
      <c r="E44" s="368" t="s">
        <v>340</v>
      </c>
      <c r="F44" s="468" t="e">
        <f>F43/(VLOOKUP($A$2,'Asset Attributes'!$B$3:$D$25,3,0))</f>
        <v>#DIV/0!</v>
      </c>
      <c r="G44" s="468" t="e">
        <f>G43/(VLOOKUP($A$2,'Asset Attributes'!$B$3:$D$25,3,0))</f>
        <v>#DIV/0!</v>
      </c>
      <c r="H44" s="468" t="e">
        <f>H43/(VLOOKUP($A$2,'Asset Attributes'!$B$3:$D$25,3,0))</f>
        <v>#DIV/0!</v>
      </c>
      <c r="I44" s="468" t="e">
        <f>I43/(VLOOKUP($A$2,'Asset Attributes'!$B$3:$D$25,3,0))</f>
        <v>#DIV/0!</v>
      </c>
      <c r="J44" s="468" t="e">
        <f>J43/(VLOOKUP($A$2,'Asset Attributes'!$B$3:$D$25,3,0))</f>
        <v>#DIV/0!</v>
      </c>
      <c r="K44" s="468" t="e">
        <f>K43/(VLOOKUP($A$2,'Asset Attributes'!$B$3:$D$25,3,0))</f>
        <v>#DIV/0!</v>
      </c>
      <c r="L44" s="468" t="e">
        <f>L43/(VLOOKUP($A$2,'Asset Attributes'!$B$3:$D$25,3,0))</f>
        <v>#DIV/0!</v>
      </c>
      <c r="M44" s="468" t="e">
        <f>M43/(VLOOKUP($A$2,'Asset Attributes'!$B$3:$D$25,3,0))</f>
        <v>#DIV/0!</v>
      </c>
      <c r="N44" s="468" t="e">
        <f>N43/(VLOOKUP($A$2,'Asset Attributes'!$B$3:$D$25,3,0))</f>
        <v>#DIV/0!</v>
      </c>
      <c r="O44" s="468" t="e">
        <f>O43/(VLOOKUP($A$2,'Asset Attributes'!$B$3:$D$25,3,0))</f>
        <v>#DIV/0!</v>
      </c>
      <c r="P44" s="468" t="e">
        <f>P43/(VLOOKUP($A$2,'Asset Attributes'!$B$3:$D$25,3,0))</f>
        <v>#DIV/0!</v>
      </c>
      <c r="Q44" s="460" t="e">
        <f>Q43/(VLOOKUP($A$2,'Asset Attributes'!$B$3:$D$25,3,0))</f>
        <v>#DIV/0!</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-94060.874670888559</v>
      </c>
      <c r="H46" s="461">
        <f t="shared" si="15"/>
        <v>-97338.940414226352</v>
      </c>
      <c r="I46" s="461">
        <f t="shared" si="15"/>
        <v>-147374.55428182983</v>
      </c>
      <c r="J46" s="461">
        <f t="shared" si="15"/>
        <v>-179715.8816623037</v>
      </c>
      <c r="K46" s="461">
        <f t="shared" si="15"/>
        <v>-199610.91978596139</v>
      </c>
      <c r="L46" s="461">
        <f t="shared" si="15"/>
        <v>-206452.02632979423</v>
      </c>
      <c r="M46" s="461">
        <f t="shared" si="15"/>
        <v>-213530.17220492713</v>
      </c>
      <c r="N46" s="461">
        <f t="shared" si="15"/>
        <v>-258417.16481996293</v>
      </c>
      <c r="O46" s="461">
        <f t="shared" si="15"/>
        <v>-267301.55674281192</v>
      </c>
      <c r="P46" s="461">
        <f t="shared" si="15"/>
        <v>-276494.16374337621</v>
      </c>
      <c r="Q46" s="462">
        <f>SUM(F46:P46)</f>
        <v>-1940296.2546560825</v>
      </c>
      <c r="R46" s="366"/>
      <c r="S46" s="357"/>
      <c r="T46" s="8"/>
      <c r="U46" s="8"/>
    </row>
    <row r="47" spans="1:21" s="7" customFormat="1" ht="17.25" customHeight="1" thickTop="1" thickBot="1">
      <c r="A47" s="9"/>
      <c r="B47" s="1"/>
      <c r="C47" s="2"/>
      <c r="D47" s="2"/>
      <c r="E47" s="368" t="s">
        <v>340</v>
      </c>
      <c r="F47" s="468" t="e">
        <f>F46/(VLOOKUP($A$2,'Asset Attributes'!$B$3:$D$25,3,0))</f>
        <v>#DIV/0!</v>
      </c>
      <c r="G47" s="468" t="e">
        <f>G46/(VLOOKUP($A$2,'Asset Attributes'!$B$3:$D$25,3,0))</f>
        <v>#DIV/0!</v>
      </c>
      <c r="H47" s="468" t="e">
        <f>H46/(VLOOKUP($A$2,'Asset Attributes'!$B$3:$D$25,3,0))</f>
        <v>#DIV/0!</v>
      </c>
      <c r="I47" s="468" t="e">
        <f>I46/(VLOOKUP($A$2,'Asset Attributes'!$B$3:$D$25,3,0))</f>
        <v>#DIV/0!</v>
      </c>
      <c r="J47" s="468" t="e">
        <f>J46/(VLOOKUP($A$2,'Asset Attributes'!$B$3:$D$25,3,0))</f>
        <v>#DIV/0!</v>
      </c>
      <c r="K47" s="468" t="e">
        <f>K46/(VLOOKUP($A$2,'Asset Attributes'!$B$3:$D$25,3,0))</f>
        <v>#DIV/0!</v>
      </c>
      <c r="L47" s="468" t="e">
        <f>L46/(VLOOKUP($A$2,'Asset Attributes'!$B$3:$D$25,3,0))</f>
        <v>#DIV/0!</v>
      </c>
      <c r="M47" s="468" t="e">
        <f>M46/(VLOOKUP($A$2,'Asset Attributes'!$B$3:$D$25,3,0))</f>
        <v>#DIV/0!</v>
      </c>
      <c r="N47" s="468" t="e">
        <f>N46/(VLOOKUP($A$2,'Asset Attributes'!$B$3:$D$25,3,0))</f>
        <v>#DIV/0!</v>
      </c>
      <c r="O47" s="468" t="e">
        <f>O46/(VLOOKUP($A$2,'Asset Attributes'!$B$3:$D$25,3,0))</f>
        <v>#DIV/0!</v>
      </c>
      <c r="P47" s="468" t="e">
        <f>P46/(VLOOKUP($A$2,'Asset Attributes'!$B$3:$D$25,3,0))</f>
        <v>#DIV/0!</v>
      </c>
      <c r="Q47" s="460" t="e">
        <f>Q46/(VLOOKUP($A$2,'Asset Attributes'!$B$3:$D$25,3,0))</f>
        <v>#DIV/0!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1365500</v>
      </c>
      <c r="H49" s="464">
        <f t="shared" si="16"/>
        <v>260000</v>
      </c>
      <c r="I49" s="464">
        <f t="shared" si="16"/>
        <v>70000</v>
      </c>
      <c r="J49" s="464">
        <f t="shared" si="16"/>
        <v>80000</v>
      </c>
      <c r="K49" s="464">
        <f t="shared" si="16"/>
        <v>1400</v>
      </c>
      <c r="L49" s="464">
        <f t="shared" si="16"/>
        <v>0</v>
      </c>
      <c r="M49" s="464">
        <f t="shared" si="16"/>
        <v>7500</v>
      </c>
      <c r="N49" s="464">
        <f t="shared" si="16"/>
        <v>0</v>
      </c>
      <c r="O49" s="464">
        <f t="shared" si="16"/>
        <v>0</v>
      </c>
      <c r="P49" s="464">
        <f t="shared" si="16"/>
        <v>0</v>
      </c>
      <c r="Q49" s="465">
        <f>+SUM(F49:P49)</f>
        <v>1784400</v>
      </c>
      <c r="R49" s="366"/>
      <c r="S49" s="357"/>
      <c r="T49" s="8"/>
      <c r="U49" s="8"/>
      <c r="V49" s="8"/>
      <c r="W49" s="8"/>
      <c r="X49" s="8"/>
    </row>
    <row r="50" spans="1:24" s="7" customFormat="1" ht="17.25" customHeight="1">
      <c r="A50" s="9"/>
      <c r="B50" s="368"/>
      <c r="C50" s="2"/>
      <c r="D50" s="2"/>
      <c r="E50" s="459" t="s">
        <v>348</v>
      </c>
      <c r="F50" s="466">
        <f>F46</f>
        <v>0</v>
      </c>
      <c r="G50" s="466">
        <f t="shared" ref="G50:P50" si="17">G46</f>
        <v>-94060.874670888559</v>
      </c>
      <c r="H50" s="466">
        <f t="shared" si="17"/>
        <v>-97338.940414226352</v>
      </c>
      <c r="I50" s="466">
        <f t="shared" si="17"/>
        <v>-147374.55428182983</v>
      </c>
      <c r="J50" s="466">
        <f t="shared" si="17"/>
        <v>-179715.8816623037</v>
      </c>
      <c r="K50" s="466">
        <f t="shared" si="17"/>
        <v>-199610.91978596139</v>
      </c>
      <c r="L50" s="466">
        <f t="shared" si="17"/>
        <v>-206452.02632979423</v>
      </c>
      <c r="M50" s="466">
        <f t="shared" si="17"/>
        <v>-213530.17220492713</v>
      </c>
      <c r="N50" s="466">
        <f t="shared" si="17"/>
        <v>-258417.16481996293</v>
      </c>
      <c r="O50" s="466">
        <f t="shared" si="17"/>
        <v>-267301.55674281192</v>
      </c>
      <c r="P50" s="466">
        <f t="shared" si="17"/>
        <v>-276494.16374337621</v>
      </c>
      <c r="Q50" s="467">
        <f>Q46</f>
        <v>-1940296.2546560825</v>
      </c>
      <c r="R50" s="366"/>
      <c r="S50" s="357"/>
      <c r="T50" s="8"/>
      <c r="U50" s="8"/>
      <c r="V50" s="8"/>
      <c r="W50" s="8"/>
      <c r="X50" s="8"/>
    </row>
    <row r="51" spans="1:24"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927</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850 Collins Street</v>
      </c>
      <c r="F56" s="440">
        <f t="shared" ref="F56:P56" si="19">F272</f>
        <v>4.8364833906071016</v>
      </c>
      <c r="G56" s="440">
        <f t="shared" si="19"/>
        <v>4.8364833906071016</v>
      </c>
      <c r="H56" s="440">
        <f t="shared" si="19"/>
        <v>5.5062620397952138</v>
      </c>
      <c r="I56" s="440">
        <f t="shared" si="19"/>
        <v>5.6730837782371895</v>
      </c>
      <c r="J56" s="440">
        <f t="shared" si="19"/>
        <v>5.8146138550476181</v>
      </c>
      <c r="K56" s="440">
        <f t="shared" si="19"/>
        <v>5.8638942464992319</v>
      </c>
      <c r="L56" s="440">
        <f t="shared" si="19"/>
        <v>5.8852046860458751</v>
      </c>
      <c r="M56" s="440">
        <f t="shared" si="19"/>
        <v>5.8852046860458751</v>
      </c>
      <c r="N56" s="440">
        <f t="shared" si="19"/>
        <v>5.907302386414865</v>
      </c>
      <c r="O56" s="440">
        <f t="shared" si="19"/>
        <v>5.907302386414865</v>
      </c>
      <c r="P56" s="440">
        <f t="shared" si="19"/>
        <v>5.907302386414865</v>
      </c>
      <c r="Q56" s="470">
        <f>IF(E56="",0,P56-F56)</f>
        <v>1.0708189958077634</v>
      </c>
      <c r="R56" s="473" t="s">
        <v>358</v>
      </c>
      <c r="S56" s="478" t="s">
        <v>20</v>
      </c>
      <c r="T56" s="473" t="s">
        <v>358</v>
      </c>
      <c r="U56" s="478" t="s">
        <v>20</v>
      </c>
      <c r="V56" s="473" t="s">
        <v>358</v>
      </c>
      <c r="W56" s="479" t="str">
        <f>IF(W58=1,"Complete",IF(W60&lt;&gt;0,"Complete","Outstanding"))</f>
        <v>Complete</v>
      </c>
      <c r="X56" s="14"/>
    </row>
    <row r="57" spans="1:24" ht="25.5" customHeight="1">
      <c r="A57" s="438" t="s">
        <v>6</v>
      </c>
      <c r="C57" s="275" t="s">
        <v>129</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t="str">
        <f>IF(S56="Underway","",R115)</f>
        <v/>
      </c>
      <c r="T57" s="473" t="s">
        <v>669</v>
      </c>
      <c r="U57" s="479" t="str">
        <f>IF(U56="Underway","",S115)</f>
        <v/>
      </c>
      <c r="V57" s="473" t="s">
        <v>361</v>
      </c>
      <c r="W57" s="478"/>
      <c r="X57" s="14"/>
    </row>
    <row r="58" spans="1:24" ht="25.5" customHeight="1">
      <c r="A58" s="438" t="s">
        <v>363</v>
      </c>
      <c r="B58" s="14"/>
      <c r="C58" s="275" t="s">
        <v>364</v>
      </c>
      <c r="D58" s="160"/>
      <c r="E58" s="488" t="str">
        <f>IF(VLOOKUP($A$2,'Asset Attributes'!B3:G25,6,0)&gt;0.001,"IOM","")</f>
        <v/>
      </c>
      <c r="F58" s="439" t="str">
        <f>IF($E$58="IOM",SUMPRODUCT('Footprint Summary'!G153:G175,'Footprint Summary'!$C153:$C175,'Footprint Summary'!$F153:$F175)/SUMPRODUCT('Footprint Summary'!$C153:$C175,'Footprint Summary'!$F153:$F175),"")</f>
        <v/>
      </c>
      <c r="G58" s="439" t="str">
        <f>IF($E$58="IOM",SUMPRODUCT('Footprint Summary'!H153:H175,'Footprint Summary'!$C153:$C175,'Footprint Summary'!$F153:$F175)/SUMPRODUCT('Footprint Summary'!$C153:$C175,'Footprint Summary'!$F153:$F175),"")</f>
        <v/>
      </c>
      <c r="H58" s="439" t="str">
        <f>IF($E$58="IOM",SUMPRODUCT('Footprint Summary'!I153:I175,'Footprint Summary'!$C153:$C175,'Footprint Summary'!$F153:$F175)/SUMPRODUCT('Footprint Summary'!$C153:$C175,'Footprint Summary'!$F153:$F175),"")</f>
        <v/>
      </c>
      <c r="I58" s="439" t="str">
        <f>IF($E$58="IOM",SUMPRODUCT('Footprint Summary'!J153:J175,'Footprint Summary'!$C153:$C175,'Footprint Summary'!$F153:$F175)/SUMPRODUCT('Footprint Summary'!$C153:$C175,'Footprint Summary'!$F153:$F175),"")</f>
        <v/>
      </c>
      <c r="J58" s="439" t="str">
        <f>IF($E$58="IOM",SUMPRODUCT('Footprint Summary'!K153:K175,'Footprint Summary'!$C153:$C175,'Footprint Summary'!$F153:$F175)/SUMPRODUCT('Footprint Summary'!$C153:$C175,'Footprint Summary'!$F153:$F175),"")</f>
        <v/>
      </c>
      <c r="K58" s="439" t="str">
        <f>IF($E$58="IOM",SUMPRODUCT('Footprint Summary'!L153:L175,'Footprint Summary'!$C153:$C175,'Footprint Summary'!$F153:$F175)/SUMPRODUCT('Footprint Summary'!$C153:$C175,'Footprint Summary'!$F153:$F175),"")</f>
        <v/>
      </c>
      <c r="L58" s="439" t="str">
        <f>IF($E$58="IOM",SUMPRODUCT('Footprint Summary'!M153:M175,'Footprint Summary'!$C153:$C175,'Footprint Summary'!$F153:$F175)/SUMPRODUCT('Footprint Summary'!$C153:$C175,'Footprint Summary'!$F153:$F175),"")</f>
        <v/>
      </c>
      <c r="M58" s="439" t="str">
        <f>IF($E$58="IOM",SUMPRODUCT('Footprint Summary'!N153:N175,'Footprint Summary'!$C153:$C175,'Footprint Summary'!$F153:$F175)/SUMPRODUCT('Footprint Summary'!$C153:$C175,'Footprint Summary'!$F153:$F175),"")</f>
        <v/>
      </c>
      <c r="N58" s="439" t="str">
        <f>IF($E$58="IOM",SUMPRODUCT('Footprint Summary'!O153:O175,'Footprint Summary'!$C153:$C175,'Footprint Summary'!$F153:$F175)/SUMPRODUCT('Footprint Summary'!$C153:$C175,'Footprint Summary'!$F153:$F175),"")</f>
        <v/>
      </c>
      <c r="O58" s="439" t="str">
        <f>IF($E$58="IOM",SUMPRODUCT('Footprint Summary'!P153:P175,'Footprint Summary'!$C153:$C175,'Footprint Summary'!$F153:$F175)/SUMPRODUCT('Footprint Summary'!$C153:$C175,'Footprint Summary'!$F153:$F175),"")</f>
        <v/>
      </c>
      <c r="P58" s="439" t="str">
        <f>IF($E$58="IOM",SUMPRODUCT('Footprint Summary'!Q153:Q175,'Footprint Summary'!$C153:$C175,'Footprint Summary'!$F153:$F175)/SUMPRODUCT('Footprint Summary'!$C153:$C175,'Footprint Summary'!$F153:$F175),"")</f>
        <v/>
      </c>
      <c r="Q58" s="470" t="str">
        <f>IF(E58="","",P58-F58)</f>
        <v/>
      </c>
      <c r="R58" s="482" t="s">
        <v>366</v>
      </c>
      <c r="S58" s="479" t="str">
        <f>IF(S56="Underway","",-1*(1000*AL214*D6+AM214*D8))</f>
        <v/>
      </c>
      <c r="T58" s="473" t="s">
        <v>367</v>
      </c>
      <c r="U58" s="478" t="str">
        <f>IF(U56="Underway","",-1*S64)</f>
        <v/>
      </c>
      <c r="V58" s="473" t="s">
        <v>368</v>
      </c>
      <c r="W58" s="478">
        <v>1</v>
      </c>
      <c r="X58" s="14"/>
    </row>
    <row r="59" spans="1:24" ht="25.5" customHeight="1">
      <c r="A59" s="438" t="s">
        <v>369</v>
      </c>
      <c r="B59" s="14"/>
      <c r="C59" s="443">
        <v>3000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6.9917451480705342E-2</v>
      </c>
      <c r="T59" s="473" t="s">
        <v>371</v>
      </c>
      <c r="U59" s="483" t="str">
        <f>IF(U56="Underway","",_xlfn.MAXIFS(E69:E88,S69:S88,"Yes"))</f>
        <v/>
      </c>
      <c r="V59" s="482" t="s">
        <v>372</v>
      </c>
      <c r="W59" s="479">
        <f>T115</f>
        <v>0</v>
      </c>
      <c r="X59" s="14"/>
    </row>
    <row r="60" spans="1:24" ht="25.5" customHeight="1">
      <c r="A60" s="438" t="s">
        <v>373</v>
      </c>
      <c r="B60" s="14"/>
      <c r="C60" s="275">
        <v>15399.7</v>
      </c>
      <c r="D60" s="160"/>
      <c r="Q60" s="10"/>
      <c r="R60" s="473" t="s">
        <v>374</v>
      </c>
      <c r="S60" s="481" t="str">
        <f>IF(S56="Underway","",U115)</f>
        <v/>
      </c>
      <c r="T60" s="10"/>
      <c r="U60" s="10"/>
      <c r="V60" s="473" t="s">
        <v>375</v>
      </c>
      <c r="W60" s="483" t="str">
        <f>IF(IF(W58=1,"Complete",_xlfn.MAXIFS(E69:E114,T69:T114,"Yes"))=0,"",IF(W58=1,"Complete",_xlfn.MAXIFS(E69:E114,T69:T114,"Yes")))</f>
        <v>Complete</v>
      </c>
      <c r="X60" s="14"/>
    </row>
    <row r="61" spans="1:24" ht="25.5" customHeight="1">
      <c r="A61" s="438" t="s">
        <v>376</v>
      </c>
      <c r="B61" s="14"/>
      <c r="C61" s="444">
        <v>50</v>
      </c>
      <c r="D61" s="162"/>
      <c r="H61" s="13"/>
      <c r="J61" s="14"/>
      <c r="K61" s="14"/>
      <c r="L61" s="14"/>
      <c r="M61" s="10"/>
      <c r="N61" s="10"/>
      <c r="O61" s="10"/>
      <c r="P61" s="10"/>
      <c r="Q61" s="10"/>
      <c r="R61" s="482" t="s">
        <v>377</v>
      </c>
      <c r="S61" s="481">
        <f>P272</f>
        <v>5.907302386414865</v>
      </c>
      <c r="T61" s="10"/>
      <c r="U61" s="10"/>
      <c r="V61" s="473" t="s">
        <v>378</v>
      </c>
      <c r="W61" s="478">
        <v>1</v>
      </c>
      <c r="X61" s="14"/>
    </row>
    <row r="62" spans="1:24" ht="25.5" customHeight="1">
      <c r="A62" s="438" t="s">
        <v>379</v>
      </c>
      <c r="B62" s="14"/>
      <c r="C62" s="275">
        <v>775.36580000000004</v>
      </c>
      <c r="H62" s="13"/>
      <c r="J62" s="14"/>
      <c r="K62" s="14"/>
      <c r="L62" s="347"/>
      <c r="M62" s="10"/>
      <c r="N62" s="10"/>
      <c r="O62" s="10"/>
      <c r="P62" s="10"/>
      <c r="Q62" s="10"/>
      <c r="R62" s="482" t="s">
        <v>380</v>
      </c>
      <c r="S62" s="481">
        <f>Q272</f>
        <v>5.907302386414865</v>
      </c>
      <c r="T62" s="10"/>
      <c r="U62" s="10"/>
      <c r="V62" s="10"/>
      <c r="W62" s="14"/>
      <c r="X62" s="14"/>
    </row>
    <row r="63" spans="1:24" ht="25.5" customHeight="1">
      <c r="A63" s="438" t="s">
        <v>382</v>
      </c>
      <c r="B63" s="14"/>
      <c r="C63" s="275">
        <v>1726.5909999999999</v>
      </c>
      <c r="H63" s="13"/>
      <c r="J63" s="14"/>
      <c r="K63" s="14"/>
      <c r="L63" s="10"/>
      <c r="M63" s="10"/>
      <c r="N63" s="10"/>
      <c r="O63" s="10"/>
      <c r="P63" s="10"/>
      <c r="Q63" s="10"/>
      <c r="R63" s="476" t="s">
        <v>383</v>
      </c>
      <c r="S63" s="478">
        <f>C115/C62</f>
        <v>-0.49749421498858981</v>
      </c>
      <c r="T63" s="10"/>
      <c r="U63" s="10"/>
      <c r="V63" s="10"/>
      <c r="W63" s="14"/>
      <c r="X63" s="14"/>
    </row>
    <row r="64" spans="1:24" ht="25.5" customHeight="1">
      <c r="A64" s="446" t="s">
        <v>385</v>
      </c>
      <c r="B64" s="447"/>
      <c r="C64" s="445">
        <v>90</v>
      </c>
      <c r="D64" s="495">
        <f>(AJ215-C64)/C64</f>
        <v>-0.48831398972727225</v>
      </c>
      <c r="H64" s="13"/>
      <c r="J64" s="14"/>
      <c r="K64" s="14"/>
      <c r="L64" s="10"/>
      <c r="M64" s="10"/>
      <c r="N64" s="10"/>
      <c r="O64" s="10"/>
      <c r="P64" s="10"/>
      <c r="Q64" s="10"/>
      <c r="R64" s="476" t="s">
        <v>386</v>
      </c>
      <c r="S64" s="478">
        <f>D115/C63</f>
        <v>-0.40960482245071361</v>
      </c>
      <c r="T64" s="10"/>
      <c r="U64" s="14"/>
      <c r="V64" s="10"/>
      <c r="W64" s="14"/>
      <c r="X64" s="14"/>
    </row>
    <row r="65" spans="1:24" ht="25.5" customHeight="1">
      <c r="B65" s="487" t="s">
        <v>387</v>
      </c>
      <c r="C65" s="489">
        <f>Z216</f>
        <v>4.8364833906071016</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394</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t="s">
        <v>652</v>
      </c>
      <c r="C69" s="375">
        <v>-110</v>
      </c>
      <c r="D69" s="376">
        <v>0</v>
      </c>
      <c r="E69" s="377">
        <v>45382</v>
      </c>
      <c r="F69" s="378">
        <v>140500</v>
      </c>
      <c r="G69" s="403">
        <f>IF(E69&lt;G66,F69,0)</f>
        <v>140500</v>
      </c>
      <c r="H69" s="404">
        <f t="shared" ref="H69:Q78"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c r="S69" s="379"/>
      <c r="T69" s="380"/>
      <c r="U69" s="411">
        <f>IF(-0.75*((C69/(VLOOKUP($A$2,Assumptions!$B$124:$G$147,2,0)))+D69/(VLOOKUP($A$2,Assumptions!$B$124:$G$147,5,0)))=0,"",-0.75*((C69/(VLOOKUP($A$2,Assumptions!$B$124:$G$147,2,0)))+D69/(VLOOKUP($A$2,Assumptions!$B$124:$G$147,5,0))))</f>
        <v>0.23843930635838151</v>
      </c>
      <c r="V69" s="412">
        <f t="shared" ref="V69:V88" si="22">IF(ISERROR(((-1*C69*1000*$D$6)+(-1*D69*$D$8))/F69),"",((-1*C69*1000*$D$6)+(-1*D69*$D$8))/F69)</f>
        <v>0.22689334152794816</v>
      </c>
      <c r="W69" s="450"/>
      <c r="X69" s="506"/>
    </row>
    <row r="70" spans="1:24" ht="15">
      <c r="A70" s="373"/>
      <c r="B70" s="374" t="s">
        <v>653</v>
      </c>
      <c r="C70" s="381">
        <v>-63.5</v>
      </c>
      <c r="D70" s="381">
        <v>0</v>
      </c>
      <c r="E70" s="377">
        <v>45382</v>
      </c>
      <c r="F70" s="378">
        <v>1200000</v>
      </c>
      <c r="G70" s="403">
        <f t="shared" ref="G70:G88" si="23">IF($E70&lt;G$66,$F70,0)</f>
        <v>1200000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c r="S70" s="379"/>
      <c r="T70" s="382"/>
      <c r="U70" s="413">
        <f>IF(-0.75*((C70/(VLOOKUP($A$2,Assumptions!$B$124:$G$147,2,0)))+D70/(VLOOKUP($A$2,Assumptions!$B$124:$G$147,5,0)))=0,"",-0.75*((C70/(VLOOKUP($A$2,Assumptions!$B$124:$G$147,2,0)))+D70/(VLOOKUP($A$2,Assumptions!$B$124:$G$147,5,0))))</f>
        <v>0.13764450867052025</v>
      </c>
      <c r="V70" s="414">
        <f t="shared" si="22"/>
        <v>1.5335497498310388E-2</v>
      </c>
      <c r="W70" s="451"/>
      <c r="X70" s="507"/>
    </row>
    <row r="71" spans="1:24" ht="15">
      <c r="A71" s="373"/>
      <c r="B71" s="374" t="s">
        <v>654</v>
      </c>
      <c r="C71" s="383">
        <v>-60.1</v>
      </c>
      <c r="D71" s="383">
        <v>-134.1</v>
      </c>
      <c r="E71" s="377">
        <v>45747</v>
      </c>
      <c r="F71" s="384">
        <v>80000</v>
      </c>
      <c r="G71" s="403">
        <f t="shared" si="23"/>
        <v>0</v>
      </c>
      <c r="H71" s="404">
        <f t="shared" si="21"/>
        <v>80000</v>
      </c>
      <c r="I71" s="405">
        <f t="shared" si="21"/>
        <v>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c r="S71" s="379"/>
      <c r="T71" s="382"/>
      <c r="U71" s="413">
        <f>IF(-0.75*((C71/(VLOOKUP($A$2,Assumptions!$B$124:$G$147,2,0)))+D71/(VLOOKUP($A$2,Assumptions!$B$124:$G$147,5,0)))=0,"",-0.75*((C71/(VLOOKUP($A$2,Assumptions!$B$124:$G$147,2,0)))+D71/(VLOOKUP($A$2,Assumptions!$B$124:$G$147,5,0))))</f>
        <v>0.1426912331406551</v>
      </c>
      <c r="V71" s="414">
        <f t="shared" si="22"/>
        <v>0.24846062872963279</v>
      </c>
      <c r="W71" s="451"/>
      <c r="X71" s="507"/>
    </row>
    <row r="72" spans="1:24" ht="15">
      <c r="A72" s="373"/>
      <c r="B72" s="374" t="s">
        <v>655</v>
      </c>
      <c r="C72" s="375">
        <v>-40.1</v>
      </c>
      <c r="D72" s="375">
        <v>-134.1</v>
      </c>
      <c r="E72" s="377">
        <v>45747</v>
      </c>
      <c r="F72" s="378">
        <v>180000</v>
      </c>
      <c r="G72" s="403">
        <f t="shared" si="23"/>
        <v>0</v>
      </c>
      <c r="H72" s="404">
        <f t="shared" si="21"/>
        <v>180000</v>
      </c>
      <c r="I72" s="405">
        <f t="shared" si="21"/>
        <v>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c r="S72" s="379"/>
      <c r="T72" s="382"/>
      <c r="U72" s="413">
        <f>IF(-0.75*((C72/(VLOOKUP($A$2,Assumptions!$B$124:$G$147,2,0)))+D72/(VLOOKUP($A$2,Assumptions!$B$124:$G$147,5,0)))=0,"",-0.75*((C72/(VLOOKUP($A$2,Assumptions!$B$124:$G$147,2,0)))+D72/(VLOOKUP($A$2,Assumptions!$B$124:$G$147,5,0))))</f>
        <v>9.9338631984585743E-2</v>
      </c>
      <c r="V72" s="414">
        <f t="shared" si="22"/>
        <v>7.8226426420567388E-2</v>
      </c>
      <c r="W72" s="451"/>
      <c r="X72" s="507"/>
    </row>
    <row r="73" spans="1:24" ht="15">
      <c r="A73" s="373"/>
      <c r="B73" s="374" t="s">
        <v>656</v>
      </c>
      <c r="C73" s="381">
        <v>-14.8</v>
      </c>
      <c r="D73" s="381">
        <v>-67</v>
      </c>
      <c r="E73" s="377">
        <v>46112</v>
      </c>
      <c r="F73" s="378">
        <v>25000</v>
      </c>
      <c r="G73" s="403">
        <f t="shared" si="23"/>
        <v>0</v>
      </c>
      <c r="H73" s="404">
        <f t="shared" si="21"/>
        <v>0</v>
      </c>
      <c r="I73" s="405">
        <f t="shared" si="21"/>
        <v>25000</v>
      </c>
      <c r="J73" s="405">
        <f t="shared" si="21"/>
        <v>0</v>
      </c>
      <c r="K73" s="405">
        <f t="shared" si="21"/>
        <v>0</v>
      </c>
      <c r="L73" s="405">
        <f t="shared" si="21"/>
        <v>0</v>
      </c>
      <c r="M73" s="405">
        <f t="shared" si="21"/>
        <v>0</v>
      </c>
      <c r="N73" s="405">
        <f t="shared" si="21"/>
        <v>0</v>
      </c>
      <c r="O73" s="405">
        <f t="shared" si="21"/>
        <v>0</v>
      </c>
      <c r="P73" s="406">
        <f t="shared" si="21"/>
        <v>0</v>
      </c>
      <c r="Q73" s="448">
        <f t="shared" si="21"/>
        <v>0</v>
      </c>
      <c r="R73" s="379"/>
      <c r="S73" s="379"/>
      <c r="T73" s="382"/>
      <c r="U73" s="413">
        <f>IF(-0.75*((C73/(VLOOKUP($A$2,Assumptions!$B$124:$G$147,2,0)))+D73/(VLOOKUP($A$2,Assumptions!$B$124:$G$147,5,0)))=0,"",-0.75*((C73/(VLOOKUP($A$2,Assumptions!$B$124:$G$147,2,0)))+D73/(VLOOKUP($A$2,Assumptions!$B$124:$G$147,5,0))))</f>
        <v>3.8284628559195039E-2</v>
      </c>
      <c r="V73" s="414">
        <f t="shared" si="22"/>
        <v>0.22071947000472364</v>
      </c>
      <c r="W73" s="451"/>
      <c r="X73" s="507"/>
    </row>
    <row r="74" spans="1:24" ht="15">
      <c r="A74" s="373"/>
      <c r="B74" s="374" t="s">
        <v>657</v>
      </c>
      <c r="C74" s="375">
        <v>-3.9</v>
      </c>
      <c r="D74" s="375">
        <v>-268.2</v>
      </c>
      <c r="E74" s="377">
        <v>46112</v>
      </c>
      <c r="F74" s="378">
        <v>15000</v>
      </c>
      <c r="G74" s="403">
        <f t="shared" si="23"/>
        <v>0</v>
      </c>
      <c r="H74" s="404">
        <f t="shared" si="21"/>
        <v>0</v>
      </c>
      <c r="I74" s="405">
        <f t="shared" si="21"/>
        <v>15000</v>
      </c>
      <c r="J74" s="405">
        <f t="shared" si="21"/>
        <v>0</v>
      </c>
      <c r="K74" s="405">
        <f t="shared" si="21"/>
        <v>0</v>
      </c>
      <c r="L74" s="405">
        <f t="shared" si="21"/>
        <v>0</v>
      </c>
      <c r="M74" s="405">
        <f t="shared" si="21"/>
        <v>0</v>
      </c>
      <c r="N74" s="405">
        <f t="shared" si="21"/>
        <v>0</v>
      </c>
      <c r="O74" s="405">
        <f t="shared" si="21"/>
        <v>0</v>
      </c>
      <c r="P74" s="406">
        <f t="shared" si="21"/>
        <v>0</v>
      </c>
      <c r="Q74" s="448">
        <f t="shared" si="21"/>
        <v>0</v>
      </c>
      <c r="R74" s="379"/>
      <c r="S74" s="379"/>
      <c r="T74" s="382"/>
      <c r="U74" s="413">
        <f>IF(-0.75*((C74/(VLOOKUP($A$2,Assumptions!$B$124:$G$147,2,0)))+D74/(VLOOKUP($A$2,Assumptions!$B$124:$G$147,5,0)))=0,"",-0.75*((C74/(VLOOKUP($A$2,Assumptions!$B$124:$G$147,2,0)))+D74/(VLOOKUP($A$2,Assumptions!$B$124:$G$147,5,0))))</f>
        <v>3.3287090558766858E-2</v>
      </c>
      <c r="V74" s="414">
        <f t="shared" si="22"/>
        <v>0.40329444307493056</v>
      </c>
      <c r="W74" s="451"/>
      <c r="X74" s="507"/>
    </row>
    <row r="75" spans="1:24" ht="15">
      <c r="A75" s="373"/>
      <c r="B75" s="374" t="s">
        <v>658</v>
      </c>
      <c r="C75" s="375">
        <v>-27.5</v>
      </c>
      <c r="D75" s="375">
        <v>0</v>
      </c>
      <c r="E75" s="377">
        <v>46112</v>
      </c>
      <c r="F75" s="378">
        <v>30000</v>
      </c>
      <c r="G75" s="403">
        <f t="shared" si="23"/>
        <v>0</v>
      </c>
      <c r="H75" s="404">
        <f t="shared" si="21"/>
        <v>0</v>
      </c>
      <c r="I75" s="405">
        <f t="shared" si="21"/>
        <v>30000</v>
      </c>
      <c r="J75" s="405">
        <f t="shared" si="21"/>
        <v>0</v>
      </c>
      <c r="K75" s="405">
        <f t="shared" si="21"/>
        <v>0</v>
      </c>
      <c r="L75" s="405">
        <f t="shared" si="21"/>
        <v>0</v>
      </c>
      <c r="M75" s="405">
        <f t="shared" si="21"/>
        <v>0</v>
      </c>
      <c r="N75" s="405">
        <f t="shared" si="21"/>
        <v>0</v>
      </c>
      <c r="O75" s="405">
        <f t="shared" si="21"/>
        <v>0</v>
      </c>
      <c r="P75" s="406">
        <f t="shared" si="21"/>
        <v>0</v>
      </c>
      <c r="Q75" s="448">
        <f t="shared" si="21"/>
        <v>0</v>
      </c>
      <c r="R75" s="379"/>
      <c r="S75" s="379"/>
      <c r="T75" s="382"/>
      <c r="U75" s="413">
        <f>IF(-0.75*((C75/(VLOOKUP($A$2,Assumptions!$B$124:$G$147,2,0)))+D75/(VLOOKUP($A$2,Assumptions!$B$124:$G$147,5,0)))=0,"",-0.75*((C75/(VLOOKUP($A$2,Assumptions!$B$124:$G$147,2,0)))+D75/(VLOOKUP($A$2,Assumptions!$B$124:$G$147,5,0))))</f>
        <v>5.9609826589595377E-2</v>
      </c>
      <c r="V75" s="414">
        <f t="shared" si="22"/>
        <v>0.26565428737230595</v>
      </c>
      <c r="W75" s="451"/>
      <c r="X75" s="507"/>
    </row>
    <row r="76" spans="1:24" ht="15">
      <c r="A76" s="373"/>
      <c r="B76" s="374" t="s">
        <v>659</v>
      </c>
      <c r="C76" s="375">
        <v>-11.3</v>
      </c>
      <c r="D76" s="375">
        <v>0</v>
      </c>
      <c r="E76" s="377">
        <v>46477</v>
      </c>
      <c r="F76" s="378">
        <v>50000</v>
      </c>
      <c r="G76" s="403">
        <f t="shared" si="23"/>
        <v>0</v>
      </c>
      <c r="H76" s="404">
        <f t="shared" si="21"/>
        <v>0</v>
      </c>
      <c r="I76" s="405">
        <f t="shared" si="21"/>
        <v>0</v>
      </c>
      <c r="J76" s="405">
        <f t="shared" si="21"/>
        <v>50000</v>
      </c>
      <c r="K76" s="405">
        <f t="shared" si="21"/>
        <v>0</v>
      </c>
      <c r="L76" s="405">
        <f t="shared" si="21"/>
        <v>0</v>
      </c>
      <c r="M76" s="405">
        <f t="shared" si="21"/>
        <v>0</v>
      </c>
      <c r="N76" s="405">
        <f t="shared" si="21"/>
        <v>0</v>
      </c>
      <c r="O76" s="405">
        <f t="shared" si="21"/>
        <v>0</v>
      </c>
      <c r="P76" s="406">
        <f t="shared" si="21"/>
        <v>0</v>
      </c>
      <c r="Q76" s="448">
        <f t="shared" si="21"/>
        <v>0</v>
      </c>
      <c r="R76" s="379"/>
      <c r="S76" s="379"/>
      <c r="T76" s="382"/>
      <c r="U76" s="413">
        <f>IF(-0.75*((C76/(VLOOKUP($A$2,Assumptions!$B$124:$G$147,2,0)))+D76/(VLOOKUP($A$2,Assumptions!$B$124:$G$147,5,0)))=0,"",-0.75*((C76/(VLOOKUP($A$2,Assumptions!$B$124:$G$147,2,0)))+D76/(VLOOKUP($A$2,Assumptions!$B$124:$G$147,5,0))))</f>
        <v>2.4494219653179196E-2</v>
      </c>
      <c r="V76" s="414">
        <f t="shared" si="22"/>
        <v>6.5495857032153978E-2</v>
      </c>
      <c r="W76" s="451"/>
      <c r="X76" s="507"/>
    </row>
    <row r="77" spans="1:24" ht="15">
      <c r="A77" s="373"/>
      <c r="B77" s="374" t="s">
        <v>660</v>
      </c>
      <c r="C77" s="375">
        <v>-10.9</v>
      </c>
      <c r="D77" s="375">
        <v>0</v>
      </c>
      <c r="E77" s="377">
        <v>46477</v>
      </c>
      <c r="F77" s="378">
        <v>30000</v>
      </c>
      <c r="G77" s="403">
        <f t="shared" si="23"/>
        <v>0</v>
      </c>
      <c r="H77" s="404">
        <f t="shared" si="21"/>
        <v>0</v>
      </c>
      <c r="I77" s="405">
        <f t="shared" si="21"/>
        <v>0</v>
      </c>
      <c r="J77" s="405">
        <f t="shared" si="21"/>
        <v>30000</v>
      </c>
      <c r="K77" s="405">
        <f t="shared" si="21"/>
        <v>0</v>
      </c>
      <c r="L77" s="405">
        <f t="shared" si="21"/>
        <v>0</v>
      </c>
      <c r="M77" s="405">
        <f t="shared" si="21"/>
        <v>0</v>
      </c>
      <c r="N77" s="405">
        <f t="shared" si="21"/>
        <v>0</v>
      </c>
      <c r="O77" s="405">
        <f t="shared" si="21"/>
        <v>0</v>
      </c>
      <c r="P77" s="406">
        <f t="shared" si="21"/>
        <v>0</v>
      </c>
      <c r="Q77" s="448">
        <f t="shared" si="21"/>
        <v>0</v>
      </c>
      <c r="R77" s="379"/>
      <c r="S77" s="379"/>
      <c r="T77" s="385"/>
      <c r="U77" s="413">
        <f>IF(-0.75*((C77/(VLOOKUP($A$2,Assumptions!$B$124:$G$147,2,0)))+D77/(VLOOKUP($A$2,Assumptions!$B$124:$G$147,5,0)))=0,"",-0.75*((C77/(VLOOKUP($A$2,Assumptions!$B$124:$G$147,2,0)))+D77/(VLOOKUP($A$2,Assumptions!$B$124:$G$147,5,0))))</f>
        <v>2.3627167630057802E-2</v>
      </c>
      <c r="V77" s="414">
        <f t="shared" si="22"/>
        <v>0.10529569935847763</v>
      </c>
      <c r="W77" s="451"/>
      <c r="X77" s="507"/>
    </row>
    <row r="78" spans="1:24" ht="15">
      <c r="A78" s="373"/>
      <c r="B78" s="374" t="s">
        <v>661</v>
      </c>
      <c r="C78" s="375">
        <v>-9.6</v>
      </c>
      <c r="D78" s="375">
        <v>0</v>
      </c>
      <c r="E78" s="377">
        <v>46843</v>
      </c>
      <c r="F78" s="378">
        <v>1400</v>
      </c>
      <c r="G78" s="403">
        <f t="shared" si="23"/>
        <v>0</v>
      </c>
      <c r="H78" s="404">
        <f t="shared" si="21"/>
        <v>0</v>
      </c>
      <c r="I78" s="405">
        <f t="shared" si="21"/>
        <v>0</v>
      </c>
      <c r="J78" s="405">
        <f t="shared" si="21"/>
        <v>0</v>
      </c>
      <c r="K78" s="405">
        <f t="shared" si="21"/>
        <v>1400</v>
      </c>
      <c r="L78" s="405">
        <f t="shared" si="21"/>
        <v>0</v>
      </c>
      <c r="M78" s="405">
        <f t="shared" si="21"/>
        <v>0</v>
      </c>
      <c r="N78" s="405">
        <f t="shared" si="21"/>
        <v>0</v>
      </c>
      <c r="O78" s="405">
        <f t="shared" si="21"/>
        <v>0</v>
      </c>
      <c r="P78" s="406">
        <f t="shared" si="21"/>
        <v>0</v>
      </c>
      <c r="Q78" s="448">
        <f t="shared" si="21"/>
        <v>0</v>
      </c>
      <c r="R78" s="379"/>
      <c r="S78" s="386"/>
      <c r="T78" s="387"/>
      <c r="U78" s="413">
        <f>IF(-0.75*((C78/(VLOOKUP($A$2,Assumptions!$B$124:$G$147,2,0)))+D78/(VLOOKUP($A$2,Assumptions!$B$124:$G$147,5,0)))=0,"",-0.75*((C78/(VLOOKUP($A$2,Assumptions!$B$124:$G$147,2,0)))+D78/(VLOOKUP($A$2,Assumptions!$B$124:$G$147,5,0))))</f>
        <v>2.0809248554913295E-2</v>
      </c>
      <c r="V78" s="414">
        <f t="shared" si="22"/>
        <v>1.9872320717720549</v>
      </c>
      <c r="W78" s="451"/>
      <c r="X78" s="507"/>
    </row>
    <row r="79" spans="1:24" ht="15">
      <c r="A79" s="373"/>
      <c r="B79" s="374" t="s">
        <v>662</v>
      </c>
      <c r="C79" s="375">
        <v>-8.1999999999999993</v>
      </c>
      <c r="D79" s="375">
        <v>-33.5</v>
      </c>
      <c r="E79" s="377">
        <v>47573</v>
      </c>
      <c r="F79" s="378">
        <v>7500</v>
      </c>
      <c r="G79" s="403">
        <f t="shared" si="23"/>
        <v>0</v>
      </c>
      <c r="H79" s="404">
        <f t="shared" ref="H79:Q88" si="24">IF($E79&gt;H$66,0,IF($E79&gt;H$66-365,$F79,0))</f>
        <v>0</v>
      </c>
      <c r="I79" s="405">
        <f t="shared" si="24"/>
        <v>0</v>
      </c>
      <c r="J79" s="405">
        <f t="shared" si="24"/>
        <v>0</v>
      </c>
      <c r="K79" s="405">
        <f t="shared" si="24"/>
        <v>0</v>
      </c>
      <c r="L79" s="405">
        <f t="shared" si="24"/>
        <v>0</v>
      </c>
      <c r="M79" s="405">
        <f t="shared" si="24"/>
        <v>7500</v>
      </c>
      <c r="N79" s="405">
        <f t="shared" si="24"/>
        <v>0</v>
      </c>
      <c r="O79" s="405">
        <f t="shared" si="24"/>
        <v>0</v>
      </c>
      <c r="P79" s="406">
        <f t="shared" si="24"/>
        <v>0</v>
      </c>
      <c r="Q79" s="448">
        <f t="shared" si="24"/>
        <v>0</v>
      </c>
      <c r="R79" s="379"/>
      <c r="S79" s="386"/>
      <c r="T79" s="387"/>
      <c r="U79" s="413">
        <f>IF(-0.75*((C79/(VLOOKUP($A$2,Assumptions!$B$124:$G$147,2,0)))+D79/(VLOOKUP($A$2,Assumptions!$B$124:$G$147,5,0)))=0,"",-0.75*((C79/(VLOOKUP($A$2,Assumptions!$B$124:$G$147,2,0)))+D79/(VLOOKUP($A$2,Assumptions!$B$124:$G$147,5,0))))</f>
        <v>2.0876418325840293E-2</v>
      </c>
      <c r="V79" s="414">
        <f t="shared" si="22"/>
        <v>0.39877828223543804</v>
      </c>
      <c r="W79" s="451"/>
      <c r="X79" s="507"/>
    </row>
    <row r="80" spans="1:24" ht="15">
      <c r="A80" s="373"/>
      <c r="B80" s="374" t="s">
        <v>663</v>
      </c>
      <c r="C80" s="375">
        <v>-68.7</v>
      </c>
      <c r="D80" s="375">
        <v>-148.9</v>
      </c>
      <c r="E80" s="377">
        <v>45382</v>
      </c>
      <c r="F80" s="378">
        <v>25000</v>
      </c>
      <c r="G80" s="403">
        <f t="shared" si="23"/>
        <v>25000</v>
      </c>
      <c r="H80" s="404">
        <f t="shared" si="24"/>
        <v>0</v>
      </c>
      <c r="I80" s="405">
        <f t="shared" si="24"/>
        <v>0</v>
      </c>
      <c r="J80" s="405">
        <f t="shared" si="24"/>
        <v>0</v>
      </c>
      <c r="K80" s="405">
        <f t="shared" si="24"/>
        <v>0</v>
      </c>
      <c r="L80" s="405">
        <f t="shared" si="24"/>
        <v>0</v>
      </c>
      <c r="M80" s="405">
        <f t="shared" si="24"/>
        <v>0</v>
      </c>
      <c r="N80" s="405">
        <f t="shared" si="24"/>
        <v>0</v>
      </c>
      <c r="O80" s="405">
        <f t="shared" si="24"/>
        <v>0</v>
      </c>
      <c r="P80" s="406">
        <f t="shared" si="24"/>
        <v>0</v>
      </c>
      <c r="Q80" s="448">
        <f t="shared" si="24"/>
        <v>0</v>
      </c>
      <c r="R80" s="379"/>
      <c r="S80" s="386"/>
      <c r="T80" s="387"/>
      <c r="U80" s="413">
        <f>IF(-0.75*((C80/(VLOOKUP($A$2,Assumptions!$B$124:$G$147,2,0)))+D80/(VLOOKUP($A$2,Assumptions!$B$124:$G$147,5,0)))=0,"",-0.75*((C80/(VLOOKUP($A$2,Assumptions!$B$124:$G$147,2,0)))+D80/(VLOOKUP($A$2,Assumptions!$B$124:$G$147,5,0))))</f>
        <v>0.16270322200813531</v>
      </c>
      <c r="V80" s="414">
        <f t="shared" si="22"/>
        <v>0.9056249626134647</v>
      </c>
      <c r="W80" s="451"/>
      <c r="X80" s="507"/>
    </row>
    <row r="81" spans="1:24" ht="15">
      <c r="A81" s="373"/>
      <c r="B81" s="457"/>
      <c r="C81" s="375"/>
      <c r="D81" s="375"/>
      <c r="E81" s="377"/>
      <c r="F81" s="378"/>
      <c r="G81" s="403">
        <f t="shared" si="23"/>
        <v>0</v>
      </c>
      <c r="H81" s="404">
        <f t="shared" si="24"/>
        <v>0</v>
      </c>
      <c r="I81" s="405">
        <f t="shared" si="24"/>
        <v>0</v>
      </c>
      <c r="J81" s="405">
        <f t="shared" si="24"/>
        <v>0</v>
      </c>
      <c r="K81" s="405">
        <f t="shared" si="24"/>
        <v>0</v>
      </c>
      <c r="L81" s="405">
        <f t="shared" si="24"/>
        <v>0</v>
      </c>
      <c r="M81" s="405">
        <f t="shared" si="24"/>
        <v>0</v>
      </c>
      <c r="N81" s="405">
        <f t="shared" si="24"/>
        <v>0</v>
      </c>
      <c r="O81" s="405">
        <f t="shared" si="24"/>
        <v>0</v>
      </c>
      <c r="P81" s="406">
        <f t="shared" si="24"/>
        <v>0</v>
      </c>
      <c r="Q81" s="448">
        <f t="shared" si="24"/>
        <v>0</v>
      </c>
      <c r="R81" s="379"/>
      <c r="S81" s="386"/>
      <c r="T81" s="387"/>
      <c r="U81" s="413" t="str">
        <f>IF(-0.75*((C81/(VLOOKUP($A$2,Assumptions!$B$124:$G$147,2,0)))+D81/(VLOOKUP($A$2,Assumptions!$B$124:$G$147,5,0)))=0,"",-0.75*((C81/(VLOOKUP($A$2,Assumptions!$B$124:$G$147,2,0)))+D81/(VLOOKUP($A$2,Assumptions!$B$124:$G$147,5,0))))</f>
        <v/>
      </c>
      <c r="V81" s="414" t="str">
        <f t="shared" si="22"/>
        <v/>
      </c>
      <c r="W81" s="451"/>
      <c r="X81" s="507"/>
    </row>
    <row r="82" spans="1:24" ht="15">
      <c r="A82" s="373"/>
      <c r="B82" s="457" t="s">
        <v>664</v>
      </c>
      <c r="C82" s="375"/>
      <c r="D82" s="375"/>
      <c r="E82" s="377">
        <v>45382</v>
      </c>
      <c r="F82" s="378"/>
      <c r="G82" s="403">
        <f t="shared" si="23"/>
        <v>0</v>
      </c>
      <c r="H82" s="404">
        <f t="shared" si="24"/>
        <v>0</v>
      </c>
      <c r="I82" s="405">
        <f t="shared" si="24"/>
        <v>0</v>
      </c>
      <c r="J82" s="405">
        <f t="shared" si="24"/>
        <v>0</v>
      </c>
      <c r="K82" s="405">
        <f t="shared" si="24"/>
        <v>0</v>
      </c>
      <c r="L82" s="405">
        <f t="shared" si="24"/>
        <v>0</v>
      </c>
      <c r="M82" s="405">
        <f t="shared" si="24"/>
        <v>0</v>
      </c>
      <c r="N82" s="405">
        <f t="shared" si="24"/>
        <v>0</v>
      </c>
      <c r="O82" s="405">
        <f t="shared" si="24"/>
        <v>0</v>
      </c>
      <c r="P82" s="406">
        <f t="shared" si="24"/>
        <v>0</v>
      </c>
      <c r="Q82" s="448">
        <f t="shared" si="24"/>
        <v>0</v>
      </c>
      <c r="R82" s="379"/>
      <c r="S82" s="386"/>
      <c r="T82" s="387"/>
      <c r="U82" s="413" t="str">
        <f>IF(-0.75*((C82/(VLOOKUP($A$2,Assumptions!$B$124:$G$147,2,0)))+D82/(VLOOKUP($A$2,Assumptions!$B$124:$G$147,5,0)))=0,"",-0.75*((C82/(VLOOKUP($A$2,Assumptions!$B$124:$G$147,2,0)))+D82/(VLOOKUP($A$2,Assumptions!$B$124:$G$147,5,0))))</f>
        <v/>
      </c>
      <c r="V82" s="414" t="str">
        <f t="shared" si="22"/>
        <v/>
      </c>
      <c r="W82" s="451"/>
      <c r="X82" s="507"/>
    </row>
    <row r="83" spans="1:24" ht="15">
      <c r="A83" s="373"/>
      <c r="B83" s="457"/>
      <c r="C83" s="375"/>
      <c r="D83" s="375"/>
      <c r="E83" s="377"/>
      <c r="F83" s="378"/>
      <c r="G83" s="403">
        <f t="shared" si="23"/>
        <v>0</v>
      </c>
      <c r="H83" s="404">
        <f t="shared" si="24"/>
        <v>0</v>
      </c>
      <c r="I83" s="405">
        <f t="shared" si="24"/>
        <v>0</v>
      </c>
      <c r="J83" s="405">
        <f t="shared" si="24"/>
        <v>0</v>
      </c>
      <c r="K83" s="405">
        <f t="shared" si="24"/>
        <v>0</v>
      </c>
      <c r="L83" s="405">
        <f t="shared" si="24"/>
        <v>0</v>
      </c>
      <c r="M83" s="405">
        <f t="shared" si="24"/>
        <v>0</v>
      </c>
      <c r="N83" s="405">
        <f t="shared" si="24"/>
        <v>0</v>
      </c>
      <c r="O83" s="405">
        <f t="shared" si="24"/>
        <v>0</v>
      </c>
      <c r="P83" s="406">
        <f t="shared" si="24"/>
        <v>0</v>
      </c>
      <c r="Q83" s="448">
        <f t="shared" si="24"/>
        <v>0</v>
      </c>
      <c r="R83" s="379"/>
      <c r="S83" s="386"/>
      <c r="T83" s="387"/>
      <c r="U83" s="413" t="str">
        <f>IF(-0.75*((C83/(VLOOKUP($A$2,Assumptions!$B$124:$G$147,2,0)))+D83/(VLOOKUP($A$2,Assumptions!$B$124:$G$147,5,0)))=0,"",-0.75*((C83/(VLOOKUP($A$2,Assumptions!$B$124:$G$147,2,0)))+D83/(VLOOKUP($A$2,Assumptions!$B$124:$G$147,5,0))))</f>
        <v/>
      </c>
      <c r="V83" s="414" t="str">
        <f t="shared" si="22"/>
        <v/>
      </c>
      <c r="W83" s="451"/>
      <c r="X83" s="507"/>
    </row>
    <row r="84" spans="1:24" ht="15">
      <c r="A84" s="373"/>
      <c r="B84" s="457"/>
      <c r="C84" s="375"/>
      <c r="D84" s="375"/>
      <c r="E84" s="377"/>
      <c r="F84" s="378"/>
      <c r="G84" s="403">
        <f t="shared" si="23"/>
        <v>0</v>
      </c>
      <c r="H84" s="404">
        <f t="shared" si="24"/>
        <v>0</v>
      </c>
      <c r="I84" s="405">
        <f t="shared" si="24"/>
        <v>0</v>
      </c>
      <c r="J84" s="405">
        <f t="shared" si="24"/>
        <v>0</v>
      </c>
      <c r="K84" s="405">
        <f t="shared" si="24"/>
        <v>0</v>
      </c>
      <c r="L84" s="405">
        <f t="shared" si="24"/>
        <v>0</v>
      </c>
      <c r="M84" s="405">
        <f t="shared" si="24"/>
        <v>0</v>
      </c>
      <c r="N84" s="405">
        <f t="shared" si="24"/>
        <v>0</v>
      </c>
      <c r="O84" s="405">
        <f t="shared" si="24"/>
        <v>0</v>
      </c>
      <c r="P84" s="406">
        <f t="shared" si="24"/>
        <v>0</v>
      </c>
      <c r="Q84" s="448">
        <f t="shared" si="24"/>
        <v>0</v>
      </c>
      <c r="R84" s="379"/>
      <c r="S84" s="386"/>
      <c r="T84" s="387"/>
      <c r="U84" s="413" t="str">
        <f>IF(-0.75*((C84/(VLOOKUP($A$2,Assumptions!$B$124:$G$147,2,0)))+D84/(VLOOKUP($A$2,Assumptions!$B$124:$G$147,5,0)))=0,"",-0.75*((C84/(VLOOKUP($A$2,Assumptions!$B$124:$G$147,2,0)))+D84/(VLOOKUP($A$2,Assumptions!$B$124:$G$147,5,0))))</f>
        <v/>
      </c>
      <c r="V84" s="414" t="str">
        <f t="shared" si="22"/>
        <v/>
      </c>
      <c r="W84" s="451"/>
      <c r="X84" s="507"/>
    </row>
    <row r="85" spans="1:24" ht="15">
      <c r="A85" s="373"/>
      <c r="B85" s="457"/>
      <c r="C85" s="375"/>
      <c r="D85" s="375"/>
      <c r="E85" s="377"/>
      <c r="F85" s="378"/>
      <c r="G85" s="403">
        <f t="shared" si="23"/>
        <v>0</v>
      </c>
      <c r="H85" s="404">
        <f t="shared" si="24"/>
        <v>0</v>
      </c>
      <c r="I85" s="405">
        <f t="shared" si="24"/>
        <v>0</v>
      </c>
      <c r="J85" s="405">
        <f t="shared" si="24"/>
        <v>0</v>
      </c>
      <c r="K85" s="405">
        <f t="shared" si="24"/>
        <v>0</v>
      </c>
      <c r="L85" s="405">
        <f t="shared" si="24"/>
        <v>0</v>
      </c>
      <c r="M85" s="405">
        <f t="shared" si="24"/>
        <v>0</v>
      </c>
      <c r="N85" s="405">
        <f t="shared" si="24"/>
        <v>0</v>
      </c>
      <c r="O85" s="405">
        <f t="shared" si="24"/>
        <v>0</v>
      </c>
      <c r="P85" s="406">
        <f t="shared" si="24"/>
        <v>0</v>
      </c>
      <c r="Q85" s="448">
        <f t="shared" si="24"/>
        <v>0</v>
      </c>
      <c r="R85" s="379"/>
      <c r="S85" s="386"/>
      <c r="T85" s="387"/>
      <c r="U85" s="413" t="str">
        <f>IF(-0.75*((C85/(VLOOKUP($A$2,Assumptions!$B$124:$G$147,2,0)))+D85/(VLOOKUP($A$2,Assumptions!$B$124:$G$147,5,0)))=0,"",-0.75*((C85/(VLOOKUP($A$2,Assumptions!$B$124:$G$147,2,0)))+D85/(VLOOKUP($A$2,Assumptions!$B$124:$G$147,5,0))))</f>
        <v/>
      </c>
      <c r="V85" s="414" t="str">
        <f t="shared" si="22"/>
        <v/>
      </c>
      <c r="W85" s="451"/>
      <c r="X85" s="507"/>
    </row>
    <row r="86" spans="1:24" ht="15">
      <c r="A86" s="373"/>
      <c r="B86" s="457"/>
      <c r="C86" s="375"/>
      <c r="D86" s="375"/>
      <c r="E86" s="377"/>
      <c r="F86" s="378"/>
      <c r="G86" s="403">
        <f t="shared" si="23"/>
        <v>0</v>
      </c>
      <c r="H86" s="404">
        <f t="shared" si="24"/>
        <v>0</v>
      </c>
      <c r="I86" s="405">
        <f t="shared" si="24"/>
        <v>0</v>
      </c>
      <c r="J86" s="405">
        <f t="shared" si="24"/>
        <v>0</v>
      </c>
      <c r="K86" s="405">
        <f t="shared" si="24"/>
        <v>0</v>
      </c>
      <c r="L86" s="405">
        <f t="shared" si="24"/>
        <v>0</v>
      </c>
      <c r="M86" s="405">
        <f t="shared" si="24"/>
        <v>0</v>
      </c>
      <c r="N86" s="405">
        <f t="shared" si="24"/>
        <v>0</v>
      </c>
      <c r="O86" s="405">
        <f t="shared" si="24"/>
        <v>0</v>
      </c>
      <c r="P86" s="406">
        <f t="shared" si="24"/>
        <v>0</v>
      </c>
      <c r="Q86" s="448">
        <f t="shared" si="24"/>
        <v>0</v>
      </c>
      <c r="R86" s="379"/>
      <c r="S86" s="386"/>
      <c r="T86" s="387"/>
      <c r="U86" s="413" t="str">
        <f>IF(-0.75*((C86/(VLOOKUP($A$2,Assumptions!$B$124:$G$147,2,0)))+D86/(VLOOKUP($A$2,Assumptions!$B$124:$G$147,5,0)))=0,"",-0.75*((C86/(VLOOKUP($A$2,Assumptions!$B$124:$G$147,2,0)))+D86/(VLOOKUP($A$2,Assumptions!$B$124:$G$147,5,0))))</f>
        <v/>
      </c>
      <c r="V86" s="414" t="str">
        <f t="shared" si="22"/>
        <v/>
      </c>
      <c r="W86" s="451"/>
      <c r="X86" s="507"/>
    </row>
    <row r="87" spans="1:24" ht="15">
      <c r="A87" s="373"/>
      <c r="B87" s="374"/>
      <c r="C87" s="375"/>
      <c r="D87" s="375"/>
      <c r="E87" s="377"/>
      <c r="F87" s="378"/>
      <c r="G87" s="403">
        <f t="shared" si="23"/>
        <v>0</v>
      </c>
      <c r="H87" s="404">
        <f t="shared" si="24"/>
        <v>0</v>
      </c>
      <c r="I87" s="405">
        <f t="shared" si="24"/>
        <v>0</v>
      </c>
      <c r="J87" s="405">
        <f t="shared" si="24"/>
        <v>0</v>
      </c>
      <c r="K87" s="405">
        <f t="shared" si="24"/>
        <v>0</v>
      </c>
      <c r="L87" s="405">
        <f t="shared" si="24"/>
        <v>0</v>
      </c>
      <c r="M87" s="405">
        <f t="shared" si="24"/>
        <v>0</v>
      </c>
      <c r="N87" s="405">
        <f t="shared" si="24"/>
        <v>0</v>
      </c>
      <c r="O87" s="405">
        <f t="shared" si="24"/>
        <v>0</v>
      </c>
      <c r="P87" s="406">
        <f t="shared" si="24"/>
        <v>0</v>
      </c>
      <c r="Q87" s="448">
        <f t="shared" si="24"/>
        <v>0</v>
      </c>
      <c r="R87" s="379"/>
      <c r="S87" s="379"/>
      <c r="T87" s="387"/>
      <c r="U87" s="413" t="str">
        <f>IF(-0.75*((C87/(VLOOKUP($A$2,Assumptions!$B$124:$G$147,2,0)))+D87/(VLOOKUP($A$2,Assumptions!$B$124:$G$147,5,0)))=0,"",-0.75*((C87/(VLOOKUP($A$2,Assumptions!$B$124:$G$147,2,0)))+D87/(VLOOKUP($A$2,Assumptions!$B$124:$G$147,5,0))))</f>
        <v/>
      </c>
      <c r="V87" s="414" t="str">
        <f t="shared" si="22"/>
        <v/>
      </c>
      <c r="W87" s="451"/>
      <c r="X87" s="507"/>
    </row>
    <row r="88" spans="1:24" ht="15">
      <c r="A88" s="456"/>
      <c r="B88" s="397"/>
      <c r="C88" s="398"/>
      <c r="D88" s="398"/>
      <c r="E88" s="399"/>
      <c r="F88" s="400"/>
      <c r="G88" s="407">
        <f t="shared" si="23"/>
        <v>0</v>
      </c>
      <c r="H88" s="408">
        <f t="shared" si="24"/>
        <v>0</v>
      </c>
      <c r="I88" s="409">
        <f t="shared" si="24"/>
        <v>0</v>
      </c>
      <c r="J88" s="409">
        <f t="shared" si="24"/>
        <v>0</v>
      </c>
      <c r="K88" s="409">
        <f t="shared" si="24"/>
        <v>0</v>
      </c>
      <c r="L88" s="409">
        <f t="shared" si="24"/>
        <v>0</v>
      </c>
      <c r="M88" s="409">
        <f t="shared" si="24"/>
        <v>0</v>
      </c>
      <c r="N88" s="409">
        <f t="shared" si="24"/>
        <v>0</v>
      </c>
      <c r="O88" s="409">
        <f t="shared" si="24"/>
        <v>0</v>
      </c>
      <c r="P88" s="410">
        <f t="shared" si="24"/>
        <v>0</v>
      </c>
      <c r="Q88" s="449">
        <f t="shared" si="24"/>
        <v>0</v>
      </c>
      <c r="R88" s="401"/>
      <c r="S88" s="401"/>
      <c r="T88" s="402"/>
      <c r="U88" s="413" t="str">
        <f>IF(-0.75*((C88/(VLOOKUP($A$2,Assumptions!$B$124:$G$147,2,0)))+D88/(VLOOKUP($A$2,Assumptions!$B$124:$G$147,5,0)))=0,"",-0.75*((C88/(VLOOKUP($A$2,Assumptions!$B$124:$G$147,2,0)))+D88/(VLOOKUP($A$2,Assumptions!$B$124:$G$147,5,0))))</f>
        <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5">IF(ISERROR(((-C89*1000*$W$162)/F89)),"",((-C89*1000*$W$162)/F89))</f>
        <v/>
      </c>
      <c r="W89" s="304" t="str">
        <f t="shared" si="25"/>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31" ht="15">
      <c r="A115" s="13"/>
      <c r="B115" s="353"/>
      <c r="C115" s="354">
        <f>0.9*SUM(C69:C88)</f>
        <v>-385.73999999999995</v>
      </c>
      <c r="D115" s="354">
        <f>0.9*SUM(D69:D88)</f>
        <v>-707.22</v>
      </c>
      <c r="E115" s="355"/>
      <c r="F115" s="333">
        <f>SUM(F69:F114)</f>
        <v>1784400</v>
      </c>
      <c r="G115" s="388">
        <f>SUM(G69:G114)</f>
        <v>1365500</v>
      </c>
      <c r="H115" s="388">
        <f t="shared" ref="H115:N115" si="26">SUM(H69:H114)</f>
        <v>260000</v>
      </c>
      <c r="I115" s="388">
        <f t="shared" si="26"/>
        <v>70000</v>
      </c>
      <c r="J115" s="388">
        <f t="shared" si="26"/>
        <v>80000</v>
      </c>
      <c r="K115" s="388">
        <f t="shared" si="26"/>
        <v>1400</v>
      </c>
      <c r="L115" s="388">
        <f t="shared" si="26"/>
        <v>0</v>
      </c>
      <c r="M115" s="388">
        <f t="shared" si="26"/>
        <v>7500</v>
      </c>
      <c r="N115" s="388">
        <f t="shared" si="26"/>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f>SUM(U69:U114)</f>
        <v>1.0018055020338257</v>
      </c>
      <c r="V115" s="390">
        <f>IF(ISERROR(((-1*C115*1000*$D$6)+(-1*D115*$D$8))/F115),"",((-1*C115*1000*$D$6)+(-1*D115*$D$8))/F115)</f>
        <v>6.9917451480705342E-2</v>
      </c>
      <c r="W115" s="391">
        <f>SUMIFS(F69:F114,W69:W114,"Yes")</f>
        <v>0</v>
      </c>
      <c r="X115" s="388">
        <f>SUMIFS(F69:F114,X69:X114,"Yes")</f>
        <v>0</v>
      </c>
    </row>
    <row r="116" spans="1:31" ht="15">
      <c r="A116" s="13"/>
      <c r="B116" s="13" t="s">
        <v>928</v>
      </c>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325"/>
      <c r="D117" s="325"/>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385.73999999999995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78">
        <f>BZ161</f>
        <v>4.8364833906071016</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78">
        <f>AA216</f>
        <v>4.8364833906071016</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78">
        <f>AB216</f>
        <v>5.5062620397952138</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78">
        <f>AC216</f>
        <v>5.6730837782371895</v>
      </c>
      <c r="AA126" s="22">
        <f t="shared" ref="AA126:AC126" si="27">AK216</f>
        <v>5.907302386414865</v>
      </c>
      <c r="AB126" s="22">
        <f t="shared" si="27"/>
        <v>0</v>
      </c>
      <c r="AC126" s="22">
        <f t="shared" si="27"/>
        <v>0</v>
      </c>
      <c r="AD126" s="22">
        <f t="shared" ref="AD126:AE126" si="28">AI217</f>
        <v>0</v>
      </c>
      <c r="AE126" s="22">
        <f t="shared" si="28"/>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78">
        <f>AD216</f>
        <v>5.8146138550476181</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78">
        <f>AE216</f>
        <v>5.8638942464992319</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78">
        <f>AF216</f>
        <v>5.8852046860458751</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78">
        <f>AG216</f>
        <v>5.8852046860458751</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78">
        <f>AH216</f>
        <v>5.907302386414865</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78">
        <f>AI216</f>
        <v>5.907302386414865</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78">
        <f>AJ216</f>
        <v>5.907302386414865</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24"/>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Y154" si="30">AV156*0.5</f>
        <v>69.5</v>
      </c>
      <c r="AW154" s="339">
        <f t="shared" si="30"/>
        <v>59.814999999999998</v>
      </c>
      <c r="AX154" s="339">
        <f t="shared" si="30"/>
        <v>33.69</v>
      </c>
      <c r="AY154" s="339">
        <f t="shared" si="30"/>
        <v>44.87</v>
      </c>
      <c r="AZ154" s="8"/>
      <c r="BA154" s="25">
        <v>6</v>
      </c>
      <c r="BB154" s="24">
        <f t="shared" ref="BB154:BB155" si="31">IF($C$58="Base",BF154,BG154)</f>
        <v>42.145000000000003</v>
      </c>
      <c r="BC154" s="24" t="s">
        <v>436</v>
      </c>
      <c r="BD154" s="8"/>
      <c r="BE154" s="8"/>
      <c r="BF154" s="24">
        <f t="shared" ref="BF154:BF155" si="32">IF($C$59&gt;7000,"error",IF($C$59&gt;5999,AR154,IF($C$59&gt;4999,AQ154,IF($C$59&gt;3999,AP154,IF($C$59&gt;2999,AO154,IF($C$59&gt;1999,AN154,"Error"))))))</f>
        <v>42.145000000000003</v>
      </c>
      <c r="BG154" s="24">
        <f t="shared" ref="BG154:BG164" si="33">IF($C$59&gt;7000,"error",IF($C$59&gt;5999,AY154,IF($C$59&gt;4999,AX154,IF($C$59&gt;3999,AW154,IF($C$59&gt;2999,AV154,IF($C$59&gt;1999,AU154,"Error"))))))</f>
        <v>69.5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24"/>
      <c r="AM155" s="25">
        <v>5.5</v>
      </c>
      <c r="AN155" s="338">
        <f>AN156*0.75</f>
        <v>52.192500000000003</v>
      </c>
      <c r="AO155" s="340">
        <f>AO156*0.75</f>
        <v>63.217500000000001</v>
      </c>
      <c r="AP155" s="338">
        <f>AP156*0.75</f>
        <v>53.377499999999998</v>
      </c>
      <c r="AQ155" s="338">
        <f t="shared" ref="AQ155:AR155" si="34">AQ156*0.75</f>
        <v>31.372499999999999</v>
      </c>
      <c r="AR155" s="338">
        <f t="shared" si="34"/>
        <v>40.47</v>
      </c>
      <c r="AS155" s="24"/>
      <c r="AT155" s="25">
        <v>5.5</v>
      </c>
      <c r="AU155" s="339">
        <f>AU156*0.75</f>
        <v>97.140000000000015</v>
      </c>
      <c r="AV155" s="339">
        <f t="shared" ref="AV155:AY155" si="35">AV156*0.75</f>
        <v>104.25</v>
      </c>
      <c r="AW155" s="339">
        <f t="shared" si="35"/>
        <v>89.722499999999997</v>
      </c>
      <c r="AX155" s="339">
        <f t="shared" si="35"/>
        <v>50.534999999999997</v>
      </c>
      <c r="AY155" s="339">
        <f t="shared" si="35"/>
        <v>67.304999999999993</v>
      </c>
      <c r="AZ155" s="24"/>
      <c r="BA155" s="25">
        <v>5.5</v>
      </c>
      <c r="BB155" s="24">
        <f t="shared" si="31"/>
        <v>63.217500000000001</v>
      </c>
      <c r="BC155" s="24" t="s">
        <v>436</v>
      </c>
      <c r="BE155" s="24"/>
      <c r="BF155" s="24">
        <f t="shared" si="32"/>
        <v>63.217500000000001</v>
      </c>
      <c r="BG155" s="24">
        <f t="shared" si="33"/>
        <v>104.25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84.29</v>
      </c>
      <c r="BC156" s="24" t="s">
        <v>436</v>
      </c>
      <c r="BD156" s="24">
        <f>IF(C58="base",BF156,BG156)</f>
        <v>84.29</v>
      </c>
      <c r="BE156" s="24"/>
      <c r="BF156" s="24">
        <f>IF($C$59&gt;7000,"error",IF($C$59&gt;5999,AR156,IF($C$59&gt;4999,AQ156,IF($C$59&gt;3999,AP156,IF($C$59&gt;2999,AO156,IF($C$59&gt;1999,AN156,"Error"))))))</f>
        <v>84.29</v>
      </c>
      <c r="BG156" s="24">
        <f t="shared" si="33"/>
        <v>139</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15399.7</v>
      </c>
      <c r="BW156" s="14" t="s">
        <v>445</v>
      </c>
      <c r="BX156" s="181" t="s">
        <v>13</v>
      </c>
      <c r="BY156" s="38">
        <f>BY157/BV156</f>
        <v>55.097462939537785</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6">IF($C$58="Base",BF157,BG157)</f>
        <v>101.75</v>
      </c>
      <c r="BC157" s="24" t="s">
        <v>436</v>
      </c>
      <c r="BD157" s="24">
        <f>BB157-BB156</f>
        <v>17.459999999999994</v>
      </c>
      <c r="BE157" s="24"/>
      <c r="BF157" s="24">
        <f t="shared" ref="BF157:BF164" si="37">IF($C$59&gt;7000,"error",IF($C$59&gt;5999,AR157,IF($C$59&gt;4999,AQ157,IF($C$59&gt;3999,AP157,IF($C$59&gt;2999,AO157,IF($C$59&gt;1999,AN157,"Error"))))))</f>
        <v>101.75</v>
      </c>
      <c r="BG157" s="24">
        <f t="shared" si="33"/>
        <v>166.57</v>
      </c>
      <c r="BH157" s="24"/>
      <c r="BI157" s="29" t="s">
        <v>118</v>
      </c>
      <c r="BJ157" s="29">
        <v>810</v>
      </c>
      <c r="BK157" s="29">
        <v>51.33</v>
      </c>
      <c r="BL157" s="24">
        <v>2000</v>
      </c>
      <c r="BM157" s="25"/>
      <c r="BN157" s="24">
        <f>BV161/BV158</f>
        <v>9.6200045354875279</v>
      </c>
      <c r="BO157" s="32" t="s">
        <v>447</v>
      </c>
      <c r="BP157" s="179">
        <f>$BY$158/SUM($BY$158:$BY$159)*C64</f>
        <v>80.599317509646639</v>
      </c>
      <c r="BQ157" s="29" t="s">
        <v>448</v>
      </c>
      <c r="BR157" s="29" t="s">
        <v>449</v>
      </c>
      <c r="BS157" s="29" t="s">
        <v>450</v>
      </c>
      <c r="BT157" s="14"/>
      <c r="BU157" s="30" t="s">
        <v>451</v>
      </c>
      <c r="BV157" s="33">
        <f xml:space="preserve"> 5 - 0.5*(BV158-BB156)/BH166</f>
        <v>5.1056896474900739</v>
      </c>
      <c r="BW157" s="14" t="s">
        <v>452</v>
      </c>
      <c r="BX157" s="181" t="s">
        <v>453</v>
      </c>
      <c r="BY157" s="180">
        <f>SUM(BY158:BY159)</f>
        <v>848484.40003000002</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6"/>
        <v>120.31</v>
      </c>
      <c r="BC158" s="24" t="s">
        <v>436</v>
      </c>
      <c r="BD158" s="24">
        <f t="shared" ref="BD158:BD164" si="38">BB158-BB157</f>
        <v>18.560000000000002</v>
      </c>
      <c r="BE158" s="24"/>
      <c r="BF158" s="24">
        <f t="shared" si="37"/>
        <v>120.31</v>
      </c>
      <c r="BG158" s="24">
        <f t="shared" si="33"/>
        <v>194.15</v>
      </c>
      <c r="BH158" s="24"/>
      <c r="BI158" s="29" t="s">
        <v>150</v>
      </c>
      <c r="BJ158" s="29">
        <v>810</v>
      </c>
      <c r="BK158" s="29">
        <v>51.33</v>
      </c>
      <c r="BL158" s="24">
        <v>3000</v>
      </c>
      <c r="BM158" s="25"/>
      <c r="BN158" s="179">
        <f>BV162/BV163</f>
        <v>183.66655844102431</v>
      </c>
      <c r="BO158" s="24" t="s">
        <v>454</v>
      </c>
      <c r="BP158" s="179">
        <f>$BY$159/SUM($BY$158:$BY$159)*C64</f>
        <v>9.400682490353363</v>
      </c>
      <c r="BQ158" s="29" t="s">
        <v>455</v>
      </c>
      <c r="BR158" s="29" t="s">
        <v>456</v>
      </c>
      <c r="BS158" s="29" t="s">
        <v>457</v>
      </c>
      <c r="BT158" s="14"/>
      <c r="BU158" s="30" t="s">
        <v>458</v>
      </c>
      <c r="BV158" s="31">
        <f>BP157</f>
        <v>80.599317509646639</v>
      </c>
      <c r="BW158" s="14" t="s">
        <v>436</v>
      </c>
      <c r="BX158" s="181" t="s">
        <v>459</v>
      </c>
      <c r="BY158" s="178">
        <f>INDEX($BJ$156:$BJ$161,MATCH($C$57,$BI$156:$BI$161,0))*$C$62</f>
        <v>759858.48400000005</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6"/>
        <v>138.88</v>
      </c>
      <c r="BC159" s="24" t="s">
        <v>436</v>
      </c>
      <c r="BD159" s="24">
        <f t="shared" si="38"/>
        <v>18.569999999999993</v>
      </c>
      <c r="BE159" s="24"/>
      <c r="BF159" s="24">
        <f t="shared" si="37"/>
        <v>138.88</v>
      </c>
      <c r="BG159" s="24">
        <f t="shared" si="33"/>
        <v>221.73</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88625.916029999993</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6"/>
        <v>157.44999999999999</v>
      </c>
      <c r="BC160" s="24" t="s">
        <v>436</v>
      </c>
      <c r="BD160" s="24">
        <f t="shared" si="38"/>
        <v>18.569999999999993</v>
      </c>
      <c r="BE160" s="24"/>
      <c r="BF160" s="24">
        <f t="shared" si="37"/>
        <v>157.44999999999999</v>
      </c>
      <c r="BG160" s="24">
        <f t="shared" si="33"/>
        <v>249.31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55.097462939537785</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6"/>
        <v>176.01</v>
      </c>
      <c r="BC161" s="24" t="s">
        <v>436</v>
      </c>
      <c r="BD161" s="24">
        <f t="shared" si="38"/>
        <v>18.560000000000002</v>
      </c>
      <c r="BE161" s="24"/>
      <c r="BF161" s="24">
        <f t="shared" si="37"/>
        <v>176.01</v>
      </c>
      <c r="BG161" s="24">
        <f t="shared" si="33"/>
        <v>276.89</v>
      </c>
      <c r="BH161" s="24"/>
      <c r="BI161" s="29" t="s">
        <v>147</v>
      </c>
      <c r="BJ161" s="29">
        <v>680</v>
      </c>
      <c r="BK161" s="29">
        <v>51.33</v>
      </c>
      <c r="BL161" s="24">
        <v>6000</v>
      </c>
      <c r="BM161" s="37"/>
      <c r="BN161" s="37"/>
      <c r="BO161" s="37"/>
      <c r="BP161" s="37"/>
      <c r="BQ161" s="29" t="s">
        <v>470</v>
      </c>
      <c r="BR161" s="29" t="s">
        <v>18</v>
      </c>
      <c r="BS161" s="29"/>
      <c r="BT161" s="14"/>
      <c r="BU161" s="14" t="s">
        <v>471</v>
      </c>
      <c r="BV161" s="31">
        <f>C62</f>
        <v>775.36580000000004</v>
      </c>
      <c r="BW161" s="14" t="s">
        <v>311</v>
      </c>
      <c r="BX161" s="14"/>
      <c r="BY161" s="14"/>
      <c r="BZ161" s="38">
        <f>5-(0.5*(C64-CE177)/(CE176-CE177))</f>
        <v>4.8364833906071016</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6"/>
        <v>194.58</v>
      </c>
      <c r="BC162" s="24" t="s">
        <v>436</v>
      </c>
      <c r="BD162" s="24">
        <f t="shared" si="38"/>
        <v>18.570000000000022</v>
      </c>
      <c r="BE162" s="24"/>
      <c r="BF162" s="24">
        <f t="shared" si="37"/>
        <v>194.58</v>
      </c>
      <c r="BG162" s="24">
        <f t="shared" si="33"/>
        <v>304.47000000000003</v>
      </c>
      <c r="BH162" s="24"/>
      <c r="BI162" s="24"/>
      <c r="BJ162" s="24"/>
      <c r="BK162" s="24"/>
      <c r="BL162" s="24"/>
      <c r="BM162" s="37"/>
      <c r="BN162" s="37"/>
      <c r="BO162" s="37"/>
      <c r="BP162" s="37"/>
      <c r="BQ162" s="29" t="s">
        <v>473</v>
      </c>
      <c r="BR162" s="24"/>
      <c r="BS162" s="24"/>
      <c r="BT162" s="14"/>
      <c r="BU162" s="14" t="s">
        <v>474</v>
      </c>
      <c r="BV162" s="31">
        <f>C63</f>
        <v>1726.5909999999999</v>
      </c>
      <c r="BW162" s="14" t="s">
        <v>314</v>
      </c>
      <c r="BX162" s="14"/>
      <c r="BY162" s="38">
        <f>C63*BK156</f>
        <v>88625.916029999993</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6"/>
        <v>213.15</v>
      </c>
      <c r="BC163" s="24" t="s">
        <v>436</v>
      </c>
      <c r="BD163" s="24">
        <f t="shared" si="38"/>
        <v>18.569999999999993</v>
      </c>
      <c r="BE163" s="24"/>
      <c r="BF163" s="24">
        <f t="shared" si="37"/>
        <v>213.15</v>
      </c>
      <c r="BG163" s="24">
        <f t="shared" si="33"/>
        <v>332.05</v>
      </c>
      <c r="BH163" s="24"/>
      <c r="BI163" s="24"/>
      <c r="BJ163" s="24"/>
      <c r="BK163" s="24"/>
      <c r="BL163" s="24"/>
      <c r="BM163" s="37"/>
      <c r="BN163" s="37"/>
      <c r="BO163" s="37"/>
      <c r="BP163" s="37"/>
      <c r="BQ163" s="29" t="s">
        <v>475</v>
      </c>
      <c r="BR163" s="24"/>
      <c r="BS163" s="24"/>
      <c r="BT163" s="14"/>
      <c r="BU163" s="14" t="s">
        <v>476</v>
      </c>
      <c r="BV163" s="38">
        <f>BP158</f>
        <v>9.400682490353363</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6"/>
        <v>231.71</v>
      </c>
      <c r="BC164" s="24" t="s">
        <v>436</v>
      </c>
      <c r="BD164" s="24">
        <f t="shared" si="38"/>
        <v>18.560000000000002</v>
      </c>
      <c r="BE164" s="24"/>
      <c r="BF164" s="24">
        <f t="shared" si="37"/>
        <v>231.71</v>
      </c>
      <c r="BG164" s="24">
        <f t="shared" si="33"/>
        <v>359.62</v>
      </c>
      <c r="BH164" s="24"/>
      <c r="BI164" s="24"/>
      <c r="BJ164" s="24"/>
      <c r="BK164" s="24"/>
      <c r="BL164" s="24"/>
      <c r="BM164" s="37"/>
      <c r="BN164" s="37"/>
      <c r="BO164" s="37"/>
      <c r="BP164" s="37"/>
      <c r="BQ164" s="29" t="s">
        <v>478</v>
      </c>
      <c r="BR164" s="24"/>
      <c r="BS164" s="24"/>
      <c r="BT164" s="14"/>
      <c r="BU164" s="14"/>
      <c r="BV164" s="38">
        <f>BV163+BV158</f>
        <v>90</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9">H66</f>
        <v>45838</v>
      </c>
      <c r="I166" s="177">
        <f t="shared" si="39"/>
        <v>46203</v>
      </c>
      <c r="J166" s="177">
        <f t="shared" si="39"/>
        <v>46568</v>
      </c>
      <c r="K166" s="177">
        <f t="shared" si="39"/>
        <v>46934</v>
      </c>
      <c r="L166" s="177">
        <f t="shared" si="39"/>
        <v>47299</v>
      </c>
      <c r="M166" s="177">
        <f t="shared" si="39"/>
        <v>47664</v>
      </c>
      <c r="N166" s="177">
        <f t="shared" si="39"/>
        <v>48029</v>
      </c>
      <c r="O166" s="177">
        <f t="shared" si="39"/>
        <v>48395</v>
      </c>
      <c r="P166" s="177">
        <f t="shared" si="39"/>
        <v>48760</v>
      </c>
      <c r="Q166" s="177">
        <f t="shared" si="39"/>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0">DATE(YEAR(AB166)+1,MONTH(AB166),DAY(AB166))</f>
        <v>46112</v>
      </c>
      <c r="AD166" s="46">
        <f t="shared" si="40"/>
        <v>46477</v>
      </c>
      <c r="AE166" s="46">
        <f t="shared" si="40"/>
        <v>46843</v>
      </c>
      <c r="AF166" s="46">
        <f t="shared" si="40"/>
        <v>47208</v>
      </c>
      <c r="AG166" s="46">
        <f t="shared" si="40"/>
        <v>47573</v>
      </c>
      <c r="AH166" s="46">
        <f t="shared" si="40"/>
        <v>47938</v>
      </c>
      <c r="AI166" s="46">
        <f t="shared" si="40"/>
        <v>48304</v>
      </c>
      <c r="AJ166" s="46">
        <f t="shared" si="40"/>
        <v>48669</v>
      </c>
      <c r="AK166" s="46">
        <f t="shared" si="40"/>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1">IF($C$58="base",INDEX($AN$157:$AR$157,MATCH($C$57,$AN$165:$AR$165,0)),INDEX($AU$157:$AY$157,MATCH($C$57,$AU$165:$AY$165,0)))</f>
        <v>101.75</v>
      </c>
      <c r="BF166" s="47" t="s">
        <v>388</v>
      </c>
      <c r="BG166" s="47">
        <f>BD156</f>
        <v>84.29</v>
      </c>
      <c r="BH166" s="47">
        <f>BD157</f>
        <v>17.459999999999994</v>
      </c>
      <c r="BI166" s="47">
        <f>BD158</f>
        <v>18.560000000000002</v>
      </c>
      <c r="BJ166" s="47">
        <f>BD159</f>
        <v>18.569999999999993</v>
      </c>
      <c r="BK166" s="47">
        <f>BD160</f>
        <v>18.569999999999993</v>
      </c>
      <c r="BL166" s="47">
        <f>BD161</f>
        <v>18.560000000000002</v>
      </c>
      <c r="BM166" s="47">
        <f>BD162</f>
        <v>18.570000000000022</v>
      </c>
      <c r="BN166" s="47">
        <f>BD163</f>
        <v>18.569999999999993</v>
      </c>
      <c r="BO166" s="47">
        <f>BD164</f>
        <v>18.560000000000002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2">IF($E69&lt;G$66,$C69,0)</f>
        <v>-110</v>
      </c>
      <c r="H167" s="12">
        <f t="shared" ref="H167:J186" si="43">IF($E69&gt;H$66,0,IF($E69&lt;H$66-365,$C69,0))</f>
        <v>-110</v>
      </c>
      <c r="I167" s="12">
        <f t="shared" si="43"/>
        <v>-110</v>
      </c>
      <c r="J167" s="12">
        <f t="shared" si="43"/>
        <v>-110</v>
      </c>
      <c r="K167" s="12">
        <f t="shared" ref="K167:K209" si="44">IF($E69&lt;K$66,$C69,0)</f>
        <v>-110</v>
      </c>
      <c r="L167" s="12">
        <f t="shared" ref="L167:N186" si="45">IF($E69&gt;L$66,0,IF($E69&lt;L$66-365,$C69,0))</f>
        <v>-110</v>
      </c>
      <c r="M167" s="12">
        <f t="shared" si="45"/>
        <v>-110</v>
      </c>
      <c r="N167" s="12">
        <f t="shared" si="45"/>
        <v>-110</v>
      </c>
      <c r="O167" s="12">
        <f t="shared" ref="O167:O209" si="46">IF($E69&lt;O$66,$C69,0)</f>
        <v>-110</v>
      </c>
      <c r="P167" s="12">
        <f t="shared" ref="P167:Q186" si="47">IF($E69&gt;P$66,0,IF($E69&lt;P$66-365,$C69,0))</f>
        <v>-110</v>
      </c>
      <c r="Q167" s="12">
        <f t="shared" si="47"/>
        <v>-110</v>
      </c>
      <c r="T167" s="14"/>
      <c r="U167" s="14"/>
      <c r="V167" s="14"/>
      <c r="W167" s="53">
        <f t="shared" ref="W167:W211" si="48">C68*$BN$160*1000</f>
        <v>0</v>
      </c>
      <c r="X167" s="54" t="e">
        <f t="shared" ref="X167:X211" si="49">-1*F68/W167</f>
        <v>#DIV/0!</v>
      </c>
      <c r="Y167" s="25">
        <f>Z167/$BH$166</f>
        <v>0</v>
      </c>
      <c r="Z167" s="54">
        <f>C68/$BN$157</f>
        <v>0</v>
      </c>
      <c r="AA167" s="54">
        <f t="shared" ref="AA167:AJ182" si="50">IF($E68+365&lt;$C$56,0,IF($E68&lt;$C$56,(($E68+365-$C$56)/365)*(($C68/$BN$157)+($D68/$BN$158)),IF($E68&gt;AA$166,0,IF($E68+365&lt;AA$166,($C68/$BN$157)+($D68/$BN$158),((AA$166-$E68)/365)*(($C68/$BN$157)+($D68/$BN$158))))))</f>
        <v>0</v>
      </c>
      <c r="AB167" s="54">
        <f t="shared" si="50"/>
        <v>0</v>
      </c>
      <c r="AC167" s="54">
        <f>IF($E68+365&lt;$C$56,0,IF($E68&lt;$C$56,(($E68+365-$C$56)/365)*(($C68/$BN$157)+($D68/$BN$158)),IF($E68&gt;AC$166,0,IF($E68+365&lt;AC$166,($C68/$BN$157)+($D68/$BN$158),((AC$166-$E68)/365)*(($C68/$BN$157)+($D68/$BN$158))))))</f>
        <v>0</v>
      </c>
      <c r="AD167" s="54">
        <f t="shared" si="50"/>
        <v>0</v>
      </c>
      <c r="AE167" s="54">
        <f t="shared" si="50"/>
        <v>0</v>
      </c>
      <c r="AF167" s="54">
        <f>IF($E68+365&lt;$C$56,0,IF($E68&lt;$C$56,(($E68+365-$C$56)/365)*(($C68/$BN$157)+($D68/$BN$158)),IF($E68&gt;AF$166,0,IF($E68+365&lt;AF$166,($C68/$BN$157)+($D68/$BN$158),((AF$166-$E68)/365)*(($C68/$BN$157)+($D68/$BN$158))))))</f>
        <v>0</v>
      </c>
      <c r="AG167" s="54">
        <f t="shared" si="50"/>
        <v>0</v>
      </c>
      <c r="AH167" s="54">
        <f t="shared" si="50"/>
        <v>0</v>
      </c>
      <c r="AI167" s="54">
        <f t="shared" si="50"/>
        <v>0</v>
      </c>
      <c r="AJ167" s="54">
        <f t="shared" si="50"/>
        <v>0</v>
      </c>
      <c r="AK167" s="54">
        <f t="shared" ref="AK167" si="51">IF($E68+365&lt;$C$56,0,IF($E68&lt;$C$56,(($E68+365-$C$56)/365)*(($C68/$BN$157)+($D68/$BN$158)),IF($E68&gt;AK$166,0,IF($E68+365&lt;AK$166,($C68/$BN$157)+($D68/$BN$158),((AK$166-$E68)/365)*(($C68/$BN$157)+($D68/$BN$158))))))</f>
        <v>0</v>
      </c>
      <c r="AL167" s="24">
        <f t="shared" ref="AL167:AL213" si="52">IF(G68&lt;&gt;"",C68,0)</f>
        <v>0</v>
      </c>
      <c r="AM167" s="24">
        <f t="shared" ref="AM167:AM213" si="53">IF(G68&lt;&gt;"",D68,0)</f>
        <v>0</v>
      </c>
      <c r="AN167" s="55">
        <f t="shared" ref="AN167:AN213" si="54">IF(W68="Yes",0,F68)</f>
        <v>0</v>
      </c>
      <c r="AO167" s="55">
        <f t="shared" ref="AO167:AO213" si="55">IF(W68="Yes",F68,0)</f>
        <v>0</v>
      </c>
      <c r="AP167" s="24"/>
      <c r="AQ167" s="24"/>
      <c r="AR167" s="24"/>
      <c r="AS167" s="24"/>
      <c r="AT167" s="24"/>
      <c r="AU167" s="24"/>
      <c r="AV167" s="24"/>
      <c r="AW167" s="24"/>
      <c r="AX167" s="24"/>
      <c r="AY167" s="24"/>
      <c r="AZ167" s="24"/>
      <c r="BA167" s="24"/>
      <c r="BB167" s="25"/>
      <c r="BC167" s="24"/>
      <c r="BD167" s="24"/>
      <c r="BE167" s="24">
        <f t="shared" si="41"/>
        <v>101.75</v>
      </c>
      <c r="BF167" s="24" t="s">
        <v>486</v>
      </c>
      <c r="BG167" s="56">
        <f>BV158+($C$64-$BV$158)</f>
        <v>90</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2"/>
        <v>-63.5</v>
      </c>
      <c r="H168" s="12">
        <f t="shared" si="43"/>
        <v>-63.5</v>
      </c>
      <c r="I168" s="12">
        <f t="shared" si="43"/>
        <v>-63.5</v>
      </c>
      <c r="J168" s="12">
        <f t="shared" si="43"/>
        <v>-63.5</v>
      </c>
      <c r="K168" s="12">
        <f t="shared" si="44"/>
        <v>-63.5</v>
      </c>
      <c r="L168" s="12">
        <f t="shared" si="45"/>
        <v>-63.5</v>
      </c>
      <c r="M168" s="12">
        <f t="shared" si="45"/>
        <v>-63.5</v>
      </c>
      <c r="N168" s="12">
        <f t="shared" si="45"/>
        <v>-63.5</v>
      </c>
      <c r="O168" s="12">
        <f t="shared" si="46"/>
        <v>-63.5</v>
      </c>
      <c r="P168" s="12">
        <f t="shared" si="47"/>
        <v>-63.5</v>
      </c>
      <c r="Q168" s="12">
        <f t="shared" si="47"/>
        <v>-63.5</v>
      </c>
      <c r="T168" s="57"/>
      <c r="U168" s="57"/>
      <c r="V168" s="57"/>
      <c r="W168" s="53">
        <f t="shared" si="48"/>
        <v>-16720</v>
      </c>
      <c r="X168" s="54">
        <f t="shared" si="49"/>
        <v>8.4031100478468908</v>
      </c>
      <c r="Y168" s="54">
        <f t="shared" ref="Y168:Y213" si="56">Z168/$BH$166</f>
        <v>-0.65489725335331661</v>
      </c>
      <c r="Z168" s="54">
        <f>($C69/$BN$157)+($D69/$BN$158)</f>
        <v>-11.434506043548904</v>
      </c>
      <c r="AA168" s="54">
        <f t="shared" si="50"/>
        <v>0</v>
      </c>
      <c r="AB168" s="54">
        <f t="shared" si="50"/>
        <v>-11.434506043548904</v>
      </c>
      <c r="AC168" s="54">
        <f t="shared" si="50"/>
        <v>-11.434506043548904</v>
      </c>
      <c r="AD168" s="54">
        <f>IF($E69+365&lt;$C$56,0,IF($E69&lt;$C$56,(($E69+365-$C$56)/365)*(($C69/$BN$157)+($D69/$BN$158)),IF($E69&gt;AD$166,0,IF($E69+365&lt;AD$166,($C69/$BN$157)+($D69/$BN$158),((AD$166-$E69)/365)*(($C69/$BN$157)+($D69/$BN$158))))))</f>
        <v>-11.434506043548904</v>
      </c>
      <c r="AE168" s="54">
        <f t="shared" si="50"/>
        <v>-11.434506043548904</v>
      </c>
      <c r="AF168" s="54">
        <f t="shared" si="50"/>
        <v>-11.434506043548904</v>
      </c>
      <c r="AG168" s="54">
        <f t="shared" si="50"/>
        <v>-11.434506043548904</v>
      </c>
      <c r="AH168" s="54">
        <f t="shared" si="50"/>
        <v>-11.434506043548904</v>
      </c>
      <c r="AI168" s="54">
        <f t="shared" si="50"/>
        <v>-11.434506043548904</v>
      </c>
      <c r="AJ168" s="54">
        <f t="shared" si="50"/>
        <v>-11.434506043548904</v>
      </c>
      <c r="AK168" s="54">
        <f t="shared" ref="AK168" si="57">IF($E69+365&lt;$C$56,0,IF($E69&lt;$C$56,(($E69+365-$C$56)/365)*(($C69/$BN$157)+($D69/$BN$158)),IF($E69&gt;AK$166,0,IF($E69+365&lt;AK$166,($C69/$BN$157)+($D69/$BN$158),((AK$166-$E69)/365)*(($C69/$BN$157)+($D69/$BN$158))))))</f>
        <v>-11.434506043548904</v>
      </c>
      <c r="AL168" s="24">
        <f t="shared" si="52"/>
        <v>-110</v>
      </c>
      <c r="AM168" s="24">
        <f t="shared" si="53"/>
        <v>0</v>
      </c>
      <c r="AN168" s="55">
        <f t="shared" si="54"/>
        <v>140500</v>
      </c>
      <c r="AO168" s="55">
        <f t="shared" si="55"/>
        <v>0</v>
      </c>
      <c r="AP168" s="24"/>
      <c r="AQ168" s="24"/>
      <c r="AR168" s="24"/>
      <c r="AS168" s="24"/>
      <c r="AT168" s="24"/>
      <c r="AU168" s="24"/>
      <c r="AV168" s="24"/>
      <c r="AW168" s="24"/>
      <c r="AX168" s="24"/>
      <c r="AY168" s="24"/>
      <c r="AZ168" s="24"/>
      <c r="BA168" s="24"/>
      <c r="BB168" s="24"/>
      <c r="BC168" s="24"/>
      <c r="BD168" s="24"/>
      <c r="BE168" s="24">
        <f t="shared" si="41"/>
        <v>101.75</v>
      </c>
      <c r="BF168" s="59">
        <f>AB166</f>
        <v>45747</v>
      </c>
      <c r="BG168" s="36">
        <f>(BV158+AB214)+($C$64-$BV$158)</f>
        <v>66.61132957035116</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VIC</v>
      </c>
      <c r="CF168" s="14" t="str">
        <f>C57</f>
        <v>VIC</v>
      </c>
      <c r="CG168" s="14"/>
      <c r="CH168" s="25" t="s">
        <v>388</v>
      </c>
      <c r="CI168" s="14" t="s">
        <v>488</v>
      </c>
      <c r="CJ168" s="14"/>
    </row>
    <row r="169" spans="7:88">
      <c r="G169" s="12">
        <f t="shared" si="42"/>
        <v>0</v>
      </c>
      <c r="H169" s="12">
        <f t="shared" si="43"/>
        <v>0</v>
      </c>
      <c r="I169" s="12">
        <f t="shared" si="43"/>
        <v>-60.1</v>
      </c>
      <c r="J169" s="12">
        <f t="shared" si="43"/>
        <v>-60.1</v>
      </c>
      <c r="K169" s="12">
        <f t="shared" si="44"/>
        <v>-60.1</v>
      </c>
      <c r="L169" s="12">
        <f t="shared" si="45"/>
        <v>-60.1</v>
      </c>
      <c r="M169" s="12">
        <f t="shared" si="45"/>
        <v>-60.1</v>
      </c>
      <c r="N169" s="12">
        <f t="shared" si="45"/>
        <v>-60.1</v>
      </c>
      <c r="O169" s="12">
        <f t="shared" si="46"/>
        <v>-60.1</v>
      </c>
      <c r="P169" s="12">
        <f t="shared" si="47"/>
        <v>-60.1</v>
      </c>
      <c r="Q169" s="12">
        <f t="shared" si="47"/>
        <v>-60.1</v>
      </c>
      <c r="T169" s="61"/>
      <c r="U169" s="61"/>
      <c r="V169" s="61"/>
      <c r="W169" s="53">
        <f t="shared" si="48"/>
        <v>-9652</v>
      </c>
      <c r="X169" s="54">
        <f t="shared" si="49"/>
        <v>124.32656444260257</v>
      </c>
      <c r="Y169" s="343">
        <f>Z169/$BH$166</f>
        <v>-0.37805432352668733</v>
      </c>
      <c r="Z169" s="54">
        <f>($C70/$BN$157)+($D70/$BN$158)</f>
        <v>-6.6008284887759583</v>
      </c>
      <c r="AA169" s="54">
        <f t="shared" si="50"/>
        <v>0</v>
      </c>
      <c r="AB169" s="54">
        <f t="shared" si="50"/>
        <v>-6.6008284887759583</v>
      </c>
      <c r="AC169" s="54">
        <f t="shared" si="50"/>
        <v>-6.6008284887759583</v>
      </c>
      <c r="AD169" s="54">
        <f>IF($E70+365&lt;$C$56,0,IF($E70&lt;$C$56,(($E70+365-$C$56)/365)*(($C70/$BN$157)+($D70/$BN$158)),IF($E70&gt;AD$166,0,IF($E70+365&lt;AD$166,($C70/$BN$157)+($D70/$BN$158),((AD$166-$E70)/365)*(($C70/$BN$157)+($D70/$BN$158))))))</f>
        <v>-6.6008284887759583</v>
      </c>
      <c r="AE169" s="54">
        <f t="shared" si="50"/>
        <v>-6.6008284887759583</v>
      </c>
      <c r="AF169" s="54">
        <f t="shared" si="50"/>
        <v>-6.6008284887759583</v>
      </c>
      <c r="AG169" s="54">
        <f t="shared" si="50"/>
        <v>-6.6008284887759583</v>
      </c>
      <c r="AH169" s="54">
        <f t="shared" si="50"/>
        <v>-6.6008284887759583</v>
      </c>
      <c r="AI169" s="54">
        <f t="shared" si="50"/>
        <v>-6.6008284887759583</v>
      </c>
      <c r="AJ169" s="54">
        <f t="shared" si="50"/>
        <v>-6.6008284887759583</v>
      </c>
      <c r="AK169" s="54">
        <f t="shared" ref="AK169" si="58">IF($E70+365&lt;$C$56,0,IF($E70&lt;$C$56,(($E70+365-$C$56)/365)*(($C70/$BN$157)+($D70/$BN$158)),IF($E70&gt;AK$166,0,IF($E70+365&lt;AK$166,($C70/$BN$157)+($D70/$BN$158),((AK$166-$E70)/365)*(($C70/$BN$157)+($D70/$BN$158))))))</f>
        <v>-6.6008284887759583</v>
      </c>
      <c r="AL169" s="24">
        <f t="shared" si="52"/>
        <v>-63.5</v>
      </c>
      <c r="AM169" s="24">
        <f t="shared" si="53"/>
        <v>0</v>
      </c>
      <c r="AN169" s="55">
        <f t="shared" si="54"/>
        <v>1200000</v>
      </c>
      <c r="AO169" s="55">
        <f t="shared" si="55"/>
        <v>0</v>
      </c>
      <c r="AP169" s="24"/>
      <c r="AQ169" s="24"/>
      <c r="AR169" s="24"/>
      <c r="AS169" s="24"/>
      <c r="AT169" s="24"/>
      <c r="AU169" s="24"/>
      <c r="AV169" s="24"/>
      <c r="AW169" s="24"/>
      <c r="AX169" s="24"/>
      <c r="AY169" s="24"/>
      <c r="AZ169" s="24"/>
      <c r="BA169" s="24"/>
      <c r="BB169" s="24"/>
      <c r="BC169" s="24"/>
      <c r="BD169" s="24"/>
      <c r="BE169" s="24">
        <f t="shared" si="41"/>
        <v>101.75</v>
      </c>
      <c r="BF169" s="59">
        <f>BF168+365</f>
        <v>46112</v>
      </c>
      <c r="BG169" s="36">
        <f>BV158+AC214+($C$64-$BV$158)</f>
        <v>55.92288416619364</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231.71</v>
      </c>
      <c r="CF169" s="14">
        <f>CJ177</f>
        <v>359.62</v>
      </c>
      <c r="CG169" s="14"/>
      <c r="CH169" s="25">
        <v>5</v>
      </c>
      <c r="CI169" s="14">
        <f t="shared" ref="CI169:CI177" si="59">INDEX(AN156:AR156,MATCH($CE$168,$AN$165:$AR$165,0))</f>
        <v>84.29</v>
      </c>
      <c r="CJ169" s="14">
        <f t="shared" ref="CJ169:CJ177" si="60">INDEX(AU156:AY156,MATCH($CE$168,$AN$165:$AR$165,0))</f>
        <v>139</v>
      </c>
    </row>
    <row r="170" spans="7:88">
      <c r="G170" s="12">
        <f t="shared" si="42"/>
        <v>0</v>
      </c>
      <c r="H170" s="12">
        <f t="shared" si="43"/>
        <v>0</v>
      </c>
      <c r="I170" s="12">
        <f t="shared" si="43"/>
        <v>-40.1</v>
      </c>
      <c r="J170" s="12">
        <f t="shared" si="43"/>
        <v>-40.1</v>
      </c>
      <c r="K170" s="12">
        <f t="shared" si="44"/>
        <v>-40.1</v>
      </c>
      <c r="L170" s="12">
        <f t="shared" si="45"/>
        <v>-40.1</v>
      </c>
      <c r="M170" s="12">
        <f t="shared" si="45"/>
        <v>-40.1</v>
      </c>
      <c r="N170" s="12">
        <f t="shared" si="45"/>
        <v>-40.1</v>
      </c>
      <c r="O170" s="12">
        <f t="shared" si="46"/>
        <v>-40.1</v>
      </c>
      <c r="P170" s="12">
        <f t="shared" si="47"/>
        <v>-40.1</v>
      </c>
      <c r="Q170" s="12">
        <f t="shared" si="47"/>
        <v>-40.1</v>
      </c>
      <c r="T170" s="61"/>
      <c r="U170" s="61"/>
      <c r="V170" s="61"/>
      <c r="W170" s="53">
        <f t="shared" si="48"/>
        <v>-9135.1999999999989</v>
      </c>
      <c r="X170" s="54">
        <f t="shared" si="49"/>
        <v>8.7573342674489894</v>
      </c>
      <c r="Y170" s="25">
        <f t="shared" si="56"/>
        <v>-0.39962919667499958</v>
      </c>
      <c r="Z170" s="54">
        <f t="shared" ref="Z170:Z213" si="61">($C71/$BN$157)+($D71/$BN$158)</f>
        <v>-6.9775257739454899</v>
      </c>
      <c r="AA170" s="54">
        <f t="shared" si="50"/>
        <v>0</v>
      </c>
      <c r="AB170" s="54">
        <f t="shared" si="50"/>
        <v>0</v>
      </c>
      <c r="AC170" s="54">
        <f t="shared" si="50"/>
        <v>-6.9775257739454899</v>
      </c>
      <c r="AD170" s="54">
        <f t="shared" si="50"/>
        <v>-6.9775257739454899</v>
      </c>
      <c r="AE170" s="54">
        <f t="shared" si="50"/>
        <v>-6.9775257739454899</v>
      </c>
      <c r="AF170" s="54">
        <f t="shared" si="50"/>
        <v>-6.9775257739454899</v>
      </c>
      <c r="AG170" s="54">
        <f t="shared" si="50"/>
        <v>-6.9775257739454899</v>
      </c>
      <c r="AH170" s="54">
        <f t="shared" si="50"/>
        <v>-6.9775257739454899</v>
      </c>
      <c r="AI170" s="54">
        <f t="shared" si="50"/>
        <v>-6.9775257739454899</v>
      </c>
      <c r="AJ170" s="54">
        <f t="shared" si="50"/>
        <v>-6.9775257739454899</v>
      </c>
      <c r="AK170" s="54">
        <f t="shared" ref="AK170" si="62">IF($E71+365&lt;$C$56,0,IF($E71&lt;$C$56,(($E71+365-$C$56)/365)*(($C71/$BN$157)+($D71/$BN$158)),IF($E71&gt;AK$166,0,IF($E71+365&lt;AK$166,($C71/$BN$157)+($D71/$BN$158),((AK$166-$E71)/365)*(($C71/$BN$157)+($D71/$BN$158))))))</f>
        <v>-6.9775257739454899</v>
      </c>
      <c r="AL170" s="24">
        <f t="shared" si="52"/>
        <v>-60.1</v>
      </c>
      <c r="AM170" s="24">
        <f t="shared" si="53"/>
        <v>-134.1</v>
      </c>
      <c r="AN170" s="55">
        <f t="shared" si="54"/>
        <v>80000</v>
      </c>
      <c r="AO170" s="55">
        <f t="shared" si="55"/>
        <v>0</v>
      </c>
      <c r="AP170" s="24"/>
      <c r="AQ170" s="24"/>
      <c r="AR170" s="24"/>
      <c r="AS170" s="24"/>
      <c r="AT170" s="24"/>
      <c r="AU170" s="24"/>
      <c r="AV170" s="24"/>
      <c r="AW170" s="24"/>
      <c r="AX170" s="24"/>
      <c r="AY170" s="24"/>
      <c r="AZ170" s="24"/>
      <c r="BA170" s="24"/>
      <c r="BB170" s="24"/>
      <c r="BC170" s="24"/>
      <c r="BD170" s="24"/>
      <c r="BE170" s="24">
        <f t="shared" si="41"/>
        <v>101.75</v>
      </c>
      <c r="BF170" s="59">
        <f>BF169+365</f>
        <v>46477</v>
      </c>
      <c r="BG170" s="36">
        <f>$BV$158+AD214+($C$64-$BV$158)</f>
        <v>49.958099079018126</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213.15</v>
      </c>
      <c r="CF170" s="14">
        <f>CJ176</f>
        <v>332.05</v>
      </c>
      <c r="CG170" s="14"/>
      <c r="CH170" s="25">
        <v>4.5</v>
      </c>
      <c r="CI170" s="14">
        <f t="shared" si="59"/>
        <v>101.75</v>
      </c>
      <c r="CJ170" s="14">
        <f t="shared" si="60"/>
        <v>166.57</v>
      </c>
    </row>
    <row r="171" spans="7:88">
      <c r="G171" s="12">
        <f t="shared" si="42"/>
        <v>0</v>
      </c>
      <c r="H171" s="12">
        <f t="shared" si="43"/>
        <v>0</v>
      </c>
      <c r="I171" s="12">
        <f t="shared" si="43"/>
        <v>0</v>
      </c>
      <c r="J171" s="12">
        <f t="shared" si="43"/>
        <v>-14.8</v>
      </c>
      <c r="K171" s="12">
        <f t="shared" si="44"/>
        <v>-14.8</v>
      </c>
      <c r="L171" s="12">
        <f t="shared" si="45"/>
        <v>-14.8</v>
      </c>
      <c r="M171" s="12">
        <f t="shared" si="45"/>
        <v>-14.8</v>
      </c>
      <c r="N171" s="12">
        <f t="shared" si="45"/>
        <v>-14.8</v>
      </c>
      <c r="O171" s="12">
        <f t="shared" si="46"/>
        <v>-14.8</v>
      </c>
      <c r="P171" s="12">
        <f t="shared" si="47"/>
        <v>-14.8</v>
      </c>
      <c r="Q171" s="12">
        <f t="shared" si="47"/>
        <v>-14.8</v>
      </c>
      <c r="T171" s="61"/>
      <c r="U171" s="61"/>
      <c r="V171" s="61"/>
      <c r="W171" s="53">
        <f t="shared" si="48"/>
        <v>-6095.2</v>
      </c>
      <c r="X171" s="54">
        <f t="shared" si="49"/>
        <v>29.531434571466072</v>
      </c>
      <c r="Y171" s="54">
        <f t="shared" si="56"/>
        <v>-0.28055696879257835</v>
      </c>
      <c r="Z171" s="54">
        <f>($C72/$BN$157)+($D72/$BN$158)</f>
        <v>-4.8985246751184164</v>
      </c>
      <c r="AA171" s="54">
        <f t="shared" si="50"/>
        <v>0</v>
      </c>
      <c r="AB171" s="54">
        <f t="shared" si="50"/>
        <v>0</v>
      </c>
      <c r="AC171" s="54">
        <f t="shared" si="50"/>
        <v>-4.8985246751184164</v>
      </c>
      <c r="AD171" s="54">
        <f t="shared" si="50"/>
        <v>-4.8985246751184164</v>
      </c>
      <c r="AE171" s="54">
        <f t="shared" si="50"/>
        <v>-4.8985246751184164</v>
      </c>
      <c r="AF171" s="54">
        <f>IF($E72+365&lt;$C$56,0,IF($E72&lt;$C$56,(($E72+365-$C$56)/365)*(($C72/$BN$157)+($D72/$BN$158)),IF($E72&gt;AF$166,0,IF($E72+365&lt;AF$166,($C72/$BN$157)+($D72/$BN$158),((AF$166-$E72)/365)*(($C72/$BN$157)+($D72/$BN$158))))))</f>
        <v>-4.8985246751184164</v>
      </c>
      <c r="AG171" s="54">
        <f t="shared" si="50"/>
        <v>-4.8985246751184164</v>
      </c>
      <c r="AH171" s="54">
        <f t="shared" si="50"/>
        <v>-4.8985246751184164</v>
      </c>
      <c r="AI171" s="54">
        <f t="shared" si="50"/>
        <v>-4.8985246751184164</v>
      </c>
      <c r="AJ171" s="54">
        <f t="shared" si="50"/>
        <v>-4.8985246751184164</v>
      </c>
      <c r="AK171" s="54">
        <f t="shared" ref="AK171" si="63">IF($E72+365&lt;$C$56,0,IF($E72&lt;$C$56,(($E72+365-$C$56)/365)*(($C72/$BN$157)+($D72/$BN$158)),IF($E72&gt;AK$166,0,IF($E72+365&lt;AK$166,($C72/$BN$157)+($D72/$BN$158),((AK$166-$E72)/365)*(($C72/$BN$157)+($D72/$BN$158))))))</f>
        <v>-4.8985246751184164</v>
      </c>
      <c r="AL171" s="24">
        <f t="shared" si="52"/>
        <v>-40.1</v>
      </c>
      <c r="AM171" s="24">
        <f t="shared" si="53"/>
        <v>-134.1</v>
      </c>
      <c r="AN171" s="55">
        <f t="shared" si="54"/>
        <v>180000</v>
      </c>
      <c r="AO171" s="55">
        <f t="shared" si="55"/>
        <v>0</v>
      </c>
      <c r="AP171" s="24"/>
      <c r="AQ171" s="24"/>
      <c r="AR171" s="24"/>
      <c r="AS171" s="24"/>
      <c r="AT171" s="24"/>
      <c r="AU171" s="24"/>
      <c r="AV171" s="24"/>
      <c r="AW171" s="24"/>
      <c r="AX171" s="24"/>
      <c r="AY171" s="24"/>
      <c r="AZ171" s="24"/>
      <c r="BA171" s="24"/>
      <c r="BB171" s="24"/>
      <c r="BC171" s="24"/>
      <c r="BD171" s="24"/>
      <c r="BE171" s="24">
        <f t="shared" si="41"/>
        <v>101.75</v>
      </c>
      <c r="BF171" s="59">
        <f t="shared" ref="BF171:BF176" si="64">BF170+365</f>
        <v>46842</v>
      </c>
      <c r="BG171" s="36">
        <f>$BV$158+AE214+($C$64-$BV$158)</f>
        <v>47.881176981289876</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194.58</v>
      </c>
      <c r="CF171" s="14">
        <f>CJ175</f>
        <v>304.47000000000003</v>
      </c>
      <c r="CG171" s="14"/>
      <c r="CH171" s="25">
        <v>4</v>
      </c>
      <c r="CI171" s="14">
        <f t="shared" si="59"/>
        <v>120.31</v>
      </c>
      <c r="CJ171" s="14">
        <f t="shared" si="60"/>
        <v>194.15</v>
      </c>
    </row>
    <row r="172" spans="7:88">
      <c r="G172" s="12">
        <f t="shared" si="42"/>
        <v>0</v>
      </c>
      <c r="H172" s="12">
        <f t="shared" si="43"/>
        <v>0</v>
      </c>
      <c r="I172" s="12">
        <f t="shared" si="43"/>
        <v>0</v>
      </c>
      <c r="J172" s="12">
        <f t="shared" si="43"/>
        <v>-3.9</v>
      </c>
      <c r="K172" s="12">
        <f t="shared" si="44"/>
        <v>-3.9</v>
      </c>
      <c r="L172" s="12">
        <f t="shared" si="45"/>
        <v>-3.9</v>
      </c>
      <c r="M172" s="12">
        <f t="shared" si="45"/>
        <v>-3.9</v>
      </c>
      <c r="N172" s="12">
        <f t="shared" si="45"/>
        <v>-3.9</v>
      </c>
      <c r="O172" s="12">
        <f t="shared" si="46"/>
        <v>-3.9</v>
      </c>
      <c r="P172" s="12">
        <f t="shared" si="47"/>
        <v>-3.9</v>
      </c>
      <c r="Q172" s="12">
        <f t="shared" si="47"/>
        <v>-3.9</v>
      </c>
      <c r="T172" s="61"/>
      <c r="U172" s="61"/>
      <c r="V172" s="61"/>
      <c r="W172" s="53">
        <f t="shared" si="48"/>
        <v>-2249.6</v>
      </c>
      <c r="X172" s="54">
        <f t="shared" si="49"/>
        <v>11.113086770981509</v>
      </c>
      <c r="Y172" s="25">
        <f>Z172/$BH$166</f>
        <v>-0.10900643279792605</v>
      </c>
      <c r="Z172" s="54">
        <f t="shared" si="61"/>
        <v>-1.9032523166517881</v>
      </c>
      <c r="AA172" s="54">
        <f t="shared" si="50"/>
        <v>0</v>
      </c>
      <c r="AB172" s="54">
        <f t="shared" si="50"/>
        <v>0</v>
      </c>
      <c r="AC172" s="54">
        <f t="shared" si="50"/>
        <v>0</v>
      </c>
      <c r="AD172" s="54">
        <f t="shared" si="50"/>
        <v>-1.9032523166517881</v>
      </c>
      <c r="AE172" s="54">
        <f t="shared" si="50"/>
        <v>-1.9032523166517881</v>
      </c>
      <c r="AF172" s="54">
        <f t="shared" si="50"/>
        <v>-1.9032523166517881</v>
      </c>
      <c r="AG172" s="54">
        <f t="shared" si="50"/>
        <v>-1.9032523166517881</v>
      </c>
      <c r="AH172" s="54">
        <f t="shared" si="50"/>
        <v>-1.9032523166517881</v>
      </c>
      <c r="AI172" s="54">
        <f t="shared" si="50"/>
        <v>-1.9032523166517881</v>
      </c>
      <c r="AJ172" s="54">
        <f t="shared" si="50"/>
        <v>-1.9032523166517881</v>
      </c>
      <c r="AK172" s="54">
        <f t="shared" ref="AK172" si="65">IF($E73+365&lt;$C$56,0,IF($E73&lt;$C$56,(($E73+365-$C$56)/365)*(($C73/$BN$157)+($D73/$BN$158)),IF($E73&gt;AK$166,0,IF($E73+365&lt;AK$166,($C73/$BN$157)+($D73/$BN$158),((AK$166-$E73)/365)*(($C73/$BN$157)+($D73/$BN$158))))))</f>
        <v>-1.9032523166517881</v>
      </c>
      <c r="AL172" s="24">
        <f t="shared" si="52"/>
        <v>-14.8</v>
      </c>
      <c r="AM172" s="24">
        <f t="shared" si="53"/>
        <v>-67</v>
      </c>
      <c r="AN172" s="55">
        <f t="shared" si="54"/>
        <v>25000</v>
      </c>
      <c r="AO172" s="55">
        <f t="shared" si="55"/>
        <v>0</v>
      </c>
      <c r="AP172" s="24"/>
      <c r="AQ172" s="24"/>
      <c r="AR172" s="24"/>
      <c r="AS172" s="24"/>
      <c r="AT172" s="24"/>
      <c r="AU172" s="24"/>
      <c r="AV172" s="24"/>
      <c r="AW172" s="24"/>
      <c r="AX172" s="24"/>
      <c r="AY172" s="24"/>
      <c r="AZ172" s="24"/>
      <c r="BA172" s="24"/>
      <c r="BB172" s="24"/>
      <c r="BC172" s="24"/>
      <c r="BD172" s="24"/>
      <c r="BE172" s="24">
        <f t="shared" si="41"/>
        <v>101.75</v>
      </c>
      <c r="BF172" s="59">
        <f t="shared" si="64"/>
        <v>47207</v>
      </c>
      <c r="BG172" s="36">
        <f>$BV$158+AF214+($C$64-$BV$158)</f>
        <v>46.983048506596582</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176.01</v>
      </c>
      <c r="CF172" s="14">
        <f>CJ174</f>
        <v>276.89</v>
      </c>
      <c r="CG172" s="14"/>
      <c r="CH172" s="25">
        <v>3.5</v>
      </c>
      <c r="CI172" s="14">
        <f t="shared" si="59"/>
        <v>138.88</v>
      </c>
      <c r="CJ172" s="14">
        <f t="shared" si="60"/>
        <v>221.73</v>
      </c>
    </row>
    <row r="173" spans="7:88">
      <c r="G173" s="12">
        <f t="shared" si="42"/>
        <v>0</v>
      </c>
      <c r="H173" s="12">
        <f t="shared" si="43"/>
        <v>0</v>
      </c>
      <c r="I173" s="12">
        <f t="shared" si="43"/>
        <v>0</v>
      </c>
      <c r="J173" s="12">
        <f t="shared" si="43"/>
        <v>-27.5</v>
      </c>
      <c r="K173" s="12">
        <f t="shared" si="44"/>
        <v>-27.5</v>
      </c>
      <c r="L173" s="12">
        <f t="shared" si="45"/>
        <v>-27.5</v>
      </c>
      <c r="M173" s="12">
        <f t="shared" si="45"/>
        <v>-27.5</v>
      </c>
      <c r="N173" s="12">
        <f t="shared" si="45"/>
        <v>-27.5</v>
      </c>
      <c r="O173" s="12">
        <f t="shared" si="46"/>
        <v>-27.5</v>
      </c>
      <c r="P173" s="12">
        <f t="shared" si="47"/>
        <v>-27.5</v>
      </c>
      <c r="Q173" s="12">
        <f t="shared" si="47"/>
        <v>-27.5</v>
      </c>
      <c r="T173" s="61"/>
      <c r="U173" s="61"/>
      <c r="V173" s="61"/>
      <c r="W173" s="53">
        <f t="shared" si="48"/>
        <v>-592.79999999999995</v>
      </c>
      <c r="X173" s="54">
        <f t="shared" si="49"/>
        <v>25.303643724696357</v>
      </c>
      <c r="Y173" s="25">
        <f t="shared" si="56"/>
        <v>-0.10685338821371985</v>
      </c>
      <c r="Z173" s="54">
        <f t="shared" si="61"/>
        <v>-1.865660158211548</v>
      </c>
      <c r="AA173" s="54">
        <f t="shared" si="50"/>
        <v>0</v>
      </c>
      <c r="AB173" s="54">
        <f t="shared" si="50"/>
        <v>0</v>
      </c>
      <c r="AC173" s="54">
        <f t="shared" si="50"/>
        <v>0</v>
      </c>
      <c r="AD173" s="54">
        <f t="shared" si="50"/>
        <v>-1.865660158211548</v>
      </c>
      <c r="AE173" s="54">
        <f t="shared" si="50"/>
        <v>-1.865660158211548</v>
      </c>
      <c r="AF173" s="54">
        <f t="shared" si="50"/>
        <v>-1.865660158211548</v>
      </c>
      <c r="AG173" s="54">
        <f t="shared" si="50"/>
        <v>-1.865660158211548</v>
      </c>
      <c r="AH173" s="54">
        <f t="shared" si="50"/>
        <v>-1.865660158211548</v>
      </c>
      <c r="AI173" s="54">
        <f t="shared" si="50"/>
        <v>-1.865660158211548</v>
      </c>
      <c r="AJ173" s="54">
        <f t="shared" si="50"/>
        <v>-1.865660158211548</v>
      </c>
      <c r="AK173" s="54">
        <f t="shared" ref="AK173" si="66">IF($E74+365&lt;$C$56,0,IF($E74&lt;$C$56,(($E74+365-$C$56)/365)*(($C74/$BN$157)+($D74/$BN$158)),IF($E74&gt;AK$166,0,IF($E74+365&lt;AK$166,($C74/$BN$157)+($D74/$BN$158),((AK$166-$E74)/365)*(($C74/$BN$157)+($D74/$BN$158))))))</f>
        <v>-1.865660158211548</v>
      </c>
      <c r="AL173" s="24">
        <f t="shared" si="52"/>
        <v>-3.9</v>
      </c>
      <c r="AM173" s="24">
        <f t="shared" si="53"/>
        <v>-268.2</v>
      </c>
      <c r="AN173" s="55">
        <f t="shared" si="54"/>
        <v>15000</v>
      </c>
      <c r="AO173" s="55">
        <f t="shared" si="55"/>
        <v>0</v>
      </c>
      <c r="AP173" s="24"/>
      <c r="AQ173" s="24"/>
      <c r="AR173" s="24"/>
      <c r="AS173" s="24"/>
      <c r="AT173" s="24"/>
      <c r="AU173" s="24"/>
      <c r="AV173" s="24"/>
      <c r="AW173" s="24"/>
      <c r="AX173" s="24"/>
      <c r="AY173" s="24"/>
      <c r="AZ173" s="24"/>
      <c r="BA173" s="24"/>
      <c r="BB173" s="24"/>
      <c r="BC173" s="24"/>
      <c r="BD173" s="24"/>
      <c r="BE173" s="24">
        <f t="shared" si="41"/>
        <v>101.75</v>
      </c>
      <c r="BF173" s="59">
        <f t="shared" si="64"/>
        <v>47572</v>
      </c>
      <c r="BG173" s="36">
        <f>$BV$158+AG214+($C$64-$BV$158)</f>
        <v>46.983048506596582</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157.44999999999999</v>
      </c>
      <c r="CF173" s="14">
        <f>CJ173</f>
        <v>249.31</v>
      </c>
      <c r="CG173" s="14"/>
      <c r="CH173" s="25">
        <v>3</v>
      </c>
      <c r="CI173" s="14">
        <f t="shared" si="59"/>
        <v>157.44999999999999</v>
      </c>
      <c r="CJ173" s="14">
        <f t="shared" si="60"/>
        <v>249.31</v>
      </c>
    </row>
    <row r="174" spans="7:88">
      <c r="G174" s="12">
        <f t="shared" si="42"/>
        <v>0</v>
      </c>
      <c r="H174" s="12">
        <f t="shared" si="43"/>
        <v>0</v>
      </c>
      <c r="I174" s="12">
        <f t="shared" si="43"/>
        <v>0</v>
      </c>
      <c r="J174" s="12">
        <f t="shared" si="43"/>
        <v>0</v>
      </c>
      <c r="K174" s="12">
        <f t="shared" si="44"/>
        <v>-11.3</v>
      </c>
      <c r="L174" s="12">
        <f t="shared" si="45"/>
        <v>-11.3</v>
      </c>
      <c r="M174" s="12">
        <f t="shared" si="45"/>
        <v>-11.3</v>
      </c>
      <c r="N174" s="12">
        <f t="shared" si="45"/>
        <v>-11.3</v>
      </c>
      <c r="O174" s="12">
        <f t="shared" si="46"/>
        <v>-11.3</v>
      </c>
      <c r="P174" s="12">
        <f t="shared" si="47"/>
        <v>-11.3</v>
      </c>
      <c r="Q174" s="12">
        <f t="shared" si="47"/>
        <v>-11.3</v>
      </c>
      <c r="T174" s="61"/>
      <c r="U174" s="61"/>
      <c r="V174" s="61"/>
      <c r="W174" s="53">
        <f t="shared" si="48"/>
        <v>-4180</v>
      </c>
      <c r="X174" s="54">
        <f t="shared" si="49"/>
        <v>7.1770334928229662</v>
      </c>
      <c r="Y174" s="25">
        <f t="shared" si="56"/>
        <v>-0.16372431333832915</v>
      </c>
      <c r="Z174" s="54">
        <f t="shared" si="61"/>
        <v>-2.858626510887226</v>
      </c>
      <c r="AA174" s="54">
        <f t="shared" si="50"/>
        <v>0</v>
      </c>
      <c r="AB174" s="54">
        <f t="shared" si="50"/>
        <v>0</v>
      </c>
      <c r="AC174" s="54">
        <f t="shared" si="50"/>
        <v>0</v>
      </c>
      <c r="AD174" s="54">
        <f t="shared" si="50"/>
        <v>-2.858626510887226</v>
      </c>
      <c r="AE174" s="54">
        <f t="shared" si="50"/>
        <v>-2.858626510887226</v>
      </c>
      <c r="AF174" s="54">
        <f t="shared" si="50"/>
        <v>-2.858626510887226</v>
      </c>
      <c r="AG174" s="54">
        <f t="shared" si="50"/>
        <v>-2.858626510887226</v>
      </c>
      <c r="AH174" s="54">
        <f t="shared" si="50"/>
        <v>-2.858626510887226</v>
      </c>
      <c r="AI174" s="54">
        <f t="shared" si="50"/>
        <v>-2.858626510887226</v>
      </c>
      <c r="AJ174" s="54">
        <f t="shared" si="50"/>
        <v>-2.858626510887226</v>
      </c>
      <c r="AK174" s="54">
        <f t="shared" ref="AK174" si="67">IF($E75+365&lt;$C$56,0,IF($E75&lt;$C$56,(($E75+365-$C$56)/365)*(($C75/$BN$157)+($D75/$BN$158)),IF($E75&gt;AK$166,0,IF($E75+365&lt;AK$166,($C75/$BN$157)+($D75/$BN$158),((AK$166-$E75)/365)*(($C75/$BN$157)+($D75/$BN$158))))))</f>
        <v>-2.858626510887226</v>
      </c>
      <c r="AL174" s="24">
        <f t="shared" si="52"/>
        <v>-27.5</v>
      </c>
      <c r="AM174" s="24">
        <f t="shared" si="53"/>
        <v>0</v>
      </c>
      <c r="AN174" s="55">
        <f t="shared" si="54"/>
        <v>30000</v>
      </c>
      <c r="AO174" s="55">
        <f t="shared" si="55"/>
        <v>0</v>
      </c>
      <c r="AP174" s="24"/>
      <c r="AQ174" s="24"/>
      <c r="AR174" s="24"/>
      <c r="AS174" s="24"/>
      <c r="AT174" s="24"/>
      <c r="AU174" s="24"/>
      <c r="AV174" s="24"/>
      <c r="AW174" s="24"/>
      <c r="AX174" s="24"/>
      <c r="AY174" s="24"/>
      <c r="AZ174" s="24"/>
      <c r="BA174" s="24"/>
      <c r="BB174" s="24"/>
      <c r="BC174" s="24"/>
      <c r="BD174" s="24"/>
      <c r="BE174" s="24">
        <f t="shared" si="41"/>
        <v>101.75</v>
      </c>
      <c r="BF174" s="59">
        <f t="shared" si="64"/>
        <v>47937</v>
      </c>
      <c r="BG174" s="36">
        <f>$BV$158+AH214+($C$64-$BV$158)</f>
        <v>46.051740924545499</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138.88</v>
      </c>
      <c r="CF174" s="14">
        <f>CJ172</f>
        <v>221.73</v>
      </c>
      <c r="CG174" s="14"/>
      <c r="CH174" s="25">
        <v>2.5</v>
      </c>
      <c r="CI174" s="14">
        <f t="shared" si="59"/>
        <v>176.01</v>
      </c>
      <c r="CJ174" s="14">
        <f t="shared" si="60"/>
        <v>276.89</v>
      </c>
    </row>
    <row r="175" spans="7:88">
      <c r="G175" s="12">
        <f t="shared" si="42"/>
        <v>0</v>
      </c>
      <c r="H175" s="12">
        <f t="shared" si="43"/>
        <v>0</v>
      </c>
      <c r="I175" s="12">
        <f t="shared" si="43"/>
        <v>0</v>
      </c>
      <c r="J175" s="12">
        <f t="shared" si="43"/>
        <v>0</v>
      </c>
      <c r="K175" s="12">
        <f t="shared" si="44"/>
        <v>-10.9</v>
      </c>
      <c r="L175" s="12">
        <f t="shared" si="45"/>
        <v>-10.9</v>
      </c>
      <c r="M175" s="12">
        <f t="shared" si="45"/>
        <v>-10.9</v>
      </c>
      <c r="N175" s="12">
        <f t="shared" si="45"/>
        <v>-10.9</v>
      </c>
      <c r="O175" s="12">
        <f t="shared" si="46"/>
        <v>-10.9</v>
      </c>
      <c r="P175" s="12">
        <f t="shared" si="47"/>
        <v>-10.9</v>
      </c>
      <c r="Q175" s="12">
        <f t="shared" si="47"/>
        <v>-10.9</v>
      </c>
      <c r="T175" s="61"/>
      <c r="U175" s="61"/>
      <c r="V175" s="61"/>
      <c r="W175" s="53">
        <f t="shared" si="48"/>
        <v>-1717.6</v>
      </c>
      <c r="X175" s="54">
        <f t="shared" si="49"/>
        <v>29.110386585933863</v>
      </c>
      <c r="Y175" s="25">
        <f t="shared" si="56"/>
        <v>-6.7275808753567978E-2</v>
      </c>
      <c r="Z175" s="54">
        <f t="shared" si="61"/>
        <v>-1.1746356208372966</v>
      </c>
      <c r="AA175" s="54">
        <f t="shared" si="50"/>
        <v>0</v>
      </c>
      <c r="AB175" s="54">
        <f t="shared" si="50"/>
        <v>0</v>
      </c>
      <c r="AC175" s="54">
        <f t="shared" si="50"/>
        <v>0</v>
      </c>
      <c r="AD175" s="54">
        <f t="shared" si="50"/>
        <v>0</v>
      </c>
      <c r="AE175" s="54">
        <f t="shared" si="50"/>
        <v>-1.1746356208372966</v>
      </c>
      <c r="AF175" s="54">
        <f t="shared" si="50"/>
        <v>-1.1746356208372966</v>
      </c>
      <c r="AG175" s="54">
        <f t="shared" si="50"/>
        <v>-1.1746356208372966</v>
      </c>
      <c r="AH175" s="54">
        <f t="shared" si="50"/>
        <v>-1.1746356208372966</v>
      </c>
      <c r="AI175" s="54">
        <f t="shared" si="50"/>
        <v>-1.1746356208372966</v>
      </c>
      <c r="AJ175" s="54">
        <f t="shared" si="50"/>
        <v>-1.1746356208372966</v>
      </c>
      <c r="AK175" s="54">
        <f t="shared" ref="AK175" si="68">IF($E76+365&lt;$C$56,0,IF($E76&lt;$C$56,(($E76+365-$C$56)/365)*(($C76/$BN$157)+($D76/$BN$158)),IF($E76&gt;AK$166,0,IF($E76+365&lt;AK$166,($C76/$BN$157)+($D76/$BN$158),((AK$166-$E76)/365)*(($C76/$BN$157)+($D76/$BN$158))))))</f>
        <v>-1.1746356208372966</v>
      </c>
      <c r="AL175" s="24">
        <f t="shared" si="52"/>
        <v>-11.3</v>
      </c>
      <c r="AM175" s="24">
        <f t="shared" si="53"/>
        <v>0</v>
      </c>
      <c r="AN175" s="55">
        <f t="shared" si="54"/>
        <v>50000</v>
      </c>
      <c r="AO175" s="55">
        <f t="shared" si="55"/>
        <v>0</v>
      </c>
      <c r="AP175" s="24"/>
      <c r="AQ175" s="24"/>
      <c r="AR175" s="24"/>
      <c r="AS175" s="24"/>
      <c r="AT175" s="24"/>
      <c r="AU175" s="24"/>
      <c r="AV175" s="24"/>
      <c r="AW175" s="24"/>
      <c r="AX175" s="24"/>
      <c r="AY175" s="24"/>
      <c r="AZ175" s="24"/>
      <c r="BA175" s="24"/>
      <c r="BB175" s="24"/>
      <c r="BC175" s="24"/>
      <c r="BD175" s="24"/>
      <c r="BE175" s="24">
        <f t="shared" si="41"/>
        <v>101.75</v>
      </c>
      <c r="BF175" s="59">
        <f t="shared" si="64"/>
        <v>48302</v>
      </c>
      <c r="BG175" s="36">
        <f>$BV$158+AI214+($C$64-$BV$158)</f>
        <v>46.051740924545499</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120.31</v>
      </c>
      <c r="CF175" s="14">
        <f>CJ171</f>
        <v>194.15</v>
      </c>
      <c r="CG175" s="14"/>
      <c r="CH175" s="25">
        <v>2</v>
      </c>
      <c r="CI175" s="14">
        <f t="shared" si="59"/>
        <v>194.58</v>
      </c>
      <c r="CJ175" s="14">
        <f t="shared" si="60"/>
        <v>304.47000000000003</v>
      </c>
    </row>
    <row r="176" spans="7:88">
      <c r="G176" s="12">
        <f t="shared" si="42"/>
        <v>0</v>
      </c>
      <c r="H176" s="12">
        <f t="shared" si="43"/>
        <v>0</v>
      </c>
      <c r="I176" s="12">
        <f t="shared" si="43"/>
        <v>0</v>
      </c>
      <c r="J176" s="12">
        <f t="shared" si="43"/>
        <v>0</v>
      </c>
      <c r="K176" s="12">
        <f t="shared" si="44"/>
        <v>-9.6</v>
      </c>
      <c r="L176" s="12">
        <f t="shared" si="45"/>
        <v>-9.6</v>
      </c>
      <c r="M176" s="12">
        <f t="shared" si="45"/>
        <v>-9.6</v>
      </c>
      <c r="N176" s="12">
        <f t="shared" si="45"/>
        <v>-9.6</v>
      </c>
      <c r="O176" s="12">
        <f t="shared" si="46"/>
        <v>-9.6</v>
      </c>
      <c r="P176" s="12">
        <f t="shared" si="47"/>
        <v>-9.6</v>
      </c>
      <c r="Q176" s="12">
        <f t="shared" si="47"/>
        <v>-9.6</v>
      </c>
      <c r="T176" s="61"/>
      <c r="U176" s="61"/>
      <c r="V176" s="61"/>
      <c r="W176" s="53">
        <f t="shared" si="48"/>
        <v>-1656.8</v>
      </c>
      <c r="X176" s="54">
        <f t="shared" si="49"/>
        <v>18.107194591984548</v>
      </c>
      <c r="Y176" s="25">
        <f t="shared" si="56"/>
        <v>-6.4894364195919554E-2</v>
      </c>
      <c r="Z176" s="54">
        <f t="shared" si="61"/>
        <v>-1.1330555988607551</v>
      </c>
      <c r="AA176" s="54">
        <f t="shared" si="50"/>
        <v>0</v>
      </c>
      <c r="AB176" s="54">
        <f t="shared" si="50"/>
        <v>0</v>
      </c>
      <c r="AC176" s="54">
        <f t="shared" si="50"/>
        <v>0</v>
      </c>
      <c r="AD176" s="54">
        <f t="shared" si="50"/>
        <v>0</v>
      </c>
      <c r="AE176" s="54">
        <f t="shared" si="50"/>
        <v>-1.1330555988607551</v>
      </c>
      <c r="AF176" s="54">
        <f t="shared" si="50"/>
        <v>-1.1330555988607551</v>
      </c>
      <c r="AG176" s="54">
        <f t="shared" si="50"/>
        <v>-1.1330555988607551</v>
      </c>
      <c r="AH176" s="54">
        <f t="shared" si="50"/>
        <v>-1.1330555988607551</v>
      </c>
      <c r="AI176" s="54">
        <f t="shared" si="50"/>
        <v>-1.1330555988607551</v>
      </c>
      <c r="AJ176" s="54">
        <f t="shared" si="50"/>
        <v>-1.1330555988607551</v>
      </c>
      <c r="AK176" s="54">
        <f t="shared" ref="AK176" si="69">IF($E77+365&lt;$C$56,0,IF($E77&lt;$C$56,(($E77+365-$C$56)/365)*(($C77/$BN$157)+($D77/$BN$158)),IF($E77&gt;AK$166,0,IF($E77+365&lt;AK$166,($C77/$BN$157)+($D77/$BN$158),((AK$166-$E77)/365)*(($C77/$BN$157)+($D77/$BN$158))))))</f>
        <v>-1.1330555988607551</v>
      </c>
      <c r="AL176" s="24">
        <f t="shared" si="52"/>
        <v>-10.9</v>
      </c>
      <c r="AM176" s="24">
        <f t="shared" si="53"/>
        <v>0</v>
      </c>
      <c r="AN176" s="55">
        <f t="shared" si="54"/>
        <v>30000</v>
      </c>
      <c r="AO176" s="55">
        <f t="shared" si="55"/>
        <v>0</v>
      </c>
      <c r="AP176" s="24"/>
      <c r="AQ176" s="24"/>
      <c r="AR176" s="24"/>
      <c r="AS176" s="24"/>
      <c r="AT176" s="24"/>
      <c r="AU176" s="24"/>
      <c r="AV176" s="24"/>
      <c r="AW176" s="24"/>
      <c r="AX176" s="24"/>
      <c r="AY176" s="24"/>
      <c r="AZ176" s="24"/>
      <c r="BA176" s="24"/>
      <c r="BB176" s="24"/>
      <c r="BC176" s="24"/>
      <c r="BD176" s="24"/>
      <c r="BE176" s="24">
        <f t="shared" si="41"/>
        <v>101.75</v>
      </c>
      <c r="BF176" s="59">
        <f t="shared" si="64"/>
        <v>48667</v>
      </c>
      <c r="BG176" s="36">
        <f>$BV$158+AJ214+($C$64-$BV$158)</f>
        <v>46.051740924545499</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101.75</v>
      </c>
      <c r="CF176" s="14">
        <f>CJ170</f>
        <v>166.57</v>
      </c>
      <c r="CG176" s="14"/>
      <c r="CH176" s="25">
        <v>1.5</v>
      </c>
      <c r="CI176" s="14">
        <f t="shared" si="59"/>
        <v>213.15</v>
      </c>
      <c r="CJ176" s="14">
        <f t="shared" si="60"/>
        <v>332.05</v>
      </c>
    </row>
    <row r="177" spans="7:88">
      <c r="G177" s="12">
        <f t="shared" si="42"/>
        <v>0</v>
      </c>
      <c r="H177" s="12">
        <f t="shared" si="43"/>
        <v>0</v>
      </c>
      <c r="I177" s="12">
        <f t="shared" si="43"/>
        <v>0</v>
      </c>
      <c r="J177" s="12">
        <f t="shared" si="43"/>
        <v>0</v>
      </c>
      <c r="K177" s="12">
        <f t="shared" si="44"/>
        <v>0</v>
      </c>
      <c r="L177" s="12">
        <f t="shared" si="45"/>
        <v>0</v>
      </c>
      <c r="M177" s="12">
        <f t="shared" si="45"/>
        <v>0</v>
      </c>
      <c r="N177" s="12">
        <f t="shared" si="45"/>
        <v>-8.1999999999999993</v>
      </c>
      <c r="O177" s="12">
        <f t="shared" si="46"/>
        <v>-8.1999999999999993</v>
      </c>
      <c r="P177" s="12">
        <f t="shared" si="47"/>
        <v>-8.1999999999999993</v>
      </c>
      <c r="Q177" s="12">
        <f t="shared" si="47"/>
        <v>-8.1999999999999993</v>
      </c>
      <c r="T177" s="61"/>
      <c r="U177" s="61"/>
      <c r="V177" s="61"/>
      <c r="W177" s="53">
        <f t="shared" si="48"/>
        <v>-1459.1999999999998</v>
      </c>
      <c r="X177" s="54">
        <f t="shared" si="49"/>
        <v>0.95942982456140358</v>
      </c>
      <c r="Y177" s="25">
        <f t="shared" si="56"/>
        <v>-5.7154669383562173E-2</v>
      </c>
      <c r="Z177" s="54">
        <f t="shared" si="61"/>
        <v>-0.99792052743699522</v>
      </c>
      <c r="AA177" s="54">
        <f t="shared" si="50"/>
        <v>0</v>
      </c>
      <c r="AB177" s="54">
        <f t="shared" si="50"/>
        <v>0</v>
      </c>
      <c r="AC177" s="54">
        <f t="shared" si="50"/>
        <v>0</v>
      </c>
      <c r="AD177" s="54">
        <f t="shared" si="50"/>
        <v>0</v>
      </c>
      <c r="AE177" s="54">
        <f t="shared" si="50"/>
        <v>0</v>
      </c>
      <c r="AF177" s="54">
        <f t="shared" si="50"/>
        <v>-0.99792052743699522</v>
      </c>
      <c r="AG177" s="54">
        <f t="shared" si="50"/>
        <v>-0.99792052743699522</v>
      </c>
      <c r="AH177" s="54">
        <f t="shared" si="50"/>
        <v>-0.99792052743699522</v>
      </c>
      <c r="AI177" s="54">
        <f t="shared" si="50"/>
        <v>-0.99792052743699522</v>
      </c>
      <c r="AJ177" s="54">
        <f t="shared" si="50"/>
        <v>-0.99792052743699522</v>
      </c>
      <c r="AK177" s="54">
        <f t="shared" ref="AK177" si="70">IF($E78+365&lt;$C$56,0,IF($E78&lt;$C$56,(($E78+365-$C$56)/365)*(($C78/$BN$157)+($D78/$BN$158)),IF($E78&gt;AK$166,0,IF($E78+365&lt;AK$166,($C78/$BN$157)+($D78/$BN$158),((AK$166-$E78)/365)*(($C78/$BN$157)+($D78/$BN$158))))))</f>
        <v>-0.99792052743699522</v>
      </c>
      <c r="AL177" s="24">
        <f t="shared" si="52"/>
        <v>-9.6</v>
      </c>
      <c r="AM177" s="24">
        <f t="shared" si="53"/>
        <v>0</v>
      </c>
      <c r="AN177" s="55">
        <f t="shared" si="54"/>
        <v>1400</v>
      </c>
      <c r="AO177" s="55">
        <f t="shared" si="55"/>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84.29</v>
      </c>
      <c r="CF177" s="14">
        <f>CJ169</f>
        <v>139</v>
      </c>
      <c r="CG177" s="14"/>
      <c r="CH177" s="25">
        <v>1</v>
      </c>
      <c r="CI177" s="14">
        <f t="shared" si="59"/>
        <v>231.71</v>
      </c>
      <c r="CJ177" s="14">
        <f t="shared" si="60"/>
        <v>359.62</v>
      </c>
    </row>
    <row r="178" spans="7:88">
      <c r="G178" s="12">
        <f t="shared" si="42"/>
        <v>-68.7</v>
      </c>
      <c r="H178" s="12">
        <f t="shared" si="43"/>
        <v>-68.7</v>
      </c>
      <c r="I178" s="12">
        <f t="shared" si="43"/>
        <v>-68.7</v>
      </c>
      <c r="J178" s="12">
        <f t="shared" si="43"/>
        <v>-68.7</v>
      </c>
      <c r="K178" s="12">
        <f t="shared" si="44"/>
        <v>-68.7</v>
      </c>
      <c r="L178" s="12">
        <f t="shared" si="45"/>
        <v>-68.7</v>
      </c>
      <c r="M178" s="12">
        <f t="shared" si="45"/>
        <v>-68.7</v>
      </c>
      <c r="N178" s="12">
        <f t="shared" si="45"/>
        <v>-68.7</v>
      </c>
      <c r="O178" s="12">
        <f t="shared" si="46"/>
        <v>-68.7</v>
      </c>
      <c r="P178" s="12">
        <f t="shared" si="47"/>
        <v>-68.7</v>
      </c>
      <c r="Q178" s="12">
        <f t="shared" si="47"/>
        <v>-68.7</v>
      </c>
      <c r="T178" s="61"/>
      <c r="U178" s="61"/>
      <c r="V178" s="61"/>
      <c r="W178" s="53">
        <f t="shared" si="48"/>
        <v>-1246.3999999999999</v>
      </c>
      <c r="X178" s="54">
        <f t="shared" si="49"/>
        <v>6.017329910141207</v>
      </c>
      <c r="Y178" s="25">
        <f t="shared" si="56"/>
        <v>-5.9266105514259863E-2</v>
      </c>
      <c r="Z178" s="54">
        <f t="shared" si="61"/>
        <v>-1.0347862022789769</v>
      </c>
      <c r="AA178" s="54">
        <f t="shared" si="50"/>
        <v>0</v>
      </c>
      <c r="AB178" s="54">
        <f t="shared" si="50"/>
        <v>0</v>
      </c>
      <c r="AC178" s="54">
        <f>IF($E79+365&lt;$C$56,0,IF($E79&lt;$C$56,(($E79+365-$C$56)/365)*(($C79/$BN$157)+($D79/$BN$158)),IF($E79&gt;AC$166,0,IF($E79+365&lt;AC$166,($C79/$BN$157)+($D79/$BN$158),((AC$166-$E79)/365)*(($C79/$BN$157)+($D79/$BN$158))))))</f>
        <v>0</v>
      </c>
      <c r="AD178" s="54">
        <f t="shared" si="50"/>
        <v>0</v>
      </c>
      <c r="AE178" s="54">
        <f t="shared" si="50"/>
        <v>0</v>
      </c>
      <c r="AF178" s="54">
        <f t="shared" si="50"/>
        <v>0</v>
      </c>
      <c r="AG178" s="54">
        <f t="shared" si="50"/>
        <v>0</v>
      </c>
      <c r="AH178" s="54">
        <f t="shared" si="50"/>
        <v>-1.0347862022789769</v>
      </c>
      <c r="AI178" s="54">
        <f t="shared" si="50"/>
        <v>-1.0347862022789769</v>
      </c>
      <c r="AJ178" s="54">
        <f t="shared" si="50"/>
        <v>-1.0347862022789769</v>
      </c>
      <c r="AK178" s="54">
        <f t="shared" ref="AK178" si="71">IF($E79+365&lt;$C$56,0,IF($E79&lt;$C$56,(($E79+365-$C$56)/365)*(($C79/$BN$157)+($D79/$BN$158)),IF($E79&gt;AK$166,0,IF($E79+365&lt;AK$166,($C79/$BN$157)+($D79/$BN$158),((AK$166-$E79)/365)*(($C79/$BN$157)+($D79/$BN$158))))))</f>
        <v>-1.0347862022789769</v>
      </c>
      <c r="AL178" s="24">
        <f t="shared" si="52"/>
        <v>-8.1999999999999993</v>
      </c>
      <c r="AM178" s="24">
        <f t="shared" si="53"/>
        <v>-33.5</v>
      </c>
      <c r="AN178" s="55">
        <f t="shared" si="54"/>
        <v>7500</v>
      </c>
      <c r="AO178" s="55">
        <f t="shared" si="55"/>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2"/>
        <v>0</v>
      </c>
      <c r="H179" s="12">
        <f t="shared" si="43"/>
        <v>0</v>
      </c>
      <c r="I179" s="12">
        <f t="shared" si="43"/>
        <v>0</v>
      </c>
      <c r="J179" s="12">
        <f t="shared" si="43"/>
        <v>0</v>
      </c>
      <c r="K179" s="12">
        <f t="shared" si="44"/>
        <v>0</v>
      </c>
      <c r="L179" s="12">
        <f t="shared" si="45"/>
        <v>0</v>
      </c>
      <c r="M179" s="12">
        <f t="shared" si="45"/>
        <v>0</v>
      </c>
      <c r="N179" s="12">
        <f t="shared" si="45"/>
        <v>0</v>
      </c>
      <c r="O179" s="12">
        <f t="shared" si="46"/>
        <v>0</v>
      </c>
      <c r="P179" s="12">
        <f t="shared" si="47"/>
        <v>0</v>
      </c>
      <c r="Q179" s="12">
        <f t="shared" si="47"/>
        <v>0</v>
      </c>
      <c r="T179" s="61"/>
      <c r="U179" s="61"/>
      <c r="V179" s="61"/>
      <c r="W179" s="53">
        <f t="shared" si="48"/>
        <v>-10442.400000000001</v>
      </c>
      <c r="X179" s="54">
        <f t="shared" si="49"/>
        <v>2.3940856508082429</v>
      </c>
      <c r="Y179" s="25">
        <f t="shared" si="56"/>
        <v>-0.45544542131579929</v>
      </c>
      <c r="Z179" s="54">
        <f t="shared" si="61"/>
        <v>-7.9520770561738532</v>
      </c>
      <c r="AA179" s="54">
        <f t="shared" si="50"/>
        <v>0</v>
      </c>
      <c r="AB179" s="54">
        <f t="shared" si="50"/>
        <v>-7.9520770561738532</v>
      </c>
      <c r="AC179" s="54">
        <f t="shared" si="50"/>
        <v>-7.9520770561738532</v>
      </c>
      <c r="AD179" s="54">
        <f t="shared" si="50"/>
        <v>-7.9520770561738532</v>
      </c>
      <c r="AE179" s="54">
        <f t="shared" si="50"/>
        <v>-7.9520770561738532</v>
      </c>
      <c r="AF179" s="54">
        <f t="shared" si="50"/>
        <v>-7.9520770561738532</v>
      </c>
      <c r="AG179" s="54">
        <f t="shared" si="50"/>
        <v>-7.9520770561738532</v>
      </c>
      <c r="AH179" s="54">
        <f t="shared" si="50"/>
        <v>-7.9520770561738532</v>
      </c>
      <c r="AI179" s="54">
        <f t="shared" si="50"/>
        <v>-7.9520770561738532</v>
      </c>
      <c r="AJ179" s="54">
        <f t="shared" si="50"/>
        <v>-7.9520770561738532</v>
      </c>
      <c r="AK179" s="54">
        <f t="shared" ref="AK179" si="72">IF($E80+365&lt;$C$56,0,IF($E80&lt;$C$56,(($E80+365-$C$56)/365)*(($C80/$BN$157)+($D80/$BN$158)),IF($E80&gt;AK$166,0,IF($E80+365&lt;AK$166,($C80/$BN$157)+($D80/$BN$158),((AK$166-$E80)/365)*(($C80/$BN$157)+($D80/$BN$158))))))</f>
        <v>-7.9520770561738532</v>
      </c>
      <c r="AL179" s="24">
        <f t="shared" si="52"/>
        <v>-68.7</v>
      </c>
      <c r="AM179" s="24">
        <f t="shared" si="53"/>
        <v>-148.9</v>
      </c>
      <c r="AN179" s="55">
        <f t="shared" si="54"/>
        <v>25000</v>
      </c>
      <c r="AO179" s="55">
        <f t="shared" si="55"/>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2"/>
        <v>0</v>
      </c>
      <c r="H180" s="12">
        <f t="shared" si="43"/>
        <v>0</v>
      </c>
      <c r="I180" s="12">
        <f t="shared" si="43"/>
        <v>0</v>
      </c>
      <c r="J180" s="12">
        <f t="shared" si="43"/>
        <v>0</v>
      </c>
      <c r="K180" s="12">
        <f t="shared" si="44"/>
        <v>0</v>
      </c>
      <c r="L180" s="12">
        <f t="shared" si="45"/>
        <v>0</v>
      </c>
      <c r="M180" s="12">
        <f t="shared" si="45"/>
        <v>0</v>
      </c>
      <c r="N180" s="12">
        <f t="shared" si="45"/>
        <v>0</v>
      </c>
      <c r="O180" s="12">
        <f t="shared" si="46"/>
        <v>0</v>
      </c>
      <c r="P180" s="12">
        <f t="shared" si="47"/>
        <v>0</v>
      </c>
      <c r="Q180" s="12">
        <f t="shared" si="47"/>
        <v>0</v>
      </c>
      <c r="T180" s="61"/>
      <c r="U180" s="61"/>
      <c r="V180" s="61"/>
      <c r="W180" s="53">
        <f t="shared" si="48"/>
        <v>0</v>
      </c>
      <c r="X180" s="54" t="e">
        <f t="shared" si="49"/>
        <v>#DIV/0!</v>
      </c>
      <c r="Y180" s="25">
        <f t="shared" si="56"/>
        <v>0</v>
      </c>
      <c r="Z180" s="54">
        <f t="shared" si="61"/>
        <v>0</v>
      </c>
      <c r="AA180" s="54">
        <f t="shared" si="50"/>
        <v>0</v>
      </c>
      <c r="AB180" s="54">
        <f t="shared" si="50"/>
        <v>0</v>
      </c>
      <c r="AC180" s="54">
        <f t="shared" si="50"/>
        <v>0</v>
      </c>
      <c r="AD180" s="54">
        <f t="shared" si="50"/>
        <v>0</v>
      </c>
      <c r="AE180" s="54">
        <f t="shared" si="50"/>
        <v>0</v>
      </c>
      <c r="AF180" s="54">
        <f t="shared" si="50"/>
        <v>0</v>
      </c>
      <c r="AG180" s="54">
        <f t="shared" si="50"/>
        <v>0</v>
      </c>
      <c r="AH180" s="54">
        <f t="shared" si="50"/>
        <v>0</v>
      </c>
      <c r="AI180" s="54">
        <f t="shared" si="50"/>
        <v>0</v>
      </c>
      <c r="AJ180" s="54">
        <f t="shared" si="50"/>
        <v>0</v>
      </c>
      <c r="AK180" s="54">
        <f t="shared" ref="AK180" si="73">IF($E81+365&lt;$C$56,0,IF($E81&lt;$C$56,(($E81+365-$C$56)/365)*(($C81/$BN$157)+($D81/$BN$158)),IF($E81&gt;AK$166,0,IF($E81+365&lt;AK$166,($C81/$BN$157)+($D81/$BN$158),((AK$166-$E81)/365)*(($C81/$BN$157)+($D81/$BN$158))))))</f>
        <v>0</v>
      </c>
      <c r="AL180" s="24">
        <f t="shared" si="52"/>
        <v>0</v>
      </c>
      <c r="AM180" s="24">
        <f t="shared" si="53"/>
        <v>0</v>
      </c>
      <c r="AN180" s="55">
        <f t="shared" si="54"/>
        <v>0</v>
      </c>
      <c r="AO180" s="55">
        <f t="shared" si="55"/>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2"/>
        <v>0</v>
      </c>
      <c r="H181" s="12">
        <f t="shared" si="43"/>
        <v>0</v>
      </c>
      <c r="I181" s="12">
        <f t="shared" si="43"/>
        <v>0</v>
      </c>
      <c r="J181" s="12">
        <f t="shared" si="43"/>
        <v>0</v>
      </c>
      <c r="K181" s="12">
        <f t="shared" si="44"/>
        <v>0</v>
      </c>
      <c r="L181" s="12">
        <f t="shared" si="45"/>
        <v>0</v>
      </c>
      <c r="M181" s="12">
        <f t="shared" si="45"/>
        <v>0</v>
      </c>
      <c r="N181" s="12">
        <f t="shared" si="45"/>
        <v>0</v>
      </c>
      <c r="O181" s="12">
        <f t="shared" si="46"/>
        <v>0</v>
      </c>
      <c r="P181" s="12">
        <f t="shared" si="47"/>
        <v>0</v>
      </c>
      <c r="Q181" s="12">
        <f t="shared" si="47"/>
        <v>0</v>
      </c>
      <c r="T181" s="61"/>
      <c r="U181" s="61"/>
      <c r="V181" s="61"/>
      <c r="W181" s="53">
        <f t="shared" si="48"/>
        <v>0</v>
      </c>
      <c r="X181" s="54" t="e">
        <f t="shared" si="49"/>
        <v>#DIV/0!</v>
      </c>
      <c r="Y181" s="25">
        <f t="shared" si="56"/>
        <v>0</v>
      </c>
      <c r="Z181" s="54">
        <f t="shared" si="61"/>
        <v>0</v>
      </c>
      <c r="AA181" s="54">
        <f t="shared" si="50"/>
        <v>0</v>
      </c>
      <c r="AB181" s="54">
        <f t="shared" si="50"/>
        <v>0</v>
      </c>
      <c r="AC181" s="54">
        <f t="shared" si="50"/>
        <v>0</v>
      </c>
      <c r="AD181" s="54">
        <f t="shared" si="50"/>
        <v>0</v>
      </c>
      <c r="AE181" s="54">
        <f t="shared" si="50"/>
        <v>0</v>
      </c>
      <c r="AF181" s="54">
        <f t="shared" si="50"/>
        <v>0</v>
      </c>
      <c r="AG181" s="54">
        <f t="shared" si="50"/>
        <v>0</v>
      </c>
      <c r="AH181" s="54">
        <f t="shared" si="50"/>
        <v>0</v>
      </c>
      <c r="AI181" s="54">
        <f t="shared" si="50"/>
        <v>0</v>
      </c>
      <c r="AJ181" s="54">
        <f t="shared" si="50"/>
        <v>0</v>
      </c>
      <c r="AK181" s="54">
        <f t="shared" ref="AK181" si="74">IF($E82+365&lt;$C$56,0,IF($E82&lt;$C$56,(($E82+365-$C$56)/365)*(($C82/$BN$157)+($D82/$BN$158)),IF($E82&gt;AK$166,0,IF($E82+365&lt;AK$166,($C82/$BN$157)+($D82/$BN$158),((AK$166-$E82)/365)*(($C82/$BN$157)+($D82/$BN$158))))))</f>
        <v>0</v>
      </c>
      <c r="AL181" s="24">
        <f t="shared" si="52"/>
        <v>0</v>
      </c>
      <c r="AM181" s="24">
        <f t="shared" si="53"/>
        <v>0</v>
      </c>
      <c r="AN181" s="55">
        <f t="shared" si="54"/>
        <v>0</v>
      </c>
      <c r="AO181" s="55">
        <f t="shared" si="55"/>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2"/>
        <v>0</v>
      </c>
      <c r="H182" s="12">
        <f t="shared" si="43"/>
        <v>0</v>
      </c>
      <c r="I182" s="12">
        <f t="shared" si="43"/>
        <v>0</v>
      </c>
      <c r="J182" s="12">
        <f t="shared" si="43"/>
        <v>0</v>
      </c>
      <c r="K182" s="12">
        <f t="shared" si="44"/>
        <v>0</v>
      </c>
      <c r="L182" s="12">
        <f t="shared" si="45"/>
        <v>0</v>
      </c>
      <c r="M182" s="12">
        <f t="shared" si="45"/>
        <v>0</v>
      </c>
      <c r="N182" s="12">
        <f t="shared" si="45"/>
        <v>0</v>
      </c>
      <c r="O182" s="12">
        <f t="shared" si="46"/>
        <v>0</v>
      </c>
      <c r="P182" s="12">
        <f t="shared" si="47"/>
        <v>0</v>
      </c>
      <c r="Q182" s="12">
        <f t="shared" si="47"/>
        <v>0</v>
      </c>
      <c r="T182" s="61"/>
      <c r="U182" s="61"/>
      <c r="V182" s="61"/>
      <c r="W182" s="53">
        <f t="shared" si="48"/>
        <v>0</v>
      </c>
      <c r="X182" s="54" t="e">
        <f t="shared" si="49"/>
        <v>#DIV/0!</v>
      </c>
      <c r="Y182" s="25">
        <f t="shared" si="56"/>
        <v>0</v>
      </c>
      <c r="Z182" s="54">
        <f t="shared" si="61"/>
        <v>0</v>
      </c>
      <c r="AA182" s="54">
        <f t="shared" si="50"/>
        <v>0</v>
      </c>
      <c r="AB182" s="54">
        <f t="shared" si="50"/>
        <v>0</v>
      </c>
      <c r="AC182" s="54">
        <f t="shared" si="50"/>
        <v>0</v>
      </c>
      <c r="AD182" s="54">
        <f t="shared" si="50"/>
        <v>0</v>
      </c>
      <c r="AE182" s="54">
        <f t="shared" si="50"/>
        <v>0</v>
      </c>
      <c r="AF182" s="54">
        <f t="shared" si="50"/>
        <v>0</v>
      </c>
      <c r="AG182" s="54">
        <f t="shared" si="50"/>
        <v>0</v>
      </c>
      <c r="AH182" s="54">
        <f t="shared" si="50"/>
        <v>0</v>
      </c>
      <c r="AI182" s="54">
        <f t="shared" si="50"/>
        <v>0</v>
      </c>
      <c r="AJ182" s="54">
        <f t="shared" si="50"/>
        <v>0</v>
      </c>
      <c r="AK182" s="54">
        <f t="shared" ref="AK182" si="75">IF($E83+365&lt;$C$56,0,IF($E83&lt;$C$56,(($E83+365-$C$56)/365)*(($C83/$BN$157)+($D83/$BN$158)),IF($E83&gt;AK$166,0,IF($E83+365&lt;AK$166,($C83/$BN$157)+($D83/$BN$158),((AK$166-$E83)/365)*(($C83/$BN$157)+($D83/$BN$158))))))</f>
        <v>0</v>
      </c>
      <c r="AL182" s="24">
        <f t="shared" si="52"/>
        <v>0</v>
      </c>
      <c r="AM182" s="24">
        <f t="shared" si="53"/>
        <v>0</v>
      </c>
      <c r="AN182" s="55">
        <f t="shared" si="54"/>
        <v>0</v>
      </c>
      <c r="AO182" s="55">
        <f t="shared" si="55"/>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2"/>
        <v>0</v>
      </c>
      <c r="H183" s="12">
        <f t="shared" si="43"/>
        <v>0</v>
      </c>
      <c r="I183" s="12">
        <f t="shared" si="43"/>
        <v>0</v>
      </c>
      <c r="J183" s="12">
        <f t="shared" si="43"/>
        <v>0</v>
      </c>
      <c r="K183" s="12">
        <f t="shared" si="44"/>
        <v>0</v>
      </c>
      <c r="L183" s="12">
        <f t="shared" si="45"/>
        <v>0</v>
      </c>
      <c r="M183" s="12">
        <f t="shared" si="45"/>
        <v>0</v>
      </c>
      <c r="N183" s="12">
        <f t="shared" si="45"/>
        <v>0</v>
      </c>
      <c r="O183" s="12">
        <f t="shared" si="46"/>
        <v>0</v>
      </c>
      <c r="P183" s="12">
        <f t="shared" si="47"/>
        <v>0</v>
      </c>
      <c r="Q183" s="12">
        <f t="shared" si="47"/>
        <v>0</v>
      </c>
      <c r="T183" s="61"/>
      <c r="U183" s="61"/>
      <c r="V183" s="61"/>
      <c r="W183" s="53">
        <f t="shared" si="48"/>
        <v>0</v>
      </c>
      <c r="X183" s="54" t="e">
        <f t="shared" si="49"/>
        <v>#DIV/0!</v>
      </c>
      <c r="Y183" s="25">
        <f t="shared" si="56"/>
        <v>0</v>
      </c>
      <c r="Z183" s="54">
        <f t="shared" si="61"/>
        <v>0</v>
      </c>
      <c r="AA183" s="54">
        <f t="shared" ref="AA183:AJ198" si="76">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ref="AK183" si="77">IF($E84+365&lt;$C$56,0,IF($E84&lt;$C$56,(($E84+365-$C$56)/365)*(($C84/$BN$157)+($D84/$BN$158)),IF($E84&gt;AK$166,0,IF($E84+365&lt;AK$166,($C84/$BN$157)+($D84/$BN$158),((AK$166-$E84)/365)*(($C84/$BN$157)+($D84/$BN$158))))))</f>
        <v>0</v>
      </c>
      <c r="AL183" s="24">
        <f t="shared" si="52"/>
        <v>0</v>
      </c>
      <c r="AM183" s="24">
        <f t="shared" si="53"/>
        <v>0</v>
      </c>
      <c r="AN183" s="55">
        <f t="shared" si="54"/>
        <v>0</v>
      </c>
      <c r="AO183" s="55">
        <f t="shared" si="55"/>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2"/>
        <v>0</v>
      </c>
      <c r="H184" s="12">
        <f t="shared" si="43"/>
        <v>0</v>
      </c>
      <c r="I184" s="12">
        <f t="shared" si="43"/>
        <v>0</v>
      </c>
      <c r="J184" s="12">
        <f t="shared" si="43"/>
        <v>0</v>
      </c>
      <c r="K184" s="12">
        <f t="shared" si="44"/>
        <v>0</v>
      </c>
      <c r="L184" s="12">
        <f t="shared" si="45"/>
        <v>0</v>
      </c>
      <c r="M184" s="12">
        <f t="shared" si="45"/>
        <v>0</v>
      </c>
      <c r="N184" s="12">
        <f t="shared" si="45"/>
        <v>0</v>
      </c>
      <c r="O184" s="12">
        <f t="shared" si="46"/>
        <v>0</v>
      </c>
      <c r="P184" s="12">
        <f t="shared" si="47"/>
        <v>0</v>
      </c>
      <c r="Q184" s="12">
        <f t="shared" si="47"/>
        <v>0</v>
      </c>
      <c r="T184" s="61"/>
      <c r="U184" s="61"/>
      <c r="V184" s="61"/>
      <c r="W184" s="53">
        <f t="shared" si="48"/>
        <v>0</v>
      </c>
      <c r="X184" s="54" t="e">
        <f t="shared" si="49"/>
        <v>#DIV/0!</v>
      </c>
      <c r="Y184" s="25">
        <f t="shared" si="56"/>
        <v>0</v>
      </c>
      <c r="Z184" s="54">
        <f t="shared" si="61"/>
        <v>0</v>
      </c>
      <c r="AA184" s="54">
        <f t="shared" si="76"/>
        <v>0</v>
      </c>
      <c r="AB184" s="54">
        <f t="shared" si="76"/>
        <v>0</v>
      </c>
      <c r="AC184" s="54">
        <f t="shared" si="76"/>
        <v>0</v>
      </c>
      <c r="AD184" s="54">
        <f t="shared" si="76"/>
        <v>0</v>
      </c>
      <c r="AE184" s="54">
        <f t="shared" si="76"/>
        <v>0</v>
      </c>
      <c r="AF184" s="54">
        <f t="shared" si="76"/>
        <v>0</v>
      </c>
      <c r="AG184" s="54">
        <f t="shared" si="76"/>
        <v>0</v>
      </c>
      <c r="AH184" s="54">
        <f t="shared" si="76"/>
        <v>0</v>
      </c>
      <c r="AI184" s="54">
        <f t="shared" si="76"/>
        <v>0</v>
      </c>
      <c r="AJ184" s="54">
        <f t="shared" si="76"/>
        <v>0</v>
      </c>
      <c r="AK184" s="54">
        <f t="shared" ref="AK184" si="78">IF($E85+365&lt;$C$56,0,IF($E85&lt;$C$56,(($E85+365-$C$56)/365)*(($C85/$BN$157)+($D85/$BN$158)),IF($E85&gt;AK$166,0,IF($E85+365&lt;AK$166,($C85/$BN$157)+($D85/$BN$158),((AK$166-$E85)/365)*(($C85/$BN$157)+($D85/$BN$158))))))</f>
        <v>0</v>
      </c>
      <c r="AL184" s="24">
        <f t="shared" si="52"/>
        <v>0</v>
      </c>
      <c r="AM184" s="24">
        <f t="shared" si="53"/>
        <v>0</v>
      </c>
      <c r="AN184" s="55">
        <f t="shared" si="54"/>
        <v>0</v>
      </c>
      <c r="AO184" s="55">
        <f t="shared" si="55"/>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2"/>
        <v>0</v>
      </c>
      <c r="H185" s="12">
        <f t="shared" si="43"/>
        <v>0</v>
      </c>
      <c r="I185" s="12">
        <f t="shared" si="43"/>
        <v>0</v>
      </c>
      <c r="J185" s="12">
        <f t="shared" si="43"/>
        <v>0</v>
      </c>
      <c r="K185" s="12">
        <f t="shared" si="44"/>
        <v>0</v>
      </c>
      <c r="L185" s="12">
        <f t="shared" si="45"/>
        <v>0</v>
      </c>
      <c r="M185" s="12">
        <f t="shared" si="45"/>
        <v>0</v>
      </c>
      <c r="N185" s="12">
        <f t="shared" si="45"/>
        <v>0</v>
      </c>
      <c r="O185" s="12">
        <f t="shared" si="46"/>
        <v>0</v>
      </c>
      <c r="P185" s="12">
        <f t="shared" si="47"/>
        <v>0</v>
      </c>
      <c r="Q185" s="12">
        <f t="shared" si="47"/>
        <v>0</v>
      </c>
      <c r="T185" s="61"/>
      <c r="U185" s="61"/>
      <c r="V185" s="61"/>
      <c r="W185" s="53">
        <f t="shared" si="48"/>
        <v>0</v>
      </c>
      <c r="X185" s="54" t="e">
        <f t="shared" si="49"/>
        <v>#DIV/0!</v>
      </c>
      <c r="Y185" s="25">
        <f t="shared" si="56"/>
        <v>0</v>
      </c>
      <c r="Z185" s="54">
        <f t="shared" si="61"/>
        <v>0</v>
      </c>
      <c r="AA185" s="54">
        <f t="shared" si="76"/>
        <v>0</v>
      </c>
      <c r="AB185" s="54">
        <f t="shared" si="76"/>
        <v>0</v>
      </c>
      <c r="AC185" s="54">
        <f t="shared" si="76"/>
        <v>0</v>
      </c>
      <c r="AD185" s="54">
        <f t="shared" si="76"/>
        <v>0</v>
      </c>
      <c r="AE185" s="54">
        <f t="shared" si="76"/>
        <v>0</v>
      </c>
      <c r="AF185" s="54">
        <f t="shared" si="76"/>
        <v>0</v>
      </c>
      <c r="AG185" s="54">
        <f t="shared" si="76"/>
        <v>0</v>
      </c>
      <c r="AH185" s="54">
        <f t="shared" si="76"/>
        <v>0</v>
      </c>
      <c r="AI185" s="54">
        <f t="shared" si="76"/>
        <v>0</v>
      </c>
      <c r="AJ185" s="54">
        <f t="shared" si="76"/>
        <v>0</v>
      </c>
      <c r="AK185" s="54">
        <f t="shared" ref="AK185" si="79">IF($E86+365&lt;$C$56,0,IF($E86&lt;$C$56,(($E86+365-$C$56)/365)*(($C86/$BN$157)+($D86/$BN$158)),IF($E86&gt;AK$166,0,IF($E86+365&lt;AK$166,($C86/$BN$157)+($D86/$BN$158),((AK$166-$E86)/365)*(($C86/$BN$157)+($D86/$BN$158))))))</f>
        <v>0</v>
      </c>
      <c r="AL185" s="24">
        <f t="shared" si="52"/>
        <v>0</v>
      </c>
      <c r="AM185" s="24">
        <f t="shared" si="53"/>
        <v>0</v>
      </c>
      <c r="AN185" s="55">
        <f t="shared" si="54"/>
        <v>0</v>
      </c>
      <c r="AO185" s="55">
        <f t="shared" si="55"/>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2"/>
        <v>0</v>
      </c>
      <c r="H186" s="12">
        <f t="shared" si="43"/>
        <v>0</v>
      </c>
      <c r="I186" s="12">
        <f t="shared" si="43"/>
        <v>0</v>
      </c>
      <c r="J186" s="12">
        <f t="shared" si="43"/>
        <v>0</v>
      </c>
      <c r="K186" s="12">
        <f t="shared" si="44"/>
        <v>0</v>
      </c>
      <c r="L186" s="12">
        <f t="shared" si="45"/>
        <v>0</v>
      </c>
      <c r="M186" s="12">
        <f t="shared" si="45"/>
        <v>0</v>
      </c>
      <c r="N186" s="12">
        <f t="shared" si="45"/>
        <v>0</v>
      </c>
      <c r="O186" s="12">
        <f t="shared" si="46"/>
        <v>0</v>
      </c>
      <c r="P186" s="12">
        <f t="shared" si="47"/>
        <v>0</v>
      </c>
      <c r="Q186" s="12">
        <f t="shared" si="47"/>
        <v>0</v>
      </c>
      <c r="T186" s="61"/>
      <c r="U186" s="61"/>
      <c r="V186" s="61"/>
      <c r="W186" s="53">
        <f t="shared" si="48"/>
        <v>0</v>
      </c>
      <c r="X186" s="54" t="e">
        <f t="shared" si="49"/>
        <v>#DIV/0!</v>
      </c>
      <c r="Y186" s="25">
        <f t="shared" si="56"/>
        <v>0</v>
      </c>
      <c r="Z186" s="54">
        <f t="shared" si="61"/>
        <v>0</v>
      </c>
      <c r="AA186" s="54">
        <f t="shared" si="76"/>
        <v>0</v>
      </c>
      <c r="AB186" s="54">
        <f t="shared" si="76"/>
        <v>0</v>
      </c>
      <c r="AC186" s="54">
        <f t="shared" si="76"/>
        <v>0</v>
      </c>
      <c r="AD186" s="54">
        <f t="shared" si="76"/>
        <v>0</v>
      </c>
      <c r="AE186" s="54">
        <f t="shared" si="76"/>
        <v>0</v>
      </c>
      <c r="AF186" s="54">
        <f t="shared" si="76"/>
        <v>0</v>
      </c>
      <c r="AG186" s="54">
        <f t="shared" si="76"/>
        <v>0</v>
      </c>
      <c r="AH186" s="54">
        <f t="shared" si="76"/>
        <v>0</v>
      </c>
      <c r="AI186" s="54">
        <f t="shared" si="76"/>
        <v>0</v>
      </c>
      <c r="AJ186" s="54">
        <f t="shared" si="76"/>
        <v>0</v>
      </c>
      <c r="AK186" s="54">
        <f t="shared" ref="AK186" si="80">IF($E87+365&lt;$C$56,0,IF($E87&lt;$C$56,(($E87+365-$C$56)/365)*(($C87/$BN$157)+($D87/$BN$158)),IF($E87&gt;AK$166,0,IF($E87+365&lt;AK$166,($C87/$BN$157)+($D87/$BN$158),((AK$166-$E87)/365)*(($C87/$BN$157)+($D87/$BN$158))))))</f>
        <v>0</v>
      </c>
      <c r="AL186" s="24">
        <f t="shared" si="52"/>
        <v>0</v>
      </c>
      <c r="AM186" s="24">
        <f t="shared" si="53"/>
        <v>0</v>
      </c>
      <c r="AN186" s="55">
        <f t="shared" si="54"/>
        <v>0</v>
      </c>
      <c r="AO186" s="55">
        <f t="shared" si="55"/>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2"/>
        <v>0</v>
      </c>
      <c r="H187" s="12">
        <f t="shared" ref="H187:J206" si="81">IF($E89&gt;H$66,0,IF($E89&lt;H$66-365,$C89,0))</f>
        <v>0</v>
      </c>
      <c r="I187" s="12">
        <f t="shared" si="81"/>
        <v>0</v>
      </c>
      <c r="J187" s="12">
        <f t="shared" si="81"/>
        <v>0</v>
      </c>
      <c r="K187" s="12">
        <f t="shared" si="44"/>
        <v>0</v>
      </c>
      <c r="L187" s="12">
        <f t="shared" ref="L187:N206" si="82">IF($E89&gt;L$66,0,IF($E89&lt;L$66-365,$C89,0))</f>
        <v>0</v>
      </c>
      <c r="M187" s="12">
        <f t="shared" si="82"/>
        <v>0</v>
      </c>
      <c r="N187" s="12">
        <f t="shared" si="82"/>
        <v>0</v>
      </c>
      <c r="O187" s="12">
        <f t="shared" si="46"/>
        <v>0</v>
      </c>
      <c r="P187" s="12">
        <f t="shared" ref="P187:Q206" si="83">IF($E89&gt;P$66,0,IF($E89&lt;P$66-365,$C89,0))</f>
        <v>0</v>
      </c>
      <c r="Q187" s="12">
        <f t="shared" si="83"/>
        <v>0</v>
      </c>
      <c r="T187" s="61"/>
      <c r="U187" s="61"/>
      <c r="V187" s="61"/>
      <c r="W187" s="53">
        <f t="shared" si="48"/>
        <v>0</v>
      </c>
      <c r="X187" s="54" t="e">
        <f t="shared" si="49"/>
        <v>#DIV/0!</v>
      </c>
      <c r="Y187" s="25">
        <f t="shared" si="56"/>
        <v>0</v>
      </c>
      <c r="Z187" s="54">
        <f t="shared" si="61"/>
        <v>0</v>
      </c>
      <c r="AA187" s="54">
        <f t="shared" si="76"/>
        <v>0</v>
      </c>
      <c r="AB187" s="54">
        <f t="shared" si="76"/>
        <v>0</v>
      </c>
      <c r="AC187" s="54">
        <f t="shared" si="76"/>
        <v>0</v>
      </c>
      <c r="AD187" s="54">
        <f t="shared" si="76"/>
        <v>0</v>
      </c>
      <c r="AE187" s="54">
        <f t="shared" si="76"/>
        <v>0</v>
      </c>
      <c r="AF187" s="54">
        <f t="shared" si="76"/>
        <v>0</v>
      </c>
      <c r="AG187" s="54">
        <f t="shared" si="76"/>
        <v>0</v>
      </c>
      <c r="AH187" s="54">
        <f t="shared" si="76"/>
        <v>0</v>
      </c>
      <c r="AI187" s="54">
        <f t="shared" si="76"/>
        <v>0</v>
      </c>
      <c r="AJ187" s="54">
        <f t="shared" si="76"/>
        <v>0</v>
      </c>
      <c r="AK187" s="54">
        <f t="shared" ref="AK187" si="84">IF($E88+365&lt;$C$56,0,IF($E88&lt;$C$56,(($E88+365-$C$56)/365)*(($C88/$BN$157)+($D88/$BN$158)),IF($E88&gt;AK$166,0,IF($E88+365&lt;AK$166,($C88/$BN$157)+($D88/$BN$158),((AK$166-$E88)/365)*(($C88/$BN$157)+($D88/$BN$158))))))</f>
        <v>0</v>
      </c>
      <c r="AL187" s="24">
        <f t="shared" si="52"/>
        <v>0</v>
      </c>
      <c r="AM187" s="24">
        <f t="shared" si="53"/>
        <v>0</v>
      </c>
      <c r="AN187" s="55">
        <f t="shared" si="54"/>
        <v>0</v>
      </c>
      <c r="AO187" s="55">
        <f t="shared" si="55"/>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2"/>
        <v>0</v>
      </c>
      <c r="H188" s="12">
        <f t="shared" si="81"/>
        <v>0</v>
      </c>
      <c r="I188" s="12">
        <f t="shared" si="81"/>
        <v>0</v>
      </c>
      <c r="J188" s="12">
        <f t="shared" si="81"/>
        <v>0</v>
      </c>
      <c r="K188" s="12">
        <f t="shared" si="44"/>
        <v>0</v>
      </c>
      <c r="L188" s="12">
        <f t="shared" si="82"/>
        <v>0</v>
      </c>
      <c r="M188" s="12">
        <f t="shared" si="82"/>
        <v>0</v>
      </c>
      <c r="N188" s="12">
        <f t="shared" si="82"/>
        <v>0</v>
      </c>
      <c r="O188" s="12">
        <f t="shared" si="46"/>
        <v>0</v>
      </c>
      <c r="P188" s="12">
        <f t="shared" si="83"/>
        <v>0</v>
      </c>
      <c r="Q188" s="12">
        <f t="shared" si="83"/>
        <v>0</v>
      </c>
      <c r="T188" s="61"/>
      <c r="U188" s="61"/>
      <c r="V188" s="61"/>
      <c r="W188" s="53">
        <f t="shared" si="48"/>
        <v>0</v>
      </c>
      <c r="X188" s="54" t="e">
        <f t="shared" si="49"/>
        <v>#DIV/0!</v>
      </c>
      <c r="Y188" s="25">
        <f t="shared" si="56"/>
        <v>0</v>
      </c>
      <c r="Z188" s="54">
        <f t="shared" si="61"/>
        <v>0</v>
      </c>
      <c r="AA188" s="54">
        <f t="shared" si="76"/>
        <v>0</v>
      </c>
      <c r="AB188" s="54">
        <f t="shared" si="76"/>
        <v>0</v>
      </c>
      <c r="AC188" s="54">
        <f t="shared" si="76"/>
        <v>0</v>
      </c>
      <c r="AD188" s="54">
        <f t="shared" si="76"/>
        <v>0</v>
      </c>
      <c r="AE188" s="54">
        <f t="shared" si="76"/>
        <v>0</v>
      </c>
      <c r="AF188" s="54">
        <f t="shared" si="76"/>
        <v>0</v>
      </c>
      <c r="AG188" s="54">
        <f t="shared" si="76"/>
        <v>0</v>
      </c>
      <c r="AH188" s="54">
        <f t="shared" si="76"/>
        <v>0</v>
      </c>
      <c r="AI188" s="54">
        <f t="shared" si="76"/>
        <v>0</v>
      </c>
      <c r="AJ188" s="54">
        <f t="shared" si="76"/>
        <v>0</v>
      </c>
      <c r="AK188" s="54">
        <f t="shared" ref="AK188" si="85">IF($E89+365&lt;$C$56,0,IF($E89&lt;$C$56,(($E89+365-$C$56)/365)*(($C89/$BN$157)+($D89/$BN$158)),IF($E89&gt;AK$166,0,IF($E89+365&lt;AK$166,($C89/$BN$157)+($D89/$BN$158),((AK$166-$E89)/365)*(($C89/$BN$157)+($D89/$BN$158))))))</f>
        <v>0</v>
      </c>
      <c r="AL188" s="24">
        <f t="shared" si="52"/>
        <v>0</v>
      </c>
      <c r="AM188" s="24">
        <f t="shared" si="53"/>
        <v>0</v>
      </c>
      <c r="AN188" s="55">
        <f t="shared" si="54"/>
        <v>0</v>
      </c>
      <c r="AO188" s="55">
        <f t="shared" si="55"/>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2"/>
        <v>0</v>
      </c>
      <c r="H189" s="12">
        <f t="shared" si="81"/>
        <v>0</v>
      </c>
      <c r="I189" s="12">
        <f t="shared" si="81"/>
        <v>0</v>
      </c>
      <c r="J189" s="12">
        <f t="shared" si="81"/>
        <v>0</v>
      </c>
      <c r="K189" s="12">
        <f t="shared" si="44"/>
        <v>0</v>
      </c>
      <c r="L189" s="12">
        <f t="shared" si="82"/>
        <v>0</v>
      </c>
      <c r="M189" s="12">
        <f t="shared" si="82"/>
        <v>0</v>
      </c>
      <c r="N189" s="12">
        <f t="shared" si="82"/>
        <v>0</v>
      </c>
      <c r="O189" s="12">
        <f t="shared" si="46"/>
        <v>0</v>
      </c>
      <c r="P189" s="12">
        <f t="shared" si="83"/>
        <v>0</v>
      </c>
      <c r="Q189" s="12">
        <f t="shared" si="83"/>
        <v>0</v>
      </c>
      <c r="T189" s="61"/>
      <c r="U189" s="61"/>
      <c r="V189" s="61"/>
      <c r="W189" s="53">
        <f t="shared" si="48"/>
        <v>0</v>
      </c>
      <c r="X189" s="54" t="e">
        <f t="shared" si="49"/>
        <v>#DIV/0!</v>
      </c>
      <c r="Y189" s="25">
        <f t="shared" si="56"/>
        <v>0</v>
      </c>
      <c r="Z189" s="54">
        <f t="shared" si="61"/>
        <v>0</v>
      </c>
      <c r="AA189" s="54">
        <f t="shared" si="76"/>
        <v>0</v>
      </c>
      <c r="AB189" s="54">
        <f t="shared" si="76"/>
        <v>0</v>
      </c>
      <c r="AC189" s="54">
        <f t="shared" si="76"/>
        <v>0</v>
      </c>
      <c r="AD189" s="54">
        <f t="shared" si="76"/>
        <v>0</v>
      </c>
      <c r="AE189" s="54">
        <f t="shared" si="76"/>
        <v>0</v>
      </c>
      <c r="AF189" s="54">
        <f t="shared" si="76"/>
        <v>0</v>
      </c>
      <c r="AG189" s="54">
        <f t="shared" si="76"/>
        <v>0</v>
      </c>
      <c r="AH189" s="54">
        <f t="shared" si="76"/>
        <v>0</v>
      </c>
      <c r="AI189" s="54">
        <f t="shared" si="76"/>
        <v>0</v>
      </c>
      <c r="AJ189" s="54">
        <f t="shared" si="76"/>
        <v>0</v>
      </c>
      <c r="AK189" s="54">
        <f t="shared" ref="AK189" si="86">IF($E90+365&lt;$C$56,0,IF($E90&lt;$C$56,(($E90+365-$C$56)/365)*(($C90/$BN$157)+($D90/$BN$158)),IF($E90&gt;AK$166,0,IF($E90+365&lt;AK$166,($C90/$BN$157)+($D90/$BN$158),((AK$166-$E90)/365)*(($C90/$BN$157)+($D90/$BN$158))))))</f>
        <v>0</v>
      </c>
      <c r="AL189" s="24">
        <f t="shared" si="52"/>
        <v>0</v>
      </c>
      <c r="AM189" s="24">
        <f t="shared" si="53"/>
        <v>0</v>
      </c>
      <c r="AN189" s="55">
        <f t="shared" si="54"/>
        <v>0</v>
      </c>
      <c r="AO189" s="55">
        <f t="shared" si="55"/>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2"/>
        <v>0</v>
      </c>
      <c r="H190" s="12">
        <f t="shared" si="81"/>
        <v>0</v>
      </c>
      <c r="I190" s="12">
        <f t="shared" si="81"/>
        <v>0</v>
      </c>
      <c r="J190" s="12">
        <f t="shared" si="81"/>
        <v>0</v>
      </c>
      <c r="K190" s="12">
        <f t="shared" si="44"/>
        <v>0</v>
      </c>
      <c r="L190" s="12">
        <f t="shared" si="82"/>
        <v>0</v>
      </c>
      <c r="M190" s="12">
        <f t="shared" si="82"/>
        <v>0</v>
      </c>
      <c r="N190" s="12">
        <f t="shared" si="82"/>
        <v>0</v>
      </c>
      <c r="O190" s="12">
        <f t="shared" si="46"/>
        <v>0</v>
      </c>
      <c r="P190" s="12">
        <f t="shared" si="83"/>
        <v>0</v>
      </c>
      <c r="Q190" s="12">
        <f t="shared" si="83"/>
        <v>0</v>
      </c>
      <c r="T190" s="61"/>
      <c r="U190" s="61"/>
      <c r="V190" s="61"/>
      <c r="W190" s="53">
        <f t="shared" si="48"/>
        <v>0</v>
      </c>
      <c r="X190" s="54" t="e">
        <f t="shared" si="49"/>
        <v>#DIV/0!</v>
      </c>
      <c r="Y190" s="25">
        <f t="shared" si="56"/>
        <v>0</v>
      </c>
      <c r="Z190" s="54">
        <f t="shared" si="61"/>
        <v>0</v>
      </c>
      <c r="AA190" s="54">
        <f t="shared" si="76"/>
        <v>0</v>
      </c>
      <c r="AB190" s="54">
        <f t="shared" si="76"/>
        <v>0</v>
      </c>
      <c r="AC190" s="54">
        <f t="shared" si="76"/>
        <v>0</v>
      </c>
      <c r="AD190" s="54">
        <f t="shared" si="76"/>
        <v>0</v>
      </c>
      <c r="AE190" s="54">
        <f t="shared" si="76"/>
        <v>0</v>
      </c>
      <c r="AF190" s="54">
        <f t="shared" si="76"/>
        <v>0</v>
      </c>
      <c r="AG190" s="54">
        <f t="shared" si="76"/>
        <v>0</v>
      </c>
      <c r="AH190" s="54">
        <f t="shared" si="76"/>
        <v>0</v>
      </c>
      <c r="AI190" s="54">
        <f t="shared" si="76"/>
        <v>0</v>
      </c>
      <c r="AJ190" s="54">
        <f t="shared" si="76"/>
        <v>0</v>
      </c>
      <c r="AK190" s="54">
        <f t="shared" ref="AK190" si="87">IF($E91+365&lt;$C$56,0,IF($E91&lt;$C$56,(($E91+365-$C$56)/365)*(($C91/$BN$157)+($D91/$BN$158)),IF($E91&gt;AK$166,0,IF($E91+365&lt;AK$166,($C91/$BN$157)+($D91/$BN$158),((AK$166-$E91)/365)*(($C91/$BN$157)+($D91/$BN$158))))))</f>
        <v>0</v>
      </c>
      <c r="AL190" s="24">
        <f t="shared" si="52"/>
        <v>0</v>
      </c>
      <c r="AM190" s="24">
        <f t="shared" si="53"/>
        <v>0</v>
      </c>
      <c r="AN190" s="55">
        <f t="shared" si="54"/>
        <v>0</v>
      </c>
      <c r="AO190" s="55">
        <f t="shared" si="55"/>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2"/>
        <v>0</v>
      </c>
      <c r="H191" s="12">
        <f t="shared" si="81"/>
        <v>0</v>
      </c>
      <c r="I191" s="12">
        <f t="shared" si="81"/>
        <v>0</v>
      </c>
      <c r="J191" s="12">
        <f t="shared" si="81"/>
        <v>0</v>
      </c>
      <c r="K191" s="12">
        <f t="shared" si="44"/>
        <v>0</v>
      </c>
      <c r="L191" s="12">
        <f t="shared" si="82"/>
        <v>0</v>
      </c>
      <c r="M191" s="12">
        <f t="shared" si="82"/>
        <v>0</v>
      </c>
      <c r="N191" s="12">
        <f t="shared" si="82"/>
        <v>0</v>
      </c>
      <c r="O191" s="12">
        <f t="shared" si="46"/>
        <v>0</v>
      </c>
      <c r="P191" s="12">
        <f t="shared" si="83"/>
        <v>0</v>
      </c>
      <c r="Q191" s="12">
        <f t="shared" si="83"/>
        <v>0</v>
      </c>
      <c r="T191" s="61"/>
      <c r="U191" s="61"/>
      <c r="V191" s="61"/>
      <c r="W191" s="53">
        <f t="shared" si="48"/>
        <v>0</v>
      </c>
      <c r="X191" s="54" t="e">
        <f t="shared" si="49"/>
        <v>#DIV/0!</v>
      </c>
      <c r="Y191" s="25">
        <f t="shared" si="56"/>
        <v>0</v>
      </c>
      <c r="Z191" s="54">
        <f t="shared" si="61"/>
        <v>0</v>
      </c>
      <c r="AA191" s="54">
        <f t="shared" si="76"/>
        <v>0</v>
      </c>
      <c r="AB191" s="54">
        <f t="shared" si="76"/>
        <v>0</v>
      </c>
      <c r="AC191" s="54">
        <f t="shared" si="76"/>
        <v>0</v>
      </c>
      <c r="AD191" s="54">
        <f t="shared" si="76"/>
        <v>0</v>
      </c>
      <c r="AE191" s="54">
        <f t="shared" si="76"/>
        <v>0</v>
      </c>
      <c r="AF191" s="54">
        <f t="shared" si="76"/>
        <v>0</v>
      </c>
      <c r="AG191" s="54">
        <f t="shared" si="76"/>
        <v>0</v>
      </c>
      <c r="AH191" s="54">
        <f t="shared" si="76"/>
        <v>0</v>
      </c>
      <c r="AI191" s="54">
        <f t="shared" si="76"/>
        <v>0</v>
      </c>
      <c r="AJ191" s="54">
        <f t="shared" si="76"/>
        <v>0</v>
      </c>
      <c r="AK191" s="54">
        <f t="shared" ref="AK191" si="88">IF($E92+365&lt;$C$56,0,IF($E92&lt;$C$56,(($E92+365-$C$56)/365)*(($C92/$BN$157)+($D92/$BN$158)),IF($E92&gt;AK$166,0,IF($E92+365&lt;AK$166,($C92/$BN$157)+($D92/$BN$158),((AK$166-$E92)/365)*(($C92/$BN$157)+($D92/$BN$158))))))</f>
        <v>0</v>
      </c>
      <c r="AL191" s="24">
        <f t="shared" si="52"/>
        <v>0</v>
      </c>
      <c r="AM191" s="24">
        <f t="shared" si="53"/>
        <v>0</v>
      </c>
      <c r="AN191" s="55">
        <f t="shared" si="54"/>
        <v>0</v>
      </c>
      <c r="AO191" s="55">
        <f t="shared" si="55"/>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2"/>
        <v>0</v>
      </c>
      <c r="H192" s="12">
        <f t="shared" si="81"/>
        <v>0</v>
      </c>
      <c r="I192" s="12">
        <f t="shared" si="81"/>
        <v>0</v>
      </c>
      <c r="J192" s="12">
        <f t="shared" si="81"/>
        <v>0</v>
      </c>
      <c r="K192" s="12">
        <f t="shared" si="44"/>
        <v>0</v>
      </c>
      <c r="L192" s="12">
        <f t="shared" si="82"/>
        <v>0</v>
      </c>
      <c r="M192" s="12">
        <f t="shared" si="82"/>
        <v>0</v>
      </c>
      <c r="N192" s="12">
        <f t="shared" si="82"/>
        <v>0</v>
      </c>
      <c r="O192" s="12">
        <f t="shared" si="46"/>
        <v>0</v>
      </c>
      <c r="P192" s="12">
        <f t="shared" si="83"/>
        <v>0</v>
      </c>
      <c r="Q192" s="12">
        <f t="shared" si="83"/>
        <v>0</v>
      </c>
      <c r="T192" s="61"/>
      <c r="U192" s="61"/>
      <c r="V192" s="61"/>
      <c r="W192" s="53">
        <f t="shared" si="48"/>
        <v>0</v>
      </c>
      <c r="X192" s="54" t="e">
        <f t="shared" si="49"/>
        <v>#DIV/0!</v>
      </c>
      <c r="Y192" s="25">
        <f t="shared" si="56"/>
        <v>0</v>
      </c>
      <c r="Z192" s="54">
        <f t="shared" si="61"/>
        <v>0</v>
      </c>
      <c r="AA192" s="54">
        <f t="shared" si="76"/>
        <v>0</v>
      </c>
      <c r="AB192" s="54">
        <f t="shared" si="76"/>
        <v>0</v>
      </c>
      <c r="AC192" s="54">
        <f t="shared" si="76"/>
        <v>0</v>
      </c>
      <c r="AD192" s="54">
        <f t="shared" si="76"/>
        <v>0</v>
      </c>
      <c r="AE192" s="54">
        <f t="shared" si="76"/>
        <v>0</v>
      </c>
      <c r="AF192" s="54">
        <f t="shared" si="76"/>
        <v>0</v>
      </c>
      <c r="AG192" s="54">
        <f t="shared" si="76"/>
        <v>0</v>
      </c>
      <c r="AH192" s="54">
        <f t="shared" si="76"/>
        <v>0</v>
      </c>
      <c r="AI192" s="54">
        <f t="shared" si="76"/>
        <v>0</v>
      </c>
      <c r="AJ192" s="54">
        <f t="shared" si="76"/>
        <v>0</v>
      </c>
      <c r="AK192" s="54">
        <f t="shared" ref="AK192" si="89">IF($E93+365&lt;$C$56,0,IF($E93&lt;$C$56,(($E93+365-$C$56)/365)*(($C93/$BN$157)+($D93/$BN$158)),IF($E93&gt;AK$166,0,IF($E93+365&lt;AK$166,($C93/$BN$157)+($D93/$BN$158),((AK$166-$E93)/365)*(($C93/$BN$157)+($D93/$BN$158))))))</f>
        <v>0</v>
      </c>
      <c r="AL192" s="24">
        <f t="shared" si="52"/>
        <v>0</v>
      </c>
      <c r="AM192" s="24">
        <f t="shared" si="53"/>
        <v>0</v>
      </c>
      <c r="AN192" s="55">
        <f t="shared" si="54"/>
        <v>0</v>
      </c>
      <c r="AO192" s="55">
        <f t="shared" si="55"/>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2"/>
        <v>0</v>
      </c>
      <c r="H193" s="12">
        <f t="shared" si="81"/>
        <v>0</v>
      </c>
      <c r="I193" s="12">
        <f t="shared" si="81"/>
        <v>0</v>
      </c>
      <c r="J193" s="12">
        <f t="shared" si="81"/>
        <v>0</v>
      </c>
      <c r="K193" s="12">
        <f t="shared" si="44"/>
        <v>0</v>
      </c>
      <c r="L193" s="12">
        <f t="shared" si="82"/>
        <v>0</v>
      </c>
      <c r="M193" s="12">
        <f t="shared" si="82"/>
        <v>0</v>
      </c>
      <c r="N193" s="12">
        <f t="shared" si="82"/>
        <v>0</v>
      </c>
      <c r="O193" s="12">
        <f t="shared" si="46"/>
        <v>0</v>
      </c>
      <c r="P193" s="12">
        <f t="shared" si="83"/>
        <v>0</v>
      </c>
      <c r="Q193" s="12">
        <f t="shared" si="83"/>
        <v>0</v>
      </c>
      <c r="T193" s="61"/>
      <c r="U193" s="61"/>
      <c r="V193" s="61"/>
      <c r="W193" s="53">
        <f t="shared" si="48"/>
        <v>0</v>
      </c>
      <c r="X193" s="54" t="e">
        <f t="shared" si="49"/>
        <v>#DIV/0!</v>
      </c>
      <c r="Y193" s="25">
        <f t="shared" si="56"/>
        <v>0</v>
      </c>
      <c r="Z193" s="54">
        <f t="shared" si="61"/>
        <v>0</v>
      </c>
      <c r="AA193" s="54">
        <f t="shared" si="76"/>
        <v>0</v>
      </c>
      <c r="AB193" s="54">
        <f t="shared" si="76"/>
        <v>0</v>
      </c>
      <c r="AC193" s="54">
        <f t="shared" si="76"/>
        <v>0</v>
      </c>
      <c r="AD193" s="54">
        <f t="shared" si="76"/>
        <v>0</v>
      </c>
      <c r="AE193" s="54">
        <f t="shared" si="76"/>
        <v>0</v>
      </c>
      <c r="AF193" s="54">
        <f t="shared" si="76"/>
        <v>0</v>
      </c>
      <c r="AG193" s="54">
        <f t="shared" si="76"/>
        <v>0</v>
      </c>
      <c r="AH193" s="54">
        <f t="shared" si="76"/>
        <v>0</v>
      </c>
      <c r="AI193" s="54">
        <f t="shared" si="76"/>
        <v>0</v>
      </c>
      <c r="AJ193" s="54">
        <f t="shared" si="76"/>
        <v>0</v>
      </c>
      <c r="AK193" s="54">
        <f t="shared" ref="AK193" si="90">IF($E94+365&lt;$C$56,0,IF($E94&lt;$C$56,(($E94+365-$C$56)/365)*(($C94/$BN$157)+($D94/$BN$158)),IF($E94&gt;AK$166,0,IF($E94+365&lt;AK$166,($C94/$BN$157)+($D94/$BN$158),((AK$166-$E94)/365)*(($C94/$BN$157)+($D94/$BN$158))))))</f>
        <v>0</v>
      </c>
      <c r="AL193" s="24">
        <f t="shared" si="52"/>
        <v>0</v>
      </c>
      <c r="AM193" s="24">
        <f t="shared" si="53"/>
        <v>0</v>
      </c>
      <c r="AN193" s="55">
        <f t="shared" si="54"/>
        <v>0</v>
      </c>
      <c r="AO193" s="55">
        <f t="shared" si="55"/>
        <v>0</v>
      </c>
      <c r="AP193" s="24"/>
      <c r="AQ193" s="24"/>
      <c r="AR193" s="24"/>
      <c r="AS193" s="24"/>
      <c r="AT193" s="24"/>
      <c r="AU193" s="24"/>
      <c r="AV193" s="24"/>
      <c r="AW193" s="24"/>
      <c r="AX193" s="24"/>
      <c r="AY193" s="24"/>
    </row>
    <row r="194" spans="7:51">
      <c r="G194" s="12">
        <f t="shared" si="42"/>
        <v>0</v>
      </c>
      <c r="H194" s="12">
        <f t="shared" si="81"/>
        <v>0</v>
      </c>
      <c r="I194" s="12">
        <f t="shared" si="81"/>
        <v>0</v>
      </c>
      <c r="J194" s="12">
        <f t="shared" si="81"/>
        <v>0</v>
      </c>
      <c r="K194" s="12">
        <f t="shared" si="44"/>
        <v>0</v>
      </c>
      <c r="L194" s="12">
        <f t="shared" si="82"/>
        <v>0</v>
      </c>
      <c r="M194" s="12">
        <f t="shared" si="82"/>
        <v>0</v>
      </c>
      <c r="N194" s="12">
        <f t="shared" si="82"/>
        <v>0</v>
      </c>
      <c r="O194" s="12">
        <f t="shared" si="46"/>
        <v>0</v>
      </c>
      <c r="P194" s="12">
        <f t="shared" si="83"/>
        <v>0</v>
      </c>
      <c r="Q194" s="12">
        <f t="shared" si="83"/>
        <v>0</v>
      </c>
      <c r="T194" s="61"/>
      <c r="U194" s="61"/>
      <c r="V194" s="61"/>
      <c r="W194" s="53">
        <f t="shared" si="48"/>
        <v>0</v>
      </c>
      <c r="X194" s="54" t="e">
        <f t="shared" si="49"/>
        <v>#DIV/0!</v>
      </c>
      <c r="Y194" s="25">
        <f t="shared" si="56"/>
        <v>0</v>
      </c>
      <c r="Z194" s="54">
        <f t="shared" si="61"/>
        <v>0</v>
      </c>
      <c r="AA194" s="54">
        <f t="shared" si="76"/>
        <v>0</v>
      </c>
      <c r="AB194" s="54">
        <f t="shared" si="76"/>
        <v>0</v>
      </c>
      <c r="AC194" s="54">
        <f t="shared" si="76"/>
        <v>0</v>
      </c>
      <c r="AD194" s="54">
        <f t="shared" si="76"/>
        <v>0</v>
      </c>
      <c r="AE194" s="54">
        <f t="shared" si="76"/>
        <v>0</v>
      </c>
      <c r="AF194" s="54">
        <f t="shared" si="76"/>
        <v>0</v>
      </c>
      <c r="AG194" s="54">
        <f t="shared" si="76"/>
        <v>0</v>
      </c>
      <c r="AH194" s="54">
        <f t="shared" si="76"/>
        <v>0</v>
      </c>
      <c r="AI194" s="54">
        <f t="shared" si="76"/>
        <v>0</v>
      </c>
      <c r="AJ194" s="54">
        <f t="shared" si="76"/>
        <v>0</v>
      </c>
      <c r="AK194" s="54">
        <f t="shared" ref="AK194" si="91">IF($E95+365&lt;$C$56,0,IF($E95&lt;$C$56,(($E95+365-$C$56)/365)*(($C95/$BN$157)+($D95/$BN$158)),IF($E95&gt;AK$166,0,IF($E95+365&lt;AK$166,($C95/$BN$157)+($D95/$BN$158),((AK$166-$E95)/365)*(($C95/$BN$157)+($D95/$BN$158))))))</f>
        <v>0</v>
      </c>
      <c r="AL194" s="24">
        <f t="shared" si="52"/>
        <v>0</v>
      </c>
      <c r="AM194" s="24">
        <f t="shared" si="53"/>
        <v>0</v>
      </c>
      <c r="AN194" s="55">
        <f t="shared" si="54"/>
        <v>0</v>
      </c>
      <c r="AO194" s="55">
        <f t="shared" si="55"/>
        <v>0</v>
      </c>
      <c r="AP194" s="24"/>
      <c r="AQ194" s="24"/>
      <c r="AR194" s="24"/>
      <c r="AS194" s="24"/>
      <c r="AT194" s="24"/>
      <c r="AU194" s="24"/>
      <c r="AV194" s="24"/>
      <c r="AW194" s="24"/>
      <c r="AX194" s="24"/>
      <c r="AY194" s="24"/>
    </row>
    <row r="195" spans="7:51">
      <c r="G195" s="12">
        <f t="shared" si="42"/>
        <v>0</v>
      </c>
      <c r="H195" s="12">
        <f t="shared" si="81"/>
        <v>0</v>
      </c>
      <c r="I195" s="12">
        <f t="shared" si="81"/>
        <v>0</v>
      </c>
      <c r="J195" s="12">
        <f t="shared" si="81"/>
        <v>0</v>
      </c>
      <c r="K195" s="12">
        <f t="shared" si="44"/>
        <v>0</v>
      </c>
      <c r="L195" s="12">
        <f t="shared" si="82"/>
        <v>0</v>
      </c>
      <c r="M195" s="12">
        <f t="shared" si="82"/>
        <v>0</v>
      </c>
      <c r="N195" s="12">
        <f t="shared" si="82"/>
        <v>0</v>
      </c>
      <c r="O195" s="12">
        <f t="shared" si="46"/>
        <v>0</v>
      </c>
      <c r="P195" s="12">
        <f t="shared" si="83"/>
        <v>0</v>
      </c>
      <c r="Q195" s="12">
        <f t="shared" si="83"/>
        <v>0</v>
      </c>
      <c r="T195" s="61"/>
      <c r="U195" s="61"/>
      <c r="V195" s="61"/>
      <c r="W195" s="53">
        <f t="shared" si="48"/>
        <v>0</v>
      </c>
      <c r="X195" s="54" t="e">
        <f t="shared" si="49"/>
        <v>#DIV/0!</v>
      </c>
      <c r="Y195" s="25">
        <f t="shared" si="56"/>
        <v>0</v>
      </c>
      <c r="Z195" s="54">
        <f t="shared" si="61"/>
        <v>0</v>
      </c>
      <c r="AA195" s="54">
        <f t="shared" si="76"/>
        <v>0</v>
      </c>
      <c r="AB195" s="54">
        <f t="shared" si="76"/>
        <v>0</v>
      </c>
      <c r="AC195" s="54">
        <f t="shared" si="76"/>
        <v>0</v>
      </c>
      <c r="AD195" s="54">
        <f t="shared" si="76"/>
        <v>0</v>
      </c>
      <c r="AE195" s="54">
        <f t="shared" si="76"/>
        <v>0</v>
      </c>
      <c r="AF195" s="54">
        <f t="shared" si="76"/>
        <v>0</v>
      </c>
      <c r="AG195" s="54">
        <f t="shared" si="76"/>
        <v>0</v>
      </c>
      <c r="AH195" s="54">
        <f t="shared" si="76"/>
        <v>0</v>
      </c>
      <c r="AI195" s="54">
        <f t="shared" si="76"/>
        <v>0</v>
      </c>
      <c r="AJ195" s="54">
        <f t="shared" si="76"/>
        <v>0</v>
      </c>
      <c r="AK195" s="54">
        <f t="shared" ref="AK195" si="92">IF($E96+365&lt;$C$56,0,IF($E96&lt;$C$56,(($E96+365-$C$56)/365)*(($C96/$BN$157)+($D96/$BN$158)),IF($E96&gt;AK$166,0,IF($E96+365&lt;AK$166,($C96/$BN$157)+($D96/$BN$158),((AK$166-$E96)/365)*(($C96/$BN$157)+($D96/$BN$158))))))</f>
        <v>0</v>
      </c>
      <c r="AL195" s="24">
        <f t="shared" si="52"/>
        <v>0</v>
      </c>
      <c r="AM195" s="24">
        <f t="shared" si="53"/>
        <v>0</v>
      </c>
      <c r="AN195" s="55">
        <f t="shared" si="54"/>
        <v>0</v>
      </c>
      <c r="AO195" s="55">
        <f t="shared" si="55"/>
        <v>0</v>
      </c>
      <c r="AP195" s="24"/>
      <c r="AQ195" s="24"/>
      <c r="AR195" s="24"/>
      <c r="AS195" s="24"/>
      <c r="AT195" s="24"/>
      <c r="AU195" s="24"/>
      <c r="AV195" s="24"/>
      <c r="AW195" s="24"/>
      <c r="AX195" s="24"/>
      <c r="AY195" s="24"/>
    </row>
    <row r="196" spans="7:51">
      <c r="G196" s="12">
        <f t="shared" si="42"/>
        <v>0</v>
      </c>
      <c r="H196" s="12">
        <f t="shared" si="81"/>
        <v>0</v>
      </c>
      <c r="I196" s="12">
        <f t="shared" si="81"/>
        <v>0</v>
      </c>
      <c r="J196" s="12">
        <f t="shared" si="81"/>
        <v>0</v>
      </c>
      <c r="K196" s="12">
        <f t="shared" si="44"/>
        <v>0</v>
      </c>
      <c r="L196" s="12">
        <f t="shared" si="82"/>
        <v>0</v>
      </c>
      <c r="M196" s="12">
        <f t="shared" si="82"/>
        <v>0</v>
      </c>
      <c r="N196" s="12">
        <f t="shared" si="82"/>
        <v>0</v>
      </c>
      <c r="O196" s="12">
        <f t="shared" si="46"/>
        <v>0</v>
      </c>
      <c r="P196" s="12">
        <f t="shared" si="83"/>
        <v>0</v>
      </c>
      <c r="Q196" s="12">
        <f t="shared" si="83"/>
        <v>0</v>
      </c>
      <c r="T196" s="61"/>
      <c r="U196" s="61"/>
      <c r="V196" s="61"/>
      <c r="W196" s="53">
        <f t="shared" si="48"/>
        <v>0</v>
      </c>
      <c r="X196" s="54" t="e">
        <f t="shared" si="49"/>
        <v>#DIV/0!</v>
      </c>
      <c r="Y196" s="25">
        <f t="shared" si="56"/>
        <v>0</v>
      </c>
      <c r="Z196" s="54">
        <f t="shared" si="61"/>
        <v>0</v>
      </c>
      <c r="AA196" s="54">
        <f t="shared" si="76"/>
        <v>0</v>
      </c>
      <c r="AB196" s="54">
        <f t="shared" si="76"/>
        <v>0</v>
      </c>
      <c r="AC196" s="54">
        <f t="shared" si="76"/>
        <v>0</v>
      </c>
      <c r="AD196" s="54">
        <f t="shared" si="76"/>
        <v>0</v>
      </c>
      <c r="AE196" s="54">
        <f t="shared" si="76"/>
        <v>0</v>
      </c>
      <c r="AF196" s="54">
        <f t="shared" si="76"/>
        <v>0</v>
      </c>
      <c r="AG196" s="54">
        <f t="shared" si="76"/>
        <v>0</v>
      </c>
      <c r="AH196" s="54">
        <f t="shared" si="76"/>
        <v>0</v>
      </c>
      <c r="AI196" s="54">
        <f t="shared" si="76"/>
        <v>0</v>
      </c>
      <c r="AJ196" s="54">
        <f t="shared" si="76"/>
        <v>0</v>
      </c>
      <c r="AK196" s="54">
        <f t="shared" ref="AK196" si="93">IF($E97+365&lt;$C$56,0,IF($E97&lt;$C$56,(($E97+365-$C$56)/365)*(($C97/$BN$157)+($D97/$BN$158)),IF($E97&gt;AK$166,0,IF($E97+365&lt;AK$166,($C97/$BN$157)+($D97/$BN$158),((AK$166-$E97)/365)*(($C97/$BN$157)+($D97/$BN$158))))))</f>
        <v>0</v>
      </c>
      <c r="AL196" s="24">
        <f t="shared" si="52"/>
        <v>0</v>
      </c>
      <c r="AM196" s="24">
        <f t="shared" si="53"/>
        <v>0</v>
      </c>
      <c r="AN196" s="55">
        <f t="shared" si="54"/>
        <v>0</v>
      </c>
      <c r="AO196" s="55">
        <f t="shared" si="55"/>
        <v>0</v>
      </c>
      <c r="AP196" s="24"/>
      <c r="AQ196" s="24"/>
      <c r="AR196" s="24"/>
      <c r="AS196" s="24"/>
      <c r="AT196" s="24"/>
      <c r="AU196" s="24"/>
      <c r="AV196" s="24"/>
      <c r="AW196" s="24"/>
      <c r="AX196" s="24"/>
      <c r="AY196" s="24"/>
    </row>
    <row r="197" spans="7:51">
      <c r="G197" s="12">
        <f t="shared" si="42"/>
        <v>0</v>
      </c>
      <c r="H197" s="12">
        <f t="shared" si="81"/>
        <v>0</v>
      </c>
      <c r="I197" s="12">
        <f t="shared" si="81"/>
        <v>0</v>
      </c>
      <c r="J197" s="12">
        <f t="shared" si="81"/>
        <v>0</v>
      </c>
      <c r="K197" s="12">
        <f t="shared" si="44"/>
        <v>0</v>
      </c>
      <c r="L197" s="12">
        <f t="shared" si="82"/>
        <v>0</v>
      </c>
      <c r="M197" s="12">
        <f t="shared" si="82"/>
        <v>0</v>
      </c>
      <c r="N197" s="12">
        <f t="shared" si="82"/>
        <v>0</v>
      </c>
      <c r="O197" s="12">
        <f t="shared" si="46"/>
        <v>0</v>
      </c>
      <c r="P197" s="12">
        <f t="shared" si="83"/>
        <v>0</v>
      </c>
      <c r="Q197" s="12">
        <f t="shared" si="83"/>
        <v>0</v>
      </c>
      <c r="T197" s="61"/>
      <c r="U197" s="61"/>
      <c r="V197" s="61"/>
      <c r="W197" s="53">
        <f t="shared" si="48"/>
        <v>0</v>
      </c>
      <c r="X197" s="54" t="e">
        <f t="shared" si="49"/>
        <v>#DIV/0!</v>
      </c>
      <c r="Y197" s="25">
        <f t="shared" si="56"/>
        <v>0</v>
      </c>
      <c r="Z197" s="54">
        <f t="shared" si="61"/>
        <v>0</v>
      </c>
      <c r="AA197" s="54">
        <f t="shared" si="76"/>
        <v>0</v>
      </c>
      <c r="AB197" s="54">
        <f t="shared" si="76"/>
        <v>0</v>
      </c>
      <c r="AC197" s="54">
        <f t="shared" si="76"/>
        <v>0</v>
      </c>
      <c r="AD197" s="54">
        <f t="shared" si="76"/>
        <v>0</v>
      </c>
      <c r="AE197" s="54">
        <f t="shared" si="76"/>
        <v>0</v>
      </c>
      <c r="AF197" s="54">
        <f t="shared" si="76"/>
        <v>0</v>
      </c>
      <c r="AG197" s="54">
        <f t="shared" si="76"/>
        <v>0</v>
      </c>
      <c r="AH197" s="54">
        <f t="shared" si="76"/>
        <v>0</v>
      </c>
      <c r="AI197" s="54">
        <f t="shared" si="76"/>
        <v>0</v>
      </c>
      <c r="AJ197" s="54">
        <f t="shared" si="76"/>
        <v>0</v>
      </c>
      <c r="AK197" s="54">
        <f t="shared" ref="AK197" si="94">IF($E98+365&lt;$C$56,0,IF($E98&lt;$C$56,(($E98+365-$C$56)/365)*(($C98/$BN$157)+($D98/$BN$158)),IF($E98&gt;AK$166,0,IF($E98+365&lt;AK$166,($C98/$BN$157)+($D98/$BN$158),((AK$166-$E98)/365)*(($C98/$BN$157)+($D98/$BN$158))))))</f>
        <v>0</v>
      </c>
      <c r="AL197" s="24">
        <f t="shared" si="52"/>
        <v>0</v>
      </c>
      <c r="AM197" s="24">
        <f t="shared" si="53"/>
        <v>0</v>
      </c>
      <c r="AN197" s="55">
        <f t="shared" si="54"/>
        <v>0</v>
      </c>
      <c r="AO197" s="55">
        <f t="shared" si="55"/>
        <v>0</v>
      </c>
      <c r="AP197" s="24"/>
      <c r="AQ197" s="24"/>
      <c r="AR197" s="24"/>
      <c r="AS197" s="24"/>
      <c r="AT197" s="24"/>
      <c r="AU197" s="24"/>
      <c r="AV197" s="24"/>
      <c r="AW197" s="24"/>
      <c r="AX197" s="24"/>
      <c r="AY197" s="24"/>
    </row>
    <row r="198" spans="7:51">
      <c r="G198" s="12">
        <f t="shared" si="42"/>
        <v>0</v>
      </c>
      <c r="H198" s="12">
        <f t="shared" si="81"/>
        <v>0</v>
      </c>
      <c r="I198" s="12">
        <f t="shared" si="81"/>
        <v>0</v>
      </c>
      <c r="J198" s="12">
        <f t="shared" si="81"/>
        <v>0</v>
      </c>
      <c r="K198" s="12">
        <f t="shared" si="44"/>
        <v>0</v>
      </c>
      <c r="L198" s="12">
        <f t="shared" si="82"/>
        <v>0</v>
      </c>
      <c r="M198" s="12">
        <f t="shared" si="82"/>
        <v>0</v>
      </c>
      <c r="N198" s="12">
        <f t="shared" si="82"/>
        <v>0</v>
      </c>
      <c r="O198" s="12">
        <f t="shared" si="46"/>
        <v>0</v>
      </c>
      <c r="P198" s="12">
        <f t="shared" si="83"/>
        <v>0</v>
      </c>
      <c r="Q198" s="12">
        <f t="shared" si="83"/>
        <v>0</v>
      </c>
      <c r="T198" s="61"/>
      <c r="U198" s="61"/>
      <c r="V198" s="61"/>
      <c r="W198" s="53">
        <f t="shared" si="48"/>
        <v>0</v>
      </c>
      <c r="X198" s="54" t="e">
        <f t="shared" si="49"/>
        <v>#DIV/0!</v>
      </c>
      <c r="Y198" s="25">
        <f t="shared" si="56"/>
        <v>0</v>
      </c>
      <c r="Z198" s="54">
        <f t="shared" si="61"/>
        <v>0</v>
      </c>
      <c r="AA198" s="54">
        <f t="shared" si="76"/>
        <v>0</v>
      </c>
      <c r="AB198" s="54">
        <f t="shared" si="76"/>
        <v>0</v>
      </c>
      <c r="AC198" s="54">
        <f t="shared" si="76"/>
        <v>0</v>
      </c>
      <c r="AD198" s="54">
        <f t="shared" si="76"/>
        <v>0</v>
      </c>
      <c r="AE198" s="54">
        <f t="shared" si="76"/>
        <v>0</v>
      </c>
      <c r="AF198" s="54">
        <f t="shared" si="76"/>
        <v>0</v>
      </c>
      <c r="AG198" s="54">
        <f t="shared" si="76"/>
        <v>0</v>
      </c>
      <c r="AH198" s="54">
        <f t="shared" si="76"/>
        <v>0</v>
      </c>
      <c r="AI198" s="54">
        <f t="shared" si="76"/>
        <v>0</v>
      </c>
      <c r="AJ198" s="54">
        <f t="shared" si="76"/>
        <v>0</v>
      </c>
      <c r="AK198" s="54">
        <f t="shared" ref="AK198" si="95">IF($E99+365&lt;$C$56,0,IF($E99&lt;$C$56,(($E99+365-$C$56)/365)*(($C99/$BN$157)+($D99/$BN$158)),IF($E99&gt;AK$166,0,IF($E99+365&lt;AK$166,($C99/$BN$157)+($D99/$BN$158),((AK$166-$E99)/365)*(($C99/$BN$157)+($D99/$BN$158))))))</f>
        <v>0</v>
      </c>
      <c r="AL198" s="24">
        <f t="shared" si="52"/>
        <v>0</v>
      </c>
      <c r="AM198" s="24">
        <f t="shared" si="53"/>
        <v>0</v>
      </c>
      <c r="AN198" s="55">
        <f t="shared" si="54"/>
        <v>0</v>
      </c>
      <c r="AO198" s="55">
        <f t="shared" si="55"/>
        <v>0</v>
      </c>
      <c r="AP198" s="24"/>
      <c r="AQ198" s="24"/>
      <c r="AR198" s="24"/>
      <c r="AS198" s="24"/>
      <c r="AT198" s="24"/>
      <c r="AU198" s="24"/>
      <c r="AV198" s="24"/>
      <c r="AW198" s="24"/>
      <c r="AX198" s="24"/>
      <c r="AY198" s="24"/>
    </row>
    <row r="199" spans="7:51">
      <c r="G199" s="12">
        <f t="shared" si="42"/>
        <v>0</v>
      </c>
      <c r="H199" s="12">
        <f t="shared" si="81"/>
        <v>0</v>
      </c>
      <c r="I199" s="12">
        <f t="shared" si="81"/>
        <v>0</v>
      </c>
      <c r="J199" s="12">
        <f t="shared" si="81"/>
        <v>0</v>
      </c>
      <c r="K199" s="12">
        <f t="shared" si="44"/>
        <v>0</v>
      </c>
      <c r="L199" s="12">
        <f t="shared" si="82"/>
        <v>0</v>
      </c>
      <c r="M199" s="12">
        <f t="shared" si="82"/>
        <v>0</v>
      </c>
      <c r="N199" s="12">
        <f t="shared" si="82"/>
        <v>0</v>
      </c>
      <c r="O199" s="12">
        <f t="shared" si="46"/>
        <v>0</v>
      </c>
      <c r="P199" s="12">
        <f t="shared" si="83"/>
        <v>0</v>
      </c>
      <c r="Q199" s="12">
        <f t="shared" si="83"/>
        <v>0</v>
      </c>
      <c r="T199" s="61"/>
      <c r="U199" s="61"/>
      <c r="V199" s="61"/>
      <c r="W199" s="53">
        <f t="shared" si="48"/>
        <v>0</v>
      </c>
      <c r="X199" s="54" t="e">
        <f t="shared" si="49"/>
        <v>#DIV/0!</v>
      </c>
      <c r="Y199" s="25">
        <f t="shared" si="56"/>
        <v>0</v>
      </c>
      <c r="Z199" s="54">
        <f t="shared" si="61"/>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2"/>
        <v>0</v>
      </c>
      <c r="AM199" s="24">
        <f t="shared" si="53"/>
        <v>0</v>
      </c>
      <c r="AN199" s="55">
        <f t="shared" si="54"/>
        <v>0</v>
      </c>
      <c r="AO199" s="55">
        <f t="shared" si="55"/>
        <v>0</v>
      </c>
      <c r="AP199" s="24"/>
      <c r="AQ199" s="24"/>
      <c r="AR199" s="24"/>
      <c r="AS199" s="24"/>
      <c r="AT199" s="24"/>
      <c r="AU199" s="24"/>
      <c r="AV199" s="24"/>
      <c r="AW199" s="24"/>
      <c r="AX199" s="24"/>
      <c r="AY199" s="24"/>
    </row>
    <row r="200" spans="7:51">
      <c r="G200" s="12">
        <f t="shared" si="42"/>
        <v>0</v>
      </c>
      <c r="H200" s="12">
        <f t="shared" si="81"/>
        <v>0</v>
      </c>
      <c r="I200" s="12">
        <f t="shared" si="81"/>
        <v>0</v>
      </c>
      <c r="J200" s="12">
        <f t="shared" si="81"/>
        <v>0</v>
      </c>
      <c r="K200" s="12">
        <f t="shared" si="44"/>
        <v>0</v>
      </c>
      <c r="L200" s="12">
        <f t="shared" si="82"/>
        <v>0</v>
      </c>
      <c r="M200" s="12">
        <f t="shared" si="82"/>
        <v>0</v>
      </c>
      <c r="N200" s="12">
        <f t="shared" si="82"/>
        <v>0</v>
      </c>
      <c r="O200" s="12">
        <f t="shared" si="46"/>
        <v>0</v>
      </c>
      <c r="P200" s="12">
        <f t="shared" si="83"/>
        <v>0</v>
      </c>
      <c r="Q200" s="12">
        <f t="shared" si="83"/>
        <v>0</v>
      </c>
      <c r="T200" s="61"/>
      <c r="U200" s="61"/>
      <c r="V200" s="61"/>
      <c r="W200" s="53">
        <f t="shared" si="48"/>
        <v>0</v>
      </c>
      <c r="X200" s="54" t="e">
        <f t="shared" si="49"/>
        <v>#DIV/0!</v>
      </c>
      <c r="Y200" s="25">
        <f t="shared" si="56"/>
        <v>0</v>
      </c>
      <c r="Z200" s="54">
        <f t="shared" si="61"/>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2"/>
        <v>0</v>
      </c>
      <c r="AM200" s="24">
        <f t="shared" si="53"/>
        <v>0</v>
      </c>
      <c r="AN200" s="55">
        <f t="shared" si="54"/>
        <v>0</v>
      </c>
      <c r="AO200" s="55">
        <f t="shared" si="55"/>
        <v>0</v>
      </c>
      <c r="AP200" s="24"/>
      <c r="AQ200" s="24"/>
      <c r="AR200" s="24"/>
      <c r="AS200" s="24"/>
      <c r="AT200" s="24"/>
      <c r="AU200" s="24"/>
      <c r="AV200" s="24"/>
      <c r="AW200" s="24"/>
      <c r="AX200" s="24"/>
      <c r="AY200" s="24"/>
    </row>
    <row r="201" spans="7:51">
      <c r="G201" s="12">
        <f t="shared" si="42"/>
        <v>0</v>
      </c>
      <c r="H201" s="12">
        <f t="shared" si="81"/>
        <v>0</v>
      </c>
      <c r="I201" s="12">
        <f t="shared" si="81"/>
        <v>0</v>
      </c>
      <c r="J201" s="12">
        <f t="shared" si="81"/>
        <v>0</v>
      </c>
      <c r="K201" s="12">
        <f t="shared" si="44"/>
        <v>0</v>
      </c>
      <c r="L201" s="12">
        <f t="shared" si="82"/>
        <v>0</v>
      </c>
      <c r="M201" s="12">
        <f t="shared" si="82"/>
        <v>0</v>
      </c>
      <c r="N201" s="12">
        <f t="shared" si="82"/>
        <v>0</v>
      </c>
      <c r="O201" s="12">
        <f t="shared" si="46"/>
        <v>0</v>
      </c>
      <c r="P201" s="12">
        <f t="shared" si="83"/>
        <v>0</v>
      </c>
      <c r="Q201" s="12">
        <f t="shared" si="83"/>
        <v>0</v>
      </c>
      <c r="T201" s="61"/>
      <c r="U201" s="61"/>
      <c r="V201" s="61"/>
      <c r="W201" s="53">
        <f t="shared" si="48"/>
        <v>0</v>
      </c>
      <c r="X201" s="54" t="e">
        <f t="shared" si="49"/>
        <v>#DIV/0!</v>
      </c>
      <c r="Y201" s="25">
        <f t="shared" si="56"/>
        <v>0</v>
      </c>
      <c r="Z201" s="54">
        <f t="shared" si="61"/>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2"/>
        <v>0</v>
      </c>
      <c r="AM201" s="24">
        <f t="shared" si="53"/>
        <v>0</v>
      </c>
      <c r="AN201" s="55">
        <f t="shared" si="54"/>
        <v>0</v>
      </c>
      <c r="AO201" s="55">
        <f t="shared" si="55"/>
        <v>0</v>
      </c>
      <c r="AP201" s="24"/>
      <c r="AQ201" s="24"/>
      <c r="AR201" s="24"/>
      <c r="AS201" s="24"/>
      <c r="AT201" s="24"/>
      <c r="AU201" s="24"/>
      <c r="AV201" s="24"/>
      <c r="AW201" s="24"/>
      <c r="AX201" s="24"/>
      <c r="AY201" s="24"/>
    </row>
    <row r="202" spans="7:51">
      <c r="G202" s="12">
        <f t="shared" si="42"/>
        <v>0</v>
      </c>
      <c r="H202" s="12">
        <f t="shared" si="81"/>
        <v>0</v>
      </c>
      <c r="I202" s="12">
        <f t="shared" si="81"/>
        <v>0</v>
      </c>
      <c r="J202" s="12">
        <f t="shared" si="81"/>
        <v>0</v>
      </c>
      <c r="K202" s="12">
        <f t="shared" si="44"/>
        <v>0</v>
      </c>
      <c r="L202" s="12">
        <f t="shared" si="82"/>
        <v>0</v>
      </c>
      <c r="M202" s="12">
        <f t="shared" si="82"/>
        <v>0</v>
      </c>
      <c r="N202" s="12">
        <f t="shared" si="82"/>
        <v>0</v>
      </c>
      <c r="O202" s="12">
        <f t="shared" si="46"/>
        <v>0</v>
      </c>
      <c r="P202" s="12">
        <f t="shared" si="83"/>
        <v>0</v>
      </c>
      <c r="Q202" s="12">
        <f t="shared" si="83"/>
        <v>0</v>
      </c>
      <c r="T202" s="61"/>
      <c r="U202" s="61"/>
      <c r="V202" s="61"/>
      <c r="W202" s="53">
        <f t="shared" si="48"/>
        <v>0</v>
      </c>
      <c r="X202" s="54" t="e">
        <f t="shared" si="49"/>
        <v>#DIV/0!</v>
      </c>
      <c r="Y202" s="25">
        <f t="shared" si="56"/>
        <v>0</v>
      </c>
      <c r="Z202" s="54">
        <f t="shared" si="61"/>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2"/>
        <v>0</v>
      </c>
      <c r="AM202" s="24">
        <f t="shared" si="53"/>
        <v>0</v>
      </c>
      <c r="AN202" s="55">
        <f t="shared" si="54"/>
        <v>0</v>
      </c>
      <c r="AO202" s="55">
        <f t="shared" si="55"/>
        <v>0</v>
      </c>
      <c r="AP202" s="24"/>
      <c r="AQ202" s="24"/>
      <c r="AR202" s="24"/>
      <c r="AS202" s="24"/>
      <c r="AT202" s="24"/>
      <c r="AU202" s="24"/>
      <c r="AV202" s="24"/>
      <c r="AW202" s="24"/>
      <c r="AX202" s="24"/>
      <c r="AY202" s="24"/>
    </row>
    <row r="203" spans="7:51">
      <c r="G203" s="12">
        <f t="shared" si="42"/>
        <v>0</v>
      </c>
      <c r="H203" s="12">
        <f t="shared" si="81"/>
        <v>0</v>
      </c>
      <c r="I203" s="12">
        <f t="shared" si="81"/>
        <v>0</v>
      </c>
      <c r="J203" s="12">
        <f t="shared" si="81"/>
        <v>0</v>
      </c>
      <c r="K203" s="12">
        <f t="shared" si="44"/>
        <v>0</v>
      </c>
      <c r="L203" s="12">
        <f t="shared" si="82"/>
        <v>0</v>
      </c>
      <c r="M203" s="12">
        <f t="shared" si="82"/>
        <v>0</v>
      </c>
      <c r="N203" s="12">
        <f t="shared" si="82"/>
        <v>0</v>
      </c>
      <c r="O203" s="12">
        <f t="shared" si="46"/>
        <v>0</v>
      </c>
      <c r="P203" s="12">
        <f t="shared" si="83"/>
        <v>0</v>
      </c>
      <c r="Q203" s="12">
        <f t="shared" si="83"/>
        <v>0</v>
      </c>
      <c r="T203" s="61"/>
      <c r="U203" s="61"/>
      <c r="V203" s="61"/>
      <c r="W203" s="53">
        <f t="shared" si="48"/>
        <v>0</v>
      </c>
      <c r="X203" s="54" t="e">
        <f t="shared" si="49"/>
        <v>#DIV/0!</v>
      </c>
      <c r="Y203" s="25">
        <f t="shared" si="56"/>
        <v>0</v>
      </c>
      <c r="Z203" s="54">
        <f t="shared" si="61"/>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2"/>
        <v>0</v>
      </c>
      <c r="AM203" s="24">
        <f t="shared" si="53"/>
        <v>0</v>
      </c>
      <c r="AN203" s="55">
        <f t="shared" si="54"/>
        <v>0</v>
      </c>
      <c r="AO203" s="55">
        <f t="shared" si="55"/>
        <v>0</v>
      </c>
      <c r="AP203" s="24"/>
      <c r="AQ203" s="24"/>
      <c r="AR203" s="24"/>
      <c r="AS203" s="24"/>
      <c r="AT203" s="24"/>
      <c r="AU203" s="24"/>
      <c r="AV203" s="24"/>
      <c r="AW203" s="24"/>
      <c r="AX203" s="24"/>
      <c r="AY203" s="24"/>
    </row>
    <row r="204" spans="7:51">
      <c r="G204" s="12">
        <f t="shared" si="42"/>
        <v>0</v>
      </c>
      <c r="H204" s="12">
        <f t="shared" si="81"/>
        <v>0</v>
      </c>
      <c r="I204" s="12">
        <f t="shared" si="81"/>
        <v>0</v>
      </c>
      <c r="J204" s="12">
        <f t="shared" si="81"/>
        <v>0</v>
      </c>
      <c r="K204" s="12">
        <f t="shared" si="44"/>
        <v>0</v>
      </c>
      <c r="L204" s="12">
        <f t="shared" si="82"/>
        <v>0</v>
      </c>
      <c r="M204" s="12">
        <f t="shared" si="82"/>
        <v>0</v>
      </c>
      <c r="N204" s="12">
        <f t="shared" si="82"/>
        <v>0</v>
      </c>
      <c r="O204" s="12">
        <f t="shared" si="46"/>
        <v>0</v>
      </c>
      <c r="P204" s="12">
        <f t="shared" si="83"/>
        <v>0</v>
      </c>
      <c r="Q204" s="12">
        <f t="shared" si="83"/>
        <v>0</v>
      </c>
      <c r="T204" s="61"/>
      <c r="U204" s="61"/>
      <c r="V204" s="61"/>
      <c r="W204" s="53">
        <f t="shared" si="48"/>
        <v>0</v>
      </c>
      <c r="X204" s="54" t="e">
        <f t="shared" si="49"/>
        <v>#DIV/0!</v>
      </c>
      <c r="Y204" s="25">
        <f t="shared" si="56"/>
        <v>0</v>
      </c>
      <c r="Z204" s="54">
        <f t="shared" si="61"/>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2"/>
        <v>0</v>
      </c>
      <c r="AM204" s="24">
        <f t="shared" si="53"/>
        <v>0</v>
      </c>
      <c r="AN204" s="55">
        <f t="shared" si="54"/>
        <v>0</v>
      </c>
      <c r="AO204" s="55">
        <f t="shared" si="55"/>
        <v>0</v>
      </c>
      <c r="AP204" s="24"/>
      <c r="AQ204" s="24"/>
      <c r="AR204" s="24"/>
      <c r="AS204" s="24"/>
      <c r="AT204" s="24"/>
      <c r="AU204" s="24"/>
      <c r="AV204" s="24"/>
      <c r="AW204" s="24"/>
      <c r="AX204" s="24"/>
      <c r="AY204" s="24"/>
    </row>
    <row r="205" spans="7:51">
      <c r="G205" s="12">
        <f t="shared" si="42"/>
        <v>0</v>
      </c>
      <c r="H205" s="12">
        <f t="shared" si="81"/>
        <v>0</v>
      </c>
      <c r="I205" s="12">
        <f t="shared" si="81"/>
        <v>0</v>
      </c>
      <c r="J205" s="12">
        <f t="shared" si="81"/>
        <v>0</v>
      </c>
      <c r="K205" s="12">
        <f t="shared" si="44"/>
        <v>0</v>
      </c>
      <c r="L205" s="12">
        <f t="shared" si="82"/>
        <v>0</v>
      </c>
      <c r="M205" s="12">
        <f t="shared" si="82"/>
        <v>0</v>
      </c>
      <c r="N205" s="12">
        <f t="shared" si="82"/>
        <v>0</v>
      </c>
      <c r="O205" s="12">
        <f t="shared" si="46"/>
        <v>0</v>
      </c>
      <c r="P205" s="12">
        <f t="shared" si="83"/>
        <v>0</v>
      </c>
      <c r="Q205" s="12">
        <f t="shared" si="83"/>
        <v>0</v>
      </c>
      <c r="T205" s="61"/>
      <c r="U205" s="61"/>
      <c r="V205" s="61"/>
      <c r="W205" s="53">
        <f t="shared" si="48"/>
        <v>0</v>
      </c>
      <c r="X205" s="54" t="e">
        <f t="shared" si="49"/>
        <v>#DIV/0!</v>
      </c>
      <c r="Y205" s="25">
        <f t="shared" si="56"/>
        <v>0</v>
      </c>
      <c r="Z205" s="54">
        <f t="shared" si="61"/>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2"/>
        <v>0</v>
      </c>
      <c r="AM205" s="24">
        <f t="shared" si="53"/>
        <v>0</v>
      </c>
      <c r="AN205" s="55">
        <f t="shared" si="54"/>
        <v>0</v>
      </c>
      <c r="AO205" s="55">
        <f t="shared" si="55"/>
        <v>0</v>
      </c>
      <c r="AP205" s="24"/>
      <c r="AQ205" s="24"/>
      <c r="AR205" s="24"/>
      <c r="AS205" s="24"/>
      <c r="AT205" s="24"/>
      <c r="AU205" s="24"/>
      <c r="AV205" s="24"/>
      <c r="AW205" s="24"/>
      <c r="AX205" s="24"/>
      <c r="AY205" s="24"/>
    </row>
    <row r="206" spans="7:51">
      <c r="G206" s="12">
        <f t="shared" si="42"/>
        <v>0</v>
      </c>
      <c r="H206" s="12">
        <f t="shared" si="81"/>
        <v>0</v>
      </c>
      <c r="I206" s="12">
        <f t="shared" si="81"/>
        <v>0</v>
      </c>
      <c r="J206" s="12">
        <f t="shared" si="81"/>
        <v>0</v>
      </c>
      <c r="K206" s="12">
        <f t="shared" si="44"/>
        <v>0</v>
      </c>
      <c r="L206" s="12">
        <f t="shared" si="82"/>
        <v>0</v>
      </c>
      <c r="M206" s="12">
        <f t="shared" si="82"/>
        <v>0</v>
      </c>
      <c r="N206" s="12">
        <f t="shared" si="82"/>
        <v>0</v>
      </c>
      <c r="O206" s="12">
        <f t="shared" si="46"/>
        <v>0</v>
      </c>
      <c r="P206" s="12">
        <f t="shared" si="83"/>
        <v>0</v>
      </c>
      <c r="Q206" s="12">
        <f t="shared" si="83"/>
        <v>0</v>
      </c>
      <c r="T206" s="61"/>
      <c r="U206" s="61"/>
      <c r="V206" s="61"/>
      <c r="W206" s="53">
        <f t="shared" si="48"/>
        <v>0</v>
      </c>
      <c r="X206" s="54" t="e">
        <f t="shared" si="49"/>
        <v>#DIV/0!</v>
      </c>
      <c r="Y206" s="25">
        <f t="shared" si="56"/>
        <v>0</v>
      </c>
      <c r="Z206" s="54">
        <f t="shared" si="61"/>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2"/>
        <v>0</v>
      </c>
      <c r="AM206" s="24">
        <f t="shared" si="53"/>
        <v>0</v>
      </c>
      <c r="AN206" s="55">
        <f t="shared" si="54"/>
        <v>0</v>
      </c>
      <c r="AO206" s="55">
        <f t="shared" si="55"/>
        <v>0</v>
      </c>
      <c r="AP206" s="24"/>
      <c r="AQ206" s="24"/>
      <c r="AR206" s="24"/>
      <c r="AS206" s="24"/>
      <c r="AT206" s="24"/>
      <c r="AU206" s="24"/>
      <c r="AV206" s="24"/>
      <c r="AW206" s="24"/>
      <c r="AX206" s="24"/>
      <c r="AY206" s="24"/>
    </row>
    <row r="207" spans="7:51">
      <c r="G207" s="12">
        <f t="shared" si="42"/>
        <v>0</v>
      </c>
      <c r="H207" s="12">
        <f t="shared" ref="H207:J209" si="105">IF($E109&gt;H$66,0,IF($E109&lt;H$66-365,$C109,0))</f>
        <v>0</v>
      </c>
      <c r="I207" s="12">
        <f t="shared" si="105"/>
        <v>0</v>
      </c>
      <c r="J207" s="12">
        <f t="shared" si="105"/>
        <v>0</v>
      </c>
      <c r="K207" s="12">
        <f t="shared" si="44"/>
        <v>0</v>
      </c>
      <c r="L207" s="12">
        <f t="shared" ref="L207:N209" si="106">IF($E109&gt;L$66,0,IF($E109&lt;L$66-365,$C109,0))</f>
        <v>0</v>
      </c>
      <c r="M207" s="12">
        <f t="shared" si="106"/>
        <v>0</v>
      </c>
      <c r="N207" s="12">
        <f t="shared" si="106"/>
        <v>0</v>
      </c>
      <c r="O207" s="12">
        <f t="shared" si="46"/>
        <v>0</v>
      </c>
      <c r="P207" s="12">
        <f t="shared" ref="P207:Q209" si="107">IF($E109&gt;P$66,0,IF($E109&lt;P$66-365,$C109,0))</f>
        <v>0</v>
      </c>
      <c r="Q207" s="12">
        <f t="shared" si="107"/>
        <v>0</v>
      </c>
      <c r="T207" s="61"/>
      <c r="U207" s="61"/>
      <c r="V207" s="61"/>
      <c r="W207" s="53">
        <f t="shared" si="48"/>
        <v>0</v>
      </c>
      <c r="X207" s="54" t="e">
        <f t="shared" si="49"/>
        <v>#DIV/0!</v>
      </c>
      <c r="Y207" s="25">
        <f t="shared" si="56"/>
        <v>0</v>
      </c>
      <c r="Z207" s="54">
        <f t="shared" si="61"/>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2"/>
        <v>0</v>
      </c>
      <c r="AM207" s="24">
        <f t="shared" si="53"/>
        <v>0</v>
      </c>
      <c r="AN207" s="55">
        <f t="shared" si="54"/>
        <v>0</v>
      </c>
      <c r="AO207" s="55">
        <f t="shared" si="55"/>
        <v>0</v>
      </c>
      <c r="AP207" s="24"/>
      <c r="AQ207" s="24"/>
      <c r="AR207" s="24"/>
      <c r="AS207" s="24"/>
      <c r="AT207" s="24"/>
      <c r="AU207" s="24"/>
      <c r="AV207" s="24"/>
      <c r="AW207" s="24"/>
      <c r="AX207" s="24"/>
      <c r="AY207" s="24"/>
    </row>
    <row r="208" spans="7:51">
      <c r="G208" s="12">
        <f t="shared" si="42"/>
        <v>0</v>
      </c>
      <c r="H208" s="12">
        <f t="shared" si="105"/>
        <v>0</v>
      </c>
      <c r="I208" s="12">
        <f t="shared" si="105"/>
        <v>0</v>
      </c>
      <c r="J208" s="12">
        <f t="shared" si="105"/>
        <v>0</v>
      </c>
      <c r="K208" s="12">
        <f t="shared" si="44"/>
        <v>0</v>
      </c>
      <c r="L208" s="12">
        <f t="shared" si="106"/>
        <v>0</v>
      </c>
      <c r="M208" s="12">
        <f t="shared" si="106"/>
        <v>0</v>
      </c>
      <c r="N208" s="12">
        <f t="shared" si="106"/>
        <v>0</v>
      </c>
      <c r="O208" s="12">
        <f t="shared" si="46"/>
        <v>0</v>
      </c>
      <c r="P208" s="12">
        <f t="shared" si="107"/>
        <v>0</v>
      </c>
      <c r="Q208" s="12">
        <f t="shared" si="107"/>
        <v>0</v>
      </c>
      <c r="T208" s="61"/>
      <c r="U208" s="61"/>
      <c r="V208" s="61"/>
      <c r="W208" s="53">
        <f t="shared" si="48"/>
        <v>0</v>
      </c>
      <c r="X208" s="54" t="e">
        <f t="shared" si="49"/>
        <v>#DIV/0!</v>
      </c>
      <c r="Y208" s="25">
        <f t="shared" si="56"/>
        <v>0</v>
      </c>
      <c r="Z208" s="54">
        <f t="shared" si="61"/>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2"/>
        <v>0</v>
      </c>
      <c r="AM208" s="24">
        <f t="shared" si="53"/>
        <v>0</v>
      </c>
      <c r="AN208" s="55">
        <f t="shared" si="54"/>
        <v>0</v>
      </c>
      <c r="AO208" s="55">
        <f t="shared" si="55"/>
        <v>0</v>
      </c>
      <c r="AP208" s="24"/>
      <c r="AQ208" s="24"/>
      <c r="AR208" s="24"/>
      <c r="AS208" s="24"/>
      <c r="AT208" s="24"/>
      <c r="AU208" s="24"/>
      <c r="AV208" s="24"/>
      <c r="AW208" s="24"/>
      <c r="AX208" s="24"/>
      <c r="AY208" s="24"/>
    </row>
    <row r="209" spans="6:51">
      <c r="G209" s="12">
        <f t="shared" si="42"/>
        <v>0</v>
      </c>
      <c r="H209" s="12">
        <f t="shared" si="105"/>
        <v>0</v>
      </c>
      <c r="I209" s="12">
        <f t="shared" si="105"/>
        <v>0</v>
      </c>
      <c r="J209" s="12">
        <f t="shared" si="105"/>
        <v>0</v>
      </c>
      <c r="K209" s="12">
        <f t="shared" si="44"/>
        <v>0</v>
      </c>
      <c r="L209" s="12">
        <f t="shared" si="106"/>
        <v>0</v>
      </c>
      <c r="M209" s="12">
        <f t="shared" si="106"/>
        <v>0</v>
      </c>
      <c r="N209" s="12">
        <f t="shared" si="106"/>
        <v>0</v>
      </c>
      <c r="O209" s="12">
        <f t="shared" si="46"/>
        <v>0</v>
      </c>
      <c r="P209" s="12">
        <f t="shared" si="107"/>
        <v>0</v>
      </c>
      <c r="Q209" s="12">
        <f t="shared" si="107"/>
        <v>0</v>
      </c>
      <c r="T209" s="61"/>
      <c r="U209" s="61"/>
      <c r="V209" s="61"/>
      <c r="W209" s="53">
        <f t="shared" si="48"/>
        <v>0</v>
      </c>
      <c r="X209" s="54" t="e">
        <f t="shared" si="49"/>
        <v>#DIV/0!</v>
      </c>
      <c r="Y209" s="25">
        <f t="shared" si="56"/>
        <v>0</v>
      </c>
      <c r="Z209" s="54">
        <f t="shared" si="61"/>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2"/>
        <v>0</v>
      </c>
      <c r="AM209" s="24">
        <f t="shared" si="53"/>
        <v>0</v>
      </c>
      <c r="AN209" s="55">
        <f t="shared" si="54"/>
        <v>0</v>
      </c>
      <c r="AO209" s="55">
        <f t="shared" si="55"/>
        <v>0</v>
      </c>
      <c r="AP209" s="24"/>
      <c r="AQ209" s="24"/>
      <c r="AR209" s="24"/>
      <c r="AS209" s="24"/>
      <c r="AT209" s="24"/>
      <c r="AU209" s="24"/>
      <c r="AV209" s="24"/>
      <c r="AW209" s="24"/>
      <c r="AX209" s="24"/>
      <c r="AY209" s="24"/>
    </row>
    <row r="210" spans="6:51">
      <c r="T210" s="61"/>
      <c r="U210" s="61"/>
      <c r="V210" s="61"/>
      <c r="W210" s="53">
        <f t="shared" si="48"/>
        <v>0</v>
      </c>
      <c r="X210" s="54" t="e">
        <f t="shared" si="49"/>
        <v>#DIV/0!</v>
      </c>
      <c r="Y210" s="25">
        <f t="shared" si="56"/>
        <v>0</v>
      </c>
      <c r="Z210" s="54">
        <f t="shared" si="61"/>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2"/>
        <v>0</v>
      </c>
      <c r="AM210" s="24">
        <f t="shared" si="53"/>
        <v>0</v>
      </c>
      <c r="AN210" s="55">
        <f t="shared" si="54"/>
        <v>0</v>
      </c>
      <c r="AO210" s="55">
        <f t="shared" si="55"/>
        <v>0</v>
      </c>
      <c r="AP210" s="24"/>
      <c r="AQ210" s="24"/>
      <c r="AR210" s="24"/>
      <c r="AS210" s="24"/>
      <c r="AT210" s="24"/>
      <c r="AU210" s="24"/>
      <c r="AV210" s="24"/>
      <c r="AW210" s="24"/>
      <c r="AX210" s="24"/>
      <c r="AY210" s="24"/>
    </row>
    <row r="211" spans="6:51">
      <c r="T211" s="61"/>
      <c r="U211" s="61"/>
      <c r="V211" s="61"/>
      <c r="W211" s="53">
        <f t="shared" si="48"/>
        <v>0</v>
      </c>
      <c r="X211" s="54" t="e">
        <f t="shared" si="49"/>
        <v>#DIV/0!</v>
      </c>
      <c r="Y211" s="25">
        <f t="shared" si="56"/>
        <v>0</v>
      </c>
      <c r="Z211" s="54">
        <f t="shared" si="61"/>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2"/>
        <v>0</v>
      </c>
      <c r="AM211" s="24">
        <f t="shared" si="53"/>
        <v>0</v>
      </c>
      <c r="AN211" s="55">
        <f t="shared" si="54"/>
        <v>0</v>
      </c>
      <c r="AO211" s="55">
        <f t="shared" si="55"/>
        <v>0</v>
      </c>
      <c r="AP211" s="25"/>
      <c r="AQ211" s="24"/>
      <c r="AR211" s="24"/>
      <c r="AS211" s="24"/>
      <c r="AT211" s="24"/>
      <c r="AU211" s="24"/>
      <c r="AV211" s="24"/>
      <c r="AW211" s="24"/>
      <c r="AX211" s="24"/>
      <c r="AY211" s="24"/>
    </row>
    <row r="212" spans="6:51">
      <c r="T212" s="61"/>
      <c r="U212" s="61"/>
      <c r="V212" s="61"/>
      <c r="W212" s="53"/>
      <c r="X212" s="54"/>
      <c r="Y212" s="25">
        <f t="shared" si="56"/>
        <v>0</v>
      </c>
      <c r="Z212" s="54">
        <f t="shared" si="61"/>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2"/>
        <v>0</v>
      </c>
      <c r="AM212" s="24">
        <f t="shared" si="53"/>
        <v>0</v>
      </c>
      <c r="AN212" s="55">
        <f t="shared" si="54"/>
        <v>0</v>
      </c>
      <c r="AO212" s="55">
        <f t="shared" si="55"/>
        <v>0</v>
      </c>
      <c r="AP212" s="24"/>
      <c r="AQ212" s="24"/>
      <c r="AR212" s="24"/>
      <c r="AS212" s="24"/>
      <c r="AT212" s="24"/>
      <c r="AU212" s="24"/>
      <c r="AV212" s="24"/>
      <c r="AW212" s="24"/>
      <c r="AX212" s="24"/>
      <c r="AY212" s="24"/>
    </row>
    <row r="213" spans="6:51">
      <c r="T213" s="61"/>
      <c r="U213" s="61"/>
      <c r="V213" s="61"/>
      <c r="W213" s="53"/>
      <c r="X213" s="54"/>
      <c r="Y213" s="25">
        <f t="shared" si="56"/>
        <v>0</v>
      </c>
      <c r="Z213" s="54">
        <f t="shared" si="61"/>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2"/>
        <v>0</v>
      </c>
      <c r="AM213" s="24">
        <f t="shared" si="53"/>
        <v>0</v>
      </c>
      <c r="AN213" s="55">
        <f t="shared" si="54"/>
        <v>0</v>
      </c>
      <c r="AO213" s="55">
        <f t="shared" si="55"/>
        <v>0</v>
      </c>
      <c r="AP213" s="24"/>
      <c r="AQ213" s="24"/>
      <c r="AR213" s="24"/>
      <c r="AS213" s="24"/>
      <c r="AT213" s="24"/>
      <c r="AU213" s="24"/>
      <c r="AV213" s="24"/>
      <c r="AW213" s="24"/>
      <c r="AX213" s="24"/>
      <c r="AY213" s="24"/>
    </row>
    <row r="214" spans="6:51" ht="13">
      <c r="F214" s="187" t="s">
        <v>490</v>
      </c>
      <c r="G214" s="187">
        <f>SUM(G167:G213)</f>
        <v>-242.2</v>
      </c>
      <c r="H214" s="187">
        <f t="shared" ref="H214:Q214" si="115">SUM(H167:H213)</f>
        <v>-242.2</v>
      </c>
      <c r="I214" s="187">
        <f t="shared" si="115"/>
        <v>-342.4</v>
      </c>
      <c r="J214" s="187">
        <f t="shared" si="115"/>
        <v>-388.59999999999997</v>
      </c>
      <c r="K214" s="187">
        <f t="shared" si="115"/>
        <v>-420.4</v>
      </c>
      <c r="L214" s="187">
        <f t="shared" si="115"/>
        <v>-420.4</v>
      </c>
      <c r="M214" s="187">
        <f t="shared" si="115"/>
        <v>-420.4</v>
      </c>
      <c r="N214" s="187">
        <f t="shared" si="115"/>
        <v>-428.59999999999997</v>
      </c>
      <c r="O214" s="187">
        <f t="shared" si="115"/>
        <v>-428.59999999999997</v>
      </c>
      <c r="P214" s="187">
        <f t="shared" si="115"/>
        <v>-428.59999999999997</v>
      </c>
      <c r="Q214" s="187">
        <f t="shared" si="115"/>
        <v>-428.59999999999997</v>
      </c>
      <c r="T214" s="14"/>
      <c r="U214" s="14"/>
      <c r="V214" s="14"/>
      <c r="W214" s="24"/>
      <c r="X214" s="62" t="e">
        <f>SUM(X168:X213)</f>
        <v>#DIV/0!</v>
      </c>
      <c r="Y214" s="157" t="s">
        <v>84</v>
      </c>
      <c r="AA214" s="155">
        <f>VLOOKUP($A$2,Assumptions!$B$124:$G$147,6,0)*SUM(AA167:AA213)</f>
        <v>0</v>
      </c>
      <c r="AB214" s="155">
        <f>VLOOKUP($A$2,Assumptions!$B$124:$G$147,6,0)*SUM(AB167:AB213)</f>
        <v>-23.38867042964884</v>
      </c>
      <c r="AC214" s="155">
        <f>VLOOKUP($A$2,Assumptions!$B$124:$G$147,6,0)*SUM(AC167:AC213)</f>
        <v>-34.07711583380636</v>
      </c>
      <c r="AD214" s="155">
        <f>VLOOKUP($A$2,Assumptions!$B$124:$G$147,6,0)*SUM(AD167:AD213)</f>
        <v>-40.041900920981874</v>
      </c>
      <c r="AE214" s="155">
        <f>VLOOKUP($A$2,Assumptions!$B$124:$G$147,6,0)*SUM(AE167:AE213)</f>
        <v>-42.118823018710124</v>
      </c>
      <c r="AF214" s="155">
        <f>VLOOKUP($A$2,Assumptions!$B$124:$G$147,6,0)*SUM(AF167:AF213)</f>
        <v>-43.016951493403418</v>
      </c>
      <c r="AG214" s="155">
        <f>VLOOKUP($A$2,Assumptions!$B$124:$G$147,6,0)*SUM(AG167:AG213)</f>
        <v>-43.016951493403418</v>
      </c>
      <c r="AH214" s="155">
        <f>VLOOKUP($A$2,Assumptions!$B$124:$G$147,6,0)*SUM(AH167:AH213)</f>
        <v>-43.948259075454501</v>
      </c>
      <c r="AI214" s="155">
        <f>VLOOKUP($A$2,Assumptions!$B$124:$G$147,6,0)*SUM(AI167:AI213)</f>
        <v>-43.948259075454501</v>
      </c>
      <c r="AJ214" s="155">
        <f>VLOOKUP($A$2,Assumptions!$B$124:$G$147,6,0)*SUM(AJ167:AJ213)</f>
        <v>-43.948259075454501</v>
      </c>
      <c r="AK214" s="155">
        <f>VLOOKUP($A$2,Assumptions!$B$124:$G$147,6,0)*SUM(AK167:AK213)</f>
        <v>-43.948259075454501</v>
      </c>
      <c r="AL214" s="155">
        <f>VLOOKUP($A$2,Assumptions!$B$124:$G$147,6,0)*SUM(AL167:AL213)</f>
        <v>-385.73999999999995</v>
      </c>
      <c r="AM214" s="155">
        <f>VLOOKUP($A$2,Assumptions!$B$124:$G$147,6,0)*SUM(AM167:AM213)</f>
        <v>-707.22</v>
      </c>
      <c r="AN214" s="55">
        <f>SUM(AN167:AN213)</f>
        <v>1784400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90</v>
      </c>
      <c r="AA215" s="156">
        <f>$C$64+AA214</f>
        <v>90</v>
      </c>
      <c r="AB215" s="156">
        <f t="shared" ref="AB215:AE215" si="116">$C$64+AB214</f>
        <v>66.61132957035116</v>
      </c>
      <c r="AC215" s="156">
        <f t="shared" si="116"/>
        <v>55.92288416619364</v>
      </c>
      <c r="AD215" s="156">
        <f t="shared" si="116"/>
        <v>49.958099079018126</v>
      </c>
      <c r="AE215" s="156">
        <f t="shared" si="116"/>
        <v>47.881176981289876</v>
      </c>
      <c r="AF215" s="156">
        <f>$C$64+AF214</f>
        <v>46.983048506596582</v>
      </c>
      <c r="AG215" s="156">
        <f t="shared" ref="AG215:AJ215" si="117">$C$64+AG214</f>
        <v>46.983048506596582</v>
      </c>
      <c r="AH215" s="156">
        <f>$C$64+AH214</f>
        <v>46.051740924545499</v>
      </c>
      <c r="AI215" s="156">
        <f t="shared" si="117"/>
        <v>46.051740924545499</v>
      </c>
      <c r="AJ215" s="156">
        <f t="shared" si="117"/>
        <v>46.051740924545499</v>
      </c>
      <c r="AK215" s="156">
        <f t="shared" ref="AK215" si="118">$C$64+AK214</f>
        <v>46.051740924545499</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IF(Z215&lt;$BB$154,(6+(1-Z215/$BB$154)),IF(Z215&lt;$BB$155,5.5+(0.5*(($BB$155-Z215)/($BB$155-$BB$154))),(5 - 0.5*((Z215)-$BB$156)/$BH$166)))</f>
        <v>4.8364833906071016</v>
      </c>
      <c r="AA216" s="154">
        <f>IF(AA215&lt;$BB$154,(6+(1-AA215/$BB$154)),IF(AA215&lt;$BB$155,5.5+(0.5*(($BB$155-AA215)/($BB$155-$BB$154))),(5 - 0.5*((AA215)-$BB$156)/$BH$166)))</f>
        <v>4.8364833906071016</v>
      </c>
      <c r="AB216" s="154">
        <f t="shared" ref="AB216:AG216" si="119">IF(AB215&lt;$BB$154,(6+(1-AB215/$BB$154)),IF(AB215&lt;$BB$155,5.5+(0.5*(($BB$155-AB215)/($BB$155-$BB$154))),(5 - 0.5*((AB215)-$BB$156)/$BH$166)))</f>
        <v>5.5062620397952138</v>
      </c>
      <c r="AC216" s="154">
        <f t="shared" si="119"/>
        <v>5.6730837782371895</v>
      </c>
      <c r="AD216" s="154">
        <f t="shared" si="119"/>
        <v>5.8146138550476181</v>
      </c>
      <c r="AE216" s="154">
        <f t="shared" si="119"/>
        <v>5.8638942464992319</v>
      </c>
      <c r="AF216" s="154">
        <f t="shared" si="119"/>
        <v>5.8852046860458751</v>
      </c>
      <c r="AG216" s="154">
        <f t="shared" si="119"/>
        <v>5.8852046860458751</v>
      </c>
      <c r="AH216" s="154">
        <f>IF(AH215&lt;$BB$154,(6+(1-AH215/$BB$154)),IF(AH215&lt;$BB$155,5.5+(0.5*(($BB$155-AH215)/($BB$155-$BB$154))),(5 - 0.5*((AH215)-$BB$156)/$BH$166)))</f>
        <v>5.907302386414865</v>
      </c>
      <c r="AI216" s="154">
        <f>IF(AI215&lt;$BB$154,(6+(1-AI215/$BB$154)),IF(AI215&lt;$BB$155,5.5+(0.5*(($BB$155-AI215)/($BB$155-$BB$154))),(5 - 0.5*((AI215)-$BB$156)/$BH$166)))</f>
        <v>5.907302386414865</v>
      </c>
      <c r="AJ216" s="154">
        <f>IF(AJ215&lt;$BB$154,(6+(1-AJ215/$BB$154)),IF(AJ215&lt;$BB$155,5.5+(0.5*(($BB$155-AJ215)/($BB$155-$BB$154))),(5 - 0.5*((AJ215)-$BB$156)/$BH$166)))</f>
        <v>5.907302386414865</v>
      </c>
      <c r="AK216" s="154">
        <f>IF(AK215&lt;$BB$154,(6+(1-AK215/$BB$154)),IF(AK215&lt;$BB$155,5.5+(0.5*(($BB$155-AK215)/($BB$155-$BB$154))),(5 - 0.5*((AK215)-$BB$156)/$BH$166)))</f>
        <v>5.907302386414865</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0">IF($E69&lt;G$66,$D69,0)</f>
        <v>0</v>
      </c>
      <c r="H220" s="12">
        <f t="shared" ref="H220:Q220" si="121">IF($E69&gt;H$66,0,IF($E69&lt;H$66-365,$D69,0))</f>
        <v>0</v>
      </c>
      <c r="I220" s="12">
        <f t="shared" si="121"/>
        <v>0</v>
      </c>
      <c r="J220" s="12">
        <f t="shared" si="121"/>
        <v>0</v>
      </c>
      <c r="K220" s="12">
        <f t="shared" si="121"/>
        <v>0</v>
      </c>
      <c r="L220" s="12">
        <f t="shared" si="121"/>
        <v>0</v>
      </c>
      <c r="M220" s="12">
        <f t="shared" si="121"/>
        <v>0</v>
      </c>
      <c r="N220" s="12">
        <f t="shared" si="121"/>
        <v>0</v>
      </c>
      <c r="O220" s="12">
        <f t="shared" si="121"/>
        <v>0</v>
      </c>
      <c r="P220" s="12">
        <f t="shared" si="121"/>
        <v>0</v>
      </c>
      <c r="Q220" s="12">
        <f t="shared" si="121"/>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0"/>
        <v>0</v>
      </c>
      <c r="H221" s="12">
        <f t="shared" ref="H221:Q221" si="122">IF($E70&gt;H$66,0,IF($E70&lt;H$66-365,$D70,0))</f>
        <v>0</v>
      </c>
      <c r="I221" s="12">
        <f t="shared" si="122"/>
        <v>0</v>
      </c>
      <c r="J221" s="12">
        <f t="shared" si="122"/>
        <v>0</v>
      </c>
      <c r="K221" s="12">
        <f t="shared" si="122"/>
        <v>0</v>
      </c>
      <c r="L221" s="12">
        <f t="shared" si="122"/>
        <v>0</v>
      </c>
      <c r="M221" s="12">
        <f t="shared" si="122"/>
        <v>0</v>
      </c>
      <c r="N221" s="12">
        <f t="shared" si="122"/>
        <v>0</v>
      </c>
      <c r="O221" s="12">
        <f t="shared" si="122"/>
        <v>0</v>
      </c>
      <c r="P221" s="12">
        <f t="shared" si="122"/>
        <v>0</v>
      </c>
      <c r="Q221" s="12">
        <f t="shared" si="122"/>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0"/>
        <v>0</v>
      </c>
      <c r="H222" s="12">
        <f t="shared" ref="H222:Q222" si="123">IF($E71&gt;H$66,0,IF($E71&lt;H$66-365,$D71,0))</f>
        <v>0</v>
      </c>
      <c r="I222" s="12">
        <f t="shared" si="123"/>
        <v>-134.1</v>
      </c>
      <c r="J222" s="12">
        <f t="shared" si="123"/>
        <v>-134.1</v>
      </c>
      <c r="K222" s="12">
        <f t="shared" si="123"/>
        <v>-134.1</v>
      </c>
      <c r="L222" s="12">
        <f t="shared" si="123"/>
        <v>-134.1</v>
      </c>
      <c r="M222" s="12">
        <f t="shared" si="123"/>
        <v>-134.1</v>
      </c>
      <c r="N222" s="12">
        <f t="shared" si="123"/>
        <v>-134.1</v>
      </c>
      <c r="O222" s="12">
        <f t="shared" si="123"/>
        <v>-134.1</v>
      </c>
      <c r="P222" s="12">
        <f t="shared" si="123"/>
        <v>-134.1</v>
      </c>
      <c r="Q222" s="12">
        <f t="shared" si="123"/>
        <v>-134.1</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0"/>
        <v>0</v>
      </c>
      <c r="H223" s="12">
        <f t="shared" ref="H223:Q223" si="124">IF($E72&gt;H$66,0,IF($E72&lt;H$66-365,$D72,0))</f>
        <v>0</v>
      </c>
      <c r="I223" s="12">
        <f t="shared" si="124"/>
        <v>-134.1</v>
      </c>
      <c r="J223" s="12">
        <f t="shared" si="124"/>
        <v>-134.1</v>
      </c>
      <c r="K223" s="12">
        <f t="shared" si="124"/>
        <v>-134.1</v>
      </c>
      <c r="L223" s="12">
        <f t="shared" si="124"/>
        <v>-134.1</v>
      </c>
      <c r="M223" s="12">
        <f t="shared" si="124"/>
        <v>-134.1</v>
      </c>
      <c r="N223" s="12">
        <f t="shared" si="124"/>
        <v>-134.1</v>
      </c>
      <c r="O223" s="12">
        <f t="shared" si="124"/>
        <v>-134.1</v>
      </c>
      <c r="P223" s="12">
        <f t="shared" si="124"/>
        <v>-134.1</v>
      </c>
      <c r="Q223" s="12">
        <f t="shared" si="124"/>
        <v>-134.1</v>
      </c>
      <c r="T223" s="20"/>
      <c r="U223" s="20"/>
      <c r="V223" s="20"/>
    </row>
    <row r="224" spans="6:51">
      <c r="G224" s="12">
        <f t="shared" si="120"/>
        <v>0</v>
      </c>
      <c r="H224" s="12">
        <f t="shared" ref="H224:Q224" si="125">IF($E73&gt;H$66,0,IF($E73&lt;H$66-365,$D73,0))</f>
        <v>0</v>
      </c>
      <c r="I224" s="12">
        <f t="shared" si="125"/>
        <v>0</v>
      </c>
      <c r="J224" s="12">
        <f t="shared" si="125"/>
        <v>-67</v>
      </c>
      <c r="K224" s="12">
        <f t="shared" si="125"/>
        <v>-67</v>
      </c>
      <c r="L224" s="12">
        <f t="shared" si="125"/>
        <v>-67</v>
      </c>
      <c r="M224" s="12">
        <f t="shared" si="125"/>
        <v>-67</v>
      </c>
      <c r="N224" s="12">
        <f t="shared" si="125"/>
        <v>-67</v>
      </c>
      <c r="O224" s="12">
        <f t="shared" si="125"/>
        <v>-67</v>
      </c>
      <c r="P224" s="12">
        <f t="shared" si="125"/>
        <v>-67</v>
      </c>
      <c r="Q224" s="12">
        <f t="shared" si="125"/>
        <v>-67</v>
      </c>
      <c r="T224" s="20"/>
      <c r="U224" s="20"/>
      <c r="V224" s="20"/>
    </row>
    <row r="225" spans="7:28">
      <c r="G225" s="12">
        <f t="shared" si="120"/>
        <v>0</v>
      </c>
      <c r="H225" s="12">
        <f t="shared" ref="H225:Q225" si="126">IF($E74&gt;H$66,0,IF($E74&lt;H$66-365,$D74,0))</f>
        <v>0</v>
      </c>
      <c r="I225" s="12">
        <f t="shared" si="126"/>
        <v>0</v>
      </c>
      <c r="J225" s="12">
        <f t="shared" si="126"/>
        <v>-268.2</v>
      </c>
      <c r="K225" s="12">
        <f t="shared" si="126"/>
        <v>-268.2</v>
      </c>
      <c r="L225" s="12">
        <f t="shared" si="126"/>
        <v>-268.2</v>
      </c>
      <c r="M225" s="12">
        <f t="shared" si="126"/>
        <v>-268.2</v>
      </c>
      <c r="N225" s="12">
        <f t="shared" si="126"/>
        <v>-268.2</v>
      </c>
      <c r="O225" s="12">
        <f t="shared" si="126"/>
        <v>-268.2</v>
      </c>
      <c r="P225" s="12">
        <f t="shared" si="126"/>
        <v>-268.2</v>
      </c>
      <c r="Q225" s="12">
        <f t="shared" si="126"/>
        <v>-268.2</v>
      </c>
      <c r="T225" s="20"/>
      <c r="U225" s="20"/>
      <c r="V225" s="20"/>
      <c r="AA225" s="55">
        <f>SUM(AN167:AN213)</f>
        <v>1784400</v>
      </c>
      <c r="AB225" s="24">
        <f>SUM(AO167:AO213)</f>
        <v>0</v>
      </c>
    </row>
    <row r="226" spans="7:28">
      <c r="G226" s="12">
        <f t="shared" si="120"/>
        <v>0</v>
      </c>
      <c r="H226" s="12">
        <f t="shared" ref="H226:Q226" si="127">IF($E75&gt;H$66,0,IF($E75&lt;H$66-365,$D75,0))</f>
        <v>0</v>
      </c>
      <c r="I226" s="12">
        <f t="shared" si="127"/>
        <v>0</v>
      </c>
      <c r="J226" s="12">
        <f t="shared" si="127"/>
        <v>0</v>
      </c>
      <c r="K226" s="12">
        <f t="shared" si="127"/>
        <v>0</v>
      </c>
      <c r="L226" s="12">
        <f t="shared" si="127"/>
        <v>0</v>
      </c>
      <c r="M226" s="12">
        <f t="shared" si="127"/>
        <v>0</v>
      </c>
      <c r="N226" s="12">
        <f t="shared" si="127"/>
        <v>0</v>
      </c>
      <c r="O226" s="12">
        <f t="shared" si="127"/>
        <v>0</v>
      </c>
      <c r="P226" s="12">
        <f t="shared" si="127"/>
        <v>0</v>
      </c>
      <c r="Q226" s="12">
        <f t="shared" si="127"/>
        <v>0</v>
      </c>
      <c r="T226" s="20"/>
      <c r="U226" s="20"/>
      <c r="V226" s="20"/>
      <c r="AA226" s="24">
        <f>AA225*1.35</f>
        <v>2408940</v>
      </c>
      <c r="AB226" s="24">
        <f>AB225*1.35</f>
        <v>0</v>
      </c>
    </row>
    <row r="227" spans="7:28">
      <c r="G227" s="12">
        <f t="shared" si="120"/>
        <v>0</v>
      </c>
      <c r="H227" s="12">
        <f t="shared" ref="H227:Q227" si="128">IF($E76&gt;H$66,0,IF($E76&lt;H$66-365,$D76,0))</f>
        <v>0</v>
      </c>
      <c r="I227" s="12">
        <f t="shared" si="128"/>
        <v>0</v>
      </c>
      <c r="J227" s="12">
        <f t="shared" si="128"/>
        <v>0</v>
      </c>
      <c r="K227" s="12">
        <f t="shared" si="128"/>
        <v>0</v>
      </c>
      <c r="L227" s="12">
        <f t="shared" si="128"/>
        <v>0</v>
      </c>
      <c r="M227" s="12">
        <f t="shared" si="128"/>
        <v>0</v>
      </c>
      <c r="N227" s="12">
        <f t="shared" si="128"/>
        <v>0</v>
      </c>
      <c r="O227" s="12">
        <f t="shared" si="128"/>
        <v>0</v>
      </c>
      <c r="P227" s="12">
        <f t="shared" si="128"/>
        <v>0</v>
      </c>
      <c r="Q227" s="12">
        <f t="shared" si="128"/>
        <v>0</v>
      </c>
    </row>
    <row r="228" spans="7:28">
      <c r="G228" s="12">
        <f t="shared" si="120"/>
        <v>0</v>
      </c>
      <c r="H228" s="12">
        <f t="shared" ref="H228:Q228" si="129">IF($E77&gt;H$66,0,IF($E77&lt;H$66-365,$D77,0))</f>
        <v>0</v>
      </c>
      <c r="I228" s="12">
        <f t="shared" si="129"/>
        <v>0</v>
      </c>
      <c r="J228" s="12">
        <f t="shared" si="129"/>
        <v>0</v>
      </c>
      <c r="K228" s="12">
        <f t="shared" si="129"/>
        <v>0</v>
      </c>
      <c r="L228" s="12">
        <f t="shared" si="129"/>
        <v>0</v>
      </c>
      <c r="M228" s="12">
        <f t="shared" si="129"/>
        <v>0</v>
      </c>
      <c r="N228" s="12">
        <f t="shared" si="129"/>
        <v>0</v>
      </c>
      <c r="O228" s="12">
        <f t="shared" si="129"/>
        <v>0</v>
      </c>
      <c r="P228" s="12">
        <f t="shared" si="129"/>
        <v>0</v>
      </c>
      <c r="Q228" s="12">
        <f t="shared" si="129"/>
        <v>0</v>
      </c>
    </row>
    <row r="229" spans="7:28">
      <c r="G229" s="12">
        <f t="shared" si="120"/>
        <v>0</v>
      </c>
      <c r="H229" s="12">
        <f t="shared" ref="H229:Q229" si="130">IF($E78&gt;H$66,0,IF($E78&lt;H$66-365,$D78,0))</f>
        <v>0</v>
      </c>
      <c r="I229" s="12">
        <f t="shared" si="130"/>
        <v>0</v>
      </c>
      <c r="J229" s="12">
        <f t="shared" si="130"/>
        <v>0</v>
      </c>
      <c r="K229" s="12">
        <f t="shared" si="130"/>
        <v>0</v>
      </c>
      <c r="L229" s="12">
        <f t="shared" si="130"/>
        <v>0</v>
      </c>
      <c r="M229" s="12">
        <f t="shared" si="130"/>
        <v>0</v>
      </c>
      <c r="N229" s="12">
        <f t="shared" si="130"/>
        <v>0</v>
      </c>
      <c r="O229" s="12">
        <f t="shared" si="130"/>
        <v>0</v>
      </c>
      <c r="P229" s="12">
        <f t="shared" si="130"/>
        <v>0</v>
      </c>
      <c r="Q229" s="12">
        <f t="shared" si="130"/>
        <v>0</v>
      </c>
    </row>
    <row r="230" spans="7:28">
      <c r="G230" s="12">
        <f t="shared" si="120"/>
        <v>0</v>
      </c>
      <c r="H230" s="12">
        <f t="shared" ref="H230:Q230" si="131">IF($E79&gt;H$66,0,IF($E79&lt;H$66-365,$D79,0))</f>
        <v>0</v>
      </c>
      <c r="I230" s="12">
        <f t="shared" si="131"/>
        <v>0</v>
      </c>
      <c r="J230" s="12">
        <f t="shared" si="131"/>
        <v>0</v>
      </c>
      <c r="K230" s="12">
        <f t="shared" si="131"/>
        <v>0</v>
      </c>
      <c r="L230" s="12">
        <f t="shared" si="131"/>
        <v>0</v>
      </c>
      <c r="M230" s="12">
        <f t="shared" si="131"/>
        <v>0</v>
      </c>
      <c r="N230" s="12">
        <f t="shared" si="131"/>
        <v>-33.5</v>
      </c>
      <c r="O230" s="12">
        <f t="shared" si="131"/>
        <v>-33.5</v>
      </c>
      <c r="P230" s="12">
        <f t="shared" si="131"/>
        <v>-33.5</v>
      </c>
      <c r="Q230" s="12">
        <f t="shared" si="131"/>
        <v>-33.5</v>
      </c>
    </row>
    <row r="231" spans="7:28">
      <c r="G231" s="12">
        <f t="shared" si="120"/>
        <v>-148.9</v>
      </c>
      <c r="H231" s="12">
        <f t="shared" ref="H231:Q231" si="132">IF($E80&gt;H$66,0,IF($E80&lt;H$66-365,$D80,0))</f>
        <v>-148.9</v>
      </c>
      <c r="I231" s="12">
        <f t="shared" si="132"/>
        <v>-148.9</v>
      </c>
      <c r="J231" s="12">
        <f t="shared" si="132"/>
        <v>-148.9</v>
      </c>
      <c r="K231" s="12">
        <f t="shared" si="132"/>
        <v>-148.9</v>
      </c>
      <c r="L231" s="12">
        <f t="shared" si="132"/>
        <v>-148.9</v>
      </c>
      <c r="M231" s="12">
        <f t="shared" si="132"/>
        <v>-148.9</v>
      </c>
      <c r="N231" s="12">
        <f t="shared" si="132"/>
        <v>-148.9</v>
      </c>
      <c r="O231" s="12">
        <f t="shared" si="132"/>
        <v>-148.9</v>
      </c>
      <c r="P231" s="12">
        <f t="shared" si="132"/>
        <v>-148.9</v>
      </c>
      <c r="Q231" s="12">
        <f t="shared" si="132"/>
        <v>-148.9</v>
      </c>
    </row>
    <row r="232" spans="7:28">
      <c r="G232" s="12">
        <f t="shared" si="120"/>
        <v>0</v>
      </c>
      <c r="H232" s="12">
        <f t="shared" ref="H232:Q232" si="133">IF($E81&gt;H$66,0,IF($E81&lt;H$66-365,$D81,0))</f>
        <v>0</v>
      </c>
      <c r="I232" s="12">
        <f t="shared" si="133"/>
        <v>0</v>
      </c>
      <c r="J232" s="12">
        <f t="shared" si="133"/>
        <v>0</v>
      </c>
      <c r="K232" s="12">
        <f t="shared" si="133"/>
        <v>0</v>
      </c>
      <c r="L232" s="12">
        <f t="shared" si="133"/>
        <v>0</v>
      </c>
      <c r="M232" s="12">
        <f t="shared" si="133"/>
        <v>0</v>
      </c>
      <c r="N232" s="12">
        <f t="shared" si="133"/>
        <v>0</v>
      </c>
      <c r="O232" s="12">
        <f t="shared" si="133"/>
        <v>0</v>
      </c>
      <c r="P232" s="12">
        <f t="shared" si="133"/>
        <v>0</v>
      </c>
      <c r="Q232" s="12">
        <f t="shared" si="133"/>
        <v>0</v>
      </c>
    </row>
    <row r="233" spans="7:28">
      <c r="G233" s="12">
        <f t="shared" si="120"/>
        <v>0</v>
      </c>
      <c r="H233" s="12">
        <f t="shared" ref="H233:Q233" si="134">IF($E82&gt;H$66,0,IF($E82&lt;H$66-365,$D82,0))</f>
        <v>0</v>
      </c>
      <c r="I233" s="12">
        <f t="shared" si="134"/>
        <v>0</v>
      </c>
      <c r="J233" s="12">
        <f t="shared" si="134"/>
        <v>0</v>
      </c>
      <c r="K233" s="12">
        <f t="shared" si="134"/>
        <v>0</v>
      </c>
      <c r="L233" s="12">
        <f t="shared" si="134"/>
        <v>0</v>
      </c>
      <c r="M233" s="12">
        <f t="shared" si="134"/>
        <v>0</v>
      </c>
      <c r="N233" s="12">
        <f t="shared" si="134"/>
        <v>0</v>
      </c>
      <c r="O233" s="12">
        <f t="shared" si="134"/>
        <v>0</v>
      </c>
      <c r="P233" s="12">
        <f t="shared" si="134"/>
        <v>0</v>
      </c>
      <c r="Q233" s="12">
        <f t="shared" si="134"/>
        <v>0</v>
      </c>
    </row>
    <row r="234" spans="7:28">
      <c r="G234" s="12">
        <f t="shared" si="120"/>
        <v>0</v>
      </c>
      <c r="H234" s="12">
        <f t="shared" ref="H234:Q234" si="135">IF($E83&gt;H$66,0,IF($E83&lt;H$66-365,$D83,0))</f>
        <v>0</v>
      </c>
      <c r="I234" s="12">
        <f t="shared" si="135"/>
        <v>0</v>
      </c>
      <c r="J234" s="12">
        <f t="shared" si="135"/>
        <v>0</v>
      </c>
      <c r="K234" s="12">
        <f t="shared" si="135"/>
        <v>0</v>
      </c>
      <c r="L234" s="12">
        <f t="shared" si="135"/>
        <v>0</v>
      </c>
      <c r="M234" s="12">
        <f t="shared" si="135"/>
        <v>0</v>
      </c>
      <c r="N234" s="12">
        <f t="shared" si="135"/>
        <v>0</v>
      </c>
      <c r="O234" s="12">
        <f t="shared" si="135"/>
        <v>0</v>
      </c>
      <c r="P234" s="12">
        <f t="shared" si="135"/>
        <v>0</v>
      </c>
      <c r="Q234" s="12">
        <f t="shared" si="135"/>
        <v>0</v>
      </c>
    </row>
    <row r="235" spans="7:28">
      <c r="G235" s="12">
        <f t="shared" si="120"/>
        <v>0</v>
      </c>
      <c r="H235" s="12">
        <f t="shared" ref="H235:Q235" si="136">IF($E84&gt;H$66,0,IF($E84&lt;H$66-365,$D84,0))</f>
        <v>0</v>
      </c>
      <c r="I235" s="12">
        <f t="shared" si="136"/>
        <v>0</v>
      </c>
      <c r="J235" s="12">
        <f t="shared" si="136"/>
        <v>0</v>
      </c>
      <c r="K235" s="12">
        <f t="shared" si="136"/>
        <v>0</v>
      </c>
      <c r="L235" s="12">
        <f t="shared" si="136"/>
        <v>0</v>
      </c>
      <c r="M235" s="12">
        <f t="shared" si="136"/>
        <v>0</v>
      </c>
      <c r="N235" s="12">
        <f t="shared" si="136"/>
        <v>0</v>
      </c>
      <c r="O235" s="12">
        <f t="shared" si="136"/>
        <v>0</v>
      </c>
      <c r="P235" s="12">
        <f t="shared" si="136"/>
        <v>0</v>
      </c>
      <c r="Q235" s="12">
        <f t="shared" si="136"/>
        <v>0</v>
      </c>
    </row>
    <row r="236" spans="7:28">
      <c r="G236" s="12">
        <f t="shared" si="120"/>
        <v>0</v>
      </c>
      <c r="H236" s="12">
        <f t="shared" ref="H236:Q236" si="137">IF($E85&gt;H$66,0,IF($E85&lt;H$66-365,$D85,0))</f>
        <v>0</v>
      </c>
      <c r="I236" s="12">
        <f t="shared" si="137"/>
        <v>0</v>
      </c>
      <c r="J236" s="12">
        <f t="shared" si="137"/>
        <v>0</v>
      </c>
      <c r="K236" s="12">
        <f t="shared" si="137"/>
        <v>0</v>
      </c>
      <c r="L236" s="12">
        <f t="shared" si="137"/>
        <v>0</v>
      </c>
      <c r="M236" s="12">
        <f t="shared" si="137"/>
        <v>0</v>
      </c>
      <c r="N236" s="12">
        <f t="shared" si="137"/>
        <v>0</v>
      </c>
      <c r="O236" s="12">
        <f t="shared" si="137"/>
        <v>0</v>
      </c>
      <c r="P236" s="12">
        <f t="shared" si="137"/>
        <v>0</v>
      </c>
      <c r="Q236" s="12">
        <f t="shared" si="137"/>
        <v>0</v>
      </c>
    </row>
    <row r="237" spans="7:28">
      <c r="G237" s="12">
        <f t="shared" si="120"/>
        <v>0</v>
      </c>
      <c r="H237" s="12">
        <f t="shared" ref="H237:Q237" si="138">IF($E86&gt;H$66,0,IF($E86&lt;H$66-365,$D86,0))</f>
        <v>0</v>
      </c>
      <c r="I237" s="12">
        <f t="shared" si="138"/>
        <v>0</v>
      </c>
      <c r="J237" s="12">
        <f t="shared" si="138"/>
        <v>0</v>
      </c>
      <c r="K237" s="12">
        <f t="shared" si="138"/>
        <v>0</v>
      </c>
      <c r="L237" s="12">
        <f t="shared" si="138"/>
        <v>0</v>
      </c>
      <c r="M237" s="12">
        <f t="shared" si="138"/>
        <v>0</v>
      </c>
      <c r="N237" s="12">
        <f t="shared" si="138"/>
        <v>0</v>
      </c>
      <c r="O237" s="12">
        <f t="shared" si="138"/>
        <v>0</v>
      </c>
      <c r="P237" s="12">
        <f t="shared" si="138"/>
        <v>0</v>
      </c>
      <c r="Q237" s="12">
        <f t="shared" si="138"/>
        <v>0</v>
      </c>
    </row>
    <row r="238" spans="7:28">
      <c r="G238" s="12">
        <f t="shared" si="120"/>
        <v>0</v>
      </c>
      <c r="H238" s="12">
        <f t="shared" ref="H238:Q238" si="139">IF($E87&gt;H$66,0,IF($E87&lt;H$66-365,$D87,0))</f>
        <v>0</v>
      </c>
      <c r="I238" s="12">
        <f t="shared" si="139"/>
        <v>0</v>
      </c>
      <c r="J238" s="12">
        <f t="shared" si="139"/>
        <v>0</v>
      </c>
      <c r="K238" s="12">
        <f t="shared" si="139"/>
        <v>0</v>
      </c>
      <c r="L238" s="12">
        <f t="shared" si="139"/>
        <v>0</v>
      </c>
      <c r="M238" s="12">
        <f t="shared" si="139"/>
        <v>0</v>
      </c>
      <c r="N238" s="12">
        <f t="shared" si="139"/>
        <v>0</v>
      </c>
      <c r="O238" s="12">
        <f t="shared" si="139"/>
        <v>0</v>
      </c>
      <c r="P238" s="12">
        <f t="shared" si="139"/>
        <v>0</v>
      </c>
      <c r="Q238" s="12">
        <f t="shared" si="139"/>
        <v>0</v>
      </c>
    </row>
    <row r="239" spans="7:28">
      <c r="G239" s="12">
        <f t="shared" si="120"/>
        <v>0</v>
      </c>
      <c r="H239" s="12">
        <f t="shared" ref="H239:Q239" si="140">IF($E88&gt;H$66,0,IF($E88&lt;H$66-365,$D88,0))</f>
        <v>0</v>
      </c>
      <c r="I239" s="12">
        <f t="shared" si="140"/>
        <v>0</v>
      </c>
      <c r="J239" s="12">
        <f t="shared" si="140"/>
        <v>0</v>
      </c>
      <c r="K239" s="12">
        <f t="shared" si="140"/>
        <v>0</v>
      </c>
      <c r="L239" s="12">
        <f t="shared" si="140"/>
        <v>0</v>
      </c>
      <c r="M239" s="12">
        <f t="shared" si="140"/>
        <v>0</v>
      </c>
      <c r="N239" s="12">
        <f t="shared" si="140"/>
        <v>0</v>
      </c>
      <c r="O239" s="12">
        <f t="shared" si="140"/>
        <v>0</v>
      </c>
      <c r="P239" s="12">
        <f t="shared" si="140"/>
        <v>0</v>
      </c>
      <c r="Q239" s="12">
        <f t="shared" si="140"/>
        <v>0</v>
      </c>
    </row>
    <row r="240" spans="7:28">
      <c r="G240" s="12">
        <f t="shared" si="120"/>
        <v>0</v>
      </c>
      <c r="H240" s="12">
        <f t="shared" ref="H240:Q240" si="141">IF($E89&gt;H$66,0,IF($E89&lt;H$66-365,$D89,0))</f>
        <v>0</v>
      </c>
      <c r="I240" s="12">
        <f t="shared" si="141"/>
        <v>0</v>
      </c>
      <c r="J240" s="12">
        <f t="shared" si="141"/>
        <v>0</v>
      </c>
      <c r="K240" s="12">
        <f t="shared" si="141"/>
        <v>0</v>
      </c>
      <c r="L240" s="12">
        <f t="shared" si="141"/>
        <v>0</v>
      </c>
      <c r="M240" s="12">
        <f t="shared" si="141"/>
        <v>0</v>
      </c>
      <c r="N240" s="12">
        <f t="shared" si="141"/>
        <v>0</v>
      </c>
      <c r="O240" s="12">
        <f t="shared" si="141"/>
        <v>0</v>
      </c>
      <c r="P240" s="12">
        <f t="shared" si="141"/>
        <v>0</v>
      </c>
      <c r="Q240" s="12">
        <f t="shared" si="141"/>
        <v>0</v>
      </c>
    </row>
    <row r="241" spans="7:17">
      <c r="G241" s="12">
        <f t="shared" si="120"/>
        <v>0</v>
      </c>
      <c r="H241" s="12">
        <f t="shared" ref="H241:Q241" si="142">IF($E90&gt;H$66,0,IF($E90&lt;H$66-365,$D90,0))</f>
        <v>0</v>
      </c>
      <c r="I241" s="12">
        <f t="shared" si="142"/>
        <v>0</v>
      </c>
      <c r="J241" s="12">
        <f t="shared" si="142"/>
        <v>0</v>
      </c>
      <c r="K241" s="12">
        <f t="shared" si="142"/>
        <v>0</v>
      </c>
      <c r="L241" s="12">
        <f t="shared" si="142"/>
        <v>0</v>
      </c>
      <c r="M241" s="12">
        <f t="shared" si="142"/>
        <v>0</v>
      </c>
      <c r="N241" s="12">
        <f t="shared" si="142"/>
        <v>0</v>
      </c>
      <c r="O241" s="12">
        <f t="shared" si="142"/>
        <v>0</v>
      </c>
      <c r="P241" s="12">
        <f t="shared" si="142"/>
        <v>0</v>
      </c>
      <c r="Q241" s="12">
        <f t="shared" si="142"/>
        <v>0</v>
      </c>
    </row>
    <row r="242" spans="7:17">
      <c r="G242" s="12">
        <f t="shared" si="120"/>
        <v>0</v>
      </c>
      <c r="H242" s="12">
        <f t="shared" ref="H242:Q242" si="143">IF($E91&gt;H$66,0,IF($E91&lt;H$66-365,$D91,0))</f>
        <v>0</v>
      </c>
      <c r="I242" s="12">
        <f t="shared" si="143"/>
        <v>0</v>
      </c>
      <c r="J242" s="12">
        <f t="shared" si="143"/>
        <v>0</v>
      </c>
      <c r="K242" s="12">
        <f t="shared" si="143"/>
        <v>0</v>
      </c>
      <c r="L242" s="12">
        <f t="shared" si="143"/>
        <v>0</v>
      </c>
      <c r="M242" s="12">
        <f t="shared" si="143"/>
        <v>0</v>
      </c>
      <c r="N242" s="12">
        <f t="shared" si="143"/>
        <v>0</v>
      </c>
      <c r="O242" s="12">
        <f t="shared" si="143"/>
        <v>0</v>
      </c>
      <c r="P242" s="12">
        <f t="shared" si="143"/>
        <v>0</v>
      </c>
      <c r="Q242" s="12">
        <f t="shared" si="143"/>
        <v>0</v>
      </c>
    </row>
    <row r="243" spans="7:17">
      <c r="G243" s="12">
        <f t="shared" si="120"/>
        <v>0</v>
      </c>
      <c r="H243" s="12">
        <f t="shared" ref="H243:Q243" si="144">IF($E92&gt;H$66,0,IF($E92&lt;H$66-365,$D92,0))</f>
        <v>0</v>
      </c>
      <c r="I243" s="12">
        <f t="shared" si="144"/>
        <v>0</v>
      </c>
      <c r="J243" s="12">
        <f t="shared" si="144"/>
        <v>0</v>
      </c>
      <c r="K243" s="12">
        <f t="shared" si="144"/>
        <v>0</v>
      </c>
      <c r="L243" s="12">
        <f t="shared" si="144"/>
        <v>0</v>
      </c>
      <c r="M243" s="12">
        <f t="shared" si="144"/>
        <v>0</v>
      </c>
      <c r="N243" s="12">
        <f t="shared" si="144"/>
        <v>0</v>
      </c>
      <c r="O243" s="12">
        <f t="shared" si="144"/>
        <v>0</v>
      </c>
      <c r="P243" s="12">
        <f t="shared" si="144"/>
        <v>0</v>
      </c>
      <c r="Q243" s="12">
        <f t="shared" si="144"/>
        <v>0</v>
      </c>
    </row>
    <row r="244" spans="7:17">
      <c r="G244" s="12">
        <f t="shared" si="120"/>
        <v>0</v>
      </c>
      <c r="H244" s="12">
        <f t="shared" ref="H244:Q244" si="145">IF($E93&gt;H$66,0,IF($E93&lt;H$66-365,$D93,0))</f>
        <v>0</v>
      </c>
      <c r="I244" s="12">
        <f t="shared" si="145"/>
        <v>0</v>
      </c>
      <c r="J244" s="12">
        <f t="shared" si="145"/>
        <v>0</v>
      </c>
      <c r="K244" s="12">
        <f t="shared" si="145"/>
        <v>0</v>
      </c>
      <c r="L244" s="12">
        <f t="shared" si="145"/>
        <v>0</v>
      </c>
      <c r="M244" s="12">
        <f t="shared" si="145"/>
        <v>0</v>
      </c>
      <c r="N244" s="12">
        <f t="shared" si="145"/>
        <v>0</v>
      </c>
      <c r="O244" s="12">
        <f t="shared" si="145"/>
        <v>0</v>
      </c>
      <c r="P244" s="12">
        <f t="shared" si="145"/>
        <v>0</v>
      </c>
      <c r="Q244" s="12">
        <f t="shared" si="145"/>
        <v>0</v>
      </c>
    </row>
    <row r="245" spans="7:17">
      <c r="G245" s="12">
        <f t="shared" si="120"/>
        <v>0</v>
      </c>
      <c r="H245" s="12">
        <f t="shared" ref="H245:Q245" si="146">IF($E94&gt;H$66,0,IF($E94&lt;H$66-365,$D94,0))</f>
        <v>0</v>
      </c>
      <c r="I245" s="12">
        <f t="shared" si="146"/>
        <v>0</v>
      </c>
      <c r="J245" s="12">
        <f t="shared" si="146"/>
        <v>0</v>
      </c>
      <c r="K245" s="12">
        <f t="shared" si="146"/>
        <v>0</v>
      </c>
      <c r="L245" s="12">
        <f t="shared" si="146"/>
        <v>0</v>
      </c>
      <c r="M245" s="12">
        <f t="shared" si="146"/>
        <v>0</v>
      </c>
      <c r="N245" s="12">
        <f t="shared" si="146"/>
        <v>0</v>
      </c>
      <c r="O245" s="12">
        <f t="shared" si="146"/>
        <v>0</v>
      </c>
      <c r="P245" s="12">
        <f t="shared" si="146"/>
        <v>0</v>
      </c>
      <c r="Q245" s="12">
        <f t="shared" si="146"/>
        <v>0</v>
      </c>
    </row>
    <row r="246" spans="7:17">
      <c r="G246" s="12">
        <f t="shared" si="120"/>
        <v>0</v>
      </c>
      <c r="H246" s="12">
        <f t="shared" ref="H246:Q246" si="147">IF($E95&gt;H$66,0,IF($E95&lt;H$66-365,$D95,0))</f>
        <v>0</v>
      </c>
      <c r="I246" s="12">
        <f t="shared" si="147"/>
        <v>0</v>
      </c>
      <c r="J246" s="12">
        <f t="shared" si="147"/>
        <v>0</v>
      </c>
      <c r="K246" s="12">
        <f t="shared" si="147"/>
        <v>0</v>
      </c>
      <c r="L246" s="12">
        <f t="shared" si="147"/>
        <v>0</v>
      </c>
      <c r="M246" s="12">
        <f t="shared" si="147"/>
        <v>0</v>
      </c>
      <c r="N246" s="12">
        <f t="shared" si="147"/>
        <v>0</v>
      </c>
      <c r="O246" s="12">
        <f t="shared" si="147"/>
        <v>0</v>
      </c>
      <c r="P246" s="12">
        <f t="shared" si="147"/>
        <v>0</v>
      </c>
      <c r="Q246" s="12">
        <f t="shared" si="147"/>
        <v>0</v>
      </c>
    </row>
    <row r="247" spans="7:17">
      <c r="G247" s="12">
        <f t="shared" si="120"/>
        <v>0</v>
      </c>
      <c r="H247" s="12">
        <f t="shared" ref="H247:Q247" si="148">IF($E96&gt;H$66,0,IF($E96&lt;H$66-365,$D96,0))</f>
        <v>0</v>
      </c>
      <c r="I247" s="12">
        <f t="shared" si="148"/>
        <v>0</v>
      </c>
      <c r="J247" s="12">
        <f t="shared" si="148"/>
        <v>0</v>
      </c>
      <c r="K247" s="12">
        <f t="shared" si="148"/>
        <v>0</v>
      </c>
      <c r="L247" s="12">
        <f t="shared" si="148"/>
        <v>0</v>
      </c>
      <c r="M247" s="12">
        <f t="shared" si="148"/>
        <v>0</v>
      </c>
      <c r="N247" s="12">
        <f t="shared" si="148"/>
        <v>0</v>
      </c>
      <c r="O247" s="12">
        <f t="shared" si="148"/>
        <v>0</v>
      </c>
      <c r="P247" s="12">
        <f t="shared" si="148"/>
        <v>0</v>
      </c>
      <c r="Q247" s="12">
        <f t="shared" si="148"/>
        <v>0</v>
      </c>
    </row>
    <row r="248" spans="7:17">
      <c r="G248" s="12">
        <f t="shared" si="120"/>
        <v>0</v>
      </c>
      <c r="H248" s="12">
        <f t="shared" ref="H248:Q248" si="149">IF($E97&gt;H$66,0,IF($E97&lt;H$66-365,$D97,0))</f>
        <v>0</v>
      </c>
      <c r="I248" s="12">
        <f t="shared" si="149"/>
        <v>0</v>
      </c>
      <c r="J248" s="12">
        <f t="shared" si="149"/>
        <v>0</v>
      </c>
      <c r="K248" s="12">
        <f t="shared" si="149"/>
        <v>0</v>
      </c>
      <c r="L248" s="12">
        <f t="shared" si="149"/>
        <v>0</v>
      </c>
      <c r="M248" s="12">
        <f t="shared" si="149"/>
        <v>0</v>
      </c>
      <c r="N248" s="12">
        <f t="shared" si="149"/>
        <v>0</v>
      </c>
      <c r="O248" s="12">
        <f t="shared" si="149"/>
        <v>0</v>
      </c>
      <c r="P248" s="12">
        <f t="shared" si="149"/>
        <v>0</v>
      </c>
      <c r="Q248" s="12">
        <f t="shared" si="149"/>
        <v>0</v>
      </c>
    </row>
    <row r="249" spans="7:17">
      <c r="G249" s="12">
        <f t="shared" si="120"/>
        <v>0</v>
      </c>
      <c r="H249" s="12">
        <f t="shared" ref="H249:Q249" si="150">IF($E98&gt;H$66,0,IF($E98&lt;H$66-365,$D98,0))</f>
        <v>0</v>
      </c>
      <c r="I249" s="12">
        <f t="shared" si="150"/>
        <v>0</v>
      </c>
      <c r="J249" s="12">
        <f t="shared" si="150"/>
        <v>0</v>
      </c>
      <c r="K249" s="12">
        <f t="shared" si="150"/>
        <v>0</v>
      </c>
      <c r="L249" s="12">
        <f t="shared" si="150"/>
        <v>0</v>
      </c>
      <c r="M249" s="12">
        <f t="shared" si="150"/>
        <v>0</v>
      </c>
      <c r="N249" s="12">
        <f t="shared" si="150"/>
        <v>0</v>
      </c>
      <c r="O249" s="12">
        <f t="shared" si="150"/>
        <v>0</v>
      </c>
      <c r="P249" s="12">
        <f t="shared" si="150"/>
        <v>0</v>
      </c>
      <c r="Q249" s="12">
        <f t="shared" si="150"/>
        <v>0</v>
      </c>
    </row>
    <row r="250" spans="7:17">
      <c r="G250" s="12">
        <f t="shared" si="120"/>
        <v>0</v>
      </c>
      <c r="H250" s="12">
        <f t="shared" ref="H250:Q250" si="151">IF($E99&gt;H$66,0,IF($E99&lt;H$66-365,$D99,0))</f>
        <v>0</v>
      </c>
      <c r="I250" s="12">
        <f t="shared" si="151"/>
        <v>0</v>
      </c>
      <c r="J250" s="12">
        <f t="shared" si="151"/>
        <v>0</v>
      </c>
      <c r="K250" s="12">
        <f t="shared" si="151"/>
        <v>0</v>
      </c>
      <c r="L250" s="12">
        <f t="shared" si="151"/>
        <v>0</v>
      </c>
      <c r="M250" s="12">
        <f t="shared" si="151"/>
        <v>0</v>
      </c>
      <c r="N250" s="12">
        <f t="shared" si="151"/>
        <v>0</v>
      </c>
      <c r="O250" s="12">
        <f t="shared" si="151"/>
        <v>0</v>
      </c>
      <c r="P250" s="12">
        <f t="shared" si="151"/>
        <v>0</v>
      </c>
      <c r="Q250" s="12">
        <f t="shared" si="151"/>
        <v>0</v>
      </c>
    </row>
    <row r="251" spans="7:17">
      <c r="G251" s="12">
        <f t="shared" si="120"/>
        <v>0</v>
      </c>
      <c r="H251" s="12">
        <f t="shared" ref="H251:Q251" si="152">IF($E100&gt;H$66,0,IF($E100&lt;H$66-365,$D100,0))</f>
        <v>0</v>
      </c>
      <c r="I251" s="12">
        <f t="shared" si="152"/>
        <v>0</v>
      </c>
      <c r="J251" s="12">
        <f t="shared" si="152"/>
        <v>0</v>
      </c>
      <c r="K251" s="12">
        <f t="shared" si="152"/>
        <v>0</v>
      </c>
      <c r="L251" s="12">
        <f t="shared" si="152"/>
        <v>0</v>
      </c>
      <c r="M251" s="12">
        <f t="shared" si="152"/>
        <v>0</v>
      </c>
      <c r="N251" s="12">
        <f t="shared" si="152"/>
        <v>0</v>
      </c>
      <c r="O251" s="12">
        <f t="shared" si="152"/>
        <v>0</v>
      </c>
      <c r="P251" s="12">
        <f t="shared" si="152"/>
        <v>0</v>
      </c>
      <c r="Q251" s="12">
        <f t="shared" si="152"/>
        <v>0</v>
      </c>
    </row>
    <row r="252" spans="7:17">
      <c r="G252" s="12">
        <f t="shared" si="120"/>
        <v>0</v>
      </c>
      <c r="H252" s="12">
        <f t="shared" ref="H252:Q252" si="153">IF($E101&gt;H$66,0,IF($E101&lt;H$66-365,$D101,0))</f>
        <v>0</v>
      </c>
      <c r="I252" s="12">
        <f t="shared" si="153"/>
        <v>0</v>
      </c>
      <c r="J252" s="12">
        <f t="shared" si="153"/>
        <v>0</v>
      </c>
      <c r="K252" s="12">
        <f t="shared" si="153"/>
        <v>0</v>
      </c>
      <c r="L252" s="12">
        <f t="shared" si="153"/>
        <v>0</v>
      </c>
      <c r="M252" s="12">
        <f t="shared" si="153"/>
        <v>0</v>
      </c>
      <c r="N252" s="12">
        <f t="shared" si="153"/>
        <v>0</v>
      </c>
      <c r="O252" s="12">
        <f t="shared" si="153"/>
        <v>0</v>
      </c>
      <c r="P252" s="12">
        <f t="shared" si="153"/>
        <v>0</v>
      </c>
      <c r="Q252" s="12">
        <f t="shared" si="153"/>
        <v>0</v>
      </c>
    </row>
    <row r="253" spans="7:17">
      <c r="G253" s="12">
        <f t="shared" si="120"/>
        <v>0</v>
      </c>
      <c r="H253" s="12">
        <f t="shared" ref="H253:Q253" si="154">IF($E102&gt;H$66,0,IF($E102&lt;H$66-365,$D102,0))</f>
        <v>0</v>
      </c>
      <c r="I253" s="12">
        <f t="shared" si="154"/>
        <v>0</v>
      </c>
      <c r="J253" s="12">
        <f t="shared" si="154"/>
        <v>0</v>
      </c>
      <c r="K253" s="12">
        <f t="shared" si="154"/>
        <v>0</v>
      </c>
      <c r="L253" s="12">
        <f t="shared" si="154"/>
        <v>0</v>
      </c>
      <c r="M253" s="12">
        <f t="shared" si="154"/>
        <v>0</v>
      </c>
      <c r="N253" s="12">
        <f t="shared" si="154"/>
        <v>0</v>
      </c>
      <c r="O253" s="12">
        <f t="shared" si="154"/>
        <v>0</v>
      </c>
      <c r="P253" s="12">
        <f t="shared" si="154"/>
        <v>0</v>
      </c>
      <c r="Q253" s="12">
        <f t="shared" si="154"/>
        <v>0</v>
      </c>
    </row>
    <row r="254" spans="7:17">
      <c r="G254" s="12">
        <f t="shared" si="120"/>
        <v>0</v>
      </c>
      <c r="H254" s="12">
        <f t="shared" ref="H254:Q254" si="155">IF($E103&gt;H$66,0,IF($E103&lt;H$66-365,$D103,0))</f>
        <v>0</v>
      </c>
      <c r="I254" s="12">
        <f t="shared" si="155"/>
        <v>0</v>
      </c>
      <c r="J254" s="12">
        <f t="shared" si="155"/>
        <v>0</v>
      </c>
      <c r="K254" s="12">
        <f t="shared" si="155"/>
        <v>0</v>
      </c>
      <c r="L254" s="12">
        <f t="shared" si="155"/>
        <v>0</v>
      </c>
      <c r="M254" s="12">
        <f t="shared" si="155"/>
        <v>0</v>
      </c>
      <c r="N254" s="12">
        <f t="shared" si="155"/>
        <v>0</v>
      </c>
      <c r="O254" s="12">
        <f t="shared" si="155"/>
        <v>0</v>
      </c>
      <c r="P254" s="12">
        <f t="shared" si="155"/>
        <v>0</v>
      </c>
      <c r="Q254" s="12">
        <f t="shared" si="155"/>
        <v>0</v>
      </c>
    </row>
    <row r="255" spans="7:17">
      <c r="G255" s="12">
        <f t="shared" si="120"/>
        <v>0</v>
      </c>
      <c r="H255" s="12">
        <f t="shared" ref="H255:Q255" si="156">IF($E104&gt;H$66,0,IF($E104&lt;H$66-365,$D104,0))</f>
        <v>0</v>
      </c>
      <c r="I255" s="12">
        <f t="shared" si="156"/>
        <v>0</v>
      </c>
      <c r="J255" s="12">
        <f t="shared" si="156"/>
        <v>0</v>
      </c>
      <c r="K255" s="12">
        <f t="shared" si="156"/>
        <v>0</v>
      </c>
      <c r="L255" s="12">
        <f t="shared" si="156"/>
        <v>0</v>
      </c>
      <c r="M255" s="12">
        <f t="shared" si="156"/>
        <v>0</v>
      </c>
      <c r="N255" s="12">
        <f t="shared" si="156"/>
        <v>0</v>
      </c>
      <c r="O255" s="12">
        <f t="shared" si="156"/>
        <v>0</v>
      </c>
      <c r="P255" s="12">
        <f t="shared" si="156"/>
        <v>0</v>
      </c>
      <c r="Q255" s="12">
        <f t="shared" si="156"/>
        <v>0</v>
      </c>
    </row>
    <row r="256" spans="7:17">
      <c r="G256" s="12">
        <f t="shared" si="120"/>
        <v>0</v>
      </c>
      <c r="H256" s="12">
        <f t="shared" ref="H256:Q256" si="157">IF($E105&gt;H$66,0,IF($E105&lt;H$66-365,$D105,0))</f>
        <v>0</v>
      </c>
      <c r="I256" s="12">
        <f t="shared" si="157"/>
        <v>0</v>
      </c>
      <c r="J256" s="12">
        <f t="shared" si="157"/>
        <v>0</v>
      </c>
      <c r="K256" s="12">
        <f t="shared" si="157"/>
        <v>0</v>
      </c>
      <c r="L256" s="12">
        <f t="shared" si="157"/>
        <v>0</v>
      </c>
      <c r="M256" s="12">
        <f t="shared" si="157"/>
        <v>0</v>
      </c>
      <c r="N256" s="12">
        <f t="shared" si="157"/>
        <v>0</v>
      </c>
      <c r="O256" s="12">
        <f t="shared" si="157"/>
        <v>0</v>
      </c>
      <c r="P256" s="12">
        <f t="shared" si="157"/>
        <v>0</v>
      </c>
      <c r="Q256" s="12">
        <f t="shared" si="157"/>
        <v>0</v>
      </c>
    </row>
    <row r="257" spans="5:18">
      <c r="G257" s="12">
        <f t="shared" si="120"/>
        <v>0</v>
      </c>
      <c r="H257" s="12">
        <f t="shared" ref="H257:Q257" si="158">IF($E106&gt;H$66,0,IF($E106&lt;H$66-365,$D106,0))</f>
        <v>0</v>
      </c>
      <c r="I257" s="12">
        <f t="shared" si="158"/>
        <v>0</v>
      </c>
      <c r="J257" s="12">
        <f t="shared" si="158"/>
        <v>0</v>
      </c>
      <c r="K257" s="12">
        <f t="shared" si="158"/>
        <v>0</v>
      </c>
      <c r="L257" s="12">
        <f t="shared" si="158"/>
        <v>0</v>
      </c>
      <c r="M257" s="12">
        <f t="shared" si="158"/>
        <v>0</v>
      </c>
      <c r="N257" s="12">
        <f t="shared" si="158"/>
        <v>0</v>
      </c>
      <c r="O257" s="12">
        <f t="shared" si="158"/>
        <v>0</v>
      </c>
      <c r="P257" s="12">
        <f t="shared" si="158"/>
        <v>0</v>
      </c>
      <c r="Q257" s="12">
        <f t="shared" si="158"/>
        <v>0</v>
      </c>
    </row>
    <row r="258" spans="5:18">
      <c r="G258" s="12">
        <f t="shared" si="120"/>
        <v>0</v>
      </c>
      <c r="H258" s="12">
        <f t="shared" ref="H258:Q258" si="159">IF($E107&gt;H$66,0,IF($E107&lt;H$66-365,$D107,0))</f>
        <v>0</v>
      </c>
      <c r="I258" s="12">
        <f t="shared" si="159"/>
        <v>0</v>
      </c>
      <c r="J258" s="12">
        <f t="shared" si="159"/>
        <v>0</v>
      </c>
      <c r="K258" s="12">
        <f t="shared" si="159"/>
        <v>0</v>
      </c>
      <c r="L258" s="12">
        <f t="shared" si="159"/>
        <v>0</v>
      </c>
      <c r="M258" s="12">
        <f t="shared" si="159"/>
        <v>0</v>
      </c>
      <c r="N258" s="12">
        <f t="shared" si="159"/>
        <v>0</v>
      </c>
      <c r="O258" s="12">
        <f t="shared" si="159"/>
        <v>0</v>
      </c>
      <c r="P258" s="12">
        <f t="shared" si="159"/>
        <v>0</v>
      </c>
      <c r="Q258" s="12">
        <f t="shared" si="159"/>
        <v>0</v>
      </c>
    </row>
    <row r="259" spans="5:18">
      <c r="G259" s="12">
        <f t="shared" si="120"/>
        <v>0</v>
      </c>
      <c r="H259" s="12">
        <f t="shared" ref="H259:Q259" si="160">IF($E108&gt;H$66,0,IF($E108&lt;H$66-365,$D108,0))</f>
        <v>0</v>
      </c>
      <c r="I259" s="12">
        <f t="shared" si="160"/>
        <v>0</v>
      </c>
      <c r="J259" s="12">
        <f t="shared" si="160"/>
        <v>0</v>
      </c>
      <c r="K259" s="12">
        <f t="shared" si="160"/>
        <v>0</v>
      </c>
      <c r="L259" s="12">
        <f t="shared" si="160"/>
        <v>0</v>
      </c>
      <c r="M259" s="12">
        <f t="shared" si="160"/>
        <v>0</v>
      </c>
      <c r="N259" s="12">
        <f t="shared" si="160"/>
        <v>0</v>
      </c>
      <c r="O259" s="12">
        <f t="shared" si="160"/>
        <v>0</v>
      </c>
      <c r="P259" s="12">
        <f t="shared" si="160"/>
        <v>0</v>
      </c>
      <c r="Q259" s="12">
        <f t="shared" si="160"/>
        <v>0</v>
      </c>
    </row>
    <row r="260" spans="5:18">
      <c r="G260" s="12">
        <f t="shared" si="120"/>
        <v>0</v>
      </c>
      <c r="H260" s="12">
        <f t="shared" ref="H260:Q260" si="161">IF($E109&gt;H$66,0,IF($E109&lt;H$66-365,$D109,0))</f>
        <v>0</v>
      </c>
      <c r="I260" s="12">
        <f t="shared" si="161"/>
        <v>0</v>
      </c>
      <c r="J260" s="12">
        <f t="shared" si="161"/>
        <v>0</v>
      </c>
      <c r="K260" s="12">
        <f t="shared" si="161"/>
        <v>0</v>
      </c>
      <c r="L260" s="12">
        <f t="shared" si="161"/>
        <v>0</v>
      </c>
      <c r="M260" s="12">
        <f t="shared" si="161"/>
        <v>0</v>
      </c>
      <c r="N260" s="12">
        <f t="shared" si="161"/>
        <v>0</v>
      </c>
      <c r="O260" s="12">
        <f t="shared" si="161"/>
        <v>0</v>
      </c>
      <c r="P260" s="12">
        <f t="shared" si="161"/>
        <v>0</v>
      </c>
      <c r="Q260" s="12">
        <f t="shared" si="161"/>
        <v>0</v>
      </c>
    </row>
    <row r="261" spans="5:18">
      <c r="G261" s="12">
        <f t="shared" si="120"/>
        <v>0</v>
      </c>
      <c r="H261" s="12">
        <f t="shared" ref="H261:Q261" si="162">IF($E110&gt;H$66,0,IF($E110&lt;H$66-365,$D110,0))</f>
        <v>0</v>
      </c>
      <c r="I261" s="12">
        <f t="shared" si="162"/>
        <v>0</v>
      </c>
      <c r="J261" s="12">
        <f t="shared" si="162"/>
        <v>0</v>
      </c>
      <c r="K261" s="12">
        <f t="shared" si="162"/>
        <v>0</v>
      </c>
      <c r="L261" s="12">
        <f t="shared" si="162"/>
        <v>0</v>
      </c>
      <c r="M261" s="12">
        <f t="shared" si="162"/>
        <v>0</v>
      </c>
      <c r="N261" s="12">
        <f t="shared" si="162"/>
        <v>0</v>
      </c>
      <c r="O261" s="12">
        <f t="shared" si="162"/>
        <v>0</v>
      </c>
      <c r="P261" s="12">
        <f t="shared" si="162"/>
        <v>0</v>
      </c>
      <c r="Q261" s="12">
        <f t="shared" si="162"/>
        <v>0</v>
      </c>
    </row>
    <row r="262" spans="5:18">
      <c r="G262" s="12">
        <f t="shared" si="120"/>
        <v>0</v>
      </c>
      <c r="H262" s="12">
        <f t="shared" ref="H262:Q262" si="163">IF($E111&gt;H$66,0,IF($E111&lt;H$66-365,$D111,0))</f>
        <v>0</v>
      </c>
      <c r="I262" s="12">
        <f t="shared" si="163"/>
        <v>0</v>
      </c>
      <c r="J262" s="12">
        <f t="shared" si="163"/>
        <v>0</v>
      </c>
      <c r="K262" s="12">
        <f t="shared" si="163"/>
        <v>0</v>
      </c>
      <c r="L262" s="12">
        <f t="shared" si="163"/>
        <v>0</v>
      </c>
      <c r="M262" s="12">
        <f t="shared" si="163"/>
        <v>0</v>
      </c>
      <c r="N262" s="12">
        <f t="shared" si="163"/>
        <v>0</v>
      </c>
      <c r="O262" s="12">
        <f t="shared" si="163"/>
        <v>0</v>
      </c>
      <c r="P262" s="12">
        <f t="shared" si="163"/>
        <v>0</v>
      </c>
      <c r="Q262" s="12">
        <f t="shared" si="163"/>
        <v>0</v>
      </c>
    </row>
    <row r="263" spans="5:18">
      <c r="G263" s="12">
        <f t="shared" si="120"/>
        <v>0</v>
      </c>
      <c r="H263" s="12">
        <f t="shared" ref="H263:Q263" si="164">IF($E112&gt;H$66,0,IF($E112&lt;H$66-365,$D112,0))</f>
        <v>0</v>
      </c>
      <c r="I263" s="12">
        <f t="shared" si="164"/>
        <v>0</v>
      </c>
      <c r="J263" s="12">
        <f t="shared" si="164"/>
        <v>0</v>
      </c>
      <c r="K263" s="12">
        <f t="shared" si="164"/>
        <v>0</v>
      </c>
      <c r="L263" s="12">
        <f t="shared" si="164"/>
        <v>0</v>
      </c>
      <c r="M263" s="12">
        <f t="shared" si="164"/>
        <v>0</v>
      </c>
      <c r="N263" s="12">
        <f t="shared" si="164"/>
        <v>0</v>
      </c>
      <c r="O263" s="12">
        <f t="shared" si="164"/>
        <v>0</v>
      </c>
      <c r="P263" s="12">
        <f t="shared" si="164"/>
        <v>0</v>
      </c>
      <c r="Q263" s="12">
        <f t="shared" si="164"/>
        <v>0</v>
      </c>
    </row>
    <row r="264" spans="5:18">
      <c r="G264" s="12">
        <f t="shared" si="120"/>
        <v>0</v>
      </c>
      <c r="H264" s="12">
        <f t="shared" ref="H264:Q264" si="165">IF($E113&gt;H$66,0,IF($E113&lt;H$66-365,$D113,0))</f>
        <v>0</v>
      </c>
      <c r="I264" s="12">
        <f t="shared" si="165"/>
        <v>0</v>
      </c>
      <c r="J264" s="12">
        <f t="shared" si="165"/>
        <v>0</v>
      </c>
      <c r="K264" s="12">
        <f t="shared" si="165"/>
        <v>0</v>
      </c>
      <c r="L264" s="12">
        <f t="shared" si="165"/>
        <v>0</v>
      </c>
      <c r="M264" s="12">
        <f t="shared" si="165"/>
        <v>0</v>
      </c>
      <c r="N264" s="12">
        <f t="shared" si="165"/>
        <v>0</v>
      </c>
      <c r="O264" s="12">
        <f t="shared" si="165"/>
        <v>0</v>
      </c>
      <c r="P264" s="12">
        <f t="shared" si="165"/>
        <v>0</v>
      </c>
      <c r="Q264" s="12">
        <f t="shared" si="165"/>
        <v>0</v>
      </c>
    </row>
    <row r="265" spans="5:18">
      <c r="G265" s="12">
        <f t="shared" si="120"/>
        <v>0</v>
      </c>
      <c r="H265" s="12">
        <f t="shared" ref="H265:Q265" si="166">IF($E114&gt;H$66,0,IF($E114&lt;H$66-365,$D114,0))</f>
        <v>0</v>
      </c>
      <c r="I265" s="12">
        <f t="shared" si="166"/>
        <v>0</v>
      </c>
      <c r="J265" s="12">
        <f t="shared" si="166"/>
        <v>0</v>
      </c>
      <c r="K265" s="12">
        <f t="shared" si="166"/>
        <v>0</v>
      </c>
      <c r="L265" s="12">
        <f t="shared" si="166"/>
        <v>0</v>
      </c>
      <c r="M265" s="12">
        <f t="shared" si="166"/>
        <v>0</v>
      </c>
      <c r="N265" s="12">
        <f t="shared" si="166"/>
        <v>0</v>
      </c>
      <c r="O265" s="12">
        <f t="shared" si="166"/>
        <v>0</v>
      </c>
      <c r="P265" s="12">
        <f t="shared" si="166"/>
        <v>0</v>
      </c>
      <c r="Q265" s="12">
        <f t="shared" si="166"/>
        <v>0</v>
      </c>
    </row>
    <row r="267" spans="5:18">
      <c r="F267" s="187" t="s">
        <v>493</v>
      </c>
      <c r="G267" s="187">
        <f>SUM(G220:G265)</f>
        <v>-148.9</v>
      </c>
      <c r="H267" s="187">
        <f t="shared" ref="H267:Q267" si="167">SUM(H220:H265)</f>
        <v>-148.9</v>
      </c>
      <c r="I267" s="187">
        <f t="shared" si="167"/>
        <v>-417.1</v>
      </c>
      <c r="J267" s="187">
        <f t="shared" si="167"/>
        <v>-752.3</v>
      </c>
      <c r="K267" s="187">
        <f t="shared" si="167"/>
        <v>-752.3</v>
      </c>
      <c r="L267" s="187">
        <f t="shared" si="167"/>
        <v>-752.3</v>
      </c>
      <c r="M267" s="187">
        <f t="shared" si="167"/>
        <v>-752.3</v>
      </c>
      <c r="N267" s="187">
        <f t="shared" si="167"/>
        <v>-785.8</v>
      </c>
      <c r="O267" s="187">
        <f t="shared" si="167"/>
        <v>-785.8</v>
      </c>
      <c r="P267" s="187">
        <f t="shared" si="167"/>
        <v>-785.8</v>
      </c>
      <c r="Q267" s="187">
        <f t="shared" si="167"/>
        <v>-785.8</v>
      </c>
    </row>
    <row r="271" spans="5:18">
      <c r="F271" s="207" t="s">
        <v>486</v>
      </c>
      <c r="G271" s="206">
        <f>G66</f>
        <v>45473</v>
      </c>
      <c r="H271" s="206">
        <f t="shared" ref="H271:Q271" si="168">H66</f>
        <v>45838</v>
      </c>
      <c r="I271" s="206">
        <f t="shared" si="168"/>
        <v>46203</v>
      </c>
      <c r="J271" s="206">
        <f t="shared" si="168"/>
        <v>46568</v>
      </c>
      <c r="K271" s="206">
        <f t="shared" si="168"/>
        <v>46934</v>
      </c>
      <c r="L271" s="206">
        <f t="shared" si="168"/>
        <v>47299</v>
      </c>
      <c r="M271" s="206">
        <f t="shared" si="168"/>
        <v>47664</v>
      </c>
      <c r="N271" s="206">
        <f t="shared" si="168"/>
        <v>48029</v>
      </c>
      <c r="O271" s="206">
        <f t="shared" si="168"/>
        <v>48395</v>
      </c>
      <c r="P271" s="206">
        <f t="shared" si="168"/>
        <v>48760</v>
      </c>
      <c r="Q271" s="206">
        <f t="shared" si="168"/>
        <v>49125</v>
      </c>
      <c r="R271" s="206">
        <f t="shared" ref="R271" si="169">Q271+365</f>
        <v>49490</v>
      </c>
    </row>
    <row r="272" spans="5:18">
      <c r="E272" s="12" t="s">
        <v>399</v>
      </c>
      <c r="F272" s="348">
        <f t="shared" ref="F272:P272" si="170">Z216</f>
        <v>4.8364833906071016</v>
      </c>
      <c r="G272" s="348">
        <f t="shared" si="170"/>
        <v>4.8364833906071016</v>
      </c>
      <c r="H272" s="348">
        <f t="shared" si="170"/>
        <v>5.5062620397952138</v>
      </c>
      <c r="I272" s="348">
        <f t="shared" si="170"/>
        <v>5.6730837782371895</v>
      </c>
      <c r="J272" s="348">
        <f t="shared" si="170"/>
        <v>5.8146138550476181</v>
      </c>
      <c r="K272" s="348">
        <f t="shared" si="170"/>
        <v>5.8638942464992319</v>
      </c>
      <c r="L272" s="348">
        <f t="shared" si="170"/>
        <v>5.8852046860458751</v>
      </c>
      <c r="M272" s="348">
        <f t="shared" si="170"/>
        <v>5.8852046860458751</v>
      </c>
      <c r="N272" s="348">
        <f t="shared" si="170"/>
        <v>5.907302386414865</v>
      </c>
      <c r="O272" s="348">
        <f t="shared" si="170"/>
        <v>5.907302386414865</v>
      </c>
      <c r="P272" s="348">
        <f t="shared" si="170"/>
        <v>5.907302386414865</v>
      </c>
      <c r="Q272" s="348">
        <f>AK216</f>
        <v>5.907302386414865</v>
      </c>
    </row>
  </sheetData>
  <sheetProtection formatCells="0" formatColumns="0" formatRows="0" selectLockedCells="1"/>
  <customSheetViews>
    <customSheetView guid="{0FAFE012-8D9E-4ED0-86A4-A997E430971B}" scale="70" showGridLines="0" fitToPage="1" hiddenRows="1">
      <selection activeCell="A13" sqref="A13:P15"/>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11" priority="1" operator="lessThan">
      <formula>0</formula>
    </cfRule>
  </conditionalFormatting>
  <conditionalFormatting sqref="F46:Q47">
    <cfRule type="cellIs" dxfId="10" priority="3" operator="lessThan">
      <formula>0</formula>
    </cfRule>
  </conditionalFormatting>
  <conditionalFormatting sqref="F50:Q50">
    <cfRule type="cellIs" dxfId="9" priority="2" operator="lessThan">
      <formula>0</formula>
    </cfRule>
  </conditionalFormatting>
  <dataValidations disablePrompts="1" count="3">
    <dataValidation type="list" allowBlank="1" showInputMessage="1" showErrorMessage="1" sqref="O114:Q114" xr:uid="{17F021BE-2EB8-45FA-8DD6-AA2822E670F2}">
      <formula1>$BS$156:$BS$159</formula1>
    </dataValidation>
    <dataValidation type="list" allowBlank="1" showInputMessage="1" showErrorMessage="1" sqref="E114" xr:uid="{47B39381-EE06-4989-A195-E153EF223298}">
      <formula1>$BQ$155:$BQ$169</formula1>
    </dataValidation>
    <dataValidation type="list" allowBlank="1" showInputMessage="1" showErrorMessage="1" sqref="F141:G141" xr:uid="{16477FF2-6D93-4F1F-9A93-DF3B28935017}">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legacyDrawing r:id="rId4"/>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5F769-9ABD-4488-92B0-32F4A246336B}">
  <sheetPr codeName="Sheet57">
    <tabColor theme="5" tint="0.39997558519241921"/>
  </sheetPr>
  <dimension ref="A2:AQ101"/>
  <sheetViews>
    <sheetView zoomScale="85" zoomScaleNormal="85" workbookViewId="0">
      <selection activeCell="S208" sqref="S208"/>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-1365500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19286.999999999996</v>
      </c>
      <c r="E15" s="81">
        <f>(0.25*$F$28*$J29)*(1-$B$6+$B$6/2)</f>
        <v>19286.999999999996</v>
      </c>
      <c r="F15" s="81">
        <f>(0.25*$F$28*$J29)*(1-$B$6+$B$6/2)</f>
        <v>19286.999999999996</v>
      </c>
      <c r="G15" s="81">
        <f>(0.25*$F$28*$J29)*(1-$B$6+$B$6/2)</f>
        <v>19286.999999999996</v>
      </c>
      <c r="H15" s="86">
        <f>(0.25*$F$28*$K29)*(1-$B$6+$B$6/2)</f>
        <v>20251.349999999999</v>
      </c>
      <c r="I15" s="86">
        <f>(0.25*$F$28*$K29)*(1-$B$6+$B$6/2)</f>
        <v>20251.349999999999</v>
      </c>
      <c r="J15" s="86">
        <f>(0.25*$F$28*$K29)*(1-$B$6+$B$6/2)</f>
        <v>20251.349999999999</v>
      </c>
      <c r="K15" s="86">
        <f>(0.25*$F$28*$K29)*(1-$B$6+$B$6/2)</f>
        <v>20251.349999999999</v>
      </c>
      <c r="L15" s="86">
        <f>(0.25*$F$28*$L29)*(1-$B$6+$B$6/2)</f>
        <v>21263.9175</v>
      </c>
      <c r="M15" s="86">
        <f>(0.25*$F$28*$L29)*(1-$B$6+$B$6/2)</f>
        <v>21263.9175</v>
      </c>
      <c r="N15" s="86">
        <f>(0.25*$F$28*$L29)*(1-$B$6+$B$6/2)</f>
        <v>21263.9175</v>
      </c>
      <c r="O15" s="86">
        <f>(0.25*$F$28*$L29)*(1-$B$6+$B$6/2)</f>
        <v>21263.9175</v>
      </c>
      <c r="P15" s="86">
        <f>(0.25*$F$28*$M29)*(1-$B$6+$B$6/2)</f>
        <v>22327.113375000001</v>
      </c>
      <c r="Q15" s="86">
        <f>(0.25*$F$28*$M29)*(1-$B$6+$B$6/2)</f>
        <v>22327.113375000001</v>
      </c>
      <c r="R15" s="86">
        <f>(0.25*$F$28*$M29)*(1-$B$6+$B$6/2)</f>
        <v>22327.113375000001</v>
      </c>
      <c r="S15" s="86">
        <f>(0.25*$F$28*$M29)*(1-$B$6+$B$6/2)</f>
        <v>22327.113375000001</v>
      </c>
      <c r="T15" s="86">
        <f>(0.25*$F$28*$N29)*(1-$B$6+$B$6/2)</f>
        <v>23443.469043749999</v>
      </c>
      <c r="U15" s="86">
        <f>(0.25*$F$28*$N29)*(1-$B$6+$B$6/2)</f>
        <v>23443.469043749999</v>
      </c>
      <c r="V15" s="86">
        <f>(0.25*$F$28*$N29)*(1-$B$6+$B$6/2)</f>
        <v>23443.469043749999</v>
      </c>
      <c r="W15" s="86">
        <f>(0.25*$F$28*$N29)*(1-$B$6+$B$6/2)</f>
        <v>23443.469043749999</v>
      </c>
      <c r="X15" s="86">
        <f>(0.25*$F$28*$O29)*(1-$B$6+$B$6/2)</f>
        <v>24615.642495937504</v>
      </c>
      <c r="Y15" s="86">
        <f>(0.25*$F$28*$O29)*(1-$B$6+$B$6/2)</f>
        <v>24615.642495937504</v>
      </c>
      <c r="Z15" s="86">
        <f>(0.25*$F$28*$O29)*(1-$B$6+$B$6/2)</f>
        <v>24615.642495937504</v>
      </c>
      <c r="AA15" s="86">
        <f>(0.25*$F$28*$O29)*(1-$B$6+$B$6/2)</f>
        <v>24615.642495937504</v>
      </c>
      <c r="AB15" s="86">
        <f>(0.25*$F$28*$P29)*(1-$B$6+$B$6/2)</f>
        <v>25846.424620734382</v>
      </c>
      <c r="AC15" s="86">
        <f>(0.25*$F$28*$P29)*(1-$B$6+$B$6/2)</f>
        <v>25846.424620734382</v>
      </c>
      <c r="AD15" s="86">
        <f>(0.25*$F$28*$P29)*(1-$B$6+$B$6/2)</f>
        <v>25846.424620734382</v>
      </c>
      <c r="AE15" s="86">
        <f>(0.25*$F$28*$P29)*(1-$B$6+$B$6/2)</f>
        <v>25846.424620734382</v>
      </c>
      <c r="AF15" s="86">
        <f>(0.25*$F$28*$Q29)*(1-$B$6+$B$6/2)</f>
        <v>27138.745851771102</v>
      </c>
      <c r="AG15" s="86">
        <f>(0.25*$F$28*$Q29)*(1-$B$6+$B$6/2)</f>
        <v>27138.745851771102</v>
      </c>
      <c r="AH15" s="86">
        <f>(0.25*$F$28*$Q29)*(1-$B$6+$B$6/2)</f>
        <v>27138.745851771102</v>
      </c>
      <c r="AI15" s="86">
        <f>(0.25*$F$28*$Q29)*(1-$B$6+$B$6/2)</f>
        <v>27138.745851771102</v>
      </c>
      <c r="AJ15" s="86">
        <f>(0.25*$F$28*$R29)*(1-$B$6+$B$6/2)</f>
        <v>28495.68314435966</v>
      </c>
      <c r="AK15" s="86">
        <f>(0.25*$F$28*$R29)*(1-$B$6+$B$6/2)</f>
        <v>28495.68314435966</v>
      </c>
      <c r="AL15" s="86">
        <f>(0.25*$F$28*$R29)*(1-$B$6+$B$6/2)</f>
        <v>28495.68314435966</v>
      </c>
      <c r="AM15" s="86">
        <f>(0.25*$F$28*$R29)*(1-$B$6+$B$6/2)</f>
        <v>28495.68314435966</v>
      </c>
      <c r="AN15" s="86">
        <f>(0.25*$F$28*$S29)*(1-$B$6+$B$6/2)</f>
        <v>29920.467301577646</v>
      </c>
      <c r="AO15" s="86">
        <f>(0.25*$F$28*$S29)*(1-$B$6+$B$6/2)</f>
        <v>29920.467301577646</v>
      </c>
      <c r="AP15" s="86">
        <f>(0.25*$F$28*$S29)*(1-$B$6+$B$6/2)</f>
        <v>29920.467301577646</v>
      </c>
      <c r="AQ15" s="86">
        <f>(0.25*$F$28*$S29)*(1-$B$6+$B$6/2)</f>
        <v>29920.467301577646</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-1365500</v>
      </c>
      <c r="D19" s="91">
        <f t="shared" si="0"/>
        <v>19286.999999999996</v>
      </c>
      <c r="E19" s="92">
        <f t="shared" si="0"/>
        <v>19286.999999999996</v>
      </c>
      <c r="F19" s="92">
        <f t="shared" si="0"/>
        <v>19286.999999999996</v>
      </c>
      <c r="G19" s="90">
        <f t="shared" si="0"/>
        <v>19286.999999999996</v>
      </c>
      <c r="H19" s="91">
        <f t="shared" si="0"/>
        <v>20251.349999999999</v>
      </c>
      <c r="I19" s="92">
        <f t="shared" si="0"/>
        <v>20251.349999999999</v>
      </c>
      <c r="J19" s="92">
        <f t="shared" si="0"/>
        <v>20251.349999999999</v>
      </c>
      <c r="K19" s="90">
        <f t="shared" si="0"/>
        <v>20251.349999999999</v>
      </c>
      <c r="L19" s="91">
        <f t="shared" si="0"/>
        <v>21263.9175</v>
      </c>
      <c r="M19" s="92">
        <f t="shared" si="0"/>
        <v>21263.9175</v>
      </c>
      <c r="N19" s="92">
        <f t="shared" si="0"/>
        <v>21263.9175</v>
      </c>
      <c r="O19" s="90">
        <f t="shared" si="0"/>
        <v>21263.9175</v>
      </c>
      <c r="P19" s="91">
        <f t="shared" si="0"/>
        <v>22327.113375000001</v>
      </c>
      <c r="Q19" s="92">
        <f t="shared" si="0"/>
        <v>22327.113375000001</v>
      </c>
      <c r="R19" s="92">
        <f t="shared" si="0"/>
        <v>22327.113375000001</v>
      </c>
      <c r="S19" s="90">
        <f t="shared" si="0"/>
        <v>22327.113375000001</v>
      </c>
      <c r="T19" s="91">
        <f t="shared" si="0"/>
        <v>23443.469043749999</v>
      </c>
      <c r="U19" s="92">
        <f t="shared" si="0"/>
        <v>23443.469043749999</v>
      </c>
      <c r="V19" s="92">
        <f t="shared" si="0"/>
        <v>23443.469043749999</v>
      </c>
      <c r="W19" s="90">
        <f t="shared" si="0"/>
        <v>23443.469043749999</v>
      </c>
      <c r="X19" s="91">
        <f t="shared" si="0"/>
        <v>24615.642495937504</v>
      </c>
      <c r="Y19" s="92">
        <f t="shared" si="0"/>
        <v>24615.642495937504</v>
      </c>
      <c r="Z19" s="92">
        <f t="shared" si="0"/>
        <v>24615.642495937504</v>
      </c>
      <c r="AA19" s="90">
        <f t="shared" si="0"/>
        <v>24615.642495937504</v>
      </c>
      <c r="AB19" s="91">
        <f t="shared" si="0"/>
        <v>25846.424620734382</v>
      </c>
      <c r="AC19" s="92">
        <f t="shared" si="0"/>
        <v>25846.424620734382</v>
      </c>
      <c r="AD19" s="92">
        <f t="shared" si="0"/>
        <v>25846.424620734382</v>
      </c>
      <c r="AE19" s="90">
        <f t="shared" si="0"/>
        <v>25846.424620734382</v>
      </c>
      <c r="AF19" s="91">
        <f t="shared" si="0"/>
        <v>27138.745851771102</v>
      </c>
      <c r="AG19" s="92">
        <f t="shared" si="0"/>
        <v>27138.745851771102</v>
      </c>
      <c r="AH19" s="92">
        <f t="shared" si="0"/>
        <v>27138.745851771102</v>
      </c>
      <c r="AI19" s="90">
        <f t="shared" si="0"/>
        <v>27138.745851771102</v>
      </c>
      <c r="AJ19" s="91">
        <f t="shared" si="0"/>
        <v>28495.68314435966</v>
      </c>
      <c r="AK19" s="92">
        <f t="shared" si="0"/>
        <v>28495.68314435966</v>
      </c>
      <c r="AL19" s="92">
        <f t="shared" si="0"/>
        <v>28495.68314435966</v>
      </c>
      <c r="AM19" s="90">
        <f t="shared" si="0"/>
        <v>28495.68314435966</v>
      </c>
      <c r="AN19" s="91">
        <f t="shared" si="0"/>
        <v>29920.467301577646</v>
      </c>
      <c r="AO19" s="92">
        <f t="shared" si="0"/>
        <v>29920.467301577646</v>
      </c>
      <c r="AP19" s="92">
        <f t="shared" si="0"/>
        <v>29920.467301577646</v>
      </c>
      <c r="AQ19" s="90">
        <f t="shared" si="0"/>
        <v>29920.467301577646</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-1365500</v>
      </c>
      <c r="D21" s="84">
        <f t="shared" ref="D21:AQ21" si="1">+C21+D19</f>
        <v>-1346213</v>
      </c>
      <c r="E21" s="84">
        <f t="shared" si="1"/>
        <v>-1326926</v>
      </c>
      <c r="F21" s="84">
        <f t="shared" si="1"/>
        <v>-1307639</v>
      </c>
      <c r="G21" s="84">
        <f t="shared" si="1"/>
        <v>-1288352</v>
      </c>
      <c r="H21" s="84">
        <f t="shared" si="1"/>
        <v>-1268100.6499999999</v>
      </c>
      <c r="I21" s="84">
        <f t="shared" si="1"/>
        <v>-1247849.2999999998</v>
      </c>
      <c r="J21" s="84">
        <f t="shared" si="1"/>
        <v>-1227597.9499999997</v>
      </c>
      <c r="K21" s="84">
        <f t="shared" si="1"/>
        <v>-1207346.5999999996</v>
      </c>
      <c r="L21" s="84">
        <f t="shared" si="1"/>
        <v>-1186082.6824999996</v>
      </c>
      <c r="M21" s="84">
        <f t="shared" si="1"/>
        <v>-1164818.7649999997</v>
      </c>
      <c r="N21" s="84">
        <f t="shared" si="1"/>
        <v>-1143554.8474999997</v>
      </c>
      <c r="O21" s="84">
        <f t="shared" si="1"/>
        <v>-1122290.9299999997</v>
      </c>
      <c r="P21" s="84">
        <f t="shared" si="1"/>
        <v>-1099963.8166249997</v>
      </c>
      <c r="Q21" s="84">
        <f t="shared" si="1"/>
        <v>-1077636.7032499998</v>
      </c>
      <c r="R21" s="84">
        <f t="shared" si="1"/>
        <v>-1055309.5898749998</v>
      </c>
      <c r="S21" s="84">
        <f t="shared" si="1"/>
        <v>-1032982.4764999999</v>
      </c>
      <c r="T21" s="84">
        <f t="shared" si="1"/>
        <v>-1009539.0074562499</v>
      </c>
      <c r="U21" s="84">
        <f t="shared" si="1"/>
        <v>-986095.53841249994</v>
      </c>
      <c r="V21" s="84">
        <f t="shared" si="1"/>
        <v>-962652.06936874997</v>
      </c>
      <c r="W21" s="84">
        <f t="shared" si="1"/>
        <v>-939208.60032500001</v>
      </c>
      <c r="X21" s="84">
        <f t="shared" si="1"/>
        <v>-914592.95782906248</v>
      </c>
      <c r="Y21" s="84">
        <f t="shared" si="1"/>
        <v>-889977.31533312495</v>
      </c>
      <c r="Z21" s="84">
        <f t="shared" si="1"/>
        <v>-865361.67283718742</v>
      </c>
      <c r="AA21" s="84">
        <f t="shared" si="1"/>
        <v>-840746.03034124989</v>
      </c>
      <c r="AB21" s="84">
        <f t="shared" si="1"/>
        <v>-814899.60572051548</v>
      </c>
      <c r="AC21" s="84">
        <f t="shared" si="1"/>
        <v>-789053.18109978107</v>
      </c>
      <c r="AD21" s="84">
        <f t="shared" si="1"/>
        <v>-763206.75647904666</v>
      </c>
      <c r="AE21" s="84">
        <f t="shared" si="1"/>
        <v>-737360.33185831225</v>
      </c>
      <c r="AF21" s="84">
        <f t="shared" si="1"/>
        <v>-710221.58600654115</v>
      </c>
      <c r="AG21" s="84">
        <f t="shared" si="1"/>
        <v>-683082.84015477006</v>
      </c>
      <c r="AH21" s="84">
        <f t="shared" si="1"/>
        <v>-655944.09430299897</v>
      </c>
      <c r="AI21" s="84">
        <f t="shared" si="1"/>
        <v>-628805.34845122788</v>
      </c>
      <c r="AJ21" s="84">
        <f t="shared" si="1"/>
        <v>-600309.66530686826</v>
      </c>
      <c r="AK21" s="84">
        <f t="shared" si="1"/>
        <v>-571813.98216250865</v>
      </c>
      <c r="AL21" s="84">
        <f t="shared" si="1"/>
        <v>-543318.29901814903</v>
      </c>
      <c r="AM21" s="84">
        <f t="shared" si="1"/>
        <v>-514822.61587378936</v>
      </c>
      <c r="AN21" s="84">
        <f t="shared" si="1"/>
        <v>-484902.14857221174</v>
      </c>
      <c r="AO21" s="84">
        <f t="shared" si="1"/>
        <v>-454981.68127063412</v>
      </c>
      <c r="AP21" s="84">
        <f t="shared" si="1"/>
        <v>-425061.21396905649</v>
      </c>
      <c r="AQ21" s="84">
        <f t="shared" si="1"/>
        <v>-395140.74666747887</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-1365500</v>
      </c>
      <c r="D25" s="84">
        <f t="shared" si="3"/>
        <v>19286.999999999996</v>
      </c>
      <c r="E25" s="84">
        <f t="shared" si="3"/>
        <v>19286.999999999996</v>
      </c>
      <c r="F25" s="84">
        <f t="shared" si="3"/>
        <v>19286.999999999996</v>
      </c>
      <c r="G25" s="84">
        <f t="shared" si="3"/>
        <v>19286.999999999996</v>
      </c>
      <c r="H25" s="84">
        <f t="shared" si="3"/>
        <v>20251.349999999999</v>
      </c>
      <c r="I25" s="84">
        <f t="shared" si="3"/>
        <v>20251.349999999999</v>
      </c>
      <c r="J25" s="84">
        <f t="shared" si="3"/>
        <v>20251.349999999999</v>
      </c>
      <c r="K25" s="84">
        <f t="shared" si="3"/>
        <v>20251.349999999999</v>
      </c>
      <c r="L25" s="84">
        <f t="shared" si="3"/>
        <v>21263.9175</v>
      </c>
      <c r="M25" s="84">
        <f t="shared" si="3"/>
        <v>21263.9175</v>
      </c>
      <c r="N25" s="84">
        <f t="shared" si="3"/>
        <v>21263.9175</v>
      </c>
      <c r="O25" s="84">
        <f t="shared" si="3"/>
        <v>21263.9175</v>
      </c>
      <c r="P25" s="84">
        <f t="shared" si="3"/>
        <v>22327.113375000001</v>
      </c>
      <c r="Q25" s="84">
        <f t="shared" si="3"/>
        <v>22327.113375000001</v>
      </c>
      <c r="R25" s="84">
        <f t="shared" si="3"/>
        <v>22327.113375000001</v>
      </c>
      <c r="S25" s="84">
        <f t="shared" si="3"/>
        <v>22327.113375000001</v>
      </c>
      <c r="T25" s="84">
        <f t="shared" si="3"/>
        <v>23443.469043749999</v>
      </c>
      <c r="U25" s="84">
        <f t="shared" si="3"/>
        <v>23443.469043749999</v>
      </c>
      <c r="V25" s="84">
        <f t="shared" si="3"/>
        <v>23443.469043749999</v>
      </c>
      <c r="W25" s="84">
        <f t="shared" si="3"/>
        <v>23443.469043749999</v>
      </c>
      <c r="X25" s="84">
        <f t="shared" si="3"/>
        <v>24615.642495937504</v>
      </c>
      <c r="Y25" s="84">
        <f t="shared" si="3"/>
        <v>24615.642495937504</v>
      </c>
      <c r="Z25" s="84">
        <f t="shared" si="3"/>
        <v>24615.642495937504</v>
      </c>
      <c r="AA25" s="84">
        <f t="shared" si="3"/>
        <v>24615.642495937504</v>
      </c>
      <c r="AB25" s="84">
        <f t="shared" si="3"/>
        <v>25846.424620734382</v>
      </c>
      <c r="AC25" s="84">
        <f t="shared" si="3"/>
        <v>25846.424620734382</v>
      </c>
      <c r="AD25" s="84">
        <f t="shared" si="3"/>
        <v>25846.424620734382</v>
      </c>
      <c r="AE25" s="84">
        <f t="shared" si="3"/>
        <v>25846.424620734382</v>
      </c>
      <c r="AF25" s="84">
        <f t="shared" si="3"/>
        <v>27138.745851771102</v>
      </c>
      <c r="AG25" s="84">
        <f t="shared" si="3"/>
        <v>27138.745851771102</v>
      </c>
      <c r="AH25" s="84">
        <f t="shared" si="3"/>
        <v>27138.745851771102</v>
      </c>
      <c r="AI25" s="84">
        <f t="shared" si="3"/>
        <v>27138.745851771102</v>
      </c>
      <c r="AJ25" s="84">
        <f t="shared" si="3"/>
        <v>28495.68314435966</v>
      </c>
      <c r="AK25" s="84">
        <f t="shared" si="3"/>
        <v>28495.68314435966</v>
      </c>
      <c r="AL25" s="84">
        <f t="shared" si="3"/>
        <v>28495.68314435966</v>
      </c>
      <c r="AM25" s="84">
        <f t="shared" si="3"/>
        <v>28495.68314435966</v>
      </c>
      <c r="AN25" s="84">
        <f t="shared" si="3"/>
        <v>29920.467301577646</v>
      </c>
      <c r="AO25" s="84">
        <f t="shared" si="3"/>
        <v>29920.467301577646</v>
      </c>
      <c r="AP25" s="84">
        <f t="shared" si="3"/>
        <v>29920.467301577646</v>
      </c>
      <c r="AQ25" s="84">
        <f t="shared" si="3"/>
        <v>29920.467301577646</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'850C-NR'!G115</f>
        <v>1365500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'850C-NR'!S120*1000</f>
        <v>385739.99999999994</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S208" sqref="S208"/>
      <pageMargins left="0.75" right="0.75" top="1" bottom="1" header="0.5" footer="0.5"/>
      <pageSetup paperSize="9" orientation="portrait" r:id="rId1"/>
      <headerFooter alignWithMargins="0"/>
    </customSheetView>
  </customSheetViews>
  <mergeCells count="16">
    <mergeCell ref="AF7:AI7"/>
    <mergeCell ref="AJ7:AM7"/>
    <mergeCell ref="AN7:AQ7"/>
    <mergeCell ref="A27:E27"/>
    <mergeCell ref="A28:E28"/>
    <mergeCell ref="D7:G7"/>
    <mergeCell ref="H7:K7"/>
    <mergeCell ref="L7:O7"/>
    <mergeCell ref="P7:S7"/>
    <mergeCell ref="T7:W7"/>
    <mergeCell ref="X7:AA7"/>
    <mergeCell ref="A29:E29"/>
    <mergeCell ref="A30:E30"/>
    <mergeCell ref="A31:E31"/>
    <mergeCell ref="A32:E32"/>
    <mergeCell ref="AB7:AE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A5ADDAAB-7484-4CFA-BE52-5A0EB8A0D7A5}">
      <formula1>"Y,N"</formula1>
    </dataValidation>
  </dataValidations>
  <pageMargins left="0.75" right="0.75" top="1" bottom="1" header="0.5" footer="0.5"/>
  <pageSetup paperSize="9" orientation="portrait" r:id="rId2"/>
  <headerFooter alignWithMargins="0"/>
  <legacyDrawing r:id="rId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5B2A4-A479-45B4-A3E6-C881DB22F0D0}">
  <sheetPr codeName="Sheet58">
    <tabColor indexed="53"/>
  </sheetPr>
  <dimension ref="A4:M64"/>
  <sheetViews>
    <sheetView view="pageBreakPreview" topLeftCell="A3" zoomScale="130" zoomScaleNormal="100" zoomScaleSheetLayoutView="130" workbookViewId="0">
      <selection activeCell="S208" sqref="S208"/>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'850C-NR'!C60</f>
        <v>15399.7</v>
      </c>
    </row>
    <row r="10" spans="1:13" ht="13">
      <c r="A10" s="109" t="s">
        <v>842</v>
      </c>
      <c r="B10" s="1007" t="s">
        <v>843</v>
      </c>
      <c r="C10" s="1008"/>
      <c r="D10" s="1008"/>
      <c r="E10" s="1008"/>
      <c r="F10" s="1008"/>
      <c r="G10" s="1008"/>
      <c r="H10" s="1008"/>
      <c r="I10" s="1008"/>
    </row>
    <row r="11" spans="1:13" ht="13">
      <c r="A11" s="109" t="s">
        <v>844</v>
      </c>
      <c r="B11" s="1009" t="str">
        <f>'850C-NR'!A2</f>
        <v>850 Collins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SUM('850C-IS'!C12:F12)</f>
        <v>-1365500</v>
      </c>
      <c r="D25" s="119">
        <f>SUM('850C-IS'!D12:G12)</f>
        <v>0</v>
      </c>
      <c r="E25" s="119">
        <f>SUM('850C-IS'!H12:K12)</f>
        <v>0</v>
      </c>
      <c r="F25" s="119">
        <f>SUM('850C-IS'!L12:O12)</f>
        <v>0</v>
      </c>
      <c r="G25" s="119">
        <f>SUM('850C-IS'!P12:S12)</f>
        <v>0</v>
      </c>
      <c r="H25" s="119">
        <f>SUM('850C-IS'!T12:W12)</f>
        <v>0</v>
      </c>
      <c r="I25" s="119">
        <f>SUM('850C-IS'!X12:AA12)</f>
        <v>0</v>
      </c>
      <c r="J25" s="119">
        <f>SUM('850C-IS'!AB12:AE12)</f>
        <v>0</v>
      </c>
      <c r="K25" s="119">
        <f>SUM('850C-IS'!AF12:AI12)</f>
        <v>0</v>
      </c>
      <c r="L25" s="119">
        <f>SUM('850C-IS'!AJ12:AM12)</f>
        <v>0</v>
      </c>
      <c r="M25" s="119">
        <f>SUM('850C-IS'!AN12:AQ12)</f>
        <v>0</v>
      </c>
    </row>
    <row r="26" spans="1:13">
      <c r="A26" s="106" t="s">
        <v>804</v>
      </c>
      <c r="C26" s="120"/>
      <c r="D26" s="119">
        <f>SUM('850C-IS'!D13:G13)</f>
        <v>0</v>
      </c>
      <c r="E26" s="119">
        <f>SUM('850C-IS'!H13:K13)</f>
        <v>0</v>
      </c>
      <c r="F26" s="119">
        <f>SUM('850C-IS'!L13:O13)</f>
        <v>0</v>
      </c>
      <c r="G26" s="119">
        <f>SUM('850C-IS'!P13:S13)</f>
        <v>0</v>
      </c>
      <c r="H26" s="119">
        <f>SUM('850C-IS'!T13:W13)</f>
        <v>0</v>
      </c>
      <c r="I26" s="119">
        <f>SUM('850C-IS'!X13:AA13)</f>
        <v>0</v>
      </c>
      <c r="J26" s="119">
        <f>SUM('850C-IS'!AB13:AE13)</f>
        <v>0</v>
      </c>
      <c r="K26" s="119">
        <f>SUM('850C-IS'!AF13:AI13)</f>
        <v>0</v>
      </c>
      <c r="L26" s="119">
        <f>SUM('850C-IS'!AJ13:AM13)</f>
        <v>0</v>
      </c>
      <c r="M26" s="119">
        <f>SUM('850C-IS'!AN13:AQ13)</f>
        <v>0</v>
      </c>
    </row>
    <row r="27" spans="1:13">
      <c r="A27" s="106" t="s">
        <v>805</v>
      </c>
      <c r="C27" s="120"/>
      <c r="D27" s="119">
        <f>SUM('850C-IS'!D15:G15)+SUM('850C-IS'!D14:G14)</f>
        <v>77147.999999999985</v>
      </c>
      <c r="E27" s="119">
        <f>SUM('850C-IS'!H15:K15)+SUM('850C-IS'!H14:K14)</f>
        <v>81005.399999999994</v>
      </c>
      <c r="F27" s="119">
        <f>SUM('850C-IS'!L15:O15)+SUM('850C-IS'!L14:O14)</f>
        <v>85055.67</v>
      </c>
      <c r="G27" s="119">
        <f>SUM('850C-IS'!P15:S15)+SUM('850C-IS'!P14:S14)</f>
        <v>89308.453500000003</v>
      </c>
      <c r="H27" s="119">
        <f>SUM('850C-IS'!T15:W15)+SUM('850C-IS'!T14:W14)</f>
        <v>93773.876174999998</v>
      </c>
      <c r="I27" s="119">
        <f>SUM('850C-IS'!X15:AA15)+SUM('850C-IS'!X14:AA14)</f>
        <v>98462.569983750014</v>
      </c>
      <c r="J27" s="119">
        <f>SUM('850C-IS'!AB15:AE15)+SUM('850C-IS'!AB14:AE14)</f>
        <v>103385.69848293753</v>
      </c>
      <c r="K27" s="119">
        <f>SUM('850C-IS'!AF15:AI15)+SUM('850C-IS'!AF14:AI14)</f>
        <v>108554.98340708441</v>
      </c>
      <c r="L27" s="119">
        <f>SUM('850C-IS'!AJ15:AM15)+SUM('850C-IS'!AJ14:AM14)</f>
        <v>113982.73257743864</v>
      </c>
      <c r="M27" s="119">
        <f>SUM('850C-IS'!AN15:AQ15)+SUM('850C-IS'!AN14:AQ14)</f>
        <v>119681.86920631058</v>
      </c>
    </row>
    <row r="28" spans="1:13">
      <c r="A28" s="106" t="s">
        <v>808</v>
      </c>
      <c r="C28" s="120"/>
      <c r="D28" s="119">
        <f>SUM('850C-IS'!D16:G16)</f>
        <v>0</v>
      </c>
      <c r="E28" s="119">
        <f>SUM('850C-IS'!H16:K16)</f>
        <v>0</v>
      </c>
      <c r="F28" s="119">
        <f>SUM('850C-IS'!L16:O16)</f>
        <v>0</v>
      </c>
      <c r="G28" s="119">
        <f>SUM('850C-IS'!P16:S16)</f>
        <v>0</v>
      </c>
      <c r="H28" s="119">
        <f>SUM('850C-IS'!T16:W16)</f>
        <v>0</v>
      </c>
      <c r="I28" s="119">
        <f>SUM('850C-IS'!X16:AA16)</f>
        <v>0</v>
      </c>
      <c r="J28" s="119">
        <f>SUM('850C-IS'!AB16:AE16)</f>
        <v>0</v>
      </c>
      <c r="K28" s="119">
        <f>SUM('850C-IS'!AF16:AI16)</f>
        <v>0</v>
      </c>
      <c r="L28" s="119">
        <f>SUM('850C-IS'!AJ16:AM16)</f>
        <v>0</v>
      </c>
      <c r="M28" s="119">
        <f>SUM('850C-IS'!AN16:AQ16)</f>
        <v>0</v>
      </c>
    </row>
    <row r="29" spans="1:13">
      <c r="A29" s="106" t="s">
        <v>809</v>
      </c>
      <c r="C29" s="120"/>
      <c r="D29" s="119">
        <f>SUM('850C-IS'!D17:G17)</f>
        <v>0</v>
      </c>
      <c r="E29" s="119">
        <f>SUM('850C-IS'!H17:K17)</f>
        <v>0</v>
      </c>
      <c r="F29" s="119">
        <f>SUM('850C-IS'!L17:O17)</f>
        <v>0</v>
      </c>
      <c r="G29" s="119">
        <f>SUM('850C-IS'!P17:S17)</f>
        <v>0</v>
      </c>
      <c r="H29" s="119">
        <f>SUM('850C-IS'!T17:W17)</f>
        <v>0</v>
      </c>
      <c r="I29" s="119">
        <f>SUM('850C-IS'!X17:AA17)</f>
        <v>0</v>
      </c>
      <c r="J29" s="119">
        <f>SUM('850C-IS'!AB17:AE17)</f>
        <v>0</v>
      </c>
      <c r="K29" s="119">
        <f>SUM('850C-IS'!AF17:AI17)</f>
        <v>0</v>
      </c>
      <c r="L29" s="119">
        <f>SUM('850C-IS'!AJ17:AM17)</f>
        <v>0</v>
      </c>
      <c r="M29" s="119">
        <f>SUM('850C-IS'!AN17:AQ17)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-1365500</v>
      </c>
      <c r="D31" s="124">
        <f t="shared" si="0"/>
        <v>77147.999999999985</v>
      </c>
      <c r="E31" s="125">
        <f t="shared" si="0"/>
        <v>81005.399999999994</v>
      </c>
      <c r="F31" s="125">
        <f t="shared" si="0"/>
        <v>85055.67</v>
      </c>
      <c r="G31" s="125">
        <f t="shared" si="0"/>
        <v>89308.453500000003</v>
      </c>
      <c r="H31" s="125">
        <f t="shared" si="0"/>
        <v>93773.876174999998</v>
      </c>
      <c r="I31" s="125">
        <f t="shared" si="0"/>
        <v>98462.569983750014</v>
      </c>
      <c r="J31" s="125">
        <f t="shared" si="0"/>
        <v>103385.69848293753</v>
      </c>
      <c r="K31" s="125">
        <f t="shared" si="0"/>
        <v>108554.98340708441</v>
      </c>
      <c r="L31" s="125">
        <f t="shared" si="0"/>
        <v>113982.73257743864</v>
      </c>
      <c r="M31" s="125">
        <f t="shared" si="0"/>
        <v>119681.86920631058</v>
      </c>
    </row>
    <row r="32" spans="1:13" ht="13" thickTop="1">
      <c r="A32" s="64" t="s">
        <v>860</v>
      </c>
      <c r="B32" s="79"/>
      <c r="C32" s="77"/>
      <c r="D32" s="152">
        <f>D31/$I$9</f>
        <v>5.0097079813243104</v>
      </c>
      <c r="E32" s="152">
        <f t="shared" ref="E32:M32" si="1">E31/$I$9</f>
        <v>5.2601933803905263</v>
      </c>
      <c r="F32" s="152">
        <f t="shared" si="1"/>
        <v>5.5232030494100535</v>
      </c>
      <c r="G32" s="152">
        <f t="shared" si="1"/>
        <v>5.7993632018805563</v>
      </c>
      <c r="H32" s="152">
        <f t="shared" si="1"/>
        <v>6.0893313619745832</v>
      </c>
      <c r="I32" s="152">
        <f t="shared" si="1"/>
        <v>6.3937979300733137</v>
      </c>
      <c r="J32" s="152">
        <f t="shared" si="1"/>
        <v>6.71348782657698</v>
      </c>
      <c r="K32" s="152">
        <f t="shared" si="1"/>
        <v>7.0491622179058293</v>
      </c>
      <c r="L32" s="152">
        <f t="shared" si="1"/>
        <v>7.4016203288011218</v>
      </c>
      <c r="M32" s="152">
        <f t="shared" si="1"/>
        <v>7.7717013452411789</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'850C-NR'!G67</f>
        <v>CURRENT</v>
      </c>
      <c r="J36" s="127" t="str">
        <f>'850C-NR'!H67</f>
        <v>FY25</v>
      </c>
      <c r="K36" s="127" t="str">
        <f>'850C-NR'!I67</f>
        <v>FY26</v>
      </c>
      <c r="L36" s="127" t="str">
        <f>'850C-NR'!J67</f>
        <v>FY27</v>
      </c>
      <c r="M36" s="127" t="str">
        <f>'850C-NR'!K67</f>
        <v>FY28</v>
      </c>
    </row>
    <row r="37" spans="1:13" ht="25.5">
      <c r="A37" s="128" t="s">
        <v>863</v>
      </c>
      <c r="B37" s="129" t="s">
        <v>864</v>
      </c>
      <c r="D37" s="117"/>
      <c r="E37" s="130"/>
      <c r="F37" s="117"/>
      <c r="G37" s="131" t="s">
        <v>865</v>
      </c>
      <c r="H37" s="132">
        <f>'850C-NR'!S123</f>
        <v>4.8364833906071016</v>
      </c>
      <c r="I37" s="132">
        <f>'850C-NR'!S124</f>
        <v>4.8364833906071016</v>
      </c>
      <c r="J37" s="132">
        <f>'850C-NR'!S125</f>
        <v>5.5062620397952138</v>
      </c>
      <c r="K37" s="132">
        <f>'850C-NR'!S126</f>
        <v>5.6730837782371895</v>
      </c>
      <c r="L37" s="117"/>
    </row>
    <row r="38" spans="1:13" ht="13">
      <c r="G38" s="131" t="s">
        <v>866</v>
      </c>
      <c r="I38" s="133">
        <f>'850C-NR'!G115</f>
        <v>1365500</v>
      </c>
      <c r="J38" s="133"/>
      <c r="K38" s="133"/>
    </row>
    <row r="39" spans="1:13" ht="13">
      <c r="A39" s="106" t="s">
        <v>867</v>
      </c>
      <c r="B39" s="134">
        <v>0</v>
      </c>
      <c r="E39" s="117"/>
      <c r="F39" s="135"/>
      <c r="G39" s="131" t="s">
        <v>868</v>
      </c>
      <c r="I39" s="136">
        <f>IRR(C31:M31)</f>
        <v>-5.4241050017789672E-2</v>
      </c>
    </row>
    <row r="40" spans="1:13" ht="13">
      <c r="A40" s="128"/>
      <c r="B40" s="137"/>
      <c r="G40" s="131" t="s">
        <v>869</v>
      </c>
      <c r="I40" s="133">
        <f>B43/B41-B43</f>
        <v>1196776.4124434427</v>
      </c>
    </row>
    <row r="41" spans="1:13">
      <c r="A41" s="106" t="s">
        <v>870</v>
      </c>
      <c r="B41" s="138">
        <v>7.4999999999999997E-2</v>
      </c>
    </row>
    <row r="42" spans="1:13">
      <c r="A42" s="117"/>
    </row>
    <row r="43" spans="1:13">
      <c r="A43" s="139" t="s">
        <v>871</v>
      </c>
      <c r="B43" s="140">
        <f>SUMIF(D31:M31,"&lt;&gt;0")/COUNTIF(D31:M31,"&lt;&gt;0")</f>
        <v>97035.925333252118</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4.8364833906071 Stars</v>
      </c>
      <c r="G59" s="146">
        <f t="shared" si="2"/>
        <v>4.8364833906071016</v>
      </c>
      <c r="H59" s="146">
        <f t="shared" si="2"/>
        <v>5.5062620397952138</v>
      </c>
      <c r="I59" s="146">
        <f t="shared" si="2"/>
        <v>5.6730837782371895</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1365500</v>
      </c>
      <c r="H62" s="149">
        <f>J38</f>
        <v>0</v>
      </c>
      <c r="I62" s="149">
        <f>K38</f>
        <v>0</v>
      </c>
      <c r="J62" s="143"/>
    </row>
    <row r="63" spans="5:10" ht="17.5">
      <c r="E63" s="143"/>
      <c r="F63" s="147"/>
      <c r="G63" s="150">
        <f>I39</f>
        <v>-5.4241050017789672E-2</v>
      </c>
      <c r="H63" s="147"/>
      <c r="I63" s="147"/>
      <c r="J63" s="143"/>
    </row>
    <row r="64" spans="5:10" ht="17.5">
      <c r="E64" s="143"/>
      <c r="F64" s="143"/>
      <c r="G64" s="151">
        <f>I40</f>
        <v>1196776.4124434427</v>
      </c>
      <c r="H64" s="143"/>
      <c r="I64" s="143"/>
      <c r="J64" s="143"/>
    </row>
  </sheetData>
  <customSheetViews>
    <customSheetView guid="{0FAFE012-8D9E-4ED0-86A4-A997E430971B}" scale="130" showPageBreaks="1" printArea="1" state="hidden" view="pageBreakPreview" topLeftCell="A3">
      <selection activeCell="S208" sqref="S208"/>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17A35216-A0BA-4D3B-AFB3-F54222BC47FD}">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3DBBEADF-7354-4B0B-A571-8195CBD2ACB5}">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D0227-098A-42D0-8564-D7EC454D680B}">
  <sheetPr codeName="Sheet78">
    <tabColor rgb="FFFFC000"/>
    <pageSetUpPr fitToPage="1"/>
  </sheetPr>
  <dimension ref="A1:CJ272"/>
  <sheetViews>
    <sheetView showGridLines="0" zoomScale="70" zoomScaleNormal="70" workbookViewId="0">
      <selection activeCell="A13" sqref="A13:P15"/>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0.816406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166</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VIC2</v>
      </c>
      <c r="B6" s="368" t="s">
        <v>309</v>
      </c>
      <c r="C6" s="484" t="s">
        <v>41</v>
      </c>
      <c r="D6" s="485">
        <f>(VLOOKUP($A$2,Assumptions!$B$41:$C$63,2,0))/1000</f>
        <v>0.28980467713342467</v>
      </c>
      <c r="E6" s="367" t="s">
        <v>311</v>
      </c>
      <c r="F6" s="517">
        <f>VLOOKUP($A$2,'Footprint Summary'!$B$4:$R$26,COLUMNS('Footprint Summary'!$B$4:F$26)+1,0)</f>
        <v>775.36580000000004</v>
      </c>
      <c r="G6" s="517">
        <f>VLOOKUP($A$2,'Footprint Summary'!$B$4:$R$26,COLUMNS('Footprint Summary'!$B$4:G$26)+1,0)</f>
        <v>533.16579999999999</v>
      </c>
      <c r="H6" s="517">
        <f>VLOOKUP($A$2,'Footprint Summary'!$B$4:$R$26,COLUMNS('Footprint Summary'!$B$4:H$26)+1,0)</f>
        <v>533.16579999999999</v>
      </c>
      <c r="I6" s="517">
        <f>VLOOKUP($A$2,'Footprint Summary'!$B$4:$R$26,COLUMNS('Footprint Summary'!$B$4:I$26)+1,0)</f>
        <v>432.96580000000006</v>
      </c>
      <c r="J6" s="517">
        <f>VLOOKUP($A$2,'Footprint Summary'!$B$4:$R$26,COLUMNS('Footprint Summary'!$B$4:J$26)+1,0)</f>
        <v>386.76580000000007</v>
      </c>
      <c r="K6" s="517">
        <f>VLOOKUP($A$2,'Footprint Summary'!$B$4:$R$26,COLUMNS('Footprint Summary'!$B$4:K$26)+1,0)</f>
        <v>354.96580000000006</v>
      </c>
      <c r="L6" s="517">
        <f>VLOOKUP($A$2,'Footprint Summary'!$B$4:$R$26,COLUMNS('Footprint Summary'!$B$4:L$26)+1,0)</f>
        <v>354.96580000000006</v>
      </c>
      <c r="M6" s="517">
        <f>VLOOKUP($A$2,'Footprint Summary'!$B$4:$R$26,COLUMNS('Footprint Summary'!$B$4:M$26)+1,0)</f>
        <v>354.96580000000006</v>
      </c>
      <c r="N6" s="517">
        <f>VLOOKUP($A$2,'Footprint Summary'!$B$4:$R$26,COLUMNS('Footprint Summary'!$B$4:N$26)+1,0)</f>
        <v>346.76580000000007</v>
      </c>
      <c r="O6" s="517">
        <f>VLOOKUP($A$2,'Footprint Summary'!$B$4:$R$26,COLUMNS('Footprint Summary'!$B$4:O$26)+1,0)</f>
        <v>346.76580000000007</v>
      </c>
      <c r="P6" s="517">
        <f>VLOOKUP($A$2,'Footprint Summary'!$B$4:$R$26,COLUMNS('Footprint Summary'!$B$4:P$26)+1,0)</f>
        <v>346.76580000000007</v>
      </c>
      <c r="Q6" s="429">
        <f>(P6-F6)/F6</f>
        <v>-0.55277134998732202</v>
      </c>
      <c r="R6" s="366"/>
      <c r="S6" s="357"/>
      <c r="T6" s="8"/>
      <c r="U6" s="8"/>
    </row>
    <row r="7" spans="1:21" s="7" customFormat="1" ht="17.25" customHeight="1">
      <c r="A7" s="368" t="str">
        <f>VLOOKUP($A$2,'Asset Attributes'!$B$3:$D$25,2,0)</f>
        <v>VIC2</v>
      </c>
      <c r="B7" s="368" t="s">
        <v>312</v>
      </c>
      <c r="E7" s="367" t="s">
        <v>311</v>
      </c>
      <c r="F7" s="518">
        <f>F6-$F$6</f>
        <v>0</v>
      </c>
      <c r="G7" s="518">
        <f t="shared" ref="G7:P7" si="1">G6-$F$6</f>
        <v>-242.20000000000005</v>
      </c>
      <c r="H7" s="518">
        <f t="shared" si="1"/>
        <v>-242.20000000000005</v>
      </c>
      <c r="I7" s="518">
        <f t="shared" si="1"/>
        <v>-342.4</v>
      </c>
      <c r="J7" s="518">
        <f t="shared" si="1"/>
        <v>-388.59999999999997</v>
      </c>
      <c r="K7" s="518">
        <f t="shared" si="1"/>
        <v>-420.4</v>
      </c>
      <c r="L7" s="518">
        <f t="shared" si="1"/>
        <v>-420.4</v>
      </c>
      <c r="M7" s="518">
        <f t="shared" si="1"/>
        <v>-420.4</v>
      </c>
      <c r="N7" s="518">
        <f t="shared" si="1"/>
        <v>-428.59999999999997</v>
      </c>
      <c r="O7" s="518">
        <f t="shared" si="1"/>
        <v>-428.59999999999997</v>
      </c>
      <c r="P7" s="518">
        <f t="shared" si="1"/>
        <v>-428.59999999999997</v>
      </c>
      <c r="Q7" s="490">
        <f>SUM(F7:P7)</f>
        <v>-3762.4</v>
      </c>
      <c r="R7" s="366"/>
      <c r="S7" s="357"/>
      <c r="T7" s="8"/>
      <c r="U7" s="8"/>
    </row>
    <row r="8" spans="1:21" s="7" customFormat="1" ht="17.25" customHeight="1">
      <c r="A8" s="419" t="s">
        <v>284</v>
      </c>
      <c r="B8" s="368" t="s">
        <v>313</v>
      </c>
      <c r="C8" s="2"/>
      <c r="D8" s="486">
        <f>(VLOOKUP($A$2,Assumptions!$B$69:$C$91,2,0))</f>
        <v>18.341455649901572</v>
      </c>
      <c r="E8" s="422" t="s">
        <v>314</v>
      </c>
      <c r="F8" s="519">
        <f>VLOOKUP($A$2,'Footprint Summary'!$B$33:$R$55,COLUMNS('Footprint Summary'!$B$33:F$55)+1,0)</f>
        <v>1726.5909999999999</v>
      </c>
      <c r="G8" s="519">
        <f>VLOOKUP($A$2,'Footprint Summary'!$B$33:$R$55,COLUMNS('Footprint Summary'!$B$33:G$55)+1,0)</f>
        <v>1577.6909999999998</v>
      </c>
      <c r="H8" s="519">
        <f>VLOOKUP($A$2,'Footprint Summary'!$B$33:$R$55,COLUMNS('Footprint Summary'!$B$33:H$55)+1,0)</f>
        <v>1577.6909999999998</v>
      </c>
      <c r="I8" s="519">
        <f>VLOOKUP($A$2,'Footprint Summary'!$B$33:$R$55,COLUMNS('Footprint Summary'!$B$33:I$55)+1,0)</f>
        <v>1309.491</v>
      </c>
      <c r="J8" s="519">
        <f>VLOOKUP($A$2,'Footprint Summary'!$B$33:$R$55,COLUMNS('Footprint Summary'!$B$33:J$55)+1,0)</f>
        <v>974.29099999999994</v>
      </c>
      <c r="K8" s="519">
        <f>VLOOKUP($A$2,'Footprint Summary'!$B$33:$R$55,COLUMNS('Footprint Summary'!$B$33:K$55)+1,0)</f>
        <v>974.29099999999994</v>
      </c>
      <c r="L8" s="519">
        <f>VLOOKUP($A$2,'Footprint Summary'!$B$33:$R$55,COLUMNS('Footprint Summary'!$B$33:L$55)+1,0)</f>
        <v>974.29099999999994</v>
      </c>
      <c r="M8" s="519">
        <f>VLOOKUP($A$2,'Footprint Summary'!$B$33:$R$55,COLUMNS('Footprint Summary'!$B$33:M$55)+1,0)</f>
        <v>974.29099999999994</v>
      </c>
      <c r="N8" s="519">
        <f>VLOOKUP($A$2,'Footprint Summary'!$B$33:$R$55,COLUMNS('Footprint Summary'!$B$33:N$55)+1,0)</f>
        <v>940.79099999999994</v>
      </c>
      <c r="O8" s="519">
        <f>VLOOKUP($A$2,'Footprint Summary'!$B$33:$R$55,COLUMNS('Footprint Summary'!$B$33:O$55)+1,0)</f>
        <v>940.79099999999994</v>
      </c>
      <c r="P8" s="519">
        <f>VLOOKUP($A$2,'Footprint Summary'!$B$33:$R$55,COLUMNS('Footprint Summary'!$B$33:P$55)+1,0)</f>
        <v>940.79099999999994</v>
      </c>
      <c r="Q8" s="429">
        <f>(P8-F8)/F8</f>
        <v>-0.45511646938968175</v>
      </c>
      <c r="R8" s="366"/>
      <c r="S8" s="357"/>
      <c r="T8" s="8"/>
      <c r="U8" s="8"/>
    </row>
    <row r="9" spans="1:21" s="7" customFormat="1" ht="17.25" customHeight="1">
      <c r="A9" s="419" t="s">
        <v>284</v>
      </c>
      <c r="B9" s="368" t="s">
        <v>315</v>
      </c>
      <c r="C9" s="2"/>
      <c r="D9" s="2"/>
      <c r="E9" s="422" t="s">
        <v>314</v>
      </c>
      <c r="F9" s="518">
        <f t="shared" ref="F9:P9" si="2">F8-$F$8</f>
        <v>0</v>
      </c>
      <c r="G9" s="518">
        <f t="shared" si="2"/>
        <v>-148.90000000000009</v>
      </c>
      <c r="H9" s="518">
        <f t="shared" si="2"/>
        <v>-148.90000000000009</v>
      </c>
      <c r="I9" s="518">
        <f t="shared" si="2"/>
        <v>-417.09999999999991</v>
      </c>
      <c r="J9" s="518">
        <f t="shared" si="2"/>
        <v>-752.3</v>
      </c>
      <c r="K9" s="518">
        <f t="shared" si="2"/>
        <v>-752.3</v>
      </c>
      <c r="L9" s="518">
        <f t="shared" si="2"/>
        <v>-752.3</v>
      </c>
      <c r="M9" s="518">
        <f t="shared" si="2"/>
        <v>-752.3</v>
      </c>
      <c r="N9" s="518">
        <f t="shared" si="2"/>
        <v>-785.8</v>
      </c>
      <c r="O9" s="518">
        <f t="shared" si="2"/>
        <v>-785.8</v>
      </c>
      <c r="P9" s="518">
        <f t="shared" si="2"/>
        <v>-785.8</v>
      </c>
      <c r="Q9" s="490">
        <f>SUM(F9:P9)</f>
        <v>-6081.5000000000009</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VIC2</v>
      </c>
      <c r="B13" s="368" t="s">
        <v>317</v>
      </c>
      <c r="C13" s="367"/>
      <c r="D13" s="2"/>
      <c r="E13" s="367" t="s">
        <v>321</v>
      </c>
      <c r="F13" s="367">
        <f>VLOOKUP($A$2,'Footprint Summary'!$B$4:$R$26,COLUMNS('Footprint Summary'!$B$4:F$26)+1,0)*VLOOKUP($A$13,Assumptions!$A$4:$N$14,COLUMNS(Assumptions!$A$4:B$14)+1,0)</f>
        <v>713.33653600000002</v>
      </c>
      <c r="G13" s="367">
        <f>VLOOKUP($A$2,'Footprint Summary'!$B$4:$R$26,COLUMNS('Footprint Summary'!$B$4:G$26)+1,0)*VLOOKUP($A$13,Assumptions!$A$4:$N$14,COLUMNS(Assumptions!$A$4:C$14)+1,0)</f>
        <v>235.39270070000001</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88.971234230000007</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104.92433291729085</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907.2321031472909</v>
      </c>
      <c r="G16" s="434">
        <f t="shared" ref="G16:P16" si="4">SUM(G13:G15)</f>
        <v>235.39270070000001</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t="e">
        <f>1000*F16/(VLOOKUP($A$2,'Asset Attributes'!$B$3:$D$25,3,0))</f>
        <v>#DIV/0!</v>
      </c>
      <c r="G17" s="428" t="e">
        <f>1000*G16/(VLOOKUP($A$2,'Asset Attributes'!$B$3:$D$25,3,0))</f>
        <v>#DIV/0!</v>
      </c>
      <c r="H17" s="428" t="e">
        <f>1000*H16/(VLOOKUP($A$2,'Asset Attributes'!$B$3:$D$25,3,0))</f>
        <v>#DIV/0!</v>
      </c>
      <c r="I17" s="428" t="e">
        <f>1000*I16/(VLOOKUP($A$2,'Asset Attributes'!$B$3:$D$25,3,0))</f>
        <v>#DIV/0!</v>
      </c>
      <c r="J17" s="428" t="e">
        <f>1000*J16/(VLOOKUP($A$2,'Asset Attributes'!$B$3:$D$25,3,0))</f>
        <v>#DIV/0!</v>
      </c>
      <c r="K17" s="428" t="e">
        <f>1000*K16/(VLOOKUP($A$2,'Asset Attributes'!$B$3:$D$25,3,0))</f>
        <v>#DIV/0!</v>
      </c>
      <c r="L17" s="428" t="e">
        <f>1000*L16/(VLOOKUP($A$2,'Asset Attributes'!$B$3:$D$25,3,0))</f>
        <v>#DIV/0!</v>
      </c>
      <c r="M17" s="428" t="e">
        <f>1000*M16/(VLOOKUP($A$2,'Asset Attributes'!$B$3:$D$25,3,0))</f>
        <v>#DIV/0!</v>
      </c>
      <c r="N17" s="428" t="e">
        <f>1000*N16/(VLOOKUP($A$2,'Asset Attributes'!$B$3:$D$25,3,0))</f>
        <v>#DIV/0!</v>
      </c>
      <c r="O17" s="428" t="e">
        <f>1000*O16/(VLOOKUP($A$2,'Asset Attributes'!$B$3:$D$25,3,0))</f>
        <v>#DIV/0!</v>
      </c>
      <c r="P17" s="428" t="e">
        <f>1000*P16/(VLOOKUP($A$2,'Asset Attributes'!$B$3:$D$25,3,0))</f>
        <v>#DIV/0!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213.86260000000004</v>
      </c>
      <c r="H20" s="499">
        <f>-1*(VLOOKUP($A$2,'Footprint Summary'!$B$244:T$266,COLUMNS('Footprint Summary'!$B$244:H$266)+1,0))</f>
        <v>186.97840000000005</v>
      </c>
      <c r="I20" s="499">
        <f>-1*(VLOOKUP($A$2,'Footprint Summary'!$B$244:U$266,COLUMNS('Footprint Summary'!$B$244:I$266)+1,0))</f>
        <v>250.97919999999999</v>
      </c>
      <c r="J20" s="499">
        <f>-1*(VLOOKUP($A$2,'Footprint Summary'!$B$244:V$266,COLUMNS('Footprint Summary'!$B$244:J$266)+1,0))</f>
        <v>277.07179999999994</v>
      </c>
      <c r="K20" s="499">
        <f>-1*(VLOOKUP($A$2,'Footprint Summary'!$B$244:W$266,COLUMNS('Footprint Summary'!$B$244:K$266)+1,0))</f>
        <v>293.85959999999994</v>
      </c>
      <c r="L20" s="499">
        <f>-1*(VLOOKUP($A$2,'Footprint Summary'!$B$244:X$266,COLUMNS('Footprint Summary'!$B$244:L$266)+1,0))</f>
        <v>276.6232</v>
      </c>
      <c r="M20" s="499">
        <f>-1*(VLOOKUP($A$2,'Footprint Summary'!$B$244:Y$266,COLUMNS('Footprint Summary'!$B$244:M$266)+1,0))</f>
        <v>246.77479999999997</v>
      </c>
      <c r="N20" s="499">
        <f>-1*(VLOOKUP($A$2,'Footprint Summary'!$B$244:Z$266,COLUMNS('Footprint Summary'!$B$244:N$266)+1,0))</f>
        <v>221.1576</v>
      </c>
      <c r="O20" s="499">
        <f>-1*(VLOOKUP($A$2,'Footprint Summary'!$B$244:AA$266,COLUMNS('Footprint Summary'!$B$244:O$266)+1,0))</f>
        <v>197.58459999999999</v>
      </c>
      <c r="P20" s="499">
        <f>-1*(VLOOKUP($A$2,'Footprint Summary'!$B$244:AB$266,COLUMNS('Footprint Summary'!$B$244:P$266)+1,0))</f>
        <v>187.7268</v>
      </c>
      <c r="Q20" s="499">
        <f>SUM(G20:P20)</f>
        <v>2352.6185999999998</v>
      </c>
      <c r="R20" s="366"/>
      <c r="S20" s="357"/>
      <c r="T20" s="8"/>
      <c r="U20" s="8"/>
    </row>
    <row r="21" spans="1:21" s="7" customFormat="1" ht="19.5" customHeight="1">
      <c r="A21" s="368" t="str">
        <f>VLOOKUP($A$2,'Asset Attributes'!$B$3:$D$25,2,0)</f>
        <v>VIC2</v>
      </c>
      <c r="B21" s="368" t="s">
        <v>326</v>
      </c>
      <c r="E21" s="367" t="s">
        <v>321</v>
      </c>
      <c r="F21" s="499">
        <f>-1*(VLOOKUP($A$2,'Footprint Summary'!$B$302:$R$324,COLUMNS('Footprint Summary'!$B$302:F324)+1,0))</f>
        <v>0</v>
      </c>
      <c r="G21" s="499">
        <f>-1*(VLOOKUP($A$2,'Footprint Summary'!$B$302:$R$324,COLUMNS('Footprint Summary'!$B$302:G324)+1,0))</f>
        <v>235.39270070000001</v>
      </c>
      <c r="H21" s="499">
        <f>-1*(VLOOKUP($A$2,'Footprint Summary'!$B$302:$R$324,COLUMNS('Footprint Summary'!$B$302:H324)+1,0))</f>
        <v>411.60399760000001</v>
      </c>
      <c r="I21" s="499">
        <f>-1*(VLOOKUP($A$2,'Footprint Summary'!$B$302:$R$324,COLUMNS('Footprint Summary'!$B$302:I324)+1,0))</f>
        <v>317.36393140000001</v>
      </c>
      <c r="J21" s="499">
        <f>-1*(VLOOKUP($A$2,'Footprint Summary'!$B$302:$R$324,COLUMNS('Footprint Summary'!$B$302:J324)+1,0))</f>
        <v>275.76401540000006</v>
      </c>
      <c r="K21" s="499">
        <f>-1*(VLOOKUP($A$2,'Footprint Summary'!$B$302:$R$324,COLUMNS('Footprint Summary'!$B$302:K324)+1,0))</f>
        <v>248.12109420000002</v>
      </c>
      <c r="L21" s="499">
        <f>-1*(VLOOKUP($A$2,'Footprint Summary'!$B$302:$R$324,COLUMNS('Footprint Summary'!$B$302:L324)+1,0))</f>
        <v>233.56749640000004</v>
      </c>
      <c r="M21" s="499">
        <f>-1*(VLOOKUP($A$2,'Footprint Summary'!$B$302:$R$324,COLUMNS('Footprint Summary'!$B$302:M324)+1,0))</f>
        <v>208.36492460000002</v>
      </c>
      <c r="N21" s="499">
        <f>-1*(VLOOKUP($A$2,'Footprint Summary'!$B$302:$R$324,COLUMNS('Footprint Summary'!$B$302:N324)+1,0))</f>
        <v>178.93115280000004</v>
      </c>
      <c r="O21" s="499">
        <f>-1*(VLOOKUP($A$2,'Footprint Summary'!$B$302:$R$324,COLUMNS('Footprint Summary'!$B$302:O324)+1,0))</f>
        <v>159.85903380000005</v>
      </c>
      <c r="P21" s="499">
        <f>-1*(VLOOKUP($A$2,'Footprint Summary'!$B$302:$R$324,COLUMNS('Footprint Summary'!$B$302:P324)+1,0))</f>
        <v>151.88342040000003</v>
      </c>
      <c r="Q21" s="499">
        <f t="shared" ref="Q21:Q27" si="6">SUM(G21:P21)</f>
        <v>2420.8517673000001</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81.298417229999998</v>
      </c>
      <c r="H22" s="499">
        <f>(VLOOKUP($A$2,'Footprint Summary'!$B$33:$R$55,COLUMNS('Footprint Summary'!$B$33:H$55)+1,0)*VLOOKUP($B$14,Assumptions!$B$17:$N$29,COLUMNS(Assumptions!$B$18:D$29)+1,0)/1000)</f>
        <v>81.298417229999998</v>
      </c>
      <c r="I22" s="499">
        <f>(VLOOKUP($A$2,'Footprint Summary'!$B$33:$R$55,COLUMNS('Footprint Summary'!$B$33:I$55)+1,0)*VLOOKUP($B$14,Assumptions!$B$17:$N$29,COLUMNS(Assumptions!$B$18:E$29)+1,0)/1000)</f>
        <v>67.478071229999998</v>
      </c>
      <c r="J22" s="499">
        <f>(VLOOKUP($A$2,'Footprint Summary'!$B$33:$R$55,COLUMNS('Footprint Summary'!$B$33:J$55)+1,0)*VLOOKUP($B$14,Assumptions!$B$17:$N$29,COLUMNS(Assumptions!$B$18:F$29)+1,0)/1000)</f>
        <v>50.20521523</v>
      </c>
      <c r="K22" s="499">
        <f>(VLOOKUP($A$2,'Footprint Summary'!$B$33:$R$55,COLUMNS('Footprint Summary'!$B$33:K$55)+1,0)*VLOOKUP($B$14,Assumptions!$B$17:$N$29,COLUMNS(Assumptions!$B$18:G$29)+1,0)/1000)</f>
        <v>50.20521523</v>
      </c>
      <c r="L22" s="499">
        <f>(VLOOKUP($A$2,'Footprint Summary'!$B$33:$R$55,COLUMNS('Footprint Summary'!$B$33:L$55)+1,0)*VLOOKUP($B$14,Assumptions!$B$17:$N$29,COLUMNS(Assumptions!$B$18:H$29)+1,0)/1000)</f>
        <v>50.20521523</v>
      </c>
      <c r="M22" s="499">
        <f>(VLOOKUP($A$2,'Footprint Summary'!$B$33:$R$55,COLUMNS('Footprint Summary'!$B$33:M$55)+1,0)*VLOOKUP($B$14,Assumptions!$B$17:$N$29,COLUMNS(Assumptions!$B$18:I$29)+1,0)/1000)</f>
        <v>50.20521523</v>
      </c>
      <c r="N22" s="499">
        <f>(VLOOKUP($A$2,'Footprint Summary'!$B$33:$R$55,COLUMNS('Footprint Summary'!$B$33:N$55)+1,0)*VLOOKUP($B$14,Assumptions!$B$17:$N$29,COLUMNS(Assumptions!$B$18:J$29)+1,0)/1000)</f>
        <v>48.478960229999998</v>
      </c>
      <c r="O22" s="499">
        <f>(VLOOKUP($A$2,'Footprint Summary'!$B$33:$R$55,COLUMNS('Footprint Summary'!$B$33:O$55)+1,0)*VLOOKUP($B$14,Assumptions!$B$17:$N$29,COLUMNS(Assumptions!$B$18:K$29)+1,0)/1000)</f>
        <v>48.478960229999998</v>
      </c>
      <c r="P22" s="499">
        <f>(VLOOKUP($A$2,'Footprint Summary'!$B$33:$R$55,COLUMNS('Footprint Summary'!$B$33:P$55)+1,0)*VLOOKUP($B$14,Assumptions!$B$17:$N$29,COLUMNS(Assumptions!$B$18:L$29)+1,0)/1000)</f>
        <v>48.478960229999998</v>
      </c>
      <c r="Q22" s="499">
        <f t="shared" si="6"/>
        <v>576.33264730000008</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7.6728170000000047</v>
      </c>
      <c r="H23" s="499">
        <f>-1*(VLOOKUP($A$2,'Footprint Summary'!$B$273:T$295,COLUMNS('Footprint Summary'!$B$273:H$295)+1,0))</f>
        <v>7.6728170000000047</v>
      </c>
      <c r="I23" s="499">
        <f>-1*(VLOOKUP($A$2,'Footprint Summary'!$B$273:U$295,COLUMNS('Footprint Summary'!$B$273:I$295)+1,0))</f>
        <v>21.493162999999996</v>
      </c>
      <c r="J23" s="499">
        <f>-1*(VLOOKUP($A$2,'Footprint Summary'!$B$273:V$295,COLUMNS('Footprint Summary'!$B$273:J$295)+1,0))</f>
        <v>38.766019</v>
      </c>
      <c r="K23" s="499">
        <f>-1*(VLOOKUP($A$2,'Footprint Summary'!$B$273:W$295,COLUMNS('Footprint Summary'!$B$273:K$295)+1,0))</f>
        <v>38.766019</v>
      </c>
      <c r="L23" s="499">
        <f>-1*(VLOOKUP($A$2,'Footprint Summary'!$B$273:X$295,COLUMNS('Footprint Summary'!$B$273:L$295)+1,0))</f>
        <v>38.766019</v>
      </c>
      <c r="M23" s="499">
        <f>-1*(VLOOKUP($A$2,'Footprint Summary'!$B$273:Y$295,COLUMNS('Footprint Summary'!$B$273:M$295)+1,0))</f>
        <v>38.766019</v>
      </c>
      <c r="N23" s="499">
        <f>-1*(VLOOKUP($A$2,'Footprint Summary'!$B$273:Z$295,COLUMNS('Footprint Summary'!$B$273:N$295)+1,0))</f>
        <v>40.492273999999995</v>
      </c>
      <c r="O23" s="499">
        <f>-1*(VLOOKUP($A$2,'Footprint Summary'!$B$273:AA$295,COLUMNS('Footprint Summary'!$B$273:O$295)+1,0))</f>
        <v>40.492273999999995</v>
      </c>
      <c r="P23" s="499">
        <f>-1*(VLOOKUP($A$2,'Footprint Summary'!$B$273:AB$295,COLUMNS('Footprint Summary'!$B$273:P$295)+1,0))</f>
        <v>40.492273999999995</v>
      </c>
      <c r="Q23" s="499">
        <f t="shared" si="6"/>
        <v>313.37969500000003</v>
      </c>
      <c r="R23" s="366"/>
      <c r="S23" s="357"/>
      <c r="T23" s="8"/>
      <c r="U23" s="8"/>
    </row>
    <row r="24" spans="1:21" s="7" customFormat="1" ht="19.5" customHeight="1">
      <c r="A24" s="419" t="s">
        <v>319</v>
      </c>
      <c r="B24" s="419" t="s">
        <v>329</v>
      </c>
      <c r="E24" s="425" t="s">
        <v>321</v>
      </c>
      <c r="F24" s="499">
        <v>0</v>
      </c>
      <c r="G24" s="499">
        <f>VLOOKUP($A$2,'Footprint Summary'!$B$216:$R$238,COLUMNS('Footprint Summary'!$B$216:G238)+1,0)</f>
        <v>93.89625072892521</v>
      </c>
      <c r="H24" s="499">
        <f>VLOOKUP($A$2,'Footprint Summary'!$B$216:$R$238,COLUMNS('Footprint Summary'!$B$216:H238)+1,0)</f>
        <v>82.868168540559552</v>
      </c>
      <c r="I24" s="499">
        <f>VLOOKUP($A$2,'Footprint Summary'!$B$216:$R$238,COLUMNS('Footprint Summary'!$B$216:I238)+1,0)</f>
        <v>71.840086352193893</v>
      </c>
      <c r="J24" s="499">
        <f>VLOOKUP($A$2,'Footprint Summary'!$B$216:$R$238,COLUMNS('Footprint Summary'!$B$216:J238)+1,0)</f>
        <v>60.812004163828249</v>
      </c>
      <c r="K24" s="499">
        <f>VLOOKUP($A$2,'Footprint Summary'!$B$216:$R$238,COLUMNS('Footprint Summary'!$B$216:K238)+1,0)</f>
        <v>49.78392197546259</v>
      </c>
      <c r="L24" s="499">
        <f>VLOOKUP($A$2,'Footprint Summary'!$B$216:$R$238,COLUMNS('Footprint Summary'!$B$216:L238)+1,0)</f>
        <v>38.755839787096939</v>
      </c>
      <c r="M24" s="499">
        <f>VLOOKUP($A$2,'Footprint Summary'!$B$216:$R$238,COLUMNS('Footprint Summary'!$B$216:M238)+1,0)</f>
        <v>27.727757598731287</v>
      </c>
      <c r="N24" s="499">
        <f>VLOOKUP($A$2,'Footprint Summary'!$B$216:$R$238,COLUMNS('Footprint Summary'!$B$216:N238)+1,0)</f>
        <v>16.699675410365636</v>
      </c>
      <c r="O24" s="499">
        <f>VLOOKUP($A$2,'Footprint Summary'!$B$216:$R$238,COLUMNS('Footprint Summary'!$B$216:O238)+1,0)</f>
        <v>5.6715932219999861</v>
      </c>
      <c r="P24" s="499">
        <f>VLOOKUP($A$2,'Footprint Summary'!$B$216:$R$238,COLUMNS('Footprint Summary'!$B$216:P238)+1,0)</f>
        <v>5.6715932219999994</v>
      </c>
      <c r="Q24" s="499">
        <f t="shared" si="6"/>
        <v>453.72689100116332</v>
      </c>
      <c r="R24" s="366"/>
      <c r="S24" s="357"/>
      <c r="T24" s="8"/>
      <c r="U24" s="8"/>
    </row>
    <row r="25" spans="1:21" s="7" customFormat="1" ht="19.5" customHeight="1">
      <c r="A25" s="419" t="s">
        <v>319</v>
      </c>
      <c r="B25" s="419" t="s">
        <v>319</v>
      </c>
      <c r="E25" s="425" t="s">
        <v>321</v>
      </c>
      <c r="F25" s="499">
        <f>VLOOKUP($A$2,'Footprint Summary'!$B$216:$R$238,COLUMNS('Footprint Summary'!$B$216:F238)+1,0)-F24</f>
        <v>104.92433291729085</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88.971234230000007</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VIC2</v>
      </c>
      <c r="B27" s="368" t="s">
        <v>330</v>
      </c>
      <c r="E27" s="425" t="s">
        <v>321</v>
      </c>
      <c r="F27" s="367">
        <f>VLOOKUP($A$2,'Footprint Summary'!$B$4:$R$26,COLUMNS('Footprint Summary'!$B$4:F$26)+1,0)*VLOOKUP($A$13,Assumptions!$A$4:$N$14,COLUMNS(Assumptions!$A$4:B$14)+1,0)</f>
        <v>713.33653600000002</v>
      </c>
      <c r="G27" s="499">
        <f>VLOOKUP($A$2,'Footprint Summary'!$B$4:$R$26,COLUMNS('Footprint Summary'!$B$4:G$26)+1,0)*VLOOKUP($A$13,Assumptions!$A$4:$N$14,COLUMNS(Assumptions!$A$4:C$14)+1,0)</f>
        <v>235.39270070000001</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235.39270070000001</v>
      </c>
      <c r="R27" s="366"/>
      <c r="S27" s="357"/>
      <c r="T27" s="8"/>
      <c r="U27" s="8"/>
    </row>
    <row r="28" spans="1:21" s="7" customFormat="1" ht="19.5" customHeight="1" thickBot="1">
      <c r="E28" s="425" t="s">
        <v>321</v>
      </c>
      <c r="F28" s="434">
        <f>SUM(F20:F23)</f>
        <v>0</v>
      </c>
      <c r="G28" s="434">
        <f t="shared" ref="G28:P28" si="7">SUM(G20:G23)</f>
        <v>538.22653493000007</v>
      </c>
      <c r="H28" s="434">
        <f t="shared" si="7"/>
        <v>687.55363183000009</v>
      </c>
      <c r="I28" s="434">
        <f t="shared" si="7"/>
        <v>657.31436562999988</v>
      </c>
      <c r="J28" s="434">
        <f t="shared" si="7"/>
        <v>641.80704963000005</v>
      </c>
      <c r="K28" s="434">
        <f t="shared" si="7"/>
        <v>630.95192843000007</v>
      </c>
      <c r="L28" s="434">
        <f t="shared" si="7"/>
        <v>599.16193063000003</v>
      </c>
      <c r="M28" s="434">
        <f t="shared" si="7"/>
        <v>544.11095883000007</v>
      </c>
      <c r="N28" s="434">
        <f t="shared" si="7"/>
        <v>489.05998703000006</v>
      </c>
      <c r="O28" s="434">
        <f t="shared" si="7"/>
        <v>446.41486803000004</v>
      </c>
      <c r="P28" s="434">
        <f t="shared" si="7"/>
        <v>428.58145463</v>
      </c>
      <c r="Q28" s="434">
        <f t="shared" ref="Q28" si="8">SUM(Q20:Q24)</f>
        <v>6116.9096006011632</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201250.68</v>
      </c>
      <c r="G32" s="424">
        <f>VLOOKUP($A$2,'Costs Summary'!$B$154:$R$176,COLUMNS('Costs Summary'!$B$154:G$176)+1,0)</f>
        <v>292116.0259280894</v>
      </c>
      <c r="H32" s="424">
        <f>VLOOKUP($A$2,'Costs Summary'!$B$154:$R$176,COLUMNS('Costs Summary'!$B$154:H$176)+1,0)</f>
        <v>302340.0868355725</v>
      </c>
      <c r="I32" s="424">
        <f>VLOOKUP($A$2,'Costs Summary'!$B$154:$R$176,COLUMNS('Costs Summary'!$B$154:I$176)+1,0)</f>
        <v>312921.98987481749</v>
      </c>
      <c r="J32" s="424">
        <f>VLOOKUP($A$2,'Costs Summary'!$B$154:$R$176,COLUMNS('Costs Summary'!$B$154:J$176)+1,0)</f>
        <v>323874.25952043611</v>
      </c>
      <c r="K32" s="424">
        <f>VLOOKUP($A$2,'Costs Summary'!$B$154:$R$176,COLUMNS('Costs Summary'!$B$154:K$176)+1,0)</f>
        <v>335209.85860365134</v>
      </c>
      <c r="L32" s="424">
        <f>VLOOKUP($A$2,'Costs Summary'!$B$154:$R$176,COLUMNS('Costs Summary'!$B$154:L$176)+1,0)</f>
        <v>346942.20365477912</v>
      </c>
      <c r="M32" s="424">
        <f>VLOOKUP($A$2,'Costs Summary'!$B$154:$R$176,COLUMNS('Costs Summary'!$B$154:M$176)+1,0)</f>
        <v>359085.18078269635</v>
      </c>
      <c r="N32" s="424">
        <f>VLOOKUP($A$2,'Costs Summary'!$B$154:$R$176,COLUMNS('Costs Summary'!$B$154:N$176)+1,0)</f>
        <v>430902.21693923563</v>
      </c>
      <c r="O32" s="424">
        <f>VLOOKUP($A$2,'Costs Summary'!$B$154:$R$176,COLUMNS('Costs Summary'!$B$154:O$176)+1,0)</f>
        <v>445983.79453210882</v>
      </c>
      <c r="P32" s="424">
        <f>VLOOKUP($A$2,'Costs Summary'!$B$154:$R$176,COLUMNS('Costs Summary'!$B$154:P$176)+1,0)</f>
        <v>461593.22734073264</v>
      </c>
      <c r="Q32" s="433">
        <f>SUM(G32:P32)</f>
        <v>3610968.8440121198</v>
      </c>
      <c r="R32" s="366"/>
      <c r="S32" s="357"/>
      <c r="T32" s="8"/>
      <c r="U32" s="8"/>
    </row>
    <row r="33" spans="1:21" s="7" customFormat="1" ht="17.25" customHeight="1">
      <c r="A33" s="368" t="s">
        <v>284</v>
      </c>
      <c r="B33" s="368" t="s">
        <v>335</v>
      </c>
      <c r="C33" s="423"/>
      <c r="D33" s="423"/>
      <c r="E33" s="423"/>
      <c r="F33" s="424">
        <f>VLOOKUP($A$2,'Costs Summary'!$B$183:$R$205,COLUMNS('Costs Summary'!$B$183:F$205)+1,0)</f>
        <v>30753.603199999998</v>
      </c>
      <c r="G33" s="424">
        <f>VLOOKUP($A$2,'Costs Summary'!$B$183:$R$205,COLUMNS('Costs Summary'!$B$183:G$205)+1,0)</f>
        <v>32618.238019579778</v>
      </c>
      <c r="H33" s="424">
        <f>VLOOKUP($A$2,'Costs Summary'!$B$183:$R$205,COLUMNS('Costs Summary'!$B$183:H$205)+1,0)</f>
        <v>33596.785160167172</v>
      </c>
      <c r="I33" s="424">
        <f>VLOOKUP($A$2,'Costs Summary'!$B$183:$R$205,COLUMNS('Costs Summary'!$B$183:I$205)+1,0)</f>
        <v>34604.688714972188</v>
      </c>
      <c r="J33" s="424">
        <f>VLOOKUP($A$2,'Costs Summary'!$B$183:$R$205,COLUMNS('Costs Summary'!$B$183:J$205)+1,0)</f>
        <v>35642.829376421359</v>
      </c>
      <c r="K33" s="424">
        <f>VLOOKUP($A$2,'Costs Summary'!$B$183:$R$205,COLUMNS('Costs Summary'!$B$183:K$205)+1,0)</f>
        <v>36712.114257713998</v>
      </c>
      <c r="L33" s="424">
        <f>VLOOKUP($A$2,'Costs Summary'!$B$183:$R$205,COLUMNS('Costs Summary'!$B$183:L$205)+1,0)</f>
        <v>37813.477685445418</v>
      </c>
      <c r="M33" s="424">
        <f>VLOOKUP($A$2,'Costs Summary'!$B$183:$R$205,COLUMNS('Costs Summary'!$B$183:M$205)+1,0)</f>
        <v>38947.882016008785</v>
      </c>
      <c r="N33" s="424">
        <f>VLOOKUP($A$2,'Costs Summary'!$B$183:$R$205,COLUMNS('Costs Summary'!$B$183:N$205)+1,0)</f>
        <v>40116.318476489047</v>
      </c>
      <c r="O33" s="424">
        <f>VLOOKUP($A$2,'Costs Summary'!$B$183:$R$205,COLUMNS('Costs Summary'!$B$183:O$205)+1,0)</f>
        <v>41319.808030783723</v>
      </c>
      <c r="P33" s="424">
        <f>VLOOKUP($A$2,'Costs Summary'!$B$183:$R$205,COLUMNS('Costs Summary'!$B$183:P$205)+1,0)</f>
        <v>42559.402271707237</v>
      </c>
      <c r="Q33" s="433">
        <f>SUM(G33:P33)</f>
        <v>373931.54400928877</v>
      </c>
      <c r="R33" s="366"/>
      <c r="S33" s="357"/>
      <c r="T33" s="8"/>
      <c r="U33" s="8"/>
    </row>
    <row r="34" spans="1:21" s="7" customFormat="1" ht="17.25" customHeight="1">
      <c r="A34" s="368" t="s">
        <v>284</v>
      </c>
      <c r="B34" s="368" t="s">
        <v>336</v>
      </c>
      <c r="H34" s="424">
        <f>VLOOKUP($A$2,'Costs Summary'!$B$241:$R$263,COLUMNS('Costs Summary'!$B$241:H263)+1,0)</f>
        <v>4877.9050337999997</v>
      </c>
      <c r="I34" s="424">
        <f>VLOOKUP($A$2,'Costs Summary'!$B$241:$R$263,COLUMNS('Costs Summary'!$B$241:I263)+1,0)</f>
        <v>4877.9050337999997</v>
      </c>
      <c r="J34" s="424">
        <f>VLOOKUP($A$2,'Costs Summary'!$B$241:$R$263,COLUMNS('Costs Summary'!$B$241:J263)+1,0)</f>
        <v>4877.9050337999997</v>
      </c>
      <c r="K34" s="424">
        <f>VLOOKUP($A$2,'Costs Summary'!$B$241:$R$263,COLUMNS('Costs Summary'!$B$241:K263)+1,0)</f>
        <v>4877.9050337999997</v>
      </c>
      <c r="L34" s="424">
        <f>VLOOKUP($A$2,'Costs Summary'!$B$241:$R$263,COLUMNS('Costs Summary'!$B$241:L263)+1,0)</f>
        <v>4877.9050337999997</v>
      </c>
      <c r="M34" s="424">
        <f>VLOOKUP($A$2,'Costs Summary'!$B$241:$R$263,COLUMNS('Costs Summary'!$B$241:M263)+1,0)</f>
        <v>4877.9050337999997</v>
      </c>
      <c r="N34" s="424">
        <f>VLOOKUP($A$2,'Costs Summary'!$B$241:$R$263,COLUMNS('Costs Summary'!$B$241:N263)+1,0)</f>
        <v>4877.9050337999997</v>
      </c>
      <c r="O34" s="424">
        <f>VLOOKUP($A$2,'Costs Summary'!$B$241:$R$263,COLUMNS('Costs Summary'!$B$241:O263)+1,0)</f>
        <v>4877.9050337999997</v>
      </c>
      <c r="P34" s="424">
        <f>VLOOKUP($A$2,'Costs Summary'!$B$241:$R$263,COLUMNS('Costs Summary'!$B$241:P263)+1,0)</f>
        <v>4877.9050337999997</v>
      </c>
      <c r="Q34" s="433">
        <f>SUM(G34:P34)</f>
        <v>43901.145304200007</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4972.0901124335733</v>
      </c>
      <c r="I35" s="424">
        <f>VLOOKUP($A$2,'Costs Summary'!$B$212:$R$234,COLUMNS('Costs Summary'!$B$212:I$234)+1,0)</f>
        <v>4310.405181131634</v>
      </c>
      <c r="J35" s="424">
        <f>VLOOKUP($A$2,'Costs Summary'!$B$212:$R$234,COLUMNS('Costs Summary'!$B$212:J$234)+1,0)</f>
        <v>3648.7202498296947</v>
      </c>
      <c r="K35" s="424">
        <f>VLOOKUP($A$2,'Costs Summary'!$B$212:$R$234,COLUMNS('Costs Summary'!$B$212:K$234)+1,0)</f>
        <v>2987.0353185277554</v>
      </c>
      <c r="L35" s="424">
        <f>VLOOKUP($A$2,'Costs Summary'!$B$212:$R$234,COLUMNS('Costs Summary'!$B$212:L$234)+1,0)</f>
        <v>2325.3503872258161</v>
      </c>
      <c r="M35" s="424">
        <f>VLOOKUP($A$2,'Costs Summary'!$B$212:$R$234,COLUMNS('Costs Summary'!$B$212:M$234)+1,0)</f>
        <v>1663.6654559238773</v>
      </c>
      <c r="N35" s="424">
        <f>VLOOKUP($A$2,'Costs Summary'!$B$212:$R$234,COLUMNS('Costs Summary'!$B$212:N$234)+1,0)</f>
        <v>1001.9805246219381</v>
      </c>
      <c r="O35" s="424">
        <f>VLOOKUP($A$2,'Costs Summary'!$B$212:$R$234,COLUMNS('Costs Summary'!$B$212:O$234)+1,0)</f>
        <v>340.29559331999917</v>
      </c>
      <c r="P35" s="424">
        <f>VLOOKUP($A$2,'Costs Summary'!$B$212:$R$234,COLUMNS('Costs Summary'!$B$212:P$234)+1,0)</f>
        <v>340.29559331999997</v>
      </c>
      <c r="Q35" s="433">
        <f>SUM(G35:P35)</f>
        <v>21589.838416334285</v>
      </c>
      <c r="R35" s="366"/>
      <c r="S35" s="357"/>
      <c r="T35" s="8"/>
      <c r="U35" s="8"/>
    </row>
    <row r="36" spans="1:21" s="7" customFormat="1" ht="17.25" customHeight="1" thickBot="1">
      <c r="A36" s="437" t="s">
        <v>338</v>
      </c>
      <c r="C36" s="423"/>
      <c r="D36" s="423"/>
      <c r="E36" s="368" t="s">
        <v>669</v>
      </c>
      <c r="F36" s="461">
        <f t="shared" ref="F36:P36" si="10">SUM(F32:F35)</f>
        <v>232004.28320000001</v>
      </c>
      <c r="G36" s="461">
        <f t="shared" si="10"/>
        <v>324734.26394766918</v>
      </c>
      <c r="H36" s="461">
        <f t="shared" si="10"/>
        <v>345786.86714197323</v>
      </c>
      <c r="I36" s="461">
        <f t="shared" si="10"/>
        <v>356714.98880472127</v>
      </c>
      <c r="J36" s="461">
        <f t="shared" si="10"/>
        <v>368043.71418048715</v>
      </c>
      <c r="K36" s="461">
        <f t="shared" si="10"/>
        <v>379786.91321369313</v>
      </c>
      <c r="L36" s="461">
        <f t="shared" si="10"/>
        <v>391958.93676125031</v>
      </c>
      <c r="M36" s="461">
        <f t="shared" si="10"/>
        <v>404574.633288429</v>
      </c>
      <c r="N36" s="461">
        <f t="shared" si="10"/>
        <v>476898.42097414663</v>
      </c>
      <c r="O36" s="461">
        <f t="shared" si="10"/>
        <v>492521.80319001252</v>
      </c>
      <c r="P36" s="461">
        <f t="shared" si="10"/>
        <v>509370.83023955987</v>
      </c>
      <c r="Q36" s="462">
        <f t="shared" ref="Q36" si="11">SUM(Q32:Q35)</f>
        <v>4050391.3717419431</v>
      </c>
      <c r="R36" s="366"/>
      <c r="S36" s="357"/>
      <c r="T36" s="8"/>
      <c r="U36" s="8"/>
    </row>
    <row r="37" spans="1:21" s="7" customFormat="1" ht="17.25" customHeight="1" thickTop="1" thickBot="1">
      <c r="C37" s="423"/>
      <c r="D37" s="423"/>
      <c r="E37" s="368" t="s">
        <v>340</v>
      </c>
      <c r="F37" s="468" t="e">
        <f>F36/(VLOOKUP($A$2,'Asset Attributes'!$B$3:$D$25,3,0))</f>
        <v>#DIV/0!</v>
      </c>
      <c r="G37" s="468" t="e">
        <f>G36/(VLOOKUP($A$2,'Asset Attributes'!$B$3:$D$25,3,0))</f>
        <v>#DIV/0!</v>
      </c>
      <c r="H37" s="468" t="e">
        <f>H36/(VLOOKUP($A$2,'Asset Attributes'!$B$3:$D$25,3,0))</f>
        <v>#DIV/0!</v>
      </c>
      <c r="I37" s="468" t="e">
        <f>I36/(VLOOKUP($A$2,'Asset Attributes'!$B$3:$D$25,3,0))</f>
        <v>#DIV/0!</v>
      </c>
      <c r="J37" s="468" t="e">
        <f>J36/(VLOOKUP($A$2,'Asset Attributes'!$B$3:$D$25,3,0))</f>
        <v>#DIV/0!</v>
      </c>
      <c r="K37" s="468" t="e">
        <f>K36/(VLOOKUP($A$2,'Asset Attributes'!$B$3:$D$25,3,0))</f>
        <v>#DIV/0!</v>
      </c>
      <c r="L37" s="468" t="e">
        <f>L36/(VLOOKUP($A$2,'Asset Attributes'!$B$3:$D$25,3,0))</f>
        <v>#DIV/0!</v>
      </c>
      <c r="M37" s="468" t="e">
        <f>M36/(VLOOKUP($A$2,'Asset Attributes'!$B$3:$D$25,3,0))</f>
        <v>#DIV/0!</v>
      </c>
      <c r="N37" s="468" t="e">
        <f>N36/(VLOOKUP($A$2,'Asset Attributes'!$B$3:$D$25,3,0))</f>
        <v>#DIV/0!</v>
      </c>
      <c r="O37" s="468" t="e">
        <f>O36/(VLOOKUP($A$2,'Asset Attributes'!$B$3:$D$25,3,0))</f>
        <v>#DIV/0!</v>
      </c>
      <c r="P37" s="468" t="e">
        <f>P36/(VLOOKUP($A$2,'Asset Attributes'!$B$3:$D$25,3,0))</f>
        <v>#DIV/0!</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VIC2</v>
      </c>
      <c r="B39" s="368" t="s">
        <v>342</v>
      </c>
      <c r="C39" s="423"/>
      <c r="D39" s="423"/>
      <c r="E39" s="367"/>
      <c r="F39" s="424">
        <f>VLOOKUP($A$2,'Costs Summary'!$B$4:$R$26,COLUMNS('Costs Summary'!$B$4:F$26)+1,0)</f>
        <v>201250.68</v>
      </c>
      <c r="G39" s="424">
        <f>VLOOKUP($A$2,'Costs Summary'!$B$4:$R$26,COLUMNS('Costs Summary'!$B$4:G$26)+1,0)</f>
        <v>200868.12528585931</v>
      </c>
      <c r="H39" s="424">
        <f>VLOOKUP($A$2,'Costs Summary'!$B$4:$R$26,COLUMNS('Costs Summary'!$B$4:H$26)+1,0)</f>
        <v>207898.50967086435</v>
      </c>
      <c r="I39" s="424">
        <f>VLOOKUP($A$2,'Costs Summary'!$B$4:$R$26,COLUMNS('Costs Summary'!$B$4:I$26)+1,0)</f>
        <v>174736.25956128354</v>
      </c>
      <c r="J39" s="424">
        <f>VLOOKUP($A$2,'Costs Summary'!$B$4:$R$26,COLUMNS('Costs Summary'!$B$4:J$26)+1,0)</f>
        <v>161554.05240059478</v>
      </c>
      <c r="K39" s="424">
        <f>VLOOKUP($A$2,'Costs Summary'!$B$4:$R$26,COLUMNS('Costs Summary'!$B$4:K$26)+1,0)</f>
        <v>153460.51583282626</v>
      </c>
      <c r="L39" s="424">
        <f>VLOOKUP($A$2,'Costs Summary'!$B$4:$R$26,COLUMNS('Costs Summary'!$B$4:L$26)+1,0)</f>
        <v>158831.63388697518</v>
      </c>
      <c r="M39" s="424">
        <f>VLOOKUP($A$2,'Costs Summary'!$B$4:$R$26,COLUMNS('Costs Summary'!$B$4:M$26)+1,0)</f>
        <v>164390.74107301928</v>
      </c>
      <c r="N39" s="424">
        <f>VLOOKUP($A$2,'Costs Summary'!$B$4:$R$26,COLUMNS('Costs Summary'!$B$4:N$26)+1,0)</f>
        <v>192711.81676920445</v>
      </c>
      <c r="O39" s="424">
        <f>VLOOKUP($A$2,'Costs Summary'!$B$4:$R$26,COLUMNS('Costs Summary'!$B$4:O$26)+1,0)</f>
        <v>199456.73035612659</v>
      </c>
      <c r="P39" s="424">
        <f>VLOOKUP($A$2,'Costs Summary'!$B$4:$R$26,COLUMNS('Costs Summary'!$B$4:P$26)+1,0)</f>
        <v>206437.71591859101</v>
      </c>
      <c r="Q39" s="433">
        <f>SUM(G39:P39)</f>
        <v>1820346.1007553448</v>
      </c>
      <c r="R39" s="366"/>
      <c r="S39" s="357"/>
      <c r="T39" s="8"/>
      <c r="U39" s="8"/>
    </row>
    <row r="40" spans="1:21" s="7" customFormat="1" ht="17.25" customHeight="1">
      <c r="A40" s="368" t="s">
        <v>284</v>
      </c>
      <c r="B40" s="368" t="s">
        <v>343</v>
      </c>
      <c r="C40" s="423"/>
      <c r="D40" s="423"/>
      <c r="E40" s="423"/>
      <c r="F40" s="424">
        <f>VLOOKUP($A$2,'Costs Summary'!$B$33:$R$55,COLUMNS('Costs Summary'!$B$33:F$55)+1,0)</f>
        <v>30753.603199999998</v>
      </c>
      <c r="G40" s="424">
        <f>VLOOKUP($A$2,'Costs Summary'!$B$33:$R$55,COLUMNS('Costs Summary'!$B$33:G$55)+1,0)</f>
        <v>29805.263990921321</v>
      </c>
      <c r="H40" s="424">
        <f>VLOOKUP($A$2,'Costs Summary'!$B$33:$R$55,COLUMNS('Costs Summary'!$B$33:H$55)+1,0)</f>
        <v>30699.421910648962</v>
      </c>
      <c r="I40" s="424">
        <f>VLOOKUP($A$2,'Costs Summary'!$B$33:$R$55,COLUMNS('Costs Summary'!$B$33:I$55)+1,0)</f>
        <v>26245.085506676249</v>
      </c>
      <c r="J40" s="424">
        <f>VLOOKUP($A$2,'Costs Summary'!$B$33:$R$55,COLUMNS('Costs Summary'!$B$33:J$55)+1,0)</f>
        <v>20112.746953958951</v>
      </c>
      <c r="K40" s="424">
        <f>VLOOKUP($A$2,'Costs Summary'!$B$33:$R$55,COLUMNS('Costs Summary'!$B$33:K$55)+1,0)</f>
        <v>20716.129362577722</v>
      </c>
      <c r="L40" s="424">
        <f>VLOOKUP($A$2,'Costs Summary'!$B$33:$R$55,COLUMNS('Costs Summary'!$B$33:L$55)+1,0)</f>
        <v>21337.613243455053</v>
      </c>
      <c r="M40" s="424">
        <f>VLOOKUP($A$2,'Costs Summary'!$B$33:$R$55,COLUMNS('Costs Summary'!$B$33:M$55)+1,0)</f>
        <v>21977.741640758704</v>
      </c>
      <c r="N40" s="424">
        <f>VLOOKUP($A$2,'Costs Summary'!$B$33:$R$55,COLUMNS('Costs Summary'!$B$33:N$55)+1,0)</f>
        <v>21858.721246557296</v>
      </c>
      <c r="O40" s="424">
        <f>VLOOKUP($A$2,'Costs Summary'!$B$33:$R$55,COLUMNS('Costs Summary'!$B$33:O$55)+1,0)</f>
        <v>22514.482883954017</v>
      </c>
      <c r="P40" s="424">
        <f>VLOOKUP($A$2,'Costs Summary'!$B$33:$R$55,COLUMNS('Costs Summary'!$B$33:P$55)+1,0)</f>
        <v>23189.917370472638</v>
      </c>
      <c r="Q40" s="433">
        <f>SUM(G40:P40)</f>
        <v>238457.12410998088</v>
      </c>
      <c r="R40" s="366"/>
      <c r="S40" s="357"/>
      <c r="T40" s="8"/>
      <c r="U40" s="8"/>
    </row>
    <row r="41" spans="1:21" s="7" customFormat="1" ht="17.25" customHeight="1">
      <c r="A41" s="368" t="s">
        <v>284</v>
      </c>
      <c r="B41" s="368" t="s">
        <v>336</v>
      </c>
      <c r="H41" s="424">
        <f>VLOOKUP($A$2,'Costs Summary'!$B$125:$R$147,COLUMNS('Costs Summary'!$B$125:H$147)+1,0)</f>
        <v>4877.9050337999997</v>
      </c>
      <c r="I41" s="424">
        <f>VLOOKUP($A$2,'Costs Summary'!$B$125:$R$147,COLUMNS('Costs Summary'!$B$125:I$147)+1,0)</f>
        <v>4048.6842738</v>
      </c>
      <c r="J41" s="424">
        <f>VLOOKUP($A$2,'Costs Summary'!$B$125:$R$147,COLUMNS('Costs Summary'!$B$125:J$147)+1,0)</f>
        <v>3012.3129137999999</v>
      </c>
      <c r="K41" s="424">
        <f>VLOOKUP($A$2,'Costs Summary'!$B$125:$R$147,COLUMNS('Costs Summary'!$B$125:K$147)+1,0)</f>
        <v>3012.3129137999999</v>
      </c>
      <c r="L41" s="424">
        <f>VLOOKUP($A$2,'Costs Summary'!$B$125:$R$147,COLUMNS('Costs Summary'!$B$125:L$147)+1,0)</f>
        <v>3012.3129137999999</v>
      </c>
      <c r="M41" s="424">
        <f>VLOOKUP($A$2,'Costs Summary'!$B$125:$R$147,COLUMNS('Costs Summary'!$B$125:M$147)+1,0)</f>
        <v>3012.3129137999999</v>
      </c>
      <c r="N41" s="424">
        <f>VLOOKUP($A$2,'Costs Summary'!$B$125:$R$147,COLUMNS('Costs Summary'!$B$125:N$147)+1,0)</f>
        <v>2908.7376138</v>
      </c>
      <c r="O41" s="424">
        <f>VLOOKUP($A$2,'Costs Summary'!$B$125:$R$147,COLUMNS('Costs Summary'!$B$125:O$147)+1,0)</f>
        <v>2908.7376138</v>
      </c>
      <c r="P41" s="424">
        <f>VLOOKUP($A$2,'Costs Summary'!$B$125:$R$147,COLUMNS('Costs Summary'!$B$125:P$147)+1,0)</f>
        <v>2908.7376138</v>
      </c>
      <c r="Q41" s="433">
        <f t="shared" ref="Q41:Q42" si="12">SUM(G41:P41)</f>
        <v>29702.053804200001</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4972.0901124335733</v>
      </c>
      <c r="I42" s="424">
        <f>VLOOKUP($A$2,'Costs Summary'!$B$212:$R$234,COLUMNS('Costs Summary'!$B$212:I$234)+1,0)</f>
        <v>4310.405181131634</v>
      </c>
      <c r="J42" s="424">
        <f>VLOOKUP($A$2,'Costs Summary'!$B$212:$R$234,COLUMNS('Costs Summary'!$B$212:J$234)+1,0)</f>
        <v>3648.7202498296947</v>
      </c>
      <c r="K42" s="424">
        <f>VLOOKUP($A$2,'Costs Summary'!$B$212:$R$234,COLUMNS('Costs Summary'!$B$212:K$234)+1,0)</f>
        <v>2987.0353185277554</v>
      </c>
      <c r="L42" s="424">
        <f>VLOOKUP($A$2,'Costs Summary'!$B$212:$R$234,COLUMNS('Costs Summary'!$B$212:L$234)+1,0)</f>
        <v>2325.3503872258161</v>
      </c>
      <c r="M42" s="424">
        <f>VLOOKUP($A$2,'Costs Summary'!$B$212:$R$234,COLUMNS('Costs Summary'!$B$212:M$234)+1,0)</f>
        <v>1663.6654559238773</v>
      </c>
      <c r="N42" s="424">
        <f>VLOOKUP($A$2,'Costs Summary'!$B$212:$R$234,COLUMNS('Costs Summary'!$B$212:N$234)+1,0)</f>
        <v>1001.9805246219381</v>
      </c>
      <c r="O42" s="424">
        <f>VLOOKUP($A$2,'Costs Summary'!$B$212:$R$234,COLUMNS('Costs Summary'!$B$212:O$234)+1,0)</f>
        <v>340.29559331999917</v>
      </c>
      <c r="P42" s="424">
        <f>VLOOKUP($A$2,'Costs Summary'!$B$212:$R$234,COLUMNS('Costs Summary'!$B$212:P$234)+1,0)</f>
        <v>340.29559331999997</v>
      </c>
      <c r="Q42" s="433">
        <f t="shared" si="12"/>
        <v>21589.838416334285</v>
      </c>
      <c r="R42" s="366"/>
      <c r="S42" s="357"/>
      <c r="T42" s="8"/>
      <c r="U42" s="8"/>
    </row>
    <row r="43" spans="1:21" s="7" customFormat="1" ht="17.25" customHeight="1" thickBot="1">
      <c r="A43" s="437" t="s">
        <v>338</v>
      </c>
      <c r="E43" s="368" t="s">
        <v>669</v>
      </c>
      <c r="F43" s="461">
        <f t="shared" ref="F43:P43" si="13">SUM(F39:F42)</f>
        <v>232004.28320000001</v>
      </c>
      <c r="G43" s="461">
        <f t="shared" si="13"/>
        <v>230673.38927678062</v>
      </c>
      <c r="H43" s="461">
        <f t="shared" si="13"/>
        <v>248447.92672774688</v>
      </c>
      <c r="I43" s="461">
        <f t="shared" si="13"/>
        <v>209340.43452289145</v>
      </c>
      <c r="J43" s="461">
        <f t="shared" si="13"/>
        <v>188327.83251818345</v>
      </c>
      <c r="K43" s="461">
        <f t="shared" si="13"/>
        <v>180175.99342773174</v>
      </c>
      <c r="L43" s="461">
        <f t="shared" si="13"/>
        <v>185506.91043145608</v>
      </c>
      <c r="M43" s="461">
        <f t="shared" si="13"/>
        <v>191044.46108350187</v>
      </c>
      <c r="N43" s="461">
        <f t="shared" si="13"/>
        <v>218481.25615418371</v>
      </c>
      <c r="O43" s="461">
        <f t="shared" si="13"/>
        <v>225220.2464472006</v>
      </c>
      <c r="P43" s="461">
        <f t="shared" si="13"/>
        <v>232876.66649618367</v>
      </c>
      <c r="Q43" s="462">
        <f t="shared" ref="Q43" si="14">SUM(Q39:Q42)</f>
        <v>2110095.1170858601</v>
      </c>
      <c r="R43" s="366"/>
      <c r="S43" s="357"/>
      <c r="T43" s="8"/>
      <c r="U43" s="8"/>
    </row>
    <row r="44" spans="1:21" s="7" customFormat="1" ht="17.25" customHeight="1" thickTop="1" thickBot="1">
      <c r="E44" s="368" t="s">
        <v>340</v>
      </c>
      <c r="F44" s="468" t="e">
        <f>F43/(VLOOKUP($A$2,'Asset Attributes'!$B$3:$D$25,3,0))</f>
        <v>#DIV/0!</v>
      </c>
      <c r="G44" s="468" t="e">
        <f>G43/(VLOOKUP($A$2,'Asset Attributes'!$B$3:$D$25,3,0))</f>
        <v>#DIV/0!</v>
      </c>
      <c r="H44" s="468" t="e">
        <f>H43/(VLOOKUP($A$2,'Asset Attributes'!$B$3:$D$25,3,0))</f>
        <v>#DIV/0!</v>
      </c>
      <c r="I44" s="468" t="e">
        <f>I43/(VLOOKUP($A$2,'Asset Attributes'!$B$3:$D$25,3,0))</f>
        <v>#DIV/0!</v>
      </c>
      <c r="J44" s="468" t="e">
        <f>J43/(VLOOKUP($A$2,'Asset Attributes'!$B$3:$D$25,3,0))</f>
        <v>#DIV/0!</v>
      </c>
      <c r="K44" s="468" t="e">
        <f>K43/(VLOOKUP($A$2,'Asset Attributes'!$B$3:$D$25,3,0))</f>
        <v>#DIV/0!</v>
      </c>
      <c r="L44" s="468" t="e">
        <f>L43/(VLOOKUP($A$2,'Asset Attributes'!$B$3:$D$25,3,0))</f>
        <v>#DIV/0!</v>
      </c>
      <c r="M44" s="468" t="e">
        <f>M43/(VLOOKUP($A$2,'Asset Attributes'!$B$3:$D$25,3,0))</f>
        <v>#DIV/0!</v>
      </c>
      <c r="N44" s="468" t="e">
        <f>N43/(VLOOKUP($A$2,'Asset Attributes'!$B$3:$D$25,3,0))</f>
        <v>#DIV/0!</v>
      </c>
      <c r="O44" s="468" t="e">
        <f>O43/(VLOOKUP($A$2,'Asset Attributes'!$B$3:$D$25,3,0))</f>
        <v>#DIV/0!</v>
      </c>
      <c r="P44" s="468" t="e">
        <f>P43/(VLOOKUP($A$2,'Asset Attributes'!$B$3:$D$25,3,0))</f>
        <v>#DIV/0!</v>
      </c>
      <c r="Q44" s="460" t="e">
        <f>Q43/(VLOOKUP($A$2,'Asset Attributes'!$B$3:$D$25,3,0))</f>
        <v>#DIV/0!</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-94060.874670888559</v>
      </c>
      <c r="H46" s="461">
        <f t="shared" si="15"/>
        <v>-97338.940414226352</v>
      </c>
      <c r="I46" s="461">
        <f t="shared" si="15"/>
        <v>-147374.55428182983</v>
      </c>
      <c r="J46" s="461">
        <f t="shared" si="15"/>
        <v>-179715.8816623037</v>
      </c>
      <c r="K46" s="461">
        <f t="shared" si="15"/>
        <v>-199610.91978596139</v>
      </c>
      <c r="L46" s="461">
        <f t="shared" si="15"/>
        <v>-206452.02632979423</v>
      </c>
      <c r="M46" s="461">
        <f t="shared" si="15"/>
        <v>-213530.17220492713</v>
      </c>
      <c r="N46" s="461">
        <f t="shared" si="15"/>
        <v>-258417.16481996293</v>
      </c>
      <c r="O46" s="461">
        <f t="shared" si="15"/>
        <v>-267301.55674281192</v>
      </c>
      <c r="P46" s="461">
        <f t="shared" si="15"/>
        <v>-276494.16374337621</v>
      </c>
      <c r="Q46" s="462">
        <f>SUM(F46:P46)</f>
        <v>-1940296.2546560825</v>
      </c>
      <c r="R46" s="366"/>
      <c r="S46" s="357"/>
      <c r="T46" s="8"/>
      <c r="U46" s="8"/>
    </row>
    <row r="47" spans="1:21" s="7" customFormat="1" ht="17.25" customHeight="1" thickTop="1" thickBot="1">
      <c r="A47" s="9"/>
      <c r="B47" s="1"/>
      <c r="C47" s="2"/>
      <c r="D47" s="2"/>
      <c r="E47" s="368" t="s">
        <v>340</v>
      </c>
      <c r="F47" s="468" t="e">
        <f>F46/(VLOOKUP($A$2,'Asset Attributes'!$B$3:$D$25,3,0))</f>
        <v>#DIV/0!</v>
      </c>
      <c r="G47" s="468" t="e">
        <f>G46/(VLOOKUP($A$2,'Asset Attributes'!$B$3:$D$25,3,0))</f>
        <v>#DIV/0!</v>
      </c>
      <c r="H47" s="468" t="e">
        <f>H46/(VLOOKUP($A$2,'Asset Attributes'!$B$3:$D$25,3,0))</f>
        <v>#DIV/0!</v>
      </c>
      <c r="I47" s="468" t="e">
        <f>I46/(VLOOKUP($A$2,'Asset Attributes'!$B$3:$D$25,3,0))</f>
        <v>#DIV/0!</v>
      </c>
      <c r="J47" s="468" t="e">
        <f>J46/(VLOOKUP($A$2,'Asset Attributes'!$B$3:$D$25,3,0))</f>
        <v>#DIV/0!</v>
      </c>
      <c r="K47" s="468" t="e">
        <f>K46/(VLOOKUP($A$2,'Asset Attributes'!$B$3:$D$25,3,0))</f>
        <v>#DIV/0!</v>
      </c>
      <c r="L47" s="468" t="e">
        <f>L46/(VLOOKUP($A$2,'Asset Attributes'!$B$3:$D$25,3,0))</f>
        <v>#DIV/0!</v>
      </c>
      <c r="M47" s="468" t="e">
        <f>M46/(VLOOKUP($A$2,'Asset Attributes'!$B$3:$D$25,3,0))</f>
        <v>#DIV/0!</v>
      </c>
      <c r="N47" s="468" t="e">
        <f>N46/(VLOOKUP($A$2,'Asset Attributes'!$B$3:$D$25,3,0))</f>
        <v>#DIV/0!</v>
      </c>
      <c r="O47" s="468" t="e">
        <f>O46/(VLOOKUP($A$2,'Asset Attributes'!$B$3:$D$25,3,0))</f>
        <v>#DIV/0!</v>
      </c>
      <c r="P47" s="468" t="e">
        <f>P46/(VLOOKUP($A$2,'Asset Attributes'!$B$3:$D$25,3,0))</f>
        <v>#DIV/0!</v>
      </c>
      <c r="Q47" s="460" t="e">
        <f>Q46/(VLOOKUP($A$2,'Asset Attributes'!$B$3:$D$25,3,0))</f>
        <v>#DIV/0!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1784400</v>
      </c>
      <c r="H49" s="464">
        <f t="shared" si="16"/>
        <v>0</v>
      </c>
      <c r="I49" s="464">
        <f t="shared" si="16"/>
        <v>0</v>
      </c>
      <c r="J49" s="464">
        <f t="shared" si="16"/>
        <v>0</v>
      </c>
      <c r="K49" s="464">
        <f t="shared" si="16"/>
        <v>0</v>
      </c>
      <c r="L49" s="464">
        <f t="shared" si="16"/>
        <v>0</v>
      </c>
      <c r="M49" s="464">
        <f t="shared" si="16"/>
        <v>0</v>
      </c>
      <c r="N49" s="464">
        <f t="shared" si="16"/>
        <v>0</v>
      </c>
      <c r="O49" s="464">
        <f t="shared" si="16"/>
        <v>0</v>
      </c>
      <c r="P49" s="464">
        <f t="shared" si="16"/>
        <v>0</v>
      </c>
      <c r="Q49" s="465">
        <f>+SUM(F49:P49)</f>
        <v>1784400</v>
      </c>
      <c r="R49" s="366"/>
      <c r="S49" s="357"/>
      <c r="T49" s="8"/>
      <c r="U49" s="8"/>
      <c r="V49" s="8"/>
      <c r="W49" s="8"/>
      <c r="X49" s="8"/>
    </row>
    <row r="50" spans="1:24" s="7" customFormat="1" ht="17.25" customHeight="1">
      <c r="A50" s="9"/>
      <c r="B50" s="368"/>
      <c r="C50" s="2"/>
      <c r="D50" s="2"/>
      <c r="E50" s="459" t="s">
        <v>348</v>
      </c>
      <c r="F50" s="466">
        <f>F46</f>
        <v>0</v>
      </c>
      <c r="G50" s="466">
        <f t="shared" ref="G50:P50" si="17">G46</f>
        <v>-94060.874670888559</v>
      </c>
      <c r="H50" s="466">
        <f t="shared" si="17"/>
        <v>-97338.940414226352</v>
      </c>
      <c r="I50" s="466">
        <f t="shared" si="17"/>
        <v>-147374.55428182983</v>
      </c>
      <c r="J50" s="466">
        <f t="shared" si="17"/>
        <v>-179715.8816623037</v>
      </c>
      <c r="K50" s="466">
        <f t="shared" si="17"/>
        <v>-199610.91978596139</v>
      </c>
      <c r="L50" s="466">
        <f t="shared" si="17"/>
        <v>-206452.02632979423</v>
      </c>
      <c r="M50" s="466">
        <f t="shared" si="17"/>
        <v>-213530.17220492713</v>
      </c>
      <c r="N50" s="466">
        <f t="shared" si="17"/>
        <v>-258417.16481996293</v>
      </c>
      <c r="O50" s="466">
        <f t="shared" si="17"/>
        <v>-267301.55674281192</v>
      </c>
      <c r="P50" s="466">
        <f t="shared" si="17"/>
        <v>-276494.16374337621</v>
      </c>
      <c r="Q50" s="467">
        <f>Q46</f>
        <v>-1940296.2546560825</v>
      </c>
      <c r="R50" s="366"/>
      <c r="S50" s="357"/>
      <c r="T50" s="8"/>
      <c r="U50" s="8"/>
      <c r="V50" s="8"/>
      <c r="W50" s="8"/>
      <c r="X50" s="8"/>
    </row>
    <row r="51" spans="1:24"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t="s">
        <v>927</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850 Collins Street</v>
      </c>
      <c r="F56" s="440">
        <f t="shared" ref="F56:P56" si="19">F272</f>
        <v>4.7820733104238258</v>
      </c>
      <c r="G56" s="440">
        <f t="shared" si="19"/>
        <v>4.7820733104238258</v>
      </c>
      <c r="H56" s="440">
        <f t="shared" si="19"/>
        <v>5.8284208459153888</v>
      </c>
      <c r="I56" s="440">
        <f t="shared" si="19"/>
        <v>5.8284208459153888</v>
      </c>
      <c r="J56" s="440">
        <f t="shared" si="19"/>
        <v>5.8284208459153888</v>
      </c>
      <c r="K56" s="440">
        <f t="shared" si="19"/>
        <v>5.8284208459153888</v>
      </c>
      <c r="L56" s="440">
        <f t="shared" si="19"/>
        <v>5.8284208459153888</v>
      </c>
      <c r="M56" s="440">
        <f t="shared" si="19"/>
        <v>5.8284208459153888</v>
      </c>
      <c r="N56" s="440">
        <f t="shared" si="19"/>
        <v>5.8284208459153888</v>
      </c>
      <c r="O56" s="440">
        <f t="shared" si="19"/>
        <v>5.8284208459153888</v>
      </c>
      <c r="P56" s="440">
        <f t="shared" si="19"/>
        <v>5.8284208459153888</v>
      </c>
      <c r="Q56" s="470">
        <f>IF(E56="",0,P56-F56)</f>
        <v>1.046347535491563</v>
      </c>
      <c r="R56" s="473" t="s">
        <v>358</v>
      </c>
      <c r="S56" s="478" t="s">
        <v>18</v>
      </c>
      <c r="T56" s="473" t="s">
        <v>358</v>
      </c>
      <c r="U56" s="478" t="s">
        <v>18</v>
      </c>
      <c r="V56" s="473" t="s">
        <v>358</v>
      </c>
      <c r="W56" s="479" t="str">
        <f>IF(W58=1,"Complete",IF(W60&lt;&gt;0,"Complete","Outstanding"))</f>
        <v>Complete</v>
      </c>
      <c r="X56" s="14"/>
    </row>
    <row r="57" spans="1:24" ht="25.5" customHeight="1">
      <c r="A57" s="438" t="s">
        <v>6</v>
      </c>
      <c r="C57" s="275" t="s">
        <v>129</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1618150</v>
      </c>
      <c r="T57" s="473" t="s">
        <v>669</v>
      </c>
      <c r="U57" s="479">
        <f>IF(U56="Underway","",S115)</f>
        <v>166250</v>
      </c>
      <c r="V57" s="473" t="s">
        <v>361</v>
      </c>
      <c r="W57" s="478" t="s">
        <v>680</v>
      </c>
      <c r="X57" s="14"/>
    </row>
    <row r="58" spans="1:24" ht="25.5" customHeight="1">
      <c r="A58" s="438" t="s">
        <v>363</v>
      </c>
      <c r="B58" s="14"/>
      <c r="C58" s="275" t="s">
        <v>364</v>
      </c>
      <c r="D58" s="160"/>
      <c r="E58" s="488" t="str">
        <f>IF(VLOOKUP($A$2,'Asset Attributes'!B3:G25,6,0)&gt;0.001,"IOM","")</f>
        <v/>
      </c>
      <c r="F58" s="439" t="str">
        <f>IF($E$58="IOM",SUMPRODUCT('Footprint Summary'!G153:G175,'Footprint Summary'!$C153:$C175,'Footprint Summary'!$F153:$F175)/SUMPRODUCT('Footprint Summary'!$C153:$C175,'Footprint Summary'!$F153:$F175),"")</f>
        <v/>
      </c>
      <c r="G58" s="439" t="str">
        <f>IF($E$58="IOM",SUMPRODUCT('Footprint Summary'!H153:H175,'Footprint Summary'!$C153:$C175,'Footprint Summary'!$F153:$F175)/SUMPRODUCT('Footprint Summary'!$C153:$C175,'Footprint Summary'!$F153:$F175),"")</f>
        <v/>
      </c>
      <c r="H58" s="439" t="str">
        <f>IF($E$58="IOM",SUMPRODUCT('Footprint Summary'!I153:I175,'Footprint Summary'!$C153:$C175,'Footprint Summary'!$F153:$F175)/SUMPRODUCT('Footprint Summary'!$C153:$C175,'Footprint Summary'!$F153:$F175),"")</f>
        <v/>
      </c>
      <c r="I58" s="439" t="str">
        <f>IF($E$58="IOM",SUMPRODUCT('Footprint Summary'!J153:J175,'Footprint Summary'!$C153:$C175,'Footprint Summary'!$F153:$F175)/SUMPRODUCT('Footprint Summary'!$C153:$C175,'Footprint Summary'!$F153:$F175),"")</f>
        <v/>
      </c>
      <c r="J58" s="439" t="str">
        <f>IF($E$58="IOM",SUMPRODUCT('Footprint Summary'!K153:K175,'Footprint Summary'!$C153:$C175,'Footprint Summary'!$F153:$F175)/SUMPRODUCT('Footprint Summary'!$C153:$C175,'Footprint Summary'!$F153:$F175),"")</f>
        <v/>
      </c>
      <c r="K58" s="439" t="str">
        <f>IF($E$58="IOM",SUMPRODUCT('Footprint Summary'!L153:L175,'Footprint Summary'!$C153:$C175,'Footprint Summary'!$F153:$F175)/SUMPRODUCT('Footprint Summary'!$C153:$C175,'Footprint Summary'!$F153:$F175),"")</f>
        <v/>
      </c>
      <c r="L58" s="439" t="str">
        <f>IF($E$58="IOM",SUMPRODUCT('Footprint Summary'!M153:M175,'Footprint Summary'!$C153:$C175,'Footprint Summary'!$F153:$F175)/SUMPRODUCT('Footprint Summary'!$C153:$C175,'Footprint Summary'!$F153:$F175),"")</f>
        <v/>
      </c>
      <c r="M58" s="439" t="str">
        <f>IF($E$58="IOM",SUMPRODUCT('Footprint Summary'!N153:N175,'Footprint Summary'!$C153:$C175,'Footprint Summary'!$F153:$F175)/SUMPRODUCT('Footprint Summary'!$C153:$C175,'Footprint Summary'!$F153:$F175),"")</f>
        <v/>
      </c>
      <c r="N58" s="439" t="str">
        <f>IF($E$58="IOM",SUMPRODUCT('Footprint Summary'!O153:O175,'Footprint Summary'!$C153:$C175,'Footprint Summary'!$F153:$F175)/SUMPRODUCT('Footprint Summary'!$C153:$C175,'Footprint Summary'!$F153:$F175),"")</f>
        <v/>
      </c>
      <c r="O58" s="439" t="str">
        <f>IF($E$58="IOM",SUMPRODUCT('Footprint Summary'!P153:P175,'Footprint Summary'!$C153:$C175,'Footprint Summary'!$F153:$F175)/SUMPRODUCT('Footprint Summary'!$C153:$C175,'Footprint Summary'!$F153:$F175),"")</f>
        <v/>
      </c>
      <c r="P58" s="439" t="str">
        <f>IF($E$58="IOM",SUMPRODUCT('Footprint Summary'!Q153:Q175,'Footprint Summary'!$C153:$C175,'Footprint Summary'!$F153:$F175)/SUMPRODUCT('Footprint Summary'!$C153:$C175,'Footprint Summary'!$F153:$F175),"")</f>
        <v/>
      </c>
      <c r="Q58" s="470" t="str">
        <f>IF(E58="","",P58-F58)</f>
        <v/>
      </c>
      <c r="R58" s="482" t="s">
        <v>366</v>
      </c>
      <c r="S58" s="479">
        <f>IF(S56="Underway","",-1*(1000*AL214*D6+AM214*D8))</f>
        <v>124760.70042217062</v>
      </c>
      <c r="T58" s="473" t="s">
        <v>367</v>
      </c>
      <c r="U58" s="478">
        <f>IF(U56="Underway","",-1*S64)</f>
        <v>0.49994344691078757</v>
      </c>
      <c r="V58" s="473" t="s">
        <v>368</v>
      </c>
      <c r="W58" s="478">
        <v>1</v>
      </c>
      <c r="X58" s="14"/>
    </row>
    <row r="59" spans="1:24" ht="25.5" customHeight="1">
      <c r="A59" s="438" t="s">
        <v>369</v>
      </c>
      <c r="B59" s="14"/>
      <c r="C59" s="443">
        <v>3000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6.9917451480705342E-2</v>
      </c>
      <c r="T59" s="473" t="s">
        <v>371</v>
      </c>
      <c r="U59" s="483" t="e">
        <f ca="1">IF(U56="Underway","",_xlfn.MAXIFS(E69:E88,S69:S88,"Yes"))</f>
        <v>#NAME?</v>
      </c>
      <c r="V59" s="482" t="s">
        <v>372</v>
      </c>
      <c r="W59" s="479">
        <f>T115</f>
        <v>0</v>
      </c>
      <c r="X59" s="14"/>
    </row>
    <row r="60" spans="1:24" ht="25.5" customHeight="1">
      <c r="A60" s="438" t="s">
        <v>373</v>
      </c>
      <c r="B60" s="14"/>
      <c r="C60" s="275">
        <v>15723.1</v>
      </c>
      <c r="D60" s="160"/>
      <c r="Q60" s="10"/>
      <c r="R60" s="473" t="s">
        <v>374</v>
      </c>
      <c r="S60" s="481">
        <f>IF(S56="Underway","",U115)</f>
        <v>1.0018055020338257</v>
      </c>
      <c r="T60" s="10"/>
      <c r="U60" s="10"/>
      <c r="V60" s="473" t="s">
        <v>375</v>
      </c>
      <c r="W60" s="483" t="str">
        <f>IF(IF(W58=1,"Complete",_xlfn.MAXIFS(E69:E114,T69:T114,"Yes"))=0,"",IF(W58=1,"Complete",_xlfn.MAXIFS(E69:E114,T69:T114,"Yes")))</f>
        <v>Complete</v>
      </c>
      <c r="X60" s="14"/>
    </row>
    <row r="61" spans="1:24" ht="25.5" customHeight="1">
      <c r="A61" s="438" t="s">
        <v>376</v>
      </c>
      <c r="B61" s="14"/>
      <c r="C61" s="444">
        <v>50</v>
      </c>
      <c r="D61" s="162"/>
      <c r="H61" s="13"/>
      <c r="J61" s="14"/>
      <c r="K61" s="14"/>
      <c r="L61" s="14"/>
      <c r="M61" s="10"/>
      <c r="N61" s="10"/>
      <c r="O61" s="10"/>
      <c r="P61" s="10"/>
      <c r="Q61" s="10"/>
      <c r="R61" s="482" t="s">
        <v>377</v>
      </c>
      <c r="S61" s="481">
        <f>P272</f>
        <v>5.8284208459153888</v>
      </c>
      <c r="T61" s="10"/>
      <c r="U61" s="10"/>
      <c r="V61" s="473" t="s">
        <v>378</v>
      </c>
      <c r="W61" s="478">
        <v>1</v>
      </c>
      <c r="X61" s="14"/>
    </row>
    <row r="62" spans="1:24" ht="25.5" customHeight="1">
      <c r="A62" s="438" t="s">
        <v>379</v>
      </c>
      <c r="B62" s="14"/>
      <c r="C62" s="275">
        <v>839.6</v>
      </c>
      <c r="H62" s="13"/>
      <c r="J62" s="14"/>
      <c r="K62" s="14"/>
      <c r="L62" s="347"/>
      <c r="M62" s="10"/>
      <c r="N62" s="10"/>
      <c r="O62" s="10"/>
      <c r="P62" s="10"/>
      <c r="Q62" s="10"/>
      <c r="R62" s="482" t="s">
        <v>380</v>
      </c>
      <c r="S62" s="481">
        <f>Q272</f>
        <v>5.8284208459153888</v>
      </c>
      <c r="T62" s="10"/>
      <c r="U62" s="10"/>
      <c r="V62" s="10"/>
      <c r="W62" s="14"/>
      <c r="X62" s="14"/>
    </row>
    <row r="63" spans="1:24" ht="25.5" customHeight="1">
      <c r="A63" s="438" t="s">
        <v>382</v>
      </c>
      <c r="B63" s="14"/>
      <c r="C63" s="275">
        <v>1414.6</v>
      </c>
      <c r="H63" s="13"/>
      <c r="J63" s="14"/>
      <c r="K63" s="14"/>
      <c r="L63" s="10"/>
      <c r="M63" s="10"/>
      <c r="N63" s="10"/>
      <c r="O63" s="10"/>
      <c r="P63" s="10"/>
      <c r="Q63" s="10"/>
      <c r="R63" s="476" t="s">
        <v>383</v>
      </c>
      <c r="S63" s="478">
        <f>C115/C62</f>
        <v>-0.45943306336350637</v>
      </c>
      <c r="T63" s="496" t="s">
        <v>381</v>
      </c>
      <c r="U63" s="10"/>
      <c r="V63" s="10"/>
      <c r="W63" s="14"/>
      <c r="X63" s="14"/>
    </row>
    <row r="64" spans="1:24" ht="25.5" customHeight="1">
      <c r="A64" s="446" t="s">
        <v>385</v>
      </c>
      <c r="B64" s="447"/>
      <c r="C64" s="445">
        <v>91.9</v>
      </c>
      <c r="D64" s="495">
        <f>(AJ215-C64)/C64</f>
        <v>-0.46271813439721504</v>
      </c>
      <c r="H64" s="13"/>
      <c r="J64" s="14"/>
      <c r="K64" s="14"/>
      <c r="L64" s="10"/>
      <c r="M64" s="10"/>
      <c r="N64" s="10"/>
      <c r="O64" s="10"/>
      <c r="P64" s="10"/>
      <c r="Q64" s="10"/>
      <c r="R64" s="476" t="s">
        <v>386</v>
      </c>
      <c r="S64" s="478">
        <f>D115/C63</f>
        <v>-0.49994344691078757</v>
      </c>
      <c r="T64" s="496" t="s">
        <v>384</v>
      </c>
      <c r="U64" s="14"/>
      <c r="V64" s="10"/>
      <c r="W64" s="14"/>
      <c r="X64" s="14"/>
    </row>
    <row r="65" spans="1:24" ht="25.5" customHeight="1">
      <c r="B65" s="487" t="s">
        <v>387</v>
      </c>
      <c r="C65" s="489">
        <f>Z216</f>
        <v>4.7820733104238258</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394</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t="s">
        <v>652</v>
      </c>
      <c r="C69" s="375">
        <v>-110</v>
      </c>
      <c r="D69" s="376">
        <v>0</v>
      </c>
      <c r="E69" s="377">
        <v>45382</v>
      </c>
      <c r="F69" s="378">
        <v>140500</v>
      </c>
      <c r="G69" s="403">
        <f>IF(E69&lt;G66,F69,0)</f>
        <v>140500</v>
      </c>
      <c r="H69" s="404">
        <f t="shared" ref="H69:Q78"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t="s">
        <v>32</v>
      </c>
      <c r="S69" s="379"/>
      <c r="T69" s="380"/>
      <c r="U69" s="411">
        <f>IF(-0.75*((C69/(VLOOKUP($A$2,Assumptions!$B$124:$G$147,2,0)))+D69/(VLOOKUP($A$2,Assumptions!$B$124:$G$147,5,0)))=0,"",-0.75*((C69/(VLOOKUP($A$2,Assumptions!$B$124:$G$147,2,0)))+D69/(VLOOKUP($A$2,Assumptions!$B$124:$G$147,5,0))))</f>
        <v>0.23843930635838151</v>
      </c>
      <c r="V69" s="412">
        <f t="shared" ref="V69:V88" si="22">IF(ISERROR(((-1*C69*1000*$D$6)+(-1*D69*$D$8))/F69),"",((-1*C69*1000*$D$6)+(-1*D69*$D$8))/F69)</f>
        <v>0.22689334152794816</v>
      </c>
      <c r="W69" s="450"/>
      <c r="X69" s="506"/>
    </row>
    <row r="70" spans="1:24" ht="15">
      <c r="A70" s="373"/>
      <c r="B70" s="374" t="s">
        <v>653</v>
      </c>
      <c r="C70" s="381">
        <v>-63.5</v>
      </c>
      <c r="D70" s="381">
        <v>0</v>
      </c>
      <c r="E70" s="377">
        <v>45382</v>
      </c>
      <c r="F70" s="378">
        <v>1200000</v>
      </c>
      <c r="G70" s="403">
        <f t="shared" ref="G70:G88" si="23">IF($E70&lt;G$66,$F70,0)</f>
        <v>1200000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t="s">
        <v>32</v>
      </c>
      <c r="S70" s="379"/>
      <c r="T70" s="382"/>
      <c r="U70" s="413">
        <f>IF(-0.75*((C70/(VLOOKUP($A$2,Assumptions!$B$124:$G$147,2,0)))+D70/(VLOOKUP($A$2,Assumptions!$B$124:$G$147,5,0)))=0,"",-0.75*((C70/(VLOOKUP($A$2,Assumptions!$B$124:$G$147,2,0)))+D70/(VLOOKUP($A$2,Assumptions!$B$124:$G$147,5,0))))</f>
        <v>0.13764450867052025</v>
      </c>
      <c r="V70" s="414">
        <f t="shared" si="22"/>
        <v>1.5335497498310388E-2</v>
      </c>
      <c r="W70" s="451"/>
      <c r="X70" s="507"/>
    </row>
    <row r="71" spans="1:24" ht="15">
      <c r="A71" s="373"/>
      <c r="B71" s="374" t="s">
        <v>654</v>
      </c>
      <c r="C71" s="383">
        <v>-60.1</v>
      </c>
      <c r="D71" s="383">
        <v>-134.1</v>
      </c>
      <c r="E71" s="377">
        <v>45382</v>
      </c>
      <c r="F71" s="384">
        <v>80000</v>
      </c>
      <c r="G71" s="403">
        <f t="shared" si="23"/>
        <v>80000</v>
      </c>
      <c r="H71" s="404">
        <f t="shared" si="21"/>
        <v>0</v>
      </c>
      <c r="I71" s="405">
        <f t="shared" si="21"/>
        <v>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t="s">
        <v>32</v>
      </c>
      <c r="S71" s="379" t="s">
        <v>32</v>
      </c>
      <c r="T71" s="382"/>
      <c r="U71" s="413">
        <f>IF(-0.75*((C71/(VLOOKUP($A$2,Assumptions!$B$124:$G$147,2,0)))+D71/(VLOOKUP($A$2,Assumptions!$B$124:$G$147,5,0)))=0,"",-0.75*((C71/(VLOOKUP($A$2,Assumptions!$B$124:$G$147,2,0)))+D71/(VLOOKUP($A$2,Assumptions!$B$124:$G$147,5,0))))</f>
        <v>0.1426912331406551</v>
      </c>
      <c r="V71" s="414">
        <f t="shared" si="22"/>
        <v>0.24846062872963279</v>
      </c>
      <c r="W71" s="451"/>
      <c r="X71" s="507"/>
    </row>
    <row r="72" spans="1:24" ht="15">
      <c r="A72" s="373"/>
      <c r="B72" s="374" t="s">
        <v>655</v>
      </c>
      <c r="C72" s="375">
        <v>-40.1</v>
      </c>
      <c r="D72" s="375">
        <v>-134.1</v>
      </c>
      <c r="E72" s="377">
        <v>45382</v>
      </c>
      <c r="F72" s="378">
        <v>180000</v>
      </c>
      <c r="G72" s="403">
        <f t="shared" si="23"/>
        <v>180000</v>
      </c>
      <c r="H72" s="404">
        <f t="shared" si="21"/>
        <v>0</v>
      </c>
      <c r="I72" s="405">
        <f t="shared" si="21"/>
        <v>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t="s">
        <v>32</v>
      </c>
      <c r="S72" s="379" t="s">
        <v>32</v>
      </c>
      <c r="T72" s="382"/>
      <c r="U72" s="413">
        <f>IF(-0.75*((C72/(VLOOKUP($A$2,Assumptions!$B$124:$G$147,2,0)))+D72/(VLOOKUP($A$2,Assumptions!$B$124:$G$147,5,0)))=0,"",-0.75*((C72/(VLOOKUP($A$2,Assumptions!$B$124:$G$147,2,0)))+D72/(VLOOKUP($A$2,Assumptions!$B$124:$G$147,5,0))))</f>
        <v>9.9338631984585743E-2</v>
      </c>
      <c r="V72" s="414">
        <f t="shared" si="22"/>
        <v>7.8226426420567388E-2</v>
      </c>
      <c r="W72" s="451"/>
      <c r="X72" s="507"/>
    </row>
    <row r="73" spans="1:24" ht="15">
      <c r="A73" s="373"/>
      <c r="B73" s="374" t="s">
        <v>656</v>
      </c>
      <c r="C73" s="381">
        <v>-14.8</v>
      </c>
      <c r="D73" s="381">
        <v>-67</v>
      </c>
      <c r="E73" s="377">
        <v>45382</v>
      </c>
      <c r="F73" s="378">
        <v>25000</v>
      </c>
      <c r="G73" s="403">
        <f t="shared" si="23"/>
        <v>25000</v>
      </c>
      <c r="H73" s="404">
        <f t="shared" si="21"/>
        <v>0</v>
      </c>
      <c r="I73" s="405">
        <f t="shared" si="21"/>
        <v>0</v>
      </c>
      <c r="J73" s="405">
        <f t="shared" si="21"/>
        <v>0</v>
      </c>
      <c r="K73" s="405">
        <f t="shared" si="21"/>
        <v>0</v>
      </c>
      <c r="L73" s="405">
        <f t="shared" si="21"/>
        <v>0</v>
      </c>
      <c r="M73" s="405">
        <f t="shared" si="21"/>
        <v>0</v>
      </c>
      <c r="N73" s="405">
        <f t="shared" si="21"/>
        <v>0</v>
      </c>
      <c r="O73" s="405">
        <f t="shared" si="21"/>
        <v>0</v>
      </c>
      <c r="P73" s="406">
        <f t="shared" si="21"/>
        <v>0</v>
      </c>
      <c r="Q73" s="448">
        <f t="shared" si="21"/>
        <v>0</v>
      </c>
      <c r="R73" s="379" t="s">
        <v>32</v>
      </c>
      <c r="S73" s="379" t="s">
        <v>32</v>
      </c>
      <c r="T73" s="382"/>
      <c r="U73" s="413">
        <f>IF(-0.75*((C73/(VLOOKUP($A$2,Assumptions!$B$124:$G$147,2,0)))+D73/(VLOOKUP($A$2,Assumptions!$B$124:$G$147,5,0)))=0,"",-0.75*((C73/(VLOOKUP($A$2,Assumptions!$B$124:$G$147,2,0)))+D73/(VLOOKUP($A$2,Assumptions!$B$124:$G$147,5,0))))</f>
        <v>3.8284628559195039E-2</v>
      </c>
      <c r="V73" s="414">
        <f t="shared" si="22"/>
        <v>0.22071947000472364</v>
      </c>
      <c r="W73" s="451"/>
      <c r="X73" s="507"/>
    </row>
    <row r="74" spans="1:24" ht="15">
      <c r="A74" s="373"/>
      <c r="B74" s="374" t="s">
        <v>657</v>
      </c>
      <c r="C74" s="375">
        <v>-3.9</v>
      </c>
      <c r="D74" s="375">
        <v>-268.2</v>
      </c>
      <c r="E74" s="377">
        <v>45382</v>
      </c>
      <c r="F74" s="378">
        <v>15000</v>
      </c>
      <c r="G74" s="403">
        <f t="shared" si="23"/>
        <v>15000</v>
      </c>
      <c r="H74" s="404">
        <f t="shared" si="21"/>
        <v>0</v>
      </c>
      <c r="I74" s="405">
        <f t="shared" si="21"/>
        <v>0</v>
      </c>
      <c r="J74" s="405">
        <f t="shared" si="21"/>
        <v>0</v>
      </c>
      <c r="K74" s="405">
        <f t="shared" si="21"/>
        <v>0</v>
      </c>
      <c r="L74" s="405">
        <f t="shared" si="21"/>
        <v>0</v>
      </c>
      <c r="M74" s="405">
        <f t="shared" si="21"/>
        <v>0</v>
      </c>
      <c r="N74" s="405">
        <f t="shared" si="21"/>
        <v>0</v>
      </c>
      <c r="O74" s="405">
        <f t="shared" si="21"/>
        <v>0</v>
      </c>
      <c r="P74" s="406">
        <f t="shared" si="21"/>
        <v>0</v>
      </c>
      <c r="Q74" s="448">
        <f t="shared" si="21"/>
        <v>0</v>
      </c>
      <c r="R74" s="379" t="s">
        <v>32</v>
      </c>
      <c r="S74" s="379" t="s">
        <v>32</v>
      </c>
      <c r="T74" s="382"/>
      <c r="U74" s="413">
        <f>IF(-0.75*((C74/(VLOOKUP($A$2,Assumptions!$B$124:$G$147,2,0)))+D74/(VLOOKUP($A$2,Assumptions!$B$124:$G$147,5,0)))=0,"",-0.75*((C74/(VLOOKUP($A$2,Assumptions!$B$124:$G$147,2,0)))+D74/(VLOOKUP($A$2,Assumptions!$B$124:$G$147,5,0))))</f>
        <v>3.3287090558766858E-2</v>
      </c>
      <c r="V74" s="414">
        <f t="shared" si="22"/>
        <v>0.40329444307493056</v>
      </c>
      <c r="W74" s="451"/>
      <c r="X74" s="507"/>
    </row>
    <row r="75" spans="1:24" ht="15">
      <c r="A75" s="373"/>
      <c r="B75" s="374" t="s">
        <v>658</v>
      </c>
      <c r="C75" s="375">
        <v>-27.5</v>
      </c>
      <c r="D75" s="375">
        <v>0</v>
      </c>
      <c r="E75" s="377">
        <v>45382</v>
      </c>
      <c r="F75" s="378">
        <v>30000</v>
      </c>
      <c r="G75" s="403">
        <f t="shared" si="23"/>
        <v>30000</v>
      </c>
      <c r="H75" s="404">
        <f t="shared" si="21"/>
        <v>0</v>
      </c>
      <c r="I75" s="405">
        <f t="shared" si="21"/>
        <v>0</v>
      </c>
      <c r="J75" s="405">
        <f t="shared" si="21"/>
        <v>0</v>
      </c>
      <c r="K75" s="405">
        <f t="shared" si="21"/>
        <v>0</v>
      </c>
      <c r="L75" s="405">
        <f t="shared" si="21"/>
        <v>0</v>
      </c>
      <c r="M75" s="405">
        <f t="shared" si="21"/>
        <v>0</v>
      </c>
      <c r="N75" s="405">
        <f t="shared" si="21"/>
        <v>0</v>
      </c>
      <c r="O75" s="405">
        <f t="shared" si="21"/>
        <v>0</v>
      </c>
      <c r="P75" s="406">
        <f t="shared" si="21"/>
        <v>0</v>
      </c>
      <c r="Q75" s="448">
        <f t="shared" si="21"/>
        <v>0</v>
      </c>
      <c r="R75" s="379" t="s">
        <v>32</v>
      </c>
      <c r="S75" s="379"/>
      <c r="T75" s="382"/>
      <c r="U75" s="413">
        <f>IF(-0.75*((C75/(VLOOKUP($A$2,Assumptions!$B$124:$G$147,2,0)))+D75/(VLOOKUP($A$2,Assumptions!$B$124:$G$147,5,0)))=0,"",-0.75*((C75/(VLOOKUP($A$2,Assumptions!$B$124:$G$147,2,0)))+D75/(VLOOKUP($A$2,Assumptions!$B$124:$G$147,5,0))))</f>
        <v>5.9609826589595377E-2</v>
      </c>
      <c r="V75" s="414">
        <f t="shared" si="22"/>
        <v>0.26565428737230595</v>
      </c>
      <c r="W75" s="451"/>
      <c r="X75" s="507"/>
    </row>
    <row r="76" spans="1:24" ht="15">
      <c r="A76" s="373"/>
      <c r="B76" s="374" t="s">
        <v>659</v>
      </c>
      <c r="C76" s="375">
        <v>-11.3</v>
      </c>
      <c r="D76" s="375">
        <v>0</v>
      </c>
      <c r="E76" s="377">
        <v>45382</v>
      </c>
      <c r="F76" s="378">
        <v>50000</v>
      </c>
      <c r="G76" s="403">
        <f t="shared" si="23"/>
        <v>50000</v>
      </c>
      <c r="H76" s="404">
        <f t="shared" si="21"/>
        <v>0</v>
      </c>
      <c r="I76" s="405">
        <f t="shared" si="21"/>
        <v>0</v>
      </c>
      <c r="J76" s="405">
        <f t="shared" si="21"/>
        <v>0</v>
      </c>
      <c r="K76" s="405">
        <f t="shared" si="21"/>
        <v>0</v>
      </c>
      <c r="L76" s="405">
        <f t="shared" si="21"/>
        <v>0</v>
      </c>
      <c r="M76" s="405">
        <f t="shared" si="21"/>
        <v>0</v>
      </c>
      <c r="N76" s="405">
        <f t="shared" si="21"/>
        <v>0</v>
      </c>
      <c r="O76" s="405">
        <f t="shared" si="21"/>
        <v>0</v>
      </c>
      <c r="P76" s="406">
        <f t="shared" si="21"/>
        <v>0</v>
      </c>
      <c r="Q76" s="448">
        <f t="shared" si="21"/>
        <v>0</v>
      </c>
      <c r="R76" s="379" t="s">
        <v>32</v>
      </c>
      <c r="S76" s="379"/>
      <c r="T76" s="382"/>
      <c r="U76" s="413">
        <f>IF(-0.75*((C76/(VLOOKUP($A$2,Assumptions!$B$124:$G$147,2,0)))+D76/(VLOOKUP($A$2,Assumptions!$B$124:$G$147,5,0)))=0,"",-0.75*((C76/(VLOOKUP($A$2,Assumptions!$B$124:$G$147,2,0)))+D76/(VLOOKUP($A$2,Assumptions!$B$124:$G$147,5,0))))</f>
        <v>2.4494219653179196E-2</v>
      </c>
      <c r="V76" s="414">
        <f t="shared" si="22"/>
        <v>6.5495857032153978E-2</v>
      </c>
      <c r="W76" s="451"/>
      <c r="X76" s="507"/>
    </row>
    <row r="77" spans="1:24" ht="15">
      <c r="A77" s="373"/>
      <c r="B77" s="374" t="s">
        <v>660</v>
      </c>
      <c r="C77" s="375">
        <v>-10.9</v>
      </c>
      <c r="D77" s="375">
        <v>0</v>
      </c>
      <c r="E77" s="377">
        <v>45382</v>
      </c>
      <c r="F77" s="378">
        <v>30000</v>
      </c>
      <c r="G77" s="403">
        <f t="shared" si="23"/>
        <v>30000</v>
      </c>
      <c r="H77" s="404">
        <f t="shared" si="21"/>
        <v>0</v>
      </c>
      <c r="I77" s="405">
        <f t="shared" si="21"/>
        <v>0</v>
      </c>
      <c r="J77" s="405">
        <f t="shared" si="21"/>
        <v>0</v>
      </c>
      <c r="K77" s="405">
        <f t="shared" si="21"/>
        <v>0</v>
      </c>
      <c r="L77" s="405">
        <f t="shared" si="21"/>
        <v>0</v>
      </c>
      <c r="M77" s="405">
        <f t="shared" si="21"/>
        <v>0</v>
      </c>
      <c r="N77" s="405">
        <f t="shared" si="21"/>
        <v>0</v>
      </c>
      <c r="O77" s="405">
        <f t="shared" si="21"/>
        <v>0</v>
      </c>
      <c r="P77" s="406">
        <f t="shared" si="21"/>
        <v>0</v>
      </c>
      <c r="Q77" s="448">
        <f t="shared" si="21"/>
        <v>0</v>
      </c>
      <c r="R77" s="379" t="s">
        <v>32</v>
      </c>
      <c r="S77" s="379"/>
      <c r="T77" s="385"/>
      <c r="U77" s="413">
        <f>IF(-0.75*((C77/(VLOOKUP($A$2,Assumptions!$B$124:$G$147,2,0)))+D77/(VLOOKUP($A$2,Assumptions!$B$124:$G$147,5,0)))=0,"",-0.75*((C77/(VLOOKUP($A$2,Assumptions!$B$124:$G$147,2,0)))+D77/(VLOOKUP($A$2,Assumptions!$B$124:$G$147,5,0))))</f>
        <v>2.3627167630057802E-2</v>
      </c>
      <c r="V77" s="414">
        <f t="shared" si="22"/>
        <v>0.10529569935847763</v>
      </c>
      <c r="W77" s="451"/>
      <c r="X77" s="507"/>
    </row>
    <row r="78" spans="1:24" ht="15">
      <c r="A78" s="373"/>
      <c r="B78" s="374" t="s">
        <v>661</v>
      </c>
      <c r="C78" s="375">
        <v>-9.6</v>
      </c>
      <c r="D78" s="375">
        <v>0</v>
      </c>
      <c r="E78" s="377">
        <v>45382</v>
      </c>
      <c r="F78" s="378">
        <v>1400</v>
      </c>
      <c r="G78" s="403">
        <f t="shared" si="23"/>
        <v>1400</v>
      </c>
      <c r="H78" s="404">
        <f t="shared" si="21"/>
        <v>0</v>
      </c>
      <c r="I78" s="405">
        <f t="shared" si="21"/>
        <v>0</v>
      </c>
      <c r="J78" s="405">
        <f t="shared" si="21"/>
        <v>0</v>
      </c>
      <c r="K78" s="405">
        <f t="shared" si="21"/>
        <v>0</v>
      </c>
      <c r="L78" s="405">
        <f t="shared" si="21"/>
        <v>0</v>
      </c>
      <c r="M78" s="405">
        <f t="shared" si="21"/>
        <v>0</v>
      </c>
      <c r="N78" s="405">
        <f t="shared" si="21"/>
        <v>0</v>
      </c>
      <c r="O78" s="405">
        <f t="shared" si="21"/>
        <v>0</v>
      </c>
      <c r="P78" s="406">
        <f t="shared" si="21"/>
        <v>0</v>
      </c>
      <c r="Q78" s="448">
        <f t="shared" si="21"/>
        <v>0</v>
      </c>
      <c r="R78" s="379" t="s">
        <v>32</v>
      </c>
      <c r="S78" s="386"/>
      <c r="T78" s="387"/>
      <c r="U78" s="413">
        <f>IF(-0.75*((C78/(VLOOKUP($A$2,Assumptions!$B$124:$G$147,2,0)))+D78/(VLOOKUP($A$2,Assumptions!$B$124:$G$147,5,0)))=0,"",-0.75*((C78/(VLOOKUP($A$2,Assumptions!$B$124:$G$147,2,0)))+D78/(VLOOKUP($A$2,Assumptions!$B$124:$G$147,5,0))))</f>
        <v>2.0809248554913295E-2</v>
      </c>
      <c r="V78" s="414">
        <f t="shared" si="22"/>
        <v>1.9872320717720549</v>
      </c>
      <c r="W78" s="451"/>
      <c r="X78" s="507"/>
    </row>
    <row r="79" spans="1:24" ht="15">
      <c r="A79" s="373"/>
      <c r="B79" s="374" t="s">
        <v>662</v>
      </c>
      <c r="C79" s="375">
        <v>-8.1999999999999993</v>
      </c>
      <c r="D79" s="375">
        <v>-33.5</v>
      </c>
      <c r="E79" s="377">
        <v>45382</v>
      </c>
      <c r="F79" s="378">
        <v>7500</v>
      </c>
      <c r="G79" s="403">
        <f t="shared" si="23"/>
        <v>7500</v>
      </c>
      <c r="H79" s="404">
        <f t="shared" ref="H79:Q88" si="24">IF($E79&gt;H$66,0,IF($E79&gt;H$66-365,$F79,0))</f>
        <v>0</v>
      </c>
      <c r="I79" s="405">
        <f t="shared" si="24"/>
        <v>0</v>
      </c>
      <c r="J79" s="405">
        <f t="shared" si="24"/>
        <v>0</v>
      </c>
      <c r="K79" s="405">
        <f t="shared" si="24"/>
        <v>0</v>
      </c>
      <c r="L79" s="405">
        <f t="shared" si="24"/>
        <v>0</v>
      </c>
      <c r="M79" s="405">
        <f t="shared" si="24"/>
        <v>0</v>
      </c>
      <c r="N79" s="405">
        <f t="shared" si="24"/>
        <v>0</v>
      </c>
      <c r="O79" s="405">
        <f t="shared" si="24"/>
        <v>0</v>
      </c>
      <c r="P79" s="406">
        <f t="shared" si="24"/>
        <v>0</v>
      </c>
      <c r="Q79" s="448">
        <f t="shared" si="24"/>
        <v>0</v>
      </c>
      <c r="R79" s="379" t="s">
        <v>32</v>
      </c>
      <c r="S79" s="386" t="s">
        <v>32</v>
      </c>
      <c r="T79" s="387"/>
      <c r="U79" s="413">
        <f>IF(-0.75*((C79/(VLOOKUP($A$2,Assumptions!$B$124:$G$147,2,0)))+D79/(VLOOKUP($A$2,Assumptions!$B$124:$G$147,5,0)))=0,"",-0.75*((C79/(VLOOKUP($A$2,Assumptions!$B$124:$G$147,2,0)))+D79/(VLOOKUP($A$2,Assumptions!$B$124:$G$147,5,0))))</f>
        <v>2.0876418325840293E-2</v>
      </c>
      <c r="V79" s="414">
        <f t="shared" si="22"/>
        <v>0.39877828223543804</v>
      </c>
      <c r="W79" s="451"/>
      <c r="X79" s="507"/>
    </row>
    <row r="80" spans="1:24" ht="15">
      <c r="A80" s="373"/>
      <c r="B80" s="374" t="s">
        <v>663</v>
      </c>
      <c r="C80" s="375">
        <v>-68.7</v>
      </c>
      <c r="D80" s="375">
        <v>-148.9</v>
      </c>
      <c r="E80" s="377">
        <v>45382</v>
      </c>
      <c r="F80" s="378">
        <v>25000</v>
      </c>
      <c r="G80" s="403">
        <f t="shared" si="23"/>
        <v>25000</v>
      </c>
      <c r="H80" s="404">
        <f t="shared" si="24"/>
        <v>0</v>
      </c>
      <c r="I80" s="405">
        <f t="shared" si="24"/>
        <v>0</v>
      </c>
      <c r="J80" s="405">
        <f t="shared" si="24"/>
        <v>0</v>
      </c>
      <c r="K80" s="405">
        <f t="shared" si="24"/>
        <v>0</v>
      </c>
      <c r="L80" s="405">
        <f t="shared" si="24"/>
        <v>0</v>
      </c>
      <c r="M80" s="405">
        <f t="shared" si="24"/>
        <v>0</v>
      </c>
      <c r="N80" s="405">
        <f t="shared" si="24"/>
        <v>0</v>
      </c>
      <c r="O80" s="405">
        <f t="shared" si="24"/>
        <v>0</v>
      </c>
      <c r="P80" s="406">
        <f t="shared" si="24"/>
        <v>0</v>
      </c>
      <c r="Q80" s="448">
        <f t="shared" si="24"/>
        <v>0</v>
      </c>
      <c r="R80" s="379" t="s">
        <v>32</v>
      </c>
      <c r="S80" s="386" t="s">
        <v>32</v>
      </c>
      <c r="T80" s="387"/>
      <c r="U80" s="413">
        <f>IF(-0.75*((C80/(VLOOKUP($A$2,Assumptions!$B$124:$G$147,2,0)))+D80/(VLOOKUP($A$2,Assumptions!$B$124:$G$147,5,0)))=0,"",-0.75*((C80/(VLOOKUP($A$2,Assumptions!$B$124:$G$147,2,0)))+D80/(VLOOKUP($A$2,Assumptions!$B$124:$G$147,5,0))))</f>
        <v>0.16270322200813531</v>
      </c>
      <c r="V80" s="414">
        <f t="shared" si="22"/>
        <v>0.9056249626134647</v>
      </c>
      <c r="W80" s="451"/>
      <c r="X80" s="507"/>
    </row>
    <row r="81" spans="1:24" ht="15">
      <c r="A81" s="373"/>
      <c r="B81" s="457"/>
      <c r="C81" s="375"/>
      <c r="D81" s="375"/>
      <c r="E81" s="377"/>
      <c r="F81" s="378"/>
      <c r="G81" s="403">
        <f t="shared" si="23"/>
        <v>0</v>
      </c>
      <c r="H81" s="404">
        <f t="shared" si="24"/>
        <v>0</v>
      </c>
      <c r="I81" s="405">
        <f t="shared" si="24"/>
        <v>0</v>
      </c>
      <c r="J81" s="405">
        <f t="shared" si="24"/>
        <v>0</v>
      </c>
      <c r="K81" s="405">
        <f t="shared" si="24"/>
        <v>0</v>
      </c>
      <c r="L81" s="405">
        <f t="shared" si="24"/>
        <v>0</v>
      </c>
      <c r="M81" s="405">
        <f t="shared" si="24"/>
        <v>0</v>
      </c>
      <c r="N81" s="405">
        <f t="shared" si="24"/>
        <v>0</v>
      </c>
      <c r="O81" s="405">
        <f t="shared" si="24"/>
        <v>0</v>
      </c>
      <c r="P81" s="406">
        <f t="shared" si="24"/>
        <v>0</v>
      </c>
      <c r="Q81" s="448">
        <f t="shared" si="24"/>
        <v>0</v>
      </c>
      <c r="R81" s="379"/>
      <c r="S81" s="386"/>
      <c r="T81" s="387"/>
      <c r="U81" s="413" t="str">
        <f>IF(-0.75*((C81/(VLOOKUP($A$2,Assumptions!$B$124:$G$147,2,0)))+D81/(VLOOKUP($A$2,Assumptions!$B$124:$G$147,5,0)))=0,"",-0.75*((C81/(VLOOKUP($A$2,Assumptions!$B$124:$G$147,2,0)))+D81/(VLOOKUP($A$2,Assumptions!$B$124:$G$147,5,0))))</f>
        <v/>
      </c>
      <c r="V81" s="414" t="str">
        <f t="shared" si="22"/>
        <v/>
      </c>
      <c r="W81" s="451"/>
      <c r="X81" s="507"/>
    </row>
    <row r="82" spans="1:24" ht="15">
      <c r="A82" s="373"/>
      <c r="B82" s="457"/>
      <c r="C82" s="375"/>
      <c r="D82" s="375"/>
      <c r="E82" s="377"/>
      <c r="F82" s="378"/>
      <c r="G82" s="403">
        <f t="shared" si="23"/>
        <v>0</v>
      </c>
      <c r="H82" s="404">
        <f t="shared" si="24"/>
        <v>0</v>
      </c>
      <c r="I82" s="405">
        <f t="shared" si="24"/>
        <v>0</v>
      </c>
      <c r="J82" s="405">
        <f t="shared" si="24"/>
        <v>0</v>
      </c>
      <c r="K82" s="405">
        <f t="shared" si="24"/>
        <v>0</v>
      </c>
      <c r="L82" s="405">
        <f t="shared" si="24"/>
        <v>0</v>
      </c>
      <c r="M82" s="405">
        <f t="shared" si="24"/>
        <v>0</v>
      </c>
      <c r="N82" s="405">
        <f t="shared" si="24"/>
        <v>0</v>
      </c>
      <c r="O82" s="405">
        <f t="shared" si="24"/>
        <v>0</v>
      </c>
      <c r="P82" s="406">
        <f t="shared" si="24"/>
        <v>0</v>
      </c>
      <c r="Q82" s="448">
        <f t="shared" si="24"/>
        <v>0</v>
      </c>
      <c r="R82" s="379" t="s">
        <v>32</v>
      </c>
      <c r="S82" s="386" t="s">
        <v>32</v>
      </c>
      <c r="T82" s="387"/>
      <c r="U82" s="413" t="str">
        <f>IF(-0.75*((C82/(VLOOKUP($A$2,Assumptions!$B$124:$G$147,2,0)))+D82/(VLOOKUP($A$2,Assumptions!$B$124:$G$147,5,0)))=0,"",-0.75*((C82/(VLOOKUP($A$2,Assumptions!$B$124:$G$147,2,0)))+D82/(VLOOKUP($A$2,Assumptions!$B$124:$G$147,5,0))))</f>
        <v/>
      </c>
      <c r="V82" s="414" t="str">
        <f t="shared" si="22"/>
        <v/>
      </c>
      <c r="W82" s="451"/>
      <c r="X82" s="507"/>
    </row>
    <row r="83" spans="1:24" ht="15">
      <c r="A83" s="373"/>
      <c r="B83" s="457"/>
      <c r="C83" s="375"/>
      <c r="D83" s="375"/>
      <c r="E83" s="377"/>
      <c r="F83" s="378"/>
      <c r="G83" s="403">
        <f t="shared" si="23"/>
        <v>0</v>
      </c>
      <c r="H83" s="404">
        <f t="shared" si="24"/>
        <v>0</v>
      </c>
      <c r="I83" s="405">
        <f t="shared" si="24"/>
        <v>0</v>
      </c>
      <c r="J83" s="405">
        <f t="shared" si="24"/>
        <v>0</v>
      </c>
      <c r="K83" s="405">
        <f t="shared" si="24"/>
        <v>0</v>
      </c>
      <c r="L83" s="405">
        <f t="shared" si="24"/>
        <v>0</v>
      </c>
      <c r="M83" s="405">
        <f t="shared" si="24"/>
        <v>0</v>
      </c>
      <c r="N83" s="405">
        <f t="shared" si="24"/>
        <v>0</v>
      </c>
      <c r="O83" s="405">
        <f t="shared" si="24"/>
        <v>0</v>
      </c>
      <c r="P83" s="406">
        <f t="shared" si="24"/>
        <v>0</v>
      </c>
      <c r="Q83" s="448">
        <f t="shared" si="24"/>
        <v>0</v>
      </c>
      <c r="R83" s="379"/>
      <c r="S83" s="386"/>
      <c r="T83" s="387"/>
      <c r="U83" s="413" t="str">
        <f>IF(-0.75*((C83/(VLOOKUP($A$2,Assumptions!$B$124:$G$147,2,0)))+D83/(VLOOKUP($A$2,Assumptions!$B$124:$G$147,5,0)))=0,"",-0.75*((C83/(VLOOKUP($A$2,Assumptions!$B$124:$G$147,2,0)))+D83/(VLOOKUP($A$2,Assumptions!$B$124:$G$147,5,0))))</f>
        <v/>
      </c>
      <c r="V83" s="414" t="str">
        <f t="shared" si="22"/>
        <v/>
      </c>
      <c r="W83" s="451"/>
      <c r="X83" s="507"/>
    </row>
    <row r="84" spans="1:24" ht="15">
      <c r="A84" s="373"/>
      <c r="B84" s="457"/>
      <c r="C84" s="375"/>
      <c r="D84" s="375"/>
      <c r="E84" s="377"/>
      <c r="F84" s="378"/>
      <c r="G84" s="403">
        <f t="shared" si="23"/>
        <v>0</v>
      </c>
      <c r="H84" s="404">
        <f t="shared" si="24"/>
        <v>0</v>
      </c>
      <c r="I84" s="405">
        <f t="shared" si="24"/>
        <v>0</v>
      </c>
      <c r="J84" s="405">
        <f t="shared" si="24"/>
        <v>0</v>
      </c>
      <c r="K84" s="405">
        <f t="shared" si="24"/>
        <v>0</v>
      </c>
      <c r="L84" s="405">
        <f t="shared" si="24"/>
        <v>0</v>
      </c>
      <c r="M84" s="405">
        <f t="shared" si="24"/>
        <v>0</v>
      </c>
      <c r="N84" s="405">
        <f t="shared" si="24"/>
        <v>0</v>
      </c>
      <c r="O84" s="405">
        <f t="shared" si="24"/>
        <v>0</v>
      </c>
      <c r="P84" s="406">
        <f t="shared" si="24"/>
        <v>0</v>
      </c>
      <c r="Q84" s="448">
        <f t="shared" si="24"/>
        <v>0</v>
      </c>
      <c r="R84" s="379"/>
      <c r="S84" s="386"/>
      <c r="T84" s="387"/>
      <c r="U84" s="413" t="str">
        <f>IF(-0.75*((C84/(VLOOKUP($A$2,Assumptions!$B$124:$G$147,2,0)))+D84/(VLOOKUP($A$2,Assumptions!$B$124:$G$147,5,0)))=0,"",-0.75*((C84/(VLOOKUP($A$2,Assumptions!$B$124:$G$147,2,0)))+D84/(VLOOKUP($A$2,Assumptions!$B$124:$G$147,5,0))))</f>
        <v/>
      </c>
      <c r="V84" s="414" t="str">
        <f t="shared" si="22"/>
        <v/>
      </c>
      <c r="W84" s="451"/>
      <c r="X84" s="507"/>
    </row>
    <row r="85" spans="1:24" ht="15">
      <c r="A85" s="373"/>
      <c r="B85" s="457"/>
      <c r="C85" s="375"/>
      <c r="D85" s="375"/>
      <c r="E85" s="377"/>
      <c r="F85" s="378"/>
      <c r="G85" s="403">
        <f t="shared" si="23"/>
        <v>0</v>
      </c>
      <c r="H85" s="404">
        <f t="shared" si="24"/>
        <v>0</v>
      </c>
      <c r="I85" s="405">
        <f t="shared" si="24"/>
        <v>0</v>
      </c>
      <c r="J85" s="405">
        <f t="shared" si="24"/>
        <v>0</v>
      </c>
      <c r="K85" s="405">
        <f t="shared" si="24"/>
        <v>0</v>
      </c>
      <c r="L85" s="405">
        <f t="shared" si="24"/>
        <v>0</v>
      </c>
      <c r="M85" s="405">
        <f t="shared" si="24"/>
        <v>0</v>
      </c>
      <c r="N85" s="405">
        <f t="shared" si="24"/>
        <v>0</v>
      </c>
      <c r="O85" s="405">
        <f t="shared" si="24"/>
        <v>0</v>
      </c>
      <c r="P85" s="406">
        <f t="shared" si="24"/>
        <v>0</v>
      </c>
      <c r="Q85" s="448">
        <f t="shared" si="24"/>
        <v>0</v>
      </c>
      <c r="R85" s="379"/>
      <c r="S85" s="386"/>
      <c r="T85" s="387"/>
      <c r="U85" s="413" t="str">
        <f>IF(-0.75*((C85/(VLOOKUP($A$2,Assumptions!$B$124:$G$147,2,0)))+D85/(VLOOKUP($A$2,Assumptions!$B$124:$G$147,5,0)))=0,"",-0.75*((C85/(VLOOKUP($A$2,Assumptions!$B$124:$G$147,2,0)))+D85/(VLOOKUP($A$2,Assumptions!$B$124:$G$147,5,0))))</f>
        <v/>
      </c>
      <c r="V85" s="414" t="str">
        <f t="shared" si="22"/>
        <v/>
      </c>
      <c r="W85" s="451"/>
      <c r="X85" s="507"/>
    </row>
    <row r="86" spans="1:24" ht="15">
      <c r="A86" s="373"/>
      <c r="B86" s="457"/>
      <c r="C86" s="375"/>
      <c r="D86" s="375"/>
      <c r="E86" s="377"/>
      <c r="F86" s="378"/>
      <c r="G86" s="403">
        <f t="shared" si="23"/>
        <v>0</v>
      </c>
      <c r="H86" s="404">
        <f t="shared" si="24"/>
        <v>0</v>
      </c>
      <c r="I86" s="405">
        <f t="shared" si="24"/>
        <v>0</v>
      </c>
      <c r="J86" s="405">
        <f t="shared" si="24"/>
        <v>0</v>
      </c>
      <c r="K86" s="405">
        <f t="shared" si="24"/>
        <v>0</v>
      </c>
      <c r="L86" s="405">
        <f t="shared" si="24"/>
        <v>0</v>
      </c>
      <c r="M86" s="405">
        <f t="shared" si="24"/>
        <v>0</v>
      </c>
      <c r="N86" s="405">
        <f t="shared" si="24"/>
        <v>0</v>
      </c>
      <c r="O86" s="405">
        <f t="shared" si="24"/>
        <v>0</v>
      </c>
      <c r="P86" s="406">
        <f t="shared" si="24"/>
        <v>0</v>
      </c>
      <c r="Q86" s="448">
        <f t="shared" si="24"/>
        <v>0</v>
      </c>
      <c r="R86" s="379"/>
      <c r="S86" s="386"/>
      <c r="T86" s="387"/>
      <c r="U86" s="413" t="str">
        <f>IF(-0.75*((C86/(VLOOKUP($A$2,Assumptions!$B$124:$G$147,2,0)))+D86/(VLOOKUP($A$2,Assumptions!$B$124:$G$147,5,0)))=0,"",-0.75*((C86/(VLOOKUP($A$2,Assumptions!$B$124:$G$147,2,0)))+D86/(VLOOKUP($A$2,Assumptions!$B$124:$G$147,5,0))))</f>
        <v/>
      </c>
      <c r="V86" s="414" t="str">
        <f t="shared" si="22"/>
        <v/>
      </c>
      <c r="W86" s="451"/>
      <c r="X86" s="507"/>
    </row>
    <row r="87" spans="1:24" ht="15">
      <c r="A87" s="373"/>
      <c r="B87" s="374"/>
      <c r="C87" s="375"/>
      <c r="D87" s="375"/>
      <c r="E87" s="377"/>
      <c r="F87" s="378"/>
      <c r="G87" s="403">
        <f t="shared" si="23"/>
        <v>0</v>
      </c>
      <c r="H87" s="404">
        <f t="shared" si="24"/>
        <v>0</v>
      </c>
      <c r="I87" s="405">
        <f t="shared" si="24"/>
        <v>0</v>
      </c>
      <c r="J87" s="405">
        <f t="shared" si="24"/>
        <v>0</v>
      </c>
      <c r="K87" s="405">
        <f t="shared" si="24"/>
        <v>0</v>
      </c>
      <c r="L87" s="405">
        <f t="shared" si="24"/>
        <v>0</v>
      </c>
      <c r="M87" s="405">
        <f t="shared" si="24"/>
        <v>0</v>
      </c>
      <c r="N87" s="405">
        <f t="shared" si="24"/>
        <v>0</v>
      </c>
      <c r="O87" s="405">
        <f t="shared" si="24"/>
        <v>0</v>
      </c>
      <c r="P87" s="406">
        <f t="shared" si="24"/>
        <v>0</v>
      </c>
      <c r="Q87" s="448">
        <f t="shared" si="24"/>
        <v>0</v>
      </c>
      <c r="R87" s="379"/>
      <c r="S87" s="379"/>
      <c r="T87" s="387"/>
      <c r="U87" s="413" t="str">
        <f>IF(-0.75*((C87/(VLOOKUP($A$2,Assumptions!$B$124:$G$147,2,0)))+D87/(VLOOKUP($A$2,Assumptions!$B$124:$G$147,5,0)))=0,"",-0.75*((C87/(VLOOKUP($A$2,Assumptions!$B$124:$G$147,2,0)))+D87/(VLOOKUP($A$2,Assumptions!$B$124:$G$147,5,0))))</f>
        <v/>
      </c>
      <c r="V87" s="414" t="str">
        <f t="shared" si="22"/>
        <v/>
      </c>
      <c r="W87" s="451"/>
      <c r="X87" s="507"/>
    </row>
    <row r="88" spans="1:24" ht="15">
      <c r="A88" s="456"/>
      <c r="B88" s="397"/>
      <c r="C88" s="398"/>
      <c r="D88" s="398"/>
      <c r="E88" s="399"/>
      <c r="F88" s="400"/>
      <c r="G88" s="407">
        <f t="shared" si="23"/>
        <v>0</v>
      </c>
      <c r="H88" s="408">
        <f t="shared" si="24"/>
        <v>0</v>
      </c>
      <c r="I88" s="409">
        <f t="shared" si="24"/>
        <v>0</v>
      </c>
      <c r="J88" s="409">
        <f t="shared" si="24"/>
        <v>0</v>
      </c>
      <c r="K88" s="409">
        <f t="shared" si="24"/>
        <v>0</v>
      </c>
      <c r="L88" s="409">
        <f t="shared" si="24"/>
        <v>0</v>
      </c>
      <c r="M88" s="409">
        <f t="shared" si="24"/>
        <v>0</v>
      </c>
      <c r="N88" s="409">
        <f t="shared" si="24"/>
        <v>0</v>
      </c>
      <c r="O88" s="409">
        <f t="shared" si="24"/>
        <v>0</v>
      </c>
      <c r="P88" s="410">
        <f t="shared" si="24"/>
        <v>0</v>
      </c>
      <c r="Q88" s="449">
        <f t="shared" si="24"/>
        <v>0</v>
      </c>
      <c r="R88" s="401"/>
      <c r="S88" s="401"/>
      <c r="T88" s="402"/>
      <c r="U88" s="413" t="str">
        <f>IF(-0.75*((C88/(VLOOKUP($A$2,Assumptions!$B$124:$G$147,2,0)))+D88/(VLOOKUP($A$2,Assumptions!$B$124:$G$147,5,0)))=0,"",-0.75*((C88/(VLOOKUP($A$2,Assumptions!$B$124:$G$147,2,0)))+D88/(VLOOKUP($A$2,Assumptions!$B$124:$G$147,5,0))))</f>
        <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5">IF(ISERROR(((-C89*1000*$W$162)/F89)),"",((-C89*1000*$W$162)/F89))</f>
        <v/>
      </c>
      <c r="W89" s="304" t="str">
        <f t="shared" si="25"/>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5"/>
        <v/>
      </c>
      <c r="W90" s="170" t="str">
        <f t="shared" si="25"/>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5"/>
        <v/>
      </c>
      <c r="W91" s="170" t="str">
        <f t="shared" si="25"/>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5"/>
        <v/>
      </c>
      <c r="W92" s="170" t="str">
        <f t="shared" si="25"/>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5"/>
        <v/>
      </c>
      <c r="W93" s="170" t="str">
        <f t="shared" si="25"/>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5"/>
        <v/>
      </c>
      <c r="W94" s="170" t="str">
        <f t="shared" si="25"/>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5"/>
        <v/>
      </c>
      <c r="W95" s="170" t="str">
        <f t="shared" si="25"/>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5"/>
        <v/>
      </c>
      <c r="W96" s="170" t="str">
        <f t="shared" si="25"/>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5"/>
        <v/>
      </c>
      <c r="W97" s="170" t="str">
        <f t="shared" si="25"/>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5"/>
        <v/>
      </c>
      <c r="W98" s="170" t="str">
        <f t="shared" si="25"/>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5"/>
        <v/>
      </c>
      <c r="W99" s="170" t="str">
        <f t="shared" si="25"/>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5"/>
        <v/>
      </c>
      <c r="W100" s="170" t="str">
        <f t="shared" si="25"/>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5"/>
        <v/>
      </c>
      <c r="W101" s="170" t="str">
        <f t="shared" si="25"/>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5"/>
        <v/>
      </c>
      <c r="W102" s="170" t="str">
        <f t="shared" si="25"/>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5"/>
        <v/>
      </c>
      <c r="W103" s="170" t="str">
        <f t="shared" si="25"/>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5"/>
        <v/>
      </c>
      <c r="W104" s="170" t="str">
        <f t="shared" si="25"/>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5"/>
        <v/>
      </c>
      <c r="W105" s="170" t="str">
        <f t="shared" si="25"/>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5"/>
        <v/>
      </c>
      <c r="W106" s="170" t="str">
        <f t="shared" si="25"/>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5"/>
        <v/>
      </c>
      <c r="W107" s="170" t="str">
        <f t="shared" si="25"/>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5"/>
        <v/>
      </c>
      <c r="W108" s="170" t="str">
        <f t="shared" si="25"/>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5"/>
        <v/>
      </c>
      <c r="W109" s="170" t="str">
        <f t="shared" si="25"/>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5"/>
        <v/>
      </c>
      <c r="W110" s="170" t="str">
        <f t="shared" si="25"/>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5"/>
        <v/>
      </c>
      <c r="W111" s="170" t="str">
        <f t="shared" si="25"/>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5"/>
        <v/>
      </c>
      <c r="W112" s="170" t="str">
        <f t="shared" si="25"/>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5"/>
        <v/>
      </c>
      <c r="W113" s="170" t="str">
        <f t="shared" si="25"/>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5"/>
        <v/>
      </c>
      <c r="W114" s="173" t="str">
        <f t="shared" si="25"/>
        <v/>
      </c>
      <c r="X114" s="173"/>
    </row>
    <row r="115" spans="1:31" ht="15">
      <c r="A115" s="13"/>
      <c r="B115" s="353"/>
      <c r="C115" s="354">
        <f>0.9*SUM(C69:C88)</f>
        <v>-385.73999999999995</v>
      </c>
      <c r="D115" s="354">
        <f>0.9*SUM(D69:D88)</f>
        <v>-707.22</v>
      </c>
      <c r="E115" s="355"/>
      <c r="F115" s="333">
        <f>SUM(F69:F114)</f>
        <v>1784400</v>
      </c>
      <c r="G115" s="388">
        <f>SUM(G69:G114)</f>
        <v>1784400</v>
      </c>
      <c r="H115" s="388">
        <f t="shared" ref="H115:N115" si="26">SUM(H69:H114)</f>
        <v>0</v>
      </c>
      <c r="I115" s="388">
        <f t="shared" si="26"/>
        <v>0</v>
      </c>
      <c r="J115" s="388">
        <f t="shared" si="26"/>
        <v>0</v>
      </c>
      <c r="K115" s="388">
        <f t="shared" si="26"/>
        <v>0</v>
      </c>
      <c r="L115" s="388">
        <f t="shared" si="26"/>
        <v>0</v>
      </c>
      <c r="M115" s="388">
        <f t="shared" si="26"/>
        <v>0</v>
      </c>
      <c r="N115" s="388">
        <f t="shared" si="26"/>
        <v>0</v>
      </c>
      <c r="O115" s="388">
        <f>SUM(O69:O114)</f>
        <v>0</v>
      </c>
      <c r="P115" s="388">
        <f>SUM(P69:P114)</f>
        <v>0</v>
      </c>
      <c r="Q115" s="388">
        <f>SUM(Q69:Q114)</f>
        <v>0</v>
      </c>
      <c r="R115" s="388">
        <f>SUMIFS(F69:F114,R69:R114,"Yes")-0.5*SUMIFS(F69:F114,R69:R114,"Yes",S69:S114,"Yes")</f>
        <v>1618150</v>
      </c>
      <c r="S115" s="388">
        <f>SUMIFS(F69:F114,S69:S114,"Yes")-0.5*SUMIFS(F69:F114,S69:S114,"Yes",R69:R114,"Yes")</f>
        <v>166250</v>
      </c>
      <c r="T115" s="388">
        <f>SUMIFS(F69:F114,T69:T114,"Yes")</f>
        <v>0</v>
      </c>
      <c r="U115" s="389">
        <f>SUM(U69:U114)</f>
        <v>1.0018055020338257</v>
      </c>
      <c r="V115" s="390">
        <f>IF(ISERROR(((-1*C115*1000*$D$6)+(-1*D115*$D$8))/F115),"",((-1*C115*1000*$D$6)+(-1*D115*$D$8))/F115)</f>
        <v>6.9917451480705342E-2</v>
      </c>
      <c r="W115" s="391">
        <f>SUMIFS(F69:F114,W69:W114,"Yes")</f>
        <v>0</v>
      </c>
      <c r="X115" s="388">
        <f>SUMIFS(F69:F114,X69:X114,"Yes")</f>
        <v>0</v>
      </c>
    </row>
    <row r="116" spans="1:31" ht="15">
      <c r="A116" s="13"/>
      <c r="B116" s="13" t="s">
        <v>928</v>
      </c>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325"/>
      <c r="D117" s="325"/>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385.73999999999995</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4.7820733104238258</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4.7820733104238258</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5.8284208459153888</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5.8284208459153888</v>
      </c>
      <c r="AA126" s="22">
        <f t="shared" ref="AA126:AC126" si="27">AK216</f>
        <v>5.8284208459153888</v>
      </c>
      <c r="AB126" s="22">
        <f t="shared" si="27"/>
        <v>0</v>
      </c>
      <c r="AC126" s="22">
        <f t="shared" si="27"/>
        <v>0</v>
      </c>
      <c r="AD126" s="22">
        <f t="shared" ref="AD126:AE126" si="28">AI217</f>
        <v>0</v>
      </c>
      <c r="AE126" s="22">
        <f t="shared" si="28"/>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5.8284208459153888</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5.8284208459153888</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5.8284208459153888</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5.8284208459153888</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5.8284208459153888</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5.8284208459153888</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5.8284208459153888</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Y154" si="30">AV156*0.5</f>
        <v>69.5</v>
      </c>
      <c r="AW154" s="339">
        <f t="shared" si="30"/>
        <v>59.814999999999998</v>
      </c>
      <c r="AX154" s="339">
        <f t="shared" si="30"/>
        <v>33.69</v>
      </c>
      <c r="AY154" s="339">
        <f t="shared" si="30"/>
        <v>44.87</v>
      </c>
      <c r="AZ154" s="8"/>
      <c r="BA154" s="25">
        <v>6</v>
      </c>
      <c r="BB154" s="24">
        <f t="shared" ref="BB154:BB155" si="31">IF($C$58="Base",BF154,BG154)</f>
        <v>42.145000000000003</v>
      </c>
      <c r="BC154" s="24" t="s">
        <v>436</v>
      </c>
      <c r="BD154" s="8"/>
      <c r="BE154" s="8"/>
      <c r="BF154" s="24">
        <f t="shared" ref="BF154:BF155" si="32">IF($C$59&gt;7000,"error",IF($C$59&gt;5999,AR154,IF($C$59&gt;4999,AQ154,IF($C$59&gt;3999,AP154,IF($C$59&gt;2999,AO154,IF($C$59&gt;1999,AN154,"Error"))))))</f>
        <v>42.145000000000003</v>
      </c>
      <c r="BG154" s="24">
        <f t="shared" ref="BG154:BG164" si="33">IF($C$59&gt;7000,"error",IF($C$59&gt;5999,AY154,IF($C$59&gt;4999,AX154,IF($C$59&gt;3999,AW154,IF($C$59&gt;2999,AV154,IF($C$59&gt;1999,AU154,"Error"))))))</f>
        <v>69.5</v>
      </c>
      <c r="BH154" s="8"/>
      <c r="BI154" s="8"/>
      <c r="BJ154" s="8"/>
      <c r="BK154" s="8"/>
      <c r="BL154" s="8"/>
      <c r="BM154" s="8"/>
      <c r="BN154" s="8"/>
      <c r="BO154" s="8"/>
      <c r="BP154" s="8"/>
      <c r="BQ154" s="8"/>
      <c r="BR154" s="8"/>
      <c r="BS154" s="8"/>
      <c r="BT154" s="8"/>
      <c r="BU154" s="8"/>
      <c r="BV154" s="8"/>
      <c r="BW154" s="8"/>
      <c r="BX154" s="8"/>
      <c r="BY154" s="8"/>
      <c r="BZ154" s="8"/>
    </row>
    <row r="155" spans="20:78" ht="17.25" customHeight="1">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4">AQ156*0.75</f>
        <v>31.372499999999999</v>
      </c>
      <c r="AR155" s="338">
        <f t="shared" si="34"/>
        <v>40.47</v>
      </c>
      <c r="AS155" s="24"/>
      <c r="AT155" s="25">
        <v>5.5</v>
      </c>
      <c r="AU155" s="339">
        <f>AU156*0.75</f>
        <v>97.140000000000015</v>
      </c>
      <c r="AV155" s="339">
        <f t="shared" ref="AV155:AY155" si="35">AV156*0.75</f>
        <v>104.25</v>
      </c>
      <c r="AW155" s="339">
        <f t="shared" si="35"/>
        <v>89.722499999999997</v>
      </c>
      <c r="AX155" s="339">
        <f t="shared" si="35"/>
        <v>50.534999999999997</v>
      </c>
      <c r="AY155" s="339">
        <f t="shared" si="35"/>
        <v>67.304999999999993</v>
      </c>
      <c r="AZ155" s="24"/>
      <c r="BA155" s="25">
        <v>5.5</v>
      </c>
      <c r="BB155" s="24">
        <f t="shared" si="31"/>
        <v>63.217500000000001</v>
      </c>
      <c r="BC155" s="24" t="s">
        <v>436</v>
      </c>
      <c r="BE155" s="24"/>
      <c r="BF155" s="24">
        <f t="shared" si="32"/>
        <v>63.217500000000001</v>
      </c>
      <c r="BG155" s="24">
        <f t="shared" si="33"/>
        <v>104.25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84.29</v>
      </c>
      <c r="BC156" s="24" t="s">
        <v>436</v>
      </c>
      <c r="BD156" s="24">
        <f>IF(C58="base",BF156,BG156)</f>
        <v>84.29</v>
      </c>
      <c r="BE156" s="24"/>
      <c r="BF156" s="24">
        <f>IF($C$59&gt;7000,"error",IF($C$59&gt;5999,AR156,IF($C$59&gt;4999,AQ156,IF($C$59&gt;3999,AP156,IF($C$59&gt;2999,AO156,IF($C$59&gt;1999,AN156,"Error"))))))</f>
        <v>84.29</v>
      </c>
      <c r="BG156" s="24">
        <f t="shared" si="33"/>
        <v>139</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15723.1</v>
      </c>
      <c r="BW156" s="14" t="s">
        <v>445</v>
      </c>
      <c r="BX156" s="181" t="s">
        <v>13</v>
      </c>
      <c r="BY156" s="38">
        <f>BY157/BV156</f>
        <v>56.949292315128694</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6">IF($C$58="Base",BF157,BG157)</f>
        <v>101.75</v>
      </c>
      <c r="BC157" s="24" t="s">
        <v>436</v>
      </c>
      <c r="BD157" s="24">
        <f>BB157-BB156</f>
        <v>17.459999999999994</v>
      </c>
      <c r="BE157" s="24"/>
      <c r="BF157" s="24">
        <f t="shared" ref="BF157:BF164" si="37">IF($C$59&gt;7000,"error",IF($C$59&gt;5999,AR157,IF($C$59&gt;4999,AQ157,IF($C$59&gt;3999,AP157,IF($C$59&gt;2999,AO157,IF($C$59&gt;1999,AN157,"Error"))))))</f>
        <v>101.75</v>
      </c>
      <c r="BG157" s="24">
        <f t="shared" si="33"/>
        <v>166.57</v>
      </c>
      <c r="BH157" s="24"/>
      <c r="BI157" s="29" t="s">
        <v>118</v>
      </c>
      <c r="BJ157" s="29">
        <v>810</v>
      </c>
      <c r="BK157" s="29">
        <v>51.33</v>
      </c>
      <c r="BL157" s="24">
        <v>2000</v>
      </c>
      <c r="BM157" s="25"/>
      <c r="BN157" s="24">
        <f>BV161/BV158</f>
        <v>9.9422555350758355</v>
      </c>
      <c r="BO157" s="32" t="s">
        <v>447</v>
      </c>
      <c r="BP157" s="179">
        <f>$BY$158/SUM($BY$158:$BY$159)*C64</f>
        <v>84.447638369173731</v>
      </c>
      <c r="BQ157" s="29" t="s">
        <v>448</v>
      </c>
      <c r="BR157" s="29" t="s">
        <v>449</v>
      </c>
      <c r="BS157" s="29" t="s">
        <v>450</v>
      </c>
      <c r="BT157" s="14"/>
      <c r="BU157" s="30" t="s">
        <v>451</v>
      </c>
      <c r="BV157" s="33">
        <f xml:space="preserve"> 5 - 0.5*(BV158-BB156)/BH166</f>
        <v>4.9954857282596299</v>
      </c>
      <c r="BW157" s="14" t="s">
        <v>452</v>
      </c>
      <c r="BX157" s="181" t="s">
        <v>453</v>
      </c>
      <c r="BY157" s="180">
        <f>SUM(BY158:BY159)</f>
        <v>895419.41799999995</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6"/>
        <v>120.31</v>
      </c>
      <c r="BC158" s="24" t="s">
        <v>436</v>
      </c>
      <c r="BD158" s="24">
        <f t="shared" ref="BD158:BD164" si="38">BB158-BB157</f>
        <v>18.560000000000002</v>
      </c>
      <c r="BE158" s="24"/>
      <c r="BF158" s="24">
        <f t="shared" si="37"/>
        <v>120.31</v>
      </c>
      <c r="BG158" s="24">
        <f t="shared" si="33"/>
        <v>194.15</v>
      </c>
      <c r="BH158" s="24"/>
      <c r="BI158" s="29" t="s">
        <v>150</v>
      </c>
      <c r="BJ158" s="29">
        <v>810</v>
      </c>
      <c r="BK158" s="29">
        <v>51.33</v>
      </c>
      <c r="BL158" s="24">
        <v>3000</v>
      </c>
      <c r="BM158" s="25"/>
      <c r="BN158" s="179">
        <f>BV162/BV163</f>
        <v>189.81902248927176</v>
      </c>
      <c r="BO158" s="24" t="s">
        <v>454</v>
      </c>
      <c r="BP158" s="179">
        <f>$BY$159/SUM($BY$158:$BY$159)*C64</f>
        <v>7.4523616308262817</v>
      </c>
      <c r="BQ158" s="29" t="s">
        <v>455</v>
      </c>
      <c r="BR158" s="29" t="s">
        <v>456</v>
      </c>
      <c r="BS158" s="29" t="s">
        <v>457</v>
      </c>
      <c r="BT158" s="14"/>
      <c r="BU158" s="30" t="s">
        <v>458</v>
      </c>
      <c r="BV158" s="31">
        <f>BP157</f>
        <v>84.447638369173731</v>
      </c>
      <c r="BW158" s="14" t="s">
        <v>436</v>
      </c>
      <c r="BX158" s="181" t="s">
        <v>459</v>
      </c>
      <c r="BY158" s="178">
        <f>INDEX($BJ$156:$BJ$161,MATCH($C$57,$BI$156:$BI$161,0))*$C$62</f>
        <v>822808</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6"/>
        <v>138.88</v>
      </c>
      <c r="BC159" s="24" t="s">
        <v>436</v>
      </c>
      <c r="BD159" s="24">
        <f t="shared" si="38"/>
        <v>18.569999999999993</v>
      </c>
      <c r="BE159" s="24"/>
      <c r="BF159" s="24">
        <f t="shared" si="37"/>
        <v>138.88</v>
      </c>
      <c r="BG159" s="24">
        <f t="shared" si="33"/>
        <v>221.73</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72611.417999999991</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6"/>
        <v>157.44999999999999</v>
      </c>
      <c r="BC160" s="24" t="s">
        <v>436</v>
      </c>
      <c r="BD160" s="24">
        <f t="shared" si="38"/>
        <v>18.569999999999993</v>
      </c>
      <c r="BE160" s="24"/>
      <c r="BF160" s="24">
        <f t="shared" si="37"/>
        <v>157.44999999999999</v>
      </c>
      <c r="BG160" s="24">
        <f t="shared" si="33"/>
        <v>249.31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56.949292315128694</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6"/>
        <v>176.01</v>
      </c>
      <c r="BC161" s="24" t="s">
        <v>436</v>
      </c>
      <c r="BD161" s="24">
        <f t="shared" si="38"/>
        <v>18.560000000000002</v>
      </c>
      <c r="BE161" s="24"/>
      <c r="BF161" s="24">
        <f t="shared" si="37"/>
        <v>176.01</v>
      </c>
      <c r="BG161" s="24">
        <f t="shared" si="33"/>
        <v>276.89</v>
      </c>
      <c r="BH161" s="24"/>
      <c r="BI161" s="29" t="s">
        <v>147</v>
      </c>
      <c r="BJ161" s="29">
        <v>680</v>
      </c>
      <c r="BK161" s="29">
        <v>51.33</v>
      </c>
      <c r="BL161" s="24">
        <v>6000</v>
      </c>
      <c r="BM161" s="37"/>
      <c r="BN161" s="37"/>
      <c r="BO161" s="37"/>
      <c r="BP161" s="37"/>
      <c r="BQ161" s="29" t="s">
        <v>470</v>
      </c>
      <c r="BR161" s="29" t="s">
        <v>18</v>
      </c>
      <c r="BS161" s="29"/>
      <c r="BT161" s="14"/>
      <c r="BU161" s="14" t="s">
        <v>471</v>
      </c>
      <c r="BV161" s="31">
        <f>C62</f>
        <v>839.6</v>
      </c>
      <c r="BW161" s="14" t="s">
        <v>311</v>
      </c>
      <c r="BX161" s="14"/>
      <c r="BY161" s="14"/>
      <c r="BZ161" s="38">
        <f>5-(0.5*(C64-CE177)/(CE176-CE177))</f>
        <v>4.7820733104238258</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6"/>
        <v>194.58</v>
      </c>
      <c r="BC162" s="24" t="s">
        <v>436</v>
      </c>
      <c r="BD162" s="24">
        <f t="shared" si="38"/>
        <v>18.570000000000022</v>
      </c>
      <c r="BE162" s="24"/>
      <c r="BF162" s="24">
        <f t="shared" si="37"/>
        <v>194.58</v>
      </c>
      <c r="BG162" s="24">
        <f t="shared" si="33"/>
        <v>304.47000000000003</v>
      </c>
      <c r="BH162" s="24"/>
      <c r="BI162" s="24"/>
      <c r="BJ162" s="24"/>
      <c r="BK162" s="24"/>
      <c r="BL162" s="24"/>
      <c r="BM162" s="37"/>
      <c r="BN162" s="37"/>
      <c r="BO162" s="37"/>
      <c r="BP162" s="37"/>
      <c r="BQ162" s="29" t="s">
        <v>473</v>
      </c>
      <c r="BR162" s="24"/>
      <c r="BS162" s="24"/>
      <c r="BT162" s="14"/>
      <c r="BU162" s="14" t="s">
        <v>474</v>
      </c>
      <c r="BV162" s="31">
        <f>C63</f>
        <v>1414.6</v>
      </c>
      <c r="BW162" s="14" t="s">
        <v>314</v>
      </c>
      <c r="BX162" s="14"/>
      <c r="BY162" s="38">
        <f>C63*BK156</f>
        <v>72611.417999999991</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6"/>
        <v>213.15</v>
      </c>
      <c r="BC163" s="24" t="s">
        <v>436</v>
      </c>
      <c r="BD163" s="24">
        <f t="shared" si="38"/>
        <v>18.569999999999993</v>
      </c>
      <c r="BE163" s="24"/>
      <c r="BF163" s="24">
        <f t="shared" si="37"/>
        <v>213.15</v>
      </c>
      <c r="BG163" s="24">
        <f t="shared" si="33"/>
        <v>332.05</v>
      </c>
      <c r="BH163" s="24"/>
      <c r="BI163" s="24"/>
      <c r="BJ163" s="24"/>
      <c r="BK163" s="24"/>
      <c r="BL163" s="24"/>
      <c r="BM163" s="37"/>
      <c r="BN163" s="37"/>
      <c r="BO163" s="37"/>
      <c r="BP163" s="37"/>
      <c r="BQ163" s="29" t="s">
        <v>475</v>
      </c>
      <c r="BR163" s="24"/>
      <c r="BS163" s="24"/>
      <c r="BT163" s="14"/>
      <c r="BU163" s="14" t="s">
        <v>476</v>
      </c>
      <c r="BV163" s="38">
        <f>BP158</f>
        <v>7.4523616308262817</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6"/>
        <v>231.71</v>
      </c>
      <c r="BC164" s="24" t="s">
        <v>436</v>
      </c>
      <c r="BD164" s="24">
        <f t="shared" si="38"/>
        <v>18.560000000000002</v>
      </c>
      <c r="BE164" s="24"/>
      <c r="BF164" s="24">
        <f t="shared" si="37"/>
        <v>231.71</v>
      </c>
      <c r="BG164" s="24">
        <f t="shared" si="33"/>
        <v>359.62</v>
      </c>
      <c r="BH164" s="24"/>
      <c r="BI164" s="24"/>
      <c r="BJ164" s="24"/>
      <c r="BK164" s="24"/>
      <c r="BL164" s="24"/>
      <c r="BM164" s="37"/>
      <c r="BN164" s="37"/>
      <c r="BO164" s="37"/>
      <c r="BP164" s="37"/>
      <c r="BQ164" s="29" t="s">
        <v>478</v>
      </c>
      <c r="BR164" s="24"/>
      <c r="BS164" s="24"/>
      <c r="BT164" s="14"/>
      <c r="BU164" s="14"/>
      <c r="BV164" s="38">
        <f>BV163+BV158</f>
        <v>91.9</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9">H66</f>
        <v>45838</v>
      </c>
      <c r="I166" s="177">
        <f t="shared" si="39"/>
        <v>46203</v>
      </c>
      <c r="J166" s="177">
        <f t="shared" si="39"/>
        <v>46568</v>
      </c>
      <c r="K166" s="177">
        <f t="shared" si="39"/>
        <v>46934</v>
      </c>
      <c r="L166" s="177">
        <f t="shared" si="39"/>
        <v>47299</v>
      </c>
      <c r="M166" s="177">
        <f t="shared" si="39"/>
        <v>47664</v>
      </c>
      <c r="N166" s="177">
        <f t="shared" si="39"/>
        <v>48029</v>
      </c>
      <c r="O166" s="177">
        <f t="shared" si="39"/>
        <v>48395</v>
      </c>
      <c r="P166" s="177">
        <f t="shared" si="39"/>
        <v>48760</v>
      </c>
      <c r="Q166" s="177">
        <f t="shared" si="39"/>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0">DATE(YEAR(AB166)+1,MONTH(AB166),DAY(AB166))</f>
        <v>46112</v>
      </c>
      <c r="AD166" s="46">
        <f t="shared" si="40"/>
        <v>46477</v>
      </c>
      <c r="AE166" s="46">
        <f t="shared" si="40"/>
        <v>46843</v>
      </c>
      <c r="AF166" s="46">
        <f t="shared" si="40"/>
        <v>47208</v>
      </c>
      <c r="AG166" s="46">
        <f t="shared" si="40"/>
        <v>47573</v>
      </c>
      <c r="AH166" s="46">
        <f t="shared" si="40"/>
        <v>47938</v>
      </c>
      <c r="AI166" s="46">
        <f t="shared" si="40"/>
        <v>48304</v>
      </c>
      <c r="AJ166" s="46">
        <f t="shared" si="40"/>
        <v>48669</v>
      </c>
      <c r="AK166" s="46">
        <f t="shared" si="40"/>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1">IF($C$58="base",INDEX($AN$157:$AR$157,MATCH($C$57,$AN$165:$AR$165,0)),INDEX($AU$157:$AY$157,MATCH($C$57,$AU$165:$AY$165,0)))</f>
        <v>101.75</v>
      </c>
      <c r="BF166" s="47" t="s">
        <v>388</v>
      </c>
      <c r="BG166" s="47">
        <f>BD156</f>
        <v>84.29</v>
      </c>
      <c r="BH166" s="47">
        <f>BD157</f>
        <v>17.459999999999994</v>
      </c>
      <c r="BI166" s="47">
        <f>BD158</f>
        <v>18.560000000000002</v>
      </c>
      <c r="BJ166" s="47">
        <f>BD159</f>
        <v>18.569999999999993</v>
      </c>
      <c r="BK166" s="47">
        <f>BD160</f>
        <v>18.569999999999993</v>
      </c>
      <c r="BL166" s="47">
        <f>BD161</f>
        <v>18.560000000000002</v>
      </c>
      <c r="BM166" s="47">
        <f>BD162</f>
        <v>18.570000000000022</v>
      </c>
      <c r="BN166" s="47">
        <f>BD163</f>
        <v>18.569999999999993</v>
      </c>
      <c r="BO166" s="47">
        <f>BD164</f>
        <v>18.560000000000002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2">IF($E69&lt;G$66,$C69,0)</f>
        <v>-110</v>
      </c>
      <c r="H167" s="12">
        <f t="shared" ref="H167:J186" si="43">IF($E69&gt;H$66,0,IF($E69&lt;H$66-365,$C69,0))</f>
        <v>-110</v>
      </c>
      <c r="I167" s="12">
        <f t="shared" si="43"/>
        <v>-110</v>
      </c>
      <c r="J167" s="12">
        <f t="shared" si="43"/>
        <v>-110</v>
      </c>
      <c r="K167" s="12">
        <f t="shared" ref="K167:K209" si="44">IF($E69&lt;K$66,$C69,0)</f>
        <v>-110</v>
      </c>
      <c r="L167" s="12">
        <f t="shared" ref="L167:N186" si="45">IF($E69&gt;L$66,0,IF($E69&lt;L$66-365,$C69,0))</f>
        <v>-110</v>
      </c>
      <c r="M167" s="12">
        <f t="shared" si="45"/>
        <v>-110</v>
      </c>
      <c r="N167" s="12">
        <f t="shared" si="45"/>
        <v>-110</v>
      </c>
      <c r="O167" s="12">
        <f t="shared" ref="O167:O209" si="46">IF($E69&lt;O$66,$C69,0)</f>
        <v>-110</v>
      </c>
      <c r="P167" s="12">
        <f t="shared" ref="P167:Q186" si="47">IF($E69&gt;P$66,0,IF($E69&lt;P$66-365,$C69,0))</f>
        <v>-110</v>
      </c>
      <c r="Q167" s="12">
        <f t="shared" si="47"/>
        <v>-110</v>
      </c>
      <c r="T167" s="14"/>
      <c r="U167" s="14"/>
      <c r="V167" s="14"/>
      <c r="W167" s="53">
        <f t="shared" ref="W167:W211" si="48">C68*$BN$160*1000</f>
        <v>0</v>
      </c>
      <c r="X167" s="54" t="e">
        <f t="shared" ref="X167:X211" si="49">-1*F68/W167</f>
        <v>#DIV/0!</v>
      </c>
      <c r="Y167" s="25">
        <f>Z167/$BH$166</f>
        <v>0</v>
      </c>
      <c r="Z167" s="54">
        <f>C68/$BN$157</f>
        <v>0</v>
      </c>
      <c r="AA167" s="54">
        <f t="shared" ref="AA167:AJ182" si="50">IF($E68+365&lt;$C$56,0,IF($E68&lt;$C$56,(($E68+365-$C$56)/365)*(($C68/$BN$157)+($D68/$BN$158)),IF($E68&gt;AA$166,0,IF($E68+365&lt;AA$166,($C68/$BN$157)+($D68/$BN$158),((AA$166-$E68)/365)*(($C68/$BN$157)+($D68/$BN$158))))))</f>
        <v>0</v>
      </c>
      <c r="AB167" s="54">
        <f t="shared" si="50"/>
        <v>0</v>
      </c>
      <c r="AC167" s="54">
        <f>IF($E68+365&lt;$C$56,0,IF($E68&lt;$C$56,(($E68+365-$C$56)/365)*(($C68/$BN$157)+($D68/$BN$158)),IF($E68&gt;AC$166,0,IF($E68+365&lt;AC$166,($C68/$BN$157)+($D68/$BN$158),((AC$166-$E68)/365)*(($C68/$BN$157)+($D68/$BN$158))))))</f>
        <v>0</v>
      </c>
      <c r="AD167" s="54">
        <f t="shared" si="50"/>
        <v>0</v>
      </c>
      <c r="AE167" s="54">
        <f t="shared" si="50"/>
        <v>0</v>
      </c>
      <c r="AF167" s="54">
        <f>IF($E68+365&lt;$C$56,0,IF($E68&lt;$C$56,(($E68+365-$C$56)/365)*(($C68/$BN$157)+($D68/$BN$158)),IF($E68&gt;AF$166,0,IF($E68+365&lt;AF$166,($C68/$BN$157)+($D68/$BN$158),((AF$166-$E68)/365)*(($C68/$BN$157)+($D68/$BN$158))))))</f>
        <v>0</v>
      </c>
      <c r="AG167" s="54">
        <f t="shared" si="50"/>
        <v>0</v>
      </c>
      <c r="AH167" s="54">
        <f t="shared" si="50"/>
        <v>0</v>
      </c>
      <c r="AI167" s="54">
        <f t="shared" si="50"/>
        <v>0</v>
      </c>
      <c r="AJ167" s="54">
        <f t="shared" si="50"/>
        <v>0</v>
      </c>
      <c r="AK167" s="54">
        <f t="shared" ref="AK167" si="51">IF($E68+365&lt;$C$56,0,IF($E68&lt;$C$56,(($E68+365-$C$56)/365)*(($C68/$BN$157)+($D68/$BN$158)),IF($E68&gt;AK$166,0,IF($E68+365&lt;AK$166,($C68/$BN$157)+($D68/$BN$158),((AK$166-$E68)/365)*(($C68/$BN$157)+($D68/$BN$158))))))</f>
        <v>0</v>
      </c>
      <c r="AL167" s="24">
        <f t="shared" ref="AL167:AL213" si="52">IF(G68&lt;&gt;"",C68,0)</f>
        <v>0</v>
      </c>
      <c r="AM167" s="24">
        <f t="shared" ref="AM167:AM213" si="53">IF(G68&lt;&gt;"",D68,0)</f>
        <v>0</v>
      </c>
      <c r="AN167" s="55">
        <f t="shared" ref="AN167:AN213" si="54">IF(W68="Yes",0,F68)</f>
        <v>0</v>
      </c>
      <c r="AO167" s="55">
        <f t="shared" ref="AO167:AO213" si="55">IF(W68="Yes",F68,0)</f>
        <v>0</v>
      </c>
      <c r="AP167" s="24"/>
      <c r="AQ167" s="24"/>
      <c r="AR167" s="24"/>
      <c r="AS167" s="24"/>
      <c r="AT167" s="24"/>
      <c r="AU167" s="24"/>
      <c r="AV167" s="24"/>
      <c r="AW167" s="24"/>
      <c r="AX167" s="24"/>
      <c r="AY167" s="24"/>
      <c r="AZ167" s="24"/>
      <c r="BA167" s="24"/>
      <c r="BB167" s="25"/>
      <c r="BC167" s="24"/>
      <c r="BD167" s="24"/>
      <c r="BE167" s="24">
        <f t="shared" si="41"/>
        <v>101.75</v>
      </c>
      <c r="BF167" s="24" t="s">
        <v>486</v>
      </c>
      <c r="BG167" s="56">
        <f>BV158+($C$64-$BV$158)</f>
        <v>91.9</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2"/>
        <v>-63.5</v>
      </c>
      <c r="H168" s="12">
        <f t="shared" si="43"/>
        <v>-63.5</v>
      </c>
      <c r="I168" s="12">
        <f t="shared" si="43"/>
        <v>-63.5</v>
      </c>
      <c r="J168" s="12">
        <f t="shared" si="43"/>
        <v>-63.5</v>
      </c>
      <c r="K168" s="12">
        <f t="shared" si="44"/>
        <v>-63.5</v>
      </c>
      <c r="L168" s="12">
        <f t="shared" si="45"/>
        <v>-63.5</v>
      </c>
      <c r="M168" s="12">
        <f t="shared" si="45"/>
        <v>-63.5</v>
      </c>
      <c r="N168" s="12">
        <f t="shared" si="45"/>
        <v>-63.5</v>
      </c>
      <c r="O168" s="12">
        <f t="shared" si="46"/>
        <v>-63.5</v>
      </c>
      <c r="P168" s="12">
        <f t="shared" si="47"/>
        <v>-63.5</v>
      </c>
      <c r="Q168" s="12">
        <f t="shared" si="47"/>
        <v>-63.5</v>
      </c>
      <c r="T168" s="57"/>
      <c r="U168" s="57"/>
      <c r="V168" s="57"/>
      <c r="W168" s="53">
        <f t="shared" si="48"/>
        <v>-16720</v>
      </c>
      <c r="X168" s="54">
        <f t="shared" si="49"/>
        <v>8.4031100478468908</v>
      </c>
      <c r="Y168" s="54">
        <f t="shared" ref="Y168:Y213" si="56">Z168/$BH$166</f>
        <v>-0.63367055144687301</v>
      </c>
      <c r="Z168" s="54">
        <f>($C69/$BN$157)+($D69/$BN$158)</f>
        <v>-11.063887828262398</v>
      </c>
      <c r="AA168" s="54">
        <f t="shared" si="50"/>
        <v>0</v>
      </c>
      <c r="AB168" s="54">
        <f t="shared" si="50"/>
        <v>-11.063887828262398</v>
      </c>
      <c r="AC168" s="54">
        <f t="shared" si="50"/>
        <v>-11.063887828262398</v>
      </c>
      <c r="AD168" s="54">
        <f>IF($E69+365&lt;$C$56,0,IF($E69&lt;$C$56,(($E69+365-$C$56)/365)*(($C69/$BN$157)+($D69/$BN$158)),IF($E69&gt;AD$166,0,IF($E69+365&lt;AD$166,($C69/$BN$157)+($D69/$BN$158),((AD$166-$E69)/365)*(($C69/$BN$157)+($D69/$BN$158))))))</f>
        <v>-11.063887828262398</v>
      </c>
      <c r="AE168" s="54">
        <f t="shared" si="50"/>
        <v>-11.063887828262398</v>
      </c>
      <c r="AF168" s="54">
        <f t="shared" si="50"/>
        <v>-11.063887828262398</v>
      </c>
      <c r="AG168" s="54">
        <f t="shared" si="50"/>
        <v>-11.063887828262398</v>
      </c>
      <c r="AH168" s="54">
        <f t="shared" si="50"/>
        <v>-11.063887828262398</v>
      </c>
      <c r="AI168" s="54">
        <f t="shared" si="50"/>
        <v>-11.063887828262398</v>
      </c>
      <c r="AJ168" s="54">
        <f t="shared" si="50"/>
        <v>-11.063887828262398</v>
      </c>
      <c r="AK168" s="54">
        <f t="shared" ref="AK168" si="57">IF($E69+365&lt;$C$56,0,IF($E69&lt;$C$56,(($E69+365-$C$56)/365)*(($C69/$BN$157)+($D69/$BN$158)),IF($E69&gt;AK$166,0,IF($E69+365&lt;AK$166,($C69/$BN$157)+($D69/$BN$158),((AK$166-$E69)/365)*(($C69/$BN$157)+($D69/$BN$158))))))</f>
        <v>-11.063887828262398</v>
      </c>
      <c r="AL168" s="24">
        <f t="shared" si="52"/>
        <v>-110</v>
      </c>
      <c r="AM168" s="24">
        <f t="shared" si="53"/>
        <v>0</v>
      </c>
      <c r="AN168" s="55">
        <f t="shared" si="54"/>
        <v>140500</v>
      </c>
      <c r="AO168" s="55">
        <f t="shared" si="55"/>
        <v>0</v>
      </c>
      <c r="AP168" s="24"/>
      <c r="AQ168" s="24"/>
      <c r="AR168" s="24"/>
      <c r="AS168" s="24"/>
      <c r="AT168" s="24"/>
      <c r="AU168" s="24"/>
      <c r="AV168" s="24"/>
      <c r="AW168" s="24"/>
      <c r="AX168" s="24"/>
      <c r="AY168" s="24"/>
      <c r="AZ168" s="24"/>
      <c r="BA168" s="24"/>
      <c r="BB168" s="24"/>
      <c r="BC168" s="24"/>
      <c r="BD168" s="24"/>
      <c r="BE168" s="24">
        <f t="shared" si="41"/>
        <v>101.75</v>
      </c>
      <c r="BF168" s="59">
        <f>AB166</f>
        <v>45747</v>
      </c>
      <c r="BG168" s="36">
        <f>(BV158+AB214)+($C$64-$BV$158)</f>
        <v>49.376203448895943</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VIC</v>
      </c>
      <c r="CF168" s="14" t="str">
        <f>C57</f>
        <v>VIC</v>
      </c>
      <c r="CG168" s="14"/>
      <c r="CH168" s="25" t="s">
        <v>388</v>
      </c>
      <c r="CI168" s="14" t="s">
        <v>488</v>
      </c>
      <c r="CJ168" s="14"/>
    </row>
    <row r="169" spans="7:88">
      <c r="G169" s="12">
        <f t="shared" si="42"/>
        <v>-60.1</v>
      </c>
      <c r="H169" s="12">
        <f t="shared" si="43"/>
        <v>-60.1</v>
      </c>
      <c r="I169" s="12">
        <f t="shared" si="43"/>
        <v>-60.1</v>
      </c>
      <c r="J169" s="12">
        <f t="shared" si="43"/>
        <v>-60.1</v>
      </c>
      <c r="K169" s="12">
        <f t="shared" si="44"/>
        <v>-60.1</v>
      </c>
      <c r="L169" s="12">
        <f t="shared" si="45"/>
        <v>-60.1</v>
      </c>
      <c r="M169" s="12">
        <f t="shared" si="45"/>
        <v>-60.1</v>
      </c>
      <c r="N169" s="12">
        <f t="shared" si="45"/>
        <v>-60.1</v>
      </c>
      <c r="O169" s="12">
        <f t="shared" si="46"/>
        <v>-60.1</v>
      </c>
      <c r="P169" s="12">
        <f t="shared" si="47"/>
        <v>-60.1</v>
      </c>
      <c r="Q169" s="12">
        <f t="shared" si="47"/>
        <v>-60.1</v>
      </c>
      <c r="T169" s="61"/>
      <c r="U169" s="61"/>
      <c r="V169" s="61"/>
      <c r="W169" s="53">
        <f t="shared" si="48"/>
        <v>-9652</v>
      </c>
      <c r="X169" s="54">
        <f t="shared" si="49"/>
        <v>124.32656444260257</v>
      </c>
      <c r="Y169" s="343">
        <f>Z169/$BH$166</f>
        <v>-0.36580072742614944</v>
      </c>
      <c r="Z169" s="54">
        <f>($C70/$BN$157)+($D70/$BN$158)</f>
        <v>-6.3868807008605666</v>
      </c>
      <c r="AA169" s="54">
        <f t="shared" si="50"/>
        <v>0</v>
      </c>
      <c r="AB169" s="54">
        <f t="shared" si="50"/>
        <v>-6.3868807008605666</v>
      </c>
      <c r="AC169" s="54">
        <f t="shared" si="50"/>
        <v>-6.3868807008605666</v>
      </c>
      <c r="AD169" s="54">
        <f>IF($E70+365&lt;$C$56,0,IF($E70&lt;$C$56,(($E70+365-$C$56)/365)*(($C70/$BN$157)+($D70/$BN$158)),IF($E70&gt;AD$166,0,IF($E70+365&lt;AD$166,($C70/$BN$157)+($D70/$BN$158),((AD$166-$E70)/365)*(($C70/$BN$157)+($D70/$BN$158))))))</f>
        <v>-6.3868807008605666</v>
      </c>
      <c r="AE169" s="54">
        <f t="shared" si="50"/>
        <v>-6.3868807008605666</v>
      </c>
      <c r="AF169" s="54">
        <f t="shared" si="50"/>
        <v>-6.3868807008605666</v>
      </c>
      <c r="AG169" s="54">
        <f t="shared" si="50"/>
        <v>-6.3868807008605666</v>
      </c>
      <c r="AH169" s="54">
        <f t="shared" si="50"/>
        <v>-6.3868807008605666</v>
      </c>
      <c r="AI169" s="54">
        <f t="shared" si="50"/>
        <v>-6.3868807008605666</v>
      </c>
      <c r="AJ169" s="54">
        <f t="shared" si="50"/>
        <v>-6.3868807008605666</v>
      </c>
      <c r="AK169" s="54">
        <f t="shared" ref="AK169" si="58">IF($E70+365&lt;$C$56,0,IF($E70&lt;$C$56,(($E70+365-$C$56)/365)*(($C70/$BN$157)+($D70/$BN$158)),IF($E70&gt;AK$166,0,IF($E70+365&lt;AK$166,($C70/$BN$157)+($D70/$BN$158),((AK$166-$E70)/365)*(($C70/$BN$157)+($D70/$BN$158))))))</f>
        <v>-6.3868807008605666</v>
      </c>
      <c r="AL169" s="24">
        <f t="shared" si="52"/>
        <v>-63.5</v>
      </c>
      <c r="AM169" s="24">
        <f t="shared" si="53"/>
        <v>0</v>
      </c>
      <c r="AN169" s="55">
        <f t="shared" si="54"/>
        <v>1200000</v>
      </c>
      <c r="AO169" s="55">
        <f t="shared" si="55"/>
        <v>0</v>
      </c>
      <c r="AP169" s="24"/>
      <c r="AQ169" s="24"/>
      <c r="AR169" s="24"/>
      <c r="AS169" s="24"/>
      <c r="AT169" s="24"/>
      <c r="AU169" s="24"/>
      <c r="AV169" s="24"/>
      <c r="AW169" s="24"/>
      <c r="AX169" s="24"/>
      <c r="AY169" s="24"/>
      <c r="AZ169" s="24"/>
      <c r="BA169" s="24"/>
      <c r="BB169" s="24"/>
      <c r="BC169" s="24"/>
      <c r="BD169" s="24"/>
      <c r="BE169" s="24">
        <f t="shared" si="41"/>
        <v>101.75</v>
      </c>
      <c r="BF169" s="59">
        <f>BF168+365</f>
        <v>46112</v>
      </c>
      <c r="BG169" s="36">
        <f>BV158+AC214+($C$64-$BV$158)</f>
        <v>49.376203448895943</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231.71</v>
      </c>
      <c r="CF169" s="14">
        <f>CJ177</f>
        <v>359.62</v>
      </c>
      <c r="CG169" s="14"/>
      <c r="CH169" s="25">
        <v>5</v>
      </c>
      <c r="CI169" s="14">
        <f t="shared" ref="CI169:CI177" si="59">INDEX(AN156:AR156,MATCH($CE$168,$AN$165:$AR$165,0))</f>
        <v>84.29</v>
      </c>
      <c r="CJ169" s="14">
        <f t="shared" ref="CJ169:CJ177" si="60">INDEX(AU156:AY156,MATCH($CE$168,$AN$165:$AR$165,0))</f>
        <v>139</v>
      </c>
    </row>
    <row r="170" spans="7:88">
      <c r="G170" s="12">
        <f t="shared" si="42"/>
        <v>-40.1</v>
      </c>
      <c r="H170" s="12">
        <f t="shared" si="43"/>
        <v>-40.1</v>
      </c>
      <c r="I170" s="12">
        <f t="shared" si="43"/>
        <v>-40.1</v>
      </c>
      <c r="J170" s="12">
        <f t="shared" si="43"/>
        <v>-40.1</v>
      </c>
      <c r="K170" s="12">
        <f t="shared" si="44"/>
        <v>-40.1</v>
      </c>
      <c r="L170" s="12">
        <f t="shared" si="45"/>
        <v>-40.1</v>
      </c>
      <c r="M170" s="12">
        <f t="shared" si="45"/>
        <v>-40.1</v>
      </c>
      <c r="N170" s="12">
        <f t="shared" si="45"/>
        <v>-40.1</v>
      </c>
      <c r="O170" s="12">
        <f t="shared" si="46"/>
        <v>-40.1</v>
      </c>
      <c r="P170" s="12">
        <f t="shared" si="47"/>
        <v>-40.1</v>
      </c>
      <c r="Q170" s="12">
        <f t="shared" si="47"/>
        <v>-40.1</v>
      </c>
      <c r="T170" s="61"/>
      <c r="U170" s="61"/>
      <c r="V170" s="61"/>
      <c r="W170" s="53">
        <f t="shared" si="48"/>
        <v>-9135.1999999999989</v>
      </c>
      <c r="X170" s="54">
        <f t="shared" si="49"/>
        <v>8.7573342674489894</v>
      </c>
      <c r="Y170" s="25">
        <f t="shared" si="56"/>
        <v>-0.38667631011531922</v>
      </c>
      <c r="Z170" s="54">
        <f t="shared" ref="Z170:Z213" si="61">($C71/$BN$157)+($D71/$BN$158)</f>
        <v>-6.7513683746134712</v>
      </c>
      <c r="AA170" s="54">
        <f t="shared" si="50"/>
        <v>0</v>
      </c>
      <c r="AB170" s="54">
        <f t="shared" si="50"/>
        <v>-6.7513683746134712</v>
      </c>
      <c r="AC170" s="54">
        <f t="shared" si="50"/>
        <v>-6.7513683746134712</v>
      </c>
      <c r="AD170" s="54">
        <f t="shared" si="50"/>
        <v>-6.7513683746134712</v>
      </c>
      <c r="AE170" s="54">
        <f t="shared" si="50"/>
        <v>-6.7513683746134712</v>
      </c>
      <c r="AF170" s="54">
        <f t="shared" si="50"/>
        <v>-6.7513683746134712</v>
      </c>
      <c r="AG170" s="54">
        <f t="shared" si="50"/>
        <v>-6.7513683746134712</v>
      </c>
      <c r="AH170" s="54">
        <f t="shared" si="50"/>
        <v>-6.7513683746134712</v>
      </c>
      <c r="AI170" s="54">
        <f t="shared" si="50"/>
        <v>-6.7513683746134712</v>
      </c>
      <c r="AJ170" s="54">
        <f t="shared" si="50"/>
        <v>-6.7513683746134712</v>
      </c>
      <c r="AK170" s="54">
        <f t="shared" ref="AK170" si="62">IF($E71+365&lt;$C$56,0,IF($E71&lt;$C$56,(($E71+365-$C$56)/365)*(($C71/$BN$157)+($D71/$BN$158)),IF($E71&gt;AK$166,0,IF($E71+365&lt;AK$166,($C71/$BN$157)+($D71/$BN$158),((AK$166-$E71)/365)*(($C71/$BN$157)+($D71/$BN$158))))))</f>
        <v>-6.7513683746134712</v>
      </c>
      <c r="AL170" s="24">
        <f t="shared" si="52"/>
        <v>-60.1</v>
      </c>
      <c r="AM170" s="24">
        <f t="shared" si="53"/>
        <v>-134.1</v>
      </c>
      <c r="AN170" s="55">
        <f t="shared" si="54"/>
        <v>80000</v>
      </c>
      <c r="AO170" s="55">
        <f t="shared" si="55"/>
        <v>0</v>
      </c>
      <c r="AP170" s="24"/>
      <c r="AQ170" s="24"/>
      <c r="AR170" s="24"/>
      <c r="AS170" s="24"/>
      <c r="AT170" s="24"/>
      <c r="AU170" s="24"/>
      <c r="AV170" s="24"/>
      <c r="AW170" s="24"/>
      <c r="AX170" s="24"/>
      <c r="AY170" s="24"/>
      <c r="AZ170" s="24"/>
      <c r="BA170" s="24"/>
      <c r="BB170" s="24"/>
      <c r="BC170" s="24"/>
      <c r="BD170" s="24"/>
      <c r="BE170" s="24">
        <f t="shared" si="41"/>
        <v>101.75</v>
      </c>
      <c r="BF170" s="59">
        <f>BF169+365</f>
        <v>46477</v>
      </c>
      <c r="BG170" s="36">
        <f>$BV$158+AD214+($C$64-$BV$158)</f>
        <v>49.376203448895943</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213.15</v>
      </c>
      <c r="CF170" s="14">
        <f>CJ176</f>
        <v>332.05</v>
      </c>
      <c r="CG170" s="14"/>
      <c r="CH170" s="25">
        <v>4.5</v>
      </c>
      <c r="CI170" s="14">
        <f t="shared" si="59"/>
        <v>101.75</v>
      </c>
      <c r="CJ170" s="14">
        <f t="shared" si="60"/>
        <v>166.57</v>
      </c>
    </row>
    <row r="171" spans="7:88">
      <c r="G171" s="12">
        <f t="shared" si="42"/>
        <v>-14.8</v>
      </c>
      <c r="H171" s="12">
        <f t="shared" si="43"/>
        <v>-14.8</v>
      </c>
      <c r="I171" s="12">
        <f t="shared" si="43"/>
        <v>-14.8</v>
      </c>
      <c r="J171" s="12">
        <f t="shared" si="43"/>
        <v>-14.8</v>
      </c>
      <c r="K171" s="12">
        <f t="shared" si="44"/>
        <v>-14.8</v>
      </c>
      <c r="L171" s="12">
        <f t="shared" si="45"/>
        <v>-14.8</v>
      </c>
      <c r="M171" s="12">
        <f t="shared" si="45"/>
        <v>-14.8</v>
      </c>
      <c r="N171" s="12">
        <f t="shared" si="45"/>
        <v>-14.8</v>
      </c>
      <c r="O171" s="12">
        <f t="shared" si="46"/>
        <v>-14.8</v>
      </c>
      <c r="P171" s="12">
        <f t="shared" si="47"/>
        <v>-14.8</v>
      </c>
      <c r="Q171" s="12">
        <f t="shared" si="47"/>
        <v>-14.8</v>
      </c>
      <c r="T171" s="61"/>
      <c r="U171" s="61"/>
      <c r="V171" s="61"/>
      <c r="W171" s="53">
        <f t="shared" si="48"/>
        <v>-6095.2</v>
      </c>
      <c r="X171" s="54">
        <f t="shared" si="49"/>
        <v>29.531434571466072</v>
      </c>
      <c r="Y171" s="54">
        <f t="shared" si="56"/>
        <v>-0.27146348257952418</v>
      </c>
      <c r="Z171" s="54">
        <f>($C72/$BN$157)+($D72/$BN$158)</f>
        <v>-4.7397524058384901</v>
      </c>
      <c r="AA171" s="54">
        <f t="shared" si="50"/>
        <v>0</v>
      </c>
      <c r="AB171" s="54">
        <f t="shared" si="50"/>
        <v>-4.7397524058384901</v>
      </c>
      <c r="AC171" s="54">
        <f t="shared" si="50"/>
        <v>-4.7397524058384901</v>
      </c>
      <c r="AD171" s="54">
        <f t="shared" si="50"/>
        <v>-4.7397524058384901</v>
      </c>
      <c r="AE171" s="54">
        <f t="shared" si="50"/>
        <v>-4.7397524058384901</v>
      </c>
      <c r="AF171" s="54">
        <f>IF($E72+365&lt;$C$56,0,IF($E72&lt;$C$56,(($E72+365-$C$56)/365)*(($C72/$BN$157)+($D72/$BN$158)),IF($E72&gt;AF$166,0,IF($E72+365&lt;AF$166,($C72/$BN$157)+($D72/$BN$158),((AF$166-$E72)/365)*(($C72/$BN$157)+($D72/$BN$158))))))</f>
        <v>-4.7397524058384901</v>
      </c>
      <c r="AG171" s="54">
        <f t="shared" si="50"/>
        <v>-4.7397524058384901</v>
      </c>
      <c r="AH171" s="54">
        <f t="shared" si="50"/>
        <v>-4.7397524058384901</v>
      </c>
      <c r="AI171" s="54">
        <f t="shared" si="50"/>
        <v>-4.7397524058384901</v>
      </c>
      <c r="AJ171" s="54">
        <f t="shared" si="50"/>
        <v>-4.7397524058384901</v>
      </c>
      <c r="AK171" s="54">
        <f t="shared" ref="AK171" si="63">IF($E72+365&lt;$C$56,0,IF($E72&lt;$C$56,(($E72+365-$C$56)/365)*(($C72/$BN$157)+($D72/$BN$158)),IF($E72&gt;AK$166,0,IF($E72+365&lt;AK$166,($C72/$BN$157)+($D72/$BN$158),((AK$166-$E72)/365)*(($C72/$BN$157)+($D72/$BN$158))))))</f>
        <v>-4.7397524058384901</v>
      </c>
      <c r="AL171" s="24">
        <f t="shared" si="52"/>
        <v>-40.1</v>
      </c>
      <c r="AM171" s="24">
        <f t="shared" si="53"/>
        <v>-134.1</v>
      </c>
      <c r="AN171" s="55">
        <f t="shared" si="54"/>
        <v>180000</v>
      </c>
      <c r="AO171" s="55">
        <f t="shared" si="55"/>
        <v>0</v>
      </c>
      <c r="AP171" s="24"/>
      <c r="AQ171" s="24"/>
      <c r="AR171" s="24"/>
      <c r="AS171" s="24"/>
      <c r="AT171" s="24"/>
      <c r="AU171" s="24"/>
      <c r="AV171" s="24"/>
      <c r="AW171" s="24"/>
      <c r="AX171" s="24"/>
      <c r="AY171" s="24"/>
      <c r="AZ171" s="24"/>
      <c r="BA171" s="24"/>
      <c r="BB171" s="24"/>
      <c r="BC171" s="24"/>
      <c r="BD171" s="24"/>
      <c r="BE171" s="24">
        <f t="shared" si="41"/>
        <v>101.75</v>
      </c>
      <c r="BF171" s="59">
        <f t="shared" ref="BF171:BF176" si="64">BF170+365</f>
        <v>46842</v>
      </c>
      <c r="BG171" s="36">
        <f>$BV$158+AE214+($C$64-$BV$158)</f>
        <v>49.376203448895943</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194.58</v>
      </c>
      <c r="CF171" s="14">
        <f>CJ175</f>
        <v>304.47000000000003</v>
      </c>
      <c r="CG171" s="14"/>
      <c r="CH171" s="25">
        <v>4</v>
      </c>
      <c r="CI171" s="14">
        <f t="shared" si="59"/>
        <v>120.31</v>
      </c>
      <c r="CJ171" s="14">
        <f t="shared" si="60"/>
        <v>194.15</v>
      </c>
    </row>
    <row r="172" spans="7:88">
      <c r="G172" s="12">
        <f t="shared" si="42"/>
        <v>-3.9</v>
      </c>
      <c r="H172" s="12">
        <f t="shared" si="43"/>
        <v>-3.9</v>
      </c>
      <c r="I172" s="12">
        <f t="shared" si="43"/>
        <v>-3.9</v>
      </c>
      <c r="J172" s="12">
        <f t="shared" si="43"/>
        <v>-3.9</v>
      </c>
      <c r="K172" s="12">
        <f t="shared" si="44"/>
        <v>-3.9</v>
      </c>
      <c r="L172" s="12">
        <f t="shared" si="45"/>
        <v>-3.9</v>
      </c>
      <c r="M172" s="12">
        <f t="shared" si="45"/>
        <v>-3.9</v>
      </c>
      <c r="N172" s="12">
        <f t="shared" si="45"/>
        <v>-3.9</v>
      </c>
      <c r="O172" s="12">
        <f t="shared" si="46"/>
        <v>-3.9</v>
      </c>
      <c r="P172" s="12">
        <f t="shared" si="47"/>
        <v>-3.9</v>
      </c>
      <c r="Q172" s="12">
        <f t="shared" si="47"/>
        <v>-3.9</v>
      </c>
      <c r="T172" s="61"/>
      <c r="U172" s="61"/>
      <c r="V172" s="61"/>
      <c r="W172" s="53">
        <f t="shared" si="48"/>
        <v>-2249.6</v>
      </c>
      <c r="X172" s="54">
        <f t="shared" si="49"/>
        <v>11.113086770981509</v>
      </c>
      <c r="Y172" s="25">
        <f>Z172/$BH$166</f>
        <v>-0.10547328764723472</v>
      </c>
      <c r="Z172" s="54">
        <f t="shared" si="61"/>
        <v>-1.8415636023207176</v>
      </c>
      <c r="AA172" s="54">
        <f t="shared" si="50"/>
        <v>0</v>
      </c>
      <c r="AB172" s="54">
        <f t="shared" si="50"/>
        <v>-1.8415636023207176</v>
      </c>
      <c r="AC172" s="54">
        <f t="shared" si="50"/>
        <v>-1.8415636023207176</v>
      </c>
      <c r="AD172" s="54">
        <f t="shared" si="50"/>
        <v>-1.8415636023207176</v>
      </c>
      <c r="AE172" s="54">
        <f t="shared" si="50"/>
        <v>-1.8415636023207176</v>
      </c>
      <c r="AF172" s="54">
        <f t="shared" si="50"/>
        <v>-1.8415636023207176</v>
      </c>
      <c r="AG172" s="54">
        <f t="shared" si="50"/>
        <v>-1.8415636023207176</v>
      </c>
      <c r="AH172" s="54">
        <f t="shared" si="50"/>
        <v>-1.8415636023207176</v>
      </c>
      <c r="AI172" s="54">
        <f t="shared" si="50"/>
        <v>-1.8415636023207176</v>
      </c>
      <c r="AJ172" s="54">
        <f t="shared" si="50"/>
        <v>-1.8415636023207176</v>
      </c>
      <c r="AK172" s="54">
        <f t="shared" ref="AK172" si="65">IF($E73+365&lt;$C$56,0,IF($E73&lt;$C$56,(($E73+365-$C$56)/365)*(($C73/$BN$157)+($D73/$BN$158)),IF($E73&gt;AK$166,0,IF($E73+365&lt;AK$166,($C73/$BN$157)+($D73/$BN$158),((AK$166-$E73)/365)*(($C73/$BN$157)+($D73/$BN$158))))))</f>
        <v>-1.8415636023207176</v>
      </c>
      <c r="AL172" s="24">
        <f t="shared" si="52"/>
        <v>-14.8</v>
      </c>
      <c r="AM172" s="24">
        <f t="shared" si="53"/>
        <v>-67</v>
      </c>
      <c r="AN172" s="55">
        <f t="shared" si="54"/>
        <v>25000</v>
      </c>
      <c r="AO172" s="55">
        <f t="shared" si="55"/>
        <v>0</v>
      </c>
      <c r="AP172" s="24"/>
      <c r="AQ172" s="24"/>
      <c r="AR172" s="24"/>
      <c r="AS172" s="24"/>
      <c r="AT172" s="24"/>
      <c r="AU172" s="24"/>
      <c r="AV172" s="24"/>
      <c r="AW172" s="24"/>
      <c r="AX172" s="24"/>
      <c r="AY172" s="24"/>
      <c r="AZ172" s="24"/>
      <c r="BA172" s="24"/>
      <c r="BB172" s="24"/>
      <c r="BC172" s="24"/>
      <c r="BD172" s="24"/>
      <c r="BE172" s="24">
        <f t="shared" si="41"/>
        <v>101.75</v>
      </c>
      <c r="BF172" s="59">
        <f t="shared" si="64"/>
        <v>47207</v>
      </c>
      <c r="BG172" s="36">
        <f>$BV$158+AF214+($C$64-$BV$158)</f>
        <v>49.376203448895943</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176.01</v>
      </c>
      <c r="CF172" s="14">
        <f>CJ174</f>
        <v>276.89</v>
      </c>
      <c r="CG172" s="14"/>
      <c r="CH172" s="25">
        <v>3.5</v>
      </c>
      <c r="CI172" s="14">
        <f t="shared" si="59"/>
        <v>138.88</v>
      </c>
      <c r="CJ172" s="14">
        <f t="shared" si="60"/>
        <v>221.73</v>
      </c>
    </row>
    <row r="173" spans="7:88">
      <c r="G173" s="12">
        <f t="shared" si="42"/>
        <v>-27.5</v>
      </c>
      <c r="H173" s="12">
        <f t="shared" si="43"/>
        <v>-27.5</v>
      </c>
      <c r="I173" s="12">
        <f t="shared" si="43"/>
        <v>-27.5</v>
      </c>
      <c r="J173" s="12">
        <f t="shared" si="43"/>
        <v>-27.5</v>
      </c>
      <c r="K173" s="12">
        <f t="shared" si="44"/>
        <v>-27.5</v>
      </c>
      <c r="L173" s="12">
        <f t="shared" si="45"/>
        <v>-27.5</v>
      </c>
      <c r="M173" s="12">
        <f t="shared" si="45"/>
        <v>-27.5</v>
      </c>
      <c r="N173" s="12">
        <f t="shared" si="45"/>
        <v>-27.5</v>
      </c>
      <c r="O173" s="12">
        <f t="shared" si="46"/>
        <v>-27.5</v>
      </c>
      <c r="P173" s="12">
        <f t="shared" si="47"/>
        <v>-27.5</v>
      </c>
      <c r="Q173" s="12">
        <f t="shared" si="47"/>
        <v>-27.5</v>
      </c>
      <c r="T173" s="61"/>
      <c r="U173" s="61"/>
      <c r="V173" s="61"/>
      <c r="W173" s="53">
        <f t="shared" si="48"/>
        <v>-592.79999999999995</v>
      </c>
      <c r="X173" s="54">
        <f t="shared" si="49"/>
        <v>25.303643724696357</v>
      </c>
      <c r="Y173" s="25">
        <f t="shared" si="56"/>
        <v>-0.10339002810999001</v>
      </c>
      <c r="Z173" s="54">
        <f t="shared" si="61"/>
        <v>-1.8051898908004249</v>
      </c>
      <c r="AA173" s="54">
        <f t="shared" si="50"/>
        <v>0</v>
      </c>
      <c r="AB173" s="54">
        <f t="shared" si="50"/>
        <v>-1.8051898908004249</v>
      </c>
      <c r="AC173" s="54">
        <f t="shared" si="50"/>
        <v>-1.8051898908004249</v>
      </c>
      <c r="AD173" s="54">
        <f t="shared" si="50"/>
        <v>-1.8051898908004249</v>
      </c>
      <c r="AE173" s="54">
        <f t="shared" si="50"/>
        <v>-1.8051898908004249</v>
      </c>
      <c r="AF173" s="54">
        <f t="shared" si="50"/>
        <v>-1.8051898908004249</v>
      </c>
      <c r="AG173" s="54">
        <f t="shared" si="50"/>
        <v>-1.8051898908004249</v>
      </c>
      <c r="AH173" s="54">
        <f t="shared" si="50"/>
        <v>-1.8051898908004249</v>
      </c>
      <c r="AI173" s="54">
        <f t="shared" si="50"/>
        <v>-1.8051898908004249</v>
      </c>
      <c r="AJ173" s="54">
        <f t="shared" si="50"/>
        <v>-1.8051898908004249</v>
      </c>
      <c r="AK173" s="54">
        <f t="shared" ref="AK173" si="66">IF($E74+365&lt;$C$56,0,IF($E74&lt;$C$56,(($E74+365-$C$56)/365)*(($C74/$BN$157)+($D74/$BN$158)),IF($E74&gt;AK$166,0,IF($E74+365&lt;AK$166,($C74/$BN$157)+($D74/$BN$158),((AK$166-$E74)/365)*(($C74/$BN$157)+($D74/$BN$158))))))</f>
        <v>-1.8051898908004249</v>
      </c>
      <c r="AL173" s="24">
        <f t="shared" si="52"/>
        <v>-3.9</v>
      </c>
      <c r="AM173" s="24">
        <f t="shared" si="53"/>
        <v>-268.2</v>
      </c>
      <c r="AN173" s="55">
        <f t="shared" si="54"/>
        <v>15000</v>
      </c>
      <c r="AO173" s="55">
        <f t="shared" si="55"/>
        <v>0</v>
      </c>
      <c r="AP173" s="24"/>
      <c r="AQ173" s="24"/>
      <c r="AR173" s="24"/>
      <c r="AS173" s="24"/>
      <c r="AT173" s="24"/>
      <c r="AU173" s="24"/>
      <c r="AV173" s="24"/>
      <c r="AW173" s="24"/>
      <c r="AX173" s="24"/>
      <c r="AY173" s="24"/>
      <c r="AZ173" s="24"/>
      <c r="BA173" s="24"/>
      <c r="BB173" s="24"/>
      <c r="BC173" s="24"/>
      <c r="BD173" s="24"/>
      <c r="BE173" s="24">
        <f t="shared" si="41"/>
        <v>101.75</v>
      </c>
      <c r="BF173" s="59">
        <f t="shared" si="64"/>
        <v>47572</v>
      </c>
      <c r="BG173" s="36">
        <f>$BV$158+AG214+($C$64-$BV$158)</f>
        <v>49.376203448895943</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157.44999999999999</v>
      </c>
      <c r="CF173" s="14">
        <f>CJ173</f>
        <v>249.31</v>
      </c>
      <c r="CG173" s="14"/>
      <c r="CH173" s="25">
        <v>3</v>
      </c>
      <c r="CI173" s="14">
        <f t="shared" si="59"/>
        <v>157.44999999999999</v>
      </c>
      <c r="CJ173" s="14">
        <f t="shared" si="60"/>
        <v>249.31</v>
      </c>
    </row>
    <row r="174" spans="7:88">
      <c r="G174" s="12">
        <f t="shared" si="42"/>
        <v>-11.3</v>
      </c>
      <c r="H174" s="12">
        <f t="shared" si="43"/>
        <v>-11.3</v>
      </c>
      <c r="I174" s="12">
        <f t="shared" si="43"/>
        <v>-11.3</v>
      </c>
      <c r="J174" s="12">
        <f t="shared" si="43"/>
        <v>-11.3</v>
      </c>
      <c r="K174" s="12">
        <f t="shared" si="44"/>
        <v>-11.3</v>
      </c>
      <c r="L174" s="12">
        <f t="shared" si="45"/>
        <v>-11.3</v>
      </c>
      <c r="M174" s="12">
        <f t="shared" si="45"/>
        <v>-11.3</v>
      </c>
      <c r="N174" s="12">
        <f t="shared" si="45"/>
        <v>-11.3</v>
      </c>
      <c r="O174" s="12">
        <f t="shared" si="46"/>
        <v>-11.3</v>
      </c>
      <c r="P174" s="12">
        <f t="shared" si="47"/>
        <v>-11.3</v>
      </c>
      <c r="Q174" s="12">
        <f t="shared" si="47"/>
        <v>-11.3</v>
      </c>
      <c r="T174" s="61"/>
      <c r="U174" s="61"/>
      <c r="V174" s="61"/>
      <c r="W174" s="53">
        <f t="shared" si="48"/>
        <v>-4180</v>
      </c>
      <c r="X174" s="54">
        <f t="shared" si="49"/>
        <v>7.1770334928229662</v>
      </c>
      <c r="Y174" s="25">
        <f t="shared" si="56"/>
        <v>-0.15841763786171825</v>
      </c>
      <c r="Z174" s="54">
        <f t="shared" si="61"/>
        <v>-2.7659719570655996</v>
      </c>
      <c r="AA174" s="54">
        <f t="shared" si="50"/>
        <v>0</v>
      </c>
      <c r="AB174" s="54">
        <f t="shared" si="50"/>
        <v>-2.7659719570655996</v>
      </c>
      <c r="AC174" s="54">
        <f t="shared" si="50"/>
        <v>-2.7659719570655996</v>
      </c>
      <c r="AD174" s="54">
        <f t="shared" si="50"/>
        <v>-2.7659719570655996</v>
      </c>
      <c r="AE174" s="54">
        <f t="shared" si="50"/>
        <v>-2.7659719570655996</v>
      </c>
      <c r="AF174" s="54">
        <f t="shared" si="50"/>
        <v>-2.7659719570655996</v>
      </c>
      <c r="AG174" s="54">
        <f t="shared" si="50"/>
        <v>-2.7659719570655996</v>
      </c>
      <c r="AH174" s="54">
        <f t="shared" si="50"/>
        <v>-2.7659719570655996</v>
      </c>
      <c r="AI174" s="54">
        <f t="shared" si="50"/>
        <v>-2.7659719570655996</v>
      </c>
      <c r="AJ174" s="54">
        <f t="shared" si="50"/>
        <v>-2.7659719570655996</v>
      </c>
      <c r="AK174" s="54">
        <f t="shared" ref="AK174" si="67">IF($E75+365&lt;$C$56,0,IF($E75&lt;$C$56,(($E75+365-$C$56)/365)*(($C75/$BN$157)+($D75/$BN$158)),IF($E75&gt;AK$166,0,IF($E75+365&lt;AK$166,($C75/$BN$157)+($D75/$BN$158),((AK$166-$E75)/365)*(($C75/$BN$157)+($D75/$BN$158))))))</f>
        <v>-2.7659719570655996</v>
      </c>
      <c r="AL174" s="24">
        <f t="shared" si="52"/>
        <v>-27.5</v>
      </c>
      <c r="AM174" s="24">
        <f t="shared" si="53"/>
        <v>0</v>
      </c>
      <c r="AN174" s="55">
        <f t="shared" si="54"/>
        <v>30000</v>
      </c>
      <c r="AO174" s="55">
        <f t="shared" si="55"/>
        <v>0</v>
      </c>
      <c r="AP174" s="24"/>
      <c r="AQ174" s="24"/>
      <c r="AR174" s="24"/>
      <c r="AS174" s="24"/>
      <c r="AT174" s="24"/>
      <c r="AU174" s="24"/>
      <c r="AV174" s="24"/>
      <c r="AW174" s="24"/>
      <c r="AX174" s="24"/>
      <c r="AY174" s="24"/>
      <c r="AZ174" s="24"/>
      <c r="BA174" s="24"/>
      <c r="BB174" s="24"/>
      <c r="BC174" s="24"/>
      <c r="BD174" s="24"/>
      <c r="BE174" s="24">
        <f t="shared" si="41"/>
        <v>101.75</v>
      </c>
      <c r="BF174" s="59">
        <f t="shared" si="64"/>
        <v>47937</v>
      </c>
      <c r="BG174" s="36">
        <f>$BV$158+AH214+($C$64-$BV$158)</f>
        <v>49.376203448895943</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138.88</v>
      </c>
      <c r="CF174" s="14">
        <f>CJ172</f>
        <v>221.73</v>
      </c>
      <c r="CG174" s="14"/>
      <c r="CH174" s="25">
        <v>2.5</v>
      </c>
      <c r="CI174" s="14">
        <f t="shared" si="59"/>
        <v>176.01</v>
      </c>
      <c r="CJ174" s="14">
        <f t="shared" si="60"/>
        <v>276.89</v>
      </c>
    </row>
    <row r="175" spans="7:88">
      <c r="G175" s="12">
        <f t="shared" si="42"/>
        <v>-10.9</v>
      </c>
      <c r="H175" s="12">
        <f t="shared" si="43"/>
        <v>-10.9</v>
      </c>
      <c r="I175" s="12">
        <f t="shared" si="43"/>
        <v>-10.9</v>
      </c>
      <c r="J175" s="12">
        <f t="shared" si="43"/>
        <v>-10.9</v>
      </c>
      <c r="K175" s="12">
        <f t="shared" si="44"/>
        <v>-10.9</v>
      </c>
      <c r="L175" s="12">
        <f t="shared" si="45"/>
        <v>-10.9</v>
      </c>
      <c r="M175" s="12">
        <f t="shared" si="45"/>
        <v>-10.9</v>
      </c>
      <c r="N175" s="12">
        <f t="shared" si="45"/>
        <v>-10.9</v>
      </c>
      <c r="O175" s="12">
        <f t="shared" si="46"/>
        <v>-10.9</v>
      </c>
      <c r="P175" s="12">
        <f t="shared" si="47"/>
        <v>-10.9</v>
      </c>
      <c r="Q175" s="12">
        <f t="shared" si="47"/>
        <v>-10.9</v>
      </c>
      <c r="T175" s="61"/>
      <c r="U175" s="61"/>
      <c r="V175" s="61"/>
      <c r="W175" s="53">
        <f t="shared" si="48"/>
        <v>-1717.6</v>
      </c>
      <c r="X175" s="54">
        <f t="shared" si="49"/>
        <v>29.110386585933863</v>
      </c>
      <c r="Y175" s="25">
        <f t="shared" si="56"/>
        <v>-6.5095247557724237E-2</v>
      </c>
      <c r="Z175" s="54">
        <f t="shared" si="61"/>
        <v>-1.1365630223578647</v>
      </c>
      <c r="AA175" s="54">
        <f t="shared" si="50"/>
        <v>0</v>
      </c>
      <c r="AB175" s="54">
        <f t="shared" si="50"/>
        <v>-1.1365630223578647</v>
      </c>
      <c r="AC175" s="54">
        <f t="shared" si="50"/>
        <v>-1.1365630223578647</v>
      </c>
      <c r="AD175" s="54">
        <f t="shared" si="50"/>
        <v>-1.1365630223578647</v>
      </c>
      <c r="AE175" s="54">
        <f t="shared" si="50"/>
        <v>-1.1365630223578647</v>
      </c>
      <c r="AF175" s="54">
        <f t="shared" si="50"/>
        <v>-1.1365630223578647</v>
      </c>
      <c r="AG175" s="54">
        <f t="shared" si="50"/>
        <v>-1.1365630223578647</v>
      </c>
      <c r="AH175" s="54">
        <f t="shared" si="50"/>
        <v>-1.1365630223578647</v>
      </c>
      <c r="AI175" s="54">
        <f t="shared" si="50"/>
        <v>-1.1365630223578647</v>
      </c>
      <c r="AJ175" s="54">
        <f t="shared" si="50"/>
        <v>-1.1365630223578647</v>
      </c>
      <c r="AK175" s="54">
        <f t="shared" ref="AK175" si="68">IF($E76+365&lt;$C$56,0,IF($E76&lt;$C$56,(($E76+365-$C$56)/365)*(($C76/$BN$157)+($D76/$BN$158)),IF($E76&gt;AK$166,0,IF($E76+365&lt;AK$166,($C76/$BN$157)+($D76/$BN$158),((AK$166-$E76)/365)*(($C76/$BN$157)+($D76/$BN$158))))))</f>
        <v>-1.1365630223578647</v>
      </c>
      <c r="AL175" s="24">
        <f t="shared" si="52"/>
        <v>-11.3</v>
      </c>
      <c r="AM175" s="24">
        <f t="shared" si="53"/>
        <v>0</v>
      </c>
      <c r="AN175" s="55">
        <f t="shared" si="54"/>
        <v>50000</v>
      </c>
      <c r="AO175" s="55">
        <f t="shared" si="55"/>
        <v>0</v>
      </c>
      <c r="AP175" s="24"/>
      <c r="AQ175" s="24"/>
      <c r="AR175" s="24"/>
      <c r="AS175" s="24"/>
      <c r="AT175" s="24"/>
      <c r="AU175" s="24"/>
      <c r="AV175" s="24"/>
      <c r="AW175" s="24"/>
      <c r="AX175" s="24"/>
      <c r="AY175" s="24"/>
      <c r="AZ175" s="24"/>
      <c r="BA175" s="24"/>
      <c r="BB175" s="24"/>
      <c r="BC175" s="24"/>
      <c r="BD175" s="24"/>
      <c r="BE175" s="24">
        <f t="shared" si="41"/>
        <v>101.75</v>
      </c>
      <c r="BF175" s="59">
        <f t="shared" si="64"/>
        <v>48302</v>
      </c>
      <c r="BG175" s="36">
        <f>$BV$158+AI214+($C$64-$BV$158)</f>
        <v>49.376203448895943</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120.31</v>
      </c>
      <c r="CF175" s="14">
        <f>CJ171</f>
        <v>194.15</v>
      </c>
      <c r="CG175" s="14"/>
      <c r="CH175" s="25">
        <v>2</v>
      </c>
      <c r="CI175" s="14">
        <f t="shared" si="59"/>
        <v>194.58</v>
      </c>
      <c r="CJ175" s="14">
        <f t="shared" si="60"/>
        <v>304.47000000000003</v>
      </c>
    </row>
    <row r="176" spans="7:88">
      <c r="G176" s="12">
        <f t="shared" si="42"/>
        <v>-9.6</v>
      </c>
      <c r="H176" s="12">
        <f t="shared" si="43"/>
        <v>-9.6</v>
      </c>
      <c r="I176" s="12">
        <f t="shared" si="43"/>
        <v>-9.6</v>
      </c>
      <c r="J176" s="12">
        <f t="shared" si="43"/>
        <v>-9.6</v>
      </c>
      <c r="K176" s="12">
        <f t="shared" si="44"/>
        <v>-9.6</v>
      </c>
      <c r="L176" s="12">
        <f t="shared" si="45"/>
        <v>-9.6</v>
      </c>
      <c r="M176" s="12">
        <f t="shared" si="45"/>
        <v>-9.6</v>
      </c>
      <c r="N176" s="12">
        <f t="shared" si="45"/>
        <v>-9.6</v>
      </c>
      <c r="O176" s="12">
        <f t="shared" si="46"/>
        <v>-9.6</v>
      </c>
      <c r="P176" s="12">
        <f t="shared" si="47"/>
        <v>-9.6</v>
      </c>
      <c r="Q176" s="12">
        <f t="shared" si="47"/>
        <v>-9.6</v>
      </c>
      <c r="T176" s="61"/>
      <c r="U176" s="61"/>
      <c r="V176" s="61"/>
      <c r="W176" s="53">
        <f t="shared" si="48"/>
        <v>-1656.8</v>
      </c>
      <c r="X176" s="54">
        <f t="shared" si="49"/>
        <v>18.107194591984548</v>
      </c>
      <c r="Y176" s="25">
        <f t="shared" si="56"/>
        <v>-6.2790991007008329E-2</v>
      </c>
      <c r="Z176" s="54">
        <f t="shared" si="61"/>
        <v>-1.096330702982365</v>
      </c>
      <c r="AA176" s="54">
        <f t="shared" si="50"/>
        <v>0</v>
      </c>
      <c r="AB176" s="54">
        <f t="shared" si="50"/>
        <v>-1.096330702982365</v>
      </c>
      <c r="AC176" s="54">
        <f t="shared" si="50"/>
        <v>-1.096330702982365</v>
      </c>
      <c r="AD176" s="54">
        <f t="shared" si="50"/>
        <v>-1.096330702982365</v>
      </c>
      <c r="AE176" s="54">
        <f t="shared" si="50"/>
        <v>-1.096330702982365</v>
      </c>
      <c r="AF176" s="54">
        <f t="shared" si="50"/>
        <v>-1.096330702982365</v>
      </c>
      <c r="AG176" s="54">
        <f t="shared" si="50"/>
        <v>-1.096330702982365</v>
      </c>
      <c r="AH176" s="54">
        <f t="shared" si="50"/>
        <v>-1.096330702982365</v>
      </c>
      <c r="AI176" s="54">
        <f t="shared" si="50"/>
        <v>-1.096330702982365</v>
      </c>
      <c r="AJ176" s="54">
        <f t="shared" si="50"/>
        <v>-1.096330702982365</v>
      </c>
      <c r="AK176" s="54">
        <f t="shared" ref="AK176" si="69">IF($E77+365&lt;$C$56,0,IF($E77&lt;$C$56,(($E77+365-$C$56)/365)*(($C77/$BN$157)+($D77/$BN$158)),IF($E77&gt;AK$166,0,IF($E77+365&lt;AK$166,($C77/$BN$157)+($D77/$BN$158),((AK$166-$E77)/365)*(($C77/$BN$157)+($D77/$BN$158))))))</f>
        <v>-1.096330702982365</v>
      </c>
      <c r="AL176" s="24">
        <f t="shared" si="52"/>
        <v>-10.9</v>
      </c>
      <c r="AM176" s="24">
        <f t="shared" si="53"/>
        <v>0</v>
      </c>
      <c r="AN176" s="55">
        <f t="shared" si="54"/>
        <v>30000</v>
      </c>
      <c r="AO176" s="55">
        <f t="shared" si="55"/>
        <v>0</v>
      </c>
      <c r="AP176" s="24"/>
      <c r="AQ176" s="24"/>
      <c r="AR176" s="24"/>
      <c r="AS176" s="24"/>
      <c r="AT176" s="24"/>
      <c r="AU176" s="24"/>
      <c r="AV176" s="24"/>
      <c r="AW176" s="24"/>
      <c r="AX176" s="24"/>
      <c r="AY176" s="24"/>
      <c r="AZ176" s="24"/>
      <c r="BA176" s="24"/>
      <c r="BB176" s="24"/>
      <c r="BC176" s="24"/>
      <c r="BD176" s="24"/>
      <c r="BE176" s="24">
        <f t="shared" si="41"/>
        <v>101.75</v>
      </c>
      <c r="BF176" s="59">
        <f t="shared" si="64"/>
        <v>48667</v>
      </c>
      <c r="BG176" s="36">
        <f>$BV$158+AJ214+($C$64-$BV$158)</f>
        <v>49.376203448895943</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101.75</v>
      </c>
      <c r="CF176" s="14">
        <f>CJ170</f>
        <v>166.57</v>
      </c>
      <c r="CG176" s="14"/>
      <c r="CH176" s="25">
        <v>1.5</v>
      </c>
      <c r="CI176" s="14">
        <f t="shared" si="59"/>
        <v>213.15</v>
      </c>
      <c r="CJ176" s="14">
        <f t="shared" si="60"/>
        <v>332.05</v>
      </c>
    </row>
    <row r="177" spans="7:88">
      <c r="G177" s="12">
        <f t="shared" si="42"/>
        <v>-8.1999999999999993</v>
      </c>
      <c r="H177" s="12">
        <f t="shared" si="43"/>
        <v>-8.1999999999999993</v>
      </c>
      <c r="I177" s="12">
        <f t="shared" si="43"/>
        <v>-8.1999999999999993</v>
      </c>
      <c r="J177" s="12">
        <f t="shared" si="43"/>
        <v>-8.1999999999999993</v>
      </c>
      <c r="K177" s="12">
        <f t="shared" si="44"/>
        <v>-8.1999999999999993</v>
      </c>
      <c r="L177" s="12">
        <f t="shared" si="45"/>
        <v>-8.1999999999999993</v>
      </c>
      <c r="M177" s="12">
        <f t="shared" si="45"/>
        <v>-8.1999999999999993</v>
      </c>
      <c r="N177" s="12">
        <f t="shared" si="45"/>
        <v>-8.1999999999999993</v>
      </c>
      <c r="O177" s="12">
        <f t="shared" si="46"/>
        <v>-8.1999999999999993</v>
      </c>
      <c r="P177" s="12">
        <f t="shared" si="47"/>
        <v>-8.1999999999999993</v>
      </c>
      <c r="Q177" s="12">
        <f t="shared" si="47"/>
        <v>-8.1999999999999993</v>
      </c>
      <c r="T177" s="61"/>
      <c r="U177" s="61"/>
      <c r="V177" s="61"/>
      <c r="W177" s="53">
        <f t="shared" si="48"/>
        <v>-1459.1999999999998</v>
      </c>
      <c r="X177" s="54">
        <f t="shared" si="49"/>
        <v>0.95942982456140358</v>
      </c>
      <c r="Y177" s="25">
        <f t="shared" si="56"/>
        <v>-5.5302157217181638E-2</v>
      </c>
      <c r="Z177" s="54">
        <f t="shared" si="61"/>
        <v>-0.9655756650119911</v>
      </c>
      <c r="AA177" s="54">
        <f t="shared" si="50"/>
        <v>0</v>
      </c>
      <c r="AB177" s="54">
        <f t="shared" si="50"/>
        <v>-0.9655756650119911</v>
      </c>
      <c r="AC177" s="54">
        <f t="shared" si="50"/>
        <v>-0.9655756650119911</v>
      </c>
      <c r="AD177" s="54">
        <f t="shared" si="50"/>
        <v>-0.9655756650119911</v>
      </c>
      <c r="AE177" s="54">
        <f t="shared" si="50"/>
        <v>-0.9655756650119911</v>
      </c>
      <c r="AF177" s="54">
        <f t="shared" si="50"/>
        <v>-0.9655756650119911</v>
      </c>
      <c r="AG177" s="54">
        <f t="shared" si="50"/>
        <v>-0.9655756650119911</v>
      </c>
      <c r="AH177" s="54">
        <f t="shared" si="50"/>
        <v>-0.9655756650119911</v>
      </c>
      <c r="AI177" s="54">
        <f t="shared" si="50"/>
        <v>-0.9655756650119911</v>
      </c>
      <c r="AJ177" s="54">
        <f t="shared" si="50"/>
        <v>-0.9655756650119911</v>
      </c>
      <c r="AK177" s="54">
        <f t="shared" ref="AK177" si="70">IF($E78+365&lt;$C$56,0,IF($E78&lt;$C$56,(($E78+365-$C$56)/365)*(($C78/$BN$157)+($D78/$BN$158)),IF($E78&gt;AK$166,0,IF($E78+365&lt;AK$166,($C78/$BN$157)+($D78/$BN$158),((AK$166-$E78)/365)*(($C78/$BN$157)+($D78/$BN$158))))))</f>
        <v>-0.9655756650119911</v>
      </c>
      <c r="AL177" s="24">
        <f t="shared" si="52"/>
        <v>-9.6</v>
      </c>
      <c r="AM177" s="24">
        <f t="shared" si="53"/>
        <v>0</v>
      </c>
      <c r="AN177" s="55">
        <f t="shared" si="54"/>
        <v>1400</v>
      </c>
      <c r="AO177" s="55">
        <f t="shared" si="55"/>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84.29</v>
      </c>
      <c r="CF177" s="14">
        <f>CJ169</f>
        <v>139</v>
      </c>
      <c r="CG177" s="14"/>
      <c r="CH177" s="25">
        <v>1</v>
      </c>
      <c r="CI177" s="14">
        <f t="shared" si="59"/>
        <v>231.71</v>
      </c>
      <c r="CJ177" s="14">
        <f t="shared" si="60"/>
        <v>359.62</v>
      </c>
    </row>
    <row r="178" spans="7:88">
      <c r="G178" s="12">
        <f t="shared" si="42"/>
        <v>-68.7</v>
      </c>
      <c r="H178" s="12">
        <f t="shared" si="43"/>
        <v>-68.7</v>
      </c>
      <c r="I178" s="12">
        <f t="shared" si="43"/>
        <v>-68.7</v>
      </c>
      <c r="J178" s="12">
        <f t="shared" si="43"/>
        <v>-68.7</v>
      </c>
      <c r="K178" s="12">
        <f t="shared" si="44"/>
        <v>-68.7</v>
      </c>
      <c r="L178" s="12">
        <f t="shared" si="45"/>
        <v>-68.7</v>
      </c>
      <c r="M178" s="12">
        <f t="shared" si="45"/>
        <v>-68.7</v>
      </c>
      <c r="N178" s="12">
        <f t="shared" si="45"/>
        <v>-68.7</v>
      </c>
      <c r="O178" s="12">
        <f t="shared" si="46"/>
        <v>-68.7</v>
      </c>
      <c r="P178" s="12">
        <f t="shared" si="47"/>
        <v>-68.7</v>
      </c>
      <c r="Q178" s="12">
        <f t="shared" si="47"/>
        <v>-68.7</v>
      </c>
      <c r="T178" s="61"/>
      <c r="U178" s="61"/>
      <c r="V178" s="61"/>
      <c r="W178" s="53">
        <f t="shared" si="48"/>
        <v>-1246.3999999999999</v>
      </c>
      <c r="X178" s="54">
        <f t="shared" si="49"/>
        <v>6.017329910141207</v>
      </c>
      <c r="Y178" s="25">
        <f t="shared" si="56"/>
        <v>-5.7345156925049157E-2</v>
      </c>
      <c r="Z178" s="54">
        <f t="shared" si="61"/>
        <v>-1.0012464399113579</v>
      </c>
      <c r="AA178" s="54">
        <f t="shared" si="50"/>
        <v>0</v>
      </c>
      <c r="AB178" s="54">
        <f t="shared" si="50"/>
        <v>-1.0012464399113579</v>
      </c>
      <c r="AC178" s="54">
        <f>IF($E79+365&lt;$C$56,0,IF($E79&lt;$C$56,(($E79+365-$C$56)/365)*(($C79/$BN$157)+($D79/$BN$158)),IF($E79&gt;AC$166,0,IF($E79+365&lt;AC$166,($C79/$BN$157)+($D79/$BN$158),((AC$166-$E79)/365)*(($C79/$BN$157)+($D79/$BN$158))))))</f>
        <v>-1.0012464399113579</v>
      </c>
      <c r="AD178" s="54">
        <f t="shared" si="50"/>
        <v>-1.0012464399113579</v>
      </c>
      <c r="AE178" s="54">
        <f t="shared" si="50"/>
        <v>-1.0012464399113579</v>
      </c>
      <c r="AF178" s="54">
        <f t="shared" si="50"/>
        <v>-1.0012464399113579</v>
      </c>
      <c r="AG178" s="54">
        <f t="shared" si="50"/>
        <v>-1.0012464399113579</v>
      </c>
      <c r="AH178" s="54">
        <f t="shared" si="50"/>
        <v>-1.0012464399113579</v>
      </c>
      <c r="AI178" s="54">
        <f t="shared" si="50"/>
        <v>-1.0012464399113579</v>
      </c>
      <c r="AJ178" s="54">
        <f t="shared" si="50"/>
        <v>-1.0012464399113579</v>
      </c>
      <c r="AK178" s="54">
        <f t="shared" ref="AK178" si="71">IF($E79+365&lt;$C$56,0,IF($E79&lt;$C$56,(($E79+365-$C$56)/365)*(($C79/$BN$157)+($D79/$BN$158)),IF($E79&gt;AK$166,0,IF($E79+365&lt;AK$166,($C79/$BN$157)+($D79/$BN$158),((AK$166-$E79)/365)*(($C79/$BN$157)+($D79/$BN$158))))))</f>
        <v>-1.0012464399113579</v>
      </c>
      <c r="AL178" s="24">
        <f t="shared" si="52"/>
        <v>-8.1999999999999993</v>
      </c>
      <c r="AM178" s="24">
        <f t="shared" si="53"/>
        <v>-33.5</v>
      </c>
      <c r="AN178" s="55">
        <f t="shared" si="54"/>
        <v>7500</v>
      </c>
      <c r="AO178" s="55">
        <f t="shared" si="55"/>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2"/>
        <v>0</v>
      </c>
      <c r="H179" s="12">
        <f t="shared" si="43"/>
        <v>0</v>
      </c>
      <c r="I179" s="12">
        <f t="shared" si="43"/>
        <v>0</v>
      </c>
      <c r="J179" s="12">
        <f t="shared" si="43"/>
        <v>0</v>
      </c>
      <c r="K179" s="12">
        <f t="shared" si="44"/>
        <v>0</v>
      </c>
      <c r="L179" s="12">
        <f t="shared" si="45"/>
        <v>0</v>
      </c>
      <c r="M179" s="12">
        <f t="shared" si="45"/>
        <v>0</v>
      </c>
      <c r="N179" s="12">
        <f t="shared" si="45"/>
        <v>0</v>
      </c>
      <c r="O179" s="12">
        <f t="shared" si="46"/>
        <v>0</v>
      </c>
      <c r="P179" s="12">
        <f t="shared" si="47"/>
        <v>0</v>
      </c>
      <c r="Q179" s="12">
        <f t="shared" si="47"/>
        <v>0</v>
      </c>
      <c r="T179" s="61"/>
      <c r="U179" s="61"/>
      <c r="V179" s="61"/>
      <c r="W179" s="53">
        <f t="shared" si="48"/>
        <v>-10442.400000000001</v>
      </c>
      <c r="X179" s="54">
        <f t="shared" si="49"/>
        <v>2.3940856508082429</v>
      </c>
      <c r="Y179" s="25">
        <f t="shared" si="56"/>
        <v>-0.44068340461253269</v>
      </c>
      <c r="Z179" s="54">
        <f t="shared" si="61"/>
        <v>-7.6943322445348183</v>
      </c>
      <c r="AA179" s="54">
        <f t="shared" si="50"/>
        <v>0</v>
      </c>
      <c r="AB179" s="54">
        <f t="shared" si="50"/>
        <v>-7.6943322445348183</v>
      </c>
      <c r="AC179" s="54">
        <f t="shared" si="50"/>
        <v>-7.6943322445348183</v>
      </c>
      <c r="AD179" s="54">
        <f t="shared" si="50"/>
        <v>-7.6943322445348183</v>
      </c>
      <c r="AE179" s="54">
        <f t="shared" si="50"/>
        <v>-7.6943322445348183</v>
      </c>
      <c r="AF179" s="54">
        <f t="shared" si="50"/>
        <v>-7.6943322445348183</v>
      </c>
      <c r="AG179" s="54">
        <f t="shared" si="50"/>
        <v>-7.6943322445348183</v>
      </c>
      <c r="AH179" s="54">
        <f t="shared" si="50"/>
        <v>-7.6943322445348183</v>
      </c>
      <c r="AI179" s="54">
        <f t="shared" si="50"/>
        <v>-7.6943322445348183</v>
      </c>
      <c r="AJ179" s="54">
        <f t="shared" si="50"/>
        <v>-7.6943322445348183</v>
      </c>
      <c r="AK179" s="54">
        <f t="shared" ref="AK179" si="72">IF($E80+365&lt;$C$56,0,IF($E80&lt;$C$56,(($E80+365-$C$56)/365)*(($C80/$BN$157)+($D80/$BN$158)),IF($E80&gt;AK$166,0,IF($E80+365&lt;AK$166,($C80/$BN$157)+($D80/$BN$158),((AK$166-$E80)/365)*(($C80/$BN$157)+($D80/$BN$158))))))</f>
        <v>-7.6943322445348183</v>
      </c>
      <c r="AL179" s="24">
        <f t="shared" si="52"/>
        <v>-68.7</v>
      </c>
      <c r="AM179" s="24">
        <f t="shared" si="53"/>
        <v>-148.9</v>
      </c>
      <c r="AN179" s="55">
        <f t="shared" si="54"/>
        <v>25000</v>
      </c>
      <c r="AO179" s="55">
        <f t="shared" si="55"/>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2"/>
        <v>0</v>
      </c>
      <c r="H180" s="12">
        <f t="shared" si="43"/>
        <v>0</v>
      </c>
      <c r="I180" s="12">
        <f t="shared" si="43"/>
        <v>0</v>
      </c>
      <c r="J180" s="12">
        <f t="shared" si="43"/>
        <v>0</v>
      </c>
      <c r="K180" s="12">
        <f t="shared" si="44"/>
        <v>0</v>
      </c>
      <c r="L180" s="12">
        <f t="shared" si="45"/>
        <v>0</v>
      </c>
      <c r="M180" s="12">
        <f t="shared" si="45"/>
        <v>0</v>
      </c>
      <c r="N180" s="12">
        <f t="shared" si="45"/>
        <v>0</v>
      </c>
      <c r="O180" s="12">
        <f t="shared" si="46"/>
        <v>0</v>
      </c>
      <c r="P180" s="12">
        <f t="shared" si="47"/>
        <v>0</v>
      </c>
      <c r="Q180" s="12">
        <f t="shared" si="47"/>
        <v>0</v>
      </c>
      <c r="T180" s="61"/>
      <c r="U180" s="61"/>
      <c r="V180" s="61"/>
      <c r="W180" s="53">
        <f t="shared" si="48"/>
        <v>0</v>
      </c>
      <c r="X180" s="54" t="e">
        <f t="shared" si="49"/>
        <v>#DIV/0!</v>
      </c>
      <c r="Y180" s="25">
        <f t="shared" si="56"/>
        <v>0</v>
      </c>
      <c r="Z180" s="54">
        <f t="shared" si="61"/>
        <v>0</v>
      </c>
      <c r="AA180" s="54">
        <f t="shared" si="50"/>
        <v>0</v>
      </c>
      <c r="AB180" s="54">
        <f t="shared" si="50"/>
        <v>0</v>
      </c>
      <c r="AC180" s="54">
        <f t="shared" si="50"/>
        <v>0</v>
      </c>
      <c r="AD180" s="54">
        <f t="shared" si="50"/>
        <v>0</v>
      </c>
      <c r="AE180" s="54">
        <f t="shared" si="50"/>
        <v>0</v>
      </c>
      <c r="AF180" s="54">
        <f t="shared" si="50"/>
        <v>0</v>
      </c>
      <c r="AG180" s="54">
        <f t="shared" si="50"/>
        <v>0</v>
      </c>
      <c r="AH180" s="54">
        <f t="shared" si="50"/>
        <v>0</v>
      </c>
      <c r="AI180" s="54">
        <f t="shared" si="50"/>
        <v>0</v>
      </c>
      <c r="AJ180" s="54">
        <f t="shared" si="50"/>
        <v>0</v>
      </c>
      <c r="AK180" s="54">
        <f t="shared" ref="AK180" si="73">IF($E81+365&lt;$C$56,0,IF($E81&lt;$C$56,(($E81+365-$C$56)/365)*(($C81/$BN$157)+($D81/$BN$158)),IF($E81&gt;AK$166,0,IF($E81+365&lt;AK$166,($C81/$BN$157)+($D81/$BN$158),((AK$166-$E81)/365)*(($C81/$BN$157)+($D81/$BN$158))))))</f>
        <v>0</v>
      </c>
      <c r="AL180" s="24">
        <f t="shared" si="52"/>
        <v>0</v>
      </c>
      <c r="AM180" s="24">
        <f t="shared" si="53"/>
        <v>0</v>
      </c>
      <c r="AN180" s="55">
        <f t="shared" si="54"/>
        <v>0</v>
      </c>
      <c r="AO180" s="55">
        <f t="shared" si="55"/>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2"/>
        <v>0</v>
      </c>
      <c r="H181" s="12">
        <f t="shared" si="43"/>
        <v>0</v>
      </c>
      <c r="I181" s="12">
        <f t="shared" si="43"/>
        <v>0</v>
      </c>
      <c r="J181" s="12">
        <f t="shared" si="43"/>
        <v>0</v>
      </c>
      <c r="K181" s="12">
        <f t="shared" si="44"/>
        <v>0</v>
      </c>
      <c r="L181" s="12">
        <f t="shared" si="45"/>
        <v>0</v>
      </c>
      <c r="M181" s="12">
        <f t="shared" si="45"/>
        <v>0</v>
      </c>
      <c r="N181" s="12">
        <f t="shared" si="45"/>
        <v>0</v>
      </c>
      <c r="O181" s="12">
        <f t="shared" si="46"/>
        <v>0</v>
      </c>
      <c r="P181" s="12">
        <f t="shared" si="47"/>
        <v>0</v>
      </c>
      <c r="Q181" s="12">
        <f t="shared" si="47"/>
        <v>0</v>
      </c>
      <c r="T181" s="61"/>
      <c r="U181" s="61"/>
      <c r="V181" s="61"/>
      <c r="W181" s="53">
        <f t="shared" si="48"/>
        <v>0</v>
      </c>
      <c r="X181" s="54" t="e">
        <f t="shared" si="49"/>
        <v>#DIV/0!</v>
      </c>
      <c r="Y181" s="25">
        <f t="shared" si="56"/>
        <v>0</v>
      </c>
      <c r="Z181" s="54">
        <f t="shared" si="61"/>
        <v>0</v>
      </c>
      <c r="AA181" s="54">
        <f t="shared" si="50"/>
        <v>0</v>
      </c>
      <c r="AB181" s="54">
        <f t="shared" si="50"/>
        <v>0</v>
      </c>
      <c r="AC181" s="54">
        <f t="shared" si="50"/>
        <v>0</v>
      </c>
      <c r="AD181" s="54">
        <f t="shared" si="50"/>
        <v>0</v>
      </c>
      <c r="AE181" s="54">
        <f t="shared" si="50"/>
        <v>0</v>
      </c>
      <c r="AF181" s="54">
        <f t="shared" si="50"/>
        <v>0</v>
      </c>
      <c r="AG181" s="54">
        <f t="shared" si="50"/>
        <v>0</v>
      </c>
      <c r="AH181" s="54">
        <f t="shared" si="50"/>
        <v>0</v>
      </c>
      <c r="AI181" s="54">
        <f t="shared" si="50"/>
        <v>0</v>
      </c>
      <c r="AJ181" s="54">
        <f t="shared" si="50"/>
        <v>0</v>
      </c>
      <c r="AK181" s="54">
        <f t="shared" ref="AK181" si="74">IF($E82+365&lt;$C$56,0,IF($E82&lt;$C$56,(($E82+365-$C$56)/365)*(($C82/$BN$157)+($D82/$BN$158)),IF($E82&gt;AK$166,0,IF($E82+365&lt;AK$166,($C82/$BN$157)+($D82/$BN$158),((AK$166-$E82)/365)*(($C82/$BN$157)+($D82/$BN$158))))))</f>
        <v>0</v>
      </c>
      <c r="AL181" s="24">
        <f t="shared" si="52"/>
        <v>0</v>
      </c>
      <c r="AM181" s="24">
        <f t="shared" si="53"/>
        <v>0</v>
      </c>
      <c r="AN181" s="55">
        <f t="shared" si="54"/>
        <v>0</v>
      </c>
      <c r="AO181" s="55">
        <f t="shared" si="55"/>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2"/>
        <v>0</v>
      </c>
      <c r="H182" s="12">
        <f t="shared" si="43"/>
        <v>0</v>
      </c>
      <c r="I182" s="12">
        <f t="shared" si="43"/>
        <v>0</v>
      </c>
      <c r="J182" s="12">
        <f t="shared" si="43"/>
        <v>0</v>
      </c>
      <c r="K182" s="12">
        <f t="shared" si="44"/>
        <v>0</v>
      </c>
      <c r="L182" s="12">
        <f t="shared" si="45"/>
        <v>0</v>
      </c>
      <c r="M182" s="12">
        <f t="shared" si="45"/>
        <v>0</v>
      </c>
      <c r="N182" s="12">
        <f t="shared" si="45"/>
        <v>0</v>
      </c>
      <c r="O182" s="12">
        <f t="shared" si="46"/>
        <v>0</v>
      </c>
      <c r="P182" s="12">
        <f t="shared" si="47"/>
        <v>0</v>
      </c>
      <c r="Q182" s="12">
        <f t="shared" si="47"/>
        <v>0</v>
      </c>
      <c r="T182" s="61"/>
      <c r="U182" s="61"/>
      <c r="V182" s="61"/>
      <c r="W182" s="53">
        <f t="shared" si="48"/>
        <v>0</v>
      </c>
      <c r="X182" s="54" t="e">
        <f t="shared" si="49"/>
        <v>#DIV/0!</v>
      </c>
      <c r="Y182" s="25">
        <f t="shared" si="56"/>
        <v>0</v>
      </c>
      <c r="Z182" s="54">
        <f t="shared" si="61"/>
        <v>0</v>
      </c>
      <c r="AA182" s="54">
        <f t="shared" si="50"/>
        <v>0</v>
      </c>
      <c r="AB182" s="54">
        <f t="shared" si="50"/>
        <v>0</v>
      </c>
      <c r="AC182" s="54">
        <f t="shared" si="50"/>
        <v>0</v>
      </c>
      <c r="AD182" s="54">
        <f t="shared" si="50"/>
        <v>0</v>
      </c>
      <c r="AE182" s="54">
        <f t="shared" si="50"/>
        <v>0</v>
      </c>
      <c r="AF182" s="54">
        <f t="shared" si="50"/>
        <v>0</v>
      </c>
      <c r="AG182" s="54">
        <f t="shared" si="50"/>
        <v>0</v>
      </c>
      <c r="AH182" s="54">
        <f t="shared" si="50"/>
        <v>0</v>
      </c>
      <c r="AI182" s="54">
        <f t="shared" si="50"/>
        <v>0</v>
      </c>
      <c r="AJ182" s="54">
        <f t="shared" si="50"/>
        <v>0</v>
      </c>
      <c r="AK182" s="54">
        <f t="shared" ref="AK182" si="75">IF($E83+365&lt;$C$56,0,IF($E83&lt;$C$56,(($E83+365-$C$56)/365)*(($C83/$BN$157)+($D83/$BN$158)),IF($E83&gt;AK$166,0,IF($E83+365&lt;AK$166,($C83/$BN$157)+($D83/$BN$158),((AK$166-$E83)/365)*(($C83/$BN$157)+($D83/$BN$158))))))</f>
        <v>0</v>
      </c>
      <c r="AL182" s="24">
        <f t="shared" si="52"/>
        <v>0</v>
      </c>
      <c r="AM182" s="24">
        <f t="shared" si="53"/>
        <v>0</v>
      </c>
      <c r="AN182" s="55">
        <f t="shared" si="54"/>
        <v>0</v>
      </c>
      <c r="AO182" s="55">
        <f t="shared" si="55"/>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2"/>
        <v>0</v>
      </c>
      <c r="H183" s="12">
        <f t="shared" si="43"/>
        <v>0</v>
      </c>
      <c r="I183" s="12">
        <f t="shared" si="43"/>
        <v>0</v>
      </c>
      <c r="J183" s="12">
        <f t="shared" si="43"/>
        <v>0</v>
      </c>
      <c r="K183" s="12">
        <f t="shared" si="44"/>
        <v>0</v>
      </c>
      <c r="L183" s="12">
        <f t="shared" si="45"/>
        <v>0</v>
      </c>
      <c r="M183" s="12">
        <f t="shared" si="45"/>
        <v>0</v>
      </c>
      <c r="N183" s="12">
        <f t="shared" si="45"/>
        <v>0</v>
      </c>
      <c r="O183" s="12">
        <f t="shared" si="46"/>
        <v>0</v>
      </c>
      <c r="P183" s="12">
        <f t="shared" si="47"/>
        <v>0</v>
      </c>
      <c r="Q183" s="12">
        <f t="shared" si="47"/>
        <v>0</v>
      </c>
      <c r="T183" s="61"/>
      <c r="U183" s="61"/>
      <c r="V183" s="61"/>
      <c r="W183" s="53">
        <f t="shared" si="48"/>
        <v>0</v>
      </c>
      <c r="X183" s="54" t="e">
        <f t="shared" si="49"/>
        <v>#DIV/0!</v>
      </c>
      <c r="Y183" s="25">
        <f t="shared" si="56"/>
        <v>0</v>
      </c>
      <c r="Z183" s="54">
        <f t="shared" si="61"/>
        <v>0</v>
      </c>
      <c r="AA183" s="54">
        <f t="shared" ref="AA183:AJ198" si="76">IF($E84+365&lt;$C$56,0,IF($E84&lt;$C$56,(($E84+365-$C$56)/365)*(($C84/$BN$157)+($D84/$BN$158)),IF($E84&gt;AA$166,0,IF($E84+365&lt;AA$166,($C84/$BN$157)+($D84/$BN$158),((AA$166-$E84)/365)*(($C84/$BN$157)+($D84/$BN$158))))))</f>
        <v>0</v>
      </c>
      <c r="AB183" s="54">
        <f t="shared" si="76"/>
        <v>0</v>
      </c>
      <c r="AC183" s="54">
        <f t="shared" si="76"/>
        <v>0</v>
      </c>
      <c r="AD183" s="54">
        <f t="shared" si="76"/>
        <v>0</v>
      </c>
      <c r="AE183" s="54">
        <f t="shared" si="76"/>
        <v>0</v>
      </c>
      <c r="AF183" s="54">
        <f t="shared" si="76"/>
        <v>0</v>
      </c>
      <c r="AG183" s="54">
        <f t="shared" si="76"/>
        <v>0</v>
      </c>
      <c r="AH183" s="54">
        <f t="shared" si="76"/>
        <v>0</v>
      </c>
      <c r="AI183" s="54">
        <f t="shared" si="76"/>
        <v>0</v>
      </c>
      <c r="AJ183" s="54">
        <f t="shared" si="76"/>
        <v>0</v>
      </c>
      <c r="AK183" s="54">
        <f t="shared" ref="AK183" si="77">IF($E84+365&lt;$C$56,0,IF($E84&lt;$C$56,(($E84+365-$C$56)/365)*(($C84/$BN$157)+($D84/$BN$158)),IF($E84&gt;AK$166,0,IF($E84+365&lt;AK$166,($C84/$BN$157)+($D84/$BN$158),((AK$166-$E84)/365)*(($C84/$BN$157)+($D84/$BN$158))))))</f>
        <v>0</v>
      </c>
      <c r="AL183" s="24">
        <f t="shared" si="52"/>
        <v>0</v>
      </c>
      <c r="AM183" s="24">
        <f t="shared" si="53"/>
        <v>0</v>
      </c>
      <c r="AN183" s="55">
        <f t="shared" si="54"/>
        <v>0</v>
      </c>
      <c r="AO183" s="55">
        <f t="shared" si="55"/>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2"/>
        <v>0</v>
      </c>
      <c r="H184" s="12">
        <f t="shared" si="43"/>
        <v>0</v>
      </c>
      <c r="I184" s="12">
        <f t="shared" si="43"/>
        <v>0</v>
      </c>
      <c r="J184" s="12">
        <f t="shared" si="43"/>
        <v>0</v>
      </c>
      <c r="K184" s="12">
        <f t="shared" si="44"/>
        <v>0</v>
      </c>
      <c r="L184" s="12">
        <f t="shared" si="45"/>
        <v>0</v>
      </c>
      <c r="M184" s="12">
        <f t="shared" si="45"/>
        <v>0</v>
      </c>
      <c r="N184" s="12">
        <f t="shared" si="45"/>
        <v>0</v>
      </c>
      <c r="O184" s="12">
        <f t="shared" si="46"/>
        <v>0</v>
      </c>
      <c r="P184" s="12">
        <f t="shared" si="47"/>
        <v>0</v>
      </c>
      <c r="Q184" s="12">
        <f t="shared" si="47"/>
        <v>0</v>
      </c>
      <c r="T184" s="61"/>
      <c r="U184" s="61"/>
      <c r="V184" s="61"/>
      <c r="W184" s="53">
        <f t="shared" si="48"/>
        <v>0</v>
      </c>
      <c r="X184" s="54" t="e">
        <f t="shared" si="49"/>
        <v>#DIV/0!</v>
      </c>
      <c r="Y184" s="25">
        <f t="shared" si="56"/>
        <v>0</v>
      </c>
      <c r="Z184" s="54">
        <f t="shared" si="61"/>
        <v>0</v>
      </c>
      <c r="AA184" s="54">
        <f t="shared" si="76"/>
        <v>0</v>
      </c>
      <c r="AB184" s="54">
        <f t="shared" si="76"/>
        <v>0</v>
      </c>
      <c r="AC184" s="54">
        <f t="shared" si="76"/>
        <v>0</v>
      </c>
      <c r="AD184" s="54">
        <f t="shared" si="76"/>
        <v>0</v>
      </c>
      <c r="AE184" s="54">
        <f t="shared" si="76"/>
        <v>0</v>
      </c>
      <c r="AF184" s="54">
        <f t="shared" si="76"/>
        <v>0</v>
      </c>
      <c r="AG184" s="54">
        <f t="shared" si="76"/>
        <v>0</v>
      </c>
      <c r="AH184" s="54">
        <f t="shared" si="76"/>
        <v>0</v>
      </c>
      <c r="AI184" s="54">
        <f t="shared" si="76"/>
        <v>0</v>
      </c>
      <c r="AJ184" s="54">
        <f t="shared" si="76"/>
        <v>0</v>
      </c>
      <c r="AK184" s="54">
        <f t="shared" ref="AK184" si="78">IF($E85+365&lt;$C$56,0,IF($E85&lt;$C$56,(($E85+365-$C$56)/365)*(($C85/$BN$157)+($D85/$BN$158)),IF($E85&gt;AK$166,0,IF($E85+365&lt;AK$166,($C85/$BN$157)+($D85/$BN$158),((AK$166-$E85)/365)*(($C85/$BN$157)+($D85/$BN$158))))))</f>
        <v>0</v>
      </c>
      <c r="AL184" s="24">
        <f t="shared" si="52"/>
        <v>0</v>
      </c>
      <c r="AM184" s="24">
        <f t="shared" si="53"/>
        <v>0</v>
      </c>
      <c r="AN184" s="55">
        <f t="shared" si="54"/>
        <v>0</v>
      </c>
      <c r="AO184" s="55">
        <f t="shared" si="55"/>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2"/>
        <v>0</v>
      </c>
      <c r="H185" s="12">
        <f t="shared" si="43"/>
        <v>0</v>
      </c>
      <c r="I185" s="12">
        <f t="shared" si="43"/>
        <v>0</v>
      </c>
      <c r="J185" s="12">
        <f t="shared" si="43"/>
        <v>0</v>
      </c>
      <c r="K185" s="12">
        <f t="shared" si="44"/>
        <v>0</v>
      </c>
      <c r="L185" s="12">
        <f t="shared" si="45"/>
        <v>0</v>
      </c>
      <c r="M185" s="12">
        <f t="shared" si="45"/>
        <v>0</v>
      </c>
      <c r="N185" s="12">
        <f t="shared" si="45"/>
        <v>0</v>
      </c>
      <c r="O185" s="12">
        <f t="shared" si="46"/>
        <v>0</v>
      </c>
      <c r="P185" s="12">
        <f t="shared" si="47"/>
        <v>0</v>
      </c>
      <c r="Q185" s="12">
        <f t="shared" si="47"/>
        <v>0</v>
      </c>
      <c r="T185" s="61"/>
      <c r="U185" s="61"/>
      <c r="V185" s="61"/>
      <c r="W185" s="53">
        <f t="shared" si="48"/>
        <v>0</v>
      </c>
      <c r="X185" s="54" t="e">
        <f t="shared" si="49"/>
        <v>#DIV/0!</v>
      </c>
      <c r="Y185" s="25">
        <f t="shared" si="56"/>
        <v>0</v>
      </c>
      <c r="Z185" s="54">
        <f t="shared" si="61"/>
        <v>0</v>
      </c>
      <c r="AA185" s="54">
        <f t="shared" si="76"/>
        <v>0</v>
      </c>
      <c r="AB185" s="54">
        <f t="shared" si="76"/>
        <v>0</v>
      </c>
      <c r="AC185" s="54">
        <f t="shared" si="76"/>
        <v>0</v>
      </c>
      <c r="AD185" s="54">
        <f t="shared" si="76"/>
        <v>0</v>
      </c>
      <c r="AE185" s="54">
        <f t="shared" si="76"/>
        <v>0</v>
      </c>
      <c r="AF185" s="54">
        <f t="shared" si="76"/>
        <v>0</v>
      </c>
      <c r="AG185" s="54">
        <f t="shared" si="76"/>
        <v>0</v>
      </c>
      <c r="AH185" s="54">
        <f t="shared" si="76"/>
        <v>0</v>
      </c>
      <c r="AI185" s="54">
        <f t="shared" si="76"/>
        <v>0</v>
      </c>
      <c r="AJ185" s="54">
        <f t="shared" si="76"/>
        <v>0</v>
      </c>
      <c r="AK185" s="54">
        <f t="shared" ref="AK185" si="79">IF($E86+365&lt;$C$56,0,IF($E86&lt;$C$56,(($E86+365-$C$56)/365)*(($C86/$BN$157)+($D86/$BN$158)),IF($E86&gt;AK$166,0,IF($E86+365&lt;AK$166,($C86/$BN$157)+($D86/$BN$158),((AK$166-$E86)/365)*(($C86/$BN$157)+($D86/$BN$158))))))</f>
        <v>0</v>
      </c>
      <c r="AL185" s="24">
        <f t="shared" si="52"/>
        <v>0</v>
      </c>
      <c r="AM185" s="24">
        <f t="shared" si="53"/>
        <v>0</v>
      </c>
      <c r="AN185" s="55">
        <f t="shared" si="54"/>
        <v>0</v>
      </c>
      <c r="AO185" s="55">
        <f t="shared" si="55"/>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2"/>
        <v>0</v>
      </c>
      <c r="H186" s="12">
        <f t="shared" si="43"/>
        <v>0</v>
      </c>
      <c r="I186" s="12">
        <f t="shared" si="43"/>
        <v>0</v>
      </c>
      <c r="J186" s="12">
        <f t="shared" si="43"/>
        <v>0</v>
      </c>
      <c r="K186" s="12">
        <f t="shared" si="44"/>
        <v>0</v>
      </c>
      <c r="L186" s="12">
        <f t="shared" si="45"/>
        <v>0</v>
      </c>
      <c r="M186" s="12">
        <f t="shared" si="45"/>
        <v>0</v>
      </c>
      <c r="N186" s="12">
        <f t="shared" si="45"/>
        <v>0</v>
      </c>
      <c r="O186" s="12">
        <f t="shared" si="46"/>
        <v>0</v>
      </c>
      <c r="P186" s="12">
        <f t="shared" si="47"/>
        <v>0</v>
      </c>
      <c r="Q186" s="12">
        <f t="shared" si="47"/>
        <v>0</v>
      </c>
      <c r="T186" s="61"/>
      <c r="U186" s="61"/>
      <c r="V186" s="61"/>
      <c r="W186" s="53">
        <f t="shared" si="48"/>
        <v>0</v>
      </c>
      <c r="X186" s="54" t="e">
        <f t="shared" si="49"/>
        <v>#DIV/0!</v>
      </c>
      <c r="Y186" s="25">
        <f t="shared" si="56"/>
        <v>0</v>
      </c>
      <c r="Z186" s="54">
        <f t="shared" si="61"/>
        <v>0</v>
      </c>
      <c r="AA186" s="54">
        <f t="shared" si="76"/>
        <v>0</v>
      </c>
      <c r="AB186" s="54">
        <f t="shared" si="76"/>
        <v>0</v>
      </c>
      <c r="AC186" s="54">
        <f t="shared" si="76"/>
        <v>0</v>
      </c>
      <c r="AD186" s="54">
        <f t="shared" si="76"/>
        <v>0</v>
      </c>
      <c r="AE186" s="54">
        <f t="shared" si="76"/>
        <v>0</v>
      </c>
      <c r="AF186" s="54">
        <f t="shared" si="76"/>
        <v>0</v>
      </c>
      <c r="AG186" s="54">
        <f t="shared" si="76"/>
        <v>0</v>
      </c>
      <c r="AH186" s="54">
        <f t="shared" si="76"/>
        <v>0</v>
      </c>
      <c r="AI186" s="54">
        <f t="shared" si="76"/>
        <v>0</v>
      </c>
      <c r="AJ186" s="54">
        <f t="shared" si="76"/>
        <v>0</v>
      </c>
      <c r="AK186" s="54">
        <f t="shared" ref="AK186" si="80">IF($E87+365&lt;$C$56,0,IF($E87&lt;$C$56,(($E87+365-$C$56)/365)*(($C87/$BN$157)+($D87/$BN$158)),IF($E87&gt;AK$166,0,IF($E87+365&lt;AK$166,($C87/$BN$157)+($D87/$BN$158),((AK$166-$E87)/365)*(($C87/$BN$157)+($D87/$BN$158))))))</f>
        <v>0</v>
      </c>
      <c r="AL186" s="24">
        <f t="shared" si="52"/>
        <v>0</v>
      </c>
      <c r="AM186" s="24">
        <f t="shared" si="53"/>
        <v>0</v>
      </c>
      <c r="AN186" s="55">
        <f t="shared" si="54"/>
        <v>0</v>
      </c>
      <c r="AO186" s="55">
        <f t="shared" si="55"/>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2"/>
        <v>0</v>
      </c>
      <c r="H187" s="12">
        <f t="shared" ref="H187:J206" si="81">IF($E89&gt;H$66,0,IF($E89&lt;H$66-365,$C89,0))</f>
        <v>0</v>
      </c>
      <c r="I187" s="12">
        <f t="shared" si="81"/>
        <v>0</v>
      </c>
      <c r="J187" s="12">
        <f t="shared" si="81"/>
        <v>0</v>
      </c>
      <c r="K187" s="12">
        <f t="shared" si="44"/>
        <v>0</v>
      </c>
      <c r="L187" s="12">
        <f t="shared" ref="L187:N206" si="82">IF($E89&gt;L$66,0,IF($E89&lt;L$66-365,$C89,0))</f>
        <v>0</v>
      </c>
      <c r="M187" s="12">
        <f t="shared" si="82"/>
        <v>0</v>
      </c>
      <c r="N187" s="12">
        <f t="shared" si="82"/>
        <v>0</v>
      </c>
      <c r="O187" s="12">
        <f t="shared" si="46"/>
        <v>0</v>
      </c>
      <c r="P187" s="12">
        <f t="shared" ref="P187:Q206" si="83">IF($E89&gt;P$66,0,IF($E89&lt;P$66-365,$C89,0))</f>
        <v>0</v>
      </c>
      <c r="Q187" s="12">
        <f t="shared" si="83"/>
        <v>0</v>
      </c>
      <c r="T187" s="61"/>
      <c r="U187" s="61"/>
      <c r="V187" s="61"/>
      <c r="W187" s="53">
        <f t="shared" si="48"/>
        <v>0</v>
      </c>
      <c r="X187" s="54" t="e">
        <f t="shared" si="49"/>
        <v>#DIV/0!</v>
      </c>
      <c r="Y187" s="25">
        <f t="shared" si="56"/>
        <v>0</v>
      </c>
      <c r="Z187" s="54">
        <f t="shared" si="61"/>
        <v>0</v>
      </c>
      <c r="AA187" s="54">
        <f t="shared" si="76"/>
        <v>0</v>
      </c>
      <c r="AB187" s="54">
        <f t="shared" si="76"/>
        <v>0</v>
      </c>
      <c r="AC187" s="54">
        <f t="shared" si="76"/>
        <v>0</v>
      </c>
      <c r="AD187" s="54">
        <f t="shared" si="76"/>
        <v>0</v>
      </c>
      <c r="AE187" s="54">
        <f t="shared" si="76"/>
        <v>0</v>
      </c>
      <c r="AF187" s="54">
        <f t="shared" si="76"/>
        <v>0</v>
      </c>
      <c r="AG187" s="54">
        <f t="shared" si="76"/>
        <v>0</v>
      </c>
      <c r="AH187" s="54">
        <f t="shared" si="76"/>
        <v>0</v>
      </c>
      <c r="AI187" s="54">
        <f t="shared" si="76"/>
        <v>0</v>
      </c>
      <c r="AJ187" s="54">
        <f t="shared" si="76"/>
        <v>0</v>
      </c>
      <c r="AK187" s="54">
        <f t="shared" ref="AK187" si="84">IF($E88+365&lt;$C$56,0,IF($E88&lt;$C$56,(($E88+365-$C$56)/365)*(($C88/$BN$157)+($D88/$BN$158)),IF($E88&gt;AK$166,0,IF($E88+365&lt;AK$166,($C88/$BN$157)+($D88/$BN$158),((AK$166-$E88)/365)*(($C88/$BN$157)+($D88/$BN$158))))))</f>
        <v>0</v>
      </c>
      <c r="AL187" s="24">
        <f t="shared" si="52"/>
        <v>0</v>
      </c>
      <c r="AM187" s="24">
        <f t="shared" si="53"/>
        <v>0</v>
      </c>
      <c r="AN187" s="55">
        <f t="shared" si="54"/>
        <v>0</v>
      </c>
      <c r="AO187" s="55">
        <f t="shared" si="55"/>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2"/>
        <v>0</v>
      </c>
      <c r="H188" s="12">
        <f t="shared" si="81"/>
        <v>0</v>
      </c>
      <c r="I188" s="12">
        <f t="shared" si="81"/>
        <v>0</v>
      </c>
      <c r="J188" s="12">
        <f t="shared" si="81"/>
        <v>0</v>
      </c>
      <c r="K188" s="12">
        <f t="shared" si="44"/>
        <v>0</v>
      </c>
      <c r="L188" s="12">
        <f t="shared" si="82"/>
        <v>0</v>
      </c>
      <c r="M188" s="12">
        <f t="shared" si="82"/>
        <v>0</v>
      </c>
      <c r="N188" s="12">
        <f t="shared" si="82"/>
        <v>0</v>
      </c>
      <c r="O188" s="12">
        <f t="shared" si="46"/>
        <v>0</v>
      </c>
      <c r="P188" s="12">
        <f t="shared" si="83"/>
        <v>0</v>
      </c>
      <c r="Q188" s="12">
        <f t="shared" si="83"/>
        <v>0</v>
      </c>
      <c r="T188" s="61"/>
      <c r="U188" s="61"/>
      <c r="V188" s="61"/>
      <c r="W188" s="53">
        <f t="shared" si="48"/>
        <v>0</v>
      </c>
      <c r="X188" s="54" t="e">
        <f t="shared" si="49"/>
        <v>#DIV/0!</v>
      </c>
      <c r="Y188" s="25">
        <f t="shared" si="56"/>
        <v>0</v>
      </c>
      <c r="Z188" s="54">
        <f t="shared" si="61"/>
        <v>0</v>
      </c>
      <c r="AA188" s="54">
        <f t="shared" si="76"/>
        <v>0</v>
      </c>
      <c r="AB188" s="54">
        <f t="shared" si="76"/>
        <v>0</v>
      </c>
      <c r="AC188" s="54">
        <f t="shared" si="76"/>
        <v>0</v>
      </c>
      <c r="AD188" s="54">
        <f t="shared" si="76"/>
        <v>0</v>
      </c>
      <c r="AE188" s="54">
        <f t="shared" si="76"/>
        <v>0</v>
      </c>
      <c r="AF188" s="54">
        <f t="shared" si="76"/>
        <v>0</v>
      </c>
      <c r="AG188" s="54">
        <f t="shared" si="76"/>
        <v>0</v>
      </c>
      <c r="AH188" s="54">
        <f t="shared" si="76"/>
        <v>0</v>
      </c>
      <c r="AI188" s="54">
        <f t="shared" si="76"/>
        <v>0</v>
      </c>
      <c r="AJ188" s="54">
        <f t="shared" si="76"/>
        <v>0</v>
      </c>
      <c r="AK188" s="54">
        <f t="shared" ref="AK188" si="85">IF($E89+365&lt;$C$56,0,IF($E89&lt;$C$56,(($E89+365-$C$56)/365)*(($C89/$BN$157)+($D89/$BN$158)),IF($E89&gt;AK$166,0,IF($E89+365&lt;AK$166,($C89/$BN$157)+($D89/$BN$158),((AK$166-$E89)/365)*(($C89/$BN$157)+($D89/$BN$158))))))</f>
        <v>0</v>
      </c>
      <c r="AL188" s="24">
        <f t="shared" si="52"/>
        <v>0</v>
      </c>
      <c r="AM188" s="24">
        <f t="shared" si="53"/>
        <v>0</v>
      </c>
      <c r="AN188" s="55">
        <f t="shared" si="54"/>
        <v>0</v>
      </c>
      <c r="AO188" s="55">
        <f t="shared" si="55"/>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2"/>
        <v>0</v>
      </c>
      <c r="H189" s="12">
        <f t="shared" si="81"/>
        <v>0</v>
      </c>
      <c r="I189" s="12">
        <f t="shared" si="81"/>
        <v>0</v>
      </c>
      <c r="J189" s="12">
        <f t="shared" si="81"/>
        <v>0</v>
      </c>
      <c r="K189" s="12">
        <f t="shared" si="44"/>
        <v>0</v>
      </c>
      <c r="L189" s="12">
        <f t="shared" si="82"/>
        <v>0</v>
      </c>
      <c r="M189" s="12">
        <f t="shared" si="82"/>
        <v>0</v>
      </c>
      <c r="N189" s="12">
        <f t="shared" si="82"/>
        <v>0</v>
      </c>
      <c r="O189" s="12">
        <f t="shared" si="46"/>
        <v>0</v>
      </c>
      <c r="P189" s="12">
        <f t="shared" si="83"/>
        <v>0</v>
      </c>
      <c r="Q189" s="12">
        <f t="shared" si="83"/>
        <v>0</v>
      </c>
      <c r="T189" s="61"/>
      <c r="U189" s="61"/>
      <c r="V189" s="61"/>
      <c r="W189" s="53">
        <f t="shared" si="48"/>
        <v>0</v>
      </c>
      <c r="X189" s="54" t="e">
        <f t="shared" si="49"/>
        <v>#DIV/0!</v>
      </c>
      <c r="Y189" s="25">
        <f t="shared" si="56"/>
        <v>0</v>
      </c>
      <c r="Z189" s="54">
        <f t="shared" si="61"/>
        <v>0</v>
      </c>
      <c r="AA189" s="54">
        <f t="shared" si="76"/>
        <v>0</v>
      </c>
      <c r="AB189" s="54">
        <f t="shared" si="76"/>
        <v>0</v>
      </c>
      <c r="AC189" s="54">
        <f t="shared" si="76"/>
        <v>0</v>
      </c>
      <c r="AD189" s="54">
        <f t="shared" si="76"/>
        <v>0</v>
      </c>
      <c r="AE189" s="54">
        <f t="shared" si="76"/>
        <v>0</v>
      </c>
      <c r="AF189" s="54">
        <f t="shared" si="76"/>
        <v>0</v>
      </c>
      <c r="AG189" s="54">
        <f t="shared" si="76"/>
        <v>0</v>
      </c>
      <c r="AH189" s="54">
        <f t="shared" si="76"/>
        <v>0</v>
      </c>
      <c r="AI189" s="54">
        <f t="shared" si="76"/>
        <v>0</v>
      </c>
      <c r="AJ189" s="54">
        <f t="shared" si="76"/>
        <v>0</v>
      </c>
      <c r="AK189" s="54">
        <f t="shared" ref="AK189" si="86">IF($E90+365&lt;$C$56,0,IF($E90&lt;$C$56,(($E90+365-$C$56)/365)*(($C90/$BN$157)+($D90/$BN$158)),IF($E90&gt;AK$166,0,IF($E90+365&lt;AK$166,($C90/$BN$157)+($D90/$BN$158),((AK$166-$E90)/365)*(($C90/$BN$157)+($D90/$BN$158))))))</f>
        <v>0</v>
      </c>
      <c r="AL189" s="24">
        <f t="shared" si="52"/>
        <v>0</v>
      </c>
      <c r="AM189" s="24">
        <f t="shared" si="53"/>
        <v>0</v>
      </c>
      <c r="AN189" s="55">
        <f t="shared" si="54"/>
        <v>0</v>
      </c>
      <c r="AO189" s="55">
        <f t="shared" si="55"/>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2"/>
        <v>0</v>
      </c>
      <c r="H190" s="12">
        <f t="shared" si="81"/>
        <v>0</v>
      </c>
      <c r="I190" s="12">
        <f t="shared" si="81"/>
        <v>0</v>
      </c>
      <c r="J190" s="12">
        <f t="shared" si="81"/>
        <v>0</v>
      </c>
      <c r="K190" s="12">
        <f t="shared" si="44"/>
        <v>0</v>
      </c>
      <c r="L190" s="12">
        <f t="shared" si="82"/>
        <v>0</v>
      </c>
      <c r="M190" s="12">
        <f t="shared" si="82"/>
        <v>0</v>
      </c>
      <c r="N190" s="12">
        <f t="shared" si="82"/>
        <v>0</v>
      </c>
      <c r="O190" s="12">
        <f t="shared" si="46"/>
        <v>0</v>
      </c>
      <c r="P190" s="12">
        <f t="shared" si="83"/>
        <v>0</v>
      </c>
      <c r="Q190" s="12">
        <f t="shared" si="83"/>
        <v>0</v>
      </c>
      <c r="T190" s="61"/>
      <c r="U190" s="61"/>
      <c r="V190" s="61"/>
      <c r="W190" s="53">
        <f t="shared" si="48"/>
        <v>0</v>
      </c>
      <c r="X190" s="54" t="e">
        <f t="shared" si="49"/>
        <v>#DIV/0!</v>
      </c>
      <c r="Y190" s="25">
        <f t="shared" si="56"/>
        <v>0</v>
      </c>
      <c r="Z190" s="54">
        <f t="shared" si="61"/>
        <v>0</v>
      </c>
      <c r="AA190" s="54">
        <f t="shared" si="76"/>
        <v>0</v>
      </c>
      <c r="AB190" s="54">
        <f t="shared" si="76"/>
        <v>0</v>
      </c>
      <c r="AC190" s="54">
        <f t="shared" si="76"/>
        <v>0</v>
      </c>
      <c r="AD190" s="54">
        <f t="shared" si="76"/>
        <v>0</v>
      </c>
      <c r="AE190" s="54">
        <f t="shared" si="76"/>
        <v>0</v>
      </c>
      <c r="AF190" s="54">
        <f t="shared" si="76"/>
        <v>0</v>
      </c>
      <c r="AG190" s="54">
        <f t="shared" si="76"/>
        <v>0</v>
      </c>
      <c r="AH190" s="54">
        <f t="shared" si="76"/>
        <v>0</v>
      </c>
      <c r="AI190" s="54">
        <f t="shared" si="76"/>
        <v>0</v>
      </c>
      <c r="AJ190" s="54">
        <f t="shared" si="76"/>
        <v>0</v>
      </c>
      <c r="AK190" s="54">
        <f t="shared" ref="AK190" si="87">IF($E91+365&lt;$C$56,0,IF($E91&lt;$C$56,(($E91+365-$C$56)/365)*(($C91/$BN$157)+($D91/$BN$158)),IF($E91&gt;AK$166,0,IF($E91+365&lt;AK$166,($C91/$BN$157)+($D91/$BN$158),((AK$166-$E91)/365)*(($C91/$BN$157)+($D91/$BN$158))))))</f>
        <v>0</v>
      </c>
      <c r="AL190" s="24">
        <f t="shared" si="52"/>
        <v>0</v>
      </c>
      <c r="AM190" s="24">
        <f t="shared" si="53"/>
        <v>0</v>
      </c>
      <c r="AN190" s="55">
        <f t="shared" si="54"/>
        <v>0</v>
      </c>
      <c r="AO190" s="55">
        <f t="shared" si="55"/>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2"/>
        <v>0</v>
      </c>
      <c r="H191" s="12">
        <f t="shared" si="81"/>
        <v>0</v>
      </c>
      <c r="I191" s="12">
        <f t="shared" si="81"/>
        <v>0</v>
      </c>
      <c r="J191" s="12">
        <f t="shared" si="81"/>
        <v>0</v>
      </c>
      <c r="K191" s="12">
        <f t="shared" si="44"/>
        <v>0</v>
      </c>
      <c r="L191" s="12">
        <f t="shared" si="82"/>
        <v>0</v>
      </c>
      <c r="M191" s="12">
        <f t="shared" si="82"/>
        <v>0</v>
      </c>
      <c r="N191" s="12">
        <f t="shared" si="82"/>
        <v>0</v>
      </c>
      <c r="O191" s="12">
        <f t="shared" si="46"/>
        <v>0</v>
      </c>
      <c r="P191" s="12">
        <f t="shared" si="83"/>
        <v>0</v>
      </c>
      <c r="Q191" s="12">
        <f t="shared" si="83"/>
        <v>0</v>
      </c>
      <c r="T191" s="61"/>
      <c r="U191" s="61"/>
      <c r="V191" s="61"/>
      <c r="W191" s="53">
        <f t="shared" si="48"/>
        <v>0</v>
      </c>
      <c r="X191" s="54" t="e">
        <f t="shared" si="49"/>
        <v>#DIV/0!</v>
      </c>
      <c r="Y191" s="25">
        <f t="shared" si="56"/>
        <v>0</v>
      </c>
      <c r="Z191" s="54">
        <f t="shared" si="61"/>
        <v>0</v>
      </c>
      <c r="AA191" s="54">
        <f t="shared" si="76"/>
        <v>0</v>
      </c>
      <c r="AB191" s="54">
        <f t="shared" si="76"/>
        <v>0</v>
      </c>
      <c r="AC191" s="54">
        <f t="shared" si="76"/>
        <v>0</v>
      </c>
      <c r="AD191" s="54">
        <f t="shared" si="76"/>
        <v>0</v>
      </c>
      <c r="AE191" s="54">
        <f t="shared" si="76"/>
        <v>0</v>
      </c>
      <c r="AF191" s="54">
        <f t="shared" si="76"/>
        <v>0</v>
      </c>
      <c r="AG191" s="54">
        <f t="shared" si="76"/>
        <v>0</v>
      </c>
      <c r="AH191" s="54">
        <f t="shared" si="76"/>
        <v>0</v>
      </c>
      <c r="AI191" s="54">
        <f t="shared" si="76"/>
        <v>0</v>
      </c>
      <c r="AJ191" s="54">
        <f t="shared" si="76"/>
        <v>0</v>
      </c>
      <c r="AK191" s="54">
        <f t="shared" ref="AK191" si="88">IF($E92+365&lt;$C$56,0,IF($E92&lt;$C$56,(($E92+365-$C$56)/365)*(($C92/$BN$157)+($D92/$BN$158)),IF($E92&gt;AK$166,0,IF($E92+365&lt;AK$166,($C92/$BN$157)+($D92/$BN$158),((AK$166-$E92)/365)*(($C92/$BN$157)+($D92/$BN$158))))))</f>
        <v>0</v>
      </c>
      <c r="AL191" s="24">
        <f t="shared" si="52"/>
        <v>0</v>
      </c>
      <c r="AM191" s="24">
        <f t="shared" si="53"/>
        <v>0</v>
      </c>
      <c r="AN191" s="55">
        <f t="shared" si="54"/>
        <v>0</v>
      </c>
      <c r="AO191" s="55">
        <f t="shared" si="55"/>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2"/>
        <v>0</v>
      </c>
      <c r="H192" s="12">
        <f t="shared" si="81"/>
        <v>0</v>
      </c>
      <c r="I192" s="12">
        <f t="shared" si="81"/>
        <v>0</v>
      </c>
      <c r="J192" s="12">
        <f t="shared" si="81"/>
        <v>0</v>
      </c>
      <c r="K192" s="12">
        <f t="shared" si="44"/>
        <v>0</v>
      </c>
      <c r="L192" s="12">
        <f t="shared" si="82"/>
        <v>0</v>
      </c>
      <c r="M192" s="12">
        <f t="shared" si="82"/>
        <v>0</v>
      </c>
      <c r="N192" s="12">
        <f t="shared" si="82"/>
        <v>0</v>
      </c>
      <c r="O192" s="12">
        <f t="shared" si="46"/>
        <v>0</v>
      </c>
      <c r="P192" s="12">
        <f t="shared" si="83"/>
        <v>0</v>
      </c>
      <c r="Q192" s="12">
        <f t="shared" si="83"/>
        <v>0</v>
      </c>
      <c r="T192" s="61"/>
      <c r="U192" s="61"/>
      <c r="V192" s="61"/>
      <c r="W192" s="53">
        <f t="shared" si="48"/>
        <v>0</v>
      </c>
      <c r="X192" s="54" t="e">
        <f t="shared" si="49"/>
        <v>#DIV/0!</v>
      </c>
      <c r="Y192" s="25">
        <f t="shared" si="56"/>
        <v>0</v>
      </c>
      <c r="Z192" s="54">
        <f t="shared" si="61"/>
        <v>0</v>
      </c>
      <c r="AA192" s="54">
        <f t="shared" si="76"/>
        <v>0</v>
      </c>
      <c r="AB192" s="54">
        <f t="shared" si="76"/>
        <v>0</v>
      </c>
      <c r="AC192" s="54">
        <f t="shared" si="76"/>
        <v>0</v>
      </c>
      <c r="AD192" s="54">
        <f t="shared" si="76"/>
        <v>0</v>
      </c>
      <c r="AE192" s="54">
        <f t="shared" si="76"/>
        <v>0</v>
      </c>
      <c r="AF192" s="54">
        <f t="shared" si="76"/>
        <v>0</v>
      </c>
      <c r="AG192" s="54">
        <f t="shared" si="76"/>
        <v>0</v>
      </c>
      <c r="AH192" s="54">
        <f t="shared" si="76"/>
        <v>0</v>
      </c>
      <c r="AI192" s="54">
        <f t="shared" si="76"/>
        <v>0</v>
      </c>
      <c r="AJ192" s="54">
        <f t="shared" si="76"/>
        <v>0</v>
      </c>
      <c r="AK192" s="54">
        <f t="shared" ref="AK192" si="89">IF($E93+365&lt;$C$56,0,IF($E93&lt;$C$56,(($E93+365-$C$56)/365)*(($C93/$BN$157)+($D93/$BN$158)),IF($E93&gt;AK$166,0,IF($E93+365&lt;AK$166,($C93/$BN$157)+($D93/$BN$158),((AK$166-$E93)/365)*(($C93/$BN$157)+($D93/$BN$158))))))</f>
        <v>0</v>
      </c>
      <c r="AL192" s="24">
        <f t="shared" si="52"/>
        <v>0</v>
      </c>
      <c r="AM192" s="24">
        <f t="shared" si="53"/>
        <v>0</v>
      </c>
      <c r="AN192" s="55">
        <f t="shared" si="54"/>
        <v>0</v>
      </c>
      <c r="AO192" s="55">
        <f t="shared" si="55"/>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2"/>
        <v>0</v>
      </c>
      <c r="H193" s="12">
        <f t="shared" si="81"/>
        <v>0</v>
      </c>
      <c r="I193" s="12">
        <f t="shared" si="81"/>
        <v>0</v>
      </c>
      <c r="J193" s="12">
        <f t="shared" si="81"/>
        <v>0</v>
      </c>
      <c r="K193" s="12">
        <f t="shared" si="44"/>
        <v>0</v>
      </c>
      <c r="L193" s="12">
        <f t="shared" si="82"/>
        <v>0</v>
      </c>
      <c r="M193" s="12">
        <f t="shared" si="82"/>
        <v>0</v>
      </c>
      <c r="N193" s="12">
        <f t="shared" si="82"/>
        <v>0</v>
      </c>
      <c r="O193" s="12">
        <f t="shared" si="46"/>
        <v>0</v>
      </c>
      <c r="P193" s="12">
        <f t="shared" si="83"/>
        <v>0</v>
      </c>
      <c r="Q193" s="12">
        <f t="shared" si="83"/>
        <v>0</v>
      </c>
      <c r="T193" s="61"/>
      <c r="U193" s="61"/>
      <c r="V193" s="61"/>
      <c r="W193" s="53">
        <f t="shared" si="48"/>
        <v>0</v>
      </c>
      <c r="X193" s="54" t="e">
        <f t="shared" si="49"/>
        <v>#DIV/0!</v>
      </c>
      <c r="Y193" s="25">
        <f t="shared" si="56"/>
        <v>0</v>
      </c>
      <c r="Z193" s="54">
        <f t="shared" si="61"/>
        <v>0</v>
      </c>
      <c r="AA193" s="54">
        <f t="shared" si="76"/>
        <v>0</v>
      </c>
      <c r="AB193" s="54">
        <f t="shared" si="76"/>
        <v>0</v>
      </c>
      <c r="AC193" s="54">
        <f t="shared" si="76"/>
        <v>0</v>
      </c>
      <c r="AD193" s="54">
        <f t="shared" si="76"/>
        <v>0</v>
      </c>
      <c r="AE193" s="54">
        <f t="shared" si="76"/>
        <v>0</v>
      </c>
      <c r="AF193" s="54">
        <f t="shared" si="76"/>
        <v>0</v>
      </c>
      <c r="AG193" s="54">
        <f t="shared" si="76"/>
        <v>0</v>
      </c>
      <c r="AH193" s="54">
        <f t="shared" si="76"/>
        <v>0</v>
      </c>
      <c r="AI193" s="54">
        <f t="shared" si="76"/>
        <v>0</v>
      </c>
      <c r="AJ193" s="54">
        <f t="shared" si="76"/>
        <v>0</v>
      </c>
      <c r="AK193" s="54">
        <f t="shared" ref="AK193" si="90">IF($E94+365&lt;$C$56,0,IF($E94&lt;$C$56,(($E94+365-$C$56)/365)*(($C94/$BN$157)+($D94/$BN$158)),IF($E94&gt;AK$166,0,IF($E94+365&lt;AK$166,($C94/$BN$157)+($D94/$BN$158),((AK$166-$E94)/365)*(($C94/$BN$157)+($D94/$BN$158))))))</f>
        <v>0</v>
      </c>
      <c r="AL193" s="24">
        <f t="shared" si="52"/>
        <v>0</v>
      </c>
      <c r="AM193" s="24">
        <f t="shared" si="53"/>
        <v>0</v>
      </c>
      <c r="AN193" s="55">
        <f t="shared" si="54"/>
        <v>0</v>
      </c>
      <c r="AO193" s="55">
        <f t="shared" si="55"/>
        <v>0</v>
      </c>
      <c r="AP193" s="24"/>
      <c r="AQ193" s="24"/>
      <c r="AR193" s="24"/>
      <c r="AS193" s="24"/>
      <c r="AT193" s="24"/>
      <c r="AU193" s="24"/>
      <c r="AV193" s="24"/>
      <c r="AW193" s="24"/>
      <c r="AX193" s="24"/>
      <c r="AY193" s="24"/>
    </row>
    <row r="194" spans="7:51">
      <c r="G194" s="12">
        <f t="shared" si="42"/>
        <v>0</v>
      </c>
      <c r="H194" s="12">
        <f t="shared" si="81"/>
        <v>0</v>
      </c>
      <c r="I194" s="12">
        <f t="shared" si="81"/>
        <v>0</v>
      </c>
      <c r="J194" s="12">
        <f t="shared" si="81"/>
        <v>0</v>
      </c>
      <c r="K194" s="12">
        <f t="shared" si="44"/>
        <v>0</v>
      </c>
      <c r="L194" s="12">
        <f t="shared" si="82"/>
        <v>0</v>
      </c>
      <c r="M194" s="12">
        <f t="shared" si="82"/>
        <v>0</v>
      </c>
      <c r="N194" s="12">
        <f t="shared" si="82"/>
        <v>0</v>
      </c>
      <c r="O194" s="12">
        <f t="shared" si="46"/>
        <v>0</v>
      </c>
      <c r="P194" s="12">
        <f t="shared" si="83"/>
        <v>0</v>
      </c>
      <c r="Q194" s="12">
        <f t="shared" si="83"/>
        <v>0</v>
      </c>
      <c r="T194" s="61"/>
      <c r="U194" s="61"/>
      <c r="V194" s="61"/>
      <c r="W194" s="53">
        <f t="shared" si="48"/>
        <v>0</v>
      </c>
      <c r="X194" s="54" t="e">
        <f t="shared" si="49"/>
        <v>#DIV/0!</v>
      </c>
      <c r="Y194" s="25">
        <f t="shared" si="56"/>
        <v>0</v>
      </c>
      <c r="Z194" s="54">
        <f t="shared" si="61"/>
        <v>0</v>
      </c>
      <c r="AA194" s="54">
        <f t="shared" si="76"/>
        <v>0</v>
      </c>
      <c r="AB194" s="54">
        <f t="shared" si="76"/>
        <v>0</v>
      </c>
      <c r="AC194" s="54">
        <f t="shared" si="76"/>
        <v>0</v>
      </c>
      <c r="AD194" s="54">
        <f t="shared" si="76"/>
        <v>0</v>
      </c>
      <c r="AE194" s="54">
        <f t="shared" si="76"/>
        <v>0</v>
      </c>
      <c r="AF194" s="54">
        <f t="shared" si="76"/>
        <v>0</v>
      </c>
      <c r="AG194" s="54">
        <f t="shared" si="76"/>
        <v>0</v>
      </c>
      <c r="AH194" s="54">
        <f t="shared" si="76"/>
        <v>0</v>
      </c>
      <c r="AI194" s="54">
        <f t="shared" si="76"/>
        <v>0</v>
      </c>
      <c r="AJ194" s="54">
        <f t="shared" si="76"/>
        <v>0</v>
      </c>
      <c r="AK194" s="54">
        <f t="shared" ref="AK194" si="91">IF($E95+365&lt;$C$56,0,IF($E95&lt;$C$56,(($E95+365-$C$56)/365)*(($C95/$BN$157)+($D95/$BN$158)),IF($E95&gt;AK$166,0,IF($E95+365&lt;AK$166,($C95/$BN$157)+($D95/$BN$158),((AK$166-$E95)/365)*(($C95/$BN$157)+($D95/$BN$158))))))</f>
        <v>0</v>
      </c>
      <c r="AL194" s="24">
        <f t="shared" si="52"/>
        <v>0</v>
      </c>
      <c r="AM194" s="24">
        <f t="shared" si="53"/>
        <v>0</v>
      </c>
      <c r="AN194" s="55">
        <f t="shared" si="54"/>
        <v>0</v>
      </c>
      <c r="AO194" s="55">
        <f t="shared" si="55"/>
        <v>0</v>
      </c>
      <c r="AP194" s="24"/>
      <c r="AQ194" s="24"/>
      <c r="AR194" s="24"/>
      <c r="AS194" s="24"/>
      <c r="AT194" s="24"/>
      <c r="AU194" s="24"/>
      <c r="AV194" s="24"/>
      <c r="AW194" s="24"/>
      <c r="AX194" s="24"/>
      <c r="AY194" s="24"/>
    </row>
    <row r="195" spans="7:51">
      <c r="G195" s="12">
        <f t="shared" si="42"/>
        <v>0</v>
      </c>
      <c r="H195" s="12">
        <f t="shared" si="81"/>
        <v>0</v>
      </c>
      <c r="I195" s="12">
        <f t="shared" si="81"/>
        <v>0</v>
      </c>
      <c r="J195" s="12">
        <f t="shared" si="81"/>
        <v>0</v>
      </c>
      <c r="K195" s="12">
        <f t="shared" si="44"/>
        <v>0</v>
      </c>
      <c r="L195" s="12">
        <f t="shared" si="82"/>
        <v>0</v>
      </c>
      <c r="M195" s="12">
        <f t="shared" si="82"/>
        <v>0</v>
      </c>
      <c r="N195" s="12">
        <f t="shared" si="82"/>
        <v>0</v>
      </c>
      <c r="O195" s="12">
        <f t="shared" si="46"/>
        <v>0</v>
      </c>
      <c r="P195" s="12">
        <f t="shared" si="83"/>
        <v>0</v>
      </c>
      <c r="Q195" s="12">
        <f t="shared" si="83"/>
        <v>0</v>
      </c>
      <c r="T195" s="61"/>
      <c r="U195" s="61"/>
      <c r="V195" s="61"/>
      <c r="W195" s="53">
        <f t="shared" si="48"/>
        <v>0</v>
      </c>
      <c r="X195" s="54" t="e">
        <f t="shared" si="49"/>
        <v>#DIV/0!</v>
      </c>
      <c r="Y195" s="25">
        <f t="shared" si="56"/>
        <v>0</v>
      </c>
      <c r="Z195" s="54">
        <f t="shared" si="61"/>
        <v>0</v>
      </c>
      <c r="AA195" s="54">
        <f t="shared" si="76"/>
        <v>0</v>
      </c>
      <c r="AB195" s="54">
        <f t="shared" si="76"/>
        <v>0</v>
      </c>
      <c r="AC195" s="54">
        <f t="shared" si="76"/>
        <v>0</v>
      </c>
      <c r="AD195" s="54">
        <f t="shared" si="76"/>
        <v>0</v>
      </c>
      <c r="AE195" s="54">
        <f t="shared" si="76"/>
        <v>0</v>
      </c>
      <c r="AF195" s="54">
        <f t="shared" si="76"/>
        <v>0</v>
      </c>
      <c r="AG195" s="54">
        <f t="shared" si="76"/>
        <v>0</v>
      </c>
      <c r="AH195" s="54">
        <f t="shared" si="76"/>
        <v>0</v>
      </c>
      <c r="AI195" s="54">
        <f t="shared" si="76"/>
        <v>0</v>
      </c>
      <c r="AJ195" s="54">
        <f t="shared" si="76"/>
        <v>0</v>
      </c>
      <c r="AK195" s="54">
        <f t="shared" ref="AK195" si="92">IF($E96+365&lt;$C$56,0,IF($E96&lt;$C$56,(($E96+365-$C$56)/365)*(($C96/$BN$157)+($D96/$BN$158)),IF($E96&gt;AK$166,0,IF($E96+365&lt;AK$166,($C96/$BN$157)+($D96/$BN$158),((AK$166-$E96)/365)*(($C96/$BN$157)+($D96/$BN$158))))))</f>
        <v>0</v>
      </c>
      <c r="AL195" s="24">
        <f t="shared" si="52"/>
        <v>0</v>
      </c>
      <c r="AM195" s="24">
        <f t="shared" si="53"/>
        <v>0</v>
      </c>
      <c r="AN195" s="55">
        <f t="shared" si="54"/>
        <v>0</v>
      </c>
      <c r="AO195" s="55">
        <f t="shared" si="55"/>
        <v>0</v>
      </c>
      <c r="AP195" s="24"/>
      <c r="AQ195" s="24"/>
      <c r="AR195" s="24"/>
      <c r="AS195" s="24"/>
      <c r="AT195" s="24"/>
      <c r="AU195" s="24"/>
      <c r="AV195" s="24"/>
      <c r="AW195" s="24"/>
      <c r="AX195" s="24"/>
      <c r="AY195" s="24"/>
    </row>
    <row r="196" spans="7:51">
      <c r="G196" s="12">
        <f t="shared" si="42"/>
        <v>0</v>
      </c>
      <c r="H196" s="12">
        <f t="shared" si="81"/>
        <v>0</v>
      </c>
      <c r="I196" s="12">
        <f t="shared" si="81"/>
        <v>0</v>
      </c>
      <c r="J196" s="12">
        <f t="shared" si="81"/>
        <v>0</v>
      </c>
      <c r="K196" s="12">
        <f t="shared" si="44"/>
        <v>0</v>
      </c>
      <c r="L196" s="12">
        <f t="shared" si="82"/>
        <v>0</v>
      </c>
      <c r="M196" s="12">
        <f t="shared" si="82"/>
        <v>0</v>
      </c>
      <c r="N196" s="12">
        <f t="shared" si="82"/>
        <v>0</v>
      </c>
      <c r="O196" s="12">
        <f t="shared" si="46"/>
        <v>0</v>
      </c>
      <c r="P196" s="12">
        <f t="shared" si="83"/>
        <v>0</v>
      </c>
      <c r="Q196" s="12">
        <f t="shared" si="83"/>
        <v>0</v>
      </c>
      <c r="T196" s="61"/>
      <c r="U196" s="61"/>
      <c r="V196" s="61"/>
      <c r="W196" s="53">
        <f t="shared" si="48"/>
        <v>0</v>
      </c>
      <c r="X196" s="54" t="e">
        <f t="shared" si="49"/>
        <v>#DIV/0!</v>
      </c>
      <c r="Y196" s="25">
        <f t="shared" si="56"/>
        <v>0</v>
      </c>
      <c r="Z196" s="54">
        <f t="shared" si="61"/>
        <v>0</v>
      </c>
      <c r="AA196" s="54">
        <f t="shared" si="76"/>
        <v>0</v>
      </c>
      <c r="AB196" s="54">
        <f t="shared" si="76"/>
        <v>0</v>
      </c>
      <c r="AC196" s="54">
        <f t="shared" si="76"/>
        <v>0</v>
      </c>
      <c r="AD196" s="54">
        <f t="shared" si="76"/>
        <v>0</v>
      </c>
      <c r="AE196" s="54">
        <f t="shared" si="76"/>
        <v>0</v>
      </c>
      <c r="AF196" s="54">
        <f t="shared" si="76"/>
        <v>0</v>
      </c>
      <c r="AG196" s="54">
        <f t="shared" si="76"/>
        <v>0</v>
      </c>
      <c r="AH196" s="54">
        <f t="shared" si="76"/>
        <v>0</v>
      </c>
      <c r="AI196" s="54">
        <f t="shared" si="76"/>
        <v>0</v>
      </c>
      <c r="AJ196" s="54">
        <f t="shared" si="76"/>
        <v>0</v>
      </c>
      <c r="AK196" s="54">
        <f t="shared" ref="AK196" si="93">IF($E97+365&lt;$C$56,0,IF($E97&lt;$C$56,(($E97+365-$C$56)/365)*(($C97/$BN$157)+($D97/$BN$158)),IF($E97&gt;AK$166,0,IF($E97+365&lt;AK$166,($C97/$BN$157)+($D97/$BN$158),((AK$166-$E97)/365)*(($C97/$BN$157)+($D97/$BN$158))))))</f>
        <v>0</v>
      </c>
      <c r="AL196" s="24">
        <f t="shared" si="52"/>
        <v>0</v>
      </c>
      <c r="AM196" s="24">
        <f t="shared" si="53"/>
        <v>0</v>
      </c>
      <c r="AN196" s="55">
        <f t="shared" si="54"/>
        <v>0</v>
      </c>
      <c r="AO196" s="55">
        <f t="shared" si="55"/>
        <v>0</v>
      </c>
      <c r="AP196" s="24"/>
      <c r="AQ196" s="24"/>
      <c r="AR196" s="24"/>
      <c r="AS196" s="24"/>
      <c r="AT196" s="24"/>
      <c r="AU196" s="24"/>
      <c r="AV196" s="24"/>
      <c r="AW196" s="24"/>
      <c r="AX196" s="24"/>
      <c r="AY196" s="24"/>
    </row>
    <row r="197" spans="7:51">
      <c r="G197" s="12">
        <f t="shared" si="42"/>
        <v>0</v>
      </c>
      <c r="H197" s="12">
        <f t="shared" si="81"/>
        <v>0</v>
      </c>
      <c r="I197" s="12">
        <f t="shared" si="81"/>
        <v>0</v>
      </c>
      <c r="J197" s="12">
        <f t="shared" si="81"/>
        <v>0</v>
      </c>
      <c r="K197" s="12">
        <f t="shared" si="44"/>
        <v>0</v>
      </c>
      <c r="L197" s="12">
        <f t="shared" si="82"/>
        <v>0</v>
      </c>
      <c r="M197" s="12">
        <f t="shared" si="82"/>
        <v>0</v>
      </c>
      <c r="N197" s="12">
        <f t="shared" si="82"/>
        <v>0</v>
      </c>
      <c r="O197" s="12">
        <f t="shared" si="46"/>
        <v>0</v>
      </c>
      <c r="P197" s="12">
        <f t="shared" si="83"/>
        <v>0</v>
      </c>
      <c r="Q197" s="12">
        <f t="shared" si="83"/>
        <v>0</v>
      </c>
      <c r="T197" s="61"/>
      <c r="U197" s="61"/>
      <c r="V197" s="61"/>
      <c r="W197" s="53">
        <f t="shared" si="48"/>
        <v>0</v>
      </c>
      <c r="X197" s="54" t="e">
        <f t="shared" si="49"/>
        <v>#DIV/0!</v>
      </c>
      <c r="Y197" s="25">
        <f t="shared" si="56"/>
        <v>0</v>
      </c>
      <c r="Z197" s="54">
        <f t="shared" si="61"/>
        <v>0</v>
      </c>
      <c r="AA197" s="54">
        <f t="shared" si="76"/>
        <v>0</v>
      </c>
      <c r="AB197" s="54">
        <f t="shared" si="76"/>
        <v>0</v>
      </c>
      <c r="AC197" s="54">
        <f t="shared" si="76"/>
        <v>0</v>
      </c>
      <c r="AD197" s="54">
        <f t="shared" si="76"/>
        <v>0</v>
      </c>
      <c r="AE197" s="54">
        <f t="shared" si="76"/>
        <v>0</v>
      </c>
      <c r="AF197" s="54">
        <f t="shared" si="76"/>
        <v>0</v>
      </c>
      <c r="AG197" s="54">
        <f t="shared" si="76"/>
        <v>0</v>
      </c>
      <c r="AH197" s="54">
        <f t="shared" si="76"/>
        <v>0</v>
      </c>
      <c r="AI197" s="54">
        <f t="shared" si="76"/>
        <v>0</v>
      </c>
      <c r="AJ197" s="54">
        <f t="shared" si="76"/>
        <v>0</v>
      </c>
      <c r="AK197" s="54">
        <f t="shared" ref="AK197" si="94">IF($E98+365&lt;$C$56,0,IF($E98&lt;$C$56,(($E98+365-$C$56)/365)*(($C98/$BN$157)+($D98/$BN$158)),IF($E98&gt;AK$166,0,IF($E98+365&lt;AK$166,($C98/$BN$157)+($D98/$BN$158),((AK$166-$E98)/365)*(($C98/$BN$157)+($D98/$BN$158))))))</f>
        <v>0</v>
      </c>
      <c r="AL197" s="24">
        <f t="shared" si="52"/>
        <v>0</v>
      </c>
      <c r="AM197" s="24">
        <f t="shared" si="53"/>
        <v>0</v>
      </c>
      <c r="AN197" s="55">
        <f t="shared" si="54"/>
        <v>0</v>
      </c>
      <c r="AO197" s="55">
        <f t="shared" si="55"/>
        <v>0</v>
      </c>
      <c r="AP197" s="24"/>
      <c r="AQ197" s="24"/>
      <c r="AR197" s="24"/>
      <c r="AS197" s="24"/>
      <c r="AT197" s="24"/>
      <c r="AU197" s="24"/>
      <c r="AV197" s="24"/>
      <c r="AW197" s="24"/>
      <c r="AX197" s="24"/>
      <c r="AY197" s="24"/>
    </row>
    <row r="198" spans="7:51">
      <c r="G198" s="12">
        <f t="shared" si="42"/>
        <v>0</v>
      </c>
      <c r="H198" s="12">
        <f t="shared" si="81"/>
        <v>0</v>
      </c>
      <c r="I198" s="12">
        <f t="shared" si="81"/>
        <v>0</v>
      </c>
      <c r="J198" s="12">
        <f t="shared" si="81"/>
        <v>0</v>
      </c>
      <c r="K198" s="12">
        <f t="shared" si="44"/>
        <v>0</v>
      </c>
      <c r="L198" s="12">
        <f t="shared" si="82"/>
        <v>0</v>
      </c>
      <c r="M198" s="12">
        <f t="shared" si="82"/>
        <v>0</v>
      </c>
      <c r="N198" s="12">
        <f t="shared" si="82"/>
        <v>0</v>
      </c>
      <c r="O198" s="12">
        <f t="shared" si="46"/>
        <v>0</v>
      </c>
      <c r="P198" s="12">
        <f t="shared" si="83"/>
        <v>0</v>
      </c>
      <c r="Q198" s="12">
        <f t="shared" si="83"/>
        <v>0</v>
      </c>
      <c r="T198" s="61"/>
      <c r="U198" s="61"/>
      <c r="V198" s="61"/>
      <c r="W198" s="53">
        <f t="shared" si="48"/>
        <v>0</v>
      </c>
      <c r="X198" s="54" t="e">
        <f t="shared" si="49"/>
        <v>#DIV/0!</v>
      </c>
      <c r="Y198" s="25">
        <f t="shared" si="56"/>
        <v>0</v>
      </c>
      <c r="Z198" s="54">
        <f t="shared" si="61"/>
        <v>0</v>
      </c>
      <c r="AA198" s="54">
        <f t="shared" si="76"/>
        <v>0</v>
      </c>
      <c r="AB198" s="54">
        <f t="shared" si="76"/>
        <v>0</v>
      </c>
      <c r="AC198" s="54">
        <f t="shared" si="76"/>
        <v>0</v>
      </c>
      <c r="AD198" s="54">
        <f t="shared" si="76"/>
        <v>0</v>
      </c>
      <c r="AE198" s="54">
        <f t="shared" si="76"/>
        <v>0</v>
      </c>
      <c r="AF198" s="54">
        <f t="shared" si="76"/>
        <v>0</v>
      </c>
      <c r="AG198" s="54">
        <f t="shared" si="76"/>
        <v>0</v>
      </c>
      <c r="AH198" s="54">
        <f t="shared" si="76"/>
        <v>0</v>
      </c>
      <c r="AI198" s="54">
        <f t="shared" si="76"/>
        <v>0</v>
      </c>
      <c r="AJ198" s="54">
        <f t="shared" si="76"/>
        <v>0</v>
      </c>
      <c r="AK198" s="54">
        <f t="shared" ref="AK198" si="95">IF($E99+365&lt;$C$56,0,IF($E99&lt;$C$56,(($E99+365-$C$56)/365)*(($C99/$BN$157)+($D99/$BN$158)),IF($E99&gt;AK$166,0,IF($E99+365&lt;AK$166,($C99/$BN$157)+($D99/$BN$158),((AK$166-$E99)/365)*(($C99/$BN$157)+($D99/$BN$158))))))</f>
        <v>0</v>
      </c>
      <c r="AL198" s="24">
        <f t="shared" si="52"/>
        <v>0</v>
      </c>
      <c r="AM198" s="24">
        <f t="shared" si="53"/>
        <v>0</v>
      </c>
      <c r="AN198" s="55">
        <f t="shared" si="54"/>
        <v>0</v>
      </c>
      <c r="AO198" s="55">
        <f t="shared" si="55"/>
        <v>0</v>
      </c>
      <c r="AP198" s="24"/>
      <c r="AQ198" s="24"/>
      <c r="AR198" s="24"/>
      <c r="AS198" s="24"/>
      <c r="AT198" s="24"/>
      <c r="AU198" s="24"/>
      <c r="AV198" s="24"/>
      <c r="AW198" s="24"/>
      <c r="AX198" s="24"/>
      <c r="AY198" s="24"/>
    </row>
    <row r="199" spans="7:51">
      <c r="G199" s="12">
        <f t="shared" si="42"/>
        <v>0</v>
      </c>
      <c r="H199" s="12">
        <f t="shared" si="81"/>
        <v>0</v>
      </c>
      <c r="I199" s="12">
        <f t="shared" si="81"/>
        <v>0</v>
      </c>
      <c r="J199" s="12">
        <f t="shared" si="81"/>
        <v>0</v>
      </c>
      <c r="K199" s="12">
        <f t="shared" si="44"/>
        <v>0</v>
      </c>
      <c r="L199" s="12">
        <f t="shared" si="82"/>
        <v>0</v>
      </c>
      <c r="M199" s="12">
        <f t="shared" si="82"/>
        <v>0</v>
      </c>
      <c r="N199" s="12">
        <f t="shared" si="82"/>
        <v>0</v>
      </c>
      <c r="O199" s="12">
        <f t="shared" si="46"/>
        <v>0</v>
      </c>
      <c r="P199" s="12">
        <f t="shared" si="83"/>
        <v>0</v>
      </c>
      <c r="Q199" s="12">
        <f t="shared" si="83"/>
        <v>0</v>
      </c>
      <c r="T199" s="61"/>
      <c r="U199" s="61"/>
      <c r="V199" s="61"/>
      <c r="W199" s="53">
        <f t="shared" si="48"/>
        <v>0</v>
      </c>
      <c r="X199" s="54" t="e">
        <f t="shared" si="49"/>
        <v>#DIV/0!</v>
      </c>
      <c r="Y199" s="25">
        <f t="shared" si="56"/>
        <v>0</v>
      </c>
      <c r="Z199" s="54">
        <f t="shared" si="61"/>
        <v>0</v>
      </c>
      <c r="AA199" s="54">
        <f t="shared" ref="AA199:AJ213" si="96">IF($E100+365&lt;$C$56,0,IF($E100&lt;$C$56,(($E100+365-$C$56)/365)*(($C100/$BN$157)+($D100/$BN$158)),IF($E100&gt;AA$166,0,IF($E100+365&lt;AA$166,($C100/$BN$157)+($D100/$BN$158),((AA$166-$E100)/365)*(($C100/$BN$157)+($D100/$BN$158))))))</f>
        <v>0</v>
      </c>
      <c r="AB199" s="54">
        <f t="shared" si="96"/>
        <v>0</v>
      </c>
      <c r="AC199" s="54">
        <f t="shared" si="96"/>
        <v>0</v>
      </c>
      <c r="AD199" s="54">
        <f t="shared" si="96"/>
        <v>0</v>
      </c>
      <c r="AE199" s="54">
        <f t="shared" si="96"/>
        <v>0</v>
      </c>
      <c r="AF199" s="54">
        <f t="shared" si="96"/>
        <v>0</v>
      </c>
      <c r="AG199" s="54">
        <f t="shared" si="96"/>
        <v>0</v>
      </c>
      <c r="AH199" s="54">
        <f t="shared" si="96"/>
        <v>0</v>
      </c>
      <c r="AI199" s="54">
        <f t="shared" si="96"/>
        <v>0</v>
      </c>
      <c r="AJ199" s="54">
        <f t="shared" si="96"/>
        <v>0</v>
      </c>
      <c r="AK199" s="54">
        <f t="shared" ref="AK199" si="97">IF($E100+365&lt;$C$56,0,IF($E100&lt;$C$56,(($E100+365-$C$56)/365)*(($C100/$BN$157)+($D100/$BN$158)),IF($E100&gt;AK$166,0,IF($E100+365&lt;AK$166,($C100/$BN$157)+($D100/$BN$158),((AK$166-$E100)/365)*(($C100/$BN$157)+($D100/$BN$158))))))</f>
        <v>0</v>
      </c>
      <c r="AL199" s="24">
        <f t="shared" si="52"/>
        <v>0</v>
      </c>
      <c r="AM199" s="24">
        <f t="shared" si="53"/>
        <v>0</v>
      </c>
      <c r="AN199" s="55">
        <f t="shared" si="54"/>
        <v>0</v>
      </c>
      <c r="AO199" s="55">
        <f t="shared" si="55"/>
        <v>0</v>
      </c>
      <c r="AP199" s="24"/>
      <c r="AQ199" s="24"/>
      <c r="AR199" s="24"/>
      <c r="AS199" s="24"/>
      <c r="AT199" s="24"/>
      <c r="AU199" s="24"/>
      <c r="AV199" s="24"/>
      <c r="AW199" s="24"/>
      <c r="AX199" s="24"/>
      <c r="AY199" s="24"/>
    </row>
    <row r="200" spans="7:51">
      <c r="G200" s="12">
        <f t="shared" si="42"/>
        <v>0</v>
      </c>
      <c r="H200" s="12">
        <f t="shared" si="81"/>
        <v>0</v>
      </c>
      <c r="I200" s="12">
        <f t="shared" si="81"/>
        <v>0</v>
      </c>
      <c r="J200" s="12">
        <f t="shared" si="81"/>
        <v>0</v>
      </c>
      <c r="K200" s="12">
        <f t="shared" si="44"/>
        <v>0</v>
      </c>
      <c r="L200" s="12">
        <f t="shared" si="82"/>
        <v>0</v>
      </c>
      <c r="M200" s="12">
        <f t="shared" si="82"/>
        <v>0</v>
      </c>
      <c r="N200" s="12">
        <f t="shared" si="82"/>
        <v>0</v>
      </c>
      <c r="O200" s="12">
        <f t="shared" si="46"/>
        <v>0</v>
      </c>
      <c r="P200" s="12">
        <f t="shared" si="83"/>
        <v>0</v>
      </c>
      <c r="Q200" s="12">
        <f t="shared" si="83"/>
        <v>0</v>
      </c>
      <c r="T200" s="61"/>
      <c r="U200" s="61"/>
      <c r="V200" s="61"/>
      <c r="W200" s="53">
        <f t="shared" si="48"/>
        <v>0</v>
      </c>
      <c r="X200" s="54" t="e">
        <f t="shared" si="49"/>
        <v>#DIV/0!</v>
      </c>
      <c r="Y200" s="25">
        <f t="shared" si="56"/>
        <v>0</v>
      </c>
      <c r="Z200" s="54">
        <f t="shared" si="61"/>
        <v>0</v>
      </c>
      <c r="AA200" s="54">
        <f t="shared" si="96"/>
        <v>0</v>
      </c>
      <c r="AB200" s="54">
        <f t="shared" si="96"/>
        <v>0</v>
      </c>
      <c r="AC200" s="54">
        <f t="shared" si="96"/>
        <v>0</v>
      </c>
      <c r="AD200" s="54">
        <f t="shared" si="96"/>
        <v>0</v>
      </c>
      <c r="AE200" s="54">
        <f t="shared" si="96"/>
        <v>0</v>
      </c>
      <c r="AF200" s="54">
        <f t="shared" si="96"/>
        <v>0</v>
      </c>
      <c r="AG200" s="54">
        <f t="shared" si="96"/>
        <v>0</v>
      </c>
      <c r="AH200" s="54">
        <f t="shared" si="96"/>
        <v>0</v>
      </c>
      <c r="AI200" s="54">
        <f t="shared" si="96"/>
        <v>0</v>
      </c>
      <c r="AJ200" s="54">
        <f t="shared" si="96"/>
        <v>0</v>
      </c>
      <c r="AK200" s="54">
        <f t="shared" ref="AK200" si="98">IF($E101+365&lt;$C$56,0,IF($E101&lt;$C$56,(($E101+365-$C$56)/365)*(($C101/$BN$157)+($D101/$BN$158)),IF($E101&gt;AK$166,0,IF($E101+365&lt;AK$166,($C101/$BN$157)+($D101/$BN$158),((AK$166-$E101)/365)*(($C101/$BN$157)+($D101/$BN$158))))))</f>
        <v>0</v>
      </c>
      <c r="AL200" s="24">
        <f t="shared" si="52"/>
        <v>0</v>
      </c>
      <c r="AM200" s="24">
        <f t="shared" si="53"/>
        <v>0</v>
      </c>
      <c r="AN200" s="55">
        <f t="shared" si="54"/>
        <v>0</v>
      </c>
      <c r="AO200" s="55">
        <f t="shared" si="55"/>
        <v>0</v>
      </c>
      <c r="AP200" s="24"/>
      <c r="AQ200" s="24"/>
      <c r="AR200" s="24"/>
      <c r="AS200" s="24"/>
      <c r="AT200" s="24"/>
      <c r="AU200" s="24"/>
      <c r="AV200" s="24"/>
      <c r="AW200" s="24"/>
      <c r="AX200" s="24"/>
      <c r="AY200" s="24"/>
    </row>
    <row r="201" spans="7:51">
      <c r="G201" s="12">
        <f t="shared" si="42"/>
        <v>0</v>
      </c>
      <c r="H201" s="12">
        <f t="shared" si="81"/>
        <v>0</v>
      </c>
      <c r="I201" s="12">
        <f t="shared" si="81"/>
        <v>0</v>
      </c>
      <c r="J201" s="12">
        <f t="shared" si="81"/>
        <v>0</v>
      </c>
      <c r="K201" s="12">
        <f t="shared" si="44"/>
        <v>0</v>
      </c>
      <c r="L201" s="12">
        <f t="shared" si="82"/>
        <v>0</v>
      </c>
      <c r="M201" s="12">
        <f t="shared" si="82"/>
        <v>0</v>
      </c>
      <c r="N201" s="12">
        <f t="shared" si="82"/>
        <v>0</v>
      </c>
      <c r="O201" s="12">
        <f t="shared" si="46"/>
        <v>0</v>
      </c>
      <c r="P201" s="12">
        <f t="shared" si="83"/>
        <v>0</v>
      </c>
      <c r="Q201" s="12">
        <f t="shared" si="83"/>
        <v>0</v>
      </c>
      <c r="T201" s="61"/>
      <c r="U201" s="61"/>
      <c r="V201" s="61"/>
      <c r="W201" s="53">
        <f t="shared" si="48"/>
        <v>0</v>
      </c>
      <c r="X201" s="54" t="e">
        <f t="shared" si="49"/>
        <v>#DIV/0!</v>
      </c>
      <c r="Y201" s="25">
        <f t="shared" si="56"/>
        <v>0</v>
      </c>
      <c r="Z201" s="54">
        <f t="shared" si="61"/>
        <v>0</v>
      </c>
      <c r="AA201" s="54">
        <f t="shared" si="96"/>
        <v>0</v>
      </c>
      <c r="AB201" s="54">
        <f t="shared" si="96"/>
        <v>0</v>
      </c>
      <c r="AC201" s="54">
        <f t="shared" si="96"/>
        <v>0</v>
      </c>
      <c r="AD201" s="54">
        <f t="shared" si="96"/>
        <v>0</v>
      </c>
      <c r="AE201" s="54">
        <f t="shared" si="96"/>
        <v>0</v>
      </c>
      <c r="AF201" s="54">
        <f t="shared" si="96"/>
        <v>0</v>
      </c>
      <c r="AG201" s="54">
        <f t="shared" si="96"/>
        <v>0</v>
      </c>
      <c r="AH201" s="54">
        <f t="shared" si="96"/>
        <v>0</v>
      </c>
      <c r="AI201" s="54">
        <f t="shared" si="96"/>
        <v>0</v>
      </c>
      <c r="AJ201" s="54">
        <f t="shared" si="96"/>
        <v>0</v>
      </c>
      <c r="AK201" s="54">
        <f t="shared" ref="AK201" si="99">IF($E102+365&lt;$C$56,0,IF($E102&lt;$C$56,(($E102+365-$C$56)/365)*(($C102/$BN$157)+($D102/$BN$158)),IF($E102&gt;AK$166,0,IF($E102+365&lt;AK$166,($C102/$BN$157)+($D102/$BN$158),((AK$166-$E102)/365)*(($C102/$BN$157)+($D102/$BN$158))))))</f>
        <v>0</v>
      </c>
      <c r="AL201" s="24">
        <f t="shared" si="52"/>
        <v>0</v>
      </c>
      <c r="AM201" s="24">
        <f t="shared" si="53"/>
        <v>0</v>
      </c>
      <c r="AN201" s="55">
        <f t="shared" si="54"/>
        <v>0</v>
      </c>
      <c r="AO201" s="55">
        <f t="shared" si="55"/>
        <v>0</v>
      </c>
      <c r="AP201" s="24"/>
      <c r="AQ201" s="24"/>
      <c r="AR201" s="24"/>
      <c r="AS201" s="24"/>
      <c r="AT201" s="24"/>
      <c r="AU201" s="24"/>
      <c r="AV201" s="24"/>
      <c r="AW201" s="24"/>
      <c r="AX201" s="24"/>
      <c r="AY201" s="24"/>
    </row>
    <row r="202" spans="7:51">
      <c r="G202" s="12">
        <f t="shared" si="42"/>
        <v>0</v>
      </c>
      <c r="H202" s="12">
        <f t="shared" si="81"/>
        <v>0</v>
      </c>
      <c r="I202" s="12">
        <f t="shared" si="81"/>
        <v>0</v>
      </c>
      <c r="J202" s="12">
        <f t="shared" si="81"/>
        <v>0</v>
      </c>
      <c r="K202" s="12">
        <f t="shared" si="44"/>
        <v>0</v>
      </c>
      <c r="L202" s="12">
        <f t="shared" si="82"/>
        <v>0</v>
      </c>
      <c r="M202" s="12">
        <f t="shared" si="82"/>
        <v>0</v>
      </c>
      <c r="N202" s="12">
        <f t="shared" si="82"/>
        <v>0</v>
      </c>
      <c r="O202" s="12">
        <f t="shared" si="46"/>
        <v>0</v>
      </c>
      <c r="P202" s="12">
        <f t="shared" si="83"/>
        <v>0</v>
      </c>
      <c r="Q202" s="12">
        <f t="shared" si="83"/>
        <v>0</v>
      </c>
      <c r="T202" s="61"/>
      <c r="U202" s="61"/>
      <c r="V202" s="61"/>
      <c r="W202" s="53">
        <f t="shared" si="48"/>
        <v>0</v>
      </c>
      <c r="X202" s="54" t="e">
        <f t="shared" si="49"/>
        <v>#DIV/0!</v>
      </c>
      <c r="Y202" s="25">
        <f t="shared" si="56"/>
        <v>0</v>
      </c>
      <c r="Z202" s="54">
        <f t="shared" si="61"/>
        <v>0</v>
      </c>
      <c r="AA202" s="54">
        <f t="shared" si="96"/>
        <v>0</v>
      </c>
      <c r="AB202" s="54">
        <f t="shared" si="96"/>
        <v>0</v>
      </c>
      <c r="AC202" s="54">
        <f t="shared" si="96"/>
        <v>0</v>
      </c>
      <c r="AD202" s="54">
        <f t="shared" si="96"/>
        <v>0</v>
      </c>
      <c r="AE202" s="54">
        <f t="shared" si="96"/>
        <v>0</v>
      </c>
      <c r="AF202" s="54">
        <f t="shared" si="96"/>
        <v>0</v>
      </c>
      <c r="AG202" s="54">
        <f t="shared" si="96"/>
        <v>0</v>
      </c>
      <c r="AH202" s="54">
        <f t="shared" si="96"/>
        <v>0</v>
      </c>
      <c r="AI202" s="54">
        <f t="shared" si="96"/>
        <v>0</v>
      </c>
      <c r="AJ202" s="54">
        <f t="shared" si="96"/>
        <v>0</v>
      </c>
      <c r="AK202" s="54">
        <f t="shared" ref="AK202" si="100">IF($E103+365&lt;$C$56,0,IF($E103&lt;$C$56,(($E103+365-$C$56)/365)*(($C103/$BN$157)+($D103/$BN$158)),IF($E103&gt;AK$166,0,IF($E103+365&lt;AK$166,($C103/$BN$157)+($D103/$BN$158),((AK$166-$E103)/365)*(($C103/$BN$157)+($D103/$BN$158))))))</f>
        <v>0</v>
      </c>
      <c r="AL202" s="24">
        <f t="shared" si="52"/>
        <v>0</v>
      </c>
      <c r="AM202" s="24">
        <f t="shared" si="53"/>
        <v>0</v>
      </c>
      <c r="AN202" s="55">
        <f t="shared" si="54"/>
        <v>0</v>
      </c>
      <c r="AO202" s="55">
        <f t="shared" si="55"/>
        <v>0</v>
      </c>
      <c r="AP202" s="24"/>
      <c r="AQ202" s="24"/>
      <c r="AR202" s="24"/>
      <c r="AS202" s="24"/>
      <c r="AT202" s="24"/>
      <c r="AU202" s="24"/>
      <c r="AV202" s="24"/>
      <c r="AW202" s="24"/>
      <c r="AX202" s="24"/>
      <c r="AY202" s="24"/>
    </row>
    <row r="203" spans="7:51">
      <c r="G203" s="12">
        <f t="shared" si="42"/>
        <v>0</v>
      </c>
      <c r="H203" s="12">
        <f t="shared" si="81"/>
        <v>0</v>
      </c>
      <c r="I203" s="12">
        <f t="shared" si="81"/>
        <v>0</v>
      </c>
      <c r="J203" s="12">
        <f t="shared" si="81"/>
        <v>0</v>
      </c>
      <c r="K203" s="12">
        <f t="shared" si="44"/>
        <v>0</v>
      </c>
      <c r="L203" s="12">
        <f t="shared" si="82"/>
        <v>0</v>
      </c>
      <c r="M203" s="12">
        <f t="shared" si="82"/>
        <v>0</v>
      </c>
      <c r="N203" s="12">
        <f t="shared" si="82"/>
        <v>0</v>
      </c>
      <c r="O203" s="12">
        <f t="shared" si="46"/>
        <v>0</v>
      </c>
      <c r="P203" s="12">
        <f t="shared" si="83"/>
        <v>0</v>
      </c>
      <c r="Q203" s="12">
        <f t="shared" si="83"/>
        <v>0</v>
      </c>
      <c r="T203" s="61"/>
      <c r="U203" s="61"/>
      <c r="V203" s="61"/>
      <c r="W203" s="53">
        <f t="shared" si="48"/>
        <v>0</v>
      </c>
      <c r="X203" s="54" t="e">
        <f t="shared" si="49"/>
        <v>#DIV/0!</v>
      </c>
      <c r="Y203" s="25">
        <f t="shared" si="56"/>
        <v>0</v>
      </c>
      <c r="Z203" s="54">
        <f t="shared" si="61"/>
        <v>0</v>
      </c>
      <c r="AA203" s="54">
        <f t="shared" si="96"/>
        <v>0</v>
      </c>
      <c r="AB203" s="54">
        <f t="shared" si="96"/>
        <v>0</v>
      </c>
      <c r="AC203" s="54">
        <f t="shared" si="96"/>
        <v>0</v>
      </c>
      <c r="AD203" s="54">
        <f t="shared" si="96"/>
        <v>0</v>
      </c>
      <c r="AE203" s="54">
        <f t="shared" si="96"/>
        <v>0</v>
      </c>
      <c r="AF203" s="54">
        <f t="shared" si="96"/>
        <v>0</v>
      </c>
      <c r="AG203" s="54">
        <f t="shared" si="96"/>
        <v>0</v>
      </c>
      <c r="AH203" s="54">
        <f t="shared" si="96"/>
        <v>0</v>
      </c>
      <c r="AI203" s="54">
        <f t="shared" si="96"/>
        <v>0</v>
      </c>
      <c r="AJ203" s="54">
        <f t="shared" si="96"/>
        <v>0</v>
      </c>
      <c r="AK203" s="54">
        <f t="shared" ref="AK203" si="101">IF($E104+365&lt;$C$56,0,IF($E104&lt;$C$56,(($E104+365-$C$56)/365)*(($C104/$BN$157)+($D104/$BN$158)),IF($E104&gt;AK$166,0,IF($E104+365&lt;AK$166,($C104/$BN$157)+($D104/$BN$158),((AK$166-$E104)/365)*(($C104/$BN$157)+($D104/$BN$158))))))</f>
        <v>0</v>
      </c>
      <c r="AL203" s="24">
        <f t="shared" si="52"/>
        <v>0</v>
      </c>
      <c r="AM203" s="24">
        <f t="shared" si="53"/>
        <v>0</v>
      </c>
      <c r="AN203" s="55">
        <f t="shared" si="54"/>
        <v>0</v>
      </c>
      <c r="AO203" s="55">
        <f t="shared" si="55"/>
        <v>0</v>
      </c>
      <c r="AP203" s="24"/>
      <c r="AQ203" s="24"/>
      <c r="AR203" s="24"/>
      <c r="AS203" s="24"/>
      <c r="AT203" s="24"/>
      <c r="AU203" s="24"/>
      <c r="AV203" s="24"/>
      <c r="AW203" s="24"/>
      <c r="AX203" s="24"/>
      <c r="AY203" s="24"/>
    </row>
    <row r="204" spans="7:51">
      <c r="G204" s="12">
        <f t="shared" si="42"/>
        <v>0</v>
      </c>
      <c r="H204" s="12">
        <f t="shared" si="81"/>
        <v>0</v>
      </c>
      <c r="I204" s="12">
        <f t="shared" si="81"/>
        <v>0</v>
      </c>
      <c r="J204" s="12">
        <f t="shared" si="81"/>
        <v>0</v>
      </c>
      <c r="K204" s="12">
        <f t="shared" si="44"/>
        <v>0</v>
      </c>
      <c r="L204" s="12">
        <f t="shared" si="82"/>
        <v>0</v>
      </c>
      <c r="M204" s="12">
        <f t="shared" si="82"/>
        <v>0</v>
      </c>
      <c r="N204" s="12">
        <f t="shared" si="82"/>
        <v>0</v>
      </c>
      <c r="O204" s="12">
        <f t="shared" si="46"/>
        <v>0</v>
      </c>
      <c r="P204" s="12">
        <f t="shared" si="83"/>
        <v>0</v>
      </c>
      <c r="Q204" s="12">
        <f t="shared" si="83"/>
        <v>0</v>
      </c>
      <c r="T204" s="61"/>
      <c r="U204" s="61"/>
      <c r="V204" s="61"/>
      <c r="W204" s="53">
        <f t="shared" si="48"/>
        <v>0</v>
      </c>
      <c r="X204" s="54" t="e">
        <f t="shared" si="49"/>
        <v>#DIV/0!</v>
      </c>
      <c r="Y204" s="25">
        <f t="shared" si="56"/>
        <v>0</v>
      </c>
      <c r="Z204" s="54">
        <f t="shared" si="61"/>
        <v>0</v>
      </c>
      <c r="AA204" s="54">
        <f t="shared" si="96"/>
        <v>0</v>
      </c>
      <c r="AB204" s="54">
        <f t="shared" si="96"/>
        <v>0</v>
      </c>
      <c r="AC204" s="54">
        <f t="shared" si="96"/>
        <v>0</v>
      </c>
      <c r="AD204" s="54">
        <f t="shared" si="96"/>
        <v>0</v>
      </c>
      <c r="AE204" s="54">
        <f t="shared" si="96"/>
        <v>0</v>
      </c>
      <c r="AF204" s="54">
        <f t="shared" si="96"/>
        <v>0</v>
      </c>
      <c r="AG204" s="54">
        <f t="shared" si="96"/>
        <v>0</v>
      </c>
      <c r="AH204" s="54">
        <f t="shared" si="96"/>
        <v>0</v>
      </c>
      <c r="AI204" s="54">
        <f t="shared" si="96"/>
        <v>0</v>
      </c>
      <c r="AJ204" s="54">
        <f t="shared" si="96"/>
        <v>0</v>
      </c>
      <c r="AK204" s="54">
        <f t="shared" ref="AK204" si="102">IF($E105+365&lt;$C$56,0,IF($E105&lt;$C$56,(($E105+365-$C$56)/365)*(($C105/$BN$157)+($D105/$BN$158)),IF($E105&gt;AK$166,0,IF($E105+365&lt;AK$166,($C105/$BN$157)+($D105/$BN$158),((AK$166-$E105)/365)*(($C105/$BN$157)+($D105/$BN$158))))))</f>
        <v>0</v>
      </c>
      <c r="AL204" s="24">
        <f t="shared" si="52"/>
        <v>0</v>
      </c>
      <c r="AM204" s="24">
        <f t="shared" si="53"/>
        <v>0</v>
      </c>
      <c r="AN204" s="55">
        <f t="shared" si="54"/>
        <v>0</v>
      </c>
      <c r="AO204" s="55">
        <f t="shared" si="55"/>
        <v>0</v>
      </c>
      <c r="AP204" s="24"/>
      <c r="AQ204" s="24"/>
      <c r="AR204" s="24"/>
      <c r="AS204" s="24"/>
      <c r="AT204" s="24"/>
      <c r="AU204" s="24"/>
      <c r="AV204" s="24"/>
      <c r="AW204" s="24"/>
      <c r="AX204" s="24"/>
      <c r="AY204" s="24"/>
    </row>
    <row r="205" spans="7:51">
      <c r="G205" s="12">
        <f t="shared" si="42"/>
        <v>0</v>
      </c>
      <c r="H205" s="12">
        <f t="shared" si="81"/>
        <v>0</v>
      </c>
      <c r="I205" s="12">
        <f t="shared" si="81"/>
        <v>0</v>
      </c>
      <c r="J205" s="12">
        <f t="shared" si="81"/>
        <v>0</v>
      </c>
      <c r="K205" s="12">
        <f t="shared" si="44"/>
        <v>0</v>
      </c>
      <c r="L205" s="12">
        <f t="shared" si="82"/>
        <v>0</v>
      </c>
      <c r="M205" s="12">
        <f t="shared" si="82"/>
        <v>0</v>
      </c>
      <c r="N205" s="12">
        <f t="shared" si="82"/>
        <v>0</v>
      </c>
      <c r="O205" s="12">
        <f t="shared" si="46"/>
        <v>0</v>
      </c>
      <c r="P205" s="12">
        <f t="shared" si="83"/>
        <v>0</v>
      </c>
      <c r="Q205" s="12">
        <f t="shared" si="83"/>
        <v>0</v>
      </c>
      <c r="T205" s="61"/>
      <c r="U205" s="61"/>
      <c r="V205" s="61"/>
      <c r="W205" s="53">
        <f t="shared" si="48"/>
        <v>0</v>
      </c>
      <c r="X205" s="54" t="e">
        <f t="shared" si="49"/>
        <v>#DIV/0!</v>
      </c>
      <c r="Y205" s="25">
        <f t="shared" si="56"/>
        <v>0</v>
      </c>
      <c r="Z205" s="54">
        <f t="shared" si="61"/>
        <v>0</v>
      </c>
      <c r="AA205" s="54">
        <f t="shared" si="96"/>
        <v>0</v>
      </c>
      <c r="AB205" s="54">
        <f t="shared" si="96"/>
        <v>0</v>
      </c>
      <c r="AC205" s="54">
        <f t="shared" si="96"/>
        <v>0</v>
      </c>
      <c r="AD205" s="54">
        <f t="shared" si="96"/>
        <v>0</v>
      </c>
      <c r="AE205" s="54">
        <f t="shared" si="96"/>
        <v>0</v>
      </c>
      <c r="AF205" s="54">
        <f t="shared" si="96"/>
        <v>0</v>
      </c>
      <c r="AG205" s="54">
        <f t="shared" si="96"/>
        <v>0</v>
      </c>
      <c r="AH205" s="54">
        <f t="shared" si="96"/>
        <v>0</v>
      </c>
      <c r="AI205" s="54">
        <f t="shared" si="96"/>
        <v>0</v>
      </c>
      <c r="AJ205" s="54">
        <f t="shared" si="96"/>
        <v>0</v>
      </c>
      <c r="AK205" s="54">
        <f t="shared" ref="AK205" si="103">IF($E106+365&lt;$C$56,0,IF($E106&lt;$C$56,(($E106+365-$C$56)/365)*(($C106/$BN$157)+($D106/$BN$158)),IF($E106&gt;AK$166,0,IF($E106+365&lt;AK$166,($C106/$BN$157)+($D106/$BN$158),((AK$166-$E106)/365)*(($C106/$BN$157)+($D106/$BN$158))))))</f>
        <v>0</v>
      </c>
      <c r="AL205" s="24">
        <f t="shared" si="52"/>
        <v>0</v>
      </c>
      <c r="AM205" s="24">
        <f t="shared" si="53"/>
        <v>0</v>
      </c>
      <c r="AN205" s="55">
        <f t="shared" si="54"/>
        <v>0</v>
      </c>
      <c r="AO205" s="55">
        <f t="shared" si="55"/>
        <v>0</v>
      </c>
      <c r="AP205" s="24"/>
      <c r="AQ205" s="24"/>
      <c r="AR205" s="24"/>
      <c r="AS205" s="24"/>
      <c r="AT205" s="24"/>
      <c r="AU205" s="24"/>
      <c r="AV205" s="24"/>
      <c r="AW205" s="24"/>
      <c r="AX205" s="24"/>
      <c r="AY205" s="24"/>
    </row>
    <row r="206" spans="7:51">
      <c r="G206" s="12">
        <f t="shared" si="42"/>
        <v>0</v>
      </c>
      <c r="H206" s="12">
        <f t="shared" si="81"/>
        <v>0</v>
      </c>
      <c r="I206" s="12">
        <f t="shared" si="81"/>
        <v>0</v>
      </c>
      <c r="J206" s="12">
        <f t="shared" si="81"/>
        <v>0</v>
      </c>
      <c r="K206" s="12">
        <f t="shared" si="44"/>
        <v>0</v>
      </c>
      <c r="L206" s="12">
        <f t="shared" si="82"/>
        <v>0</v>
      </c>
      <c r="M206" s="12">
        <f t="shared" si="82"/>
        <v>0</v>
      </c>
      <c r="N206" s="12">
        <f t="shared" si="82"/>
        <v>0</v>
      </c>
      <c r="O206" s="12">
        <f t="shared" si="46"/>
        <v>0</v>
      </c>
      <c r="P206" s="12">
        <f t="shared" si="83"/>
        <v>0</v>
      </c>
      <c r="Q206" s="12">
        <f t="shared" si="83"/>
        <v>0</v>
      </c>
      <c r="T206" s="61"/>
      <c r="U206" s="61"/>
      <c r="V206" s="61"/>
      <c r="W206" s="53">
        <f t="shared" si="48"/>
        <v>0</v>
      </c>
      <c r="X206" s="54" t="e">
        <f t="shared" si="49"/>
        <v>#DIV/0!</v>
      </c>
      <c r="Y206" s="25">
        <f t="shared" si="56"/>
        <v>0</v>
      </c>
      <c r="Z206" s="54">
        <f t="shared" si="61"/>
        <v>0</v>
      </c>
      <c r="AA206" s="54">
        <f t="shared" si="96"/>
        <v>0</v>
      </c>
      <c r="AB206" s="54">
        <f t="shared" si="96"/>
        <v>0</v>
      </c>
      <c r="AC206" s="54">
        <f t="shared" si="96"/>
        <v>0</v>
      </c>
      <c r="AD206" s="54">
        <f t="shared" si="96"/>
        <v>0</v>
      </c>
      <c r="AE206" s="54">
        <f t="shared" si="96"/>
        <v>0</v>
      </c>
      <c r="AF206" s="54">
        <f t="shared" si="96"/>
        <v>0</v>
      </c>
      <c r="AG206" s="54">
        <f t="shared" si="96"/>
        <v>0</v>
      </c>
      <c r="AH206" s="54">
        <f t="shared" si="96"/>
        <v>0</v>
      </c>
      <c r="AI206" s="54">
        <f t="shared" si="96"/>
        <v>0</v>
      </c>
      <c r="AJ206" s="54">
        <f t="shared" si="96"/>
        <v>0</v>
      </c>
      <c r="AK206" s="54">
        <f t="shared" ref="AK206" si="104">IF($E107+365&lt;$C$56,0,IF($E107&lt;$C$56,(($E107+365-$C$56)/365)*(($C107/$BN$157)+($D107/$BN$158)),IF($E107&gt;AK$166,0,IF($E107+365&lt;AK$166,($C107/$BN$157)+($D107/$BN$158),((AK$166-$E107)/365)*(($C107/$BN$157)+($D107/$BN$158))))))</f>
        <v>0</v>
      </c>
      <c r="AL206" s="24">
        <f t="shared" si="52"/>
        <v>0</v>
      </c>
      <c r="AM206" s="24">
        <f t="shared" si="53"/>
        <v>0</v>
      </c>
      <c r="AN206" s="55">
        <f t="shared" si="54"/>
        <v>0</v>
      </c>
      <c r="AO206" s="55">
        <f t="shared" si="55"/>
        <v>0</v>
      </c>
      <c r="AP206" s="24"/>
      <c r="AQ206" s="24"/>
      <c r="AR206" s="24"/>
      <c r="AS206" s="24"/>
      <c r="AT206" s="24"/>
      <c r="AU206" s="24"/>
      <c r="AV206" s="24"/>
      <c r="AW206" s="24"/>
      <c r="AX206" s="24"/>
      <c r="AY206" s="24"/>
    </row>
    <row r="207" spans="7:51">
      <c r="G207" s="12">
        <f t="shared" si="42"/>
        <v>0</v>
      </c>
      <c r="H207" s="12">
        <f t="shared" ref="H207:J209" si="105">IF($E109&gt;H$66,0,IF($E109&lt;H$66-365,$C109,0))</f>
        <v>0</v>
      </c>
      <c r="I207" s="12">
        <f t="shared" si="105"/>
        <v>0</v>
      </c>
      <c r="J207" s="12">
        <f t="shared" si="105"/>
        <v>0</v>
      </c>
      <c r="K207" s="12">
        <f t="shared" si="44"/>
        <v>0</v>
      </c>
      <c r="L207" s="12">
        <f t="shared" ref="L207:N209" si="106">IF($E109&gt;L$66,0,IF($E109&lt;L$66-365,$C109,0))</f>
        <v>0</v>
      </c>
      <c r="M207" s="12">
        <f t="shared" si="106"/>
        <v>0</v>
      </c>
      <c r="N207" s="12">
        <f t="shared" si="106"/>
        <v>0</v>
      </c>
      <c r="O207" s="12">
        <f t="shared" si="46"/>
        <v>0</v>
      </c>
      <c r="P207" s="12">
        <f t="shared" ref="P207:Q209" si="107">IF($E109&gt;P$66,0,IF($E109&lt;P$66-365,$C109,0))</f>
        <v>0</v>
      </c>
      <c r="Q207" s="12">
        <f t="shared" si="107"/>
        <v>0</v>
      </c>
      <c r="T207" s="61"/>
      <c r="U207" s="61"/>
      <c r="V207" s="61"/>
      <c r="W207" s="53">
        <f t="shared" si="48"/>
        <v>0</v>
      </c>
      <c r="X207" s="54" t="e">
        <f t="shared" si="49"/>
        <v>#DIV/0!</v>
      </c>
      <c r="Y207" s="25">
        <f t="shared" si="56"/>
        <v>0</v>
      </c>
      <c r="Z207" s="54">
        <f t="shared" si="61"/>
        <v>0</v>
      </c>
      <c r="AA207" s="54">
        <f t="shared" si="96"/>
        <v>0</v>
      </c>
      <c r="AB207" s="54">
        <f t="shared" si="96"/>
        <v>0</v>
      </c>
      <c r="AC207" s="54">
        <f t="shared" si="96"/>
        <v>0</v>
      </c>
      <c r="AD207" s="54">
        <f t="shared" si="96"/>
        <v>0</v>
      </c>
      <c r="AE207" s="54">
        <f t="shared" si="96"/>
        <v>0</v>
      </c>
      <c r="AF207" s="54">
        <f t="shared" si="96"/>
        <v>0</v>
      </c>
      <c r="AG207" s="54">
        <f t="shared" si="96"/>
        <v>0</v>
      </c>
      <c r="AH207" s="54">
        <f t="shared" si="96"/>
        <v>0</v>
      </c>
      <c r="AI207" s="54">
        <f t="shared" si="96"/>
        <v>0</v>
      </c>
      <c r="AJ207" s="54">
        <f t="shared" si="96"/>
        <v>0</v>
      </c>
      <c r="AK207" s="54">
        <f t="shared" ref="AK207" si="108">IF($E108+365&lt;$C$56,0,IF($E108&lt;$C$56,(($E108+365-$C$56)/365)*(($C108/$BN$157)+($D108/$BN$158)),IF($E108&gt;AK$166,0,IF($E108+365&lt;AK$166,($C108/$BN$157)+($D108/$BN$158),((AK$166-$E108)/365)*(($C108/$BN$157)+($D108/$BN$158))))))</f>
        <v>0</v>
      </c>
      <c r="AL207" s="24">
        <f t="shared" si="52"/>
        <v>0</v>
      </c>
      <c r="AM207" s="24">
        <f t="shared" si="53"/>
        <v>0</v>
      </c>
      <c r="AN207" s="55">
        <f t="shared" si="54"/>
        <v>0</v>
      </c>
      <c r="AO207" s="55">
        <f t="shared" si="55"/>
        <v>0</v>
      </c>
      <c r="AP207" s="24"/>
      <c r="AQ207" s="24"/>
      <c r="AR207" s="24"/>
      <c r="AS207" s="24"/>
      <c r="AT207" s="24"/>
      <c r="AU207" s="24"/>
      <c r="AV207" s="24"/>
      <c r="AW207" s="24"/>
      <c r="AX207" s="24"/>
      <c r="AY207" s="24"/>
    </row>
    <row r="208" spans="7:51">
      <c r="G208" s="12">
        <f t="shared" si="42"/>
        <v>0</v>
      </c>
      <c r="H208" s="12">
        <f t="shared" si="105"/>
        <v>0</v>
      </c>
      <c r="I208" s="12">
        <f t="shared" si="105"/>
        <v>0</v>
      </c>
      <c r="J208" s="12">
        <f t="shared" si="105"/>
        <v>0</v>
      </c>
      <c r="K208" s="12">
        <f t="shared" si="44"/>
        <v>0</v>
      </c>
      <c r="L208" s="12">
        <f t="shared" si="106"/>
        <v>0</v>
      </c>
      <c r="M208" s="12">
        <f t="shared" si="106"/>
        <v>0</v>
      </c>
      <c r="N208" s="12">
        <f t="shared" si="106"/>
        <v>0</v>
      </c>
      <c r="O208" s="12">
        <f t="shared" si="46"/>
        <v>0</v>
      </c>
      <c r="P208" s="12">
        <f t="shared" si="107"/>
        <v>0</v>
      </c>
      <c r="Q208" s="12">
        <f t="shared" si="107"/>
        <v>0</v>
      </c>
      <c r="T208" s="61"/>
      <c r="U208" s="61"/>
      <c r="V208" s="61"/>
      <c r="W208" s="53">
        <f t="shared" si="48"/>
        <v>0</v>
      </c>
      <c r="X208" s="54" t="e">
        <f t="shared" si="49"/>
        <v>#DIV/0!</v>
      </c>
      <c r="Y208" s="25">
        <f t="shared" si="56"/>
        <v>0</v>
      </c>
      <c r="Z208" s="54">
        <f t="shared" si="61"/>
        <v>0</v>
      </c>
      <c r="AA208" s="54">
        <f t="shared" si="96"/>
        <v>0</v>
      </c>
      <c r="AB208" s="54">
        <f t="shared" si="96"/>
        <v>0</v>
      </c>
      <c r="AC208" s="54">
        <f t="shared" si="96"/>
        <v>0</v>
      </c>
      <c r="AD208" s="54">
        <f t="shared" si="96"/>
        <v>0</v>
      </c>
      <c r="AE208" s="54">
        <f t="shared" si="96"/>
        <v>0</v>
      </c>
      <c r="AF208" s="54">
        <f t="shared" si="96"/>
        <v>0</v>
      </c>
      <c r="AG208" s="54">
        <f t="shared" si="96"/>
        <v>0</v>
      </c>
      <c r="AH208" s="54">
        <f t="shared" si="96"/>
        <v>0</v>
      </c>
      <c r="AI208" s="54">
        <f t="shared" si="96"/>
        <v>0</v>
      </c>
      <c r="AJ208" s="54">
        <f t="shared" si="96"/>
        <v>0</v>
      </c>
      <c r="AK208" s="54">
        <f t="shared" ref="AK208" si="109">IF($E109+365&lt;$C$56,0,IF($E109&lt;$C$56,(($E109+365-$C$56)/365)*(($C109/$BN$157)+($D109/$BN$158)),IF($E109&gt;AK$166,0,IF($E109+365&lt;AK$166,($C109/$BN$157)+($D109/$BN$158),((AK$166-$E109)/365)*(($C109/$BN$157)+($D109/$BN$158))))))</f>
        <v>0</v>
      </c>
      <c r="AL208" s="24">
        <f t="shared" si="52"/>
        <v>0</v>
      </c>
      <c r="AM208" s="24">
        <f t="shared" si="53"/>
        <v>0</v>
      </c>
      <c r="AN208" s="55">
        <f t="shared" si="54"/>
        <v>0</v>
      </c>
      <c r="AO208" s="55">
        <f t="shared" si="55"/>
        <v>0</v>
      </c>
      <c r="AP208" s="24"/>
      <c r="AQ208" s="24"/>
      <c r="AR208" s="24"/>
      <c r="AS208" s="24"/>
      <c r="AT208" s="24"/>
      <c r="AU208" s="24"/>
      <c r="AV208" s="24"/>
      <c r="AW208" s="24"/>
      <c r="AX208" s="24"/>
      <c r="AY208" s="24"/>
    </row>
    <row r="209" spans="6:51">
      <c r="G209" s="12">
        <f t="shared" si="42"/>
        <v>0</v>
      </c>
      <c r="H209" s="12">
        <f t="shared" si="105"/>
        <v>0</v>
      </c>
      <c r="I209" s="12">
        <f t="shared" si="105"/>
        <v>0</v>
      </c>
      <c r="J209" s="12">
        <f t="shared" si="105"/>
        <v>0</v>
      </c>
      <c r="K209" s="12">
        <f t="shared" si="44"/>
        <v>0</v>
      </c>
      <c r="L209" s="12">
        <f t="shared" si="106"/>
        <v>0</v>
      </c>
      <c r="M209" s="12">
        <f t="shared" si="106"/>
        <v>0</v>
      </c>
      <c r="N209" s="12">
        <f t="shared" si="106"/>
        <v>0</v>
      </c>
      <c r="O209" s="12">
        <f t="shared" si="46"/>
        <v>0</v>
      </c>
      <c r="P209" s="12">
        <f t="shared" si="107"/>
        <v>0</v>
      </c>
      <c r="Q209" s="12">
        <f t="shared" si="107"/>
        <v>0</v>
      </c>
      <c r="T209" s="61"/>
      <c r="U209" s="61"/>
      <c r="V209" s="61"/>
      <c r="W209" s="53">
        <f t="shared" si="48"/>
        <v>0</v>
      </c>
      <c r="X209" s="54" t="e">
        <f t="shared" si="49"/>
        <v>#DIV/0!</v>
      </c>
      <c r="Y209" s="25">
        <f t="shared" si="56"/>
        <v>0</v>
      </c>
      <c r="Z209" s="54">
        <f t="shared" si="61"/>
        <v>0</v>
      </c>
      <c r="AA209" s="54">
        <f t="shared" si="96"/>
        <v>0</v>
      </c>
      <c r="AB209" s="54">
        <f t="shared" si="96"/>
        <v>0</v>
      </c>
      <c r="AC209" s="54">
        <f t="shared" si="96"/>
        <v>0</v>
      </c>
      <c r="AD209" s="54">
        <f t="shared" si="96"/>
        <v>0</v>
      </c>
      <c r="AE209" s="54">
        <f t="shared" si="96"/>
        <v>0</v>
      </c>
      <c r="AF209" s="54">
        <f t="shared" si="96"/>
        <v>0</v>
      </c>
      <c r="AG209" s="54">
        <f t="shared" si="96"/>
        <v>0</v>
      </c>
      <c r="AH209" s="54">
        <f t="shared" si="96"/>
        <v>0</v>
      </c>
      <c r="AI209" s="54">
        <f t="shared" si="96"/>
        <v>0</v>
      </c>
      <c r="AJ209" s="54">
        <f t="shared" si="96"/>
        <v>0</v>
      </c>
      <c r="AK209" s="54">
        <f t="shared" ref="AK209" si="110">IF($E110+365&lt;$C$56,0,IF($E110&lt;$C$56,(($E110+365-$C$56)/365)*(($C110/$BN$157)+($D110/$BN$158)),IF($E110&gt;AK$166,0,IF($E110+365&lt;AK$166,($C110/$BN$157)+($D110/$BN$158),((AK$166-$E110)/365)*(($C110/$BN$157)+($D110/$BN$158))))))</f>
        <v>0</v>
      </c>
      <c r="AL209" s="24">
        <f t="shared" si="52"/>
        <v>0</v>
      </c>
      <c r="AM209" s="24">
        <f t="shared" si="53"/>
        <v>0</v>
      </c>
      <c r="AN209" s="55">
        <f t="shared" si="54"/>
        <v>0</v>
      </c>
      <c r="AO209" s="55">
        <f t="shared" si="55"/>
        <v>0</v>
      </c>
      <c r="AP209" s="24"/>
      <c r="AQ209" s="24"/>
      <c r="AR209" s="24"/>
      <c r="AS209" s="24"/>
      <c r="AT209" s="24"/>
      <c r="AU209" s="24"/>
      <c r="AV209" s="24"/>
      <c r="AW209" s="24"/>
      <c r="AX209" s="24"/>
      <c r="AY209" s="24"/>
    </row>
    <row r="210" spans="6:51">
      <c r="T210" s="61"/>
      <c r="U210" s="61"/>
      <c r="V210" s="61"/>
      <c r="W210" s="53">
        <f t="shared" si="48"/>
        <v>0</v>
      </c>
      <c r="X210" s="54" t="e">
        <f t="shared" si="49"/>
        <v>#DIV/0!</v>
      </c>
      <c r="Y210" s="25">
        <f t="shared" si="56"/>
        <v>0</v>
      </c>
      <c r="Z210" s="54">
        <f t="shared" si="61"/>
        <v>0</v>
      </c>
      <c r="AA210" s="54">
        <f t="shared" si="96"/>
        <v>0</v>
      </c>
      <c r="AB210" s="54">
        <f t="shared" si="96"/>
        <v>0</v>
      </c>
      <c r="AC210" s="54">
        <f t="shared" si="96"/>
        <v>0</v>
      </c>
      <c r="AD210" s="54">
        <f t="shared" si="96"/>
        <v>0</v>
      </c>
      <c r="AE210" s="54">
        <f t="shared" si="96"/>
        <v>0</v>
      </c>
      <c r="AF210" s="54">
        <f t="shared" si="96"/>
        <v>0</v>
      </c>
      <c r="AG210" s="54">
        <f t="shared" si="96"/>
        <v>0</v>
      </c>
      <c r="AH210" s="54">
        <f t="shared" si="96"/>
        <v>0</v>
      </c>
      <c r="AI210" s="54">
        <f t="shared" si="96"/>
        <v>0</v>
      </c>
      <c r="AJ210" s="54">
        <f t="shared" si="96"/>
        <v>0</v>
      </c>
      <c r="AK210" s="54">
        <f t="shared" ref="AK210" si="111">IF($E111+365&lt;$C$56,0,IF($E111&lt;$C$56,(($E111+365-$C$56)/365)*(($C111/$BN$157)+($D111/$BN$158)),IF($E111&gt;AK$166,0,IF($E111+365&lt;AK$166,($C111/$BN$157)+($D111/$BN$158),((AK$166-$E111)/365)*(($C111/$BN$157)+($D111/$BN$158))))))</f>
        <v>0</v>
      </c>
      <c r="AL210" s="24">
        <f t="shared" si="52"/>
        <v>0</v>
      </c>
      <c r="AM210" s="24">
        <f t="shared" si="53"/>
        <v>0</v>
      </c>
      <c r="AN210" s="55">
        <f t="shared" si="54"/>
        <v>0</v>
      </c>
      <c r="AO210" s="55">
        <f t="shared" si="55"/>
        <v>0</v>
      </c>
      <c r="AP210" s="24"/>
      <c r="AQ210" s="24"/>
      <c r="AR210" s="24"/>
      <c r="AS210" s="24"/>
      <c r="AT210" s="24"/>
      <c r="AU210" s="24"/>
      <c r="AV210" s="24"/>
      <c r="AW210" s="24"/>
      <c r="AX210" s="24"/>
      <c r="AY210" s="24"/>
    </row>
    <row r="211" spans="6:51">
      <c r="T211" s="61"/>
      <c r="U211" s="61"/>
      <c r="V211" s="61"/>
      <c r="W211" s="53">
        <f t="shared" si="48"/>
        <v>0</v>
      </c>
      <c r="X211" s="54" t="e">
        <f t="shared" si="49"/>
        <v>#DIV/0!</v>
      </c>
      <c r="Y211" s="25">
        <f t="shared" si="56"/>
        <v>0</v>
      </c>
      <c r="Z211" s="54">
        <f t="shared" si="61"/>
        <v>0</v>
      </c>
      <c r="AA211" s="54">
        <f t="shared" si="96"/>
        <v>0</v>
      </c>
      <c r="AB211" s="54">
        <f t="shared" si="96"/>
        <v>0</v>
      </c>
      <c r="AC211" s="54">
        <f t="shared" si="96"/>
        <v>0</v>
      </c>
      <c r="AD211" s="54">
        <f t="shared" si="96"/>
        <v>0</v>
      </c>
      <c r="AE211" s="54">
        <f t="shared" si="96"/>
        <v>0</v>
      </c>
      <c r="AF211" s="54">
        <f t="shared" si="96"/>
        <v>0</v>
      </c>
      <c r="AG211" s="54">
        <f t="shared" si="96"/>
        <v>0</v>
      </c>
      <c r="AH211" s="54">
        <f t="shared" si="96"/>
        <v>0</v>
      </c>
      <c r="AI211" s="54">
        <f t="shared" si="96"/>
        <v>0</v>
      </c>
      <c r="AJ211" s="54">
        <f t="shared" si="96"/>
        <v>0</v>
      </c>
      <c r="AK211" s="54">
        <f t="shared" ref="AK211" si="112">IF($E112+365&lt;$C$56,0,IF($E112&lt;$C$56,(($E112+365-$C$56)/365)*(($C112/$BN$157)+($D112/$BN$158)),IF($E112&gt;AK$166,0,IF($E112+365&lt;AK$166,($C112/$BN$157)+($D112/$BN$158),((AK$166-$E112)/365)*(($C112/$BN$157)+($D112/$BN$158))))))</f>
        <v>0</v>
      </c>
      <c r="AL211" s="24">
        <f t="shared" si="52"/>
        <v>0</v>
      </c>
      <c r="AM211" s="24">
        <f t="shared" si="53"/>
        <v>0</v>
      </c>
      <c r="AN211" s="55">
        <f t="shared" si="54"/>
        <v>0</v>
      </c>
      <c r="AO211" s="55">
        <f t="shared" si="55"/>
        <v>0</v>
      </c>
      <c r="AP211" s="25"/>
      <c r="AQ211" s="24"/>
      <c r="AR211" s="24"/>
      <c r="AS211" s="24"/>
      <c r="AT211" s="24"/>
      <c r="AU211" s="24"/>
      <c r="AV211" s="24"/>
      <c r="AW211" s="24"/>
      <c r="AX211" s="24"/>
      <c r="AY211" s="24"/>
    </row>
    <row r="212" spans="6:51">
      <c r="T212" s="61"/>
      <c r="U212" s="61"/>
      <c r="V212" s="61"/>
      <c r="W212" s="53"/>
      <c r="X212" s="54"/>
      <c r="Y212" s="25">
        <f t="shared" si="56"/>
        <v>0</v>
      </c>
      <c r="Z212" s="54">
        <f t="shared" si="61"/>
        <v>0</v>
      </c>
      <c r="AA212" s="54">
        <f t="shared" si="96"/>
        <v>0</v>
      </c>
      <c r="AB212" s="54">
        <f t="shared" si="96"/>
        <v>0</v>
      </c>
      <c r="AC212" s="54">
        <f t="shared" si="96"/>
        <v>0</v>
      </c>
      <c r="AD212" s="54">
        <f t="shared" si="96"/>
        <v>0</v>
      </c>
      <c r="AE212" s="54">
        <f t="shared" si="96"/>
        <v>0</v>
      </c>
      <c r="AF212" s="54">
        <f t="shared" si="96"/>
        <v>0</v>
      </c>
      <c r="AG212" s="54">
        <f t="shared" si="96"/>
        <v>0</v>
      </c>
      <c r="AH212" s="54">
        <f t="shared" si="96"/>
        <v>0</v>
      </c>
      <c r="AI212" s="54">
        <f t="shared" si="96"/>
        <v>0</v>
      </c>
      <c r="AJ212" s="54">
        <f t="shared" si="96"/>
        <v>0</v>
      </c>
      <c r="AK212" s="54">
        <f t="shared" ref="AK212" si="113">IF($E113+365&lt;$C$56,0,IF($E113&lt;$C$56,(($E113+365-$C$56)/365)*(($C113/$BN$157)+($D113/$BN$158)),IF($E113&gt;AK$166,0,IF($E113+365&lt;AK$166,($C113/$BN$157)+($D113/$BN$158),((AK$166-$E113)/365)*(($C113/$BN$157)+($D113/$BN$158))))))</f>
        <v>0</v>
      </c>
      <c r="AL212" s="24">
        <f t="shared" si="52"/>
        <v>0</v>
      </c>
      <c r="AM212" s="24">
        <f t="shared" si="53"/>
        <v>0</v>
      </c>
      <c r="AN212" s="55">
        <f t="shared" si="54"/>
        <v>0</v>
      </c>
      <c r="AO212" s="55">
        <f t="shared" si="55"/>
        <v>0</v>
      </c>
      <c r="AP212" s="24"/>
      <c r="AQ212" s="24"/>
      <c r="AR212" s="24"/>
      <c r="AS212" s="24"/>
      <c r="AT212" s="24"/>
      <c r="AU212" s="24"/>
      <c r="AV212" s="24"/>
      <c r="AW212" s="24"/>
      <c r="AX212" s="24"/>
      <c r="AY212" s="24"/>
    </row>
    <row r="213" spans="6:51">
      <c r="T213" s="61"/>
      <c r="U213" s="61"/>
      <c r="V213" s="61"/>
      <c r="W213" s="53"/>
      <c r="X213" s="54"/>
      <c r="Y213" s="25">
        <f t="shared" si="56"/>
        <v>0</v>
      </c>
      <c r="Z213" s="54">
        <f t="shared" si="61"/>
        <v>0</v>
      </c>
      <c r="AA213" s="54">
        <f t="shared" si="96"/>
        <v>0</v>
      </c>
      <c r="AB213" s="54">
        <f t="shared" si="96"/>
        <v>0</v>
      </c>
      <c r="AC213" s="54">
        <f t="shared" si="96"/>
        <v>0</v>
      </c>
      <c r="AD213" s="54">
        <f t="shared" si="96"/>
        <v>0</v>
      </c>
      <c r="AE213" s="54">
        <f t="shared" si="96"/>
        <v>0</v>
      </c>
      <c r="AF213" s="54">
        <f t="shared" si="96"/>
        <v>0</v>
      </c>
      <c r="AG213" s="54">
        <f t="shared" si="96"/>
        <v>0</v>
      </c>
      <c r="AH213" s="54">
        <f t="shared" si="96"/>
        <v>0</v>
      </c>
      <c r="AI213" s="54">
        <f t="shared" si="96"/>
        <v>0</v>
      </c>
      <c r="AJ213" s="54">
        <f t="shared" si="96"/>
        <v>0</v>
      </c>
      <c r="AK213" s="54">
        <f t="shared" ref="AK213" si="114">IF($E114+365&lt;$C$56,0,IF($E114&lt;$C$56,(($E114+365-$C$56)/365)*(($C114/$BN$157)+($D114/$BN$158)),IF($E114&gt;AK$166,0,IF($E114+365&lt;AK$166,($C114/$BN$157)+($D114/$BN$158),((AK$166-$E114)/365)*(($C114/$BN$157)+($D114/$BN$158))))))</f>
        <v>0</v>
      </c>
      <c r="AL213" s="24">
        <f t="shared" si="52"/>
        <v>0</v>
      </c>
      <c r="AM213" s="24">
        <f t="shared" si="53"/>
        <v>0</v>
      </c>
      <c r="AN213" s="55">
        <f t="shared" si="54"/>
        <v>0</v>
      </c>
      <c r="AO213" s="55">
        <f t="shared" si="55"/>
        <v>0</v>
      </c>
      <c r="AP213" s="24"/>
      <c r="AQ213" s="24"/>
      <c r="AR213" s="24"/>
      <c r="AS213" s="24"/>
      <c r="AT213" s="24"/>
      <c r="AU213" s="24"/>
      <c r="AV213" s="24"/>
      <c r="AW213" s="24"/>
      <c r="AX213" s="24"/>
      <c r="AY213" s="24"/>
    </row>
    <row r="214" spans="6:51" ht="13">
      <c r="F214" s="187" t="s">
        <v>490</v>
      </c>
      <c r="G214" s="187">
        <f>SUM(G167:G213)</f>
        <v>-428.59999999999997</v>
      </c>
      <c r="H214" s="187">
        <f t="shared" ref="H214:Q214" si="115">SUM(H167:H213)</f>
        <v>-428.59999999999997</v>
      </c>
      <c r="I214" s="187">
        <f t="shared" si="115"/>
        <v>-428.59999999999997</v>
      </c>
      <c r="J214" s="187">
        <f t="shared" si="115"/>
        <v>-428.59999999999997</v>
      </c>
      <c r="K214" s="187">
        <f t="shared" si="115"/>
        <v>-428.59999999999997</v>
      </c>
      <c r="L214" s="187">
        <f t="shared" si="115"/>
        <v>-428.59999999999997</v>
      </c>
      <c r="M214" s="187">
        <f t="shared" si="115"/>
        <v>-428.59999999999997</v>
      </c>
      <c r="N214" s="187">
        <f t="shared" si="115"/>
        <v>-428.59999999999997</v>
      </c>
      <c r="O214" s="187">
        <f t="shared" si="115"/>
        <v>-428.59999999999997</v>
      </c>
      <c r="P214" s="187">
        <f t="shared" si="115"/>
        <v>-428.59999999999997</v>
      </c>
      <c r="Q214" s="187">
        <f t="shared" si="115"/>
        <v>-428.59999999999997</v>
      </c>
      <c r="T214" s="14"/>
      <c r="U214" s="14"/>
      <c r="V214" s="14"/>
      <c r="W214" s="24"/>
      <c r="X214" s="62" t="e">
        <f>SUM(X168:X213)</f>
        <v>#DIV/0!</v>
      </c>
      <c r="Y214" s="157" t="s">
        <v>84</v>
      </c>
      <c r="AA214" s="155">
        <f>VLOOKUP($A$2,Assumptions!$B$124:$G$147,6,0)*SUM(AA167:AA213)</f>
        <v>0</v>
      </c>
      <c r="AB214" s="155">
        <f>VLOOKUP($A$2,Assumptions!$B$124:$G$147,6,0)*SUM(AB167:AB213)</f>
        <v>-42.523796551104063</v>
      </c>
      <c r="AC214" s="155">
        <f>VLOOKUP($A$2,Assumptions!$B$124:$G$147,6,0)*SUM(AC167:AC213)</f>
        <v>-42.523796551104063</v>
      </c>
      <c r="AD214" s="155">
        <f>VLOOKUP($A$2,Assumptions!$B$124:$G$147,6,0)*SUM(AD167:AD213)</f>
        <v>-42.523796551104063</v>
      </c>
      <c r="AE214" s="155">
        <f>VLOOKUP($A$2,Assumptions!$B$124:$G$147,6,0)*SUM(AE167:AE213)</f>
        <v>-42.523796551104063</v>
      </c>
      <c r="AF214" s="155">
        <f>VLOOKUP($A$2,Assumptions!$B$124:$G$147,6,0)*SUM(AF167:AF213)</f>
        <v>-42.523796551104063</v>
      </c>
      <c r="AG214" s="155">
        <f>VLOOKUP($A$2,Assumptions!$B$124:$G$147,6,0)*SUM(AG167:AG213)</f>
        <v>-42.523796551104063</v>
      </c>
      <c r="AH214" s="155">
        <f>VLOOKUP($A$2,Assumptions!$B$124:$G$147,6,0)*SUM(AH167:AH213)</f>
        <v>-42.523796551104063</v>
      </c>
      <c r="AI214" s="155">
        <f>VLOOKUP($A$2,Assumptions!$B$124:$G$147,6,0)*SUM(AI167:AI213)</f>
        <v>-42.523796551104063</v>
      </c>
      <c r="AJ214" s="155">
        <f>VLOOKUP($A$2,Assumptions!$B$124:$G$147,6,0)*SUM(AJ167:AJ213)</f>
        <v>-42.523796551104063</v>
      </c>
      <c r="AK214" s="155">
        <f>VLOOKUP($A$2,Assumptions!$B$124:$G$147,6,0)*SUM(AK167:AK213)</f>
        <v>-42.523796551104063</v>
      </c>
      <c r="AL214" s="155">
        <f>VLOOKUP($A$2,Assumptions!$B$124:$G$147,6,0)*SUM(AL167:AL213)</f>
        <v>-385.73999999999995</v>
      </c>
      <c r="AM214" s="155">
        <f>VLOOKUP($A$2,Assumptions!$B$124:$G$147,6,0)*SUM(AM167:AM213)</f>
        <v>-707.22</v>
      </c>
      <c r="AN214" s="55">
        <f>SUM(AN167:AN213)</f>
        <v>1784400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91.9</v>
      </c>
      <c r="AA215" s="156">
        <f>$C$64+AA214</f>
        <v>91.9</v>
      </c>
      <c r="AB215" s="156">
        <f t="shared" ref="AB215:AE215" si="116">$C$64+AB214</f>
        <v>49.376203448895943</v>
      </c>
      <c r="AC215" s="156">
        <f t="shared" si="116"/>
        <v>49.376203448895943</v>
      </c>
      <c r="AD215" s="156">
        <f t="shared" si="116"/>
        <v>49.376203448895943</v>
      </c>
      <c r="AE215" s="156">
        <f t="shared" si="116"/>
        <v>49.376203448895943</v>
      </c>
      <c r="AF215" s="156">
        <f>$C$64+AF214</f>
        <v>49.376203448895943</v>
      </c>
      <c r="AG215" s="156">
        <f t="shared" ref="AG215:AJ215" si="117">$C$64+AG214</f>
        <v>49.376203448895943</v>
      </c>
      <c r="AH215" s="156">
        <f>$C$64+AH214</f>
        <v>49.376203448895943</v>
      </c>
      <c r="AI215" s="156">
        <f t="shared" si="117"/>
        <v>49.376203448895943</v>
      </c>
      <c r="AJ215" s="156">
        <f t="shared" si="117"/>
        <v>49.376203448895943</v>
      </c>
      <c r="AK215" s="156">
        <f t="shared" ref="AK215" si="118">$C$64+AK214</f>
        <v>49.376203448895943</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IF(Z215&lt;$BB$154,(6+(1-Z215/$BB$154)),IF(Z215&lt;$BB$155,5.5+(0.5*(($BB$155-Z215)/($BB$155-$BB$154))),(5 - 0.5*((Z215)-$BB$156)/$BH$166)))</f>
        <v>4.7820733104238258</v>
      </c>
      <c r="AA216" s="154">
        <f>IF(AA215&lt;$BB$154,(6+(1-AA215/$BB$154)),IF(AA215&lt;$BB$155,5.5+(0.5*(($BB$155-AA215)/($BB$155-$BB$154))),(5 - 0.5*((AA215)-$BB$156)/$BH$166)))</f>
        <v>4.7820733104238258</v>
      </c>
      <c r="AB216" s="154">
        <f t="shared" ref="AB216:AG216" si="119">IF(AB215&lt;$BB$154,(6+(1-AB215/$BB$154)),IF(AB215&lt;$BB$155,5.5+(0.5*(($BB$155-AB215)/($BB$155-$BB$154))),(5 - 0.5*((AB215)-$BB$156)/$BH$166)))</f>
        <v>5.8284208459153888</v>
      </c>
      <c r="AC216" s="154">
        <f t="shared" si="119"/>
        <v>5.8284208459153888</v>
      </c>
      <c r="AD216" s="154">
        <f t="shared" si="119"/>
        <v>5.8284208459153888</v>
      </c>
      <c r="AE216" s="154">
        <f t="shared" si="119"/>
        <v>5.8284208459153888</v>
      </c>
      <c r="AF216" s="154">
        <f t="shared" si="119"/>
        <v>5.8284208459153888</v>
      </c>
      <c r="AG216" s="154">
        <f t="shared" si="119"/>
        <v>5.8284208459153888</v>
      </c>
      <c r="AH216" s="154">
        <f>IF(AH215&lt;$BB$154,(6+(1-AH215/$BB$154)),IF(AH215&lt;$BB$155,5.5+(0.5*(($BB$155-AH215)/($BB$155-$BB$154))),(5 - 0.5*((AH215)-$BB$156)/$BH$166)))</f>
        <v>5.8284208459153888</v>
      </c>
      <c r="AI216" s="154">
        <f>IF(AI215&lt;$BB$154,(6+(1-AI215/$BB$154)),IF(AI215&lt;$BB$155,5.5+(0.5*(($BB$155-AI215)/($BB$155-$BB$154))),(5 - 0.5*((AI215)-$BB$156)/$BH$166)))</f>
        <v>5.8284208459153888</v>
      </c>
      <c r="AJ216" s="154">
        <f>IF(AJ215&lt;$BB$154,(6+(1-AJ215/$BB$154)),IF(AJ215&lt;$BB$155,5.5+(0.5*(($BB$155-AJ215)/($BB$155-$BB$154))),(5 - 0.5*((AJ215)-$BB$156)/$BH$166)))</f>
        <v>5.8284208459153888</v>
      </c>
      <c r="AK216" s="154">
        <f>IF(AK215&lt;$BB$154,(6+(1-AK215/$BB$154)),IF(AK215&lt;$BB$155,5.5+(0.5*(($BB$155-AK215)/($BB$155-$BB$154))),(5 - 0.5*((AK215)-$BB$156)/$BH$166)))</f>
        <v>5.8284208459153888</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20">IF($E69&lt;G$66,$D69,0)</f>
        <v>0</v>
      </c>
      <c r="H220" s="12">
        <f t="shared" ref="H220:Q220" si="121">IF($E69&gt;H$66,0,IF($E69&lt;H$66-365,$D69,0))</f>
        <v>0</v>
      </c>
      <c r="I220" s="12">
        <f t="shared" si="121"/>
        <v>0</v>
      </c>
      <c r="J220" s="12">
        <f t="shared" si="121"/>
        <v>0</v>
      </c>
      <c r="K220" s="12">
        <f t="shared" si="121"/>
        <v>0</v>
      </c>
      <c r="L220" s="12">
        <f t="shared" si="121"/>
        <v>0</v>
      </c>
      <c r="M220" s="12">
        <f t="shared" si="121"/>
        <v>0</v>
      </c>
      <c r="N220" s="12">
        <f t="shared" si="121"/>
        <v>0</v>
      </c>
      <c r="O220" s="12">
        <f t="shared" si="121"/>
        <v>0</v>
      </c>
      <c r="P220" s="12">
        <f t="shared" si="121"/>
        <v>0</v>
      </c>
      <c r="Q220" s="12">
        <f t="shared" si="121"/>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0"/>
        <v>0</v>
      </c>
      <c r="H221" s="12">
        <f t="shared" ref="H221:Q221" si="122">IF($E70&gt;H$66,0,IF($E70&lt;H$66-365,$D70,0))</f>
        <v>0</v>
      </c>
      <c r="I221" s="12">
        <f t="shared" si="122"/>
        <v>0</v>
      </c>
      <c r="J221" s="12">
        <f t="shared" si="122"/>
        <v>0</v>
      </c>
      <c r="K221" s="12">
        <f t="shared" si="122"/>
        <v>0</v>
      </c>
      <c r="L221" s="12">
        <f t="shared" si="122"/>
        <v>0</v>
      </c>
      <c r="M221" s="12">
        <f t="shared" si="122"/>
        <v>0</v>
      </c>
      <c r="N221" s="12">
        <f t="shared" si="122"/>
        <v>0</v>
      </c>
      <c r="O221" s="12">
        <f t="shared" si="122"/>
        <v>0</v>
      </c>
      <c r="P221" s="12">
        <f t="shared" si="122"/>
        <v>0</v>
      </c>
      <c r="Q221" s="12">
        <f t="shared" si="122"/>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0"/>
        <v>-134.1</v>
      </c>
      <c r="H222" s="12">
        <f t="shared" ref="H222:Q222" si="123">IF($E71&gt;H$66,0,IF($E71&lt;H$66-365,$D71,0))</f>
        <v>-134.1</v>
      </c>
      <c r="I222" s="12">
        <f t="shared" si="123"/>
        <v>-134.1</v>
      </c>
      <c r="J222" s="12">
        <f t="shared" si="123"/>
        <v>-134.1</v>
      </c>
      <c r="K222" s="12">
        <f t="shared" si="123"/>
        <v>-134.1</v>
      </c>
      <c r="L222" s="12">
        <f t="shared" si="123"/>
        <v>-134.1</v>
      </c>
      <c r="M222" s="12">
        <f t="shared" si="123"/>
        <v>-134.1</v>
      </c>
      <c r="N222" s="12">
        <f t="shared" si="123"/>
        <v>-134.1</v>
      </c>
      <c r="O222" s="12">
        <f t="shared" si="123"/>
        <v>-134.1</v>
      </c>
      <c r="P222" s="12">
        <f t="shared" si="123"/>
        <v>-134.1</v>
      </c>
      <c r="Q222" s="12">
        <f t="shared" si="123"/>
        <v>-134.1</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0"/>
        <v>-134.1</v>
      </c>
      <c r="H223" s="12">
        <f t="shared" ref="H223:Q223" si="124">IF($E72&gt;H$66,0,IF($E72&lt;H$66-365,$D72,0))</f>
        <v>-134.1</v>
      </c>
      <c r="I223" s="12">
        <f t="shared" si="124"/>
        <v>-134.1</v>
      </c>
      <c r="J223" s="12">
        <f t="shared" si="124"/>
        <v>-134.1</v>
      </c>
      <c r="K223" s="12">
        <f t="shared" si="124"/>
        <v>-134.1</v>
      </c>
      <c r="L223" s="12">
        <f t="shared" si="124"/>
        <v>-134.1</v>
      </c>
      <c r="M223" s="12">
        <f t="shared" si="124"/>
        <v>-134.1</v>
      </c>
      <c r="N223" s="12">
        <f t="shared" si="124"/>
        <v>-134.1</v>
      </c>
      <c r="O223" s="12">
        <f t="shared" si="124"/>
        <v>-134.1</v>
      </c>
      <c r="P223" s="12">
        <f t="shared" si="124"/>
        <v>-134.1</v>
      </c>
      <c r="Q223" s="12">
        <f t="shared" si="124"/>
        <v>-134.1</v>
      </c>
      <c r="T223" s="20"/>
      <c r="U223" s="20"/>
      <c r="V223" s="20"/>
    </row>
    <row r="224" spans="6:51">
      <c r="G224" s="12">
        <f t="shared" si="120"/>
        <v>-67</v>
      </c>
      <c r="H224" s="12">
        <f t="shared" ref="H224:Q224" si="125">IF($E73&gt;H$66,0,IF($E73&lt;H$66-365,$D73,0))</f>
        <v>-67</v>
      </c>
      <c r="I224" s="12">
        <f t="shared" si="125"/>
        <v>-67</v>
      </c>
      <c r="J224" s="12">
        <f t="shared" si="125"/>
        <v>-67</v>
      </c>
      <c r="K224" s="12">
        <f t="shared" si="125"/>
        <v>-67</v>
      </c>
      <c r="L224" s="12">
        <f t="shared" si="125"/>
        <v>-67</v>
      </c>
      <c r="M224" s="12">
        <f t="shared" si="125"/>
        <v>-67</v>
      </c>
      <c r="N224" s="12">
        <f t="shared" si="125"/>
        <v>-67</v>
      </c>
      <c r="O224" s="12">
        <f t="shared" si="125"/>
        <v>-67</v>
      </c>
      <c r="P224" s="12">
        <f t="shared" si="125"/>
        <v>-67</v>
      </c>
      <c r="Q224" s="12">
        <f t="shared" si="125"/>
        <v>-67</v>
      </c>
      <c r="T224" s="20"/>
      <c r="U224" s="20"/>
      <c r="V224" s="20"/>
    </row>
    <row r="225" spans="7:28">
      <c r="G225" s="12">
        <f t="shared" si="120"/>
        <v>-268.2</v>
      </c>
      <c r="H225" s="12">
        <f t="shared" ref="H225:Q225" si="126">IF($E74&gt;H$66,0,IF($E74&lt;H$66-365,$D74,0))</f>
        <v>-268.2</v>
      </c>
      <c r="I225" s="12">
        <f t="shared" si="126"/>
        <v>-268.2</v>
      </c>
      <c r="J225" s="12">
        <f t="shared" si="126"/>
        <v>-268.2</v>
      </c>
      <c r="K225" s="12">
        <f t="shared" si="126"/>
        <v>-268.2</v>
      </c>
      <c r="L225" s="12">
        <f t="shared" si="126"/>
        <v>-268.2</v>
      </c>
      <c r="M225" s="12">
        <f t="shared" si="126"/>
        <v>-268.2</v>
      </c>
      <c r="N225" s="12">
        <f t="shared" si="126"/>
        <v>-268.2</v>
      </c>
      <c r="O225" s="12">
        <f t="shared" si="126"/>
        <v>-268.2</v>
      </c>
      <c r="P225" s="12">
        <f t="shared" si="126"/>
        <v>-268.2</v>
      </c>
      <c r="Q225" s="12">
        <f t="shared" si="126"/>
        <v>-268.2</v>
      </c>
      <c r="T225" s="20"/>
      <c r="U225" s="20"/>
      <c r="V225" s="20"/>
      <c r="AA225" s="55">
        <f>SUM(AN167:AN213)</f>
        <v>1784400</v>
      </c>
      <c r="AB225" s="24">
        <f>SUM(AO167:AO213)</f>
        <v>0</v>
      </c>
    </row>
    <row r="226" spans="7:28">
      <c r="G226" s="12">
        <f t="shared" si="120"/>
        <v>0</v>
      </c>
      <c r="H226" s="12">
        <f t="shared" ref="H226:Q226" si="127">IF($E75&gt;H$66,0,IF($E75&lt;H$66-365,$D75,0))</f>
        <v>0</v>
      </c>
      <c r="I226" s="12">
        <f t="shared" si="127"/>
        <v>0</v>
      </c>
      <c r="J226" s="12">
        <f t="shared" si="127"/>
        <v>0</v>
      </c>
      <c r="K226" s="12">
        <f t="shared" si="127"/>
        <v>0</v>
      </c>
      <c r="L226" s="12">
        <f t="shared" si="127"/>
        <v>0</v>
      </c>
      <c r="M226" s="12">
        <f t="shared" si="127"/>
        <v>0</v>
      </c>
      <c r="N226" s="12">
        <f t="shared" si="127"/>
        <v>0</v>
      </c>
      <c r="O226" s="12">
        <f t="shared" si="127"/>
        <v>0</v>
      </c>
      <c r="P226" s="12">
        <f t="shared" si="127"/>
        <v>0</v>
      </c>
      <c r="Q226" s="12">
        <f t="shared" si="127"/>
        <v>0</v>
      </c>
      <c r="T226" s="20"/>
      <c r="U226" s="20"/>
      <c r="V226" s="20"/>
      <c r="AA226" s="24">
        <f>AA225*1.35</f>
        <v>2408940</v>
      </c>
      <c r="AB226" s="24">
        <f>AB225*1.35</f>
        <v>0</v>
      </c>
    </row>
    <row r="227" spans="7:28">
      <c r="G227" s="12">
        <f t="shared" si="120"/>
        <v>0</v>
      </c>
      <c r="H227" s="12">
        <f t="shared" ref="H227:Q227" si="128">IF($E76&gt;H$66,0,IF($E76&lt;H$66-365,$D76,0))</f>
        <v>0</v>
      </c>
      <c r="I227" s="12">
        <f t="shared" si="128"/>
        <v>0</v>
      </c>
      <c r="J227" s="12">
        <f t="shared" si="128"/>
        <v>0</v>
      </c>
      <c r="K227" s="12">
        <f t="shared" si="128"/>
        <v>0</v>
      </c>
      <c r="L227" s="12">
        <f t="shared" si="128"/>
        <v>0</v>
      </c>
      <c r="M227" s="12">
        <f t="shared" si="128"/>
        <v>0</v>
      </c>
      <c r="N227" s="12">
        <f t="shared" si="128"/>
        <v>0</v>
      </c>
      <c r="O227" s="12">
        <f t="shared" si="128"/>
        <v>0</v>
      </c>
      <c r="P227" s="12">
        <f t="shared" si="128"/>
        <v>0</v>
      </c>
      <c r="Q227" s="12">
        <f t="shared" si="128"/>
        <v>0</v>
      </c>
    </row>
    <row r="228" spans="7:28">
      <c r="G228" s="12">
        <f t="shared" si="120"/>
        <v>0</v>
      </c>
      <c r="H228" s="12">
        <f t="shared" ref="H228:Q228" si="129">IF($E77&gt;H$66,0,IF($E77&lt;H$66-365,$D77,0))</f>
        <v>0</v>
      </c>
      <c r="I228" s="12">
        <f t="shared" si="129"/>
        <v>0</v>
      </c>
      <c r="J228" s="12">
        <f t="shared" si="129"/>
        <v>0</v>
      </c>
      <c r="K228" s="12">
        <f t="shared" si="129"/>
        <v>0</v>
      </c>
      <c r="L228" s="12">
        <f t="shared" si="129"/>
        <v>0</v>
      </c>
      <c r="M228" s="12">
        <f t="shared" si="129"/>
        <v>0</v>
      </c>
      <c r="N228" s="12">
        <f t="shared" si="129"/>
        <v>0</v>
      </c>
      <c r="O228" s="12">
        <f t="shared" si="129"/>
        <v>0</v>
      </c>
      <c r="P228" s="12">
        <f t="shared" si="129"/>
        <v>0</v>
      </c>
      <c r="Q228" s="12">
        <f t="shared" si="129"/>
        <v>0</v>
      </c>
    </row>
    <row r="229" spans="7:28">
      <c r="G229" s="12">
        <f t="shared" si="120"/>
        <v>0</v>
      </c>
      <c r="H229" s="12">
        <f t="shared" ref="H229:Q229" si="130">IF($E78&gt;H$66,0,IF($E78&lt;H$66-365,$D78,0))</f>
        <v>0</v>
      </c>
      <c r="I229" s="12">
        <f t="shared" si="130"/>
        <v>0</v>
      </c>
      <c r="J229" s="12">
        <f t="shared" si="130"/>
        <v>0</v>
      </c>
      <c r="K229" s="12">
        <f t="shared" si="130"/>
        <v>0</v>
      </c>
      <c r="L229" s="12">
        <f t="shared" si="130"/>
        <v>0</v>
      </c>
      <c r="M229" s="12">
        <f t="shared" si="130"/>
        <v>0</v>
      </c>
      <c r="N229" s="12">
        <f t="shared" si="130"/>
        <v>0</v>
      </c>
      <c r="O229" s="12">
        <f t="shared" si="130"/>
        <v>0</v>
      </c>
      <c r="P229" s="12">
        <f t="shared" si="130"/>
        <v>0</v>
      </c>
      <c r="Q229" s="12">
        <f t="shared" si="130"/>
        <v>0</v>
      </c>
    </row>
    <row r="230" spans="7:28">
      <c r="G230" s="12">
        <f t="shared" si="120"/>
        <v>-33.5</v>
      </c>
      <c r="H230" s="12">
        <f t="shared" ref="H230:Q230" si="131">IF($E79&gt;H$66,0,IF($E79&lt;H$66-365,$D79,0))</f>
        <v>-33.5</v>
      </c>
      <c r="I230" s="12">
        <f t="shared" si="131"/>
        <v>-33.5</v>
      </c>
      <c r="J230" s="12">
        <f t="shared" si="131"/>
        <v>-33.5</v>
      </c>
      <c r="K230" s="12">
        <f t="shared" si="131"/>
        <v>-33.5</v>
      </c>
      <c r="L230" s="12">
        <f t="shared" si="131"/>
        <v>-33.5</v>
      </c>
      <c r="M230" s="12">
        <f t="shared" si="131"/>
        <v>-33.5</v>
      </c>
      <c r="N230" s="12">
        <f t="shared" si="131"/>
        <v>-33.5</v>
      </c>
      <c r="O230" s="12">
        <f t="shared" si="131"/>
        <v>-33.5</v>
      </c>
      <c r="P230" s="12">
        <f t="shared" si="131"/>
        <v>-33.5</v>
      </c>
      <c r="Q230" s="12">
        <f t="shared" si="131"/>
        <v>-33.5</v>
      </c>
    </row>
    <row r="231" spans="7:28">
      <c r="G231" s="12">
        <f t="shared" si="120"/>
        <v>-148.9</v>
      </c>
      <c r="H231" s="12">
        <f t="shared" ref="H231:Q231" si="132">IF($E80&gt;H$66,0,IF($E80&lt;H$66-365,$D80,0))</f>
        <v>-148.9</v>
      </c>
      <c r="I231" s="12">
        <f t="shared" si="132"/>
        <v>-148.9</v>
      </c>
      <c r="J231" s="12">
        <f t="shared" si="132"/>
        <v>-148.9</v>
      </c>
      <c r="K231" s="12">
        <f t="shared" si="132"/>
        <v>-148.9</v>
      </c>
      <c r="L231" s="12">
        <f t="shared" si="132"/>
        <v>-148.9</v>
      </c>
      <c r="M231" s="12">
        <f t="shared" si="132"/>
        <v>-148.9</v>
      </c>
      <c r="N231" s="12">
        <f t="shared" si="132"/>
        <v>-148.9</v>
      </c>
      <c r="O231" s="12">
        <f t="shared" si="132"/>
        <v>-148.9</v>
      </c>
      <c r="P231" s="12">
        <f t="shared" si="132"/>
        <v>-148.9</v>
      </c>
      <c r="Q231" s="12">
        <f t="shared" si="132"/>
        <v>-148.9</v>
      </c>
    </row>
    <row r="232" spans="7:28">
      <c r="G232" s="12">
        <f t="shared" si="120"/>
        <v>0</v>
      </c>
      <c r="H232" s="12">
        <f t="shared" ref="H232:Q232" si="133">IF($E81&gt;H$66,0,IF($E81&lt;H$66-365,$D81,0))</f>
        <v>0</v>
      </c>
      <c r="I232" s="12">
        <f t="shared" si="133"/>
        <v>0</v>
      </c>
      <c r="J232" s="12">
        <f t="shared" si="133"/>
        <v>0</v>
      </c>
      <c r="K232" s="12">
        <f t="shared" si="133"/>
        <v>0</v>
      </c>
      <c r="L232" s="12">
        <f t="shared" si="133"/>
        <v>0</v>
      </c>
      <c r="M232" s="12">
        <f t="shared" si="133"/>
        <v>0</v>
      </c>
      <c r="N232" s="12">
        <f t="shared" si="133"/>
        <v>0</v>
      </c>
      <c r="O232" s="12">
        <f t="shared" si="133"/>
        <v>0</v>
      </c>
      <c r="P232" s="12">
        <f t="shared" si="133"/>
        <v>0</v>
      </c>
      <c r="Q232" s="12">
        <f t="shared" si="133"/>
        <v>0</v>
      </c>
    </row>
    <row r="233" spans="7:28">
      <c r="G233" s="12">
        <f t="shared" si="120"/>
        <v>0</v>
      </c>
      <c r="H233" s="12">
        <f t="shared" ref="H233:Q233" si="134">IF($E82&gt;H$66,0,IF($E82&lt;H$66-365,$D82,0))</f>
        <v>0</v>
      </c>
      <c r="I233" s="12">
        <f t="shared" si="134"/>
        <v>0</v>
      </c>
      <c r="J233" s="12">
        <f t="shared" si="134"/>
        <v>0</v>
      </c>
      <c r="K233" s="12">
        <f t="shared" si="134"/>
        <v>0</v>
      </c>
      <c r="L233" s="12">
        <f t="shared" si="134"/>
        <v>0</v>
      </c>
      <c r="M233" s="12">
        <f t="shared" si="134"/>
        <v>0</v>
      </c>
      <c r="N233" s="12">
        <f t="shared" si="134"/>
        <v>0</v>
      </c>
      <c r="O233" s="12">
        <f t="shared" si="134"/>
        <v>0</v>
      </c>
      <c r="P233" s="12">
        <f t="shared" si="134"/>
        <v>0</v>
      </c>
      <c r="Q233" s="12">
        <f t="shared" si="134"/>
        <v>0</v>
      </c>
    </row>
    <row r="234" spans="7:28">
      <c r="G234" s="12">
        <f t="shared" si="120"/>
        <v>0</v>
      </c>
      <c r="H234" s="12">
        <f t="shared" ref="H234:Q234" si="135">IF($E83&gt;H$66,0,IF($E83&lt;H$66-365,$D83,0))</f>
        <v>0</v>
      </c>
      <c r="I234" s="12">
        <f t="shared" si="135"/>
        <v>0</v>
      </c>
      <c r="J234" s="12">
        <f t="shared" si="135"/>
        <v>0</v>
      </c>
      <c r="K234" s="12">
        <f t="shared" si="135"/>
        <v>0</v>
      </c>
      <c r="L234" s="12">
        <f t="shared" si="135"/>
        <v>0</v>
      </c>
      <c r="M234" s="12">
        <f t="shared" si="135"/>
        <v>0</v>
      </c>
      <c r="N234" s="12">
        <f t="shared" si="135"/>
        <v>0</v>
      </c>
      <c r="O234" s="12">
        <f t="shared" si="135"/>
        <v>0</v>
      </c>
      <c r="P234" s="12">
        <f t="shared" si="135"/>
        <v>0</v>
      </c>
      <c r="Q234" s="12">
        <f t="shared" si="135"/>
        <v>0</v>
      </c>
    </row>
    <row r="235" spans="7:28">
      <c r="G235" s="12">
        <f t="shared" si="120"/>
        <v>0</v>
      </c>
      <c r="H235" s="12">
        <f t="shared" ref="H235:Q235" si="136">IF($E84&gt;H$66,0,IF($E84&lt;H$66-365,$D84,0))</f>
        <v>0</v>
      </c>
      <c r="I235" s="12">
        <f t="shared" si="136"/>
        <v>0</v>
      </c>
      <c r="J235" s="12">
        <f t="shared" si="136"/>
        <v>0</v>
      </c>
      <c r="K235" s="12">
        <f t="shared" si="136"/>
        <v>0</v>
      </c>
      <c r="L235" s="12">
        <f t="shared" si="136"/>
        <v>0</v>
      </c>
      <c r="M235" s="12">
        <f t="shared" si="136"/>
        <v>0</v>
      </c>
      <c r="N235" s="12">
        <f t="shared" si="136"/>
        <v>0</v>
      </c>
      <c r="O235" s="12">
        <f t="shared" si="136"/>
        <v>0</v>
      </c>
      <c r="P235" s="12">
        <f t="shared" si="136"/>
        <v>0</v>
      </c>
      <c r="Q235" s="12">
        <f t="shared" si="136"/>
        <v>0</v>
      </c>
    </row>
    <row r="236" spans="7:28">
      <c r="G236" s="12">
        <f t="shared" si="120"/>
        <v>0</v>
      </c>
      <c r="H236" s="12">
        <f t="shared" ref="H236:Q236" si="137">IF($E85&gt;H$66,0,IF($E85&lt;H$66-365,$D85,0))</f>
        <v>0</v>
      </c>
      <c r="I236" s="12">
        <f t="shared" si="137"/>
        <v>0</v>
      </c>
      <c r="J236" s="12">
        <f t="shared" si="137"/>
        <v>0</v>
      </c>
      <c r="K236" s="12">
        <f t="shared" si="137"/>
        <v>0</v>
      </c>
      <c r="L236" s="12">
        <f t="shared" si="137"/>
        <v>0</v>
      </c>
      <c r="M236" s="12">
        <f t="shared" si="137"/>
        <v>0</v>
      </c>
      <c r="N236" s="12">
        <f t="shared" si="137"/>
        <v>0</v>
      </c>
      <c r="O236" s="12">
        <f t="shared" si="137"/>
        <v>0</v>
      </c>
      <c r="P236" s="12">
        <f t="shared" si="137"/>
        <v>0</v>
      </c>
      <c r="Q236" s="12">
        <f t="shared" si="137"/>
        <v>0</v>
      </c>
    </row>
    <row r="237" spans="7:28">
      <c r="G237" s="12">
        <f t="shared" si="120"/>
        <v>0</v>
      </c>
      <c r="H237" s="12">
        <f t="shared" ref="H237:Q237" si="138">IF($E86&gt;H$66,0,IF($E86&lt;H$66-365,$D86,0))</f>
        <v>0</v>
      </c>
      <c r="I237" s="12">
        <f t="shared" si="138"/>
        <v>0</v>
      </c>
      <c r="J237" s="12">
        <f t="shared" si="138"/>
        <v>0</v>
      </c>
      <c r="K237" s="12">
        <f t="shared" si="138"/>
        <v>0</v>
      </c>
      <c r="L237" s="12">
        <f t="shared" si="138"/>
        <v>0</v>
      </c>
      <c r="M237" s="12">
        <f t="shared" si="138"/>
        <v>0</v>
      </c>
      <c r="N237" s="12">
        <f t="shared" si="138"/>
        <v>0</v>
      </c>
      <c r="O237" s="12">
        <f t="shared" si="138"/>
        <v>0</v>
      </c>
      <c r="P237" s="12">
        <f t="shared" si="138"/>
        <v>0</v>
      </c>
      <c r="Q237" s="12">
        <f t="shared" si="138"/>
        <v>0</v>
      </c>
    </row>
    <row r="238" spans="7:28">
      <c r="G238" s="12">
        <f t="shared" si="120"/>
        <v>0</v>
      </c>
      <c r="H238" s="12">
        <f t="shared" ref="H238:Q238" si="139">IF($E87&gt;H$66,0,IF($E87&lt;H$66-365,$D87,0))</f>
        <v>0</v>
      </c>
      <c r="I238" s="12">
        <f t="shared" si="139"/>
        <v>0</v>
      </c>
      <c r="J238" s="12">
        <f t="shared" si="139"/>
        <v>0</v>
      </c>
      <c r="K238" s="12">
        <f t="shared" si="139"/>
        <v>0</v>
      </c>
      <c r="L238" s="12">
        <f t="shared" si="139"/>
        <v>0</v>
      </c>
      <c r="M238" s="12">
        <f t="shared" si="139"/>
        <v>0</v>
      </c>
      <c r="N238" s="12">
        <f t="shared" si="139"/>
        <v>0</v>
      </c>
      <c r="O238" s="12">
        <f t="shared" si="139"/>
        <v>0</v>
      </c>
      <c r="P238" s="12">
        <f t="shared" si="139"/>
        <v>0</v>
      </c>
      <c r="Q238" s="12">
        <f t="shared" si="139"/>
        <v>0</v>
      </c>
    </row>
    <row r="239" spans="7:28">
      <c r="G239" s="12">
        <f t="shared" si="120"/>
        <v>0</v>
      </c>
      <c r="H239" s="12">
        <f t="shared" ref="H239:Q239" si="140">IF($E88&gt;H$66,0,IF($E88&lt;H$66-365,$D88,0))</f>
        <v>0</v>
      </c>
      <c r="I239" s="12">
        <f t="shared" si="140"/>
        <v>0</v>
      </c>
      <c r="J239" s="12">
        <f t="shared" si="140"/>
        <v>0</v>
      </c>
      <c r="K239" s="12">
        <f t="shared" si="140"/>
        <v>0</v>
      </c>
      <c r="L239" s="12">
        <f t="shared" si="140"/>
        <v>0</v>
      </c>
      <c r="M239" s="12">
        <f t="shared" si="140"/>
        <v>0</v>
      </c>
      <c r="N239" s="12">
        <f t="shared" si="140"/>
        <v>0</v>
      </c>
      <c r="O239" s="12">
        <f t="shared" si="140"/>
        <v>0</v>
      </c>
      <c r="P239" s="12">
        <f t="shared" si="140"/>
        <v>0</v>
      </c>
      <c r="Q239" s="12">
        <f t="shared" si="140"/>
        <v>0</v>
      </c>
    </row>
    <row r="240" spans="7:28">
      <c r="G240" s="12">
        <f t="shared" si="120"/>
        <v>0</v>
      </c>
      <c r="H240" s="12">
        <f t="shared" ref="H240:Q240" si="141">IF($E89&gt;H$66,0,IF($E89&lt;H$66-365,$D89,0))</f>
        <v>0</v>
      </c>
      <c r="I240" s="12">
        <f t="shared" si="141"/>
        <v>0</v>
      </c>
      <c r="J240" s="12">
        <f t="shared" si="141"/>
        <v>0</v>
      </c>
      <c r="K240" s="12">
        <f t="shared" si="141"/>
        <v>0</v>
      </c>
      <c r="L240" s="12">
        <f t="shared" si="141"/>
        <v>0</v>
      </c>
      <c r="M240" s="12">
        <f t="shared" si="141"/>
        <v>0</v>
      </c>
      <c r="N240" s="12">
        <f t="shared" si="141"/>
        <v>0</v>
      </c>
      <c r="O240" s="12">
        <f t="shared" si="141"/>
        <v>0</v>
      </c>
      <c r="P240" s="12">
        <f t="shared" si="141"/>
        <v>0</v>
      </c>
      <c r="Q240" s="12">
        <f t="shared" si="141"/>
        <v>0</v>
      </c>
    </row>
    <row r="241" spans="7:17">
      <c r="G241" s="12">
        <f t="shared" si="120"/>
        <v>0</v>
      </c>
      <c r="H241" s="12">
        <f t="shared" ref="H241:Q241" si="142">IF($E90&gt;H$66,0,IF($E90&lt;H$66-365,$D90,0))</f>
        <v>0</v>
      </c>
      <c r="I241" s="12">
        <f t="shared" si="142"/>
        <v>0</v>
      </c>
      <c r="J241" s="12">
        <f t="shared" si="142"/>
        <v>0</v>
      </c>
      <c r="K241" s="12">
        <f t="shared" si="142"/>
        <v>0</v>
      </c>
      <c r="L241" s="12">
        <f t="shared" si="142"/>
        <v>0</v>
      </c>
      <c r="M241" s="12">
        <f t="shared" si="142"/>
        <v>0</v>
      </c>
      <c r="N241" s="12">
        <f t="shared" si="142"/>
        <v>0</v>
      </c>
      <c r="O241" s="12">
        <f t="shared" si="142"/>
        <v>0</v>
      </c>
      <c r="P241" s="12">
        <f t="shared" si="142"/>
        <v>0</v>
      </c>
      <c r="Q241" s="12">
        <f t="shared" si="142"/>
        <v>0</v>
      </c>
    </row>
    <row r="242" spans="7:17">
      <c r="G242" s="12">
        <f t="shared" si="120"/>
        <v>0</v>
      </c>
      <c r="H242" s="12">
        <f t="shared" ref="H242:Q242" si="143">IF($E91&gt;H$66,0,IF($E91&lt;H$66-365,$D91,0))</f>
        <v>0</v>
      </c>
      <c r="I242" s="12">
        <f t="shared" si="143"/>
        <v>0</v>
      </c>
      <c r="J242" s="12">
        <f t="shared" si="143"/>
        <v>0</v>
      </c>
      <c r="K242" s="12">
        <f t="shared" si="143"/>
        <v>0</v>
      </c>
      <c r="L242" s="12">
        <f t="shared" si="143"/>
        <v>0</v>
      </c>
      <c r="M242" s="12">
        <f t="shared" si="143"/>
        <v>0</v>
      </c>
      <c r="N242" s="12">
        <f t="shared" si="143"/>
        <v>0</v>
      </c>
      <c r="O242" s="12">
        <f t="shared" si="143"/>
        <v>0</v>
      </c>
      <c r="P242" s="12">
        <f t="shared" si="143"/>
        <v>0</v>
      </c>
      <c r="Q242" s="12">
        <f t="shared" si="143"/>
        <v>0</v>
      </c>
    </row>
    <row r="243" spans="7:17">
      <c r="G243" s="12">
        <f t="shared" si="120"/>
        <v>0</v>
      </c>
      <c r="H243" s="12">
        <f t="shared" ref="H243:Q243" si="144">IF($E92&gt;H$66,0,IF($E92&lt;H$66-365,$D92,0))</f>
        <v>0</v>
      </c>
      <c r="I243" s="12">
        <f t="shared" si="144"/>
        <v>0</v>
      </c>
      <c r="J243" s="12">
        <f t="shared" si="144"/>
        <v>0</v>
      </c>
      <c r="K243" s="12">
        <f t="shared" si="144"/>
        <v>0</v>
      </c>
      <c r="L243" s="12">
        <f t="shared" si="144"/>
        <v>0</v>
      </c>
      <c r="M243" s="12">
        <f t="shared" si="144"/>
        <v>0</v>
      </c>
      <c r="N243" s="12">
        <f t="shared" si="144"/>
        <v>0</v>
      </c>
      <c r="O243" s="12">
        <f t="shared" si="144"/>
        <v>0</v>
      </c>
      <c r="P243" s="12">
        <f t="shared" si="144"/>
        <v>0</v>
      </c>
      <c r="Q243" s="12">
        <f t="shared" si="144"/>
        <v>0</v>
      </c>
    </row>
    <row r="244" spans="7:17">
      <c r="G244" s="12">
        <f t="shared" si="120"/>
        <v>0</v>
      </c>
      <c r="H244" s="12">
        <f t="shared" ref="H244:Q244" si="145">IF($E93&gt;H$66,0,IF($E93&lt;H$66-365,$D93,0))</f>
        <v>0</v>
      </c>
      <c r="I244" s="12">
        <f t="shared" si="145"/>
        <v>0</v>
      </c>
      <c r="J244" s="12">
        <f t="shared" si="145"/>
        <v>0</v>
      </c>
      <c r="K244" s="12">
        <f t="shared" si="145"/>
        <v>0</v>
      </c>
      <c r="L244" s="12">
        <f t="shared" si="145"/>
        <v>0</v>
      </c>
      <c r="M244" s="12">
        <f t="shared" si="145"/>
        <v>0</v>
      </c>
      <c r="N244" s="12">
        <f t="shared" si="145"/>
        <v>0</v>
      </c>
      <c r="O244" s="12">
        <f t="shared" si="145"/>
        <v>0</v>
      </c>
      <c r="P244" s="12">
        <f t="shared" si="145"/>
        <v>0</v>
      </c>
      <c r="Q244" s="12">
        <f t="shared" si="145"/>
        <v>0</v>
      </c>
    </row>
    <row r="245" spans="7:17">
      <c r="G245" s="12">
        <f t="shared" si="120"/>
        <v>0</v>
      </c>
      <c r="H245" s="12">
        <f t="shared" ref="H245:Q245" si="146">IF($E94&gt;H$66,0,IF($E94&lt;H$66-365,$D94,0))</f>
        <v>0</v>
      </c>
      <c r="I245" s="12">
        <f t="shared" si="146"/>
        <v>0</v>
      </c>
      <c r="J245" s="12">
        <f t="shared" si="146"/>
        <v>0</v>
      </c>
      <c r="K245" s="12">
        <f t="shared" si="146"/>
        <v>0</v>
      </c>
      <c r="L245" s="12">
        <f t="shared" si="146"/>
        <v>0</v>
      </c>
      <c r="M245" s="12">
        <f t="shared" si="146"/>
        <v>0</v>
      </c>
      <c r="N245" s="12">
        <f t="shared" si="146"/>
        <v>0</v>
      </c>
      <c r="O245" s="12">
        <f t="shared" si="146"/>
        <v>0</v>
      </c>
      <c r="P245" s="12">
        <f t="shared" si="146"/>
        <v>0</v>
      </c>
      <c r="Q245" s="12">
        <f t="shared" si="146"/>
        <v>0</v>
      </c>
    </row>
    <row r="246" spans="7:17">
      <c r="G246" s="12">
        <f t="shared" si="120"/>
        <v>0</v>
      </c>
      <c r="H246" s="12">
        <f t="shared" ref="H246:Q246" si="147">IF($E95&gt;H$66,0,IF($E95&lt;H$66-365,$D95,0))</f>
        <v>0</v>
      </c>
      <c r="I246" s="12">
        <f t="shared" si="147"/>
        <v>0</v>
      </c>
      <c r="J246" s="12">
        <f t="shared" si="147"/>
        <v>0</v>
      </c>
      <c r="K246" s="12">
        <f t="shared" si="147"/>
        <v>0</v>
      </c>
      <c r="L246" s="12">
        <f t="shared" si="147"/>
        <v>0</v>
      </c>
      <c r="M246" s="12">
        <f t="shared" si="147"/>
        <v>0</v>
      </c>
      <c r="N246" s="12">
        <f t="shared" si="147"/>
        <v>0</v>
      </c>
      <c r="O246" s="12">
        <f t="shared" si="147"/>
        <v>0</v>
      </c>
      <c r="P246" s="12">
        <f t="shared" si="147"/>
        <v>0</v>
      </c>
      <c r="Q246" s="12">
        <f t="shared" si="147"/>
        <v>0</v>
      </c>
    </row>
    <row r="247" spans="7:17">
      <c r="G247" s="12">
        <f t="shared" si="120"/>
        <v>0</v>
      </c>
      <c r="H247" s="12">
        <f t="shared" ref="H247:Q247" si="148">IF($E96&gt;H$66,0,IF($E96&lt;H$66-365,$D96,0))</f>
        <v>0</v>
      </c>
      <c r="I247" s="12">
        <f t="shared" si="148"/>
        <v>0</v>
      </c>
      <c r="J247" s="12">
        <f t="shared" si="148"/>
        <v>0</v>
      </c>
      <c r="K247" s="12">
        <f t="shared" si="148"/>
        <v>0</v>
      </c>
      <c r="L247" s="12">
        <f t="shared" si="148"/>
        <v>0</v>
      </c>
      <c r="M247" s="12">
        <f t="shared" si="148"/>
        <v>0</v>
      </c>
      <c r="N247" s="12">
        <f t="shared" si="148"/>
        <v>0</v>
      </c>
      <c r="O247" s="12">
        <f t="shared" si="148"/>
        <v>0</v>
      </c>
      <c r="P247" s="12">
        <f t="shared" si="148"/>
        <v>0</v>
      </c>
      <c r="Q247" s="12">
        <f t="shared" si="148"/>
        <v>0</v>
      </c>
    </row>
    <row r="248" spans="7:17">
      <c r="G248" s="12">
        <f t="shared" si="120"/>
        <v>0</v>
      </c>
      <c r="H248" s="12">
        <f t="shared" ref="H248:Q248" si="149">IF($E97&gt;H$66,0,IF($E97&lt;H$66-365,$D97,0))</f>
        <v>0</v>
      </c>
      <c r="I248" s="12">
        <f t="shared" si="149"/>
        <v>0</v>
      </c>
      <c r="J248" s="12">
        <f t="shared" si="149"/>
        <v>0</v>
      </c>
      <c r="K248" s="12">
        <f t="shared" si="149"/>
        <v>0</v>
      </c>
      <c r="L248" s="12">
        <f t="shared" si="149"/>
        <v>0</v>
      </c>
      <c r="M248" s="12">
        <f t="shared" si="149"/>
        <v>0</v>
      </c>
      <c r="N248" s="12">
        <f t="shared" si="149"/>
        <v>0</v>
      </c>
      <c r="O248" s="12">
        <f t="shared" si="149"/>
        <v>0</v>
      </c>
      <c r="P248" s="12">
        <f t="shared" si="149"/>
        <v>0</v>
      </c>
      <c r="Q248" s="12">
        <f t="shared" si="149"/>
        <v>0</v>
      </c>
    </row>
    <row r="249" spans="7:17">
      <c r="G249" s="12">
        <f t="shared" si="120"/>
        <v>0</v>
      </c>
      <c r="H249" s="12">
        <f t="shared" ref="H249:Q249" si="150">IF($E98&gt;H$66,0,IF($E98&lt;H$66-365,$D98,0))</f>
        <v>0</v>
      </c>
      <c r="I249" s="12">
        <f t="shared" si="150"/>
        <v>0</v>
      </c>
      <c r="J249" s="12">
        <f t="shared" si="150"/>
        <v>0</v>
      </c>
      <c r="K249" s="12">
        <f t="shared" si="150"/>
        <v>0</v>
      </c>
      <c r="L249" s="12">
        <f t="shared" si="150"/>
        <v>0</v>
      </c>
      <c r="M249" s="12">
        <f t="shared" si="150"/>
        <v>0</v>
      </c>
      <c r="N249" s="12">
        <f t="shared" si="150"/>
        <v>0</v>
      </c>
      <c r="O249" s="12">
        <f t="shared" si="150"/>
        <v>0</v>
      </c>
      <c r="P249" s="12">
        <f t="shared" si="150"/>
        <v>0</v>
      </c>
      <c r="Q249" s="12">
        <f t="shared" si="150"/>
        <v>0</v>
      </c>
    </row>
    <row r="250" spans="7:17">
      <c r="G250" s="12">
        <f t="shared" si="120"/>
        <v>0</v>
      </c>
      <c r="H250" s="12">
        <f t="shared" ref="H250:Q250" si="151">IF($E99&gt;H$66,0,IF($E99&lt;H$66-365,$D99,0))</f>
        <v>0</v>
      </c>
      <c r="I250" s="12">
        <f t="shared" si="151"/>
        <v>0</v>
      </c>
      <c r="J250" s="12">
        <f t="shared" si="151"/>
        <v>0</v>
      </c>
      <c r="K250" s="12">
        <f t="shared" si="151"/>
        <v>0</v>
      </c>
      <c r="L250" s="12">
        <f t="shared" si="151"/>
        <v>0</v>
      </c>
      <c r="M250" s="12">
        <f t="shared" si="151"/>
        <v>0</v>
      </c>
      <c r="N250" s="12">
        <f t="shared" si="151"/>
        <v>0</v>
      </c>
      <c r="O250" s="12">
        <f t="shared" si="151"/>
        <v>0</v>
      </c>
      <c r="P250" s="12">
        <f t="shared" si="151"/>
        <v>0</v>
      </c>
      <c r="Q250" s="12">
        <f t="shared" si="151"/>
        <v>0</v>
      </c>
    </row>
    <row r="251" spans="7:17">
      <c r="G251" s="12">
        <f t="shared" si="120"/>
        <v>0</v>
      </c>
      <c r="H251" s="12">
        <f t="shared" ref="H251:Q251" si="152">IF($E100&gt;H$66,0,IF($E100&lt;H$66-365,$D100,0))</f>
        <v>0</v>
      </c>
      <c r="I251" s="12">
        <f t="shared" si="152"/>
        <v>0</v>
      </c>
      <c r="J251" s="12">
        <f t="shared" si="152"/>
        <v>0</v>
      </c>
      <c r="K251" s="12">
        <f t="shared" si="152"/>
        <v>0</v>
      </c>
      <c r="L251" s="12">
        <f t="shared" si="152"/>
        <v>0</v>
      </c>
      <c r="M251" s="12">
        <f t="shared" si="152"/>
        <v>0</v>
      </c>
      <c r="N251" s="12">
        <f t="shared" si="152"/>
        <v>0</v>
      </c>
      <c r="O251" s="12">
        <f t="shared" si="152"/>
        <v>0</v>
      </c>
      <c r="P251" s="12">
        <f t="shared" si="152"/>
        <v>0</v>
      </c>
      <c r="Q251" s="12">
        <f t="shared" si="152"/>
        <v>0</v>
      </c>
    </row>
    <row r="252" spans="7:17">
      <c r="G252" s="12">
        <f t="shared" si="120"/>
        <v>0</v>
      </c>
      <c r="H252" s="12">
        <f t="shared" ref="H252:Q252" si="153">IF($E101&gt;H$66,0,IF($E101&lt;H$66-365,$D101,0))</f>
        <v>0</v>
      </c>
      <c r="I252" s="12">
        <f t="shared" si="153"/>
        <v>0</v>
      </c>
      <c r="J252" s="12">
        <f t="shared" si="153"/>
        <v>0</v>
      </c>
      <c r="K252" s="12">
        <f t="shared" si="153"/>
        <v>0</v>
      </c>
      <c r="L252" s="12">
        <f t="shared" si="153"/>
        <v>0</v>
      </c>
      <c r="M252" s="12">
        <f t="shared" si="153"/>
        <v>0</v>
      </c>
      <c r="N252" s="12">
        <f t="shared" si="153"/>
        <v>0</v>
      </c>
      <c r="O252" s="12">
        <f t="shared" si="153"/>
        <v>0</v>
      </c>
      <c r="P252" s="12">
        <f t="shared" si="153"/>
        <v>0</v>
      </c>
      <c r="Q252" s="12">
        <f t="shared" si="153"/>
        <v>0</v>
      </c>
    </row>
    <row r="253" spans="7:17">
      <c r="G253" s="12">
        <f t="shared" si="120"/>
        <v>0</v>
      </c>
      <c r="H253" s="12">
        <f t="shared" ref="H253:Q253" si="154">IF($E102&gt;H$66,0,IF($E102&lt;H$66-365,$D102,0))</f>
        <v>0</v>
      </c>
      <c r="I253" s="12">
        <f t="shared" si="154"/>
        <v>0</v>
      </c>
      <c r="J253" s="12">
        <f t="shared" si="154"/>
        <v>0</v>
      </c>
      <c r="K253" s="12">
        <f t="shared" si="154"/>
        <v>0</v>
      </c>
      <c r="L253" s="12">
        <f t="shared" si="154"/>
        <v>0</v>
      </c>
      <c r="M253" s="12">
        <f t="shared" si="154"/>
        <v>0</v>
      </c>
      <c r="N253" s="12">
        <f t="shared" si="154"/>
        <v>0</v>
      </c>
      <c r="O253" s="12">
        <f t="shared" si="154"/>
        <v>0</v>
      </c>
      <c r="P253" s="12">
        <f t="shared" si="154"/>
        <v>0</v>
      </c>
      <c r="Q253" s="12">
        <f t="shared" si="154"/>
        <v>0</v>
      </c>
    </row>
    <row r="254" spans="7:17">
      <c r="G254" s="12">
        <f t="shared" si="120"/>
        <v>0</v>
      </c>
      <c r="H254" s="12">
        <f t="shared" ref="H254:Q254" si="155">IF($E103&gt;H$66,0,IF($E103&lt;H$66-365,$D103,0))</f>
        <v>0</v>
      </c>
      <c r="I254" s="12">
        <f t="shared" si="155"/>
        <v>0</v>
      </c>
      <c r="J254" s="12">
        <f t="shared" si="155"/>
        <v>0</v>
      </c>
      <c r="K254" s="12">
        <f t="shared" si="155"/>
        <v>0</v>
      </c>
      <c r="L254" s="12">
        <f t="shared" si="155"/>
        <v>0</v>
      </c>
      <c r="M254" s="12">
        <f t="shared" si="155"/>
        <v>0</v>
      </c>
      <c r="N254" s="12">
        <f t="shared" si="155"/>
        <v>0</v>
      </c>
      <c r="O254" s="12">
        <f t="shared" si="155"/>
        <v>0</v>
      </c>
      <c r="P254" s="12">
        <f t="shared" si="155"/>
        <v>0</v>
      </c>
      <c r="Q254" s="12">
        <f t="shared" si="155"/>
        <v>0</v>
      </c>
    </row>
    <row r="255" spans="7:17">
      <c r="G255" s="12">
        <f t="shared" si="120"/>
        <v>0</v>
      </c>
      <c r="H255" s="12">
        <f t="shared" ref="H255:Q255" si="156">IF($E104&gt;H$66,0,IF($E104&lt;H$66-365,$D104,0))</f>
        <v>0</v>
      </c>
      <c r="I255" s="12">
        <f t="shared" si="156"/>
        <v>0</v>
      </c>
      <c r="J255" s="12">
        <f t="shared" si="156"/>
        <v>0</v>
      </c>
      <c r="K255" s="12">
        <f t="shared" si="156"/>
        <v>0</v>
      </c>
      <c r="L255" s="12">
        <f t="shared" si="156"/>
        <v>0</v>
      </c>
      <c r="M255" s="12">
        <f t="shared" si="156"/>
        <v>0</v>
      </c>
      <c r="N255" s="12">
        <f t="shared" si="156"/>
        <v>0</v>
      </c>
      <c r="O255" s="12">
        <f t="shared" si="156"/>
        <v>0</v>
      </c>
      <c r="P255" s="12">
        <f t="shared" si="156"/>
        <v>0</v>
      </c>
      <c r="Q255" s="12">
        <f t="shared" si="156"/>
        <v>0</v>
      </c>
    </row>
    <row r="256" spans="7:17">
      <c r="G256" s="12">
        <f t="shared" si="120"/>
        <v>0</v>
      </c>
      <c r="H256" s="12">
        <f t="shared" ref="H256:Q256" si="157">IF($E105&gt;H$66,0,IF($E105&lt;H$66-365,$D105,0))</f>
        <v>0</v>
      </c>
      <c r="I256" s="12">
        <f t="shared" si="157"/>
        <v>0</v>
      </c>
      <c r="J256" s="12">
        <f t="shared" si="157"/>
        <v>0</v>
      </c>
      <c r="K256" s="12">
        <f t="shared" si="157"/>
        <v>0</v>
      </c>
      <c r="L256" s="12">
        <f t="shared" si="157"/>
        <v>0</v>
      </c>
      <c r="M256" s="12">
        <f t="shared" si="157"/>
        <v>0</v>
      </c>
      <c r="N256" s="12">
        <f t="shared" si="157"/>
        <v>0</v>
      </c>
      <c r="O256" s="12">
        <f t="shared" si="157"/>
        <v>0</v>
      </c>
      <c r="P256" s="12">
        <f t="shared" si="157"/>
        <v>0</v>
      </c>
      <c r="Q256" s="12">
        <f t="shared" si="157"/>
        <v>0</v>
      </c>
    </row>
    <row r="257" spans="5:18">
      <c r="G257" s="12">
        <f t="shared" si="120"/>
        <v>0</v>
      </c>
      <c r="H257" s="12">
        <f t="shared" ref="H257:Q257" si="158">IF($E106&gt;H$66,0,IF($E106&lt;H$66-365,$D106,0))</f>
        <v>0</v>
      </c>
      <c r="I257" s="12">
        <f t="shared" si="158"/>
        <v>0</v>
      </c>
      <c r="J257" s="12">
        <f t="shared" si="158"/>
        <v>0</v>
      </c>
      <c r="K257" s="12">
        <f t="shared" si="158"/>
        <v>0</v>
      </c>
      <c r="L257" s="12">
        <f t="shared" si="158"/>
        <v>0</v>
      </c>
      <c r="M257" s="12">
        <f t="shared" si="158"/>
        <v>0</v>
      </c>
      <c r="N257" s="12">
        <f t="shared" si="158"/>
        <v>0</v>
      </c>
      <c r="O257" s="12">
        <f t="shared" si="158"/>
        <v>0</v>
      </c>
      <c r="P257" s="12">
        <f t="shared" si="158"/>
        <v>0</v>
      </c>
      <c r="Q257" s="12">
        <f t="shared" si="158"/>
        <v>0</v>
      </c>
    </row>
    <row r="258" spans="5:18">
      <c r="G258" s="12">
        <f t="shared" si="120"/>
        <v>0</v>
      </c>
      <c r="H258" s="12">
        <f t="shared" ref="H258:Q258" si="159">IF($E107&gt;H$66,0,IF($E107&lt;H$66-365,$D107,0))</f>
        <v>0</v>
      </c>
      <c r="I258" s="12">
        <f t="shared" si="159"/>
        <v>0</v>
      </c>
      <c r="J258" s="12">
        <f t="shared" si="159"/>
        <v>0</v>
      </c>
      <c r="K258" s="12">
        <f t="shared" si="159"/>
        <v>0</v>
      </c>
      <c r="L258" s="12">
        <f t="shared" si="159"/>
        <v>0</v>
      </c>
      <c r="M258" s="12">
        <f t="shared" si="159"/>
        <v>0</v>
      </c>
      <c r="N258" s="12">
        <f t="shared" si="159"/>
        <v>0</v>
      </c>
      <c r="O258" s="12">
        <f t="shared" si="159"/>
        <v>0</v>
      </c>
      <c r="P258" s="12">
        <f t="shared" si="159"/>
        <v>0</v>
      </c>
      <c r="Q258" s="12">
        <f t="shared" si="159"/>
        <v>0</v>
      </c>
    </row>
    <row r="259" spans="5:18">
      <c r="G259" s="12">
        <f t="shared" si="120"/>
        <v>0</v>
      </c>
      <c r="H259" s="12">
        <f t="shared" ref="H259:Q259" si="160">IF($E108&gt;H$66,0,IF($E108&lt;H$66-365,$D108,0))</f>
        <v>0</v>
      </c>
      <c r="I259" s="12">
        <f t="shared" si="160"/>
        <v>0</v>
      </c>
      <c r="J259" s="12">
        <f t="shared" si="160"/>
        <v>0</v>
      </c>
      <c r="K259" s="12">
        <f t="shared" si="160"/>
        <v>0</v>
      </c>
      <c r="L259" s="12">
        <f t="shared" si="160"/>
        <v>0</v>
      </c>
      <c r="M259" s="12">
        <f t="shared" si="160"/>
        <v>0</v>
      </c>
      <c r="N259" s="12">
        <f t="shared" si="160"/>
        <v>0</v>
      </c>
      <c r="O259" s="12">
        <f t="shared" si="160"/>
        <v>0</v>
      </c>
      <c r="P259" s="12">
        <f t="shared" si="160"/>
        <v>0</v>
      </c>
      <c r="Q259" s="12">
        <f t="shared" si="160"/>
        <v>0</v>
      </c>
    </row>
    <row r="260" spans="5:18">
      <c r="G260" s="12">
        <f t="shared" si="120"/>
        <v>0</v>
      </c>
      <c r="H260" s="12">
        <f t="shared" ref="H260:Q260" si="161">IF($E109&gt;H$66,0,IF($E109&lt;H$66-365,$D109,0))</f>
        <v>0</v>
      </c>
      <c r="I260" s="12">
        <f t="shared" si="161"/>
        <v>0</v>
      </c>
      <c r="J260" s="12">
        <f t="shared" si="161"/>
        <v>0</v>
      </c>
      <c r="K260" s="12">
        <f t="shared" si="161"/>
        <v>0</v>
      </c>
      <c r="L260" s="12">
        <f t="shared" si="161"/>
        <v>0</v>
      </c>
      <c r="M260" s="12">
        <f t="shared" si="161"/>
        <v>0</v>
      </c>
      <c r="N260" s="12">
        <f t="shared" si="161"/>
        <v>0</v>
      </c>
      <c r="O260" s="12">
        <f t="shared" si="161"/>
        <v>0</v>
      </c>
      <c r="P260" s="12">
        <f t="shared" si="161"/>
        <v>0</v>
      </c>
      <c r="Q260" s="12">
        <f t="shared" si="161"/>
        <v>0</v>
      </c>
    </row>
    <row r="261" spans="5:18">
      <c r="G261" s="12">
        <f t="shared" si="120"/>
        <v>0</v>
      </c>
      <c r="H261" s="12">
        <f t="shared" ref="H261:Q261" si="162">IF($E110&gt;H$66,0,IF($E110&lt;H$66-365,$D110,0))</f>
        <v>0</v>
      </c>
      <c r="I261" s="12">
        <f t="shared" si="162"/>
        <v>0</v>
      </c>
      <c r="J261" s="12">
        <f t="shared" si="162"/>
        <v>0</v>
      </c>
      <c r="K261" s="12">
        <f t="shared" si="162"/>
        <v>0</v>
      </c>
      <c r="L261" s="12">
        <f t="shared" si="162"/>
        <v>0</v>
      </c>
      <c r="M261" s="12">
        <f t="shared" si="162"/>
        <v>0</v>
      </c>
      <c r="N261" s="12">
        <f t="shared" si="162"/>
        <v>0</v>
      </c>
      <c r="O261" s="12">
        <f t="shared" si="162"/>
        <v>0</v>
      </c>
      <c r="P261" s="12">
        <f t="shared" si="162"/>
        <v>0</v>
      </c>
      <c r="Q261" s="12">
        <f t="shared" si="162"/>
        <v>0</v>
      </c>
    </row>
    <row r="262" spans="5:18">
      <c r="G262" s="12">
        <f t="shared" si="120"/>
        <v>0</v>
      </c>
      <c r="H262" s="12">
        <f t="shared" ref="H262:Q262" si="163">IF($E111&gt;H$66,0,IF($E111&lt;H$66-365,$D111,0))</f>
        <v>0</v>
      </c>
      <c r="I262" s="12">
        <f t="shared" si="163"/>
        <v>0</v>
      </c>
      <c r="J262" s="12">
        <f t="shared" si="163"/>
        <v>0</v>
      </c>
      <c r="K262" s="12">
        <f t="shared" si="163"/>
        <v>0</v>
      </c>
      <c r="L262" s="12">
        <f t="shared" si="163"/>
        <v>0</v>
      </c>
      <c r="M262" s="12">
        <f t="shared" si="163"/>
        <v>0</v>
      </c>
      <c r="N262" s="12">
        <f t="shared" si="163"/>
        <v>0</v>
      </c>
      <c r="O262" s="12">
        <f t="shared" si="163"/>
        <v>0</v>
      </c>
      <c r="P262" s="12">
        <f t="shared" si="163"/>
        <v>0</v>
      </c>
      <c r="Q262" s="12">
        <f t="shared" si="163"/>
        <v>0</v>
      </c>
    </row>
    <row r="263" spans="5:18">
      <c r="G263" s="12">
        <f t="shared" si="120"/>
        <v>0</v>
      </c>
      <c r="H263" s="12">
        <f t="shared" ref="H263:Q263" si="164">IF($E112&gt;H$66,0,IF($E112&lt;H$66-365,$D112,0))</f>
        <v>0</v>
      </c>
      <c r="I263" s="12">
        <f t="shared" si="164"/>
        <v>0</v>
      </c>
      <c r="J263" s="12">
        <f t="shared" si="164"/>
        <v>0</v>
      </c>
      <c r="K263" s="12">
        <f t="shared" si="164"/>
        <v>0</v>
      </c>
      <c r="L263" s="12">
        <f t="shared" si="164"/>
        <v>0</v>
      </c>
      <c r="M263" s="12">
        <f t="shared" si="164"/>
        <v>0</v>
      </c>
      <c r="N263" s="12">
        <f t="shared" si="164"/>
        <v>0</v>
      </c>
      <c r="O263" s="12">
        <f t="shared" si="164"/>
        <v>0</v>
      </c>
      <c r="P263" s="12">
        <f t="shared" si="164"/>
        <v>0</v>
      </c>
      <c r="Q263" s="12">
        <f t="shared" si="164"/>
        <v>0</v>
      </c>
    </row>
    <row r="264" spans="5:18">
      <c r="G264" s="12">
        <f t="shared" si="120"/>
        <v>0</v>
      </c>
      <c r="H264" s="12">
        <f t="shared" ref="H264:Q264" si="165">IF($E113&gt;H$66,0,IF($E113&lt;H$66-365,$D113,0))</f>
        <v>0</v>
      </c>
      <c r="I264" s="12">
        <f t="shared" si="165"/>
        <v>0</v>
      </c>
      <c r="J264" s="12">
        <f t="shared" si="165"/>
        <v>0</v>
      </c>
      <c r="K264" s="12">
        <f t="shared" si="165"/>
        <v>0</v>
      </c>
      <c r="L264" s="12">
        <f t="shared" si="165"/>
        <v>0</v>
      </c>
      <c r="M264" s="12">
        <f t="shared" si="165"/>
        <v>0</v>
      </c>
      <c r="N264" s="12">
        <f t="shared" si="165"/>
        <v>0</v>
      </c>
      <c r="O264" s="12">
        <f t="shared" si="165"/>
        <v>0</v>
      </c>
      <c r="P264" s="12">
        <f t="shared" si="165"/>
        <v>0</v>
      </c>
      <c r="Q264" s="12">
        <f t="shared" si="165"/>
        <v>0</v>
      </c>
    </row>
    <row r="265" spans="5:18">
      <c r="G265" s="12">
        <f t="shared" si="120"/>
        <v>0</v>
      </c>
      <c r="H265" s="12">
        <f t="shared" ref="H265:Q265" si="166">IF($E114&gt;H$66,0,IF($E114&lt;H$66-365,$D114,0))</f>
        <v>0</v>
      </c>
      <c r="I265" s="12">
        <f t="shared" si="166"/>
        <v>0</v>
      </c>
      <c r="J265" s="12">
        <f t="shared" si="166"/>
        <v>0</v>
      </c>
      <c r="K265" s="12">
        <f t="shared" si="166"/>
        <v>0</v>
      </c>
      <c r="L265" s="12">
        <f t="shared" si="166"/>
        <v>0</v>
      </c>
      <c r="M265" s="12">
        <f t="shared" si="166"/>
        <v>0</v>
      </c>
      <c r="N265" s="12">
        <f t="shared" si="166"/>
        <v>0</v>
      </c>
      <c r="O265" s="12">
        <f t="shared" si="166"/>
        <v>0</v>
      </c>
      <c r="P265" s="12">
        <f t="shared" si="166"/>
        <v>0</v>
      </c>
      <c r="Q265" s="12">
        <f t="shared" si="166"/>
        <v>0</v>
      </c>
    </row>
    <row r="267" spans="5:18">
      <c r="F267" s="187" t="s">
        <v>493</v>
      </c>
      <c r="G267" s="187">
        <f>SUM(G220:G265)</f>
        <v>-785.8</v>
      </c>
      <c r="H267" s="187">
        <f t="shared" ref="H267:Q267" si="167">SUM(H220:H265)</f>
        <v>-785.8</v>
      </c>
      <c r="I267" s="187">
        <f t="shared" si="167"/>
        <v>-785.8</v>
      </c>
      <c r="J267" s="187">
        <f t="shared" si="167"/>
        <v>-785.8</v>
      </c>
      <c r="K267" s="187">
        <f t="shared" si="167"/>
        <v>-785.8</v>
      </c>
      <c r="L267" s="187">
        <f t="shared" si="167"/>
        <v>-785.8</v>
      </c>
      <c r="M267" s="187">
        <f t="shared" si="167"/>
        <v>-785.8</v>
      </c>
      <c r="N267" s="187">
        <f t="shared" si="167"/>
        <v>-785.8</v>
      </c>
      <c r="O267" s="187">
        <f t="shared" si="167"/>
        <v>-785.8</v>
      </c>
      <c r="P267" s="187">
        <f t="shared" si="167"/>
        <v>-785.8</v>
      </c>
      <c r="Q267" s="187">
        <f t="shared" si="167"/>
        <v>-785.8</v>
      </c>
    </row>
    <row r="271" spans="5:18">
      <c r="F271" s="207" t="s">
        <v>486</v>
      </c>
      <c r="G271" s="206">
        <f>G66</f>
        <v>45473</v>
      </c>
      <c r="H271" s="206">
        <f t="shared" ref="H271:Q271" si="168">H66</f>
        <v>45838</v>
      </c>
      <c r="I271" s="206">
        <f t="shared" si="168"/>
        <v>46203</v>
      </c>
      <c r="J271" s="206">
        <f t="shared" si="168"/>
        <v>46568</v>
      </c>
      <c r="K271" s="206">
        <f t="shared" si="168"/>
        <v>46934</v>
      </c>
      <c r="L271" s="206">
        <f t="shared" si="168"/>
        <v>47299</v>
      </c>
      <c r="M271" s="206">
        <f t="shared" si="168"/>
        <v>47664</v>
      </c>
      <c r="N271" s="206">
        <f t="shared" si="168"/>
        <v>48029</v>
      </c>
      <c r="O271" s="206">
        <f t="shared" si="168"/>
        <v>48395</v>
      </c>
      <c r="P271" s="206">
        <f t="shared" si="168"/>
        <v>48760</v>
      </c>
      <c r="Q271" s="206">
        <f t="shared" si="168"/>
        <v>49125</v>
      </c>
      <c r="R271" s="206">
        <f t="shared" ref="R271" si="169">Q271+365</f>
        <v>49490</v>
      </c>
    </row>
    <row r="272" spans="5:18">
      <c r="E272" s="12" t="s">
        <v>399</v>
      </c>
      <c r="F272" s="348">
        <f t="shared" ref="F272:P272" si="170">Z216</f>
        <v>4.7820733104238258</v>
      </c>
      <c r="G272" s="348">
        <f t="shared" si="170"/>
        <v>4.7820733104238258</v>
      </c>
      <c r="H272" s="348">
        <f t="shared" si="170"/>
        <v>5.8284208459153888</v>
      </c>
      <c r="I272" s="348">
        <f t="shared" si="170"/>
        <v>5.8284208459153888</v>
      </c>
      <c r="J272" s="348">
        <f t="shared" si="170"/>
        <v>5.8284208459153888</v>
      </c>
      <c r="K272" s="348">
        <f t="shared" si="170"/>
        <v>5.8284208459153888</v>
      </c>
      <c r="L272" s="348">
        <f t="shared" si="170"/>
        <v>5.8284208459153888</v>
      </c>
      <c r="M272" s="348">
        <f t="shared" si="170"/>
        <v>5.8284208459153888</v>
      </c>
      <c r="N272" s="348">
        <f t="shared" si="170"/>
        <v>5.8284208459153888</v>
      </c>
      <c r="O272" s="348">
        <f t="shared" si="170"/>
        <v>5.8284208459153888</v>
      </c>
      <c r="P272" s="348">
        <f t="shared" si="170"/>
        <v>5.8284208459153888</v>
      </c>
      <c r="Q272" s="348">
        <f>AK216</f>
        <v>5.8284208459153888</v>
      </c>
    </row>
  </sheetData>
  <sheetProtection formatCells="0" formatColumns="0" formatRows="0" selectLockedCells="1"/>
  <customSheetViews>
    <customSheetView guid="{0FAFE012-8D9E-4ED0-86A4-A997E430971B}" scale="70" showGridLines="0" fitToPage="1" hiddenRows="1">
      <selection activeCell="A13" sqref="A13:P15"/>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8" priority="1" operator="lessThan">
      <formula>0</formula>
    </cfRule>
  </conditionalFormatting>
  <conditionalFormatting sqref="F46:Q47">
    <cfRule type="cellIs" dxfId="7" priority="3" operator="lessThan">
      <formula>0</formula>
    </cfRule>
  </conditionalFormatting>
  <conditionalFormatting sqref="F50:Q50">
    <cfRule type="cellIs" dxfId="6" priority="2" operator="lessThan">
      <formula>0</formula>
    </cfRule>
  </conditionalFormatting>
  <dataValidations count="3">
    <dataValidation type="list" allowBlank="1" showInputMessage="1" showErrorMessage="1" sqref="F141:G141" xr:uid="{788469C6-0061-4623-A6D9-16A7BBAF4667}">
      <formula1>"0.0 Stars,0.5 Stars,1.0 Stars,1.5 Stars,2.0 Stars,2.5 Stars,3.0 Stars,3.5 Stars,4.0 Stars,4.5 Stars,5.0 Stars,5.5 Stars,6.0 Stars,N/A"</formula1>
    </dataValidation>
    <dataValidation type="list" allowBlank="1" showInputMessage="1" showErrorMessage="1" sqref="E114" xr:uid="{7E5845E4-0ADD-4F33-9694-4D3FCCFFBC12}">
      <formula1>$BQ$155:$BQ$169</formula1>
    </dataValidation>
    <dataValidation type="list" allowBlank="1" showInputMessage="1" showErrorMessage="1" sqref="O114:Q114" xr:uid="{AD0B79EB-5F9D-4CA5-9180-08D9059301B9}">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15D5B-D8F5-4C12-A96A-35F04CA49285}">
  <sheetPr codeName="Sheet21">
    <tabColor theme="3" tint="-0.499984740745262"/>
    <pageSetUpPr fitToPage="1"/>
  </sheetPr>
  <dimension ref="A1:CJ272"/>
  <sheetViews>
    <sheetView showGridLines="0" zoomScale="70" zoomScaleNormal="70" workbookViewId="0">
      <selection activeCell="A13" sqref="A13:P15"/>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11.2695312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170</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NSW3</v>
      </c>
      <c r="B6" s="368" t="s">
        <v>309</v>
      </c>
      <c r="C6" s="484" t="s">
        <v>41</v>
      </c>
      <c r="D6" s="485">
        <f>(VLOOKUP($A$2,Assumptions!$B$41:$C$63,2,0))/1000</f>
        <v>8.7749167505692047E-2</v>
      </c>
      <c r="E6" s="367" t="s">
        <v>311</v>
      </c>
      <c r="F6" s="517">
        <f>VLOOKUP($A$2,'Footprint Summary'!$B$4:$R$26,COLUMNS('Footprint Summary'!$B$4:F$26)+1,0)</f>
        <v>1538.549</v>
      </c>
      <c r="G6" s="517">
        <f>VLOOKUP($A$2,'Footprint Summary'!$B$4:$R$26,COLUMNS('Footprint Summary'!$B$4:G$26)+1,0)</f>
        <v>1568.549</v>
      </c>
      <c r="H6" s="517">
        <f>VLOOKUP($A$2,'Footprint Summary'!$B$4:$R$26,COLUMNS('Footprint Summary'!$B$4:H$26)+1,0)</f>
        <v>1568.549</v>
      </c>
      <c r="I6" s="517">
        <f>VLOOKUP($A$2,'Footprint Summary'!$B$4:$R$26,COLUMNS('Footprint Summary'!$B$4:I$26)+1,0)</f>
        <v>1568.549</v>
      </c>
      <c r="J6" s="517">
        <f>VLOOKUP($A$2,'Footprint Summary'!$B$4:$R$26,COLUMNS('Footprint Summary'!$B$4:J$26)+1,0)</f>
        <v>1543.549</v>
      </c>
      <c r="K6" s="517">
        <f>VLOOKUP($A$2,'Footprint Summary'!$B$4:$R$26,COLUMNS('Footprint Summary'!$B$4:K$26)+1,0)</f>
        <v>1513.549</v>
      </c>
      <c r="L6" s="517">
        <f>VLOOKUP($A$2,'Footprint Summary'!$B$4:$R$26,COLUMNS('Footprint Summary'!$B$4:L$26)+1,0)</f>
        <v>1513.549</v>
      </c>
      <c r="M6" s="517">
        <f>VLOOKUP($A$2,'Footprint Summary'!$B$4:$R$26,COLUMNS('Footprint Summary'!$B$4:M$26)+1,0)</f>
        <v>1513.549</v>
      </c>
      <c r="N6" s="517">
        <f>VLOOKUP($A$2,'Footprint Summary'!$B$4:$R$26,COLUMNS('Footprint Summary'!$B$4:N$26)+1,0)</f>
        <v>1123.549</v>
      </c>
      <c r="O6" s="517">
        <f>VLOOKUP($A$2,'Footprint Summary'!$B$4:$R$26,COLUMNS('Footprint Summary'!$B$4:O$26)+1,0)</f>
        <v>1123.549</v>
      </c>
      <c r="P6" s="517">
        <f>VLOOKUP($A$2,'Footprint Summary'!$B$4:$R$26,COLUMNS('Footprint Summary'!$B$4:P$26)+1,0)</f>
        <v>1123.549</v>
      </c>
      <c r="Q6" s="429">
        <f>(P6-F6)/F6</f>
        <v>-0.26973466558426151</v>
      </c>
      <c r="R6" s="366"/>
      <c r="S6" s="357"/>
      <c r="T6" s="8"/>
      <c r="U6" s="8"/>
    </row>
    <row r="7" spans="1:21" s="7" customFormat="1" ht="17.25" customHeight="1">
      <c r="A7" s="368" t="str">
        <f>VLOOKUP($A$2,'Asset Attributes'!$B$3:$D$25,2,0)</f>
        <v>NSW3</v>
      </c>
      <c r="B7" s="368" t="s">
        <v>312</v>
      </c>
      <c r="E7" s="367" t="s">
        <v>311</v>
      </c>
      <c r="F7" s="518">
        <f>F6-$F$6</f>
        <v>0</v>
      </c>
      <c r="G7" s="518">
        <f t="shared" ref="G7:P7" si="1">G6-$F$6</f>
        <v>30</v>
      </c>
      <c r="H7" s="518">
        <f t="shared" si="1"/>
        <v>30</v>
      </c>
      <c r="I7" s="518">
        <f t="shared" si="1"/>
        <v>30</v>
      </c>
      <c r="J7" s="518">
        <f t="shared" si="1"/>
        <v>5</v>
      </c>
      <c r="K7" s="518">
        <f t="shared" si="1"/>
        <v>-25</v>
      </c>
      <c r="L7" s="518">
        <f t="shared" si="1"/>
        <v>-25</v>
      </c>
      <c r="M7" s="518">
        <f t="shared" si="1"/>
        <v>-25</v>
      </c>
      <c r="N7" s="518">
        <f t="shared" si="1"/>
        <v>-415</v>
      </c>
      <c r="O7" s="518">
        <f t="shared" si="1"/>
        <v>-415</v>
      </c>
      <c r="P7" s="518">
        <f t="shared" si="1"/>
        <v>-415</v>
      </c>
      <c r="Q7" s="490">
        <f>SUM(F7:P7)</f>
        <v>-1225</v>
      </c>
      <c r="R7" s="366"/>
      <c r="S7" s="357"/>
      <c r="T7" s="8"/>
      <c r="U7" s="8"/>
    </row>
    <row r="8" spans="1:21" s="7" customFormat="1" ht="17.25" customHeight="1">
      <c r="A8" s="419" t="s">
        <v>284</v>
      </c>
      <c r="B8" s="368" t="s">
        <v>313</v>
      </c>
      <c r="C8" s="2"/>
      <c r="D8" s="486">
        <f>(VLOOKUP($A$2,Assumptions!$B$69:$C$91,2,0))</f>
        <v>21.070059992207618</v>
      </c>
      <c r="E8" s="422" t="s">
        <v>314</v>
      </c>
      <c r="F8" s="519">
        <f>VLOOKUP($A$2,'Footprint Summary'!$B$33:$R$55,COLUMNS('Footprint Summary'!$B$33:F$55)+1,0)</f>
        <v>403.87900000000002</v>
      </c>
      <c r="G8" s="519">
        <f>VLOOKUP($A$2,'Footprint Summary'!$B$33:$R$55,COLUMNS('Footprint Summary'!$B$33:G$55)+1,0)</f>
        <v>258.87900000000002</v>
      </c>
      <c r="H8" s="519">
        <f>VLOOKUP($A$2,'Footprint Summary'!$B$33:$R$55,COLUMNS('Footprint Summary'!$B$33:H$55)+1,0)</f>
        <v>258.87900000000002</v>
      </c>
      <c r="I8" s="519">
        <f>VLOOKUP($A$2,'Footprint Summary'!$B$33:$R$55,COLUMNS('Footprint Summary'!$B$33:I$55)+1,0)</f>
        <v>258.87900000000002</v>
      </c>
      <c r="J8" s="519">
        <f>VLOOKUP($A$2,'Footprint Summary'!$B$33:$R$55,COLUMNS('Footprint Summary'!$B$33:J$55)+1,0)</f>
        <v>258.87900000000002</v>
      </c>
      <c r="K8" s="519">
        <f>VLOOKUP($A$2,'Footprint Summary'!$B$33:$R$55,COLUMNS('Footprint Summary'!$B$33:K$55)+1,0)</f>
        <v>135.87900000000002</v>
      </c>
      <c r="L8" s="519">
        <f>VLOOKUP($A$2,'Footprint Summary'!$B$33:$R$55,COLUMNS('Footprint Summary'!$B$33:L$55)+1,0)</f>
        <v>135.87900000000002</v>
      </c>
      <c r="M8" s="519">
        <f>VLOOKUP($A$2,'Footprint Summary'!$B$33:$R$55,COLUMNS('Footprint Summary'!$B$33:M$55)+1,0)</f>
        <v>135.87900000000002</v>
      </c>
      <c r="N8" s="519">
        <f>VLOOKUP($A$2,'Footprint Summary'!$B$33:$R$55,COLUMNS('Footprint Summary'!$B$33:N$55)+1,0)</f>
        <v>12.879000000000019</v>
      </c>
      <c r="O8" s="519">
        <f>VLOOKUP($A$2,'Footprint Summary'!$B$33:$R$55,COLUMNS('Footprint Summary'!$B$33:O$55)+1,0)</f>
        <v>12.879000000000019</v>
      </c>
      <c r="P8" s="519">
        <f>VLOOKUP($A$2,'Footprint Summary'!$B$33:$R$55,COLUMNS('Footprint Summary'!$B$33:P$55)+1,0)</f>
        <v>12.879000000000019</v>
      </c>
      <c r="Q8" s="429">
        <f>(P8-F8)/F8</f>
        <v>-0.96811173643591264</v>
      </c>
      <c r="R8" s="366"/>
      <c r="S8" s="357"/>
      <c r="T8" s="8"/>
      <c r="U8" s="8"/>
    </row>
    <row r="9" spans="1:21" s="7" customFormat="1" ht="17.25" customHeight="1">
      <c r="A9" s="419" t="s">
        <v>284</v>
      </c>
      <c r="B9" s="368" t="s">
        <v>315</v>
      </c>
      <c r="C9" s="2"/>
      <c r="D9" s="2"/>
      <c r="E9" s="422" t="s">
        <v>314</v>
      </c>
      <c r="F9" s="518">
        <f t="shared" ref="F9:P9" si="2">F8-$F$8</f>
        <v>0</v>
      </c>
      <c r="G9" s="518">
        <f t="shared" si="2"/>
        <v>-145</v>
      </c>
      <c r="H9" s="518">
        <f t="shared" si="2"/>
        <v>-145</v>
      </c>
      <c r="I9" s="518">
        <f t="shared" si="2"/>
        <v>-145</v>
      </c>
      <c r="J9" s="518">
        <f t="shared" si="2"/>
        <v>-145</v>
      </c>
      <c r="K9" s="518">
        <f t="shared" si="2"/>
        <v>-268</v>
      </c>
      <c r="L9" s="518">
        <f t="shared" si="2"/>
        <v>-268</v>
      </c>
      <c r="M9" s="518">
        <f t="shared" si="2"/>
        <v>-268</v>
      </c>
      <c r="N9" s="518">
        <f t="shared" si="2"/>
        <v>-391</v>
      </c>
      <c r="O9" s="518">
        <f t="shared" si="2"/>
        <v>-391</v>
      </c>
      <c r="P9" s="518">
        <f t="shared" si="2"/>
        <v>-391</v>
      </c>
      <c r="Q9" s="490">
        <f>SUM(F9:P9)</f>
        <v>-2557</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NSW3</v>
      </c>
      <c r="B13" s="368" t="s">
        <v>317</v>
      </c>
      <c r="C13" s="367"/>
      <c r="D13" s="2"/>
      <c r="E13" s="367" t="s">
        <v>321</v>
      </c>
      <c r="F13" s="367">
        <f>VLOOKUP($A$2,'Footprint Summary'!$B$4:$R$26,COLUMNS('Footprint Summary'!$B$4:F$26)+1,0)*VLOOKUP($A$13,Assumptions!$A$4:$N$14,COLUMNS(Assumptions!$A$4:B$14)+1,0)</f>
        <v>1215.45371</v>
      </c>
      <c r="G13" s="367">
        <f>VLOOKUP($A$2,'Footprint Summary'!$B$4:$R$26,COLUMNS('Footprint Summary'!$B$4:G$26)+1,0)*VLOOKUP($A$13,Assumptions!$A$4:$N$14,COLUMNS(Assumptions!$A$4:C$14)+1,0)</f>
        <v>581.93167900000003</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20.81188487</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53.836299396599991</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1290.1018942666001</v>
      </c>
      <c r="G16" s="434">
        <f t="shared" ref="G16:P16" si="4">SUM(G13:G15)</f>
        <v>581.93167900000003</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t="e">
        <f>1000*F16/(VLOOKUP($A$2,'Asset Attributes'!$B$3:$D$25,3,0))</f>
        <v>#DIV/0!</v>
      </c>
      <c r="G17" s="428" t="e">
        <f>1000*G16/(VLOOKUP($A$2,'Asset Attributes'!$B$3:$D$25,3,0))</f>
        <v>#DIV/0!</v>
      </c>
      <c r="H17" s="428" t="e">
        <f>1000*H16/(VLOOKUP($A$2,'Asset Attributes'!$B$3:$D$25,3,0))</f>
        <v>#DIV/0!</v>
      </c>
      <c r="I17" s="428" t="e">
        <f>1000*I16/(VLOOKUP($A$2,'Asset Attributes'!$B$3:$D$25,3,0))</f>
        <v>#DIV/0!</v>
      </c>
      <c r="J17" s="428" t="e">
        <f>1000*J16/(VLOOKUP($A$2,'Asset Attributes'!$B$3:$D$25,3,0))</f>
        <v>#DIV/0!</v>
      </c>
      <c r="K17" s="428" t="e">
        <f>1000*K16/(VLOOKUP($A$2,'Asset Attributes'!$B$3:$D$25,3,0))</f>
        <v>#DIV/0!</v>
      </c>
      <c r="L17" s="428" t="e">
        <f>1000*L16/(VLOOKUP($A$2,'Asset Attributes'!$B$3:$D$25,3,0))</f>
        <v>#DIV/0!</v>
      </c>
      <c r="M17" s="428" t="e">
        <f>1000*M16/(VLOOKUP($A$2,'Asset Attributes'!$B$3:$D$25,3,0))</f>
        <v>#DIV/0!</v>
      </c>
      <c r="N17" s="428" t="e">
        <f>1000*N16/(VLOOKUP($A$2,'Asset Attributes'!$B$3:$D$25,3,0))</f>
        <v>#DIV/0!</v>
      </c>
      <c r="O17" s="428" t="e">
        <f>1000*O16/(VLOOKUP($A$2,'Asset Attributes'!$B$3:$D$25,3,0))</f>
        <v>#DIV/0!</v>
      </c>
      <c r="P17" s="428" t="e">
        <f>1000*P16/(VLOOKUP($A$2,'Asset Attributes'!$B$3:$D$25,3,0))</f>
        <v>#DIV/0!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-22.259999999999998</v>
      </c>
      <c r="H20" s="499">
        <f>-1*(VLOOKUP($A$2,'Footprint Summary'!$B$244:T$266,COLUMNS('Footprint Summary'!$B$244:H$266)+1,0))</f>
        <v>-21.9</v>
      </c>
      <c r="I20" s="499">
        <f>-1*(VLOOKUP($A$2,'Footprint Summary'!$B$244:U$266,COLUMNS('Footprint Summary'!$B$244:I$266)+1,0))</f>
        <v>-19.86</v>
      </c>
      <c r="J20" s="499">
        <f>-1*(VLOOKUP($A$2,'Footprint Summary'!$B$244:V$266,COLUMNS('Footprint Summary'!$B$244:J$266)+1,0))</f>
        <v>-3.12</v>
      </c>
      <c r="K20" s="499">
        <f>-1*(VLOOKUP($A$2,'Footprint Summary'!$B$244:W$266,COLUMNS('Footprint Summary'!$B$244:K$266)+1,0))</f>
        <v>13.675000000000001</v>
      </c>
      <c r="L20" s="499">
        <f>-1*(VLOOKUP($A$2,'Footprint Summary'!$B$244:X$266,COLUMNS('Footprint Summary'!$B$244:L$266)+1,0))</f>
        <v>11.5</v>
      </c>
      <c r="M20" s="499">
        <f>-1*(VLOOKUP($A$2,'Footprint Summary'!$B$244:Y$266,COLUMNS('Footprint Summary'!$B$244:M$266)+1,0))</f>
        <v>9.5749999999999993</v>
      </c>
      <c r="N20" s="499">
        <f>-1*(VLOOKUP($A$2,'Footprint Summary'!$B$244:Z$266,COLUMNS('Footprint Summary'!$B$244:N$266)+1,0))</f>
        <v>134.875</v>
      </c>
      <c r="O20" s="499">
        <f>-1*(VLOOKUP($A$2,'Footprint Summary'!$B$244:AA$266,COLUMNS('Footprint Summary'!$B$244:O$266)+1,0))</f>
        <v>119.52</v>
      </c>
      <c r="P20" s="499">
        <f>-1*(VLOOKUP($A$2,'Footprint Summary'!$B$244:AB$266,COLUMNS('Footprint Summary'!$B$244:P$266)+1,0))</f>
        <v>109.56</v>
      </c>
      <c r="Q20" s="499">
        <f>SUM(G20:P20)</f>
        <v>331.565</v>
      </c>
      <c r="R20" s="366"/>
      <c r="S20" s="357"/>
      <c r="T20" s="8"/>
      <c r="U20" s="8"/>
    </row>
    <row r="21" spans="1:21" s="7" customFormat="1" ht="19.5" customHeight="1">
      <c r="A21" s="368" t="str">
        <f>VLOOKUP($A$2,'Asset Attributes'!$B$3:$D$25,2,0)</f>
        <v>NSW3</v>
      </c>
      <c r="B21" s="368" t="s">
        <v>326</v>
      </c>
      <c r="E21" s="367" t="s">
        <v>321</v>
      </c>
      <c r="F21" s="499">
        <f>-1*(VLOOKUP($A$2,'Footprint Summary'!$B$302:$R$324,COLUMNS('Footprint Summary'!$B$302:F324)+1,0))</f>
        <v>0</v>
      </c>
      <c r="G21" s="499">
        <f>-1*(VLOOKUP($A$2,'Footprint Summary'!$B$302:$R$324,COLUMNS('Footprint Summary'!$B$302:G324)+1,0))</f>
        <v>581.93167900000003</v>
      </c>
      <c r="H21" s="499">
        <f>-1*(VLOOKUP($A$2,'Footprint Summary'!$B$302:$R$324,COLUMNS('Footprint Summary'!$B$302:H324)+1,0))</f>
        <v>1145.0407700000001</v>
      </c>
      <c r="I21" s="499">
        <f>-1*(VLOOKUP($A$2,'Footprint Summary'!$B$302:$R$324,COLUMNS('Footprint Summary'!$B$302:I324)+1,0))</f>
        <v>1038.3794379999999</v>
      </c>
      <c r="J21" s="499">
        <f>-1*(VLOOKUP($A$2,'Footprint Summary'!$B$302:$R$324,COLUMNS('Footprint Summary'!$B$302:J324)+1,0))</f>
        <v>963.174576</v>
      </c>
      <c r="K21" s="499">
        <f>-1*(VLOOKUP($A$2,'Footprint Summary'!$B$302:$R$324,COLUMNS('Footprint Summary'!$B$302:K324)+1,0))</f>
        <v>827.91130300000009</v>
      </c>
      <c r="L21" s="499">
        <f>-1*(VLOOKUP($A$2,'Footprint Summary'!$B$302:$R$324,COLUMNS('Footprint Summary'!$B$302:L324)+1,0))</f>
        <v>696.23253999999997</v>
      </c>
      <c r="M21" s="499">
        <f>-1*(VLOOKUP($A$2,'Footprint Summary'!$B$302:$R$324,COLUMNS('Footprint Summary'!$B$302:M324)+1,0))</f>
        <v>579.68926699999997</v>
      </c>
      <c r="N21" s="499">
        <f>-1*(VLOOKUP($A$2,'Footprint Summary'!$B$302:$R$324,COLUMNS('Footprint Summary'!$B$302:N324)+1,0))</f>
        <v>365.15342500000003</v>
      </c>
      <c r="O21" s="499">
        <f>-1*(VLOOKUP($A$2,'Footprint Summary'!$B$302:$R$324,COLUMNS('Footprint Summary'!$B$302:O324)+1,0))</f>
        <v>323.582112</v>
      </c>
      <c r="P21" s="499">
        <f>-1*(VLOOKUP($A$2,'Footprint Summary'!$B$302:$R$324,COLUMNS('Footprint Summary'!$B$302:P324)+1,0))</f>
        <v>296.61693600000001</v>
      </c>
      <c r="Q21" s="499">
        <f t="shared" ref="Q21:Q27" si="6">SUM(G21:P21)</f>
        <v>6817.7120460000006</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13.340034870000002</v>
      </c>
      <c r="H22" s="499">
        <f>(VLOOKUP($A$2,'Footprint Summary'!$B$33:$R$55,COLUMNS('Footprint Summary'!$B$33:H$55)+1,0)*VLOOKUP($B$14,Assumptions!$B$17:$N$29,COLUMNS(Assumptions!$B$18:D$29)+1,0)/1000)</f>
        <v>13.340034870000002</v>
      </c>
      <c r="I22" s="499">
        <f>(VLOOKUP($A$2,'Footprint Summary'!$B$33:$R$55,COLUMNS('Footprint Summary'!$B$33:I$55)+1,0)*VLOOKUP($B$14,Assumptions!$B$17:$N$29,COLUMNS(Assumptions!$B$18:E$29)+1,0)/1000)</f>
        <v>13.340034870000002</v>
      </c>
      <c r="J22" s="499">
        <f>(VLOOKUP($A$2,'Footprint Summary'!$B$33:$R$55,COLUMNS('Footprint Summary'!$B$33:J$55)+1,0)*VLOOKUP($B$14,Assumptions!$B$17:$N$29,COLUMNS(Assumptions!$B$18:F$29)+1,0)/1000)</f>
        <v>13.340034870000002</v>
      </c>
      <c r="K22" s="499">
        <f>(VLOOKUP($A$2,'Footprint Summary'!$B$33:$R$55,COLUMNS('Footprint Summary'!$B$33:K$55)+1,0)*VLOOKUP($B$14,Assumptions!$B$17:$N$29,COLUMNS(Assumptions!$B$18:G$29)+1,0)/1000)</f>
        <v>7.0018448700000011</v>
      </c>
      <c r="L22" s="499">
        <f>(VLOOKUP($A$2,'Footprint Summary'!$B$33:$R$55,COLUMNS('Footprint Summary'!$B$33:L$55)+1,0)*VLOOKUP($B$14,Assumptions!$B$17:$N$29,COLUMNS(Assumptions!$B$18:H$29)+1,0)/1000)</f>
        <v>7.0018448700000011</v>
      </c>
      <c r="M22" s="499">
        <f>(VLOOKUP($A$2,'Footprint Summary'!$B$33:$R$55,COLUMNS('Footprint Summary'!$B$33:M$55)+1,0)*VLOOKUP($B$14,Assumptions!$B$17:$N$29,COLUMNS(Assumptions!$B$18:I$29)+1,0)/1000)</f>
        <v>7.0018448700000011</v>
      </c>
      <c r="N22" s="499">
        <f>(VLOOKUP($A$2,'Footprint Summary'!$B$33:$R$55,COLUMNS('Footprint Summary'!$B$33:N$55)+1,0)*VLOOKUP($B$14,Assumptions!$B$17:$N$29,COLUMNS(Assumptions!$B$18:J$29)+1,0)/1000)</f>
        <v>0.66365487000000101</v>
      </c>
      <c r="O22" s="499">
        <f>(VLOOKUP($A$2,'Footprint Summary'!$B$33:$R$55,COLUMNS('Footprint Summary'!$B$33:O$55)+1,0)*VLOOKUP($B$14,Assumptions!$B$17:$N$29,COLUMNS(Assumptions!$B$18:K$29)+1,0)/1000)</f>
        <v>0.66365487000000101</v>
      </c>
      <c r="P22" s="499">
        <f>(VLOOKUP($A$2,'Footprint Summary'!$B$33:$R$55,COLUMNS('Footprint Summary'!$B$33:P$55)+1,0)*VLOOKUP($B$14,Assumptions!$B$17:$N$29,COLUMNS(Assumptions!$B$18:L$29)+1,0)/1000)</f>
        <v>0.66365487000000101</v>
      </c>
      <c r="Q22" s="499">
        <f t="shared" si="6"/>
        <v>76.356638700000019</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7.4718500000000008</v>
      </c>
      <c r="H23" s="499">
        <f>-1*(VLOOKUP($A$2,'Footprint Summary'!$B$273:T$295,COLUMNS('Footprint Summary'!$B$273:H$295)+1,0))</f>
        <v>7.4718500000000008</v>
      </c>
      <c r="I23" s="499">
        <f>-1*(VLOOKUP($A$2,'Footprint Summary'!$B$273:U$295,COLUMNS('Footprint Summary'!$B$273:I$295)+1,0))</f>
        <v>7.4718500000000008</v>
      </c>
      <c r="J23" s="499">
        <f>-1*(VLOOKUP($A$2,'Footprint Summary'!$B$273:V$295,COLUMNS('Footprint Summary'!$B$273:J$295)+1,0))</f>
        <v>7.4718500000000008</v>
      </c>
      <c r="K23" s="499">
        <f>-1*(VLOOKUP($A$2,'Footprint Summary'!$B$273:W$295,COLUMNS('Footprint Summary'!$B$273:K$295)+1,0))</f>
        <v>13.810040000000001</v>
      </c>
      <c r="L23" s="499">
        <f>-1*(VLOOKUP($A$2,'Footprint Summary'!$B$273:X$295,COLUMNS('Footprint Summary'!$B$273:L$295)+1,0))</f>
        <v>13.810040000000001</v>
      </c>
      <c r="M23" s="499">
        <f>-1*(VLOOKUP($A$2,'Footprint Summary'!$B$273:Y$295,COLUMNS('Footprint Summary'!$B$273:M$295)+1,0))</f>
        <v>13.810040000000001</v>
      </c>
      <c r="N23" s="499">
        <f>-1*(VLOOKUP($A$2,'Footprint Summary'!$B$273:Z$295,COLUMNS('Footprint Summary'!$B$273:N$295)+1,0))</f>
        <v>20.148229999999998</v>
      </c>
      <c r="O23" s="499">
        <f>-1*(VLOOKUP($A$2,'Footprint Summary'!$B$273:AA$295,COLUMNS('Footprint Summary'!$B$273:O$295)+1,0))</f>
        <v>20.148229999999998</v>
      </c>
      <c r="P23" s="499">
        <f>-1*(VLOOKUP($A$2,'Footprint Summary'!$B$273:AB$295,COLUMNS('Footprint Summary'!$B$273:P$295)+1,0))</f>
        <v>20.148229999999998</v>
      </c>
      <c r="Q23" s="499">
        <f t="shared" si="6"/>
        <v>131.76220999999998</v>
      </c>
      <c r="R23" s="366"/>
      <c r="S23" s="357"/>
      <c r="T23" s="8"/>
      <c r="U23" s="8"/>
    </row>
    <row r="24" spans="1:21" s="7" customFormat="1" ht="19.5" customHeight="1">
      <c r="A24" s="419" t="s">
        <v>319</v>
      </c>
      <c r="B24" s="419" t="s">
        <v>329</v>
      </c>
      <c r="E24" s="425" t="s">
        <v>321</v>
      </c>
      <c r="F24" s="499">
        <v>0</v>
      </c>
      <c r="G24" s="499">
        <f>VLOOKUP($A$2,'Footprint Summary'!$B$216:$R$238,COLUMNS('Footprint Summary'!$B$216:G238)+1,0)</f>
        <v>49.255787924199993</v>
      </c>
      <c r="H24" s="499">
        <f>VLOOKUP($A$2,'Footprint Summary'!$B$216:$R$238,COLUMNS('Footprint Summary'!$B$216:H238)+1,0)</f>
        <v>44.675276451799995</v>
      </c>
      <c r="I24" s="499">
        <f>VLOOKUP($A$2,'Footprint Summary'!$B$216:$R$238,COLUMNS('Footprint Summary'!$B$216:I238)+1,0)</f>
        <v>40.094764979399997</v>
      </c>
      <c r="J24" s="499">
        <f>VLOOKUP($A$2,'Footprint Summary'!$B$216:$R$238,COLUMNS('Footprint Summary'!$B$216:J238)+1,0)</f>
        <v>35.514253506999999</v>
      </c>
      <c r="K24" s="499">
        <f>VLOOKUP($A$2,'Footprint Summary'!$B$216:$R$238,COLUMNS('Footprint Summary'!$B$216:K238)+1,0)</f>
        <v>30.933742034600002</v>
      </c>
      <c r="L24" s="499">
        <f>VLOOKUP($A$2,'Footprint Summary'!$B$216:$R$238,COLUMNS('Footprint Summary'!$B$216:L238)+1,0)</f>
        <v>26.353230562200004</v>
      </c>
      <c r="M24" s="499">
        <f>VLOOKUP($A$2,'Footprint Summary'!$B$216:$R$238,COLUMNS('Footprint Summary'!$B$216:M238)+1,0)</f>
        <v>21.772719089800006</v>
      </c>
      <c r="N24" s="499">
        <f>VLOOKUP($A$2,'Footprint Summary'!$B$216:$R$238,COLUMNS('Footprint Summary'!$B$216:N238)+1,0)</f>
        <v>17.192207617400005</v>
      </c>
      <c r="O24" s="499">
        <f>VLOOKUP($A$2,'Footprint Summary'!$B$216:$R$238,COLUMNS('Footprint Summary'!$B$216:O238)+1,0)</f>
        <v>12.611696145000005</v>
      </c>
      <c r="P24" s="499">
        <f>VLOOKUP($A$2,'Footprint Summary'!$B$216:$R$238,COLUMNS('Footprint Summary'!$B$216:P238)+1,0)</f>
        <v>12.611696144999998</v>
      </c>
      <c r="Q24" s="499">
        <f t="shared" si="6"/>
        <v>291.01537445639997</v>
      </c>
      <c r="R24" s="366"/>
      <c r="S24" s="357"/>
      <c r="T24" s="8"/>
      <c r="U24" s="8"/>
    </row>
    <row r="25" spans="1:21" s="7" customFormat="1" ht="19.5" customHeight="1">
      <c r="A25" s="419" t="s">
        <v>319</v>
      </c>
      <c r="B25" s="419" t="s">
        <v>319</v>
      </c>
      <c r="E25" s="425" t="s">
        <v>321</v>
      </c>
      <c r="F25" s="499">
        <f>VLOOKUP($A$2,'Footprint Summary'!$B$216:$R$238,COLUMNS('Footprint Summary'!$B$216:F238)+1,0)-F24</f>
        <v>53.836299396599991</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20.81188487</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NSW3</v>
      </c>
      <c r="B27" s="368" t="s">
        <v>330</v>
      </c>
      <c r="E27" s="425" t="s">
        <v>321</v>
      </c>
      <c r="F27" s="367">
        <f>VLOOKUP($A$2,'Footprint Summary'!$B$4:$R$26,COLUMNS('Footprint Summary'!$B$4:F$26)+1,0)*VLOOKUP($A$13,Assumptions!$A$4:$N$14,COLUMNS(Assumptions!$A$4:B$14)+1,0)</f>
        <v>1215.45371</v>
      </c>
      <c r="G27" s="499">
        <f>VLOOKUP($A$2,'Footprint Summary'!$B$4:$R$26,COLUMNS('Footprint Summary'!$B$4:G$26)+1,0)*VLOOKUP($A$13,Assumptions!$A$4:$N$14,COLUMNS(Assumptions!$A$4:C$14)+1,0)</f>
        <v>581.93167900000003</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581.93167900000003</v>
      </c>
      <c r="R27" s="366"/>
      <c r="S27" s="357"/>
      <c r="T27" s="8"/>
      <c r="U27" s="8"/>
    </row>
    <row r="28" spans="1:21" s="7" customFormat="1" ht="19.5" customHeight="1" thickBot="1">
      <c r="E28" s="425" t="s">
        <v>321</v>
      </c>
      <c r="F28" s="434">
        <f>SUM(F20:F23)</f>
        <v>0</v>
      </c>
      <c r="G28" s="434">
        <f t="shared" ref="G28:P28" si="7">SUM(G20:G23)</f>
        <v>580.48356387000001</v>
      </c>
      <c r="H28" s="434">
        <f t="shared" si="7"/>
        <v>1143.9526548699998</v>
      </c>
      <c r="I28" s="434">
        <f t="shared" si="7"/>
        <v>1039.3313228699999</v>
      </c>
      <c r="J28" s="434">
        <f t="shared" si="7"/>
        <v>980.86646086999997</v>
      </c>
      <c r="K28" s="434">
        <f t="shared" si="7"/>
        <v>862.39818787000002</v>
      </c>
      <c r="L28" s="434">
        <f t="shared" si="7"/>
        <v>728.54442486999994</v>
      </c>
      <c r="M28" s="434">
        <f t="shared" si="7"/>
        <v>610.07615186999999</v>
      </c>
      <c r="N28" s="434">
        <f t="shared" si="7"/>
        <v>520.84030987000006</v>
      </c>
      <c r="O28" s="434">
        <f t="shared" si="7"/>
        <v>463.91399687000001</v>
      </c>
      <c r="P28" s="434">
        <f t="shared" si="7"/>
        <v>426.98882087000004</v>
      </c>
      <c r="Q28" s="434">
        <f t="shared" ref="Q28" si="8">SUM(Q20:Q24)</f>
        <v>7648.4112691564005</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277500.96999999997</v>
      </c>
      <c r="G32" s="424">
        <f>VLOOKUP($A$2,'Costs Summary'!$B$154:$R$176,COLUMNS('Costs Summary'!$B$154:G$176)+1,0)</f>
        <v>175508.31209172949</v>
      </c>
      <c r="H32" s="424">
        <f>VLOOKUP($A$2,'Costs Summary'!$B$154:$R$176,COLUMNS('Costs Summary'!$B$154:H$176)+1,0)</f>
        <v>181651.10301493999</v>
      </c>
      <c r="I32" s="424">
        <f>VLOOKUP($A$2,'Costs Summary'!$B$154:$R$176,COLUMNS('Costs Summary'!$B$154:I$176)+1,0)</f>
        <v>188008.89162046288</v>
      </c>
      <c r="J32" s="424">
        <f>VLOOKUP($A$2,'Costs Summary'!$B$154:$R$176,COLUMNS('Costs Summary'!$B$154:J$176)+1,0)</f>
        <v>194589.20282717908</v>
      </c>
      <c r="K32" s="424">
        <f>VLOOKUP($A$2,'Costs Summary'!$B$154:$R$176,COLUMNS('Costs Summary'!$B$154:K$176)+1,0)</f>
        <v>201399.82492613033</v>
      </c>
      <c r="L32" s="424">
        <f>VLOOKUP($A$2,'Costs Summary'!$B$154:$R$176,COLUMNS('Costs Summary'!$B$154:L$176)+1,0)</f>
        <v>208448.8187985449</v>
      </c>
      <c r="M32" s="424">
        <f>VLOOKUP($A$2,'Costs Summary'!$B$154:$R$176,COLUMNS('Costs Summary'!$B$154:M$176)+1,0)</f>
        <v>215744.52745649396</v>
      </c>
      <c r="N32" s="424">
        <f>VLOOKUP($A$2,'Costs Summary'!$B$154:$R$176,COLUMNS('Costs Summary'!$B$154:N$176)+1,0)</f>
        <v>258893.43294779275</v>
      </c>
      <c r="O32" s="424">
        <f>VLOOKUP($A$2,'Costs Summary'!$B$154:$R$176,COLUMNS('Costs Summary'!$B$154:O$176)+1,0)</f>
        <v>267954.70310096547</v>
      </c>
      <c r="P32" s="424">
        <f>VLOOKUP($A$2,'Costs Summary'!$B$154:$R$176,COLUMNS('Costs Summary'!$B$154:P$176)+1,0)</f>
        <v>277333.1177094992</v>
      </c>
      <c r="Q32" s="433">
        <f>SUM(G32:P32)</f>
        <v>2169531.9344937382</v>
      </c>
      <c r="R32" s="366"/>
      <c r="S32" s="357"/>
      <c r="T32" s="8"/>
      <c r="U32" s="8"/>
    </row>
    <row r="33" spans="1:21" s="7" customFormat="1" ht="17.25" customHeight="1">
      <c r="A33" s="368" t="s">
        <v>284</v>
      </c>
      <c r="B33" s="368" t="s">
        <v>335</v>
      </c>
      <c r="C33" s="423"/>
      <c r="D33" s="423"/>
      <c r="E33" s="423"/>
      <c r="F33" s="424">
        <f>VLOOKUP($A$2,'Costs Summary'!$B$183:$R$205,COLUMNS('Costs Summary'!$B$183:F$205)+1,0)</f>
        <v>11872.099999999999</v>
      </c>
      <c r="G33" s="424">
        <f>VLOOKUP($A$2,'Costs Summary'!$B$183:$R$205,COLUMNS('Costs Summary'!$B$183:G$205)+1,0)</f>
        <v>8765.0474023806055</v>
      </c>
      <c r="H33" s="424">
        <f>VLOOKUP($A$2,'Costs Summary'!$B$183:$R$205,COLUMNS('Costs Summary'!$B$183:H$205)+1,0)</f>
        <v>9027.9988244520246</v>
      </c>
      <c r="I33" s="424">
        <f>VLOOKUP($A$2,'Costs Summary'!$B$183:$R$205,COLUMNS('Costs Summary'!$B$183:I$205)+1,0)</f>
        <v>9298.8387891855855</v>
      </c>
      <c r="J33" s="424">
        <f>VLOOKUP($A$2,'Costs Summary'!$B$183:$R$205,COLUMNS('Costs Summary'!$B$183:J$205)+1,0)</f>
        <v>9577.8039528611516</v>
      </c>
      <c r="K33" s="424">
        <f>VLOOKUP($A$2,'Costs Summary'!$B$183:$R$205,COLUMNS('Costs Summary'!$B$183:K$205)+1,0)</f>
        <v>9865.1380714469869</v>
      </c>
      <c r="L33" s="424">
        <f>VLOOKUP($A$2,'Costs Summary'!$B$183:$R$205,COLUMNS('Costs Summary'!$B$183:L$205)+1,0)</f>
        <v>10161.092213590397</v>
      </c>
      <c r="M33" s="424">
        <f>VLOOKUP($A$2,'Costs Summary'!$B$183:$R$205,COLUMNS('Costs Summary'!$B$183:M$205)+1,0)</f>
        <v>10465.924979998108</v>
      </c>
      <c r="N33" s="424">
        <f>VLOOKUP($A$2,'Costs Summary'!$B$183:$R$205,COLUMNS('Costs Summary'!$B$183:N$205)+1,0)</f>
        <v>10779.902729398053</v>
      </c>
      <c r="O33" s="424">
        <f>VLOOKUP($A$2,'Costs Summary'!$B$183:$R$205,COLUMNS('Costs Summary'!$B$183:O$205)+1,0)</f>
        <v>11103.299811279994</v>
      </c>
      <c r="P33" s="424">
        <f>VLOOKUP($A$2,'Costs Summary'!$B$183:$R$205,COLUMNS('Costs Summary'!$B$183:P$205)+1,0)</f>
        <v>11436.398805618395</v>
      </c>
      <c r="Q33" s="433">
        <f>SUM(G33:P33)</f>
        <v>100481.44558021129</v>
      </c>
      <c r="R33" s="366"/>
      <c r="S33" s="357"/>
      <c r="T33" s="8"/>
      <c r="U33" s="8"/>
    </row>
    <row r="34" spans="1:21" s="7" customFormat="1" ht="17.25" customHeight="1">
      <c r="A34" s="368" t="s">
        <v>284</v>
      </c>
      <c r="B34" s="368" t="s">
        <v>336</v>
      </c>
      <c r="H34" s="424">
        <f>VLOOKUP($A$2,'Costs Summary'!$B$241:$R$263,COLUMNS('Costs Summary'!$B$241:H263)+1,0)</f>
        <v>800.40209220000008</v>
      </c>
      <c r="I34" s="424">
        <f>VLOOKUP($A$2,'Costs Summary'!$B$241:$R$263,COLUMNS('Costs Summary'!$B$241:I263)+1,0)</f>
        <v>800.40209220000008</v>
      </c>
      <c r="J34" s="424">
        <f>VLOOKUP($A$2,'Costs Summary'!$B$241:$R$263,COLUMNS('Costs Summary'!$B$241:J263)+1,0)</f>
        <v>800.40209220000008</v>
      </c>
      <c r="K34" s="424">
        <f>VLOOKUP($A$2,'Costs Summary'!$B$241:$R$263,COLUMNS('Costs Summary'!$B$241:K263)+1,0)</f>
        <v>800.40209220000008</v>
      </c>
      <c r="L34" s="424">
        <f>VLOOKUP($A$2,'Costs Summary'!$B$241:$R$263,COLUMNS('Costs Summary'!$B$241:L263)+1,0)</f>
        <v>800.40209220000008</v>
      </c>
      <c r="M34" s="424">
        <f>VLOOKUP($A$2,'Costs Summary'!$B$241:$R$263,COLUMNS('Costs Summary'!$B$241:M263)+1,0)</f>
        <v>800.40209220000008</v>
      </c>
      <c r="N34" s="424">
        <f>VLOOKUP($A$2,'Costs Summary'!$B$241:$R$263,COLUMNS('Costs Summary'!$B$241:N263)+1,0)</f>
        <v>800.40209220000008</v>
      </c>
      <c r="O34" s="424">
        <f>VLOOKUP($A$2,'Costs Summary'!$B$241:$R$263,COLUMNS('Costs Summary'!$B$241:O263)+1,0)</f>
        <v>800.40209220000008</v>
      </c>
      <c r="P34" s="424">
        <f>VLOOKUP($A$2,'Costs Summary'!$B$241:$R$263,COLUMNS('Costs Summary'!$B$241:P263)+1,0)</f>
        <v>800.40209220000008</v>
      </c>
      <c r="Q34" s="433">
        <f>SUM(G34:P34)</f>
        <v>7203.6188298000006</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2680.5165871079998</v>
      </c>
      <c r="I35" s="424">
        <f>VLOOKUP($A$2,'Costs Summary'!$B$212:$R$234,COLUMNS('Costs Summary'!$B$212:I$234)+1,0)</f>
        <v>2405.6858987639998</v>
      </c>
      <c r="J35" s="424">
        <f>VLOOKUP($A$2,'Costs Summary'!$B$212:$R$234,COLUMNS('Costs Summary'!$B$212:J$234)+1,0)</f>
        <v>2130.8552104199998</v>
      </c>
      <c r="K35" s="424">
        <f>VLOOKUP($A$2,'Costs Summary'!$B$212:$R$234,COLUMNS('Costs Summary'!$B$212:K$234)+1,0)</f>
        <v>1856.024522076</v>
      </c>
      <c r="L35" s="424">
        <f>VLOOKUP($A$2,'Costs Summary'!$B$212:$R$234,COLUMNS('Costs Summary'!$B$212:L$234)+1,0)</f>
        <v>1581.1938337320003</v>
      </c>
      <c r="M35" s="424">
        <f>VLOOKUP($A$2,'Costs Summary'!$B$212:$R$234,COLUMNS('Costs Summary'!$B$212:M$234)+1,0)</f>
        <v>1306.3631453880002</v>
      </c>
      <c r="N35" s="424">
        <f>VLOOKUP($A$2,'Costs Summary'!$B$212:$R$234,COLUMNS('Costs Summary'!$B$212:N$234)+1,0)</f>
        <v>1031.5324570440002</v>
      </c>
      <c r="O35" s="424">
        <f>VLOOKUP($A$2,'Costs Summary'!$B$212:$R$234,COLUMNS('Costs Summary'!$B$212:O$234)+1,0)</f>
        <v>756.70176870000034</v>
      </c>
      <c r="P35" s="424">
        <f>VLOOKUP($A$2,'Costs Summary'!$B$212:$R$234,COLUMNS('Costs Summary'!$B$212:P$234)+1,0)</f>
        <v>756.70176869999989</v>
      </c>
      <c r="Q35" s="433">
        <f>SUM(G35:P35)</f>
        <v>14505.575191932003</v>
      </c>
      <c r="R35" s="366"/>
      <c r="S35" s="357"/>
      <c r="T35" s="8"/>
      <c r="U35" s="8"/>
    </row>
    <row r="36" spans="1:21" s="7" customFormat="1" ht="17.25" customHeight="1" thickBot="1">
      <c r="A36" s="437" t="s">
        <v>338</v>
      </c>
      <c r="C36" s="423"/>
      <c r="D36" s="423"/>
      <c r="E36" s="368" t="s">
        <v>669</v>
      </c>
      <c r="F36" s="461">
        <f t="shared" ref="F36:P36" si="10">SUM(F32:F35)</f>
        <v>289373.06999999995</v>
      </c>
      <c r="G36" s="461">
        <f t="shared" si="10"/>
        <v>184273.3594941101</v>
      </c>
      <c r="H36" s="461">
        <f t="shared" si="10"/>
        <v>194160.02051870001</v>
      </c>
      <c r="I36" s="461">
        <f t="shared" si="10"/>
        <v>200513.81840061248</v>
      </c>
      <c r="J36" s="461">
        <f t="shared" si="10"/>
        <v>207098.26408266023</v>
      </c>
      <c r="K36" s="461">
        <f t="shared" si="10"/>
        <v>213921.38961185334</v>
      </c>
      <c r="L36" s="461">
        <f t="shared" si="10"/>
        <v>220991.50693806729</v>
      </c>
      <c r="M36" s="461">
        <f t="shared" si="10"/>
        <v>228317.21767408008</v>
      </c>
      <c r="N36" s="461">
        <f t="shared" si="10"/>
        <v>271505.2702264348</v>
      </c>
      <c r="O36" s="461">
        <f t="shared" si="10"/>
        <v>280615.10677314544</v>
      </c>
      <c r="P36" s="461">
        <f t="shared" si="10"/>
        <v>290326.62037601758</v>
      </c>
      <c r="Q36" s="462">
        <f t="shared" ref="Q36" si="11">SUM(Q32:Q35)</f>
        <v>2291722.5740956813</v>
      </c>
      <c r="R36" s="366"/>
      <c r="S36" s="357"/>
      <c r="T36" s="8"/>
      <c r="U36" s="8"/>
    </row>
    <row r="37" spans="1:21" s="7" customFormat="1" ht="17.25" customHeight="1" thickTop="1" thickBot="1">
      <c r="C37" s="423"/>
      <c r="D37" s="423"/>
      <c r="E37" s="368" t="s">
        <v>340</v>
      </c>
      <c r="F37" s="468" t="e">
        <f>F36/(VLOOKUP($A$2,'Asset Attributes'!$B$3:$D$25,3,0))</f>
        <v>#DIV/0!</v>
      </c>
      <c r="G37" s="468" t="e">
        <f>G36/(VLOOKUP($A$2,'Asset Attributes'!$B$3:$D$25,3,0))</f>
        <v>#DIV/0!</v>
      </c>
      <c r="H37" s="468" t="e">
        <f>H36/(VLOOKUP($A$2,'Asset Attributes'!$B$3:$D$25,3,0))</f>
        <v>#DIV/0!</v>
      </c>
      <c r="I37" s="468" t="e">
        <f>I36/(VLOOKUP($A$2,'Asset Attributes'!$B$3:$D$25,3,0))</f>
        <v>#DIV/0!</v>
      </c>
      <c r="J37" s="468" t="e">
        <f>J36/(VLOOKUP($A$2,'Asset Attributes'!$B$3:$D$25,3,0))</f>
        <v>#DIV/0!</v>
      </c>
      <c r="K37" s="468" t="e">
        <f>K36/(VLOOKUP($A$2,'Asset Attributes'!$B$3:$D$25,3,0))</f>
        <v>#DIV/0!</v>
      </c>
      <c r="L37" s="468" t="e">
        <f>L36/(VLOOKUP($A$2,'Asset Attributes'!$B$3:$D$25,3,0))</f>
        <v>#DIV/0!</v>
      </c>
      <c r="M37" s="468" t="e">
        <f>M36/(VLOOKUP($A$2,'Asset Attributes'!$B$3:$D$25,3,0))</f>
        <v>#DIV/0!</v>
      </c>
      <c r="N37" s="468" t="e">
        <f>N36/(VLOOKUP($A$2,'Asset Attributes'!$B$3:$D$25,3,0))</f>
        <v>#DIV/0!</v>
      </c>
      <c r="O37" s="468" t="e">
        <f>O36/(VLOOKUP($A$2,'Asset Attributes'!$B$3:$D$25,3,0))</f>
        <v>#DIV/0!</v>
      </c>
      <c r="P37" s="468" t="e">
        <f>P36/(VLOOKUP($A$2,'Asset Attributes'!$B$3:$D$25,3,0))</f>
        <v>#DIV/0!</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NSW3</v>
      </c>
      <c r="B39" s="368" t="s">
        <v>342</v>
      </c>
      <c r="C39" s="423"/>
      <c r="D39" s="423"/>
      <c r="E39" s="367"/>
      <c r="F39" s="424">
        <f>VLOOKUP($A$2,'Costs Summary'!$B$4:$R$26,COLUMNS('Costs Summary'!$B$4:F$26)+1,0)</f>
        <v>277500.96999999997</v>
      </c>
      <c r="G39" s="424">
        <f>VLOOKUP($A$2,'Costs Summary'!$B$4:$R$26,COLUMNS('Costs Summary'!$B$4:G$26)+1,0)</f>
        <v>178930.52962445148</v>
      </c>
      <c r="H39" s="424">
        <f>VLOOKUP($A$2,'Costs Summary'!$B$4:$R$26,COLUMNS('Costs Summary'!$B$4:H$26)+1,0)</f>
        <v>185193.09816130725</v>
      </c>
      <c r="I39" s="424">
        <f>VLOOKUP($A$2,'Costs Summary'!$B$4:$R$26,COLUMNS('Costs Summary'!$B$4:I$26)+1,0)</f>
        <v>191674.856596953</v>
      </c>
      <c r="J39" s="424">
        <f>VLOOKUP($A$2,'Costs Summary'!$B$4:$R$26,COLUMNS('Costs Summary'!$B$4:J$26)+1,0)</f>
        <v>195221.58178562362</v>
      </c>
      <c r="K39" s="424">
        <f>VLOOKUP($A$2,'Costs Summary'!$B$4:$R$26,COLUMNS('Costs Summary'!$B$4:K$26)+1,0)</f>
        <v>198127.26381617982</v>
      </c>
      <c r="L39" s="424">
        <f>VLOOKUP($A$2,'Costs Summary'!$B$4:$R$26,COLUMNS('Costs Summary'!$B$4:L$26)+1,0)</f>
        <v>205061.71804974609</v>
      </c>
      <c r="M39" s="424">
        <f>VLOOKUP($A$2,'Costs Summary'!$B$4:$R$26,COLUMNS('Costs Summary'!$B$4:M$26)+1,0)</f>
        <v>212238.87818148721</v>
      </c>
      <c r="N39" s="424">
        <f>VLOOKUP($A$2,'Costs Summary'!$B$4:$R$26,COLUMNS('Costs Summary'!$B$4:N$26)+1,0)</f>
        <v>189060.89938965844</v>
      </c>
      <c r="O39" s="424">
        <f>VLOOKUP($A$2,'Costs Summary'!$B$4:$R$26,COLUMNS('Costs Summary'!$B$4:O$26)+1,0)</f>
        <v>195678.03086829645</v>
      </c>
      <c r="P39" s="424">
        <f>VLOOKUP($A$2,'Costs Summary'!$B$4:$R$26,COLUMNS('Costs Summary'!$B$4:P$26)+1,0)</f>
        <v>202526.76194868679</v>
      </c>
      <c r="Q39" s="433">
        <f>SUM(G39:P39)</f>
        <v>1953713.61842239</v>
      </c>
      <c r="R39" s="366"/>
      <c r="S39" s="357"/>
      <c r="T39" s="8"/>
      <c r="U39" s="8"/>
    </row>
    <row r="40" spans="1:21" s="7" customFormat="1" ht="17.25" customHeight="1">
      <c r="A40" s="368" t="s">
        <v>284</v>
      </c>
      <c r="B40" s="368" t="s">
        <v>343</v>
      </c>
      <c r="C40" s="423"/>
      <c r="D40" s="423"/>
      <c r="E40" s="423"/>
      <c r="F40" s="424">
        <f>VLOOKUP($A$2,'Costs Summary'!$B$33:$R$55,COLUMNS('Costs Summary'!$B$33:F$55)+1,0)</f>
        <v>11872.099999999999</v>
      </c>
      <c r="G40" s="424">
        <f>VLOOKUP($A$2,'Costs Summary'!$B$33:$R$55,COLUMNS('Costs Summary'!$B$33:G$55)+1,0)</f>
        <v>5618.2339425443979</v>
      </c>
      <c r="H40" s="424">
        <f>VLOOKUP($A$2,'Costs Summary'!$B$33:$R$55,COLUMNS('Costs Summary'!$B$33:H$55)+1,0)</f>
        <v>5786.7809608207299</v>
      </c>
      <c r="I40" s="424">
        <f>VLOOKUP($A$2,'Costs Summary'!$B$33:$R$55,COLUMNS('Costs Summary'!$B$33:I$55)+1,0)</f>
        <v>5960.3843896453518</v>
      </c>
      <c r="J40" s="424">
        <f>VLOOKUP($A$2,'Costs Summary'!$B$33:$R$55,COLUMNS('Costs Summary'!$B$33:J$55)+1,0)</f>
        <v>6139.1959213347127</v>
      </c>
      <c r="K40" s="424">
        <f>VLOOKUP($A$2,'Costs Summary'!$B$33:$R$55,COLUMNS('Costs Summary'!$B$33:K$55)+1,0)</f>
        <v>3318.9769609465839</v>
      </c>
      <c r="L40" s="424">
        <f>VLOOKUP($A$2,'Costs Summary'!$B$33:$R$55,COLUMNS('Costs Summary'!$B$33:L$55)+1,0)</f>
        <v>3418.5462697749813</v>
      </c>
      <c r="M40" s="424">
        <f>VLOOKUP($A$2,'Costs Summary'!$B$33:$R$55,COLUMNS('Costs Summary'!$B$33:M$55)+1,0)</f>
        <v>3521.1026578682308</v>
      </c>
      <c r="N40" s="424">
        <f>VLOOKUP($A$2,'Costs Summary'!$B$33:$R$55,COLUMNS('Costs Summary'!$B$33:N$55)+1,0)</f>
        <v>343.75237943026923</v>
      </c>
      <c r="O40" s="424">
        <f>VLOOKUP($A$2,'Costs Summary'!$B$33:$R$55,COLUMNS('Costs Summary'!$B$33:O$55)+1,0)</f>
        <v>354.06495081317735</v>
      </c>
      <c r="P40" s="424">
        <f>VLOOKUP($A$2,'Costs Summary'!$B$33:$R$55,COLUMNS('Costs Summary'!$B$33:P$55)+1,0)</f>
        <v>364.6868993375727</v>
      </c>
      <c r="Q40" s="433">
        <f>SUM(G40:P40)</f>
        <v>34825.725332516013</v>
      </c>
      <c r="R40" s="366"/>
      <c r="S40" s="357"/>
      <c r="T40" s="8"/>
      <c r="U40" s="8"/>
    </row>
    <row r="41" spans="1:21" s="7" customFormat="1" ht="17.25" customHeight="1">
      <c r="A41" s="368" t="s">
        <v>284</v>
      </c>
      <c r="B41" s="368" t="s">
        <v>336</v>
      </c>
      <c r="H41" s="424">
        <f>VLOOKUP($A$2,'Costs Summary'!$B$125:$R$147,COLUMNS('Costs Summary'!$B$125:H$147)+1,0)</f>
        <v>800.40209220000008</v>
      </c>
      <c r="I41" s="424">
        <f>VLOOKUP($A$2,'Costs Summary'!$B$125:$R$147,COLUMNS('Costs Summary'!$B$125:I$147)+1,0)</f>
        <v>800.40209220000008</v>
      </c>
      <c r="J41" s="424">
        <f>VLOOKUP($A$2,'Costs Summary'!$B$125:$R$147,COLUMNS('Costs Summary'!$B$125:J$147)+1,0)</f>
        <v>800.40209220000008</v>
      </c>
      <c r="K41" s="424">
        <f>VLOOKUP($A$2,'Costs Summary'!$B$125:$R$147,COLUMNS('Costs Summary'!$B$125:K$147)+1,0)</f>
        <v>420.11069220000007</v>
      </c>
      <c r="L41" s="424">
        <f>VLOOKUP($A$2,'Costs Summary'!$B$125:$R$147,COLUMNS('Costs Summary'!$B$125:L$147)+1,0)</f>
        <v>420.11069220000007</v>
      </c>
      <c r="M41" s="424">
        <f>VLOOKUP($A$2,'Costs Summary'!$B$125:$R$147,COLUMNS('Costs Summary'!$B$125:M$147)+1,0)</f>
        <v>420.11069220000007</v>
      </c>
      <c r="N41" s="424">
        <f>VLOOKUP($A$2,'Costs Summary'!$B$125:$R$147,COLUMNS('Costs Summary'!$B$125:N$147)+1,0)</f>
        <v>39.819292200000064</v>
      </c>
      <c r="O41" s="424">
        <f>VLOOKUP($A$2,'Costs Summary'!$B$125:$R$147,COLUMNS('Costs Summary'!$B$125:O$147)+1,0)</f>
        <v>39.819292200000064</v>
      </c>
      <c r="P41" s="424">
        <f>VLOOKUP($A$2,'Costs Summary'!$B$125:$R$147,COLUMNS('Costs Summary'!$B$125:P$147)+1,0)</f>
        <v>39.819292200000064</v>
      </c>
      <c r="Q41" s="433">
        <f t="shared" ref="Q41:Q42" si="12">SUM(G41:P41)</f>
        <v>3780.9962298</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2680.5165871079998</v>
      </c>
      <c r="I42" s="424">
        <f>VLOOKUP($A$2,'Costs Summary'!$B$212:$R$234,COLUMNS('Costs Summary'!$B$212:I$234)+1,0)</f>
        <v>2405.6858987639998</v>
      </c>
      <c r="J42" s="424">
        <f>VLOOKUP($A$2,'Costs Summary'!$B$212:$R$234,COLUMNS('Costs Summary'!$B$212:J$234)+1,0)</f>
        <v>2130.8552104199998</v>
      </c>
      <c r="K42" s="424">
        <f>VLOOKUP($A$2,'Costs Summary'!$B$212:$R$234,COLUMNS('Costs Summary'!$B$212:K$234)+1,0)</f>
        <v>1856.024522076</v>
      </c>
      <c r="L42" s="424">
        <f>VLOOKUP($A$2,'Costs Summary'!$B$212:$R$234,COLUMNS('Costs Summary'!$B$212:L$234)+1,0)</f>
        <v>1581.1938337320003</v>
      </c>
      <c r="M42" s="424">
        <f>VLOOKUP($A$2,'Costs Summary'!$B$212:$R$234,COLUMNS('Costs Summary'!$B$212:M$234)+1,0)</f>
        <v>1306.3631453880002</v>
      </c>
      <c r="N42" s="424">
        <f>VLOOKUP($A$2,'Costs Summary'!$B$212:$R$234,COLUMNS('Costs Summary'!$B$212:N$234)+1,0)</f>
        <v>1031.5324570440002</v>
      </c>
      <c r="O42" s="424">
        <f>VLOOKUP($A$2,'Costs Summary'!$B$212:$R$234,COLUMNS('Costs Summary'!$B$212:O$234)+1,0)</f>
        <v>756.70176870000034</v>
      </c>
      <c r="P42" s="424">
        <f>VLOOKUP($A$2,'Costs Summary'!$B$212:$R$234,COLUMNS('Costs Summary'!$B$212:P$234)+1,0)</f>
        <v>756.70176869999989</v>
      </c>
      <c r="Q42" s="433">
        <f t="shared" si="12"/>
        <v>14505.575191932003</v>
      </c>
      <c r="R42" s="366"/>
      <c r="S42" s="357"/>
      <c r="T42" s="8"/>
      <c r="U42" s="8"/>
    </row>
    <row r="43" spans="1:21" s="7" customFormat="1" ht="17.25" customHeight="1" thickBot="1">
      <c r="A43" s="437" t="s">
        <v>338</v>
      </c>
      <c r="E43" s="368" t="s">
        <v>669</v>
      </c>
      <c r="F43" s="461">
        <f t="shared" ref="F43:P43" si="13">SUM(F39:F42)</f>
        <v>289373.06999999995</v>
      </c>
      <c r="G43" s="461">
        <f t="shared" si="13"/>
        <v>184548.76356699588</v>
      </c>
      <c r="H43" s="461">
        <f t="shared" si="13"/>
        <v>194460.79780143598</v>
      </c>
      <c r="I43" s="461">
        <f t="shared" si="13"/>
        <v>200841.32897756237</v>
      </c>
      <c r="J43" s="461">
        <f t="shared" si="13"/>
        <v>204292.03500957834</v>
      </c>
      <c r="K43" s="461">
        <f t="shared" si="13"/>
        <v>203722.3759914024</v>
      </c>
      <c r="L43" s="461">
        <f t="shared" si="13"/>
        <v>210481.56884545306</v>
      </c>
      <c r="M43" s="461">
        <f t="shared" si="13"/>
        <v>217486.45467694342</v>
      </c>
      <c r="N43" s="461">
        <f t="shared" si="13"/>
        <v>190476.00351833273</v>
      </c>
      <c r="O43" s="461">
        <f t="shared" si="13"/>
        <v>196828.61688000965</v>
      </c>
      <c r="P43" s="461">
        <f t="shared" si="13"/>
        <v>203687.96990892437</v>
      </c>
      <c r="Q43" s="462">
        <f t="shared" ref="Q43" si="14">SUM(Q39:Q42)</f>
        <v>2006825.9151766379</v>
      </c>
      <c r="R43" s="366"/>
      <c r="S43" s="357"/>
      <c r="T43" s="8"/>
      <c r="U43" s="8"/>
    </row>
    <row r="44" spans="1:21" s="7" customFormat="1" ht="17.25" customHeight="1" thickTop="1" thickBot="1">
      <c r="E44" s="368" t="s">
        <v>340</v>
      </c>
      <c r="F44" s="468" t="e">
        <f>F43/(VLOOKUP($A$2,'Asset Attributes'!$B$3:$D$25,3,0))</f>
        <v>#DIV/0!</v>
      </c>
      <c r="G44" s="468" t="e">
        <f>G43/(VLOOKUP($A$2,'Asset Attributes'!$B$3:$D$25,3,0))</f>
        <v>#DIV/0!</v>
      </c>
      <c r="H44" s="468" t="e">
        <f>H43/(VLOOKUP($A$2,'Asset Attributes'!$B$3:$D$25,3,0))</f>
        <v>#DIV/0!</v>
      </c>
      <c r="I44" s="468" t="e">
        <f>I43/(VLOOKUP($A$2,'Asset Attributes'!$B$3:$D$25,3,0))</f>
        <v>#DIV/0!</v>
      </c>
      <c r="J44" s="468" t="e">
        <f>J43/(VLOOKUP($A$2,'Asset Attributes'!$B$3:$D$25,3,0))</f>
        <v>#DIV/0!</v>
      </c>
      <c r="K44" s="468" t="e">
        <f>K43/(VLOOKUP($A$2,'Asset Attributes'!$B$3:$D$25,3,0))</f>
        <v>#DIV/0!</v>
      </c>
      <c r="L44" s="468" t="e">
        <f>L43/(VLOOKUP($A$2,'Asset Attributes'!$B$3:$D$25,3,0))</f>
        <v>#DIV/0!</v>
      </c>
      <c r="M44" s="468" t="e">
        <f>M43/(VLOOKUP($A$2,'Asset Attributes'!$B$3:$D$25,3,0))</f>
        <v>#DIV/0!</v>
      </c>
      <c r="N44" s="468" t="e">
        <f>N43/(VLOOKUP($A$2,'Asset Attributes'!$B$3:$D$25,3,0))</f>
        <v>#DIV/0!</v>
      </c>
      <c r="O44" s="468" t="e">
        <f>O43/(VLOOKUP($A$2,'Asset Attributes'!$B$3:$D$25,3,0))</f>
        <v>#DIV/0!</v>
      </c>
      <c r="P44" s="468" t="e">
        <f>P43/(VLOOKUP($A$2,'Asset Attributes'!$B$3:$D$25,3,0))</f>
        <v>#DIV/0!</v>
      </c>
      <c r="Q44" s="460" t="e">
        <f>Q43/(VLOOKUP($A$2,'Asset Attributes'!$B$3:$D$25,3,0))</f>
        <v>#DIV/0!</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275.4040728857799</v>
      </c>
      <c r="H46" s="461">
        <f t="shared" si="15"/>
        <v>300.77728273597313</v>
      </c>
      <c r="I46" s="461">
        <f t="shared" si="15"/>
        <v>327.5105769498914</v>
      </c>
      <c r="J46" s="461">
        <f t="shared" si="15"/>
        <v>-2806.2290730818931</v>
      </c>
      <c r="K46" s="461">
        <f t="shared" si="15"/>
        <v>-10199.013620450947</v>
      </c>
      <c r="L46" s="461">
        <f t="shared" si="15"/>
        <v>-10509.938092614233</v>
      </c>
      <c r="M46" s="461">
        <f t="shared" si="15"/>
        <v>-10830.762997136655</v>
      </c>
      <c r="N46" s="461">
        <f t="shared" si="15"/>
        <v>-81029.266708102077</v>
      </c>
      <c r="O46" s="461">
        <f t="shared" si="15"/>
        <v>-83786.489893135789</v>
      </c>
      <c r="P46" s="461">
        <f t="shared" si="15"/>
        <v>-86638.650467093219</v>
      </c>
      <c r="Q46" s="462">
        <f>SUM(F46:P46)</f>
        <v>-284896.65891904314</v>
      </c>
      <c r="R46" s="366"/>
      <c r="S46" s="357"/>
      <c r="T46" s="8"/>
      <c r="U46" s="8"/>
    </row>
    <row r="47" spans="1:21" s="7" customFormat="1" ht="17.25" customHeight="1" thickTop="1" thickBot="1">
      <c r="A47" s="9"/>
      <c r="B47" s="1"/>
      <c r="C47" s="2"/>
      <c r="D47" s="2"/>
      <c r="E47" s="368" t="s">
        <v>340</v>
      </c>
      <c r="F47" s="468" t="e">
        <f>F46/(VLOOKUP($A$2,'Asset Attributes'!$B$3:$D$25,3,0))</f>
        <v>#DIV/0!</v>
      </c>
      <c r="G47" s="468" t="e">
        <f>G46/(VLOOKUP($A$2,'Asset Attributes'!$B$3:$D$25,3,0))</f>
        <v>#DIV/0!</v>
      </c>
      <c r="H47" s="468" t="e">
        <f>H46/(VLOOKUP($A$2,'Asset Attributes'!$B$3:$D$25,3,0))</f>
        <v>#DIV/0!</v>
      </c>
      <c r="I47" s="468" t="e">
        <f>I46/(VLOOKUP($A$2,'Asset Attributes'!$B$3:$D$25,3,0))</f>
        <v>#DIV/0!</v>
      </c>
      <c r="J47" s="468" t="e">
        <f>J46/(VLOOKUP($A$2,'Asset Attributes'!$B$3:$D$25,3,0))</f>
        <v>#DIV/0!</v>
      </c>
      <c r="K47" s="468" t="e">
        <f>K46/(VLOOKUP($A$2,'Asset Attributes'!$B$3:$D$25,3,0))</f>
        <v>#DIV/0!</v>
      </c>
      <c r="L47" s="468" t="e">
        <f>L46/(VLOOKUP($A$2,'Asset Attributes'!$B$3:$D$25,3,0))</f>
        <v>#DIV/0!</v>
      </c>
      <c r="M47" s="468" t="e">
        <f>M46/(VLOOKUP($A$2,'Asset Attributes'!$B$3:$D$25,3,0))</f>
        <v>#DIV/0!</v>
      </c>
      <c r="N47" s="468" t="e">
        <f>N46/(VLOOKUP($A$2,'Asset Attributes'!$B$3:$D$25,3,0))</f>
        <v>#DIV/0!</v>
      </c>
      <c r="O47" s="468" t="e">
        <f>O46/(VLOOKUP($A$2,'Asset Attributes'!$B$3:$D$25,3,0))</f>
        <v>#DIV/0!</v>
      </c>
      <c r="P47" s="468" t="e">
        <f>P46/(VLOOKUP($A$2,'Asset Attributes'!$B$3:$D$25,3,0))</f>
        <v>#DIV/0!</v>
      </c>
      <c r="Q47" s="460" t="e">
        <f>Q46/(VLOOKUP($A$2,'Asset Attributes'!$B$3:$D$25,3,0))</f>
        <v>#DIV/0!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3" s="7" customFormat="1" ht="17.25" customHeight="1">
      <c r="B49" s="368" t="s">
        <v>346</v>
      </c>
      <c r="C49" s="2"/>
      <c r="D49" s="2"/>
      <c r="E49" s="459" t="s">
        <v>347</v>
      </c>
      <c r="F49" s="463"/>
      <c r="G49" s="464">
        <f t="shared" ref="G49:P49" si="16">G115</f>
        <v>226200</v>
      </c>
      <c r="H49" s="464">
        <f t="shared" si="16"/>
        <v>0</v>
      </c>
      <c r="I49" s="464">
        <f t="shared" si="16"/>
        <v>221000</v>
      </c>
      <c r="J49" s="464">
        <f t="shared" si="16"/>
        <v>2151500</v>
      </c>
      <c r="K49" s="464">
        <f t="shared" si="16"/>
        <v>0</v>
      </c>
      <c r="L49" s="464">
        <f t="shared" si="16"/>
        <v>0</v>
      </c>
      <c r="M49" s="464">
        <f t="shared" si="16"/>
        <v>2489500</v>
      </c>
      <c r="N49" s="464">
        <f t="shared" si="16"/>
        <v>0</v>
      </c>
      <c r="O49" s="464">
        <f t="shared" si="16"/>
        <v>0</v>
      </c>
      <c r="P49" s="464">
        <f t="shared" si="16"/>
        <v>0</v>
      </c>
      <c r="Q49" s="465">
        <f>+SUM(F49:P49)</f>
        <v>5088200</v>
      </c>
      <c r="R49" s="366"/>
      <c r="S49" s="357"/>
      <c r="T49" s="8"/>
      <c r="U49" s="8"/>
      <c r="V49" s="8"/>
      <c r="W49" s="8"/>
    </row>
    <row r="50" spans="1:23" s="7" customFormat="1" ht="17.25" customHeight="1">
      <c r="A50" s="9"/>
      <c r="B50" s="368"/>
      <c r="C50" s="2"/>
      <c r="D50" s="2"/>
      <c r="E50" s="459" t="s">
        <v>348</v>
      </c>
      <c r="F50" s="466">
        <f>F46</f>
        <v>0</v>
      </c>
      <c r="G50" s="466">
        <f t="shared" ref="G50:P50" si="17">G46</f>
        <v>275.4040728857799</v>
      </c>
      <c r="H50" s="466">
        <f t="shared" si="17"/>
        <v>300.77728273597313</v>
      </c>
      <c r="I50" s="466">
        <f t="shared" si="17"/>
        <v>327.5105769498914</v>
      </c>
      <c r="J50" s="466">
        <f t="shared" si="17"/>
        <v>-2806.2290730818931</v>
      </c>
      <c r="K50" s="466">
        <f t="shared" si="17"/>
        <v>-10199.013620450947</v>
      </c>
      <c r="L50" s="466">
        <f t="shared" si="17"/>
        <v>-10509.938092614233</v>
      </c>
      <c r="M50" s="466">
        <f t="shared" si="17"/>
        <v>-10830.762997136655</v>
      </c>
      <c r="N50" s="466">
        <f t="shared" si="17"/>
        <v>-81029.266708102077</v>
      </c>
      <c r="O50" s="466">
        <f t="shared" si="17"/>
        <v>-83786.489893135789</v>
      </c>
      <c r="P50" s="466">
        <f t="shared" si="17"/>
        <v>-86638.650467093219</v>
      </c>
      <c r="Q50" s="467">
        <f>Q46</f>
        <v>-284896.65891904314</v>
      </c>
      <c r="R50" s="366"/>
      <c r="S50" s="357"/>
      <c r="T50" s="8"/>
      <c r="U50" s="8"/>
      <c r="V50" s="8"/>
      <c r="W50" s="8"/>
    </row>
    <row r="51" spans="1:23"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row>
    <row r="52" spans="1:23"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row>
    <row r="53" spans="1:23"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row>
    <row r="54" spans="1:23"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row>
    <row r="55" spans="1:23" s="7" customFormat="1" ht="33.75" customHeight="1" thickTop="1" thickBot="1">
      <c r="A55" s="184" t="s">
        <v>671</v>
      </c>
      <c r="B55" s="200"/>
      <c r="C55" s="200" t="s">
        <v>601</v>
      </c>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row>
    <row r="56" spans="1:23" ht="25.5" customHeight="1" thickTop="1">
      <c r="A56" s="438" t="s">
        <v>357</v>
      </c>
      <c r="B56" s="11"/>
      <c r="C56" s="442">
        <v>45016</v>
      </c>
      <c r="D56" s="159"/>
      <c r="E56" s="487" t="str">
        <f>A2</f>
        <v>20 Bridge Street</v>
      </c>
      <c r="F56" s="440">
        <f t="shared" ref="F56:P56" si="19">F272</f>
        <v>4.7257012393998696</v>
      </c>
      <c r="G56" s="440">
        <f t="shared" si="19"/>
        <v>4.7257012393998696</v>
      </c>
      <c r="H56" s="440">
        <f t="shared" si="19"/>
        <v>4.7003145304979235</v>
      </c>
      <c r="I56" s="440">
        <f t="shared" si="19"/>
        <v>4.7003145304979235</v>
      </c>
      <c r="J56" s="440">
        <f t="shared" si="19"/>
        <v>4.7308108394982238</v>
      </c>
      <c r="K56" s="440">
        <f t="shared" si="19"/>
        <v>4.7769146172882726</v>
      </c>
      <c r="L56" s="440">
        <f t="shared" si="19"/>
        <v>4.7769146172882726</v>
      </c>
      <c r="M56" s="440">
        <f t="shared" si="19"/>
        <v>4.7769146172882726</v>
      </c>
      <c r="N56" s="440">
        <f t="shared" si="19"/>
        <v>5.2621652446826381</v>
      </c>
      <c r="O56" s="440">
        <f t="shared" si="19"/>
        <v>5.2621652446826381</v>
      </c>
      <c r="P56" s="440">
        <f t="shared" si="19"/>
        <v>5.2621652446826381</v>
      </c>
      <c r="Q56" s="470">
        <f>IF(E56="",0,P56-F56)</f>
        <v>0.5364640052827685</v>
      </c>
      <c r="R56" s="473" t="s">
        <v>358</v>
      </c>
      <c r="S56" s="478" t="s">
        <v>18</v>
      </c>
      <c r="T56" s="473" t="s">
        <v>358</v>
      </c>
      <c r="U56" s="478" t="s">
        <v>18</v>
      </c>
      <c r="V56" s="473" t="s">
        <v>358</v>
      </c>
      <c r="W56" s="479" t="s">
        <v>78</v>
      </c>
    </row>
    <row r="57" spans="1:23" ht="25.5" customHeight="1">
      <c r="A57" s="438" t="s">
        <v>6</v>
      </c>
      <c r="C57" s="275" t="s">
        <v>118</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0</v>
      </c>
      <c r="T57" s="473" t="s">
        <v>669</v>
      </c>
      <c r="U57" s="479">
        <f>IF(U56="Underway","",S115)</f>
        <v>0</v>
      </c>
      <c r="V57" s="473" t="s">
        <v>361</v>
      </c>
      <c r="W57" s="478" t="s">
        <v>675</v>
      </c>
    </row>
    <row r="58" spans="1:23" ht="25.5" customHeight="1">
      <c r="A58" s="438" t="s">
        <v>363</v>
      </c>
      <c r="B58" s="14"/>
      <c r="C58" s="275" t="s">
        <v>364</v>
      </c>
      <c r="D58" s="160"/>
      <c r="E58" s="488" t="str">
        <f>IF(VLOOKUP($A$2,'Asset Attributes'!B3:G25,6,0)&gt;0.001,"IOM","")</f>
        <v>IOM</v>
      </c>
      <c r="F58" s="439">
        <f>IF($E$58="IOM",SUMPRODUCT('Footprint Summary'!G153:G175,'Footprint Summary'!$C153:$C175,'Footprint Summary'!$F153:$F175)/SUMPRODUCT('Footprint Summary'!$C153:$C175,'Footprint Summary'!$F153:$F175),"")</f>
        <v>5.2362114353485207</v>
      </c>
      <c r="G58" s="439">
        <f>IF($E$58="IOM",SUMPRODUCT('Footprint Summary'!H153:H175,'Footprint Summary'!$C153:$C175,'Footprint Summary'!$F153:$F175)/SUMPRODUCT('Footprint Summary'!$C153:$C175,'Footprint Summary'!$F153:$F175),"")</f>
        <v>5.2411379167279479</v>
      </c>
      <c r="H58" s="439">
        <f>IF($E$58="IOM",SUMPRODUCT('Footprint Summary'!I153:I175,'Footprint Summary'!$C153:$C175,'Footprint Summary'!$F153:$F175)/SUMPRODUCT('Footprint Summary'!$C153:$C175,'Footprint Summary'!$F153:$F175),"")</f>
        <v>5.2496818726451897</v>
      </c>
      <c r="I58" s="439">
        <f>IF($E$58="IOM",SUMPRODUCT('Footprint Summary'!J153:J175,'Footprint Summary'!$C153:$C175,'Footprint Summary'!$F153:$F175)/SUMPRODUCT('Footprint Summary'!$C153:$C175,'Footprint Summary'!$F153:$F175),"")</f>
        <v>5.320108554869873</v>
      </c>
      <c r="J58" s="439">
        <f>IF($E$58="IOM",SUMPRODUCT('Footprint Summary'!K153:K175,'Footprint Summary'!$C153:$C175,'Footprint Summary'!$F153:$F175)/SUMPRODUCT('Footprint Summary'!$C153:$C175,'Footprint Summary'!$F153:$F175),"")</f>
        <v>5.3391845328632543</v>
      </c>
      <c r="K58" s="439">
        <f>IF($E$58="IOM",SUMPRODUCT('Footprint Summary'!L153:L175,'Footprint Summary'!$C153:$C175,'Footprint Summary'!$F153:$F175)/SUMPRODUCT('Footprint Summary'!$C153:$C175,'Footprint Summary'!$F153:$F175),"")</f>
        <v>5.3755072640861155</v>
      </c>
      <c r="L58" s="439">
        <f>IF($E$58="IOM",SUMPRODUCT('Footprint Summary'!M153:M175,'Footprint Summary'!$C153:$C175,'Footprint Summary'!$F153:$F175)/SUMPRODUCT('Footprint Summary'!$C153:$C175,'Footprint Summary'!$F153:$F175),"")</f>
        <v>5.390749690844074</v>
      </c>
      <c r="M58" s="439">
        <f>IF($E$58="IOM",SUMPRODUCT('Footprint Summary'!N153:N175,'Footprint Summary'!$C153:$C175,'Footprint Summary'!$F153:$F175)/SUMPRODUCT('Footprint Summary'!$C153:$C175,'Footprint Summary'!$F153:$F175),"")</f>
        <v>5.3929057608146413</v>
      </c>
      <c r="N58" s="439">
        <f>IF($E$58="IOM",SUMPRODUCT('Footprint Summary'!O153:O175,'Footprint Summary'!$C153:$C175,'Footprint Summary'!$F153:$F175)/SUMPRODUCT('Footprint Summary'!$C153:$C175,'Footprint Summary'!$F153:$F175),"")</f>
        <v>5.4401140698252073</v>
      </c>
      <c r="O58" s="439">
        <f>IF($E$58="IOM",SUMPRODUCT('Footprint Summary'!P153:P175,'Footprint Summary'!$C153:$C175,'Footprint Summary'!$F153:$F175)/SUMPRODUCT('Footprint Summary'!$C153:$C175,'Footprint Summary'!$F153:$F175),"")</f>
        <v>5.4606208482479177</v>
      </c>
      <c r="P58" s="439">
        <f>IF($E$58="IOM",SUMPRODUCT('Footprint Summary'!Q153:Q175,'Footprint Summary'!$C153:$C175,'Footprint Summary'!$F153:$F175)/SUMPRODUCT('Footprint Summary'!$C153:$C175,'Footprint Summary'!$F153:$F175),"")</f>
        <v>5.4929511999918361</v>
      </c>
      <c r="Q58" s="470">
        <f>IF(E58="","",P58-F58)</f>
        <v>0.25673976464331538</v>
      </c>
      <c r="R58" s="482" t="s">
        <v>366</v>
      </c>
      <c r="S58" s="479">
        <f>IF(S56="Underway","",-1*(1000*AL214*D6+AM214*D8))</f>
        <v>33490.723478861531</v>
      </c>
      <c r="T58" s="473" t="s">
        <v>367</v>
      </c>
      <c r="U58" s="478">
        <f>IF(U56="Underway","",-1*S64)</f>
        <v>0.96811173643591264</v>
      </c>
      <c r="V58" s="473" t="s">
        <v>368</v>
      </c>
      <c r="W58" s="478">
        <v>0</v>
      </c>
    </row>
    <row r="59" spans="1:23" ht="25.5" customHeight="1">
      <c r="A59" s="438" t="s">
        <v>369</v>
      </c>
      <c r="B59" s="14"/>
      <c r="C59" s="443">
        <v>2000</v>
      </c>
      <c r="D59" s="161"/>
      <c r="E59" s="488" t="str">
        <f>IF(VLOOKUP($A$2,'Asset Attributes'!B3:G25,5,0)&gt;0.001,"IGO","")</f>
        <v/>
      </c>
      <c r="F59" s="439" t="str">
        <f>IF($E$59="IGO",SUMPRODUCT('Footprint Summary'!G153:G175,'Footprint Summary'!$C153:$C175,'Footprint Summary'!$E153:$E175)/SUMPRODUCT('Footprint Summary'!$C153:$C175,'Footprint Summary'!$E153:$E175),"")</f>
        <v/>
      </c>
      <c r="G59" s="439" t="str">
        <f>IF($E$59="IGO",SUMPRODUCT('Footprint Summary'!H153:H175,'Footprint Summary'!$C153:$C175,'Footprint Summary'!$E153:$E175)/SUMPRODUCT('Footprint Summary'!$C153:$C175,'Footprint Summary'!$E153:$E175),"")</f>
        <v/>
      </c>
      <c r="H59" s="439" t="str">
        <f>IF($E$59="IGO",SUMPRODUCT('Footprint Summary'!I153:I175,'Footprint Summary'!$C153:$C175,'Footprint Summary'!$E153:$E175)/SUMPRODUCT('Footprint Summary'!$C153:$C175,'Footprint Summary'!$E153:$E175),"")</f>
        <v/>
      </c>
      <c r="I59" s="439" t="str">
        <f>IF($E$59="IGO",SUMPRODUCT('Footprint Summary'!J153:J175,'Footprint Summary'!$C153:$C175,'Footprint Summary'!$E153:$E175)/SUMPRODUCT('Footprint Summary'!$C153:$C175,'Footprint Summary'!$E153:$E175),"")</f>
        <v/>
      </c>
      <c r="J59" s="439" t="str">
        <f>IF($E$59="IGO",SUMPRODUCT('Footprint Summary'!K153:K175,'Footprint Summary'!$C153:$C175,'Footprint Summary'!$E153:$E175)/SUMPRODUCT('Footprint Summary'!$C153:$C175,'Footprint Summary'!$E153:$E175),"")</f>
        <v/>
      </c>
      <c r="K59" s="439" t="str">
        <f>IF($E$59="IGO",SUMPRODUCT('Footprint Summary'!L153:L175,'Footprint Summary'!$C153:$C175,'Footprint Summary'!$E153:$E175)/SUMPRODUCT('Footprint Summary'!$C153:$C175,'Footprint Summary'!$E153:$E175),"")</f>
        <v/>
      </c>
      <c r="L59" s="439" t="str">
        <f>IF($E$59="IGO",SUMPRODUCT('Footprint Summary'!M153:M175,'Footprint Summary'!$C153:$C175,'Footprint Summary'!$E153:$E175)/SUMPRODUCT('Footprint Summary'!$C153:$C175,'Footprint Summary'!$E153:$E175),"")</f>
        <v/>
      </c>
      <c r="M59" s="439" t="str">
        <f>IF($E$59="IGO",SUMPRODUCT('Footprint Summary'!N153:N175,'Footprint Summary'!$C153:$C175,'Footprint Summary'!$E153:$E175)/SUMPRODUCT('Footprint Summary'!$C153:$C175,'Footprint Summary'!$E153:$E175),"")</f>
        <v/>
      </c>
      <c r="N59" s="439" t="str">
        <f>IF($E$59="IGO",SUMPRODUCT('Footprint Summary'!O153:O175,'Footprint Summary'!$C153:$C175,'Footprint Summary'!$E153:$E175)/SUMPRODUCT('Footprint Summary'!$C153:$C175,'Footprint Summary'!$E153:$E175),"")</f>
        <v/>
      </c>
      <c r="O59" s="439" t="str">
        <f>IF($E$59="IGO",SUMPRODUCT('Footprint Summary'!P153:P175,'Footprint Summary'!$C153:$C175,'Footprint Summary'!$E153:$E175)/SUMPRODUCT('Footprint Summary'!$C153:$C175,'Footprint Summary'!$E153:$E175),"")</f>
        <v/>
      </c>
      <c r="P59" s="439" t="str">
        <f>IF($E$59="IGO",SUMPRODUCT('Footprint Summary'!Q153:Q175,'Footprint Summary'!$C153:$C175,'Footprint Summary'!$E153:$E175)/SUMPRODUCT('Footprint Summary'!$C153:$C175,'Footprint Summary'!$E153:$E175),"")</f>
        <v/>
      </c>
      <c r="Q59" s="471" t="str">
        <f>IF(E59="","",P59-G59)</f>
        <v/>
      </c>
      <c r="R59" s="473" t="s">
        <v>370</v>
      </c>
      <c r="S59" s="480">
        <f>V115</f>
        <v>8.7760500711087184E-3</v>
      </c>
      <c r="T59" s="473" t="s">
        <v>371</v>
      </c>
      <c r="U59" s="483" t="e">
        <f ca="1">IF(U56="Underway","",_xlfn.MAXIFS(E69:E88,S69:S88,"Yes"))</f>
        <v>#NAME?</v>
      </c>
      <c r="V59" s="482" t="s">
        <v>372</v>
      </c>
      <c r="W59" s="479">
        <f>T115</f>
        <v>0</v>
      </c>
    </row>
    <row r="60" spans="1:23" ht="25.5" customHeight="1">
      <c r="A60" s="438" t="s">
        <v>373</v>
      </c>
      <c r="B60" s="14"/>
      <c r="C60" s="275">
        <v>17031.7</v>
      </c>
      <c r="D60" s="160"/>
      <c r="Q60" s="10"/>
      <c r="R60" s="473" t="s">
        <v>374</v>
      </c>
      <c r="S60" s="481">
        <f>IF(S56="Underway","",U115)</f>
        <v>0.52024821252240061</v>
      </c>
      <c r="T60" s="10"/>
      <c r="U60" s="10"/>
      <c r="V60" s="473" t="s">
        <v>375</v>
      </c>
      <c r="W60" s="483" t="e">
        <f ca="1">IF(IF(W58=1,"Complete",_xlfn.MAXIFS(E69:E114,T69:T114,"Yes"))=0,"",IF(W58=1,"Complete",_xlfn.MAXIFS(E69:E114,T69:T114,"Yes")))</f>
        <v>#NAME?</v>
      </c>
    </row>
    <row r="61" spans="1:23" ht="25.5" customHeight="1">
      <c r="A61" s="438" t="s">
        <v>376</v>
      </c>
      <c r="B61" s="14"/>
      <c r="C61" s="444">
        <v>50</v>
      </c>
      <c r="D61" s="162"/>
      <c r="H61" s="13"/>
      <c r="J61" s="14"/>
      <c r="K61" s="14"/>
      <c r="L61" s="14"/>
      <c r="M61" s="10"/>
      <c r="N61" s="10"/>
      <c r="O61" s="10"/>
      <c r="P61" s="10"/>
      <c r="Q61" s="10"/>
      <c r="R61" s="482" t="s">
        <v>377</v>
      </c>
      <c r="S61" s="481">
        <f>P272</f>
        <v>5.2621652446826381</v>
      </c>
      <c r="T61" s="10"/>
      <c r="U61" s="10"/>
      <c r="V61" s="473" t="s">
        <v>378</v>
      </c>
      <c r="W61" s="478">
        <v>0</v>
      </c>
    </row>
    <row r="62" spans="1:23" ht="25.5" customHeight="1">
      <c r="A62" s="438" t="s">
        <v>379</v>
      </c>
      <c r="B62" s="14"/>
      <c r="C62" s="275">
        <v>1538.549</v>
      </c>
      <c r="H62" s="13"/>
      <c r="J62" s="14"/>
      <c r="K62" s="14"/>
      <c r="L62" s="347"/>
      <c r="M62" s="10"/>
      <c r="N62" s="10"/>
      <c r="O62" s="10"/>
      <c r="P62" s="10"/>
      <c r="Q62" s="10"/>
      <c r="R62" s="482" t="s">
        <v>380</v>
      </c>
      <c r="S62" s="481">
        <f>Q272</f>
        <v>5.2621652446826381</v>
      </c>
      <c r="T62" s="10"/>
      <c r="U62" s="10"/>
      <c r="V62" s="10"/>
      <c r="W62" s="14"/>
    </row>
    <row r="63" spans="1:23" ht="25.5" customHeight="1">
      <c r="A63" s="438" t="s">
        <v>382</v>
      </c>
      <c r="B63" s="14"/>
      <c r="C63" s="275">
        <v>403.87900000000002</v>
      </c>
      <c r="H63" s="13"/>
      <c r="J63" s="14"/>
      <c r="K63" s="14"/>
      <c r="L63" s="10"/>
      <c r="M63" s="10"/>
      <c r="N63" s="10"/>
      <c r="O63" s="10"/>
      <c r="P63" s="10"/>
      <c r="Q63" s="10"/>
      <c r="R63" s="476" t="s">
        <v>383</v>
      </c>
      <c r="S63" s="478">
        <f>C115/C62</f>
        <v>-0.26973466558426151</v>
      </c>
      <c r="T63" s="10"/>
      <c r="U63" s="10"/>
      <c r="V63" s="10"/>
      <c r="W63" s="14"/>
    </row>
    <row r="64" spans="1:23" ht="25.5" customHeight="1">
      <c r="A64" s="446" t="s">
        <v>385</v>
      </c>
      <c r="B64" s="447"/>
      <c r="C64" s="445">
        <v>78</v>
      </c>
      <c r="D64" s="495">
        <f>(AJ215-C64)/C64</f>
        <v>-0.2108716205380729</v>
      </c>
      <c r="H64" s="13"/>
      <c r="J64" s="14"/>
      <c r="K64" s="14"/>
      <c r="L64" s="10"/>
      <c r="M64" s="10"/>
      <c r="N64" s="10"/>
      <c r="O64" s="10"/>
      <c r="P64" s="10"/>
      <c r="Q64" s="10"/>
      <c r="R64" s="476" t="s">
        <v>386</v>
      </c>
      <c r="S64" s="478">
        <f>D115/C63</f>
        <v>-0.96811173643591264</v>
      </c>
      <c r="T64" s="10"/>
      <c r="U64" s="14"/>
      <c r="V64" s="10"/>
      <c r="W64" s="14"/>
    </row>
    <row r="65" spans="1:23" ht="25.5" customHeight="1">
      <c r="B65" s="487" t="s">
        <v>387</v>
      </c>
      <c r="C65" s="489">
        <f>Z216</f>
        <v>4.7257012393998696</v>
      </c>
      <c r="D65" s="16"/>
      <c r="J65" s="14"/>
      <c r="K65" s="14"/>
      <c r="L65" s="14"/>
      <c r="M65" s="14"/>
      <c r="N65" s="14"/>
      <c r="O65" s="14"/>
      <c r="P65" s="14"/>
      <c r="Q65" s="14"/>
      <c r="R65" s="10"/>
      <c r="S65" s="10"/>
      <c r="T65" s="14"/>
      <c r="U65" s="14"/>
      <c r="V65" s="14"/>
      <c r="W65" s="14"/>
    </row>
    <row r="66" spans="1:23"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row>
    <row r="67" spans="1:23" s="18" customFormat="1" ht="43" thickTop="1" thickBot="1">
      <c r="A67" s="184" t="s">
        <v>391</v>
      </c>
      <c r="B67" s="184" t="s">
        <v>392</v>
      </c>
      <c r="C67" s="370" t="s">
        <v>393</v>
      </c>
      <c r="D67" s="370" t="s">
        <v>394</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row>
    <row r="68" spans="1:23" ht="17.25" hidden="1" customHeight="1" thickTop="1">
      <c r="A68" s="17"/>
      <c r="B68" s="371"/>
      <c r="C68" s="371"/>
      <c r="D68" s="371"/>
      <c r="E68" s="371"/>
      <c r="P68" s="372"/>
      <c r="Q68" s="372"/>
      <c r="S68" s="372"/>
      <c r="V68" s="12"/>
      <c r="W68" s="12"/>
    </row>
    <row r="69" spans="1:23" ht="15.5" thickTop="1">
      <c r="A69" s="373"/>
      <c r="B69" s="374" t="s">
        <v>602</v>
      </c>
      <c r="C69" s="375">
        <v>0</v>
      </c>
      <c r="D69" s="376"/>
      <c r="E69" s="377">
        <v>45016</v>
      </c>
      <c r="F69" s="378">
        <v>31200</v>
      </c>
      <c r="G69" s="403">
        <f>IF(E69&lt;G66,F69,0)</f>
        <v>31200</v>
      </c>
      <c r="H69" s="404">
        <f t="shared" ref="H69:Q81"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c r="S69" s="379"/>
      <c r="T69" s="380"/>
      <c r="U69" s="411" t="str">
        <f>IF(-0.75*((C69/(VLOOKUP($A$2,Assumptions!$B$124:$G$147,2,0)))+D69/(VLOOKUP($A$2,Assumptions!$B$124:$G$147,5,0)))=0,"",-0.75*((C69/(VLOOKUP($A$2,Assumptions!$B$124:$G$147,2,0)))+D69/(VLOOKUP($A$2,Assumptions!$B$124:$G$147,5,0))))</f>
        <v/>
      </c>
      <c r="V69" s="412">
        <f t="shared" ref="V69:V88" si="22">IF(ISERROR(((-1*C69*1000*$D$6)+(-1*D69*$D$8))/F69),"",((-1*C69*1000*$D$6)+(-1*D69*$D$8))/F69)</f>
        <v>0</v>
      </c>
      <c r="W69" s="450"/>
    </row>
    <row r="70" spans="1:23" ht="15">
      <c r="A70" s="373"/>
      <c r="B70" s="374" t="s">
        <v>603</v>
      </c>
      <c r="C70" s="381">
        <v>30</v>
      </c>
      <c r="D70" s="381">
        <v>-145</v>
      </c>
      <c r="E70" s="377">
        <v>45382</v>
      </c>
      <c r="F70" s="378">
        <v>195000</v>
      </c>
      <c r="G70" s="403">
        <f t="shared" ref="G70:G81" si="23">IF($E70&lt;G$66,$F70,0)</f>
        <v>195000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c r="S70" s="379"/>
      <c r="T70" s="382"/>
      <c r="U70" s="413">
        <f>IF(-0.75*((C70/(VLOOKUP($A$2,Assumptions!$B$124:$G$147,2,0)))+D70/(VLOOKUP($A$2,Assumptions!$B$124:$G$147,5,0)))=0,"",-0.75*((C70/(VLOOKUP($A$2,Assumptions!$B$124:$G$147,2,0)))+D70/(VLOOKUP($A$2,Assumptions!$B$124:$G$147,5,0))))</f>
        <v>6.2933154737958505E-3</v>
      </c>
      <c r="V70" s="414">
        <f t="shared" si="22"/>
        <v>2.1676085830735548E-3</v>
      </c>
      <c r="W70" s="451"/>
    </row>
    <row r="71" spans="1:23" ht="15">
      <c r="A71" s="373"/>
      <c r="B71" s="374" t="s">
        <v>604</v>
      </c>
      <c r="C71" s="383">
        <v>0</v>
      </c>
      <c r="D71" s="383"/>
      <c r="E71" s="377">
        <v>46112</v>
      </c>
      <c r="F71" s="384">
        <v>104000</v>
      </c>
      <c r="G71" s="403">
        <f t="shared" si="23"/>
        <v>0</v>
      </c>
      <c r="H71" s="404">
        <f t="shared" si="21"/>
        <v>0</v>
      </c>
      <c r="I71" s="405">
        <f t="shared" si="21"/>
        <v>104000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c r="S71" s="379"/>
      <c r="T71" s="382"/>
      <c r="U71" s="413" t="str">
        <f>IF(-0.75*((C71/(VLOOKUP($A$2,Assumptions!$B$124:$G$147,2,0)))+D71/(VLOOKUP($A$2,Assumptions!$B$124:$G$147,5,0)))=0,"",-0.75*((C71/(VLOOKUP($A$2,Assumptions!$B$124:$G$147,2,0)))+D71/(VLOOKUP($A$2,Assumptions!$B$124:$G$147,5,0))))</f>
        <v/>
      </c>
      <c r="V71" s="414">
        <f t="shared" si="22"/>
        <v>0</v>
      </c>
      <c r="W71" s="451"/>
    </row>
    <row r="72" spans="1:23" ht="15">
      <c r="A72" s="373"/>
      <c r="B72" s="374" t="s">
        <v>605</v>
      </c>
      <c r="C72" s="375">
        <v>-25</v>
      </c>
      <c r="D72" s="375"/>
      <c r="E72" s="377">
        <v>46112</v>
      </c>
      <c r="F72" s="378">
        <v>117000</v>
      </c>
      <c r="G72" s="403">
        <f t="shared" si="23"/>
        <v>0</v>
      </c>
      <c r="H72" s="404">
        <f t="shared" si="21"/>
        <v>0</v>
      </c>
      <c r="I72" s="405">
        <f t="shared" si="21"/>
        <v>117000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c r="S72" s="379"/>
      <c r="T72" s="382"/>
      <c r="U72" s="413">
        <f>IF(-0.75*((C72/(VLOOKUP($A$2,Assumptions!$B$124:$G$147,2,0)))+D72/(VLOOKUP($A$2,Assumptions!$B$124:$G$147,5,0)))=0,"",-0.75*((C72/(VLOOKUP($A$2,Assumptions!$B$124:$G$147,2,0)))+D72/(VLOOKUP($A$2,Assumptions!$B$124:$G$147,5,0))))</f>
        <v>2.5372124492557512E-2</v>
      </c>
      <c r="V72" s="414">
        <f t="shared" si="22"/>
        <v>1.8749822116600864E-2</v>
      </c>
      <c r="W72" s="451"/>
    </row>
    <row r="73" spans="1:23" ht="15">
      <c r="A73" s="373"/>
      <c r="B73" s="374" t="s">
        <v>606</v>
      </c>
      <c r="C73" s="381">
        <v>-5</v>
      </c>
      <c r="D73" s="381"/>
      <c r="E73" s="377">
        <v>46477</v>
      </c>
      <c r="F73" s="378">
        <v>97500</v>
      </c>
      <c r="G73" s="403">
        <f t="shared" si="23"/>
        <v>0</v>
      </c>
      <c r="H73" s="404">
        <f t="shared" si="21"/>
        <v>0</v>
      </c>
      <c r="I73" s="405">
        <f t="shared" si="21"/>
        <v>0</v>
      </c>
      <c r="J73" s="405">
        <f t="shared" si="21"/>
        <v>97500</v>
      </c>
      <c r="K73" s="405">
        <f t="shared" si="21"/>
        <v>0</v>
      </c>
      <c r="L73" s="405">
        <f t="shared" si="21"/>
        <v>0</v>
      </c>
      <c r="M73" s="405">
        <f t="shared" si="21"/>
        <v>0</v>
      </c>
      <c r="N73" s="405">
        <f t="shared" si="21"/>
        <v>0</v>
      </c>
      <c r="O73" s="405">
        <f t="shared" si="21"/>
        <v>0</v>
      </c>
      <c r="P73" s="406">
        <f t="shared" si="21"/>
        <v>0</v>
      </c>
      <c r="Q73" s="448">
        <f t="shared" si="21"/>
        <v>0</v>
      </c>
      <c r="R73" s="379"/>
      <c r="S73" s="379"/>
      <c r="T73" s="382"/>
      <c r="U73" s="413">
        <f>IF(-0.75*((C73/(VLOOKUP($A$2,Assumptions!$B$124:$G$147,2,0)))+D73/(VLOOKUP($A$2,Assumptions!$B$124:$G$147,5,0)))=0,"",-0.75*((C73/(VLOOKUP($A$2,Assumptions!$B$124:$G$147,2,0)))+D73/(VLOOKUP($A$2,Assumptions!$B$124:$G$147,5,0))))</f>
        <v>5.0744248985115023E-3</v>
      </c>
      <c r="V73" s="414">
        <f t="shared" si="22"/>
        <v>4.4999573079842073E-3</v>
      </c>
      <c r="W73" s="451"/>
    </row>
    <row r="74" spans="1:23" ht="45">
      <c r="A74" s="373"/>
      <c r="B74" s="374" t="s">
        <v>607</v>
      </c>
      <c r="C74" s="375">
        <v>10</v>
      </c>
      <c r="D74" s="375">
        <v>-123</v>
      </c>
      <c r="E74" s="377">
        <v>46477</v>
      </c>
      <c r="F74" s="378">
        <v>572000</v>
      </c>
      <c r="G74" s="403">
        <f t="shared" si="23"/>
        <v>0</v>
      </c>
      <c r="H74" s="404">
        <f t="shared" si="21"/>
        <v>0</v>
      </c>
      <c r="I74" s="405">
        <f t="shared" si="21"/>
        <v>0</v>
      </c>
      <c r="J74" s="405">
        <f t="shared" si="21"/>
        <v>572000</v>
      </c>
      <c r="K74" s="405">
        <f t="shared" si="21"/>
        <v>0</v>
      </c>
      <c r="L74" s="405">
        <f t="shared" si="21"/>
        <v>0</v>
      </c>
      <c r="M74" s="405">
        <f t="shared" si="21"/>
        <v>0</v>
      </c>
      <c r="N74" s="405">
        <f t="shared" si="21"/>
        <v>0</v>
      </c>
      <c r="O74" s="405">
        <f t="shared" si="21"/>
        <v>0</v>
      </c>
      <c r="P74" s="406">
        <f t="shared" si="21"/>
        <v>0</v>
      </c>
      <c r="Q74" s="448">
        <f t="shared" si="21"/>
        <v>0</v>
      </c>
      <c r="R74" s="379"/>
      <c r="S74" s="379"/>
      <c r="T74" s="382"/>
      <c r="U74" s="413">
        <f>IF(-0.75*((C74/(VLOOKUP($A$2,Assumptions!$B$124:$G$147,2,0)))+D74/(VLOOKUP($A$2,Assumptions!$B$124:$G$147,5,0)))=0,"",-0.75*((C74/(VLOOKUP($A$2,Assumptions!$B$124:$G$147,2,0)))+D74/(VLOOKUP($A$2,Assumptions!$B$124:$G$147,5,0))))</f>
        <v>2.1016690743517537E-2</v>
      </c>
      <c r="V74" s="414">
        <f t="shared" si="22"/>
        <v>2.9967232587143643E-3</v>
      </c>
      <c r="W74" s="451"/>
    </row>
    <row r="75" spans="1:23" ht="15">
      <c r="A75" s="373"/>
      <c r="B75" s="374" t="s">
        <v>608</v>
      </c>
      <c r="C75" s="375">
        <v>-15</v>
      </c>
      <c r="D75" s="375"/>
      <c r="E75" s="377">
        <v>46477</v>
      </c>
      <c r="F75" s="378">
        <v>546000</v>
      </c>
      <c r="G75" s="403">
        <f t="shared" si="23"/>
        <v>0</v>
      </c>
      <c r="H75" s="404">
        <f t="shared" si="21"/>
        <v>0</v>
      </c>
      <c r="I75" s="405">
        <f t="shared" si="21"/>
        <v>0</v>
      </c>
      <c r="J75" s="405">
        <f t="shared" si="21"/>
        <v>546000</v>
      </c>
      <c r="K75" s="405">
        <f t="shared" si="21"/>
        <v>0</v>
      </c>
      <c r="L75" s="405">
        <f t="shared" si="21"/>
        <v>0</v>
      </c>
      <c r="M75" s="405">
        <f t="shared" si="21"/>
        <v>0</v>
      </c>
      <c r="N75" s="405">
        <f t="shared" si="21"/>
        <v>0</v>
      </c>
      <c r="O75" s="405">
        <f t="shared" si="21"/>
        <v>0</v>
      </c>
      <c r="P75" s="406">
        <f t="shared" si="21"/>
        <v>0</v>
      </c>
      <c r="Q75" s="448">
        <f t="shared" si="21"/>
        <v>0</v>
      </c>
      <c r="R75" s="379"/>
      <c r="S75" s="379"/>
      <c r="T75" s="382"/>
      <c r="U75" s="413">
        <f>IF(-0.75*((C75/(VLOOKUP($A$2,Assumptions!$B$124:$G$147,2,0)))+D75/(VLOOKUP($A$2,Assumptions!$B$124:$G$147,5,0)))=0,"",-0.75*((C75/(VLOOKUP($A$2,Assumptions!$B$124:$G$147,2,0)))+D75/(VLOOKUP($A$2,Assumptions!$B$124:$G$147,5,0))))</f>
        <v>1.5223274695534507E-2</v>
      </c>
      <c r="V75" s="414">
        <f t="shared" si="22"/>
        <v>2.4106914149915398E-3</v>
      </c>
      <c r="W75" s="451"/>
    </row>
    <row r="76" spans="1:23" ht="15">
      <c r="A76" s="373"/>
      <c r="B76" s="374" t="s">
        <v>609</v>
      </c>
      <c r="C76" s="375">
        <v>-15</v>
      </c>
      <c r="D76" s="375"/>
      <c r="E76" s="377">
        <v>46477</v>
      </c>
      <c r="F76" s="378">
        <v>546000</v>
      </c>
      <c r="G76" s="403">
        <f t="shared" si="23"/>
        <v>0</v>
      </c>
      <c r="H76" s="404">
        <f t="shared" si="21"/>
        <v>0</v>
      </c>
      <c r="I76" s="405">
        <f t="shared" si="21"/>
        <v>0</v>
      </c>
      <c r="J76" s="405">
        <f t="shared" si="21"/>
        <v>546000</v>
      </c>
      <c r="K76" s="405">
        <f t="shared" si="21"/>
        <v>0</v>
      </c>
      <c r="L76" s="405">
        <f t="shared" si="21"/>
        <v>0</v>
      </c>
      <c r="M76" s="405">
        <f t="shared" si="21"/>
        <v>0</v>
      </c>
      <c r="N76" s="405">
        <f t="shared" si="21"/>
        <v>0</v>
      </c>
      <c r="O76" s="405">
        <f t="shared" si="21"/>
        <v>0</v>
      </c>
      <c r="P76" s="406">
        <f t="shared" si="21"/>
        <v>0</v>
      </c>
      <c r="Q76" s="448">
        <f t="shared" si="21"/>
        <v>0</v>
      </c>
      <c r="R76" s="379"/>
      <c r="S76" s="379"/>
      <c r="T76" s="382"/>
      <c r="U76" s="413">
        <f>IF(-0.75*((C76/(VLOOKUP($A$2,Assumptions!$B$124:$G$147,2,0)))+D76/(VLOOKUP($A$2,Assumptions!$B$124:$G$147,5,0)))=0,"",-0.75*((C76/(VLOOKUP($A$2,Assumptions!$B$124:$G$147,2,0)))+D76/(VLOOKUP($A$2,Assumptions!$B$124:$G$147,5,0))))</f>
        <v>1.5223274695534507E-2</v>
      </c>
      <c r="V76" s="414">
        <f t="shared" si="22"/>
        <v>2.4106914149915398E-3</v>
      </c>
      <c r="W76" s="451"/>
    </row>
    <row r="77" spans="1:23" ht="15">
      <c r="A77" s="373"/>
      <c r="B77" s="374" t="s">
        <v>610</v>
      </c>
      <c r="C77" s="375">
        <v>-5</v>
      </c>
      <c r="D77" s="375"/>
      <c r="E77" s="377">
        <v>46477</v>
      </c>
      <c r="F77" s="378">
        <v>390000</v>
      </c>
      <c r="G77" s="403">
        <f t="shared" si="23"/>
        <v>0</v>
      </c>
      <c r="H77" s="404">
        <f t="shared" si="21"/>
        <v>0</v>
      </c>
      <c r="I77" s="405">
        <f t="shared" si="21"/>
        <v>0</v>
      </c>
      <c r="J77" s="405">
        <f t="shared" si="21"/>
        <v>390000</v>
      </c>
      <c r="K77" s="405">
        <f t="shared" si="21"/>
        <v>0</v>
      </c>
      <c r="L77" s="405">
        <f t="shared" si="21"/>
        <v>0</v>
      </c>
      <c r="M77" s="405">
        <f t="shared" si="21"/>
        <v>0</v>
      </c>
      <c r="N77" s="405">
        <f t="shared" si="21"/>
        <v>0</v>
      </c>
      <c r="O77" s="405">
        <f t="shared" si="21"/>
        <v>0</v>
      </c>
      <c r="P77" s="406">
        <f t="shared" si="21"/>
        <v>0</v>
      </c>
      <c r="Q77" s="448">
        <f t="shared" si="21"/>
        <v>0</v>
      </c>
      <c r="R77" s="379"/>
      <c r="S77" s="379"/>
      <c r="T77" s="385"/>
      <c r="U77" s="413">
        <f>IF(-0.75*((C77/(VLOOKUP($A$2,Assumptions!$B$124:$G$147,2,0)))+D77/(VLOOKUP($A$2,Assumptions!$B$124:$G$147,5,0)))=0,"",-0.75*((C77/(VLOOKUP($A$2,Assumptions!$B$124:$G$147,2,0)))+D77/(VLOOKUP($A$2,Assumptions!$B$124:$G$147,5,0))))</f>
        <v>5.0744248985115023E-3</v>
      </c>
      <c r="V77" s="414">
        <f t="shared" si="22"/>
        <v>1.1249893269960518E-3</v>
      </c>
      <c r="W77" s="451"/>
    </row>
    <row r="78" spans="1:23" ht="30">
      <c r="A78" s="373"/>
      <c r="B78" s="374" t="s">
        <v>611</v>
      </c>
      <c r="C78" s="375">
        <v>-180</v>
      </c>
      <c r="D78" s="375">
        <v>-123</v>
      </c>
      <c r="E78" s="377">
        <v>47573</v>
      </c>
      <c r="F78" s="378">
        <v>1690000</v>
      </c>
      <c r="G78" s="403">
        <f t="shared" si="23"/>
        <v>0</v>
      </c>
      <c r="H78" s="404">
        <f t="shared" si="21"/>
        <v>0</v>
      </c>
      <c r="I78" s="405">
        <f t="shared" si="21"/>
        <v>0</v>
      </c>
      <c r="J78" s="405">
        <f t="shared" si="21"/>
        <v>0</v>
      </c>
      <c r="K78" s="405">
        <f t="shared" si="21"/>
        <v>0</v>
      </c>
      <c r="L78" s="405">
        <f t="shared" si="21"/>
        <v>0</v>
      </c>
      <c r="M78" s="405">
        <f t="shared" si="21"/>
        <v>1690000</v>
      </c>
      <c r="N78" s="405">
        <f t="shared" si="21"/>
        <v>0</v>
      </c>
      <c r="O78" s="405">
        <f t="shared" si="21"/>
        <v>0</v>
      </c>
      <c r="P78" s="406">
        <f t="shared" si="21"/>
        <v>0</v>
      </c>
      <c r="Q78" s="448">
        <f t="shared" si="21"/>
        <v>0</v>
      </c>
      <c r="R78" s="379"/>
      <c r="S78" s="386"/>
      <c r="T78" s="387"/>
      <c r="U78" s="413">
        <f>IF(-0.75*((C78/(VLOOKUP($A$2,Assumptions!$B$124:$G$147,2,0)))+D78/(VLOOKUP($A$2,Assumptions!$B$124:$G$147,5,0)))=0,"",-0.75*((C78/(VLOOKUP($A$2,Assumptions!$B$124:$G$147,2,0)))+D78/(VLOOKUP($A$2,Assumptions!$B$124:$G$147,5,0))))</f>
        <v>0.2138448368869546</v>
      </c>
      <c r="V78" s="414">
        <f t="shared" si="22"/>
        <v>1.087956658583793E-2</v>
      </c>
      <c r="W78" s="451"/>
    </row>
    <row r="79" spans="1:23" ht="15">
      <c r="A79" s="373"/>
      <c r="B79" s="374" t="s">
        <v>612</v>
      </c>
      <c r="C79" s="375">
        <v>0</v>
      </c>
      <c r="D79" s="375"/>
      <c r="E79" s="377">
        <v>47573</v>
      </c>
      <c r="F79" s="378">
        <v>52000</v>
      </c>
      <c r="G79" s="403">
        <f t="shared" si="23"/>
        <v>0</v>
      </c>
      <c r="H79" s="404">
        <f t="shared" si="21"/>
        <v>0</v>
      </c>
      <c r="I79" s="405">
        <f t="shared" si="21"/>
        <v>0</v>
      </c>
      <c r="J79" s="405">
        <f t="shared" si="21"/>
        <v>0</v>
      </c>
      <c r="K79" s="405">
        <f t="shared" si="21"/>
        <v>0</v>
      </c>
      <c r="L79" s="405">
        <f t="shared" si="21"/>
        <v>0</v>
      </c>
      <c r="M79" s="405">
        <f t="shared" si="21"/>
        <v>52000</v>
      </c>
      <c r="N79" s="405">
        <f t="shared" si="21"/>
        <v>0</v>
      </c>
      <c r="O79" s="405">
        <f t="shared" si="21"/>
        <v>0</v>
      </c>
      <c r="P79" s="406">
        <f t="shared" si="21"/>
        <v>0</v>
      </c>
      <c r="Q79" s="448">
        <f t="shared" si="21"/>
        <v>0</v>
      </c>
      <c r="R79" s="379"/>
      <c r="S79" s="386"/>
      <c r="T79" s="387"/>
      <c r="U79" s="413" t="str">
        <f>IF(-0.75*((C79/(VLOOKUP($A$2,Assumptions!$B$124:$G$147,2,0)))+D79/(VLOOKUP($A$2,Assumptions!$B$124:$G$147,5,0)))=0,"",-0.75*((C79/(VLOOKUP($A$2,Assumptions!$B$124:$G$147,2,0)))+D79/(VLOOKUP($A$2,Assumptions!$B$124:$G$147,5,0))))</f>
        <v/>
      </c>
      <c r="V79" s="414">
        <f t="shared" si="22"/>
        <v>0</v>
      </c>
      <c r="W79" s="451"/>
    </row>
    <row r="80" spans="1:23" ht="15">
      <c r="A80" s="373"/>
      <c r="B80" s="374" t="s">
        <v>613</v>
      </c>
      <c r="C80" s="375">
        <v>-80</v>
      </c>
      <c r="D80" s="375"/>
      <c r="E80" s="377">
        <v>47573</v>
      </c>
      <c r="F80" s="378">
        <v>460000</v>
      </c>
      <c r="G80" s="403">
        <f t="shared" si="23"/>
        <v>0</v>
      </c>
      <c r="H80" s="404">
        <f t="shared" si="21"/>
        <v>0</v>
      </c>
      <c r="I80" s="405">
        <f t="shared" si="21"/>
        <v>0</v>
      </c>
      <c r="J80" s="405">
        <f t="shared" si="21"/>
        <v>0</v>
      </c>
      <c r="K80" s="405">
        <f t="shared" si="21"/>
        <v>0</v>
      </c>
      <c r="L80" s="405">
        <f t="shared" si="21"/>
        <v>0</v>
      </c>
      <c r="M80" s="405">
        <f t="shared" si="21"/>
        <v>460000</v>
      </c>
      <c r="N80" s="405">
        <f t="shared" si="21"/>
        <v>0</v>
      </c>
      <c r="O80" s="405">
        <f t="shared" si="21"/>
        <v>0</v>
      </c>
      <c r="P80" s="406">
        <f t="shared" si="21"/>
        <v>0</v>
      </c>
      <c r="Q80" s="448">
        <f t="shared" si="21"/>
        <v>0</v>
      </c>
      <c r="R80" s="379"/>
      <c r="S80" s="386"/>
      <c r="T80" s="387"/>
      <c r="U80" s="413">
        <f>IF(-0.75*((C80/(VLOOKUP($A$2,Assumptions!$B$124:$G$147,2,0)))+D80/(VLOOKUP($A$2,Assumptions!$B$124:$G$147,5,0)))=0,"",-0.75*((C80/(VLOOKUP($A$2,Assumptions!$B$124:$G$147,2,0)))+D80/(VLOOKUP($A$2,Assumptions!$B$124:$G$147,5,0))))</f>
        <v>8.1190798376184037E-2</v>
      </c>
      <c r="V80" s="414">
        <f t="shared" si="22"/>
        <v>1.5260724783598616E-2</v>
      </c>
      <c r="W80" s="451"/>
    </row>
    <row r="81" spans="1:23" ht="15">
      <c r="A81" s="373"/>
      <c r="B81" s="457" t="s">
        <v>614</v>
      </c>
      <c r="C81" s="375">
        <v>-130</v>
      </c>
      <c r="D81" s="375"/>
      <c r="E81" s="377">
        <v>47573</v>
      </c>
      <c r="F81" s="378">
        <v>287500</v>
      </c>
      <c r="G81" s="403">
        <f t="shared" si="23"/>
        <v>0</v>
      </c>
      <c r="H81" s="404">
        <f t="shared" si="21"/>
        <v>0</v>
      </c>
      <c r="I81" s="405">
        <f t="shared" si="21"/>
        <v>0</v>
      </c>
      <c r="J81" s="405">
        <f t="shared" si="21"/>
        <v>0</v>
      </c>
      <c r="K81" s="405">
        <f t="shared" si="21"/>
        <v>0</v>
      </c>
      <c r="L81" s="405">
        <f t="shared" si="21"/>
        <v>0</v>
      </c>
      <c r="M81" s="405">
        <f t="shared" si="21"/>
        <v>287500</v>
      </c>
      <c r="N81" s="405">
        <f t="shared" si="21"/>
        <v>0</v>
      </c>
      <c r="O81" s="405">
        <f t="shared" si="21"/>
        <v>0</v>
      </c>
      <c r="P81" s="406">
        <f t="shared" si="21"/>
        <v>0</v>
      </c>
      <c r="Q81" s="448">
        <f t="shared" si="21"/>
        <v>0</v>
      </c>
      <c r="R81" s="379"/>
      <c r="S81" s="386"/>
      <c r="T81" s="387"/>
      <c r="U81" s="413">
        <f>IF(-0.75*((C81/(VLOOKUP($A$2,Assumptions!$B$124:$G$147,2,0)))+D81/(VLOOKUP($A$2,Assumptions!$B$124:$G$147,5,0)))=0,"",-0.75*((C81/(VLOOKUP($A$2,Assumptions!$B$124:$G$147,2,0)))+D81/(VLOOKUP($A$2,Assumptions!$B$124:$G$147,5,0))))</f>
        <v>0.13193504736129905</v>
      </c>
      <c r="V81" s="414">
        <f t="shared" si="22"/>
        <v>3.9677884437356405E-2</v>
      </c>
      <c r="W81" s="451"/>
    </row>
    <row r="82" spans="1:23" ht="15">
      <c r="A82" s="373"/>
      <c r="B82" s="457"/>
      <c r="C82" s="375"/>
      <c r="D82" s="375"/>
      <c r="E82" s="377"/>
      <c r="F82" s="378"/>
      <c r="G82" s="403"/>
      <c r="H82" s="404"/>
      <c r="I82" s="405"/>
      <c r="J82" s="405"/>
      <c r="K82" s="405"/>
      <c r="L82" s="405"/>
      <c r="M82" s="405"/>
      <c r="N82" s="405"/>
      <c r="O82" s="405"/>
      <c r="P82" s="406"/>
      <c r="Q82" s="448"/>
      <c r="R82" s="379"/>
      <c r="S82" s="386"/>
      <c r="T82" s="387"/>
      <c r="U82" s="413" t="str">
        <f>IF(-0.75*((C82/(VLOOKUP($A$2,Assumptions!$B$124:$G$147,2,0)))+D82/(VLOOKUP($A$2,Assumptions!$B$124:$G$147,5,0)))=0,"",-0.75*((C82/(VLOOKUP($A$2,Assumptions!$B$124:$G$147,2,0)))+D82/(VLOOKUP($A$2,Assumptions!$B$124:$G$147,5,0))))</f>
        <v/>
      </c>
      <c r="V82" s="414" t="str">
        <f t="shared" si="22"/>
        <v/>
      </c>
      <c r="W82" s="451"/>
    </row>
    <row r="83" spans="1:23" ht="15">
      <c r="A83" s="373"/>
      <c r="B83" s="457"/>
      <c r="C83" s="375"/>
      <c r="D83" s="375"/>
      <c r="E83" s="377"/>
      <c r="F83" s="378"/>
      <c r="G83" s="403"/>
      <c r="H83" s="404"/>
      <c r="I83" s="405"/>
      <c r="J83" s="405"/>
      <c r="K83" s="405"/>
      <c r="L83" s="405"/>
      <c r="M83" s="405"/>
      <c r="N83" s="405"/>
      <c r="O83" s="405"/>
      <c r="P83" s="406"/>
      <c r="Q83" s="448"/>
      <c r="R83" s="379"/>
      <c r="S83" s="386"/>
      <c r="T83" s="387"/>
      <c r="U83" s="413" t="str">
        <f>IF(-0.75*((C83/(VLOOKUP($A$2,Assumptions!$B$124:$G$147,2,0)))+D83/(VLOOKUP($A$2,Assumptions!$B$124:$G$147,5,0)))=0,"",-0.75*((C83/(VLOOKUP($A$2,Assumptions!$B$124:$G$147,2,0)))+D83/(VLOOKUP($A$2,Assumptions!$B$124:$G$147,5,0))))</f>
        <v/>
      </c>
      <c r="V83" s="414" t="str">
        <f t="shared" si="22"/>
        <v/>
      </c>
      <c r="W83" s="451"/>
    </row>
    <row r="84" spans="1:23" ht="15">
      <c r="A84" s="373"/>
      <c r="B84" s="457"/>
      <c r="C84" s="375"/>
      <c r="D84" s="375"/>
      <c r="E84" s="377"/>
      <c r="F84" s="378"/>
      <c r="G84" s="403"/>
      <c r="H84" s="404"/>
      <c r="I84" s="405"/>
      <c r="J84" s="405"/>
      <c r="K84" s="405"/>
      <c r="L84" s="405"/>
      <c r="M84" s="405"/>
      <c r="N84" s="405"/>
      <c r="O84" s="405"/>
      <c r="P84" s="406"/>
      <c r="Q84" s="448"/>
      <c r="R84" s="379"/>
      <c r="S84" s="386"/>
      <c r="T84" s="387"/>
      <c r="U84" s="413" t="str">
        <f>IF(-0.75*((C84/(VLOOKUP($A$2,Assumptions!$B$124:$G$147,2,0)))+D84/(VLOOKUP($A$2,Assumptions!$B$124:$G$147,5,0)))=0,"",-0.75*((C84/(VLOOKUP($A$2,Assumptions!$B$124:$G$147,2,0)))+D84/(VLOOKUP($A$2,Assumptions!$B$124:$G$147,5,0))))</f>
        <v/>
      </c>
      <c r="V84" s="414" t="str">
        <f t="shared" si="22"/>
        <v/>
      </c>
      <c r="W84" s="451"/>
    </row>
    <row r="85" spans="1:23" ht="15">
      <c r="A85" s="373"/>
      <c r="B85" s="457"/>
      <c r="C85" s="375"/>
      <c r="D85" s="375"/>
      <c r="E85" s="377"/>
      <c r="F85" s="378"/>
      <c r="G85" s="403"/>
      <c r="H85" s="404"/>
      <c r="I85" s="405"/>
      <c r="J85" s="405"/>
      <c r="K85" s="405"/>
      <c r="L85" s="405"/>
      <c r="M85" s="405"/>
      <c r="N85" s="405"/>
      <c r="O85" s="405"/>
      <c r="P85" s="406"/>
      <c r="Q85" s="448"/>
      <c r="R85" s="379"/>
      <c r="S85" s="386"/>
      <c r="T85" s="387"/>
      <c r="U85" s="413" t="str">
        <f>IF(-0.75*((C85/(VLOOKUP($A$2,Assumptions!$B$124:$G$147,2,0)))+D85/(VLOOKUP($A$2,Assumptions!$B$124:$G$147,5,0)))=0,"",-0.75*((C85/(VLOOKUP($A$2,Assumptions!$B$124:$G$147,2,0)))+D85/(VLOOKUP($A$2,Assumptions!$B$124:$G$147,5,0))))</f>
        <v/>
      </c>
      <c r="V85" s="414" t="str">
        <f t="shared" si="22"/>
        <v/>
      </c>
      <c r="W85" s="451"/>
    </row>
    <row r="86" spans="1:23" ht="15">
      <c r="A86" s="373"/>
      <c r="B86" s="457"/>
      <c r="C86" s="375"/>
      <c r="D86" s="375"/>
      <c r="E86" s="377"/>
      <c r="F86" s="378"/>
      <c r="G86" s="403"/>
      <c r="H86" s="404"/>
      <c r="I86" s="405"/>
      <c r="J86" s="405"/>
      <c r="K86" s="405"/>
      <c r="L86" s="405"/>
      <c r="M86" s="405"/>
      <c r="N86" s="405"/>
      <c r="O86" s="405"/>
      <c r="P86" s="406"/>
      <c r="Q86" s="448"/>
      <c r="R86" s="379"/>
      <c r="S86" s="386"/>
      <c r="T86" s="387"/>
      <c r="U86" s="413" t="str">
        <f>IF(-0.75*((C86/(VLOOKUP($A$2,Assumptions!$B$124:$G$147,2,0)))+D86/(VLOOKUP($A$2,Assumptions!$B$124:$G$147,5,0)))=0,"",-0.75*((C86/(VLOOKUP($A$2,Assumptions!$B$124:$G$147,2,0)))+D86/(VLOOKUP($A$2,Assumptions!$B$124:$G$147,5,0))))</f>
        <v/>
      </c>
      <c r="V86" s="414" t="str">
        <f t="shared" si="22"/>
        <v/>
      </c>
      <c r="W86" s="451"/>
    </row>
    <row r="87" spans="1:23" ht="15">
      <c r="A87" s="373"/>
      <c r="B87" s="374"/>
      <c r="C87" s="375"/>
      <c r="D87" s="375"/>
      <c r="E87" s="377"/>
      <c r="F87" s="378"/>
      <c r="G87" s="403"/>
      <c r="H87" s="404"/>
      <c r="I87" s="405"/>
      <c r="J87" s="405"/>
      <c r="K87" s="405"/>
      <c r="L87" s="405"/>
      <c r="M87" s="405"/>
      <c r="N87" s="405"/>
      <c r="O87" s="405"/>
      <c r="P87" s="406"/>
      <c r="Q87" s="448"/>
      <c r="R87" s="379"/>
      <c r="S87" s="379"/>
      <c r="T87" s="387"/>
      <c r="U87" s="413" t="str">
        <f>IF(-0.75*((C87/(VLOOKUP($A$2,Assumptions!$B$124:$G$147,2,0)))+D87/(VLOOKUP($A$2,Assumptions!$B$124:$G$147,5,0)))=0,"",-0.75*((C87/(VLOOKUP($A$2,Assumptions!$B$124:$G$147,2,0)))+D87/(VLOOKUP($A$2,Assumptions!$B$124:$G$147,5,0))))</f>
        <v/>
      </c>
      <c r="V87" s="414" t="str">
        <f t="shared" si="22"/>
        <v/>
      </c>
      <c r="W87" s="451"/>
    </row>
    <row r="88" spans="1:23" ht="15">
      <c r="A88" s="456"/>
      <c r="B88" s="397"/>
      <c r="C88" s="398"/>
      <c r="D88" s="398"/>
      <c r="E88" s="399"/>
      <c r="F88" s="400"/>
      <c r="G88" s="407"/>
      <c r="H88" s="408"/>
      <c r="I88" s="409"/>
      <c r="J88" s="409"/>
      <c r="K88" s="409"/>
      <c r="L88" s="409"/>
      <c r="M88" s="409"/>
      <c r="N88" s="409"/>
      <c r="O88" s="409"/>
      <c r="P88" s="410"/>
      <c r="Q88" s="449"/>
      <c r="R88" s="401"/>
      <c r="S88" s="401"/>
      <c r="T88" s="402"/>
      <c r="U88" s="413" t="str">
        <f>IF(-0.75*((C88/(VLOOKUP($A$2,Assumptions!$B$124:$G$147,2,0)))+D88/(VLOOKUP($A$2,Assumptions!$B$124:$G$147,5,0)))=0,"",-0.75*((C88/(VLOOKUP($A$2,Assumptions!$B$124:$G$147,2,0)))+D88/(VLOOKUP($A$2,Assumptions!$B$124:$G$147,5,0))))</f>
        <v/>
      </c>
      <c r="V88" s="415" t="str">
        <f t="shared" si="22"/>
        <v/>
      </c>
      <c r="W88" s="452"/>
    </row>
    <row r="89" spans="1:23" ht="15" hidden="1">
      <c r="A89" s="174"/>
      <c r="B89" s="393"/>
      <c r="C89" s="175"/>
      <c r="D89" s="175"/>
      <c r="E89" s="394"/>
      <c r="F89" s="395"/>
      <c r="G89" s="299"/>
      <c r="H89" s="300"/>
      <c r="I89" s="301"/>
      <c r="J89" s="301"/>
      <c r="K89" s="301"/>
      <c r="L89" s="301"/>
      <c r="M89" s="301"/>
      <c r="N89" s="301"/>
      <c r="O89" s="301"/>
      <c r="P89" s="302"/>
      <c r="Q89" s="302"/>
      <c r="R89" s="303"/>
      <c r="S89" s="303"/>
      <c r="T89" s="175"/>
      <c r="U89" s="396" t="str">
        <f>IF(-0.75*((C89/(VLOOKUP($A$2,Assumptions!$B$124:$G$147,2,0)))+D89/(VLOOKUP($A$2,Assumptions!$B$124:$G$147,5,0)))=0,"",-0.75*((C89/(VLOOKUP($A$2,Assumptions!$B$124:$G$147,2,0)))+D89/(VLOOKUP($A$2,Assumptions!$B$124:$G$147,5,0))))</f>
        <v/>
      </c>
      <c r="V89" s="304" t="str">
        <f t="shared" ref="V89:W114" si="24">IF(ISERROR(((-C89*1000*$W$162)/F89)),"",((-C89*1000*$W$162)/F89))</f>
        <v/>
      </c>
      <c r="W89" s="304" t="str">
        <f t="shared" si="24"/>
        <v/>
      </c>
    </row>
    <row r="90" spans="1:23"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row>
    <row r="91" spans="1:23"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row>
    <row r="92" spans="1:23"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row>
    <row r="93" spans="1:23"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row>
    <row r="94" spans="1:23"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row>
    <row r="95" spans="1:23"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row>
    <row r="96" spans="1:23"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row>
    <row r="97" spans="1:23"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row>
    <row r="98" spans="1:23"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row>
    <row r="99" spans="1:23"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row>
    <row r="100" spans="1:23"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row>
    <row r="101" spans="1:23"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row>
    <row r="102" spans="1:23"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row>
    <row r="103" spans="1:23"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row>
    <row r="104" spans="1:23"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row>
    <row r="105" spans="1:23"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row>
    <row r="106" spans="1:23"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row>
    <row r="107" spans="1:23"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row>
    <row r="108" spans="1:23"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row>
    <row r="109" spans="1:23"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row>
    <row r="110" spans="1:23"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row>
    <row r="111" spans="1:23"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row>
    <row r="112" spans="1:23"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row>
    <row r="113" spans="1:53"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row>
    <row r="114" spans="1:53"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row>
    <row r="115" spans="1:53" ht="15">
      <c r="A115" s="13"/>
      <c r="B115" s="353"/>
      <c r="C115" s="354">
        <f>SUM(C69:C88)</f>
        <v>-415</v>
      </c>
      <c r="D115" s="354">
        <f>SUM(D69:D88)</f>
        <v>-391</v>
      </c>
      <c r="E115" s="355"/>
      <c r="F115" s="333">
        <f>SUM(F69:F114)</f>
        <v>5088200</v>
      </c>
      <c r="G115" s="388">
        <f>SUM(G69:G114)</f>
        <v>226200</v>
      </c>
      <c r="H115" s="388">
        <f t="shared" ref="H115:N115" si="25">SUM(H69:H114)</f>
        <v>0</v>
      </c>
      <c r="I115" s="388">
        <f t="shared" si="25"/>
        <v>221000</v>
      </c>
      <c r="J115" s="388">
        <f t="shared" si="25"/>
        <v>2151500</v>
      </c>
      <c r="K115" s="388">
        <f t="shared" si="25"/>
        <v>0</v>
      </c>
      <c r="L115" s="388">
        <f t="shared" si="25"/>
        <v>0</v>
      </c>
      <c r="M115" s="388">
        <f t="shared" si="25"/>
        <v>2489500</v>
      </c>
      <c r="N115" s="388">
        <f t="shared" si="25"/>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f>SUM(U69:U114)</f>
        <v>0.52024821252240061</v>
      </c>
      <c r="V115" s="390">
        <f>IF(ISERROR(((-1*C115*1000*$D$6)+(-1*D115*$D$8))/F115),"",((-1*C115*1000*$D$6)+(-1*D115*$D$8))/F115)</f>
        <v>8.7760500711087184E-3</v>
      </c>
      <c r="W115" s="391">
        <f>SUMIFS(F69:F114,W69:W114,"Yes")</f>
        <v>0</v>
      </c>
    </row>
    <row r="116" spans="1:53"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53">
      <c r="A117" s="13"/>
      <c r="B117" s="13"/>
      <c r="C117" s="13"/>
      <c r="D117" s="13"/>
      <c r="E117" s="13"/>
      <c r="F117" s="13"/>
      <c r="G117" s="13"/>
      <c r="H117" s="13"/>
      <c r="I117" s="13"/>
      <c r="J117" s="13"/>
      <c r="K117" s="13"/>
      <c r="L117" s="13"/>
      <c r="M117" s="13"/>
      <c r="N117" s="13"/>
      <c r="O117" s="13"/>
      <c r="P117" s="13"/>
      <c r="Q117" s="13"/>
      <c r="R117" s="13"/>
      <c r="S117" s="13"/>
      <c r="T117" s="13"/>
      <c r="U117" s="13"/>
    </row>
    <row r="118" spans="1:53">
      <c r="A118" s="13"/>
      <c r="B118" s="13"/>
      <c r="C118" s="13"/>
      <c r="D118" s="13"/>
      <c r="E118" s="13"/>
      <c r="F118" s="13"/>
      <c r="G118" s="13"/>
      <c r="H118" s="13"/>
      <c r="I118" s="13"/>
      <c r="J118" s="13"/>
      <c r="K118" s="13"/>
      <c r="L118" s="13"/>
      <c r="M118" s="13"/>
      <c r="N118" s="13"/>
      <c r="O118" s="13"/>
      <c r="P118" s="13"/>
      <c r="Q118" s="13"/>
      <c r="R118" s="13"/>
      <c r="S118" s="13"/>
      <c r="T118" s="13"/>
      <c r="U118" s="13"/>
    </row>
    <row r="119" spans="1:53">
      <c r="A119" s="13"/>
      <c r="B119" s="13"/>
      <c r="C119" s="13"/>
      <c r="D119" s="13"/>
      <c r="E119" s="13"/>
      <c r="F119" s="13"/>
      <c r="G119" s="13"/>
      <c r="H119" s="13"/>
      <c r="I119" s="13"/>
      <c r="J119" s="13"/>
      <c r="K119" s="13"/>
      <c r="L119" s="13"/>
      <c r="M119" s="13"/>
      <c r="N119" s="13"/>
      <c r="O119" s="13"/>
      <c r="P119" s="13"/>
      <c r="Q119" s="13"/>
      <c r="R119" s="13"/>
      <c r="S119" s="13"/>
      <c r="T119" s="13"/>
      <c r="U119" s="13"/>
    </row>
    <row r="120" spans="1:53" ht="13">
      <c r="A120" s="13"/>
      <c r="B120" s="13"/>
      <c r="C120" s="13"/>
      <c r="D120" s="13"/>
      <c r="E120" s="13"/>
      <c r="F120" s="13"/>
      <c r="G120" s="13"/>
      <c r="H120" s="13"/>
      <c r="I120" s="13"/>
      <c r="J120" s="13"/>
      <c r="K120" s="13"/>
      <c r="L120" s="13"/>
      <c r="M120" s="13"/>
      <c r="N120" s="13"/>
      <c r="O120" s="13"/>
      <c r="P120" s="13"/>
      <c r="Q120" s="13"/>
      <c r="R120" s="21"/>
      <c r="S120" s="22"/>
      <c r="T120" s="13"/>
      <c r="U120" s="13"/>
    </row>
    <row r="121" spans="1:53"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53"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c r="AQ122" s="338">
        <f>AS122*0.5</f>
        <v>34.795000000000002</v>
      </c>
      <c r="AR122" s="338">
        <f>AS122*0.75</f>
        <v>52.192500000000003</v>
      </c>
      <c r="AS122" s="339">
        <v>69.59</v>
      </c>
      <c r="AT122" s="339">
        <v>84.92</v>
      </c>
      <c r="AU122" s="339">
        <v>100.25</v>
      </c>
      <c r="AV122" s="339">
        <v>115.57</v>
      </c>
      <c r="AW122" s="339">
        <v>130.9</v>
      </c>
      <c r="AX122" s="339">
        <v>146.22999999999999</v>
      </c>
      <c r="AY122" s="339">
        <v>161.56</v>
      </c>
      <c r="AZ122" s="339">
        <v>176.89</v>
      </c>
      <c r="BA122" s="339">
        <v>192.21</v>
      </c>
    </row>
    <row r="123" spans="1:53" s="20" customFormat="1" ht="13">
      <c r="A123" s="13"/>
      <c r="B123" s="13"/>
      <c r="C123" s="13"/>
      <c r="D123" s="13"/>
      <c r="E123" s="13"/>
      <c r="F123" s="13"/>
      <c r="G123" s="13"/>
      <c r="H123" s="13"/>
      <c r="I123" s="13"/>
      <c r="J123" s="13"/>
      <c r="K123" s="13"/>
      <c r="L123" s="13"/>
      <c r="M123" s="13"/>
      <c r="N123" s="13"/>
      <c r="O123" s="13"/>
      <c r="P123" s="13"/>
      <c r="Q123" s="13"/>
      <c r="R123" s="21" t="s">
        <v>426</v>
      </c>
      <c r="S123" s="276">
        <f>BZ161</f>
        <v>4.7257012393998696</v>
      </c>
      <c r="T123" s="13"/>
      <c r="U123" s="13"/>
      <c r="V123" s="13"/>
      <c r="AR123" s="341">
        <f>AR122-AQ122</f>
        <v>17.397500000000001</v>
      </c>
      <c r="AS123" s="341">
        <f t="shared" ref="AS123:BA123" si="26">AS122-AR122</f>
        <v>17.397500000000001</v>
      </c>
      <c r="AT123" s="341">
        <f t="shared" si="26"/>
        <v>15.329999999999998</v>
      </c>
      <c r="AU123" s="341">
        <f t="shared" si="26"/>
        <v>15.329999999999998</v>
      </c>
      <c r="AV123" s="341">
        <f t="shared" si="26"/>
        <v>15.319999999999993</v>
      </c>
      <c r="AW123" s="341">
        <f t="shared" si="26"/>
        <v>15.330000000000013</v>
      </c>
      <c r="AX123" s="341">
        <f t="shared" si="26"/>
        <v>15.329999999999984</v>
      </c>
      <c r="AY123" s="341">
        <f t="shared" si="26"/>
        <v>15.330000000000013</v>
      </c>
      <c r="AZ123" s="341">
        <f t="shared" si="26"/>
        <v>15.329999999999984</v>
      </c>
      <c r="BA123" s="341">
        <f t="shared" si="26"/>
        <v>15.320000000000022</v>
      </c>
    </row>
    <row r="124" spans="1:53"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4.7257012393998696</v>
      </c>
      <c r="T124" s="13"/>
      <c r="U124" s="13"/>
      <c r="V124" s="13"/>
    </row>
    <row r="125" spans="1:53"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4.7003145304979235</v>
      </c>
      <c r="T125" s="13"/>
      <c r="U125" s="13"/>
      <c r="V125" s="13"/>
    </row>
    <row r="126" spans="1:53"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4.7003145304979235</v>
      </c>
      <c r="AA126" s="22">
        <f t="shared" ref="AA126:AC126" si="27">AK216</f>
        <v>5.2621652446826381</v>
      </c>
      <c r="AB126" s="22">
        <f t="shared" si="27"/>
        <v>0</v>
      </c>
      <c r="AC126" s="22">
        <f t="shared" si="27"/>
        <v>0</v>
      </c>
      <c r="AD126" s="22">
        <f t="shared" ref="AD126:AE126" si="28">AI217</f>
        <v>0</v>
      </c>
      <c r="AE126" s="22">
        <f t="shared" si="28"/>
        <v>0</v>
      </c>
    </row>
    <row r="127" spans="1:53"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4.7308108394982238</v>
      </c>
      <c r="T127" s="13"/>
      <c r="U127" s="13"/>
      <c r="V127" s="13"/>
    </row>
    <row r="128" spans="1:53"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4.7769146172882726</v>
      </c>
      <c r="T128" s="13"/>
      <c r="U128" s="13"/>
      <c r="V128" s="13"/>
      <c r="AP128" s="23"/>
      <c r="AQ128" s="23"/>
      <c r="AR128" s="23"/>
      <c r="AS128" s="23"/>
      <c r="AT128" s="23"/>
      <c r="AU128" s="23"/>
      <c r="AV128" s="23"/>
      <c r="AW128" s="23"/>
      <c r="AX128" s="2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4.7769146172882726</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4.7769146172882726</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5.2621652446826381</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5.2621652446826381</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76">
        <f>AJ216</f>
        <v>5.2621652446826381</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286">
        <f>S133-S123</f>
        <v>0.5364640052827685</v>
      </c>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8"/>
      <c r="BA153" s="25" t="s">
        <v>388</v>
      </c>
      <c r="BB153" s="28" t="s">
        <v>432</v>
      </c>
      <c r="BC153" s="24" t="s">
        <v>433</v>
      </c>
      <c r="BD153" s="24" t="s">
        <v>434</v>
      </c>
      <c r="BE153" s="8"/>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9">AQ156*0.5</f>
        <v>20.914999999999999</v>
      </c>
      <c r="AR154" s="338">
        <f t="shared" si="29"/>
        <v>26.98</v>
      </c>
      <c r="AS154" s="8"/>
      <c r="AT154" s="25">
        <v>6</v>
      </c>
      <c r="AU154" s="339">
        <f>AU156*0.5</f>
        <v>64.760000000000005</v>
      </c>
      <c r="AV154" s="339">
        <f t="shared" ref="AV154:AW154" si="30">AV156*0.5</f>
        <v>69.5</v>
      </c>
      <c r="AW154" s="339">
        <f t="shared" si="30"/>
        <v>59.814999999999998</v>
      </c>
      <c r="AX154" s="339">
        <f t="shared" ref="AX154:AY154" si="31">AX156*0.5</f>
        <v>33.69</v>
      </c>
      <c r="AY154" s="339">
        <f t="shared" si="31"/>
        <v>44.87</v>
      </c>
      <c r="AZ154" s="8"/>
      <c r="BA154" s="25">
        <v>6</v>
      </c>
      <c r="BB154" s="24">
        <f t="shared" ref="BB154:BB155" si="32">IF($C$58="Base",BF154,BG154)</f>
        <v>34.795000000000002</v>
      </c>
      <c r="BC154" s="24" t="s">
        <v>436</v>
      </c>
      <c r="BD154" s="8"/>
      <c r="BE154" s="8"/>
      <c r="BF154" s="24">
        <f t="shared" ref="BF154:BF155" si="33">IF($C$59&gt;7000,"error",IF($C$59&gt;5999,AR154,IF($C$59&gt;4999,AQ154,IF($C$59&gt;3999,AP154,IF($C$59&gt;2999,AO154,IF($C$59&gt;1999,AN154,"Error"))))))</f>
        <v>34.795000000000002</v>
      </c>
      <c r="BG154" s="24">
        <f t="shared" ref="BG154:BG155" si="34">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5">AQ156*0.75</f>
        <v>31.372499999999999</v>
      </c>
      <c r="AR155" s="338">
        <f t="shared" si="35"/>
        <v>40.47</v>
      </c>
      <c r="AS155" s="24"/>
      <c r="AT155" s="25">
        <v>5.5</v>
      </c>
      <c r="AU155" s="339">
        <f>AU156*0.75</f>
        <v>97.140000000000015</v>
      </c>
      <c r="AV155" s="339">
        <f t="shared" ref="AV155:AW155" si="36">AV156*0.75</f>
        <v>104.25</v>
      </c>
      <c r="AW155" s="339">
        <f t="shared" si="36"/>
        <v>89.722499999999997</v>
      </c>
      <c r="AX155" s="339">
        <f t="shared" ref="AX155" si="37">AX156*0.75</f>
        <v>50.534999999999997</v>
      </c>
      <c r="AY155" s="339">
        <f t="shared" ref="AY155" si="38">AY156*0.75</f>
        <v>67.304999999999993</v>
      </c>
      <c r="AZ155" s="24"/>
      <c r="BA155" s="25">
        <v>5.5</v>
      </c>
      <c r="BB155" s="24">
        <f t="shared" si="32"/>
        <v>52.192500000000003</v>
      </c>
      <c r="BC155" s="24" t="s">
        <v>436</v>
      </c>
      <c r="BE155" s="24"/>
      <c r="BF155" s="24">
        <f t="shared" si="33"/>
        <v>52.192500000000003</v>
      </c>
      <c r="BG155" s="24">
        <f t="shared" si="34"/>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3">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ref="BG156:BG164" si="39">IF($C$59&gt;7000,"error",IF($C$59&gt;5999,AY156,IF($C$59&gt;4999,AX156,IF($C$59&gt;3999,AW156,IF($C$59&gt;2999,AV156,IF($C$59&gt;1999,AU156,"Error"))))))</f>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17031.7</v>
      </c>
      <c r="BW156" s="14" t="s">
        <v>445</v>
      </c>
      <c r="BX156" s="14" t="s">
        <v>13</v>
      </c>
      <c r="BY156" s="14">
        <f>BY157/BV156</f>
        <v>74.388099782758033</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40">IF($C$58="Base",BF157,BG157)</f>
        <v>84.92</v>
      </c>
      <c r="BC157" s="24" t="s">
        <v>436</v>
      </c>
      <c r="BD157" s="24">
        <f>BB157-BB156</f>
        <v>15.329999999999998</v>
      </c>
      <c r="BE157" s="24"/>
      <c r="BF157" s="24">
        <f t="shared" ref="BF157:BF164" si="41">IF($C$59&gt;7000,"error",IF($C$59&gt;5999,AR157,IF($C$59&gt;4999,AQ157,IF($C$59&gt;3999,AP157,IF($C$59&gt;2999,AO157,IF($C$59&gt;1999,AN157,"Error"))))))</f>
        <v>84.92</v>
      </c>
      <c r="BG157" s="24">
        <f t="shared" si="39"/>
        <v>158.69</v>
      </c>
      <c r="BH157" s="24"/>
      <c r="BI157" s="29" t="s">
        <v>118</v>
      </c>
      <c r="BJ157" s="29">
        <v>810</v>
      </c>
      <c r="BK157" s="29">
        <v>51.33</v>
      </c>
      <c r="BL157" s="24">
        <v>2000</v>
      </c>
      <c r="BM157" s="25"/>
      <c r="BN157" s="24">
        <f>BV161/BV158</f>
        <v>20.053114895061729</v>
      </c>
      <c r="BO157" s="32" t="s">
        <v>447</v>
      </c>
      <c r="BP157" s="179">
        <f>$BY$158/SUM($BY$158:$BY$159)*C64</f>
        <v>76.723691458970421</v>
      </c>
      <c r="BQ157" s="29" t="s">
        <v>448</v>
      </c>
      <c r="BR157" s="29" t="s">
        <v>449</v>
      </c>
      <c r="BS157" s="29" t="s">
        <v>450</v>
      </c>
      <c r="BT157" s="14"/>
      <c r="BU157" s="30" t="s">
        <v>451</v>
      </c>
      <c r="BV157" s="33">
        <f xml:space="preserve"> 5 - 0.5*(BV158-BB156)/BH166</f>
        <v>4.7673290456956812</v>
      </c>
      <c r="BW157" s="14" t="s">
        <v>452</v>
      </c>
      <c r="BX157" s="14" t="s">
        <v>453</v>
      </c>
      <c r="BY157" s="14">
        <f>SUM(BY158:BY159)</f>
        <v>1266955.79907</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40"/>
        <v>100.25</v>
      </c>
      <c r="BC158" s="24" t="s">
        <v>436</v>
      </c>
      <c r="BD158" s="24">
        <f t="shared" ref="BD158:BD164" si="42">BB158-BB157</f>
        <v>15.329999999999998</v>
      </c>
      <c r="BE158" s="24"/>
      <c r="BF158" s="24">
        <f t="shared" si="41"/>
        <v>100.25</v>
      </c>
      <c r="BG158" s="24">
        <f t="shared" si="39"/>
        <v>187.86</v>
      </c>
      <c r="BH158" s="24"/>
      <c r="BI158" s="29" t="s">
        <v>150</v>
      </c>
      <c r="BJ158" s="29">
        <v>810</v>
      </c>
      <c r="BK158" s="29">
        <v>51.33</v>
      </c>
      <c r="BL158" s="24">
        <v>3000</v>
      </c>
      <c r="BM158" s="25"/>
      <c r="BN158" s="179">
        <f>BV162/BV163</f>
        <v>316.44307549191507</v>
      </c>
      <c r="BO158" s="24" t="s">
        <v>454</v>
      </c>
      <c r="BP158" s="58">
        <f>$BY$159/SUM($BY$158:$BY$159)*C64</f>
        <v>1.276308541029582</v>
      </c>
      <c r="BQ158" s="29" t="s">
        <v>455</v>
      </c>
      <c r="BR158" s="29" t="s">
        <v>456</v>
      </c>
      <c r="BS158" s="29" t="s">
        <v>457</v>
      </c>
      <c r="BT158" s="14"/>
      <c r="BU158" s="30" t="s">
        <v>458</v>
      </c>
      <c r="BV158" s="31">
        <f>BP157</f>
        <v>76.723691458970421</v>
      </c>
      <c r="BW158" s="14" t="s">
        <v>436</v>
      </c>
      <c r="BX158" s="14" t="s">
        <v>459</v>
      </c>
      <c r="BY158" s="178">
        <f>INDEX($BJ$156:$BJ$161,MATCH($C$57,$BI$156:$BI$161,0))*$C$62</f>
        <v>1246224.69</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40"/>
        <v>115.57</v>
      </c>
      <c r="BC159" s="24" t="s">
        <v>436</v>
      </c>
      <c r="BD159" s="24">
        <f t="shared" si="42"/>
        <v>15.319999999999993</v>
      </c>
      <c r="BE159" s="24"/>
      <c r="BF159" s="24">
        <f t="shared" si="41"/>
        <v>115.57</v>
      </c>
      <c r="BG159" s="24">
        <f t="shared" si="39"/>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4" t="s">
        <v>465</v>
      </c>
      <c r="BY159" s="179">
        <f>INDEX($BK$156:$BK$161,MATCH($C$57,$BI$156:$BI$161,0))*$C$63</f>
        <v>20731.109069999999</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40"/>
        <v>130.9</v>
      </c>
      <c r="BC160" s="24" t="s">
        <v>436</v>
      </c>
      <c r="BD160" s="24">
        <f t="shared" si="42"/>
        <v>15.330000000000013</v>
      </c>
      <c r="BE160" s="24"/>
      <c r="BF160" s="24">
        <f t="shared" si="41"/>
        <v>130.9</v>
      </c>
      <c r="BG160" s="24">
        <f t="shared" si="39"/>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74.388099782758033</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40"/>
        <v>146.22999999999999</v>
      </c>
      <c r="BC161" s="24" t="s">
        <v>436</v>
      </c>
      <c r="BD161" s="24">
        <f t="shared" si="42"/>
        <v>15.329999999999984</v>
      </c>
      <c r="BE161" s="24"/>
      <c r="BF161" s="24">
        <f t="shared" si="41"/>
        <v>146.22999999999999</v>
      </c>
      <c r="BG161" s="24">
        <f t="shared" si="39"/>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1538.549</v>
      </c>
      <c r="BW161" s="14" t="s">
        <v>311</v>
      </c>
      <c r="BX161" s="14"/>
      <c r="BY161" s="14"/>
      <c r="BZ161" s="38">
        <f>5-(0.5*(C64-CE177)/(CE176-CE177))</f>
        <v>4.7257012393998696</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40"/>
        <v>161.56</v>
      </c>
      <c r="BC162" s="24" t="s">
        <v>436</v>
      </c>
      <c r="BD162" s="24">
        <f t="shared" si="42"/>
        <v>15.330000000000013</v>
      </c>
      <c r="BE162" s="24"/>
      <c r="BF162" s="24">
        <f t="shared" si="41"/>
        <v>161.56</v>
      </c>
      <c r="BG162" s="24">
        <f t="shared" si="39"/>
        <v>304.55</v>
      </c>
      <c r="BH162" s="24"/>
      <c r="BI162" s="24"/>
      <c r="BJ162" s="24"/>
      <c r="BK162" s="24"/>
      <c r="BL162" s="24"/>
      <c r="BM162" s="37"/>
      <c r="BN162" s="37"/>
      <c r="BO162" s="37"/>
      <c r="BP162" s="37"/>
      <c r="BQ162" s="29" t="s">
        <v>473</v>
      </c>
      <c r="BR162" s="24"/>
      <c r="BS162" s="24"/>
      <c r="BT162" s="14"/>
      <c r="BU162" s="14" t="s">
        <v>474</v>
      </c>
      <c r="BV162" s="180">
        <f>C63</f>
        <v>403.87900000000002</v>
      </c>
      <c r="BW162" s="14" t="s">
        <v>314</v>
      </c>
      <c r="BX162" s="14"/>
      <c r="BY162" s="14">
        <f>C63*BK156</f>
        <v>20731.109069999999</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40"/>
        <v>176.89</v>
      </c>
      <c r="BC163" s="24" t="s">
        <v>436</v>
      </c>
      <c r="BD163" s="24">
        <f t="shared" si="42"/>
        <v>15.329999999999984</v>
      </c>
      <c r="BE163" s="24"/>
      <c r="BF163" s="24">
        <f t="shared" si="41"/>
        <v>176.89</v>
      </c>
      <c r="BG163" s="24">
        <f t="shared" si="39"/>
        <v>333.72</v>
      </c>
      <c r="BH163" s="24"/>
      <c r="BI163" s="24"/>
      <c r="BJ163" s="24"/>
      <c r="BK163" s="24"/>
      <c r="BL163" s="24"/>
      <c r="BM163" s="37"/>
      <c r="BN163" s="37"/>
      <c r="BO163" s="37"/>
      <c r="BP163" s="37"/>
      <c r="BQ163" s="29" t="s">
        <v>475</v>
      </c>
      <c r="BR163" s="24"/>
      <c r="BS163" s="24"/>
      <c r="BT163" s="14"/>
      <c r="BU163" s="14" t="s">
        <v>476</v>
      </c>
      <c r="BV163" s="14">
        <f>BP158</f>
        <v>1.276308541029582</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40"/>
        <v>192.21</v>
      </c>
      <c r="BC164" s="24" t="s">
        <v>436</v>
      </c>
      <c r="BD164" s="24">
        <f t="shared" si="42"/>
        <v>15.320000000000022</v>
      </c>
      <c r="BE164" s="24"/>
      <c r="BF164" s="24">
        <f t="shared" si="41"/>
        <v>192.21</v>
      </c>
      <c r="BG164" s="24">
        <f t="shared" si="39"/>
        <v>362.89</v>
      </c>
      <c r="BH164" s="24"/>
      <c r="BI164" s="24"/>
      <c r="BJ164" s="24"/>
      <c r="BK164" s="24"/>
      <c r="BL164" s="24"/>
      <c r="BM164" s="37"/>
      <c r="BN164" s="37"/>
      <c r="BO164" s="37"/>
      <c r="BP164" s="37"/>
      <c r="BQ164" s="29" t="s">
        <v>478</v>
      </c>
      <c r="BR164" s="24"/>
      <c r="BS164" s="24"/>
      <c r="BT164" s="14"/>
      <c r="BU164" s="14"/>
      <c r="BV164" s="38">
        <f>BV163+BV158</f>
        <v>78</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206">
        <f>G66</f>
        <v>45473</v>
      </c>
      <c r="H166" s="206">
        <f t="shared" ref="H166:Q166" si="43">H66</f>
        <v>45838</v>
      </c>
      <c r="I166" s="206">
        <f t="shared" si="43"/>
        <v>46203</v>
      </c>
      <c r="J166" s="206">
        <f t="shared" si="43"/>
        <v>46568</v>
      </c>
      <c r="K166" s="206">
        <f t="shared" si="43"/>
        <v>46934</v>
      </c>
      <c r="L166" s="206">
        <f t="shared" si="43"/>
        <v>47299</v>
      </c>
      <c r="M166" s="206">
        <f t="shared" si="43"/>
        <v>47664</v>
      </c>
      <c r="N166" s="206">
        <f t="shared" si="43"/>
        <v>48029</v>
      </c>
      <c r="O166" s="206">
        <f t="shared" si="43"/>
        <v>48395</v>
      </c>
      <c r="P166" s="206">
        <f t="shared" si="43"/>
        <v>48760</v>
      </c>
      <c r="Q166" s="206">
        <f t="shared" si="43"/>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44">DATE(YEAR(AB166)+1,MONTH(AB166),DAY(AB166))</f>
        <v>46112</v>
      </c>
      <c r="AD166" s="46">
        <f t="shared" si="44"/>
        <v>46477</v>
      </c>
      <c r="AE166" s="46">
        <f t="shared" si="44"/>
        <v>46843</v>
      </c>
      <c r="AF166" s="46">
        <f t="shared" si="44"/>
        <v>47208</v>
      </c>
      <c r="AG166" s="46">
        <f t="shared" si="44"/>
        <v>47573</v>
      </c>
      <c r="AH166" s="46">
        <f t="shared" si="44"/>
        <v>47938</v>
      </c>
      <c r="AI166" s="46">
        <f t="shared" si="44"/>
        <v>48304</v>
      </c>
      <c r="AJ166" s="46">
        <f t="shared" si="44"/>
        <v>48669</v>
      </c>
      <c r="AK166" s="46">
        <f t="shared" si="44"/>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5">IF($E69&lt;G$66,$C69,0)</f>
        <v>0</v>
      </c>
      <c r="H167" s="12">
        <f t="shared" ref="H167:J186" si="46">IF($E69&gt;H$66,0,IF($E69&lt;H$66-365,$C69,0))</f>
        <v>0</v>
      </c>
      <c r="I167" s="12">
        <f t="shared" si="46"/>
        <v>0</v>
      </c>
      <c r="J167" s="12">
        <f t="shared" si="46"/>
        <v>0</v>
      </c>
      <c r="K167" s="12">
        <f t="shared" ref="K167:K209" si="47">IF($E69&lt;K$66,$C69,0)</f>
        <v>0</v>
      </c>
      <c r="L167" s="12">
        <f t="shared" ref="L167:N186" si="48">IF($E69&gt;L$66,0,IF($E69&lt;L$66-365,$C69,0))</f>
        <v>0</v>
      </c>
      <c r="M167" s="12">
        <f t="shared" si="48"/>
        <v>0</v>
      </c>
      <c r="N167" s="12">
        <f t="shared" si="48"/>
        <v>0</v>
      </c>
      <c r="O167" s="12">
        <f t="shared" ref="O167:O209" si="49">IF($E69&lt;O$66,$C69,0)</f>
        <v>0</v>
      </c>
      <c r="P167" s="12">
        <f t="shared" ref="P167:Q186" si="50">IF($E69&gt;P$66,0,IF($E69&lt;P$66-365,$C69,0))</f>
        <v>0</v>
      </c>
      <c r="Q167" s="12">
        <f t="shared" si="50"/>
        <v>0</v>
      </c>
      <c r="T167" s="14"/>
      <c r="U167" s="14"/>
      <c r="V167" s="14"/>
      <c r="W167" s="53">
        <f>C68*$BN$160*1000</f>
        <v>0</v>
      </c>
      <c r="X167" s="54" t="e">
        <f t="shared" ref="X167:X211" si="51">-1*F68/W167</f>
        <v>#DIV/0!</v>
      </c>
      <c r="Y167" s="25">
        <f>Z167/$BH$166</f>
        <v>0</v>
      </c>
      <c r="Z167" s="54">
        <f>C68/$BN$157</f>
        <v>0</v>
      </c>
      <c r="AA167" s="54">
        <f t="shared" ref="AA167:AJ182" si="52">IF($E68+365&lt;$C$56,0,IF($E68&lt;$C$56,(($E68+365-$C$56)/365)*(($C68/$BN$157)+($D68/$BN$158)),IF($E68&gt;AA$166,0,IF($E68+365&lt;AA$166,($C68/$BN$157)+($D68/$BN$158),((AA$166-$E68)/365)*(($C68/$BN$157)+($D68/$BN$158))))))</f>
        <v>0</v>
      </c>
      <c r="AB167" s="54">
        <f t="shared" si="52"/>
        <v>0</v>
      </c>
      <c r="AC167" s="54">
        <f>IF($E68+365&lt;$C$56,0,IF($E68&lt;$C$56,(($E68+365-$C$56)/365)*(($C68/$BN$157)+($D68/$BN$158)),IF($E68&gt;AC$166,0,IF($E68+365&lt;AC$166,($C68/$BN$157)+($D68/$BN$158),((AC$166-$E68)/365)*(($C68/$BN$157)+($D68/$BN$158))))))</f>
        <v>0</v>
      </c>
      <c r="AD167" s="54">
        <f t="shared" si="52"/>
        <v>0</v>
      </c>
      <c r="AE167" s="54">
        <f t="shared" si="52"/>
        <v>0</v>
      </c>
      <c r="AF167" s="54">
        <f>IF($E68+365&lt;$C$56,0,IF($E68&lt;$C$56,(($E68+365-$C$56)/365)*(($C68/$BN$157)+($D68/$BN$158)),IF($E68&gt;AF$166,0,IF($E68+365&lt;AF$166,($C68/$BN$157)+($D68/$BN$158),((AF$166-$E68)/365)*(($C68/$BN$157)+($D68/$BN$158))))))</f>
        <v>0</v>
      </c>
      <c r="AG167" s="54">
        <f t="shared" si="52"/>
        <v>0</v>
      </c>
      <c r="AH167" s="54">
        <f t="shared" si="52"/>
        <v>0</v>
      </c>
      <c r="AI167" s="54">
        <f t="shared" si="52"/>
        <v>0</v>
      </c>
      <c r="AJ167" s="54">
        <f t="shared" si="52"/>
        <v>0</v>
      </c>
      <c r="AK167" s="54">
        <f t="shared" ref="AK167" si="53">IF($E68+365&lt;$C$56,0,IF($E68&lt;$C$56,(($E68+365-$C$56)/365)*(($C68/$BN$157)+($D68/$BN$158)),IF($E68&gt;AK$166,0,IF($E68+365&lt;AK$166,($C68/$BN$157)+($D68/$BN$158),((AK$166-$E68)/365)*(($C68/$BN$157)+($D68/$BN$158))))))</f>
        <v>0</v>
      </c>
      <c r="AL167" s="24">
        <f t="shared" ref="AL167:AL213" si="54">IF(G68&lt;&gt;"",C68,0)</f>
        <v>0</v>
      </c>
      <c r="AM167" s="24">
        <f t="shared" ref="AM167:AM213" si="55">IF(G68&lt;&gt;"",D68,0)</f>
        <v>0</v>
      </c>
      <c r="AN167" s="55">
        <f t="shared" ref="AN167:AN213" si="56">IF(W68="Yes",0,F68)</f>
        <v>0</v>
      </c>
      <c r="AO167" s="55">
        <f t="shared" ref="AO167:AO213" si="57">IF(W68="Yes",F68,0)</f>
        <v>0</v>
      </c>
      <c r="AP167" s="24"/>
      <c r="AQ167" s="24"/>
      <c r="AR167" s="24"/>
      <c r="AS167" s="24"/>
      <c r="AT167" s="24"/>
      <c r="AU167" s="24"/>
      <c r="AV167" s="24"/>
      <c r="AW167" s="24"/>
      <c r="AX167" s="24"/>
      <c r="AY167" s="24"/>
      <c r="AZ167" s="24"/>
      <c r="BA167" s="24"/>
      <c r="BB167" s="25"/>
      <c r="BC167" s="24"/>
      <c r="BD167" s="24"/>
      <c r="BE167" s="24">
        <f t="shared" ref="BE167:BE176" si="58">IF($C$58="base",INDEX($AN$157:$AR$157,MATCH($C$57,$AN$165:$AR$165,0)),INDEX($AU$157:$AY$157,MATCH($C$57,$AU$165:$AY$165,0)))</f>
        <v>84.92</v>
      </c>
      <c r="BF167" s="24" t="s">
        <v>486</v>
      </c>
      <c r="BG167" s="56">
        <f>BV158+($C$64-$BV$158)</f>
        <v>78</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5"/>
        <v>30</v>
      </c>
      <c r="H168" s="12">
        <f t="shared" si="46"/>
        <v>30</v>
      </c>
      <c r="I168" s="12">
        <f t="shared" si="46"/>
        <v>30</v>
      </c>
      <c r="J168" s="12">
        <f t="shared" si="46"/>
        <v>30</v>
      </c>
      <c r="K168" s="12">
        <f t="shared" si="47"/>
        <v>30</v>
      </c>
      <c r="L168" s="12">
        <f t="shared" si="48"/>
        <v>30</v>
      </c>
      <c r="M168" s="12">
        <f t="shared" si="48"/>
        <v>30</v>
      </c>
      <c r="N168" s="12">
        <f t="shared" si="48"/>
        <v>30</v>
      </c>
      <c r="O168" s="12">
        <f t="shared" si="49"/>
        <v>30</v>
      </c>
      <c r="P168" s="12">
        <f t="shared" si="50"/>
        <v>30</v>
      </c>
      <c r="Q168" s="12">
        <f t="shared" si="50"/>
        <v>30</v>
      </c>
      <c r="T168" s="57"/>
      <c r="U168" s="57"/>
      <c r="V168" s="57"/>
      <c r="W168" s="53">
        <f t="shared" ref="W168:W211" si="59">C69*$BN$160*1000</f>
        <v>0</v>
      </c>
      <c r="X168" s="54" t="e">
        <f t="shared" si="51"/>
        <v>#DIV/0!</v>
      </c>
      <c r="Y168" s="54">
        <f t="shared" ref="Y168:Y213" si="60">Z168/$BH$166</f>
        <v>0</v>
      </c>
      <c r="Z168" s="54">
        <f>($C69/$BN$157)+($D69/$BN$158)</f>
        <v>0</v>
      </c>
      <c r="AA168" s="54">
        <f t="shared" si="52"/>
        <v>0</v>
      </c>
      <c r="AB168" s="54">
        <f t="shared" si="52"/>
        <v>0</v>
      </c>
      <c r="AC168" s="54">
        <f t="shared" si="52"/>
        <v>0</v>
      </c>
      <c r="AD168" s="54">
        <f>IF($E69+365&lt;$C$56,0,IF($E69&lt;$C$56,(($E69+365-$C$56)/365)*(($C69/$BN$157)+($D69/$BN$158)),IF($E69&gt;AD$166,0,IF($E69+365&lt;AD$166,($C69/$BN$157)+($D69/$BN$158),((AD$166-$E69)/365)*(($C69/$BN$157)+($D69/$BN$158))))))</f>
        <v>0</v>
      </c>
      <c r="AE168" s="54">
        <f t="shared" si="52"/>
        <v>0</v>
      </c>
      <c r="AF168" s="54">
        <f t="shared" si="52"/>
        <v>0</v>
      </c>
      <c r="AG168" s="54">
        <f t="shared" si="52"/>
        <v>0</v>
      </c>
      <c r="AH168" s="54">
        <f t="shared" si="52"/>
        <v>0</v>
      </c>
      <c r="AI168" s="54">
        <f t="shared" si="52"/>
        <v>0</v>
      </c>
      <c r="AJ168" s="54">
        <f t="shared" si="52"/>
        <v>0</v>
      </c>
      <c r="AK168" s="54">
        <f t="shared" ref="AK168" si="61">IF($E69+365&lt;$C$56,0,IF($E69&lt;$C$56,(($E69+365-$C$56)/365)*(($C69/$BN$157)+($D69/$BN$158)),IF($E69&gt;AK$166,0,IF($E69+365&lt;AK$166,($C69/$BN$157)+($D69/$BN$158),((AK$166-$E69)/365)*(($C69/$BN$157)+($D69/$BN$158))))))</f>
        <v>0</v>
      </c>
      <c r="AL168" s="24">
        <f t="shared" si="54"/>
        <v>0</v>
      </c>
      <c r="AM168" s="24">
        <f t="shared" si="55"/>
        <v>0</v>
      </c>
      <c r="AN168" s="55">
        <f t="shared" si="56"/>
        <v>31200</v>
      </c>
      <c r="AO168" s="55">
        <f t="shared" si="57"/>
        <v>0</v>
      </c>
      <c r="AP168" s="24"/>
      <c r="AQ168" s="24"/>
      <c r="AR168" s="24"/>
      <c r="AS168" s="24"/>
      <c r="AT168" s="24"/>
      <c r="AU168" s="24"/>
      <c r="AV168" s="24"/>
      <c r="AW168" s="24"/>
      <c r="AX168" s="24"/>
      <c r="AY168" s="24"/>
      <c r="AZ168" s="24"/>
      <c r="BA168" s="24"/>
      <c r="BB168" s="24"/>
      <c r="BC168" s="24"/>
      <c r="BD168" s="24"/>
      <c r="BE168" s="24">
        <f t="shared" si="58"/>
        <v>84.92</v>
      </c>
      <c r="BF168" s="59">
        <f>AB166</f>
        <v>45747</v>
      </c>
      <c r="BG168" s="36">
        <f>(BV158+AB214)+($C$64-$BV$158)</f>
        <v>78.778356494933661</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5"/>
        <v>0</v>
      </c>
      <c r="H169" s="12">
        <f t="shared" si="46"/>
        <v>0</v>
      </c>
      <c r="I169" s="12">
        <f t="shared" si="46"/>
        <v>0</v>
      </c>
      <c r="J169" s="12">
        <f t="shared" si="46"/>
        <v>0</v>
      </c>
      <c r="K169" s="12">
        <f t="shared" si="47"/>
        <v>0</v>
      </c>
      <c r="L169" s="12">
        <f t="shared" si="48"/>
        <v>0</v>
      </c>
      <c r="M169" s="12">
        <f t="shared" si="48"/>
        <v>0</v>
      </c>
      <c r="N169" s="12">
        <f t="shared" si="48"/>
        <v>0</v>
      </c>
      <c r="O169" s="12">
        <f t="shared" si="49"/>
        <v>0</v>
      </c>
      <c r="P169" s="12">
        <f t="shared" si="50"/>
        <v>0</v>
      </c>
      <c r="Q169" s="12">
        <f t="shared" si="50"/>
        <v>0</v>
      </c>
      <c r="T169" s="61"/>
      <c r="U169" s="61"/>
      <c r="V169" s="61"/>
      <c r="W169" s="53">
        <f t="shared" si="59"/>
        <v>4560</v>
      </c>
      <c r="X169" s="54">
        <f t="shared" si="51"/>
        <v>-42.763157894736842</v>
      </c>
      <c r="Y169" s="343">
        <f>Z169/$BH$166</f>
        <v>6.769789040518899E-2</v>
      </c>
      <c r="Z169" s="54">
        <f>($C70/$BN$157)+($D70/$BN$158)</f>
        <v>1.037808659911547</v>
      </c>
      <c r="AA169" s="54">
        <f t="shared" si="52"/>
        <v>0</v>
      </c>
      <c r="AB169" s="54">
        <f t="shared" si="52"/>
        <v>1.037808659911547</v>
      </c>
      <c r="AC169" s="54">
        <f t="shared" si="52"/>
        <v>1.037808659911547</v>
      </c>
      <c r="AD169" s="54">
        <f>IF($E70+365&lt;$C$56,0,IF($E70&lt;$C$56,(($E70+365-$C$56)/365)*(($C70/$BN$157)+($D70/$BN$158)),IF($E70&gt;AD$166,0,IF($E70+365&lt;AD$166,($C70/$BN$157)+($D70/$BN$158),((AD$166-$E70)/365)*(($C70/$BN$157)+($D70/$BN$158))))))</f>
        <v>1.037808659911547</v>
      </c>
      <c r="AE169" s="54">
        <f t="shared" si="52"/>
        <v>1.037808659911547</v>
      </c>
      <c r="AF169" s="54">
        <f t="shared" si="52"/>
        <v>1.037808659911547</v>
      </c>
      <c r="AG169" s="54">
        <f t="shared" si="52"/>
        <v>1.037808659911547</v>
      </c>
      <c r="AH169" s="54">
        <f t="shared" si="52"/>
        <v>1.037808659911547</v>
      </c>
      <c r="AI169" s="54">
        <f t="shared" si="52"/>
        <v>1.037808659911547</v>
      </c>
      <c r="AJ169" s="54">
        <f t="shared" si="52"/>
        <v>1.037808659911547</v>
      </c>
      <c r="AK169" s="54">
        <f t="shared" ref="AK169" si="62">IF($E70+365&lt;$C$56,0,IF($E70&lt;$C$56,(($E70+365-$C$56)/365)*(($C70/$BN$157)+($D70/$BN$158)),IF($E70&gt;AK$166,0,IF($E70+365&lt;AK$166,($C70/$BN$157)+($D70/$BN$158),((AK$166-$E70)/365)*(($C70/$BN$157)+($D70/$BN$158))))))</f>
        <v>1.037808659911547</v>
      </c>
      <c r="AL169" s="24">
        <f t="shared" si="54"/>
        <v>30</v>
      </c>
      <c r="AM169" s="24">
        <f t="shared" si="55"/>
        <v>-145</v>
      </c>
      <c r="AN169" s="55">
        <f t="shared" si="56"/>
        <v>195000</v>
      </c>
      <c r="AO169" s="55">
        <f t="shared" si="57"/>
        <v>0</v>
      </c>
      <c r="AP169" s="24"/>
      <c r="AQ169" s="24"/>
      <c r="AR169" s="24"/>
      <c r="AS169" s="24"/>
      <c r="AT169" s="24"/>
      <c r="AU169" s="24"/>
      <c r="AV169" s="24"/>
      <c r="AW169" s="24"/>
      <c r="AX169" s="24"/>
      <c r="AY169" s="24"/>
      <c r="AZ169" s="24"/>
      <c r="BA169" s="24"/>
      <c r="BB169" s="24"/>
      <c r="BC169" s="24"/>
      <c r="BD169" s="24"/>
      <c r="BE169" s="24">
        <f t="shared" si="58"/>
        <v>84.92</v>
      </c>
      <c r="BF169" s="59">
        <f>BF168+365</f>
        <v>46112</v>
      </c>
      <c r="BG169" s="36">
        <f>BV158+AC214+($C$64-$BV$158)</f>
        <v>78.778356494933661</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63">INDEX(AN156:AR156,MATCH($CE$168,$AN$165:$AR$165,0))</f>
        <v>69.59</v>
      </c>
      <c r="CJ169" s="14">
        <f t="shared" ref="CJ169:CJ177" si="64">INDEX(AU156:AY156,MATCH($CE$168,$AN$165:$AR$165,0))</f>
        <v>129.52000000000001</v>
      </c>
    </row>
    <row r="170" spans="7:88">
      <c r="G170" s="12">
        <f t="shared" si="45"/>
        <v>0</v>
      </c>
      <c r="H170" s="12">
        <f t="shared" si="46"/>
        <v>0</v>
      </c>
      <c r="I170" s="12">
        <f t="shared" si="46"/>
        <v>0</v>
      </c>
      <c r="J170" s="12">
        <f t="shared" si="46"/>
        <v>-25</v>
      </c>
      <c r="K170" s="12">
        <f t="shared" si="47"/>
        <v>-25</v>
      </c>
      <c r="L170" s="12">
        <f t="shared" si="48"/>
        <v>-25</v>
      </c>
      <c r="M170" s="12">
        <f t="shared" si="48"/>
        <v>-25</v>
      </c>
      <c r="N170" s="12">
        <f t="shared" si="48"/>
        <v>-25</v>
      </c>
      <c r="O170" s="12">
        <f t="shared" si="49"/>
        <v>-25</v>
      </c>
      <c r="P170" s="12">
        <f t="shared" si="50"/>
        <v>-25</v>
      </c>
      <c r="Q170" s="12">
        <f t="shared" si="50"/>
        <v>-25</v>
      </c>
      <c r="T170" s="61"/>
      <c r="U170" s="61"/>
      <c r="V170" s="61"/>
      <c r="W170" s="53">
        <f t="shared" si="59"/>
        <v>0</v>
      </c>
      <c r="X170" s="54" t="e">
        <f t="shared" si="51"/>
        <v>#DIV/0!</v>
      </c>
      <c r="Y170" s="25">
        <f t="shared" si="60"/>
        <v>0</v>
      </c>
      <c r="Z170" s="54">
        <f t="shared" ref="Z170:Z213" si="65">($C71/$BN$157)+($D71/$BN$158)</f>
        <v>0</v>
      </c>
      <c r="AA170" s="54">
        <f t="shared" si="52"/>
        <v>0</v>
      </c>
      <c r="AB170" s="54">
        <f t="shared" si="52"/>
        <v>0</v>
      </c>
      <c r="AC170" s="54">
        <f t="shared" si="52"/>
        <v>0</v>
      </c>
      <c r="AD170" s="54">
        <f t="shared" si="52"/>
        <v>0</v>
      </c>
      <c r="AE170" s="54">
        <f t="shared" si="52"/>
        <v>0</v>
      </c>
      <c r="AF170" s="54">
        <f t="shared" si="52"/>
        <v>0</v>
      </c>
      <c r="AG170" s="54">
        <f t="shared" si="52"/>
        <v>0</v>
      </c>
      <c r="AH170" s="54">
        <f t="shared" si="52"/>
        <v>0</v>
      </c>
      <c r="AI170" s="54">
        <f t="shared" si="52"/>
        <v>0</v>
      </c>
      <c r="AJ170" s="54">
        <f t="shared" si="52"/>
        <v>0</v>
      </c>
      <c r="AK170" s="54">
        <f t="shared" ref="AK170" si="66">IF($E71+365&lt;$C$56,0,IF($E71&lt;$C$56,(($E71+365-$C$56)/365)*(($C71/$BN$157)+($D71/$BN$158)),IF($E71&gt;AK$166,0,IF($E71+365&lt;AK$166,($C71/$BN$157)+($D71/$BN$158),((AK$166-$E71)/365)*(($C71/$BN$157)+($D71/$BN$158))))))</f>
        <v>0</v>
      </c>
      <c r="AL170" s="24">
        <f t="shared" si="54"/>
        <v>0</v>
      </c>
      <c r="AM170" s="24">
        <f t="shared" si="55"/>
        <v>0</v>
      </c>
      <c r="AN170" s="55">
        <f t="shared" si="56"/>
        <v>104000</v>
      </c>
      <c r="AO170" s="55">
        <f t="shared" si="57"/>
        <v>0</v>
      </c>
      <c r="AP170" s="24"/>
      <c r="AQ170" s="24"/>
      <c r="AR170" s="24"/>
      <c r="AS170" s="24"/>
      <c r="AT170" s="24"/>
      <c r="AU170" s="24"/>
      <c r="AV170" s="24"/>
      <c r="AW170" s="24"/>
      <c r="AX170" s="24"/>
      <c r="AY170" s="24"/>
      <c r="AZ170" s="24"/>
      <c r="BA170" s="24"/>
      <c r="BB170" s="24"/>
      <c r="BC170" s="24"/>
      <c r="BD170" s="24"/>
      <c r="BE170" s="24">
        <f t="shared" si="58"/>
        <v>84.92</v>
      </c>
      <c r="BF170" s="59">
        <f>BF169+365</f>
        <v>46477</v>
      </c>
      <c r="BG170" s="36">
        <f>$BV$158+AD214+($C$64-$BV$158)</f>
        <v>77.843339660984469</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63"/>
        <v>84.92</v>
      </c>
      <c r="CJ170" s="14">
        <f t="shared" si="64"/>
        <v>158.69</v>
      </c>
    </row>
    <row r="171" spans="7:88">
      <c r="G171" s="12">
        <f t="shared" si="45"/>
        <v>0</v>
      </c>
      <c r="H171" s="12">
        <f t="shared" si="46"/>
        <v>0</v>
      </c>
      <c r="I171" s="12">
        <f t="shared" si="46"/>
        <v>0</v>
      </c>
      <c r="J171" s="12">
        <f t="shared" si="46"/>
        <v>0</v>
      </c>
      <c r="K171" s="12">
        <f t="shared" si="47"/>
        <v>-5</v>
      </c>
      <c r="L171" s="12">
        <f t="shared" si="48"/>
        <v>-5</v>
      </c>
      <c r="M171" s="12">
        <f t="shared" si="48"/>
        <v>-5</v>
      </c>
      <c r="N171" s="12">
        <f t="shared" si="48"/>
        <v>-5</v>
      </c>
      <c r="O171" s="12">
        <f t="shared" si="49"/>
        <v>-5</v>
      </c>
      <c r="P171" s="12">
        <f t="shared" si="50"/>
        <v>-5</v>
      </c>
      <c r="Q171" s="12">
        <f t="shared" si="50"/>
        <v>-5</v>
      </c>
      <c r="T171" s="61"/>
      <c r="U171" s="61"/>
      <c r="V171" s="61"/>
      <c r="W171" s="53">
        <f t="shared" si="59"/>
        <v>-3800</v>
      </c>
      <c r="X171" s="54">
        <f t="shared" si="51"/>
        <v>30.789473684210527</v>
      </c>
      <c r="Y171" s="54">
        <f t="shared" si="60"/>
        <v>-8.132349066746615E-2</v>
      </c>
      <c r="Z171" s="54">
        <f>($C72/$BN$157)+($D72/$BN$158)</f>
        <v>-1.2466891119322558</v>
      </c>
      <c r="AA171" s="54">
        <f t="shared" si="52"/>
        <v>0</v>
      </c>
      <c r="AB171" s="54">
        <f t="shared" si="52"/>
        <v>0</v>
      </c>
      <c r="AC171" s="54">
        <f t="shared" si="52"/>
        <v>0</v>
      </c>
      <c r="AD171" s="54">
        <f t="shared" si="52"/>
        <v>-1.2466891119322558</v>
      </c>
      <c r="AE171" s="54">
        <f t="shared" si="52"/>
        <v>-1.2466891119322558</v>
      </c>
      <c r="AF171" s="54">
        <f>IF($E72+365&lt;$C$56,0,IF($E72&lt;$C$56,(($E72+365-$C$56)/365)*(($C72/$BN$157)+($D72/$BN$158)),IF($E72&gt;AF$166,0,IF($E72+365&lt;AF$166,($C72/$BN$157)+($D72/$BN$158),((AF$166-$E72)/365)*(($C72/$BN$157)+($D72/$BN$158))))))</f>
        <v>-1.2466891119322558</v>
      </c>
      <c r="AG171" s="54">
        <f t="shared" si="52"/>
        <v>-1.2466891119322558</v>
      </c>
      <c r="AH171" s="54">
        <f t="shared" si="52"/>
        <v>-1.2466891119322558</v>
      </c>
      <c r="AI171" s="54">
        <f t="shared" si="52"/>
        <v>-1.2466891119322558</v>
      </c>
      <c r="AJ171" s="54">
        <f t="shared" si="52"/>
        <v>-1.2466891119322558</v>
      </c>
      <c r="AK171" s="54">
        <f t="shared" ref="AK171" si="67">IF($E72+365&lt;$C$56,0,IF($E72&lt;$C$56,(($E72+365-$C$56)/365)*(($C72/$BN$157)+($D72/$BN$158)),IF($E72&gt;AK$166,0,IF($E72+365&lt;AK$166,($C72/$BN$157)+($D72/$BN$158),((AK$166-$E72)/365)*(($C72/$BN$157)+($D72/$BN$158))))))</f>
        <v>-1.2466891119322558</v>
      </c>
      <c r="AL171" s="24">
        <f t="shared" si="54"/>
        <v>-25</v>
      </c>
      <c r="AM171" s="24">
        <f t="shared" si="55"/>
        <v>0</v>
      </c>
      <c r="AN171" s="55">
        <f t="shared" si="56"/>
        <v>117000</v>
      </c>
      <c r="AO171" s="55">
        <f t="shared" si="57"/>
        <v>0</v>
      </c>
      <c r="AP171" s="24"/>
      <c r="AQ171" s="24"/>
      <c r="AR171" s="24"/>
      <c r="AS171" s="24"/>
      <c r="AT171" s="24"/>
      <c r="AU171" s="24"/>
      <c r="AV171" s="24"/>
      <c r="AW171" s="24"/>
      <c r="AX171" s="24"/>
      <c r="AY171" s="24"/>
      <c r="AZ171" s="24"/>
      <c r="BA171" s="24"/>
      <c r="BB171" s="24"/>
      <c r="BC171" s="24"/>
      <c r="BD171" s="24"/>
      <c r="BE171" s="24">
        <f t="shared" si="58"/>
        <v>84.92</v>
      </c>
      <c r="BF171" s="59">
        <f t="shared" ref="BF171:BF176" si="68">BF170+365</f>
        <v>46842</v>
      </c>
      <c r="BG171" s="36">
        <f>$BV$158+AE214+($C$64-$BV$158)</f>
        <v>76.429797833941578</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63"/>
        <v>100.25</v>
      </c>
      <c r="CJ171" s="14">
        <f t="shared" si="64"/>
        <v>187.86</v>
      </c>
    </row>
    <row r="172" spans="7:88">
      <c r="G172" s="12">
        <f t="shared" si="45"/>
        <v>0</v>
      </c>
      <c r="H172" s="12">
        <f t="shared" si="46"/>
        <v>0</v>
      </c>
      <c r="I172" s="12">
        <f t="shared" si="46"/>
        <v>0</v>
      </c>
      <c r="J172" s="12">
        <f t="shared" si="46"/>
        <v>0</v>
      </c>
      <c r="K172" s="12">
        <f t="shared" si="47"/>
        <v>10</v>
      </c>
      <c r="L172" s="12">
        <f t="shared" si="48"/>
        <v>10</v>
      </c>
      <c r="M172" s="12">
        <f t="shared" si="48"/>
        <v>10</v>
      </c>
      <c r="N172" s="12">
        <f t="shared" si="48"/>
        <v>10</v>
      </c>
      <c r="O172" s="12">
        <f t="shared" si="49"/>
        <v>10</v>
      </c>
      <c r="P172" s="12">
        <f t="shared" si="50"/>
        <v>10</v>
      </c>
      <c r="Q172" s="12">
        <f t="shared" si="50"/>
        <v>10</v>
      </c>
      <c r="T172" s="61"/>
      <c r="U172" s="61"/>
      <c r="V172" s="61"/>
      <c r="W172" s="53">
        <f t="shared" si="59"/>
        <v>-760</v>
      </c>
      <c r="X172" s="54">
        <f t="shared" si="51"/>
        <v>128.28947368421052</v>
      </c>
      <c r="Y172" s="25">
        <f>Z172/$BH$166</f>
        <v>-1.6264698133493231E-2</v>
      </c>
      <c r="Z172" s="54">
        <f t="shared" si="65"/>
        <v>-0.24933782238645119</v>
      </c>
      <c r="AA172" s="54">
        <f t="shared" si="52"/>
        <v>0</v>
      </c>
      <c r="AB172" s="54">
        <f t="shared" si="52"/>
        <v>0</v>
      </c>
      <c r="AC172" s="54">
        <f t="shared" si="52"/>
        <v>0</v>
      </c>
      <c r="AD172" s="54">
        <f t="shared" si="52"/>
        <v>0</v>
      </c>
      <c r="AE172" s="54">
        <f t="shared" si="52"/>
        <v>-0.24933782238645119</v>
      </c>
      <c r="AF172" s="54">
        <f t="shared" si="52"/>
        <v>-0.24933782238645119</v>
      </c>
      <c r="AG172" s="54">
        <f t="shared" si="52"/>
        <v>-0.24933782238645119</v>
      </c>
      <c r="AH172" s="54">
        <f t="shared" si="52"/>
        <v>-0.24933782238645119</v>
      </c>
      <c r="AI172" s="54">
        <f t="shared" si="52"/>
        <v>-0.24933782238645119</v>
      </c>
      <c r="AJ172" s="54">
        <f t="shared" si="52"/>
        <v>-0.24933782238645119</v>
      </c>
      <c r="AK172" s="54">
        <f t="shared" ref="AK172" si="69">IF($E73+365&lt;$C$56,0,IF($E73&lt;$C$56,(($E73+365-$C$56)/365)*(($C73/$BN$157)+($D73/$BN$158)),IF($E73&gt;AK$166,0,IF($E73+365&lt;AK$166,($C73/$BN$157)+($D73/$BN$158),((AK$166-$E73)/365)*(($C73/$BN$157)+($D73/$BN$158))))))</f>
        <v>-0.24933782238645119</v>
      </c>
      <c r="AL172" s="24">
        <f t="shared" si="54"/>
        <v>-5</v>
      </c>
      <c r="AM172" s="24">
        <f t="shared" si="55"/>
        <v>0</v>
      </c>
      <c r="AN172" s="55">
        <f t="shared" si="56"/>
        <v>97500</v>
      </c>
      <c r="AO172" s="55">
        <f t="shared" si="57"/>
        <v>0</v>
      </c>
      <c r="AP172" s="24"/>
      <c r="AQ172" s="24"/>
      <c r="AR172" s="24"/>
      <c r="AS172" s="24"/>
      <c r="AT172" s="24"/>
      <c r="AU172" s="24"/>
      <c r="AV172" s="24"/>
      <c r="AW172" s="24"/>
      <c r="AX172" s="24"/>
      <c r="AY172" s="24"/>
      <c r="AZ172" s="24"/>
      <c r="BA172" s="24"/>
      <c r="BB172" s="24"/>
      <c r="BC172" s="24"/>
      <c r="BD172" s="24"/>
      <c r="BE172" s="24">
        <f t="shared" si="58"/>
        <v>84.92</v>
      </c>
      <c r="BF172" s="59">
        <f t="shared" si="68"/>
        <v>47207</v>
      </c>
      <c r="BG172" s="36">
        <f>$BV$158+AF214+($C$64-$BV$158)</f>
        <v>76.429797833941578</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63"/>
        <v>115.57</v>
      </c>
      <c r="CJ172" s="14">
        <f t="shared" si="64"/>
        <v>217.04</v>
      </c>
    </row>
    <row r="173" spans="7:88">
      <c r="G173" s="12">
        <f t="shared" si="45"/>
        <v>0</v>
      </c>
      <c r="H173" s="12">
        <f t="shared" si="46"/>
        <v>0</v>
      </c>
      <c r="I173" s="12">
        <f t="shared" si="46"/>
        <v>0</v>
      </c>
      <c r="J173" s="12">
        <f t="shared" si="46"/>
        <v>0</v>
      </c>
      <c r="K173" s="12">
        <f t="shared" si="47"/>
        <v>-15</v>
      </c>
      <c r="L173" s="12">
        <f t="shared" si="48"/>
        <v>-15</v>
      </c>
      <c r="M173" s="12">
        <f t="shared" si="48"/>
        <v>-15</v>
      </c>
      <c r="N173" s="12">
        <f t="shared" si="48"/>
        <v>-15</v>
      </c>
      <c r="O173" s="12">
        <f t="shared" si="49"/>
        <v>-15</v>
      </c>
      <c r="P173" s="12">
        <f t="shared" si="50"/>
        <v>-15</v>
      </c>
      <c r="Q173" s="12">
        <f t="shared" si="50"/>
        <v>-15</v>
      </c>
      <c r="T173" s="61"/>
      <c r="U173" s="61"/>
      <c r="V173" s="61"/>
      <c r="W173" s="53">
        <f t="shared" si="59"/>
        <v>1520</v>
      </c>
      <c r="X173" s="54">
        <f t="shared" si="51"/>
        <v>-376.31578947368422</v>
      </c>
      <c r="Y173" s="25">
        <f t="shared" si="60"/>
        <v>7.1741776278157147E-3</v>
      </c>
      <c r="Z173" s="54">
        <f t="shared" si="65"/>
        <v>0.10998014303441489</v>
      </c>
      <c r="AA173" s="54">
        <f t="shared" si="52"/>
        <v>0</v>
      </c>
      <c r="AB173" s="54">
        <f t="shared" si="52"/>
        <v>0</v>
      </c>
      <c r="AC173" s="54">
        <f t="shared" si="52"/>
        <v>0</v>
      </c>
      <c r="AD173" s="54">
        <f t="shared" si="52"/>
        <v>0</v>
      </c>
      <c r="AE173" s="54">
        <f t="shared" si="52"/>
        <v>0.10998014303441489</v>
      </c>
      <c r="AF173" s="54">
        <f t="shared" si="52"/>
        <v>0.10998014303441489</v>
      </c>
      <c r="AG173" s="54">
        <f t="shared" si="52"/>
        <v>0.10998014303441489</v>
      </c>
      <c r="AH173" s="54">
        <f t="shared" si="52"/>
        <v>0.10998014303441489</v>
      </c>
      <c r="AI173" s="54">
        <f t="shared" si="52"/>
        <v>0.10998014303441489</v>
      </c>
      <c r="AJ173" s="54">
        <f t="shared" si="52"/>
        <v>0.10998014303441489</v>
      </c>
      <c r="AK173" s="54">
        <f t="shared" ref="AK173" si="70">IF($E74+365&lt;$C$56,0,IF($E74&lt;$C$56,(($E74+365-$C$56)/365)*(($C74/$BN$157)+($D74/$BN$158)),IF($E74&gt;AK$166,0,IF($E74+365&lt;AK$166,($C74/$BN$157)+($D74/$BN$158),((AK$166-$E74)/365)*(($C74/$BN$157)+($D74/$BN$158))))))</f>
        <v>0.10998014303441489</v>
      </c>
      <c r="AL173" s="24">
        <f t="shared" si="54"/>
        <v>10</v>
      </c>
      <c r="AM173" s="24">
        <f t="shared" si="55"/>
        <v>-123</v>
      </c>
      <c r="AN173" s="55">
        <f t="shared" si="56"/>
        <v>572000</v>
      </c>
      <c r="AO173" s="55">
        <f t="shared" si="57"/>
        <v>0</v>
      </c>
      <c r="AP173" s="24"/>
      <c r="AQ173" s="344"/>
      <c r="AR173" s="344"/>
      <c r="AS173" s="344"/>
      <c r="AT173" s="344"/>
      <c r="AU173" s="344"/>
      <c r="AV173" s="344"/>
      <c r="AW173" s="344"/>
      <c r="AX173" s="344"/>
      <c r="AY173" s="344"/>
      <c r="AZ173" s="24"/>
      <c r="BA173" s="24"/>
      <c r="BB173" s="24"/>
      <c r="BC173" s="24"/>
      <c r="BD173" s="24"/>
      <c r="BE173" s="24">
        <f t="shared" si="58"/>
        <v>84.92</v>
      </c>
      <c r="BF173" s="59">
        <f t="shared" si="68"/>
        <v>47572</v>
      </c>
      <c r="BG173" s="36">
        <f>$BV$158+AG214+($C$64-$BV$158)</f>
        <v>76.429797833941578</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63"/>
        <v>130.9</v>
      </c>
      <c r="CJ173" s="14">
        <f t="shared" si="64"/>
        <v>246.21</v>
      </c>
    </row>
    <row r="174" spans="7:88">
      <c r="G174" s="12">
        <f t="shared" si="45"/>
        <v>0</v>
      </c>
      <c r="H174" s="12">
        <f t="shared" si="46"/>
        <v>0</v>
      </c>
      <c r="I174" s="12">
        <f t="shared" si="46"/>
        <v>0</v>
      </c>
      <c r="J174" s="12">
        <f t="shared" si="46"/>
        <v>0</v>
      </c>
      <c r="K174" s="12">
        <f t="shared" si="47"/>
        <v>-15</v>
      </c>
      <c r="L174" s="12">
        <f t="shared" si="48"/>
        <v>-15</v>
      </c>
      <c r="M174" s="12">
        <f t="shared" si="48"/>
        <v>-15</v>
      </c>
      <c r="N174" s="12">
        <f t="shared" si="48"/>
        <v>-15</v>
      </c>
      <c r="O174" s="12">
        <f t="shared" si="49"/>
        <v>-15</v>
      </c>
      <c r="P174" s="12">
        <f t="shared" si="50"/>
        <v>-15</v>
      </c>
      <c r="Q174" s="12">
        <f t="shared" si="50"/>
        <v>-15</v>
      </c>
      <c r="T174" s="61"/>
      <c r="U174" s="61"/>
      <c r="V174" s="61"/>
      <c r="W174" s="53">
        <f t="shared" si="59"/>
        <v>-2280</v>
      </c>
      <c r="X174" s="54">
        <f t="shared" si="51"/>
        <v>239.47368421052633</v>
      </c>
      <c r="Y174" s="25">
        <f t="shared" si="60"/>
        <v>-4.8794094400479687E-2</v>
      </c>
      <c r="Z174" s="54">
        <f t="shared" si="65"/>
        <v>-0.74801346715935357</v>
      </c>
      <c r="AA174" s="54">
        <f t="shared" si="52"/>
        <v>0</v>
      </c>
      <c r="AB174" s="54">
        <f t="shared" si="52"/>
        <v>0</v>
      </c>
      <c r="AC174" s="54">
        <f t="shared" si="52"/>
        <v>0</v>
      </c>
      <c r="AD174" s="54">
        <f t="shared" si="52"/>
        <v>0</v>
      </c>
      <c r="AE174" s="54">
        <f t="shared" si="52"/>
        <v>-0.74801346715935357</v>
      </c>
      <c r="AF174" s="54">
        <f t="shared" si="52"/>
        <v>-0.74801346715935357</v>
      </c>
      <c r="AG174" s="54">
        <f t="shared" si="52"/>
        <v>-0.74801346715935357</v>
      </c>
      <c r="AH174" s="54">
        <f t="shared" si="52"/>
        <v>-0.74801346715935357</v>
      </c>
      <c r="AI174" s="54">
        <f t="shared" si="52"/>
        <v>-0.74801346715935357</v>
      </c>
      <c r="AJ174" s="54">
        <f t="shared" si="52"/>
        <v>-0.74801346715935357</v>
      </c>
      <c r="AK174" s="54">
        <f t="shared" ref="AK174" si="71">IF($E75+365&lt;$C$56,0,IF($E75&lt;$C$56,(($E75+365-$C$56)/365)*(($C75/$BN$157)+($D75/$BN$158)),IF($E75&gt;AK$166,0,IF($E75+365&lt;AK$166,($C75/$BN$157)+($D75/$BN$158),((AK$166-$E75)/365)*(($C75/$BN$157)+($D75/$BN$158))))))</f>
        <v>-0.74801346715935357</v>
      </c>
      <c r="AL174" s="24">
        <f t="shared" si="54"/>
        <v>-15</v>
      </c>
      <c r="AM174" s="24">
        <f t="shared" si="55"/>
        <v>0</v>
      </c>
      <c r="AN174" s="55">
        <f t="shared" si="56"/>
        <v>546000</v>
      </c>
      <c r="AO174" s="55">
        <f t="shared" si="57"/>
        <v>0</v>
      </c>
      <c r="AP174" s="24"/>
      <c r="AQ174" s="24"/>
      <c r="AR174" s="24"/>
      <c r="AS174" s="24"/>
      <c r="AT174" s="24"/>
      <c r="AU174" s="24"/>
      <c r="AV174" s="24"/>
      <c r="AW174" s="24"/>
      <c r="AX174" s="24"/>
      <c r="AY174" s="24"/>
      <c r="AZ174" s="24"/>
      <c r="BA174" s="24"/>
      <c r="BB174" s="24"/>
      <c r="BC174" s="24"/>
      <c r="BD174" s="24"/>
      <c r="BE174" s="24">
        <f t="shared" si="58"/>
        <v>84.92</v>
      </c>
      <c r="BF174" s="59">
        <f t="shared" si="68"/>
        <v>47937</v>
      </c>
      <c r="BG174" s="36">
        <f>$BV$158+AH214+($C$64-$BV$158)</f>
        <v>61.552013598030314</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63"/>
        <v>146.22999999999999</v>
      </c>
      <c r="CJ174" s="14">
        <f t="shared" si="64"/>
        <v>275.38</v>
      </c>
    </row>
    <row r="175" spans="7:88">
      <c r="G175" s="12">
        <f t="shared" si="45"/>
        <v>0</v>
      </c>
      <c r="H175" s="12">
        <f t="shared" si="46"/>
        <v>0</v>
      </c>
      <c r="I175" s="12">
        <f t="shared" si="46"/>
        <v>0</v>
      </c>
      <c r="J175" s="12">
        <f t="shared" si="46"/>
        <v>0</v>
      </c>
      <c r="K175" s="12">
        <f t="shared" si="47"/>
        <v>-5</v>
      </c>
      <c r="L175" s="12">
        <f t="shared" si="48"/>
        <v>-5</v>
      </c>
      <c r="M175" s="12">
        <f t="shared" si="48"/>
        <v>-5</v>
      </c>
      <c r="N175" s="12">
        <f t="shared" si="48"/>
        <v>-5</v>
      </c>
      <c r="O175" s="12">
        <f t="shared" si="49"/>
        <v>-5</v>
      </c>
      <c r="P175" s="12">
        <f t="shared" si="50"/>
        <v>-5</v>
      </c>
      <c r="Q175" s="12">
        <f t="shared" si="50"/>
        <v>-5</v>
      </c>
      <c r="T175" s="61"/>
      <c r="U175" s="61"/>
      <c r="V175" s="61"/>
      <c r="W175" s="53">
        <f t="shared" si="59"/>
        <v>-2280</v>
      </c>
      <c r="X175" s="54">
        <f t="shared" si="51"/>
        <v>239.47368421052633</v>
      </c>
      <c r="Y175" s="25">
        <f t="shared" si="60"/>
        <v>-4.8794094400479687E-2</v>
      </c>
      <c r="Z175" s="54">
        <f t="shared" si="65"/>
        <v>-0.74801346715935357</v>
      </c>
      <c r="AA175" s="54">
        <f t="shared" si="52"/>
        <v>0</v>
      </c>
      <c r="AB175" s="54">
        <f t="shared" si="52"/>
        <v>0</v>
      </c>
      <c r="AC175" s="54">
        <f t="shared" si="52"/>
        <v>0</v>
      </c>
      <c r="AD175" s="54">
        <f t="shared" si="52"/>
        <v>0</v>
      </c>
      <c r="AE175" s="54">
        <f t="shared" si="52"/>
        <v>-0.74801346715935357</v>
      </c>
      <c r="AF175" s="54">
        <f t="shared" si="52"/>
        <v>-0.74801346715935357</v>
      </c>
      <c r="AG175" s="54">
        <f t="shared" si="52"/>
        <v>-0.74801346715935357</v>
      </c>
      <c r="AH175" s="54">
        <f t="shared" si="52"/>
        <v>-0.74801346715935357</v>
      </c>
      <c r="AI175" s="54">
        <f t="shared" si="52"/>
        <v>-0.74801346715935357</v>
      </c>
      <c r="AJ175" s="54">
        <f t="shared" si="52"/>
        <v>-0.74801346715935357</v>
      </c>
      <c r="AK175" s="54">
        <f t="shared" ref="AK175" si="72">IF($E76+365&lt;$C$56,0,IF($E76&lt;$C$56,(($E76+365-$C$56)/365)*(($C76/$BN$157)+($D76/$BN$158)),IF($E76&gt;AK$166,0,IF($E76+365&lt;AK$166,($C76/$BN$157)+($D76/$BN$158),((AK$166-$E76)/365)*(($C76/$BN$157)+($D76/$BN$158))))))</f>
        <v>-0.74801346715935357</v>
      </c>
      <c r="AL175" s="24">
        <f t="shared" si="54"/>
        <v>-15</v>
      </c>
      <c r="AM175" s="24">
        <f t="shared" si="55"/>
        <v>0</v>
      </c>
      <c r="AN175" s="55">
        <f t="shared" si="56"/>
        <v>546000</v>
      </c>
      <c r="AO175" s="55">
        <f t="shared" si="57"/>
        <v>0</v>
      </c>
      <c r="AP175" s="24"/>
      <c r="AQ175" s="24"/>
      <c r="AR175" s="24"/>
      <c r="AS175" s="24"/>
      <c r="AT175" s="24"/>
      <c r="AU175" s="24"/>
      <c r="AV175" s="24"/>
      <c r="AW175" s="24"/>
      <c r="AX175" s="24"/>
      <c r="AY175" s="24"/>
      <c r="AZ175" s="24"/>
      <c r="BA175" s="24"/>
      <c r="BB175" s="24"/>
      <c r="BC175" s="24"/>
      <c r="BD175" s="24"/>
      <c r="BE175" s="24">
        <f t="shared" si="58"/>
        <v>84.92</v>
      </c>
      <c r="BF175" s="59">
        <f t="shared" si="68"/>
        <v>48302</v>
      </c>
      <c r="BG175" s="36">
        <f>$BV$158+AI214+($C$64-$BV$158)</f>
        <v>61.552013598030314</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63"/>
        <v>161.56</v>
      </c>
      <c r="CJ175" s="14">
        <f t="shared" si="64"/>
        <v>304.55</v>
      </c>
    </row>
    <row r="176" spans="7:88">
      <c r="G176" s="12">
        <f t="shared" si="45"/>
        <v>0</v>
      </c>
      <c r="H176" s="12">
        <f t="shared" si="46"/>
        <v>0</v>
      </c>
      <c r="I176" s="12">
        <f t="shared" si="46"/>
        <v>0</v>
      </c>
      <c r="J176" s="12">
        <f t="shared" si="46"/>
        <v>0</v>
      </c>
      <c r="K176" s="12">
        <f t="shared" si="47"/>
        <v>0</v>
      </c>
      <c r="L176" s="12">
        <f t="shared" si="48"/>
        <v>0</v>
      </c>
      <c r="M176" s="12">
        <f t="shared" si="48"/>
        <v>0</v>
      </c>
      <c r="N176" s="12">
        <f t="shared" si="48"/>
        <v>-180</v>
      </c>
      <c r="O176" s="12">
        <f t="shared" si="49"/>
        <v>-180</v>
      </c>
      <c r="P176" s="12">
        <f t="shared" si="50"/>
        <v>-180</v>
      </c>
      <c r="Q176" s="12">
        <f t="shared" si="50"/>
        <v>-180</v>
      </c>
      <c r="T176" s="61"/>
      <c r="U176" s="61"/>
      <c r="V176" s="61"/>
      <c r="W176" s="53">
        <f t="shared" si="59"/>
        <v>-760</v>
      </c>
      <c r="X176" s="54">
        <f t="shared" si="51"/>
        <v>513.15789473684208</v>
      </c>
      <c r="Y176" s="25">
        <f t="shared" si="60"/>
        <v>-1.6264698133493231E-2</v>
      </c>
      <c r="Z176" s="54">
        <f t="shared" si="65"/>
        <v>-0.24933782238645119</v>
      </c>
      <c r="AA176" s="54">
        <f t="shared" si="52"/>
        <v>0</v>
      </c>
      <c r="AB176" s="54">
        <f t="shared" si="52"/>
        <v>0</v>
      </c>
      <c r="AC176" s="54">
        <f t="shared" si="52"/>
        <v>0</v>
      </c>
      <c r="AD176" s="54">
        <f t="shared" si="52"/>
        <v>0</v>
      </c>
      <c r="AE176" s="54">
        <f t="shared" si="52"/>
        <v>-0.24933782238645119</v>
      </c>
      <c r="AF176" s="54">
        <f t="shared" si="52"/>
        <v>-0.24933782238645119</v>
      </c>
      <c r="AG176" s="54">
        <f t="shared" si="52"/>
        <v>-0.24933782238645119</v>
      </c>
      <c r="AH176" s="54">
        <f t="shared" si="52"/>
        <v>-0.24933782238645119</v>
      </c>
      <c r="AI176" s="54">
        <f t="shared" si="52"/>
        <v>-0.24933782238645119</v>
      </c>
      <c r="AJ176" s="54">
        <f t="shared" si="52"/>
        <v>-0.24933782238645119</v>
      </c>
      <c r="AK176" s="54">
        <f t="shared" ref="AK176" si="73">IF($E77+365&lt;$C$56,0,IF($E77&lt;$C$56,(($E77+365-$C$56)/365)*(($C77/$BN$157)+($D77/$BN$158)),IF($E77&gt;AK$166,0,IF($E77+365&lt;AK$166,($C77/$BN$157)+($D77/$BN$158),((AK$166-$E77)/365)*(($C77/$BN$157)+($D77/$BN$158))))))</f>
        <v>-0.24933782238645119</v>
      </c>
      <c r="AL176" s="24">
        <f t="shared" si="54"/>
        <v>-5</v>
      </c>
      <c r="AM176" s="24">
        <f t="shared" si="55"/>
        <v>0</v>
      </c>
      <c r="AN176" s="55">
        <f t="shared" si="56"/>
        <v>390000</v>
      </c>
      <c r="AO176" s="55">
        <f t="shared" si="57"/>
        <v>0</v>
      </c>
      <c r="AP176" s="344"/>
      <c r="AQ176" s="344"/>
      <c r="AR176" s="344"/>
      <c r="AS176" s="344"/>
      <c r="AT176" s="344"/>
      <c r="AU176" s="344"/>
      <c r="AV176" s="344"/>
      <c r="AW176" s="344"/>
      <c r="AX176" s="344"/>
      <c r="AY176" s="24"/>
      <c r="AZ176" s="24"/>
      <c r="BA176" s="24"/>
      <c r="BB176" s="24"/>
      <c r="BC176" s="24"/>
      <c r="BD176" s="24"/>
      <c r="BE176" s="24">
        <f t="shared" si="58"/>
        <v>84.92</v>
      </c>
      <c r="BF176" s="59">
        <f t="shared" si="68"/>
        <v>48667</v>
      </c>
      <c r="BG176" s="36">
        <f>$BV$158+AJ214+($C$64-$BV$158)</f>
        <v>61.552013598030314</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63"/>
        <v>176.89</v>
      </c>
      <c r="CJ176" s="14">
        <f t="shared" si="64"/>
        <v>333.72</v>
      </c>
    </row>
    <row r="177" spans="7:88">
      <c r="G177" s="12">
        <f t="shared" si="45"/>
        <v>0</v>
      </c>
      <c r="H177" s="12">
        <f t="shared" si="46"/>
        <v>0</v>
      </c>
      <c r="I177" s="12">
        <f t="shared" si="46"/>
        <v>0</v>
      </c>
      <c r="J177" s="12">
        <f t="shared" si="46"/>
        <v>0</v>
      </c>
      <c r="K177" s="12">
        <f t="shared" si="47"/>
        <v>0</v>
      </c>
      <c r="L177" s="12">
        <f t="shared" si="48"/>
        <v>0</v>
      </c>
      <c r="M177" s="12">
        <f t="shared" si="48"/>
        <v>0</v>
      </c>
      <c r="N177" s="12">
        <f t="shared" si="48"/>
        <v>0</v>
      </c>
      <c r="O177" s="12">
        <f t="shared" si="49"/>
        <v>0</v>
      </c>
      <c r="P177" s="12">
        <f t="shared" si="50"/>
        <v>0</v>
      </c>
      <c r="Q177" s="12">
        <f t="shared" si="50"/>
        <v>0</v>
      </c>
      <c r="T177" s="61"/>
      <c r="U177" s="61"/>
      <c r="V177" s="61"/>
      <c r="W177" s="53">
        <f t="shared" si="59"/>
        <v>-27360</v>
      </c>
      <c r="X177" s="54">
        <f t="shared" si="51"/>
        <v>61.769005847953217</v>
      </c>
      <c r="Y177" s="25">
        <f t="shared" si="60"/>
        <v>-0.61088435144492703</v>
      </c>
      <c r="Z177" s="54">
        <f t="shared" si="65"/>
        <v>-9.3648571076507299</v>
      </c>
      <c r="AA177" s="54">
        <f t="shared" si="52"/>
        <v>0</v>
      </c>
      <c r="AB177" s="54">
        <f t="shared" si="52"/>
        <v>0</v>
      </c>
      <c r="AC177" s="54">
        <f t="shared" si="52"/>
        <v>0</v>
      </c>
      <c r="AD177" s="54">
        <f t="shared" si="52"/>
        <v>0</v>
      </c>
      <c r="AE177" s="54">
        <f t="shared" si="52"/>
        <v>0</v>
      </c>
      <c r="AF177" s="54">
        <f t="shared" si="52"/>
        <v>0</v>
      </c>
      <c r="AG177" s="54">
        <f t="shared" si="52"/>
        <v>0</v>
      </c>
      <c r="AH177" s="54">
        <f t="shared" si="52"/>
        <v>-9.3648571076507299</v>
      </c>
      <c r="AI177" s="54">
        <f t="shared" si="52"/>
        <v>-9.3648571076507299</v>
      </c>
      <c r="AJ177" s="54">
        <f t="shared" si="52"/>
        <v>-9.3648571076507299</v>
      </c>
      <c r="AK177" s="54">
        <f t="shared" ref="AK177" si="74">IF($E78+365&lt;$C$56,0,IF($E78&lt;$C$56,(($E78+365-$C$56)/365)*(($C78/$BN$157)+($D78/$BN$158)),IF($E78&gt;AK$166,0,IF($E78+365&lt;AK$166,($C78/$BN$157)+($D78/$BN$158),((AK$166-$E78)/365)*(($C78/$BN$157)+($D78/$BN$158))))))</f>
        <v>-9.3648571076507299</v>
      </c>
      <c r="AL177" s="24">
        <f t="shared" si="54"/>
        <v>-180</v>
      </c>
      <c r="AM177" s="24">
        <f t="shared" si="55"/>
        <v>-123</v>
      </c>
      <c r="AN177" s="55">
        <f t="shared" si="56"/>
        <v>1690000</v>
      </c>
      <c r="AO177" s="55">
        <f t="shared" si="57"/>
        <v>0</v>
      </c>
      <c r="AP177" s="344"/>
      <c r="AQ177" s="344"/>
      <c r="AS177" s="344"/>
      <c r="AT177" s="344"/>
      <c r="AU177" s="344"/>
      <c r="AV177" s="344"/>
      <c r="AW177" s="344"/>
      <c r="AX177" s="34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63"/>
        <v>192.21</v>
      </c>
      <c r="CJ177" s="14">
        <f t="shared" si="64"/>
        <v>362.89</v>
      </c>
    </row>
    <row r="178" spans="7:88">
      <c r="G178" s="12">
        <f t="shared" si="45"/>
        <v>0</v>
      </c>
      <c r="H178" s="12">
        <f t="shared" si="46"/>
        <v>0</v>
      </c>
      <c r="I178" s="12">
        <f t="shared" si="46"/>
        <v>0</v>
      </c>
      <c r="J178" s="12">
        <f t="shared" si="46"/>
        <v>0</v>
      </c>
      <c r="K178" s="12">
        <f t="shared" si="47"/>
        <v>0</v>
      </c>
      <c r="L178" s="12">
        <f t="shared" si="48"/>
        <v>0</v>
      </c>
      <c r="M178" s="12">
        <f t="shared" si="48"/>
        <v>0</v>
      </c>
      <c r="N178" s="12">
        <f t="shared" si="48"/>
        <v>-80</v>
      </c>
      <c r="O178" s="12">
        <f t="shared" si="49"/>
        <v>-80</v>
      </c>
      <c r="P178" s="12">
        <f t="shared" si="50"/>
        <v>-80</v>
      </c>
      <c r="Q178" s="12">
        <f t="shared" si="50"/>
        <v>-80</v>
      </c>
      <c r="T178" s="61"/>
      <c r="U178" s="61"/>
      <c r="V178" s="61"/>
      <c r="W178" s="53">
        <f t="shared" si="59"/>
        <v>0</v>
      </c>
      <c r="X178" s="54" t="e">
        <f t="shared" si="51"/>
        <v>#DIV/0!</v>
      </c>
      <c r="Y178" s="25">
        <f t="shared" si="60"/>
        <v>0</v>
      </c>
      <c r="Z178" s="54">
        <f t="shared" si="65"/>
        <v>0</v>
      </c>
      <c r="AA178" s="54">
        <f t="shared" si="52"/>
        <v>0</v>
      </c>
      <c r="AB178" s="54">
        <f t="shared" si="52"/>
        <v>0</v>
      </c>
      <c r="AC178" s="54">
        <f>IF($E79+365&lt;$C$56,0,IF($E79&lt;$C$56,(($E79+365-$C$56)/365)*(($C79/$BN$157)+($D79/$BN$158)),IF($E79&gt;AC$166,0,IF($E79+365&lt;AC$166,($C79/$BN$157)+($D79/$BN$158),((AC$166-$E79)/365)*(($C79/$BN$157)+($D79/$BN$158))))))</f>
        <v>0</v>
      </c>
      <c r="AD178" s="54">
        <f t="shared" si="52"/>
        <v>0</v>
      </c>
      <c r="AE178" s="54">
        <f t="shared" si="52"/>
        <v>0</v>
      </c>
      <c r="AF178" s="54">
        <f t="shared" si="52"/>
        <v>0</v>
      </c>
      <c r="AG178" s="54">
        <f t="shared" si="52"/>
        <v>0</v>
      </c>
      <c r="AH178" s="54">
        <f t="shared" si="52"/>
        <v>0</v>
      </c>
      <c r="AI178" s="54">
        <f t="shared" si="52"/>
        <v>0</v>
      </c>
      <c r="AJ178" s="54">
        <f t="shared" si="52"/>
        <v>0</v>
      </c>
      <c r="AK178" s="54">
        <f t="shared" ref="AK178" si="75">IF($E79+365&lt;$C$56,0,IF($E79&lt;$C$56,(($E79+365-$C$56)/365)*(($C79/$BN$157)+($D79/$BN$158)),IF($E79&gt;AK$166,0,IF($E79+365&lt;AK$166,($C79/$BN$157)+($D79/$BN$158),((AK$166-$E79)/365)*(($C79/$BN$157)+($D79/$BN$158))))))</f>
        <v>0</v>
      </c>
      <c r="AL178" s="24">
        <f t="shared" si="54"/>
        <v>0</v>
      </c>
      <c r="AM178" s="24">
        <f t="shared" si="55"/>
        <v>0</v>
      </c>
      <c r="AN178" s="55">
        <f t="shared" si="56"/>
        <v>52000</v>
      </c>
      <c r="AO178" s="55">
        <f t="shared" si="57"/>
        <v>0</v>
      </c>
      <c r="AQ178" s="34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5"/>
        <v>0</v>
      </c>
      <c r="H179" s="12">
        <f t="shared" si="46"/>
        <v>0</v>
      </c>
      <c r="I179" s="12">
        <f t="shared" si="46"/>
        <v>0</v>
      </c>
      <c r="J179" s="12">
        <f t="shared" si="46"/>
        <v>0</v>
      </c>
      <c r="K179" s="12">
        <f t="shared" si="47"/>
        <v>0</v>
      </c>
      <c r="L179" s="12">
        <f t="shared" si="48"/>
        <v>0</v>
      </c>
      <c r="M179" s="12">
        <f t="shared" si="48"/>
        <v>0</v>
      </c>
      <c r="N179" s="12">
        <f t="shared" si="48"/>
        <v>-130</v>
      </c>
      <c r="O179" s="12">
        <f t="shared" si="49"/>
        <v>-130</v>
      </c>
      <c r="P179" s="12">
        <f t="shared" si="50"/>
        <v>-130</v>
      </c>
      <c r="Q179" s="12">
        <f t="shared" si="50"/>
        <v>-130</v>
      </c>
      <c r="T179" s="61"/>
      <c r="U179" s="61"/>
      <c r="V179" s="61"/>
      <c r="W179" s="53">
        <f t="shared" si="59"/>
        <v>-12160</v>
      </c>
      <c r="X179" s="54">
        <f t="shared" si="51"/>
        <v>37.828947368421055</v>
      </c>
      <c r="Y179" s="25">
        <f t="shared" si="60"/>
        <v>-0.2602351701358917</v>
      </c>
      <c r="Z179" s="54">
        <f t="shared" si="65"/>
        <v>-3.9894051581832191</v>
      </c>
      <c r="AA179" s="54">
        <f t="shared" si="52"/>
        <v>0</v>
      </c>
      <c r="AB179" s="54">
        <f t="shared" si="52"/>
        <v>0</v>
      </c>
      <c r="AC179" s="54">
        <f t="shared" si="52"/>
        <v>0</v>
      </c>
      <c r="AD179" s="54">
        <f t="shared" si="52"/>
        <v>0</v>
      </c>
      <c r="AE179" s="54">
        <f t="shared" si="52"/>
        <v>0</v>
      </c>
      <c r="AF179" s="54">
        <f t="shared" si="52"/>
        <v>0</v>
      </c>
      <c r="AG179" s="54">
        <f t="shared" si="52"/>
        <v>0</v>
      </c>
      <c r="AH179" s="54">
        <f t="shared" si="52"/>
        <v>-3.9894051581832191</v>
      </c>
      <c r="AI179" s="54">
        <f t="shared" si="52"/>
        <v>-3.9894051581832191</v>
      </c>
      <c r="AJ179" s="54">
        <f t="shared" si="52"/>
        <v>-3.9894051581832191</v>
      </c>
      <c r="AK179" s="54">
        <f t="shared" ref="AK179" si="76">IF($E80+365&lt;$C$56,0,IF($E80&lt;$C$56,(($E80+365-$C$56)/365)*(($C80/$BN$157)+($D80/$BN$158)),IF($E80&gt;AK$166,0,IF($E80+365&lt;AK$166,($C80/$BN$157)+($D80/$BN$158),((AK$166-$E80)/365)*(($C80/$BN$157)+($D80/$BN$158))))))</f>
        <v>-3.9894051581832191</v>
      </c>
      <c r="AL179" s="24">
        <f t="shared" si="54"/>
        <v>-80</v>
      </c>
      <c r="AM179" s="24">
        <f t="shared" si="55"/>
        <v>0</v>
      </c>
      <c r="AN179" s="55">
        <f t="shared" si="56"/>
        <v>460000</v>
      </c>
      <c r="AO179" s="55">
        <f t="shared" si="57"/>
        <v>0</v>
      </c>
      <c r="AP179" s="345"/>
      <c r="AQ179" s="344"/>
      <c r="AR179" s="345"/>
      <c r="AS179" s="345"/>
      <c r="AT179" s="345"/>
      <c r="AU179" s="345"/>
      <c r="AV179" s="345"/>
      <c r="AW179" s="345"/>
      <c r="AX179" s="345"/>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5"/>
        <v>0</v>
      </c>
      <c r="H180" s="12">
        <f t="shared" si="46"/>
        <v>0</v>
      </c>
      <c r="I180" s="12">
        <f t="shared" si="46"/>
        <v>0</v>
      </c>
      <c r="J180" s="12">
        <f t="shared" si="46"/>
        <v>0</v>
      </c>
      <c r="K180" s="12">
        <f t="shared" si="47"/>
        <v>0</v>
      </c>
      <c r="L180" s="12">
        <f t="shared" si="48"/>
        <v>0</v>
      </c>
      <c r="M180" s="12">
        <f t="shared" si="48"/>
        <v>0</v>
      </c>
      <c r="N180" s="12">
        <f t="shared" si="48"/>
        <v>0</v>
      </c>
      <c r="O180" s="12">
        <f t="shared" si="49"/>
        <v>0</v>
      </c>
      <c r="P180" s="12">
        <f t="shared" si="50"/>
        <v>0</v>
      </c>
      <c r="Q180" s="12">
        <f t="shared" si="50"/>
        <v>0</v>
      </c>
      <c r="T180" s="61"/>
      <c r="U180" s="61"/>
      <c r="V180" s="61"/>
      <c r="W180" s="53">
        <f t="shared" si="59"/>
        <v>-19759.999999999996</v>
      </c>
      <c r="X180" s="54">
        <f t="shared" si="51"/>
        <v>14.549595141700408</v>
      </c>
      <c r="Y180" s="25">
        <f t="shared" si="60"/>
        <v>-0.42288215147082397</v>
      </c>
      <c r="Z180" s="54">
        <f t="shared" si="65"/>
        <v>-6.4827833820477307</v>
      </c>
      <c r="AA180" s="54">
        <f t="shared" si="52"/>
        <v>0</v>
      </c>
      <c r="AB180" s="54">
        <f t="shared" si="52"/>
        <v>0</v>
      </c>
      <c r="AC180" s="54">
        <f t="shared" si="52"/>
        <v>0</v>
      </c>
      <c r="AD180" s="54">
        <f t="shared" si="52"/>
        <v>0</v>
      </c>
      <c r="AE180" s="54">
        <f t="shared" si="52"/>
        <v>0</v>
      </c>
      <c r="AF180" s="54">
        <f t="shared" si="52"/>
        <v>0</v>
      </c>
      <c r="AG180" s="54">
        <f t="shared" si="52"/>
        <v>0</v>
      </c>
      <c r="AH180" s="54">
        <f t="shared" si="52"/>
        <v>-6.4827833820477307</v>
      </c>
      <c r="AI180" s="54">
        <f t="shared" si="52"/>
        <v>-6.4827833820477307</v>
      </c>
      <c r="AJ180" s="54">
        <f t="shared" si="52"/>
        <v>-6.4827833820477307</v>
      </c>
      <c r="AK180" s="54">
        <f t="shared" ref="AK180" si="77">IF($E81+365&lt;$C$56,0,IF($E81&lt;$C$56,(($E81+365-$C$56)/365)*(($C81/$BN$157)+($D81/$BN$158)),IF($E81&gt;AK$166,0,IF($E81+365&lt;AK$166,($C81/$BN$157)+($D81/$BN$158),((AK$166-$E81)/365)*(($C81/$BN$157)+($D81/$BN$158))))))</f>
        <v>-6.4827833820477307</v>
      </c>
      <c r="AL180" s="24">
        <f t="shared" si="54"/>
        <v>-130</v>
      </c>
      <c r="AM180" s="24">
        <f t="shared" si="55"/>
        <v>0</v>
      </c>
      <c r="AN180" s="55">
        <f t="shared" si="56"/>
        <v>287500</v>
      </c>
      <c r="AO180" s="55">
        <f t="shared" si="57"/>
        <v>0</v>
      </c>
      <c r="AQ180" s="34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5"/>
        <v>0</v>
      </c>
      <c r="H181" s="12">
        <f t="shared" si="46"/>
        <v>0</v>
      </c>
      <c r="I181" s="12">
        <f t="shared" si="46"/>
        <v>0</v>
      </c>
      <c r="J181" s="12">
        <f t="shared" si="46"/>
        <v>0</v>
      </c>
      <c r="K181" s="12">
        <f t="shared" si="47"/>
        <v>0</v>
      </c>
      <c r="L181" s="12">
        <f t="shared" si="48"/>
        <v>0</v>
      </c>
      <c r="M181" s="12">
        <f t="shared" si="48"/>
        <v>0</v>
      </c>
      <c r="N181" s="12">
        <f t="shared" si="48"/>
        <v>0</v>
      </c>
      <c r="O181" s="12">
        <f t="shared" si="49"/>
        <v>0</v>
      </c>
      <c r="P181" s="12">
        <f t="shared" si="50"/>
        <v>0</v>
      </c>
      <c r="Q181" s="12">
        <f t="shared" si="50"/>
        <v>0</v>
      </c>
      <c r="T181" s="61"/>
      <c r="U181" s="61"/>
      <c r="V181" s="61"/>
      <c r="W181" s="53">
        <f t="shared" si="59"/>
        <v>0</v>
      </c>
      <c r="X181" s="54" t="e">
        <f t="shared" si="51"/>
        <v>#DIV/0!</v>
      </c>
      <c r="Y181" s="25">
        <f t="shared" si="60"/>
        <v>0</v>
      </c>
      <c r="Z181" s="54">
        <f t="shared" si="65"/>
        <v>0</v>
      </c>
      <c r="AA181" s="54">
        <f t="shared" si="52"/>
        <v>0</v>
      </c>
      <c r="AB181" s="54">
        <f t="shared" si="52"/>
        <v>0</v>
      </c>
      <c r="AC181" s="54">
        <f t="shared" si="52"/>
        <v>0</v>
      </c>
      <c r="AD181" s="54">
        <f t="shared" si="52"/>
        <v>0</v>
      </c>
      <c r="AE181" s="54">
        <f t="shared" si="52"/>
        <v>0</v>
      </c>
      <c r="AF181" s="54">
        <f t="shared" si="52"/>
        <v>0</v>
      </c>
      <c r="AG181" s="54">
        <f t="shared" si="52"/>
        <v>0</v>
      </c>
      <c r="AH181" s="54">
        <f t="shared" si="52"/>
        <v>0</v>
      </c>
      <c r="AI181" s="54">
        <f t="shared" si="52"/>
        <v>0</v>
      </c>
      <c r="AJ181" s="54">
        <f t="shared" si="52"/>
        <v>0</v>
      </c>
      <c r="AK181" s="54">
        <f t="shared" ref="AK181" si="78">IF($E82+365&lt;$C$56,0,IF($E82&lt;$C$56,(($E82+365-$C$56)/365)*(($C82/$BN$157)+($D82/$BN$158)),IF($E82&gt;AK$166,0,IF($E82+365&lt;AK$166,($C82/$BN$157)+($D82/$BN$158),((AK$166-$E82)/365)*(($C82/$BN$157)+($D82/$BN$158))))))</f>
        <v>0</v>
      </c>
      <c r="AL181" s="24">
        <f t="shared" si="54"/>
        <v>0</v>
      </c>
      <c r="AM181" s="24">
        <f t="shared" si="55"/>
        <v>0</v>
      </c>
      <c r="AN181" s="55">
        <f t="shared" si="56"/>
        <v>0</v>
      </c>
      <c r="AO181" s="55">
        <f t="shared" si="57"/>
        <v>0</v>
      </c>
      <c r="AQ181" s="344"/>
      <c r="AS181" s="345"/>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5"/>
        <v>0</v>
      </c>
      <c r="H182" s="12">
        <f t="shared" si="46"/>
        <v>0</v>
      </c>
      <c r="I182" s="12">
        <f t="shared" si="46"/>
        <v>0</v>
      </c>
      <c r="J182" s="12">
        <f t="shared" si="46"/>
        <v>0</v>
      </c>
      <c r="K182" s="12">
        <f t="shared" si="47"/>
        <v>0</v>
      </c>
      <c r="L182" s="12">
        <f t="shared" si="48"/>
        <v>0</v>
      </c>
      <c r="M182" s="12">
        <f t="shared" si="48"/>
        <v>0</v>
      </c>
      <c r="N182" s="12">
        <f t="shared" si="48"/>
        <v>0</v>
      </c>
      <c r="O182" s="12">
        <f t="shared" si="49"/>
        <v>0</v>
      </c>
      <c r="P182" s="12">
        <f t="shared" si="50"/>
        <v>0</v>
      </c>
      <c r="Q182" s="12">
        <f t="shared" si="50"/>
        <v>0</v>
      </c>
      <c r="T182" s="61"/>
      <c r="U182" s="61"/>
      <c r="V182" s="61"/>
      <c r="W182" s="53">
        <f t="shared" si="59"/>
        <v>0</v>
      </c>
      <c r="X182" s="54" t="e">
        <f t="shared" si="51"/>
        <v>#DIV/0!</v>
      </c>
      <c r="Y182" s="25">
        <f t="shared" si="60"/>
        <v>0</v>
      </c>
      <c r="Z182" s="54">
        <f t="shared" si="65"/>
        <v>0</v>
      </c>
      <c r="AA182" s="54">
        <f t="shared" si="52"/>
        <v>0</v>
      </c>
      <c r="AB182" s="54">
        <f t="shared" si="52"/>
        <v>0</v>
      </c>
      <c r="AC182" s="54">
        <f t="shared" si="52"/>
        <v>0</v>
      </c>
      <c r="AD182" s="54">
        <f t="shared" si="52"/>
        <v>0</v>
      </c>
      <c r="AE182" s="54">
        <f t="shared" si="52"/>
        <v>0</v>
      </c>
      <c r="AF182" s="54">
        <f t="shared" si="52"/>
        <v>0</v>
      </c>
      <c r="AG182" s="54">
        <f t="shared" si="52"/>
        <v>0</v>
      </c>
      <c r="AH182" s="54">
        <f t="shared" si="52"/>
        <v>0</v>
      </c>
      <c r="AI182" s="54">
        <f t="shared" si="52"/>
        <v>0</v>
      </c>
      <c r="AJ182" s="54">
        <f t="shared" si="52"/>
        <v>0</v>
      </c>
      <c r="AK182" s="54">
        <f t="shared" ref="AK182" si="79">IF($E83+365&lt;$C$56,0,IF($E83&lt;$C$56,(($E83+365-$C$56)/365)*(($C83/$BN$157)+($D83/$BN$158)),IF($E83&gt;AK$166,0,IF($E83+365&lt;AK$166,($C83/$BN$157)+($D83/$BN$158),((AK$166-$E83)/365)*(($C83/$BN$157)+($D83/$BN$158))))))</f>
        <v>0</v>
      </c>
      <c r="AL182" s="24">
        <f t="shared" si="54"/>
        <v>0</v>
      </c>
      <c r="AM182" s="24">
        <f t="shared" si="55"/>
        <v>0</v>
      </c>
      <c r="AN182" s="55">
        <f t="shared" si="56"/>
        <v>0</v>
      </c>
      <c r="AO182" s="55">
        <f t="shared" si="57"/>
        <v>0</v>
      </c>
      <c r="AQ182" s="344"/>
      <c r="AS182" s="345"/>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5"/>
        <v>0</v>
      </c>
      <c r="H183" s="12">
        <f t="shared" si="46"/>
        <v>0</v>
      </c>
      <c r="I183" s="12">
        <f t="shared" si="46"/>
        <v>0</v>
      </c>
      <c r="J183" s="12">
        <f t="shared" si="46"/>
        <v>0</v>
      </c>
      <c r="K183" s="12">
        <f t="shared" si="47"/>
        <v>0</v>
      </c>
      <c r="L183" s="12">
        <f t="shared" si="48"/>
        <v>0</v>
      </c>
      <c r="M183" s="12">
        <f t="shared" si="48"/>
        <v>0</v>
      </c>
      <c r="N183" s="12">
        <f t="shared" si="48"/>
        <v>0</v>
      </c>
      <c r="O183" s="12">
        <f t="shared" si="49"/>
        <v>0</v>
      </c>
      <c r="P183" s="12">
        <f t="shared" si="50"/>
        <v>0</v>
      </c>
      <c r="Q183" s="12">
        <f t="shared" si="50"/>
        <v>0</v>
      </c>
      <c r="T183" s="61"/>
      <c r="U183" s="61"/>
      <c r="V183" s="61"/>
      <c r="W183" s="53">
        <f t="shared" si="59"/>
        <v>0</v>
      </c>
      <c r="X183" s="54" t="e">
        <f t="shared" si="51"/>
        <v>#DIV/0!</v>
      </c>
      <c r="Y183" s="25">
        <f t="shared" si="60"/>
        <v>0</v>
      </c>
      <c r="Z183" s="54">
        <f t="shared" si="65"/>
        <v>0</v>
      </c>
      <c r="AA183" s="54">
        <f t="shared" ref="AA183:AJ198" si="80">IF($E84+365&lt;$C$56,0,IF($E84&lt;$C$56,(($E84+365-$C$56)/365)*(($C84/$BN$157)+($D84/$BN$158)),IF($E84&gt;AA$166,0,IF($E84+365&lt;AA$166,($C84/$BN$157)+($D84/$BN$158),((AA$166-$E84)/365)*(($C84/$BN$157)+($D84/$BN$158))))))</f>
        <v>0</v>
      </c>
      <c r="AB183" s="54">
        <f t="shared" si="80"/>
        <v>0</v>
      </c>
      <c r="AC183" s="54">
        <f t="shared" si="80"/>
        <v>0</v>
      </c>
      <c r="AD183" s="54">
        <f t="shared" si="80"/>
        <v>0</v>
      </c>
      <c r="AE183" s="54">
        <f t="shared" si="80"/>
        <v>0</v>
      </c>
      <c r="AF183" s="54">
        <f t="shared" si="80"/>
        <v>0</v>
      </c>
      <c r="AG183" s="54">
        <f t="shared" si="80"/>
        <v>0</v>
      </c>
      <c r="AH183" s="54">
        <f t="shared" si="80"/>
        <v>0</v>
      </c>
      <c r="AI183" s="54">
        <f t="shared" si="80"/>
        <v>0</v>
      </c>
      <c r="AJ183" s="54">
        <f t="shared" si="80"/>
        <v>0</v>
      </c>
      <c r="AK183" s="54">
        <f t="shared" ref="AK183" si="81">IF($E84+365&lt;$C$56,0,IF($E84&lt;$C$56,(($E84+365-$C$56)/365)*(($C84/$BN$157)+($D84/$BN$158)),IF($E84&gt;AK$166,0,IF($E84+365&lt;AK$166,($C84/$BN$157)+($D84/$BN$158),((AK$166-$E84)/365)*(($C84/$BN$157)+($D84/$BN$158))))))</f>
        <v>0</v>
      </c>
      <c r="AL183" s="24">
        <f t="shared" si="54"/>
        <v>0</v>
      </c>
      <c r="AM183" s="24">
        <f t="shared" si="55"/>
        <v>0</v>
      </c>
      <c r="AN183" s="55">
        <f t="shared" si="56"/>
        <v>0</v>
      </c>
      <c r="AO183" s="55">
        <f t="shared" si="57"/>
        <v>0</v>
      </c>
      <c r="AQ183" s="344"/>
      <c r="AS183" s="345"/>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5"/>
        <v>0</v>
      </c>
      <c r="H184" s="12">
        <f t="shared" si="46"/>
        <v>0</v>
      </c>
      <c r="I184" s="12">
        <f t="shared" si="46"/>
        <v>0</v>
      </c>
      <c r="J184" s="12">
        <f t="shared" si="46"/>
        <v>0</v>
      </c>
      <c r="K184" s="12">
        <f t="shared" si="47"/>
        <v>0</v>
      </c>
      <c r="L184" s="12">
        <f t="shared" si="48"/>
        <v>0</v>
      </c>
      <c r="M184" s="12">
        <f t="shared" si="48"/>
        <v>0</v>
      </c>
      <c r="N184" s="12">
        <f t="shared" si="48"/>
        <v>0</v>
      </c>
      <c r="O184" s="12">
        <f t="shared" si="49"/>
        <v>0</v>
      </c>
      <c r="P184" s="12">
        <f t="shared" si="50"/>
        <v>0</v>
      </c>
      <c r="Q184" s="12">
        <f t="shared" si="50"/>
        <v>0</v>
      </c>
      <c r="T184" s="61"/>
      <c r="U184" s="61"/>
      <c r="V184" s="61"/>
      <c r="W184" s="53">
        <f t="shared" si="59"/>
        <v>0</v>
      </c>
      <c r="X184" s="54" t="e">
        <f t="shared" si="51"/>
        <v>#DIV/0!</v>
      </c>
      <c r="Y184" s="25">
        <f t="shared" si="60"/>
        <v>0</v>
      </c>
      <c r="Z184" s="54">
        <f t="shared" si="65"/>
        <v>0</v>
      </c>
      <c r="AA184" s="54">
        <f t="shared" si="80"/>
        <v>0</v>
      </c>
      <c r="AB184" s="54">
        <f t="shared" si="80"/>
        <v>0</v>
      </c>
      <c r="AC184" s="54">
        <f t="shared" si="80"/>
        <v>0</v>
      </c>
      <c r="AD184" s="54">
        <f t="shared" si="80"/>
        <v>0</v>
      </c>
      <c r="AE184" s="54">
        <f t="shared" si="80"/>
        <v>0</v>
      </c>
      <c r="AF184" s="54">
        <f t="shared" si="80"/>
        <v>0</v>
      </c>
      <c r="AG184" s="54">
        <f t="shared" si="80"/>
        <v>0</v>
      </c>
      <c r="AH184" s="54">
        <f t="shared" si="80"/>
        <v>0</v>
      </c>
      <c r="AI184" s="54">
        <f t="shared" si="80"/>
        <v>0</v>
      </c>
      <c r="AJ184" s="54">
        <f t="shared" si="80"/>
        <v>0</v>
      </c>
      <c r="AK184" s="54">
        <f t="shared" ref="AK184" si="82">IF($E85+365&lt;$C$56,0,IF($E85&lt;$C$56,(($E85+365-$C$56)/365)*(($C85/$BN$157)+($D85/$BN$158)),IF($E85&gt;AK$166,0,IF($E85+365&lt;AK$166,($C85/$BN$157)+($D85/$BN$158),((AK$166-$E85)/365)*(($C85/$BN$157)+($D85/$BN$158))))))</f>
        <v>0</v>
      </c>
      <c r="AL184" s="24">
        <f t="shared" si="54"/>
        <v>0</v>
      </c>
      <c r="AM184" s="24">
        <f t="shared" si="55"/>
        <v>0</v>
      </c>
      <c r="AN184" s="55">
        <f t="shared" si="56"/>
        <v>0</v>
      </c>
      <c r="AO184" s="55">
        <f t="shared" si="57"/>
        <v>0</v>
      </c>
      <c r="AQ184" s="344"/>
      <c r="AS184" s="345"/>
      <c r="AT184" s="24"/>
      <c r="AU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5"/>
        <v>0</v>
      </c>
      <c r="H185" s="12">
        <f t="shared" si="46"/>
        <v>0</v>
      </c>
      <c r="I185" s="12">
        <f t="shared" si="46"/>
        <v>0</v>
      </c>
      <c r="J185" s="12">
        <f t="shared" si="46"/>
        <v>0</v>
      </c>
      <c r="K185" s="12">
        <f t="shared" si="47"/>
        <v>0</v>
      </c>
      <c r="L185" s="12">
        <f t="shared" si="48"/>
        <v>0</v>
      </c>
      <c r="M185" s="12">
        <f t="shared" si="48"/>
        <v>0</v>
      </c>
      <c r="N185" s="12">
        <f t="shared" si="48"/>
        <v>0</v>
      </c>
      <c r="O185" s="12">
        <f t="shared" si="49"/>
        <v>0</v>
      </c>
      <c r="P185" s="12">
        <f t="shared" si="50"/>
        <v>0</v>
      </c>
      <c r="Q185" s="12">
        <f t="shared" si="50"/>
        <v>0</v>
      </c>
      <c r="T185" s="61"/>
      <c r="U185" s="61"/>
      <c r="V185" s="61"/>
      <c r="W185" s="53">
        <f t="shared" si="59"/>
        <v>0</v>
      </c>
      <c r="X185" s="54" t="e">
        <f t="shared" si="51"/>
        <v>#DIV/0!</v>
      </c>
      <c r="Y185" s="25">
        <f t="shared" si="60"/>
        <v>0</v>
      </c>
      <c r="Z185" s="54">
        <f t="shared" si="65"/>
        <v>0</v>
      </c>
      <c r="AA185" s="54">
        <f t="shared" si="80"/>
        <v>0</v>
      </c>
      <c r="AB185" s="54">
        <f t="shared" si="80"/>
        <v>0</v>
      </c>
      <c r="AC185" s="54">
        <f t="shared" si="80"/>
        <v>0</v>
      </c>
      <c r="AD185" s="54">
        <f t="shared" si="80"/>
        <v>0</v>
      </c>
      <c r="AE185" s="54">
        <f t="shared" si="80"/>
        <v>0</v>
      </c>
      <c r="AF185" s="54">
        <f t="shared" si="80"/>
        <v>0</v>
      </c>
      <c r="AG185" s="54">
        <f t="shared" si="80"/>
        <v>0</v>
      </c>
      <c r="AH185" s="54">
        <f t="shared" si="80"/>
        <v>0</v>
      </c>
      <c r="AI185" s="54">
        <f t="shared" si="80"/>
        <v>0</v>
      </c>
      <c r="AJ185" s="54">
        <f t="shared" si="80"/>
        <v>0</v>
      </c>
      <c r="AK185" s="54">
        <f t="shared" ref="AK185" si="83">IF($E86+365&lt;$C$56,0,IF($E86&lt;$C$56,(($E86+365-$C$56)/365)*(($C86/$BN$157)+($D86/$BN$158)),IF($E86&gt;AK$166,0,IF($E86+365&lt;AK$166,($C86/$BN$157)+($D86/$BN$158),((AK$166-$E86)/365)*(($C86/$BN$157)+($D86/$BN$158))))))</f>
        <v>0</v>
      </c>
      <c r="AL185" s="24">
        <f t="shared" si="54"/>
        <v>0</v>
      </c>
      <c r="AM185" s="24">
        <f t="shared" si="55"/>
        <v>0</v>
      </c>
      <c r="AN185" s="55">
        <f t="shared" si="56"/>
        <v>0</v>
      </c>
      <c r="AO185" s="55">
        <f t="shared" si="57"/>
        <v>0</v>
      </c>
      <c r="AP185" s="345"/>
      <c r="AQ185" s="344"/>
      <c r="AR185" s="344"/>
      <c r="AS185" s="345"/>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5"/>
        <v>0</v>
      </c>
      <c r="H186" s="12">
        <f t="shared" si="46"/>
        <v>0</v>
      </c>
      <c r="I186" s="12">
        <f t="shared" si="46"/>
        <v>0</v>
      </c>
      <c r="J186" s="12">
        <f t="shared" si="46"/>
        <v>0</v>
      </c>
      <c r="K186" s="12">
        <f t="shared" si="47"/>
        <v>0</v>
      </c>
      <c r="L186" s="12">
        <f t="shared" si="48"/>
        <v>0</v>
      </c>
      <c r="M186" s="12">
        <f t="shared" si="48"/>
        <v>0</v>
      </c>
      <c r="N186" s="12">
        <f t="shared" si="48"/>
        <v>0</v>
      </c>
      <c r="O186" s="12">
        <f t="shared" si="49"/>
        <v>0</v>
      </c>
      <c r="P186" s="12">
        <f t="shared" si="50"/>
        <v>0</v>
      </c>
      <c r="Q186" s="12">
        <f t="shared" si="50"/>
        <v>0</v>
      </c>
      <c r="T186" s="61"/>
      <c r="U186" s="61"/>
      <c r="V186" s="61"/>
      <c r="W186" s="53">
        <f t="shared" si="59"/>
        <v>0</v>
      </c>
      <c r="X186" s="54" t="e">
        <f t="shared" si="51"/>
        <v>#DIV/0!</v>
      </c>
      <c r="Y186" s="25">
        <f t="shared" si="60"/>
        <v>0</v>
      </c>
      <c r="Z186" s="54">
        <f t="shared" si="65"/>
        <v>0</v>
      </c>
      <c r="AA186" s="54">
        <f t="shared" si="80"/>
        <v>0</v>
      </c>
      <c r="AB186" s="54">
        <f t="shared" si="80"/>
        <v>0</v>
      </c>
      <c r="AC186" s="54">
        <f t="shared" si="80"/>
        <v>0</v>
      </c>
      <c r="AD186" s="54">
        <f t="shared" si="80"/>
        <v>0</v>
      </c>
      <c r="AE186" s="54">
        <f t="shared" si="80"/>
        <v>0</v>
      </c>
      <c r="AF186" s="54">
        <f t="shared" si="80"/>
        <v>0</v>
      </c>
      <c r="AG186" s="54">
        <f t="shared" si="80"/>
        <v>0</v>
      </c>
      <c r="AH186" s="54">
        <f t="shared" si="80"/>
        <v>0</v>
      </c>
      <c r="AI186" s="54">
        <f t="shared" si="80"/>
        <v>0</v>
      </c>
      <c r="AJ186" s="54">
        <f t="shared" si="80"/>
        <v>0</v>
      </c>
      <c r="AK186" s="54">
        <f t="shared" ref="AK186" si="84">IF($E87+365&lt;$C$56,0,IF($E87&lt;$C$56,(($E87+365-$C$56)/365)*(($C87/$BN$157)+($D87/$BN$158)),IF($E87&gt;AK$166,0,IF($E87+365&lt;AK$166,($C87/$BN$157)+($D87/$BN$158),((AK$166-$E87)/365)*(($C87/$BN$157)+($D87/$BN$158))))))</f>
        <v>0</v>
      </c>
      <c r="AL186" s="24">
        <f t="shared" si="54"/>
        <v>0</v>
      </c>
      <c r="AM186" s="24">
        <f t="shared" si="55"/>
        <v>0</v>
      </c>
      <c r="AN186" s="55">
        <f t="shared" si="56"/>
        <v>0</v>
      </c>
      <c r="AO186" s="55">
        <f t="shared" si="57"/>
        <v>0</v>
      </c>
      <c r="AP186" s="345"/>
      <c r="AQ186" s="344"/>
      <c r="AR186" s="344"/>
      <c r="AS186" s="345"/>
      <c r="AT186" s="24"/>
      <c r="AV186" s="24"/>
      <c r="AW186" s="36"/>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5"/>
        <v>0</v>
      </c>
      <c r="H187" s="12">
        <f t="shared" ref="H187:J206" si="85">IF($E89&gt;H$66,0,IF($E89&lt;H$66-365,$C89,0))</f>
        <v>0</v>
      </c>
      <c r="I187" s="12">
        <f t="shared" si="85"/>
        <v>0</v>
      </c>
      <c r="J187" s="12">
        <f t="shared" si="85"/>
        <v>0</v>
      </c>
      <c r="K187" s="12">
        <f t="shared" si="47"/>
        <v>0</v>
      </c>
      <c r="L187" s="12">
        <f t="shared" ref="L187:N206" si="86">IF($E89&gt;L$66,0,IF($E89&lt;L$66-365,$C89,0))</f>
        <v>0</v>
      </c>
      <c r="M187" s="12">
        <f t="shared" si="86"/>
        <v>0</v>
      </c>
      <c r="N187" s="12">
        <f t="shared" si="86"/>
        <v>0</v>
      </c>
      <c r="O187" s="12">
        <f t="shared" si="49"/>
        <v>0</v>
      </c>
      <c r="P187" s="12">
        <f t="shared" ref="P187:Q206" si="87">IF($E89&gt;P$66,0,IF($E89&lt;P$66-365,$C89,0))</f>
        <v>0</v>
      </c>
      <c r="Q187" s="12">
        <f t="shared" si="87"/>
        <v>0</v>
      </c>
      <c r="T187" s="61"/>
      <c r="U187" s="61"/>
      <c r="V187" s="61"/>
      <c r="W187" s="53">
        <f t="shared" si="59"/>
        <v>0</v>
      </c>
      <c r="X187" s="54" t="e">
        <f t="shared" si="51"/>
        <v>#DIV/0!</v>
      </c>
      <c r="Y187" s="25">
        <f t="shared" si="60"/>
        <v>0</v>
      </c>
      <c r="Z187" s="54">
        <f t="shared" si="65"/>
        <v>0</v>
      </c>
      <c r="AA187" s="54">
        <f t="shared" si="80"/>
        <v>0</v>
      </c>
      <c r="AB187" s="54">
        <f t="shared" si="80"/>
        <v>0</v>
      </c>
      <c r="AC187" s="54">
        <f t="shared" si="80"/>
        <v>0</v>
      </c>
      <c r="AD187" s="54">
        <f t="shared" si="80"/>
        <v>0</v>
      </c>
      <c r="AE187" s="54">
        <f t="shared" si="80"/>
        <v>0</v>
      </c>
      <c r="AF187" s="54">
        <f t="shared" si="80"/>
        <v>0</v>
      </c>
      <c r="AG187" s="54">
        <f t="shared" si="80"/>
        <v>0</v>
      </c>
      <c r="AH187" s="54">
        <f t="shared" si="80"/>
        <v>0</v>
      </c>
      <c r="AI187" s="54">
        <f t="shared" si="80"/>
        <v>0</v>
      </c>
      <c r="AJ187" s="54">
        <f t="shared" si="80"/>
        <v>0</v>
      </c>
      <c r="AK187" s="54">
        <f t="shared" ref="AK187" si="88">IF($E88+365&lt;$C$56,0,IF($E88&lt;$C$56,(($E88+365-$C$56)/365)*(($C88/$BN$157)+($D88/$BN$158)),IF($E88&gt;AK$166,0,IF($E88+365&lt;AK$166,($C88/$BN$157)+($D88/$BN$158),((AK$166-$E88)/365)*(($C88/$BN$157)+($D88/$BN$158))))))</f>
        <v>0</v>
      </c>
      <c r="AL187" s="24">
        <f t="shared" si="54"/>
        <v>0</v>
      </c>
      <c r="AM187" s="24">
        <f t="shared" si="55"/>
        <v>0</v>
      </c>
      <c r="AN187" s="55">
        <f t="shared" si="56"/>
        <v>0</v>
      </c>
      <c r="AO187" s="55">
        <f t="shared" si="57"/>
        <v>0</v>
      </c>
      <c r="AP187" s="345"/>
      <c r="AQ187" s="344"/>
      <c r="AR187" s="344"/>
      <c r="AS187" s="345"/>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5"/>
        <v>0</v>
      </c>
      <c r="H188" s="12">
        <f t="shared" si="85"/>
        <v>0</v>
      </c>
      <c r="I188" s="12">
        <f t="shared" si="85"/>
        <v>0</v>
      </c>
      <c r="J188" s="12">
        <f t="shared" si="85"/>
        <v>0</v>
      </c>
      <c r="K188" s="12">
        <f t="shared" si="47"/>
        <v>0</v>
      </c>
      <c r="L188" s="12">
        <f t="shared" si="86"/>
        <v>0</v>
      </c>
      <c r="M188" s="12">
        <f t="shared" si="86"/>
        <v>0</v>
      </c>
      <c r="N188" s="12">
        <f t="shared" si="86"/>
        <v>0</v>
      </c>
      <c r="O188" s="12">
        <f t="shared" si="49"/>
        <v>0</v>
      </c>
      <c r="P188" s="12">
        <f t="shared" si="87"/>
        <v>0</v>
      </c>
      <c r="Q188" s="12">
        <f t="shared" si="87"/>
        <v>0</v>
      </c>
      <c r="T188" s="61"/>
      <c r="U188" s="61"/>
      <c r="V188" s="61"/>
      <c r="W188" s="53">
        <f t="shared" si="59"/>
        <v>0</v>
      </c>
      <c r="X188" s="54" t="e">
        <f t="shared" si="51"/>
        <v>#DIV/0!</v>
      </c>
      <c r="Y188" s="25">
        <f t="shared" si="60"/>
        <v>0</v>
      </c>
      <c r="Z188" s="54">
        <f t="shared" si="65"/>
        <v>0</v>
      </c>
      <c r="AA188" s="54">
        <f t="shared" si="80"/>
        <v>0</v>
      </c>
      <c r="AB188" s="54">
        <f t="shared" si="80"/>
        <v>0</v>
      </c>
      <c r="AC188" s="54">
        <f t="shared" si="80"/>
        <v>0</v>
      </c>
      <c r="AD188" s="54">
        <f t="shared" si="80"/>
        <v>0</v>
      </c>
      <c r="AE188" s="54">
        <f t="shared" si="80"/>
        <v>0</v>
      </c>
      <c r="AF188" s="54">
        <f t="shared" si="80"/>
        <v>0</v>
      </c>
      <c r="AG188" s="54">
        <f t="shared" si="80"/>
        <v>0</v>
      </c>
      <c r="AH188" s="54">
        <f t="shared" si="80"/>
        <v>0</v>
      </c>
      <c r="AI188" s="54">
        <f t="shared" si="80"/>
        <v>0</v>
      </c>
      <c r="AJ188" s="54">
        <f t="shared" si="80"/>
        <v>0</v>
      </c>
      <c r="AK188" s="54">
        <f t="shared" ref="AK188" si="89">IF($E89+365&lt;$C$56,0,IF($E89&lt;$C$56,(($E89+365-$C$56)/365)*(($C89/$BN$157)+($D89/$BN$158)),IF($E89&gt;AK$166,0,IF($E89+365&lt;AK$166,($C89/$BN$157)+($D89/$BN$158),((AK$166-$E89)/365)*(($C89/$BN$157)+($D89/$BN$158))))))</f>
        <v>0</v>
      </c>
      <c r="AL188" s="24">
        <f t="shared" si="54"/>
        <v>0</v>
      </c>
      <c r="AM188" s="24">
        <f t="shared" si="55"/>
        <v>0</v>
      </c>
      <c r="AN188" s="55">
        <f t="shared" si="56"/>
        <v>0</v>
      </c>
      <c r="AO188" s="55">
        <f t="shared" si="57"/>
        <v>0</v>
      </c>
      <c r="AP188" s="345"/>
      <c r="AQ188" s="344"/>
      <c r="AR188" s="344"/>
      <c r="AS188" s="345"/>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5"/>
        <v>0</v>
      </c>
      <c r="H189" s="12">
        <f t="shared" si="85"/>
        <v>0</v>
      </c>
      <c r="I189" s="12">
        <f t="shared" si="85"/>
        <v>0</v>
      </c>
      <c r="J189" s="12">
        <f t="shared" si="85"/>
        <v>0</v>
      </c>
      <c r="K189" s="12">
        <f t="shared" si="47"/>
        <v>0</v>
      </c>
      <c r="L189" s="12">
        <f t="shared" si="86"/>
        <v>0</v>
      </c>
      <c r="M189" s="12">
        <f t="shared" si="86"/>
        <v>0</v>
      </c>
      <c r="N189" s="12">
        <f t="shared" si="86"/>
        <v>0</v>
      </c>
      <c r="O189" s="12">
        <f t="shared" si="49"/>
        <v>0</v>
      </c>
      <c r="P189" s="12">
        <f t="shared" si="87"/>
        <v>0</v>
      </c>
      <c r="Q189" s="12">
        <f t="shared" si="87"/>
        <v>0</v>
      </c>
      <c r="T189" s="61"/>
      <c r="U189" s="61"/>
      <c r="V189" s="61"/>
      <c r="W189" s="53">
        <f t="shared" si="59"/>
        <v>0</v>
      </c>
      <c r="X189" s="54" t="e">
        <f t="shared" si="51"/>
        <v>#DIV/0!</v>
      </c>
      <c r="Y189" s="25">
        <f t="shared" si="60"/>
        <v>0</v>
      </c>
      <c r="Z189" s="54">
        <f t="shared" si="65"/>
        <v>0</v>
      </c>
      <c r="AA189" s="54">
        <f t="shared" si="80"/>
        <v>0</v>
      </c>
      <c r="AB189" s="54">
        <f t="shared" si="80"/>
        <v>0</v>
      </c>
      <c r="AC189" s="54">
        <f t="shared" si="80"/>
        <v>0</v>
      </c>
      <c r="AD189" s="54">
        <f t="shared" si="80"/>
        <v>0</v>
      </c>
      <c r="AE189" s="54">
        <f t="shared" si="80"/>
        <v>0</v>
      </c>
      <c r="AF189" s="54">
        <f t="shared" si="80"/>
        <v>0</v>
      </c>
      <c r="AG189" s="54">
        <f t="shared" si="80"/>
        <v>0</v>
      </c>
      <c r="AH189" s="54">
        <f t="shared" si="80"/>
        <v>0</v>
      </c>
      <c r="AI189" s="54">
        <f t="shared" si="80"/>
        <v>0</v>
      </c>
      <c r="AJ189" s="54">
        <f t="shared" si="80"/>
        <v>0</v>
      </c>
      <c r="AK189" s="54">
        <f t="shared" ref="AK189" si="90">IF($E90+365&lt;$C$56,0,IF($E90&lt;$C$56,(($E90+365-$C$56)/365)*(($C90/$BN$157)+($D90/$BN$158)),IF($E90&gt;AK$166,0,IF($E90+365&lt;AK$166,($C90/$BN$157)+($D90/$BN$158),((AK$166-$E90)/365)*(($C90/$BN$157)+($D90/$BN$158))))))</f>
        <v>0</v>
      </c>
      <c r="AL189" s="24">
        <f t="shared" si="54"/>
        <v>0</v>
      </c>
      <c r="AM189" s="24">
        <f t="shared" si="55"/>
        <v>0</v>
      </c>
      <c r="AN189" s="55">
        <f t="shared" si="56"/>
        <v>0</v>
      </c>
      <c r="AO189" s="55">
        <f t="shared" si="57"/>
        <v>0</v>
      </c>
      <c r="AP189" s="345"/>
      <c r="AQ189" s="344"/>
      <c r="AR189" s="344"/>
      <c r="AS189" s="345"/>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5"/>
        <v>0</v>
      </c>
      <c r="H190" s="12">
        <f t="shared" si="85"/>
        <v>0</v>
      </c>
      <c r="I190" s="12">
        <f t="shared" si="85"/>
        <v>0</v>
      </c>
      <c r="J190" s="12">
        <f t="shared" si="85"/>
        <v>0</v>
      </c>
      <c r="K190" s="12">
        <f t="shared" si="47"/>
        <v>0</v>
      </c>
      <c r="L190" s="12">
        <f t="shared" si="86"/>
        <v>0</v>
      </c>
      <c r="M190" s="12">
        <f t="shared" si="86"/>
        <v>0</v>
      </c>
      <c r="N190" s="12">
        <f t="shared" si="86"/>
        <v>0</v>
      </c>
      <c r="O190" s="12">
        <f t="shared" si="49"/>
        <v>0</v>
      </c>
      <c r="P190" s="12">
        <f t="shared" si="87"/>
        <v>0</v>
      </c>
      <c r="Q190" s="12">
        <f t="shared" si="87"/>
        <v>0</v>
      </c>
      <c r="T190" s="61"/>
      <c r="U190" s="61"/>
      <c r="V190" s="61"/>
      <c r="W190" s="53">
        <f t="shared" si="59"/>
        <v>0</v>
      </c>
      <c r="X190" s="54" t="e">
        <f t="shared" si="51"/>
        <v>#DIV/0!</v>
      </c>
      <c r="Y190" s="25">
        <f t="shared" si="60"/>
        <v>0</v>
      </c>
      <c r="Z190" s="54">
        <f t="shared" si="65"/>
        <v>0</v>
      </c>
      <c r="AA190" s="54">
        <f t="shared" si="80"/>
        <v>0</v>
      </c>
      <c r="AB190" s="54">
        <f t="shared" si="80"/>
        <v>0</v>
      </c>
      <c r="AC190" s="54">
        <f t="shared" si="80"/>
        <v>0</v>
      </c>
      <c r="AD190" s="54">
        <f t="shared" si="80"/>
        <v>0</v>
      </c>
      <c r="AE190" s="54">
        <f t="shared" si="80"/>
        <v>0</v>
      </c>
      <c r="AF190" s="54">
        <f t="shared" si="80"/>
        <v>0</v>
      </c>
      <c r="AG190" s="54">
        <f t="shared" si="80"/>
        <v>0</v>
      </c>
      <c r="AH190" s="54">
        <f t="shared" si="80"/>
        <v>0</v>
      </c>
      <c r="AI190" s="54">
        <f t="shared" si="80"/>
        <v>0</v>
      </c>
      <c r="AJ190" s="54">
        <f t="shared" si="80"/>
        <v>0</v>
      </c>
      <c r="AK190" s="54">
        <f t="shared" ref="AK190" si="91">IF($E91+365&lt;$C$56,0,IF($E91&lt;$C$56,(($E91+365-$C$56)/365)*(($C91/$BN$157)+($D91/$BN$158)),IF($E91&gt;AK$166,0,IF($E91+365&lt;AK$166,($C91/$BN$157)+($D91/$BN$158),((AK$166-$E91)/365)*(($C91/$BN$157)+($D91/$BN$158))))))</f>
        <v>0</v>
      </c>
      <c r="AL190" s="24">
        <f t="shared" si="54"/>
        <v>0</v>
      </c>
      <c r="AM190" s="24">
        <f t="shared" si="55"/>
        <v>0</v>
      </c>
      <c r="AN190" s="55">
        <f t="shared" si="56"/>
        <v>0</v>
      </c>
      <c r="AO190" s="55">
        <f t="shared" si="57"/>
        <v>0</v>
      </c>
      <c r="AP190" s="345"/>
      <c r="AQ190" s="344"/>
      <c r="AR190" s="34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5"/>
        <v>0</v>
      </c>
      <c r="H191" s="12">
        <f t="shared" si="85"/>
        <v>0</v>
      </c>
      <c r="I191" s="12">
        <f t="shared" si="85"/>
        <v>0</v>
      </c>
      <c r="J191" s="12">
        <f t="shared" si="85"/>
        <v>0</v>
      </c>
      <c r="K191" s="12">
        <f t="shared" si="47"/>
        <v>0</v>
      </c>
      <c r="L191" s="12">
        <f t="shared" si="86"/>
        <v>0</v>
      </c>
      <c r="M191" s="12">
        <f t="shared" si="86"/>
        <v>0</v>
      </c>
      <c r="N191" s="12">
        <f t="shared" si="86"/>
        <v>0</v>
      </c>
      <c r="O191" s="12">
        <f t="shared" si="49"/>
        <v>0</v>
      </c>
      <c r="P191" s="12">
        <f t="shared" si="87"/>
        <v>0</v>
      </c>
      <c r="Q191" s="12">
        <f t="shared" si="87"/>
        <v>0</v>
      </c>
      <c r="T191" s="61"/>
      <c r="U191" s="61"/>
      <c r="V191" s="61"/>
      <c r="W191" s="53">
        <f t="shared" si="59"/>
        <v>0</v>
      </c>
      <c r="X191" s="54" t="e">
        <f t="shared" si="51"/>
        <v>#DIV/0!</v>
      </c>
      <c r="Y191" s="25">
        <f t="shared" si="60"/>
        <v>0</v>
      </c>
      <c r="Z191" s="54">
        <f t="shared" si="65"/>
        <v>0</v>
      </c>
      <c r="AA191" s="54">
        <f t="shared" si="80"/>
        <v>0</v>
      </c>
      <c r="AB191" s="54">
        <f t="shared" si="80"/>
        <v>0</v>
      </c>
      <c r="AC191" s="54">
        <f t="shared" si="80"/>
        <v>0</v>
      </c>
      <c r="AD191" s="54">
        <f t="shared" si="80"/>
        <v>0</v>
      </c>
      <c r="AE191" s="54">
        <f t="shared" si="80"/>
        <v>0</v>
      </c>
      <c r="AF191" s="54">
        <f t="shared" si="80"/>
        <v>0</v>
      </c>
      <c r="AG191" s="54">
        <f t="shared" si="80"/>
        <v>0</v>
      </c>
      <c r="AH191" s="54">
        <f t="shared" si="80"/>
        <v>0</v>
      </c>
      <c r="AI191" s="54">
        <f t="shared" si="80"/>
        <v>0</v>
      </c>
      <c r="AJ191" s="54">
        <f t="shared" si="80"/>
        <v>0</v>
      </c>
      <c r="AK191" s="54">
        <f t="shared" ref="AK191" si="92">IF($E92+365&lt;$C$56,0,IF($E92&lt;$C$56,(($E92+365-$C$56)/365)*(($C92/$BN$157)+($D92/$BN$158)),IF($E92&gt;AK$166,0,IF($E92+365&lt;AK$166,($C92/$BN$157)+($D92/$BN$158),((AK$166-$E92)/365)*(($C92/$BN$157)+($D92/$BN$158))))))</f>
        <v>0</v>
      </c>
      <c r="AL191" s="24">
        <f t="shared" si="54"/>
        <v>0</v>
      </c>
      <c r="AM191" s="24">
        <f t="shared" si="55"/>
        <v>0</v>
      </c>
      <c r="AN191" s="55">
        <f t="shared" si="56"/>
        <v>0</v>
      </c>
      <c r="AO191" s="55">
        <f t="shared" si="57"/>
        <v>0</v>
      </c>
      <c r="AP191" s="345"/>
      <c r="AQ191" s="344"/>
      <c r="AR191" s="34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5"/>
        <v>0</v>
      </c>
      <c r="H192" s="12">
        <f t="shared" si="85"/>
        <v>0</v>
      </c>
      <c r="I192" s="12">
        <f t="shared" si="85"/>
        <v>0</v>
      </c>
      <c r="J192" s="12">
        <f t="shared" si="85"/>
        <v>0</v>
      </c>
      <c r="K192" s="12">
        <f t="shared" si="47"/>
        <v>0</v>
      </c>
      <c r="L192" s="12">
        <f t="shared" si="86"/>
        <v>0</v>
      </c>
      <c r="M192" s="12">
        <f t="shared" si="86"/>
        <v>0</v>
      </c>
      <c r="N192" s="12">
        <f t="shared" si="86"/>
        <v>0</v>
      </c>
      <c r="O192" s="12">
        <f t="shared" si="49"/>
        <v>0</v>
      </c>
      <c r="P192" s="12">
        <f t="shared" si="87"/>
        <v>0</v>
      </c>
      <c r="Q192" s="12">
        <f t="shared" si="87"/>
        <v>0</v>
      </c>
      <c r="T192" s="61"/>
      <c r="U192" s="61"/>
      <c r="V192" s="61"/>
      <c r="W192" s="53">
        <f t="shared" si="59"/>
        <v>0</v>
      </c>
      <c r="X192" s="54" t="e">
        <f t="shared" si="51"/>
        <v>#DIV/0!</v>
      </c>
      <c r="Y192" s="25">
        <f t="shared" si="60"/>
        <v>0</v>
      </c>
      <c r="Z192" s="54">
        <f t="shared" si="65"/>
        <v>0</v>
      </c>
      <c r="AA192" s="54">
        <f t="shared" si="80"/>
        <v>0</v>
      </c>
      <c r="AB192" s="54">
        <f t="shared" si="80"/>
        <v>0</v>
      </c>
      <c r="AC192" s="54">
        <f t="shared" si="80"/>
        <v>0</v>
      </c>
      <c r="AD192" s="54">
        <f t="shared" si="80"/>
        <v>0</v>
      </c>
      <c r="AE192" s="54">
        <f t="shared" si="80"/>
        <v>0</v>
      </c>
      <c r="AF192" s="54">
        <f t="shared" si="80"/>
        <v>0</v>
      </c>
      <c r="AG192" s="54">
        <f t="shared" si="80"/>
        <v>0</v>
      </c>
      <c r="AH192" s="54">
        <f t="shared" si="80"/>
        <v>0</v>
      </c>
      <c r="AI192" s="54">
        <f t="shared" si="80"/>
        <v>0</v>
      </c>
      <c r="AJ192" s="54">
        <f t="shared" si="80"/>
        <v>0</v>
      </c>
      <c r="AK192" s="54">
        <f t="shared" ref="AK192" si="93">IF($E93+365&lt;$C$56,0,IF($E93&lt;$C$56,(($E93+365-$C$56)/365)*(($C93/$BN$157)+($D93/$BN$158)),IF($E93&gt;AK$166,0,IF($E93+365&lt;AK$166,($C93/$BN$157)+($D93/$BN$158),((AK$166-$E93)/365)*(($C93/$BN$157)+($D93/$BN$158))))))</f>
        <v>0</v>
      </c>
      <c r="AL192" s="24">
        <f t="shared" si="54"/>
        <v>0</v>
      </c>
      <c r="AM192" s="24">
        <f t="shared" si="55"/>
        <v>0</v>
      </c>
      <c r="AN192" s="55">
        <f t="shared" si="56"/>
        <v>0</v>
      </c>
      <c r="AO192" s="55">
        <f t="shared" si="57"/>
        <v>0</v>
      </c>
      <c r="AP192" s="345"/>
      <c r="AQ192" s="344"/>
      <c r="AR192" s="34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5"/>
        <v>0</v>
      </c>
      <c r="H193" s="12">
        <f t="shared" si="85"/>
        <v>0</v>
      </c>
      <c r="I193" s="12">
        <f t="shared" si="85"/>
        <v>0</v>
      </c>
      <c r="J193" s="12">
        <f t="shared" si="85"/>
        <v>0</v>
      </c>
      <c r="K193" s="12">
        <f t="shared" si="47"/>
        <v>0</v>
      </c>
      <c r="L193" s="12">
        <f t="shared" si="86"/>
        <v>0</v>
      </c>
      <c r="M193" s="12">
        <f t="shared" si="86"/>
        <v>0</v>
      </c>
      <c r="N193" s="12">
        <f t="shared" si="86"/>
        <v>0</v>
      </c>
      <c r="O193" s="12">
        <f t="shared" si="49"/>
        <v>0</v>
      </c>
      <c r="P193" s="12">
        <f t="shared" si="87"/>
        <v>0</v>
      </c>
      <c r="Q193" s="12">
        <f t="shared" si="87"/>
        <v>0</v>
      </c>
      <c r="T193" s="61"/>
      <c r="U193" s="61"/>
      <c r="V193" s="61"/>
      <c r="W193" s="53">
        <f t="shared" si="59"/>
        <v>0</v>
      </c>
      <c r="X193" s="54" t="e">
        <f t="shared" si="51"/>
        <v>#DIV/0!</v>
      </c>
      <c r="Y193" s="25">
        <f t="shared" si="60"/>
        <v>0</v>
      </c>
      <c r="Z193" s="54">
        <f t="shared" si="65"/>
        <v>0</v>
      </c>
      <c r="AA193" s="54">
        <f t="shared" si="80"/>
        <v>0</v>
      </c>
      <c r="AB193" s="54">
        <f t="shared" si="80"/>
        <v>0</v>
      </c>
      <c r="AC193" s="54">
        <f t="shared" si="80"/>
        <v>0</v>
      </c>
      <c r="AD193" s="54">
        <f t="shared" si="80"/>
        <v>0</v>
      </c>
      <c r="AE193" s="54">
        <f t="shared" si="80"/>
        <v>0</v>
      </c>
      <c r="AF193" s="54">
        <f t="shared" si="80"/>
        <v>0</v>
      </c>
      <c r="AG193" s="54">
        <f t="shared" si="80"/>
        <v>0</v>
      </c>
      <c r="AH193" s="54">
        <f t="shared" si="80"/>
        <v>0</v>
      </c>
      <c r="AI193" s="54">
        <f t="shared" si="80"/>
        <v>0</v>
      </c>
      <c r="AJ193" s="54">
        <f t="shared" si="80"/>
        <v>0</v>
      </c>
      <c r="AK193" s="54">
        <f t="shared" ref="AK193" si="94">IF($E94+365&lt;$C$56,0,IF($E94&lt;$C$56,(($E94+365-$C$56)/365)*(($C94/$BN$157)+($D94/$BN$158)),IF($E94&gt;AK$166,0,IF($E94+365&lt;AK$166,($C94/$BN$157)+($D94/$BN$158),((AK$166-$E94)/365)*(($C94/$BN$157)+($D94/$BN$158))))))</f>
        <v>0</v>
      </c>
      <c r="AL193" s="24">
        <f t="shared" si="54"/>
        <v>0</v>
      </c>
      <c r="AM193" s="24">
        <f t="shared" si="55"/>
        <v>0</v>
      </c>
      <c r="AN193" s="55">
        <f t="shared" si="56"/>
        <v>0</v>
      </c>
      <c r="AO193" s="55">
        <f t="shared" si="57"/>
        <v>0</v>
      </c>
      <c r="AP193" s="345"/>
      <c r="AQ193" s="344"/>
      <c r="AR193" s="344"/>
      <c r="AS193" s="24"/>
      <c r="AT193" s="24"/>
      <c r="AU193" s="24"/>
      <c r="AV193" s="24"/>
      <c r="AW193" s="24"/>
      <c r="AX193" s="24"/>
      <c r="AY193" s="24"/>
    </row>
    <row r="194" spans="7:51">
      <c r="G194" s="12">
        <f t="shared" si="45"/>
        <v>0</v>
      </c>
      <c r="H194" s="12">
        <f t="shared" si="85"/>
        <v>0</v>
      </c>
      <c r="I194" s="12">
        <f t="shared" si="85"/>
        <v>0</v>
      </c>
      <c r="J194" s="12">
        <f t="shared" si="85"/>
        <v>0</v>
      </c>
      <c r="K194" s="12">
        <f t="shared" si="47"/>
        <v>0</v>
      </c>
      <c r="L194" s="12">
        <f t="shared" si="86"/>
        <v>0</v>
      </c>
      <c r="M194" s="12">
        <f t="shared" si="86"/>
        <v>0</v>
      </c>
      <c r="N194" s="12">
        <f t="shared" si="86"/>
        <v>0</v>
      </c>
      <c r="O194" s="12">
        <f t="shared" si="49"/>
        <v>0</v>
      </c>
      <c r="P194" s="12">
        <f t="shared" si="87"/>
        <v>0</v>
      </c>
      <c r="Q194" s="12">
        <f t="shared" si="87"/>
        <v>0</v>
      </c>
      <c r="T194" s="61"/>
      <c r="U194" s="61"/>
      <c r="V194" s="61"/>
      <c r="W194" s="53">
        <f t="shared" si="59"/>
        <v>0</v>
      </c>
      <c r="X194" s="54" t="e">
        <f t="shared" si="51"/>
        <v>#DIV/0!</v>
      </c>
      <c r="Y194" s="25">
        <f t="shared" si="60"/>
        <v>0</v>
      </c>
      <c r="Z194" s="54">
        <f t="shared" si="65"/>
        <v>0</v>
      </c>
      <c r="AA194" s="54">
        <f t="shared" si="80"/>
        <v>0</v>
      </c>
      <c r="AB194" s="54">
        <f t="shared" si="80"/>
        <v>0</v>
      </c>
      <c r="AC194" s="54">
        <f t="shared" si="80"/>
        <v>0</v>
      </c>
      <c r="AD194" s="54">
        <f t="shared" si="80"/>
        <v>0</v>
      </c>
      <c r="AE194" s="54">
        <f t="shared" si="80"/>
        <v>0</v>
      </c>
      <c r="AF194" s="54">
        <f t="shared" si="80"/>
        <v>0</v>
      </c>
      <c r="AG194" s="54">
        <f t="shared" si="80"/>
        <v>0</v>
      </c>
      <c r="AH194" s="54">
        <f t="shared" si="80"/>
        <v>0</v>
      </c>
      <c r="AI194" s="54">
        <f t="shared" si="80"/>
        <v>0</v>
      </c>
      <c r="AJ194" s="54">
        <f t="shared" si="80"/>
        <v>0</v>
      </c>
      <c r="AK194" s="54">
        <f t="shared" ref="AK194" si="95">IF($E95+365&lt;$C$56,0,IF($E95&lt;$C$56,(($E95+365-$C$56)/365)*(($C95/$BN$157)+($D95/$BN$158)),IF($E95&gt;AK$166,0,IF($E95+365&lt;AK$166,($C95/$BN$157)+($D95/$BN$158),((AK$166-$E95)/365)*(($C95/$BN$157)+($D95/$BN$158))))))</f>
        <v>0</v>
      </c>
      <c r="AL194" s="24">
        <f t="shared" si="54"/>
        <v>0</v>
      </c>
      <c r="AM194" s="24">
        <f t="shared" si="55"/>
        <v>0</v>
      </c>
      <c r="AN194" s="55">
        <f t="shared" si="56"/>
        <v>0</v>
      </c>
      <c r="AO194" s="55">
        <f t="shared" si="57"/>
        <v>0</v>
      </c>
      <c r="AP194" s="24"/>
      <c r="AQ194" s="344"/>
      <c r="AR194" s="24"/>
      <c r="AS194" s="24"/>
      <c r="AT194" s="24"/>
      <c r="AU194" s="24"/>
      <c r="AV194" s="24"/>
      <c r="AW194" s="24"/>
      <c r="AX194" s="24"/>
      <c r="AY194" s="24"/>
    </row>
    <row r="195" spans="7:51">
      <c r="G195" s="12">
        <f t="shared" si="45"/>
        <v>0</v>
      </c>
      <c r="H195" s="12">
        <f t="shared" si="85"/>
        <v>0</v>
      </c>
      <c r="I195" s="12">
        <f t="shared" si="85"/>
        <v>0</v>
      </c>
      <c r="J195" s="12">
        <f t="shared" si="85"/>
        <v>0</v>
      </c>
      <c r="K195" s="12">
        <f t="shared" si="47"/>
        <v>0</v>
      </c>
      <c r="L195" s="12">
        <f t="shared" si="86"/>
        <v>0</v>
      </c>
      <c r="M195" s="12">
        <f t="shared" si="86"/>
        <v>0</v>
      </c>
      <c r="N195" s="12">
        <f t="shared" si="86"/>
        <v>0</v>
      </c>
      <c r="O195" s="12">
        <f t="shared" si="49"/>
        <v>0</v>
      </c>
      <c r="P195" s="12">
        <f t="shared" si="87"/>
        <v>0</v>
      </c>
      <c r="Q195" s="12">
        <f t="shared" si="87"/>
        <v>0</v>
      </c>
      <c r="T195" s="61"/>
      <c r="U195" s="61"/>
      <c r="V195" s="61"/>
      <c r="W195" s="53">
        <f t="shared" si="59"/>
        <v>0</v>
      </c>
      <c r="X195" s="54" t="e">
        <f t="shared" si="51"/>
        <v>#DIV/0!</v>
      </c>
      <c r="Y195" s="25">
        <f t="shared" si="60"/>
        <v>0</v>
      </c>
      <c r="Z195" s="54">
        <f t="shared" si="65"/>
        <v>0</v>
      </c>
      <c r="AA195" s="54">
        <f t="shared" si="80"/>
        <v>0</v>
      </c>
      <c r="AB195" s="54">
        <f t="shared" si="80"/>
        <v>0</v>
      </c>
      <c r="AC195" s="54">
        <f t="shared" si="80"/>
        <v>0</v>
      </c>
      <c r="AD195" s="54">
        <f t="shared" si="80"/>
        <v>0</v>
      </c>
      <c r="AE195" s="54">
        <f t="shared" si="80"/>
        <v>0</v>
      </c>
      <c r="AF195" s="54">
        <f t="shared" si="80"/>
        <v>0</v>
      </c>
      <c r="AG195" s="54">
        <f t="shared" si="80"/>
        <v>0</v>
      </c>
      <c r="AH195" s="54">
        <f t="shared" si="80"/>
        <v>0</v>
      </c>
      <c r="AI195" s="54">
        <f t="shared" si="80"/>
        <v>0</v>
      </c>
      <c r="AJ195" s="54">
        <f t="shared" si="80"/>
        <v>0</v>
      </c>
      <c r="AK195" s="54">
        <f t="shared" ref="AK195" si="96">IF($E96+365&lt;$C$56,0,IF($E96&lt;$C$56,(($E96+365-$C$56)/365)*(($C96/$BN$157)+($D96/$BN$158)),IF($E96&gt;AK$166,0,IF($E96+365&lt;AK$166,($C96/$BN$157)+($D96/$BN$158),((AK$166-$E96)/365)*(($C96/$BN$157)+($D96/$BN$158))))))</f>
        <v>0</v>
      </c>
      <c r="AL195" s="24">
        <f t="shared" si="54"/>
        <v>0</v>
      </c>
      <c r="AM195" s="24">
        <f t="shared" si="55"/>
        <v>0</v>
      </c>
      <c r="AN195" s="55">
        <f t="shared" si="56"/>
        <v>0</v>
      </c>
      <c r="AO195" s="55">
        <f t="shared" si="57"/>
        <v>0</v>
      </c>
      <c r="AP195" s="24"/>
      <c r="AQ195" s="24"/>
      <c r="AR195" s="24"/>
      <c r="AS195" s="24"/>
      <c r="AT195" s="24"/>
      <c r="AU195" s="24"/>
      <c r="AV195" s="24"/>
      <c r="AW195" s="24"/>
      <c r="AX195" s="24"/>
      <c r="AY195" s="24"/>
    </row>
    <row r="196" spans="7:51">
      <c r="G196" s="12">
        <f t="shared" si="45"/>
        <v>0</v>
      </c>
      <c r="H196" s="12">
        <f t="shared" si="85"/>
        <v>0</v>
      </c>
      <c r="I196" s="12">
        <f t="shared" si="85"/>
        <v>0</v>
      </c>
      <c r="J196" s="12">
        <f t="shared" si="85"/>
        <v>0</v>
      </c>
      <c r="K196" s="12">
        <f t="shared" si="47"/>
        <v>0</v>
      </c>
      <c r="L196" s="12">
        <f t="shared" si="86"/>
        <v>0</v>
      </c>
      <c r="M196" s="12">
        <f t="shared" si="86"/>
        <v>0</v>
      </c>
      <c r="N196" s="12">
        <f t="shared" si="86"/>
        <v>0</v>
      </c>
      <c r="O196" s="12">
        <f t="shared" si="49"/>
        <v>0</v>
      </c>
      <c r="P196" s="12">
        <f t="shared" si="87"/>
        <v>0</v>
      </c>
      <c r="Q196" s="12">
        <f t="shared" si="87"/>
        <v>0</v>
      </c>
      <c r="T196" s="61"/>
      <c r="U196" s="61"/>
      <c r="V196" s="61"/>
      <c r="W196" s="53">
        <f t="shared" si="59"/>
        <v>0</v>
      </c>
      <c r="X196" s="54" t="e">
        <f t="shared" si="51"/>
        <v>#DIV/0!</v>
      </c>
      <c r="Y196" s="25">
        <f t="shared" si="60"/>
        <v>0</v>
      </c>
      <c r="Z196" s="54">
        <f t="shared" si="65"/>
        <v>0</v>
      </c>
      <c r="AA196" s="54">
        <f t="shared" si="80"/>
        <v>0</v>
      </c>
      <c r="AB196" s="54">
        <f t="shared" si="80"/>
        <v>0</v>
      </c>
      <c r="AC196" s="54">
        <f t="shared" si="80"/>
        <v>0</v>
      </c>
      <c r="AD196" s="54">
        <f t="shared" si="80"/>
        <v>0</v>
      </c>
      <c r="AE196" s="54">
        <f t="shared" si="80"/>
        <v>0</v>
      </c>
      <c r="AF196" s="54">
        <f t="shared" si="80"/>
        <v>0</v>
      </c>
      <c r="AG196" s="54">
        <f t="shared" si="80"/>
        <v>0</v>
      </c>
      <c r="AH196" s="54">
        <f t="shared" si="80"/>
        <v>0</v>
      </c>
      <c r="AI196" s="54">
        <f t="shared" si="80"/>
        <v>0</v>
      </c>
      <c r="AJ196" s="54">
        <f t="shared" si="80"/>
        <v>0</v>
      </c>
      <c r="AK196" s="54">
        <f t="shared" ref="AK196" si="97">IF($E97+365&lt;$C$56,0,IF($E97&lt;$C$56,(($E97+365-$C$56)/365)*(($C97/$BN$157)+($D97/$BN$158)),IF($E97&gt;AK$166,0,IF($E97+365&lt;AK$166,($C97/$BN$157)+($D97/$BN$158),((AK$166-$E97)/365)*(($C97/$BN$157)+($D97/$BN$158))))))</f>
        <v>0</v>
      </c>
      <c r="AL196" s="24">
        <f t="shared" si="54"/>
        <v>0</v>
      </c>
      <c r="AM196" s="24">
        <f t="shared" si="55"/>
        <v>0</v>
      </c>
      <c r="AN196" s="55">
        <f t="shared" si="56"/>
        <v>0</v>
      </c>
      <c r="AO196" s="55">
        <f t="shared" si="57"/>
        <v>0</v>
      </c>
      <c r="AP196" s="24"/>
      <c r="AQ196" s="24"/>
      <c r="AR196" s="24"/>
      <c r="AS196" s="24"/>
      <c r="AT196" s="24"/>
      <c r="AU196" s="24"/>
      <c r="AV196" s="24"/>
      <c r="AW196" s="24"/>
      <c r="AX196" s="24"/>
      <c r="AY196" s="24"/>
    </row>
    <row r="197" spans="7:51">
      <c r="G197" s="12">
        <f t="shared" si="45"/>
        <v>0</v>
      </c>
      <c r="H197" s="12">
        <f t="shared" si="85"/>
        <v>0</v>
      </c>
      <c r="I197" s="12">
        <f t="shared" si="85"/>
        <v>0</v>
      </c>
      <c r="J197" s="12">
        <f t="shared" si="85"/>
        <v>0</v>
      </c>
      <c r="K197" s="12">
        <f t="shared" si="47"/>
        <v>0</v>
      </c>
      <c r="L197" s="12">
        <f t="shared" si="86"/>
        <v>0</v>
      </c>
      <c r="M197" s="12">
        <f t="shared" si="86"/>
        <v>0</v>
      </c>
      <c r="N197" s="12">
        <f t="shared" si="86"/>
        <v>0</v>
      </c>
      <c r="O197" s="12">
        <f t="shared" si="49"/>
        <v>0</v>
      </c>
      <c r="P197" s="12">
        <f t="shared" si="87"/>
        <v>0</v>
      </c>
      <c r="Q197" s="12">
        <f t="shared" si="87"/>
        <v>0</v>
      </c>
      <c r="T197" s="61"/>
      <c r="U197" s="61"/>
      <c r="V197" s="61"/>
      <c r="W197" s="53">
        <f t="shared" si="59"/>
        <v>0</v>
      </c>
      <c r="X197" s="54" t="e">
        <f t="shared" si="51"/>
        <v>#DIV/0!</v>
      </c>
      <c r="Y197" s="25">
        <f t="shared" si="60"/>
        <v>0</v>
      </c>
      <c r="Z197" s="54">
        <f t="shared" si="65"/>
        <v>0</v>
      </c>
      <c r="AA197" s="54">
        <f t="shared" si="80"/>
        <v>0</v>
      </c>
      <c r="AB197" s="54">
        <f t="shared" si="80"/>
        <v>0</v>
      </c>
      <c r="AC197" s="54">
        <f t="shared" si="80"/>
        <v>0</v>
      </c>
      <c r="AD197" s="54">
        <f t="shared" si="80"/>
        <v>0</v>
      </c>
      <c r="AE197" s="54">
        <f t="shared" si="80"/>
        <v>0</v>
      </c>
      <c r="AF197" s="54">
        <f t="shared" si="80"/>
        <v>0</v>
      </c>
      <c r="AG197" s="54">
        <f t="shared" si="80"/>
        <v>0</v>
      </c>
      <c r="AH197" s="54">
        <f t="shared" si="80"/>
        <v>0</v>
      </c>
      <c r="AI197" s="54">
        <f t="shared" si="80"/>
        <v>0</v>
      </c>
      <c r="AJ197" s="54">
        <f t="shared" si="80"/>
        <v>0</v>
      </c>
      <c r="AK197" s="54">
        <f t="shared" ref="AK197" si="98">IF($E98+365&lt;$C$56,0,IF($E98&lt;$C$56,(($E98+365-$C$56)/365)*(($C98/$BN$157)+($D98/$BN$158)),IF($E98&gt;AK$166,0,IF($E98+365&lt;AK$166,($C98/$BN$157)+($D98/$BN$158),((AK$166-$E98)/365)*(($C98/$BN$157)+($D98/$BN$158))))))</f>
        <v>0</v>
      </c>
      <c r="AL197" s="24">
        <f t="shared" si="54"/>
        <v>0</v>
      </c>
      <c r="AM197" s="24">
        <f t="shared" si="55"/>
        <v>0</v>
      </c>
      <c r="AN197" s="55">
        <f t="shared" si="56"/>
        <v>0</v>
      </c>
      <c r="AO197" s="55">
        <f t="shared" si="57"/>
        <v>0</v>
      </c>
      <c r="AP197" s="24"/>
      <c r="AQ197" s="24"/>
      <c r="AR197" s="24"/>
      <c r="AS197" s="24"/>
      <c r="AT197" s="24"/>
      <c r="AU197" s="24"/>
      <c r="AV197" s="24"/>
      <c r="AW197" s="24"/>
      <c r="AX197" s="24"/>
      <c r="AY197" s="24"/>
    </row>
    <row r="198" spans="7:51">
      <c r="G198" s="12">
        <f t="shared" si="45"/>
        <v>0</v>
      </c>
      <c r="H198" s="12">
        <f t="shared" si="85"/>
        <v>0</v>
      </c>
      <c r="I198" s="12">
        <f t="shared" si="85"/>
        <v>0</v>
      </c>
      <c r="J198" s="12">
        <f t="shared" si="85"/>
        <v>0</v>
      </c>
      <c r="K198" s="12">
        <f t="shared" si="47"/>
        <v>0</v>
      </c>
      <c r="L198" s="12">
        <f t="shared" si="86"/>
        <v>0</v>
      </c>
      <c r="M198" s="12">
        <f t="shared" si="86"/>
        <v>0</v>
      </c>
      <c r="N198" s="12">
        <f t="shared" si="86"/>
        <v>0</v>
      </c>
      <c r="O198" s="12">
        <f t="shared" si="49"/>
        <v>0</v>
      </c>
      <c r="P198" s="12">
        <f t="shared" si="87"/>
        <v>0</v>
      </c>
      <c r="Q198" s="12">
        <f t="shared" si="87"/>
        <v>0</v>
      </c>
      <c r="T198" s="61"/>
      <c r="U198" s="61"/>
      <c r="V198" s="61"/>
      <c r="W198" s="53">
        <f t="shared" si="59"/>
        <v>0</v>
      </c>
      <c r="X198" s="54" t="e">
        <f t="shared" si="51"/>
        <v>#DIV/0!</v>
      </c>
      <c r="Y198" s="25">
        <f t="shared" si="60"/>
        <v>0</v>
      </c>
      <c r="Z198" s="54">
        <f t="shared" si="65"/>
        <v>0</v>
      </c>
      <c r="AA198" s="54">
        <f t="shared" si="80"/>
        <v>0</v>
      </c>
      <c r="AB198" s="54">
        <f t="shared" si="80"/>
        <v>0</v>
      </c>
      <c r="AC198" s="54">
        <f t="shared" si="80"/>
        <v>0</v>
      </c>
      <c r="AD198" s="54">
        <f t="shared" si="80"/>
        <v>0</v>
      </c>
      <c r="AE198" s="54">
        <f t="shared" si="80"/>
        <v>0</v>
      </c>
      <c r="AF198" s="54">
        <f t="shared" si="80"/>
        <v>0</v>
      </c>
      <c r="AG198" s="54">
        <f t="shared" si="80"/>
        <v>0</v>
      </c>
      <c r="AH198" s="54">
        <f t="shared" si="80"/>
        <v>0</v>
      </c>
      <c r="AI198" s="54">
        <f t="shared" si="80"/>
        <v>0</v>
      </c>
      <c r="AJ198" s="54">
        <f t="shared" si="80"/>
        <v>0</v>
      </c>
      <c r="AK198" s="54">
        <f t="shared" ref="AK198" si="99">IF($E99+365&lt;$C$56,0,IF($E99&lt;$C$56,(($E99+365-$C$56)/365)*(($C99/$BN$157)+($D99/$BN$158)),IF($E99&gt;AK$166,0,IF($E99+365&lt;AK$166,($C99/$BN$157)+($D99/$BN$158),((AK$166-$E99)/365)*(($C99/$BN$157)+($D99/$BN$158))))))</f>
        <v>0</v>
      </c>
      <c r="AL198" s="24">
        <f t="shared" si="54"/>
        <v>0</v>
      </c>
      <c r="AM198" s="24">
        <f t="shared" si="55"/>
        <v>0</v>
      </c>
      <c r="AN198" s="55">
        <f t="shared" si="56"/>
        <v>0</v>
      </c>
      <c r="AO198" s="55">
        <f t="shared" si="57"/>
        <v>0</v>
      </c>
      <c r="AP198" s="24"/>
      <c r="AQ198" s="24"/>
      <c r="AR198" s="24"/>
      <c r="AS198" s="24"/>
      <c r="AT198" s="24"/>
      <c r="AU198" s="24"/>
      <c r="AV198" s="24"/>
      <c r="AW198" s="24"/>
      <c r="AX198" s="24"/>
      <c r="AY198" s="24"/>
    </row>
    <row r="199" spans="7:51">
      <c r="G199" s="12">
        <f t="shared" si="45"/>
        <v>0</v>
      </c>
      <c r="H199" s="12">
        <f t="shared" si="85"/>
        <v>0</v>
      </c>
      <c r="I199" s="12">
        <f t="shared" si="85"/>
        <v>0</v>
      </c>
      <c r="J199" s="12">
        <f t="shared" si="85"/>
        <v>0</v>
      </c>
      <c r="K199" s="12">
        <f t="shared" si="47"/>
        <v>0</v>
      </c>
      <c r="L199" s="12">
        <f t="shared" si="86"/>
        <v>0</v>
      </c>
      <c r="M199" s="12">
        <f t="shared" si="86"/>
        <v>0</v>
      </c>
      <c r="N199" s="12">
        <f t="shared" si="86"/>
        <v>0</v>
      </c>
      <c r="O199" s="12">
        <f t="shared" si="49"/>
        <v>0</v>
      </c>
      <c r="P199" s="12">
        <f t="shared" si="87"/>
        <v>0</v>
      </c>
      <c r="Q199" s="12">
        <f t="shared" si="87"/>
        <v>0</v>
      </c>
      <c r="T199" s="61"/>
      <c r="U199" s="61"/>
      <c r="V199" s="61"/>
      <c r="W199" s="53">
        <f t="shared" si="59"/>
        <v>0</v>
      </c>
      <c r="X199" s="54" t="e">
        <f t="shared" si="51"/>
        <v>#DIV/0!</v>
      </c>
      <c r="Y199" s="25">
        <f t="shared" si="60"/>
        <v>0</v>
      </c>
      <c r="Z199" s="54">
        <f t="shared" si="65"/>
        <v>0</v>
      </c>
      <c r="AA199" s="54">
        <f t="shared" ref="AA199:AJ213" si="100">IF($E100+365&lt;$C$56,0,IF($E100&lt;$C$56,(($E100+365-$C$56)/365)*(($C100/$BN$157)+($D100/$BN$158)),IF($E100&gt;AA$166,0,IF($E100+365&lt;AA$166,($C100/$BN$157)+($D100/$BN$158),((AA$166-$E100)/365)*(($C100/$BN$157)+($D100/$BN$158))))))</f>
        <v>0</v>
      </c>
      <c r="AB199" s="54">
        <f t="shared" si="100"/>
        <v>0</v>
      </c>
      <c r="AC199" s="54">
        <f t="shared" si="100"/>
        <v>0</v>
      </c>
      <c r="AD199" s="54">
        <f t="shared" si="100"/>
        <v>0</v>
      </c>
      <c r="AE199" s="54">
        <f t="shared" si="100"/>
        <v>0</v>
      </c>
      <c r="AF199" s="54">
        <f t="shared" si="100"/>
        <v>0</v>
      </c>
      <c r="AG199" s="54">
        <f t="shared" si="100"/>
        <v>0</v>
      </c>
      <c r="AH199" s="54">
        <f t="shared" si="100"/>
        <v>0</v>
      </c>
      <c r="AI199" s="54">
        <f t="shared" si="100"/>
        <v>0</v>
      </c>
      <c r="AJ199" s="54">
        <f t="shared" si="100"/>
        <v>0</v>
      </c>
      <c r="AK199" s="54">
        <f t="shared" ref="AK199" si="101">IF($E100+365&lt;$C$56,0,IF($E100&lt;$C$56,(($E100+365-$C$56)/365)*(($C100/$BN$157)+($D100/$BN$158)),IF($E100&gt;AK$166,0,IF($E100+365&lt;AK$166,($C100/$BN$157)+($D100/$BN$158),((AK$166-$E100)/365)*(($C100/$BN$157)+($D100/$BN$158))))))</f>
        <v>0</v>
      </c>
      <c r="AL199" s="24">
        <f t="shared" si="54"/>
        <v>0</v>
      </c>
      <c r="AM199" s="24">
        <f t="shared" si="55"/>
        <v>0</v>
      </c>
      <c r="AN199" s="55">
        <f t="shared" si="56"/>
        <v>0</v>
      </c>
      <c r="AO199" s="55">
        <f t="shared" si="57"/>
        <v>0</v>
      </c>
      <c r="AP199" s="24"/>
      <c r="AQ199" s="24"/>
      <c r="AR199" s="24"/>
      <c r="AS199" s="24"/>
      <c r="AT199" s="24"/>
      <c r="AU199" s="24"/>
      <c r="AV199" s="24"/>
      <c r="AW199" s="24"/>
      <c r="AX199" s="24"/>
      <c r="AY199" s="24"/>
    </row>
    <row r="200" spans="7:51">
      <c r="G200" s="12">
        <f t="shared" si="45"/>
        <v>0</v>
      </c>
      <c r="H200" s="12">
        <f t="shared" si="85"/>
        <v>0</v>
      </c>
      <c r="I200" s="12">
        <f t="shared" si="85"/>
        <v>0</v>
      </c>
      <c r="J200" s="12">
        <f t="shared" si="85"/>
        <v>0</v>
      </c>
      <c r="K200" s="12">
        <f t="shared" si="47"/>
        <v>0</v>
      </c>
      <c r="L200" s="12">
        <f t="shared" si="86"/>
        <v>0</v>
      </c>
      <c r="M200" s="12">
        <f t="shared" si="86"/>
        <v>0</v>
      </c>
      <c r="N200" s="12">
        <f t="shared" si="86"/>
        <v>0</v>
      </c>
      <c r="O200" s="12">
        <f t="shared" si="49"/>
        <v>0</v>
      </c>
      <c r="P200" s="12">
        <f t="shared" si="87"/>
        <v>0</v>
      </c>
      <c r="Q200" s="12">
        <f t="shared" si="87"/>
        <v>0</v>
      </c>
      <c r="T200" s="61"/>
      <c r="U200" s="61"/>
      <c r="V200" s="61"/>
      <c r="W200" s="53">
        <f t="shared" si="59"/>
        <v>0</v>
      </c>
      <c r="X200" s="54" t="e">
        <f t="shared" si="51"/>
        <v>#DIV/0!</v>
      </c>
      <c r="Y200" s="25">
        <f t="shared" si="60"/>
        <v>0</v>
      </c>
      <c r="Z200" s="54">
        <f t="shared" si="65"/>
        <v>0</v>
      </c>
      <c r="AA200" s="54">
        <f t="shared" si="100"/>
        <v>0</v>
      </c>
      <c r="AB200" s="54">
        <f t="shared" si="100"/>
        <v>0</v>
      </c>
      <c r="AC200" s="54">
        <f t="shared" si="100"/>
        <v>0</v>
      </c>
      <c r="AD200" s="54">
        <f t="shared" si="100"/>
        <v>0</v>
      </c>
      <c r="AE200" s="54">
        <f t="shared" si="100"/>
        <v>0</v>
      </c>
      <c r="AF200" s="54">
        <f t="shared" si="100"/>
        <v>0</v>
      </c>
      <c r="AG200" s="54">
        <f t="shared" si="100"/>
        <v>0</v>
      </c>
      <c r="AH200" s="54">
        <f t="shared" si="100"/>
        <v>0</v>
      </c>
      <c r="AI200" s="54">
        <f t="shared" si="100"/>
        <v>0</v>
      </c>
      <c r="AJ200" s="54">
        <f t="shared" si="100"/>
        <v>0</v>
      </c>
      <c r="AK200" s="54">
        <f t="shared" ref="AK200" si="102">IF($E101+365&lt;$C$56,0,IF($E101&lt;$C$56,(($E101+365-$C$56)/365)*(($C101/$BN$157)+($D101/$BN$158)),IF($E101&gt;AK$166,0,IF($E101+365&lt;AK$166,($C101/$BN$157)+($D101/$BN$158),((AK$166-$E101)/365)*(($C101/$BN$157)+($D101/$BN$158))))))</f>
        <v>0</v>
      </c>
      <c r="AL200" s="24">
        <f t="shared" si="54"/>
        <v>0</v>
      </c>
      <c r="AM200" s="24">
        <f t="shared" si="55"/>
        <v>0</v>
      </c>
      <c r="AN200" s="55">
        <f t="shared" si="56"/>
        <v>0</v>
      </c>
      <c r="AO200" s="55">
        <f t="shared" si="57"/>
        <v>0</v>
      </c>
      <c r="AP200" s="24"/>
      <c r="AQ200" s="24"/>
      <c r="AR200" s="24"/>
      <c r="AS200" s="24"/>
      <c r="AT200" s="24"/>
      <c r="AU200" s="24"/>
      <c r="AV200" s="24"/>
      <c r="AW200" s="24"/>
      <c r="AX200" s="24"/>
      <c r="AY200" s="24"/>
    </row>
    <row r="201" spans="7:51">
      <c r="G201" s="12">
        <f t="shared" si="45"/>
        <v>0</v>
      </c>
      <c r="H201" s="12">
        <f t="shared" si="85"/>
        <v>0</v>
      </c>
      <c r="I201" s="12">
        <f t="shared" si="85"/>
        <v>0</v>
      </c>
      <c r="J201" s="12">
        <f t="shared" si="85"/>
        <v>0</v>
      </c>
      <c r="K201" s="12">
        <f t="shared" si="47"/>
        <v>0</v>
      </c>
      <c r="L201" s="12">
        <f t="shared" si="86"/>
        <v>0</v>
      </c>
      <c r="M201" s="12">
        <f t="shared" si="86"/>
        <v>0</v>
      </c>
      <c r="N201" s="12">
        <f t="shared" si="86"/>
        <v>0</v>
      </c>
      <c r="O201" s="12">
        <f t="shared" si="49"/>
        <v>0</v>
      </c>
      <c r="P201" s="12">
        <f t="shared" si="87"/>
        <v>0</v>
      </c>
      <c r="Q201" s="12">
        <f t="shared" si="87"/>
        <v>0</v>
      </c>
      <c r="T201" s="61"/>
      <c r="U201" s="61"/>
      <c r="V201" s="61"/>
      <c r="W201" s="53">
        <f t="shared" si="59"/>
        <v>0</v>
      </c>
      <c r="X201" s="54" t="e">
        <f t="shared" si="51"/>
        <v>#DIV/0!</v>
      </c>
      <c r="Y201" s="25">
        <f t="shared" si="60"/>
        <v>0</v>
      </c>
      <c r="Z201" s="54">
        <f t="shared" si="65"/>
        <v>0</v>
      </c>
      <c r="AA201" s="54">
        <f t="shared" si="100"/>
        <v>0</v>
      </c>
      <c r="AB201" s="54">
        <f t="shared" si="100"/>
        <v>0</v>
      </c>
      <c r="AC201" s="54">
        <f t="shared" si="100"/>
        <v>0</v>
      </c>
      <c r="AD201" s="54">
        <f t="shared" si="100"/>
        <v>0</v>
      </c>
      <c r="AE201" s="54">
        <f t="shared" si="100"/>
        <v>0</v>
      </c>
      <c r="AF201" s="54">
        <f t="shared" si="100"/>
        <v>0</v>
      </c>
      <c r="AG201" s="54">
        <f t="shared" si="100"/>
        <v>0</v>
      </c>
      <c r="AH201" s="54">
        <f t="shared" si="100"/>
        <v>0</v>
      </c>
      <c r="AI201" s="54">
        <f t="shared" si="100"/>
        <v>0</v>
      </c>
      <c r="AJ201" s="54">
        <f t="shared" si="100"/>
        <v>0</v>
      </c>
      <c r="AK201" s="54">
        <f t="shared" ref="AK201" si="103">IF($E102+365&lt;$C$56,0,IF($E102&lt;$C$56,(($E102+365-$C$56)/365)*(($C102/$BN$157)+($D102/$BN$158)),IF($E102&gt;AK$166,0,IF($E102+365&lt;AK$166,($C102/$BN$157)+($D102/$BN$158),((AK$166-$E102)/365)*(($C102/$BN$157)+($D102/$BN$158))))))</f>
        <v>0</v>
      </c>
      <c r="AL201" s="24">
        <f t="shared" si="54"/>
        <v>0</v>
      </c>
      <c r="AM201" s="24">
        <f t="shared" si="55"/>
        <v>0</v>
      </c>
      <c r="AN201" s="55">
        <f t="shared" si="56"/>
        <v>0</v>
      </c>
      <c r="AO201" s="55">
        <f t="shared" si="57"/>
        <v>0</v>
      </c>
      <c r="AP201" s="24"/>
      <c r="AQ201" s="24"/>
      <c r="AR201" s="24"/>
      <c r="AS201" s="24"/>
      <c r="AT201" s="24"/>
      <c r="AU201" s="24"/>
      <c r="AV201" s="24"/>
      <c r="AW201" s="24"/>
      <c r="AX201" s="24"/>
      <c r="AY201" s="24"/>
    </row>
    <row r="202" spans="7:51">
      <c r="G202" s="12">
        <f t="shared" si="45"/>
        <v>0</v>
      </c>
      <c r="H202" s="12">
        <f t="shared" si="85"/>
        <v>0</v>
      </c>
      <c r="I202" s="12">
        <f t="shared" si="85"/>
        <v>0</v>
      </c>
      <c r="J202" s="12">
        <f t="shared" si="85"/>
        <v>0</v>
      </c>
      <c r="K202" s="12">
        <f t="shared" si="47"/>
        <v>0</v>
      </c>
      <c r="L202" s="12">
        <f t="shared" si="86"/>
        <v>0</v>
      </c>
      <c r="M202" s="12">
        <f t="shared" si="86"/>
        <v>0</v>
      </c>
      <c r="N202" s="12">
        <f t="shared" si="86"/>
        <v>0</v>
      </c>
      <c r="O202" s="12">
        <f t="shared" si="49"/>
        <v>0</v>
      </c>
      <c r="P202" s="12">
        <f t="shared" si="87"/>
        <v>0</v>
      </c>
      <c r="Q202" s="12">
        <f t="shared" si="87"/>
        <v>0</v>
      </c>
      <c r="T202" s="61"/>
      <c r="U202" s="61"/>
      <c r="V202" s="61"/>
      <c r="W202" s="53">
        <f t="shared" si="59"/>
        <v>0</v>
      </c>
      <c r="X202" s="54" t="e">
        <f t="shared" si="51"/>
        <v>#DIV/0!</v>
      </c>
      <c r="Y202" s="25">
        <f t="shared" si="60"/>
        <v>0</v>
      </c>
      <c r="Z202" s="54">
        <f t="shared" si="65"/>
        <v>0</v>
      </c>
      <c r="AA202" s="54">
        <f t="shared" si="100"/>
        <v>0</v>
      </c>
      <c r="AB202" s="54">
        <f t="shared" si="100"/>
        <v>0</v>
      </c>
      <c r="AC202" s="54">
        <f t="shared" si="100"/>
        <v>0</v>
      </c>
      <c r="AD202" s="54">
        <f t="shared" si="100"/>
        <v>0</v>
      </c>
      <c r="AE202" s="54">
        <f t="shared" si="100"/>
        <v>0</v>
      </c>
      <c r="AF202" s="54">
        <f t="shared" si="100"/>
        <v>0</v>
      </c>
      <c r="AG202" s="54">
        <f t="shared" si="100"/>
        <v>0</v>
      </c>
      <c r="AH202" s="54">
        <f t="shared" si="100"/>
        <v>0</v>
      </c>
      <c r="AI202" s="54">
        <f t="shared" si="100"/>
        <v>0</v>
      </c>
      <c r="AJ202" s="54">
        <f t="shared" si="100"/>
        <v>0</v>
      </c>
      <c r="AK202" s="54">
        <f t="shared" ref="AK202" si="104">IF($E103+365&lt;$C$56,0,IF($E103&lt;$C$56,(($E103+365-$C$56)/365)*(($C103/$BN$157)+($D103/$BN$158)),IF($E103&gt;AK$166,0,IF($E103+365&lt;AK$166,($C103/$BN$157)+($D103/$BN$158),((AK$166-$E103)/365)*(($C103/$BN$157)+($D103/$BN$158))))))</f>
        <v>0</v>
      </c>
      <c r="AL202" s="24">
        <f t="shared" si="54"/>
        <v>0</v>
      </c>
      <c r="AM202" s="24">
        <f t="shared" si="55"/>
        <v>0</v>
      </c>
      <c r="AN202" s="55">
        <f t="shared" si="56"/>
        <v>0</v>
      </c>
      <c r="AO202" s="55">
        <f t="shared" si="57"/>
        <v>0</v>
      </c>
      <c r="AP202" s="24"/>
      <c r="AQ202" s="24"/>
      <c r="AR202" s="24"/>
      <c r="AS202" s="24"/>
      <c r="AT202" s="24"/>
      <c r="AU202" s="24"/>
      <c r="AV202" s="24"/>
      <c r="AW202" s="24"/>
      <c r="AX202" s="24"/>
      <c r="AY202" s="24"/>
    </row>
    <row r="203" spans="7:51">
      <c r="G203" s="12">
        <f t="shared" si="45"/>
        <v>0</v>
      </c>
      <c r="H203" s="12">
        <f t="shared" si="85"/>
        <v>0</v>
      </c>
      <c r="I203" s="12">
        <f t="shared" si="85"/>
        <v>0</v>
      </c>
      <c r="J203" s="12">
        <f t="shared" si="85"/>
        <v>0</v>
      </c>
      <c r="K203" s="12">
        <f t="shared" si="47"/>
        <v>0</v>
      </c>
      <c r="L203" s="12">
        <f t="shared" si="86"/>
        <v>0</v>
      </c>
      <c r="M203" s="12">
        <f t="shared" si="86"/>
        <v>0</v>
      </c>
      <c r="N203" s="12">
        <f t="shared" si="86"/>
        <v>0</v>
      </c>
      <c r="O203" s="12">
        <f t="shared" si="49"/>
        <v>0</v>
      </c>
      <c r="P203" s="12">
        <f t="shared" si="87"/>
        <v>0</v>
      </c>
      <c r="Q203" s="12">
        <f t="shared" si="87"/>
        <v>0</v>
      </c>
      <c r="T203" s="61"/>
      <c r="U203" s="61"/>
      <c r="V203" s="61"/>
      <c r="W203" s="53">
        <f t="shared" si="59"/>
        <v>0</v>
      </c>
      <c r="X203" s="54" t="e">
        <f t="shared" si="51"/>
        <v>#DIV/0!</v>
      </c>
      <c r="Y203" s="25">
        <f t="shared" si="60"/>
        <v>0</v>
      </c>
      <c r="Z203" s="54">
        <f t="shared" si="65"/>
        <v>0</v>
      </c>
      <c r="AA203" s="54">
        <f t="shared" si="100"/>
        <v>0</v>
      </c>
      <c r="AB203" s="54">
        <f t="shared" si="100"/>
        <v>0</v>
      </c>
      <c r="AC203" s="54">
        <f t="shared" si="100"/>
        <v>0</v>
      </c>
      <c r="AD203" s="54">
        <f t="shared" si="100"/>
        <v>0</v>
      </c>
      <c r="AE203" s="54">
        <f t="shared" si="100"/>
        <v>0</v>
      </c>
      <c r="AF203" s="54">
        <f t="shared" si="100"/>
        <v>0</v>
      </c>
      <c r="AG203" s="54">
        <f t="shared" si="100"/>
        <v>0</v>
      </c>
      <c r="AH203" s="54">
        <f t="shared" si="100"/>
        <v>0</v>
      </c>
      <c r="AI203" s="54">
        <f t="shared" si="100"/>
        <v>0</v>
      </c>
      <c r="AJ203" s="54">
        <f t="shared" si="100"/>
        <v>0</v>
      </c>
      <c r="AK203" s="54">
        <f t="shared" ref="AK203" si="105">IF($E104+365&lt;$C$56,0,IF($E104&lt;$C$56,(($E104+365-$C$56)/365)*(($C104/$BN$157)+($D104/$BN$158)),IF($E104&gt;AK$166,0,IF($E104+365&lt;AK$166,($C104/$BN$157)+($D104/$BN$158),((AK$166-$E104)/365)*(($C104/$BN$157)+($D104/$BN$158))))))</f>
        <v>0</v>
      </c>
      <c r="AL203" s="24">
        <f t="shared" si="54"/>
        <v>0</v>
      </c>
      <c r="AM203" s="24">
        <f t="shared" si="55"/>
        <v>0</v>
      </c>
      <c r="AN203" s="55">
        <f t="shared" si="56"/>
        <v>0</v>
      </c>
      <c r="AO203" s="55">
        <f t="shared" si="57"/>
        <v>0</v>
      </c>
      <c r="AP203" s="24"/>
      <c r="AQ203" s="24"/>
      <c r="AR203" s="24"/>
      <c r="AS203" s="24"/>
      <c r="AT203" s="24"/>
      <c r="AU203" s="24"/>
      <c r="AV203" s="24"/>
      <c r="AW203" s="24"/>
      <c r="AX203" s="24"/>
      <c r="AY203" s="24"/>
    </row>
    <row r="204" spans="7:51">
      <c r="G204" s="12">
        <f t="shared" si="45"/>
        <v>0</v>
      </c>
      <c r="H204" s="12">
        <f t="shared" si="85"/>
        <v>0</v>
      </c>
      <c r="I204" s="12">
        <f t="shared" si="85"/>
        <v>0</v>
      </c>
      <c r="J204" s="12">
        <f t="shared" si="85"/>
        <v>0</v>
      </c>
      <c r="K204" s="12">
        <f t="shared" si="47"/>
        <v>0</v>
      </c>
      <c r="L204" s="12">
        <f t="shared" si="86"/>
        <v>0</v>
      </c>
      <c r="M204" s="12">
        <f t="shared" si="86"/>
        <v>0</v>
      </c>
      <c r="N204" s="12">
        <f t="shared" si="86"/>
        <v>0</v>
      </c>
      <c r="O204" s="12">
        <f t="shared" si="49"/>
        <v>0</v>
      </c>
      <c r="P204" s="12">
        <f t="shared" si="87"/>
        <v>0</v>
      </c>
      <c r="Q204" s="12">
        <f t="shared" si="87"/>
        <v>0</v>
      </c>
      <c r="T204" s="61"/>
      <c r="U204" s="61"/>
      <c r="V204" s="61"/>
      <c r="W204" s="53">
        <f t="shared" si="59"/>
        <v>0</v>
      </c>
      <c r="X204" s="54" t="e">
        <f t="shared" si="51"/>
        <v>#DIV/0!</v>
      </c>
      <c r="Y204" s="25">
        <f t="shared" si="60"/>
        <v>0</v>
      </c>
      <c r="Z204" s="54">
        <f t="shared" si="65"/>
        <v>0</v>
      </c>
      <c r="AA204" s="54">
        <f t="shared" si="100"/>
        <v>0</v>
      </c>
      <c r="AB204" s="54">
        <f t="shared" si="100"/>
        <v>0</v>
      </c>
      <c r="AC204" s="54">
        <f t="shared" si="100"/>
        <v>0</v>
      </c>
      <c r="AD204" s="54">
        <f t="shared" si="100"/>
        <v>0</v>
      </c>
      <c r="AE204" s="54">
        <f t="shared" si="100"/>
        <v>0</v>
      </c>
      <c r="AF204" s="54">
        <f t="shared" si="100"/>
        <v>0</v>
      </c>
      <c r="AG204" s="54">
        <f t="shared" si="100"/>
        <v>0</v>
      </c>
      <c r="AH204" s="54">
        <f t="shared" si="100"/>
        <v>0</v>
      </c>
      <c r="AI204" s="54">
        <f t="shared" si="100"/>
        <v>0</v>
      </c>
      <c r="AJ204" s="54">
        <f t="shared" si="100"/>
        <v>0</v>
      </c>
      <c r="AK204" s="54">
        <f t="shared" ref="AK204" si="106">IF($E105+365&lt;$C$56,0,IF($E105&lt;$C$56,(($E105+365-$C$56)/365)*(($C105/$BN$157)+($D105/$BN$158)),IF($E105&gt;AK$166,0,IF($E105+365&lt;AK$166,($C105/$BN$157)+($D105/$BN$158),((AK$166-$E105)/365)*(($C105/$BN$157)+($D105/$BN$158))))))</f>
        <v>0</v>
      </c>
      <c r="AL204" s="24">
        <f t="shared" si="54"/>
        <v>0</v>
      </c>
      <c r="AM204" s="24">
        <f t="shared" si="55"/>
        <v>0</v>
      </c>
      <c r="AN204" s="55">
        <f t="shared" si="56"/>
        <v>0</v>
      </c>
      <c r="AO204" s="55">
        <f t="shared" si="57"/>
        <v>0</v>
      </c>
      <c r="AP204" s="24"/>
      <c r="AQ204" s="24"/>
      <c r="AR204" s="24"/>
      <c r="AS204" s="24"/>
      <c r="AT204" s="24"/>
      <c r="AU204" s="24"/>
      <c r="AV204" s="24"/>
      <c r="AW204" s="24"/>
      <c r="AX204" s="24"/>
      <c r="AY204" s="24"/>
    </row>
    <row r="205" spans="7:51">
      <c r="G205" s="12">
        <f t="shared" si="45"/>
        <v>0</v>
      </c>
      <c r="H205" s="12">
        <f t="shared" si="85"/>
        <v>0</v>
      </c>
      <c r="I205" s="12">
        <f t="shared" si="85"/>
        <v>0</v>
      </c>
      <c r="J205" s="12">
        <f t="shared" si="85"/>
        <v>0</v>
      </c>
      <c r="K205" s="12">
        <f t="shared" si="47"/>
        <v>0</v>
      </c>
      <c r="L205" s="12">
        <f t="shared" si="86"/>
        <v>0</v>
      </c>
      <c r="M205" s="12">
        <f t="shared" si="86"/>
        <v>0</v>
      </c>
      <c r="N205" s="12">
        <f t="shared" si="86"/>
        <v>0</v>
      </c>
      <c r="O205" s="12">
        <f t="shared" si="49"/>
        <v>0</v>
      </c>
      <c r="P205" s="12">
        <f t="shared" si="87"/>
        <v>0</v>
      </c>
      <c r="Q205" s="12">
        <f t="shared" si="87"/>
        <v>0</v>
      </c>
      <c r="T205" s="61"/>
      <c r="U205" s="61"/>
      <c r="V205" s="61"/>
      <c r="W205" s="53">
        <f t="shared" si="59"/>
        <v>0</v>
      </c>
      <c r="X205" s="54" t="e">
        <f t="shared" si="51"/>
        <v>#DIV/0!</v>
      </c>
      <c r="Y205" s="25">
        <f t="shared" si="60"/>
        <v>0</v>
      </c>
      <c r="Z205" s="54">
        <f t="shared" si="65"/>
        <v>0</v>
      </c>
      <c r="AA205" s="54">
        <f t="shared" si="100"/>
        <v>0</v>
      </c>
      <c r="AB205" s="54">
        <f t="shared" si="100"/>
        <v>0</v>
      </c>
      <c r="AC205" s="54">
        <f t="shared" si="100"/>
        <v>0</v>
      </c>
      <c r="AD205" s="54">
        <f t="shared" si="100"/>
        <v>0</v>
      </c>
      <c r="AE205" s="54">
        <f t="shared" si="100"/>
        <v>0</v>
      </c>
      <c r="AF205" s="54">
        <f t="shared" si="100"/>
        <v>0</v>
      </c>
      <c r="AG205" s="54">
        <f t="shared" si="100"/>
        <v>0</v>
      </c>
      <c r="AH205" s="54">
        <f t="shared" si="100"/>
        <v>0</v>
      </c>
      <c r="AI205" s="54">
        <f t="shared" si="100"/>
        <v>0</v>
      </c>
      <c r="AJ205" s="54">
        <f t="shared" si="100"/>
        <v>0</v>
      </c>
      <c r="AK205" s="54">
        <f t="shared" ref="AK205" si="107">IF($E106+365&lt;$C$56,0,IF($E106&lt;$C$56,(($E106+365-$C$56)/365)*(($C106/$BN$157)+($D106/$BN$158)),IF($E106&gt;AK$166,0,IF($E106+365&lt;AK$166,($C106/$BN$157)+($D106/$BN$158),((AK$166-$E106)/365)*(($C106/$BN$157)+($D106/$BN$158))))))</f>
        <v>0</v>
      </c>
      <c r="AL205" s="24">
        <f t="shared" si="54"/>
        <v>0</v>
      </c>
      <c r="AM205" s="24">
        <f t="shared" si="55"/>
        <v>0</v>
      </c>
      <c r="AN205" s="55">
        <f t="shared" si="56"/>
        <v>0</v>
      </c>
      <c r="AO205" s="55">
        <f t="shared" si="57"/>
        <v>0</v>
      </c>
      <c r="AP205" s="24"/>
      <c r="AQ205" s="24"/>
      <c r="AR205" s="24"/>
      <c r="AS205" s="24"/>
      <c r="AT205" s="24"/>
      <c r="AU205" s="24"/>
      <c r="AV205" s="24"/>
      <c r="AW205" s="24"/>
      <c r="AX205" s="24"/>
      <c r="AY205" s="24"/>
    </row>
    <row r="206" spans="7:51">
      <c r="G206" s="12">
        <f t="shared" si="45"/>
        <v>0</v>
      </c>
      <c r="H206" s="12">
        <f t="shared" si="85"/>
        <v>0</v>
      </c>
      <c r="I206" s="12">
        <f t="shared" si="85"/>
        <v>0</v>
      </c>
      <c r="J206" s="12">
        <f t="shared" si="85"/>
        <v>0</v>
      </c>
      <c r="K206" s="12">
        <f t="shared" si="47"/>
        <v>0</v>
      </c>
      <c r="L206" s="12">
        <f t="shared" si="86"/>
        <v>0</v>
      </c>
      <c r="M206" s="12">
        <f t="shared" si="86"/>
        <v>0</v>
      </c>
      <c r="N206" s="12">
        <f t="shared" si="86"/>
        <v>0</v>
      </c>
      <c r="O206" s="12">
        <f t="shared" si="49"/>
        <v>0</v>
      </c>
      <c r="P206" s="12">
        <f t="shared" si="87"/>
        <v>0</v>
      </c>
      <c r="Q206" s="12">
        <f t="shared" si="87"/>
        <v>0</v>
      </c>
      <c r="T206" s="61"/>
      <c r="U206" s="61"/>
      <c r="V206" s="61"/>
      <c r="W206" s="53">
        <f t="shared" si="59"/>
        <v>0</v>
      </c>
      <c r="X206" s="54" t="e">
        <f t="shared" si="51"/>
        <v>#DIV/0!</v>
      </c>
      <c r="Y206" s="25">
        <f t="shared" si="60"/>
        <v>0</v>
      </c>
      <c r="Z206" s="54">
        <f t="shared" si="65"/>
        <v>0</v>
      </c>
      <c r="AA206" s="54">
        <f t="shared" si="100"/>
        <v>0</v>
      </c>
      <c r="AB206" s="54">
        <f t="shared" si="100"/>
        <v>0</v>
      </c>
      <c r="AC206" s="54">
        <f t="shared" si="100"/>
        <v>0</v>
      </c>
      <c r="AD206" s="54">
        <f t="shared" si="100"/>
        <v>0</v>
      </c>
      <c r="AE206" s="54">
        <f t="shared" si="100"/>
        <v>0</v>
      </c>
      <c r="AF206" s="54">
        <f t="shared" si="100"/>
        <v>0</v>
      </c>
      <c r="AG206" s="54">
        <f t="shared" si="100"/>
        <v>0</v>
      </c>
      <c r="AH206" s="54">
        <f t="shared" si="100"/>
        <v>0</v>
      </c>
      <c r="AI206" s="54">
        <f t="shared" si="100"/>
        <v>0</v>
      </c>
      <c r="AJ206" s="54">
        <f t="shared" si="100"/>
        <v>0</v>
      </c>
      <c r="AK206" s="54">
        <f t="shared" ref="AK206" si="108">IF($E107+365&lt;$C$56,0,IF($E107&lt;$C$56,(($E107+365-$C$56)/365)*(($C107/$BN$157)+($D107/$BN$158)),IF($E107&gt;AK$166,0,IF($E107+365&lt;AK$166,($C107/$BN$157)+($D107/$BN$158),((AK$166-$E107)/365)*(($C107/$BN$157)+($D107/$BN$158))))))</f>
        <v>0</v>
      </c>
      <c r="AL206" s="24">
        <f t="shared" si="54"/>
        <v>0</v>
      </c>
      <c r="AM206" s="24">
        <f t="shared" si="55"/>
        <v>0</v>
      </c>
      <c r="AN206" s="55">
        <f t="shared" si="56"/>
        <v>0</v>
      </c>
      <c r="AO206" s="55">
        <f t="shared" si="57"/>
        <v>0</v>
      </c>
      <c r="AP206" s="24"/>
      <c r="AQ206" s="24"/>
      <c r="AR206" s="24"/>
      <c r="AS206" s="24"/>
      <c r="AT206" s="24"/>
      <c r="AU206" s="24"/>
      <c r="AV206" s="24"/>
      <c r="AW206" s="24"/>
      <c r="AX206" s="24"/>
      <c r="AY206" s="24"/>
    </row>
    <row r="207" spans="7:51">
      <c r="G207" s="12">
        <f t="shared" si="45"/>
        <v>0</v>
      </c>
      <c r="H207" s="12">
        <f t="shared" ref="H207:J209" si="109">IF($E109&gt;H$66,0,IF($E109&lt;H$66-365,$C109,0))</f>
        <v>0</v>
      </c>
      <c r="I207" s="12">
        <f t="shared" si="109"/>
        <v>0</v>
      </c>
      <c r="J207" s="12">
        <f t="shared" si="109"/>
        <v>0</v>
      </c>
      <c r="K207" s="12">
        <f t="shared" si="47"/>
        <v>0</v>
      </c>
      <c r="L207" s="12">
        <f t="shared" ref="L207:N209" si="110">IF($E109&gt;L$66,0,IF($E109&lt;L$66-365,$C109,0))</f>
        <v>0</v>
      </c>
      <c r="M207" s="12">
        <f t="shared" si="110"/>
        <v>0</v>
      </c>
      <c r="N207" s="12">
        <f t="shared" si="110"/>
        <v>0</v>
      </c>
      <c r="O207" s="12">
        <f t="shared" si="49"/>
        <v>0</v>
      </c>
      <c r="P207" s="12">
        <f t="shared" ref="P207:Q209" si="111">IF($E109&gt;P$66,0,IF($E109&lt;P$66-365,$C109,0))</f>
        <v>0</v>
      </c>
      <c r="Q207" s="12">
        <f t="shared" si="111"/>
        <v>0</v>
      </c>
      <c r="T207" s="61"/>
      <c r="U207" s="61"/>
      <c r="V207" s="61"/>
      <c r="W207" s="53">
        <f t="shared" si="59"/>
        <v>0</v>
      </c>
      <c r="X207" s="54" t="e">
        <f t="shared" si="51"/>
        <v>#DIV/0!</v>
      </c>
      <c r="Y207" s="25">
        <f t="shared" si="60"/>
        <v>0</v>
      </c>
      <c r="Z207" s="54">
        <f t="shared" si="65"/>
        <v>0</v>
      </c>
      <c r="AA207" s="54">
        <f t="shared" si="100"/>
        <v>0</v>
      </c>
      <c r="AB207" s="54">
        <f t="shared" si="100"/>
        <v>0</v>
      </c>
      <c r="AC207" s="54">
        <f t="shared" si="100"/>
        <v>0</v>
      </c>
      <c r="AD207" s="54">
        <f t="shared" si="100"/>
        <v>0</v>
      </c>
      <c r="AE207" s="54">
        <f t="shared" si="100"/>
        <v>0</v>
      </c>
      <c r="AF207" s="54">
        <f t="shared" si="100"/>
        <v>0</v>
      </c>
      <c r="AG207" s="54">
        <f t="shared" si="100"/>
        <v>0</v>
      </c>
      <c r="AH207" s="54">
        <f t="shared" si="100"/>
        <v>0</v>
      </c>
      <c r="AI207" s="54">
        <f t="shared" si="100"/>
        <v>0</v>
      </c>
      <c r="AJ207" s="54">
        <f t="shared" si="100"/>
        <v>0</v>
      </c>
      <c r="AK207" s="54">
        <f t="shared" ref="AK207" si="112">IF($E108+365&lt;$C$56,0,IF($E108&lt;$C$56,(($E108+365-$C$56)/365)*(($C108/$BN$157)+($D108/$BN$158)),IF($E108&gt;AK$166,0,IF($E108+365&lt;AK$166,($C108/$BN$157)+($D108/$BN$158),((AK$166-$E108)/365)*(($C108/$BN$157)+($D108/$BN$158))))))</f>
        <v>0</v>
      </c>
      <c r="AL207" s="24">
        <f t="shared" si="54"/>
        <v>0</v>
      </c>
      <c r="AM207" s="24">
        <f t="shared" si="55"/>
        <v>0</v>
      </c>
      <c r="AN207" s="55">
        <f t="shared" si="56"/>
        <v>0</v>
      </c>
      <c r="AO207" s="55">
        <f t="shared" si="57"/>
        <v>0</v>
      </c>
      <c r="AP207" s="24"/>
      <c r="AQ207" s="24"/>
      <c r="AR207" s="24"/>
      <c r="AS207" s="24"/>
      <c r="AT207" s="24"/>
      <c r="AU207" s="24"/>
      <c r="AV207" s="24"/>
      <c r="AW207" s="24"/>
      <c r="AX207" s="24"/>
      <c r="AY207" s="24"/>
    </row>
    <row r="208" spans="7:51">
      <c r="G208" s="12">
        <f t="shared" si="45"/>
        <v>0</v>
      </c>
      <c r="H208" s="12">
        <f t="shared" si="109"/>
        <v>0</v>
      </c>
      <c r="I208" s="12">
        <f t="shared" si="109"/>
        <v>0</v>
      </c>
      <c r="J208" s="12">
        <f t="shared" si="109"/>
        <v>0</v>
      </c>
      <c r="K208" s="12">
        <f t="shared" si="47"/>
        <v>0</v>
      </c>
      <c r="L208" s="12">
        <f t="shared" si="110"/>
        <v>0</v>
      </c>
      <c r="M208" s="12">
        <f t="shared" si="110"/>
        <v>0</v>
      </c>
      <c r="N208" s="12">
        <f t="shared" si="110"/>
        <v>0</v>
      </c>
      <c r="O208" s="12">
        <f t="shared" si="49"/>
        <v>0</v>
      </c>
      <c r="P208" s="12">
        <f t="shared" si="111"/>
        <v>0</v>
      </c>
      <c r="Q208" s="12">
        <f t="shared" si="111"/>
        <v>0</v>
      </c>
      <c r="T208" s="61"/>
      <c r="U208" s="61"/>
      <c r="V208" s="61"/>
      <c r="W208" s="53">
        <f t="shared" si="59"/>
        <v>0</v>
      </c>
      <c r="X208" s="54" t="e">
        <f t="shared" si="51"/>
        <v>#DIV/0!</v>
      </c>
      <c r="Y208" s="25">
        <f t="shared" si="60"/>
        <v>0</v>
      </c>
      <c r="Z208" s="54">
        <f t="shared" si="65"/>
        <v>0</v>
      </c>
      <c r="AA208" s="54">
        <f t="shared" si="100"/>
        <v>0</v>
      </c>
      <c r="AB208" s="54">
        <f t="shared" si="100"/>
        <v>0</v>
      </c>
      <c r="AC208" s="54">
        <f t="shared" si="100"/>
        <v>0</v>
      </c>
      <c r="AD208" s="54">
        <f t="shared" si="100"/>
        <v>0</v>
      </c>
      <c r="AE208" s="54">
        <f t="shared" si="100"/>
        <v>0</v>
      </c>
      <c r="AF208" s="54">
        <f t="shared" si="100"/>
        <v>0</v>
      </c>
      <c r="AG208" s="54">
        <f t="shared" si="100"/>
        <v>0</v>
      </c>
      <c r="AH208" s="54">
        <f t="shared" si="100"/>
        <v>0</v>
      </c>
      <c r="AI208" s="54">
        <f t="shared" si="100"/>
        <v>0</v>
      </c>
      <c r="AJ208" s="54">
        <f t="shared" si="100"/>
        <v>0</v>
      </c>
      <c r="AK208" s="54">
        <f t="shared" ref="AK208" si="113">IF($E109+365&lt;$C$56,0,IF($E109&lt;$C$56,(($E109+365-$C$56)/365)*(($C109/$BN$157)+($D109/$BN$158)),IF($E109&gt;AK$166,0,IF($E109+365&lt;AK$166,($C109/$BN$157)+($D109/$BN$158),((AK$166-$E109)/365)*(($C109/$BN$157)+($D109/$BN$158))))))</f>
        <v>0</v>
      </c>
      <c r="AL208" s="24">
        <f t="shared" si="54"/>
        <v>0</v>
      </c>
      <c r="AM208" s="24">
        <f t="shared" si="55"/>
        <v>0</v>
      </c>
      <c r="AN208" s="55">
        <f t="shared" si="56"/>
        <v>0</v>
      </c>
      <c r="AO208" s="55">
        <f t="shared" si="57"/>
        <v>0</v>
      </c>
      <c r="AP208" s="24"/>
      <c r="AQ208" s="24"/>
      <c r="AR208" s="24"/>
      <c r="AS208" s="24"/>
      <c r="AT208" s="24"/>
      <c r="AU208" s="24"/>
      <c r="AV208" s="24"/>
      <c r="AW208" s="24"/>
      <c r="AX208" s="24"/>
      <c r="AY208" s="24"/>
    </row>
    <row r="209" spans="6:51">
      <c r="G209" s="12">
        <f t="shared" si="45"/>
        <v>0</v>
      </c>
      <c r="H209" s="12">
        <f t="shared" si="109"/>
        <v>0</v>
      </c>
      <c r="I209" s="12">
        <f t="shared" si="109"/>
        <v>0</v>
      </c>
      <c r="J209" s="12">
        <f t="shared" si="109"/>
        <v>0</v>
      </c>
      <c r="K209" s="12">
        <f t="shared" si="47"/>
        <v>0</v>
      </c>
      <c r="L209" s="12">
        <f t="shared" si="110"/>
        <v>0</v>
      </c>
      <c r="M209" s="12">
        <f t="shared" si="110"/>
        <v>0</v>
      </c>
      <c r="N209" s="12">
        <f t="shared" si="110"/>
        <v>0</v>
      </c>
      <c r="O209" s="12">
        <f t="shared" si="49"/>
        <v>0</v>
      </c>
      <c r="P209" s="12">
        <f t="shared" si="111"/>
        <v>0</v>
      </c>
      <c r="Q209" s="12">
        <f t="shared" si="111"/>
        <v>0</v>
      </c>
      <c r="T209" s="61"/>
      <c r="U209" s="61"/>
      <c r="V209" s="61"/>
      <c r="W209" s="53">
        <f t="shared" si="59"/>
        <v>0</v>
      </c>
      <c r="X209" s="54" t="e">
        <f t="shared" si="51"/>
        <v>#DIV/0!</v>
      </c>
      <c r="Y209" s="25">
        <f t="shared" si="60"/>
        <v>0</v>
      </c>
      <c r="Z209" s="54">
        <f t="shared" si="65"/>
        <v>0</v>
      </c>
      <c r="AA209" s="54">
        <f t="shared" si="100"/>
        <v>0</v>
      </c>
      <c r="AB209" s="54">
        <f t="shared" si="100"/>
        <v>0</v>
      </c>
      <c r="AC209" s="54">
        <f t="shared" si="100"/>
        <v>0</v>
      </c>
      <c r="AD209" s="54">
        <f t="shared" si="100"/>
        <v>0</v>
      </c>
      <c r="AE209" s="54">
        <f t="shared" si="100"/>
        <v>0</v>
      </c>
      <c r="AF209" s="54">
        <f t="shared" si="100"/>
        <v>0</v>
      </c>
      <c r="AG209" s="54">
        <f t="shared" si="100"/>
        <v>0</v>
      </c>
      <c r="AH209" s="54">
        <f t="shared" si="100"/>
        <v>0</v>
      </c>
      <c r="AI209" s="54">
        <f t="shared" si="100"/>
        <v>0</v>
      </c>
      <c r="AJ209" s="54">
        <f t="shared" si="100"/>
        <v>0</v>
      </c>
      <c r="AK209" s="54">
        <f t="shared" ref="AK209" si="114">IF($E110+365&lt;$C$56,0,IF($E110&lt;$C$56,(($E110+365-$C$56)/365)*(($C110/$BN$157)+($D110/$BN$158)),IF($E110&gt;AK$166,0,IF($E110+365&lt;AK$166,($C110/$BN$157)+($D110/$BN$158),((AK$166-$E110)/365)*(($C110/$BN$157)+($D110/$BN$158))))))</f>
        <v>0</v>
      </c>
      <c r="AL209" s="24">
        <f t="shared" si="54"/>
        <v>0</v>
      </c>
      <c r="AM209" s="24">
        <f t="shared" si="55"/>
        <v>0</v>
      </c>
      <c r="AN209" s="55">
        <f t="shared" si="56"/>
        <v>0</v>
      </c>
      <c r="AO209" s="55">
        <f t="shared" si="57"/>
        <v>0</v>
      </c>
      <c r="AP209" s="24"/>
      <c r="AQ209" s="24"/>
      <c r="AR209" s="24"/>
      <c r="AS209" s="24"/>
      <c r="AT209" s="24"/>
      <c r="AU209" s="24"/>
      <c r="AV209" s="24"/>
      <c r="AW209" s="24"/>
      <c r="AX209" s="24"/>
      <c r="AY209" s="24"/>
    </row>
    <row r="210" spans="6:51">
      <c r="T210" s="61"/>
      <c r="U210" s="61"/>
      <c r="V210" s="61"/>
      <c r="W210" s="53">
        <f t="shared" si="59"/>
        <v>0</v>
      </c>
      <c r="X210" s="54" t="e">
        <f t="shared" si="51"/>
        <v>#DIV/0!</v>
      </c>
      <c r="Y210" s="25">
        <f t="shared" si="60"/>
        <v>0</v>
      </c>
      <c r="Z210" s="54">
        <f t="shared" si="65"/>
        <v>0</v>
      </c>
      <c r="AA210" s="54">
        <f t="shared" si="100"/>
        <v>0</v>
      </c>
      <c r="AB210" s="54">
        <f t="shared" si="100"/>
        <v>0</v>
      </c>
      <c r="AC210" s="54">
        <f t="shared" si="100"/>
        <v>0</v>
      </c>
      <c r="AD210" s="54">
        <f t="shared" si="100"/>
        <v>0</v>
      </c>
      <c r="AE210" s="54">
        <f t="shared" si="100"/>
        <v>0</v>
      </c>
      <c r="AF210" s="54">
        <f t="shared" si="100"/>
        <v>0</v>
      </c>
      <c r="AG210" s="54">
        <f t="shared" si="100"/>
        <v>0</v>
      </c>
      <c r="AH210" s="54">
        <f t="shared" si="100"/>
        <v>0</v>
      </c>
      <c r="AI210" s="54">
        <f t="shared" si="100"/>
        <v>0</v>
      </c>
      <c r="AJ210" s="54">
        <f t="shared" si="100"/>
        <v>0</v>
      </c>
      <c r="AK210" s="54">
        <f t="shared" ref="AK210" si="115">IF($E111+365&lt;$C$56,0,IF($E111&lt;$C$56,(($E111+365-$C$56)/365)*(($C111/$BN$157)+($D111/$BN$158)),IF($E111&gt;AK$166,0,IF($E111+365&lt;AK$166,($C111/$BN$157)+($D111/$BN$158),((AK$166-$E111)/365)*(($C111/$BN$157)+($D111/$BN$158))))))</f>
        <v>0</v>
      </c>
      <c r="AL210" s="24">
        <f t="shared" si="54"/>
        <v>0</v>
      </c>
      <c r="AM210" s="24">
        <f t="shared" si="55"/>
        <v>0</v>
      </c>
      <c r="AN210" s="55">
        <f t="shared" si="56"/>
        <v>0</v>
      </c>
      <c r="AO210" s="55">
        <f t="shared" si="57"/>
        <v>0</v>
      </c>
      <c r="AP210" s="24"/>
      <c r="AQ210" s="24"/>
      <c r="AR210" s="24"/>
      <c r="AS210" s="24"/>
      <c r="AT210" s="24"/>
      <c r="AU210" s="24"/>
      <c r="AV210" s="24"/>
      <c r="AW210" s="24"/>
      <c r="AX210" s="24"/>
      <c r="AY210" s="24"/>
    </row>
    <row r="211" spans="6:51">
      <c r="T211" s="61"/>
      <c r="U211" s="61"/>
      <c r="V211" s="61"/>
      <c r="W211" s="53">
        <f t="shared" si="59"/>
        <v>0</v>
      </c>
      <c r="X211" s="54" t="e">
        <f t="shared" si="51"/>
        <v>#DIV/0!</v>
      </c>
      <c r="Y211" s="25">
        <f t="shared" si="60"/>
        <v>0</v>
      </c>
      <c r="Z211" s="54">
        <f t="shared" si="65"/>
        <v>0</v>
      </c>
      <c r="AA211" s="54">
        <f t="shared" si="100"/>
        <v>0</v>
      </c>
      <c r="AB211" s="54">
        <f t="shared" si="100"/>
        <v>0</v>
      </c>
      <c r="AC211" s="54">
        <f t="shared" si="100"/>
        <v>0</v>
      </c>
      <c r="AD211" s="54">
        <f t="shared" si="100"/>
        <v>0</v>
      </c>
      <c r="AE211" s="54">
        <f t="shared" si="100"/>
        <v>0</v>
      </c>
      <c r="AF211" s="54">
        <f t="shared" si="100"/>
        <v>0</v>
      </c>
      <c r="AG211" s="54">
        <f t="shared" si="100"/>
        <v>0</v>
      </c>
      <c r="AH211" s="54">
        <f t="shared" si="100"/>
        <v>0</v>
      </c>
      <c r="AI211" s="54">
        <f t="shared" si="100"/>
        <v>0</v>
      </c>
      <c r="AJ211" s="54">
        <f t="shared" si="100"/>
        <v>0</v>
      </c>
      <c r="AK211" s="54">
        <f t="shared" ref="AK211" si="116">IF($E112+365&lt;$C$56,0,IF($E112&lt;$C$56,(($E112+365-$C$56)/365)*(($C112/$BN$157)+($D112/$BN$158)),IF($E112&gt;AK$166,0,IF($E112+365&lt;AK$166,($C112/$BN$157)+($D112/$BN$158),((AK$166-$E112)/365)*(($C112/$BN$157)+($D112/$BN$158))))))</f>
        <v>0</v>
      </c>
      <c r="AL211" s="24">
        <f t="shared" si="54"/>
        <v>0</v>
      </c>
      <c r="AM211" s="24">
        <f t="shared" si="55"/>
        <v>0</v>
      </c>
      <c r="AN211" s="55">
        <f t="shared" si="56"/>
        <v>0</v>
      </c>
      <c r="AO211" s="55">
        <f t="shared" si="57"/>
        <v>0</v>
      </c>
      <c r="AP211" s="25"/>
      <c r="AQ211" s="24"/>
      <c r="AR211" s="24"/>
      <c r="AS211" s="24"/>
      <c r="AT211" s="24"/>
      <c r="AU211" s="24"/>
      <c r="AV211" s="24"/>
      <c r="AW211" s="24"/>
      <c r="AX211" s="24"/>
      <c r="AY211" s="24"/>
    </row>
    <row r="212" spans="6:51">
      <c r="T212" s="61"/>
      <c r="U212" s="61"/>
      <c r="V212" s="61"/>
      <c r="W212" s="53"/>
      <c r="X212" s="54"/>
      <c r="Y212" s="25">
        <f t="shared" si="60"/>
        <v>0</v>
      </c>
      <c r="Z212" s="54">
        <f t="shared" si="65"/>
        <v>0</v>
      </c>
      <c r="AA212" s="54">
        <f t="shared" si="100"/>
        <v>0</v>
      </c>
      <c r="AB212" s="54">
        <f t="shared" si="100"/>
        <v>0</v>
      </c>
      <c r="AC212" s="54">
        <f t="shared" si="100"/>
        <v>0</v>
      </c>
      <c r="AD212" s="54">
        <f t="shared" si="100"/>
        <v>0</v>
      </c>
      <c r="AE212" s="54">
        <f t="shared" si="100"/>
        <v>0</v>
      </c>
      <c r="AF212" s="54">
        <f t="shared" si="100"/>
        <v>0</v>
      </c>
      <c r="AG212" s="54">
        <f t="shared" si="100"/>
        <v>0</v>
      </c>
      <c r="AH212" s="54">
        <f t="shared" si="100"/>
        <v>0</v>
      </c>
      <c r="AI212" s="54">
        <f t="shared" si="100"/>
        <v>0</v>
      </c>
      <c r="AJ212" s="54">
        <f t="shared" si="100"/>
        <v>0</v>
      </c>
      <c r="AK212" s="54">
        <f t="shared" ref="AK212" si="117">IF($E113+365&lt;$C$56,0,IF($E113&lt;$C$56,(($E113+365-$C$56)/365)*(($C113/$BN$157)+($D113/$BN$158)),IF($E113&gt;AK$166,0,IF($E113+365&lt;AK$166,($C113/$BN$157)+($D113/$BN$158),((AK$166-$E113)/365)*(($C113/$BN$157)+($D113/$BN$158))))))</f>
        <v>0</v>
      </c>
      <c r="AL212" s="24">
        <f t="shared" si="54"/>
        <v>0</v>
      </c>
      <c r="AM212" s="24">
        <f t="shared" si="55"/>
        <v>0</v>
      </c>
      <c r="AN212" s="55">
        <f t="shared" si="56"/>
        <v>0</v>
      </c>
      <c r="AO212" s="55">
        <f t="shared" si="57"/>
        <v>0</v>
      </c>
      <c r="AP212" s="24"/>
      <c r="AQ212" s="24"/>
      <c r="AR212" s="24"/>
      <c r="AS212" s="24"/>
      <c r="AT212" s="24"/>
      <c r="AU212" s="24"/>
      <c r="AV212" s="24"/>
      <c r="AW212" s="24"/>
      <c r="AX212" s="24"/>
      <c r="AY212" s="24"/>
    </row>
    <row r="213" spans="6:51">
      <c r="T213" s="61"/>
      <c r="U213" s="61"/>
      <c r="V213" s="61"/>
      <c r="W213" s="53"/>
      <c r="X213" s="54"/>
      <c r="Y213" s="25">
        <f t="shared" si="60"/>
        <v>0</v>
      </c>
      <c r="Z213" s="54">
        <f t="shared" si="65"/>
        <v>0</v>
      </c>
      <c r="AA213" s="54">
        <f t="shared" si="100"/>
        <v>0</v>
      </c>
      <c r="AB213" s="54">
        <f t="shared" si="100"/>
        <v>0</v>
      </c>
      <c r="AC213" s="54">
        <f t="shared" si="100"/>
        <v>0</v>
      </c>
      <c r="AD213" s="54">
        <f t="shared" si="100"/>
        <v>0</v>
      </c>
      <c r="AE213" s="54">
        <f t="shared" si="100"/>
        <v>0</v>
      </c>
      <c r="AF213" s="54">
        <f t="shared" si="100"/>
        <v>0</v>
      </c>
      <c r="AG213" s="54">
        <f t="shared" si="100"/>
        <v>0</v>
      </c>
      <c r="AH213" s="54">
        <f t="shared" si="100"/>
        <v>0</v>
      </c>
      <c r="AI213" s="54">
        <f t="shared" si="100"/>
        <v>0</v>
      </c>
      <c r="AJ213" s="54">
        <f t="shared" si="100"/>
        <v>0</v>
      </c>
      <c r="AK213" s="54">
        <f t="shared" ref="AK213" si="118">IF($E114+365&lt;$C$56,0,IF($E114&lt;$C$56,(($E114+365-$C$56)/365)*(($C114/$BN$157)+($D114/$BN$158)),IF($E114&gt;AK$166,0,IF($E114+365&lt;AK$166,($C114/$BN$157)+($D114/$BN$158),((AK$166-$E114)/365)*(($C114/$BN$157)+($D114/$BN$158))))))</f>
        <v>0</v>
      </c>
      <c r="AL213" s="24">
        <f t="shared" si="54"/>
        <v>0</v>
      </c>
      <c r="AM213" s="24">
        <f t="shared" si="55"/>
        <v>0</v>
      </c>
      <c r="AN213" s="55">
        <f t="shared" si="56"/>
        <v>0</v>
      </c>
      <c r="AO213" s="55">
        <f t="shared" si="57"/>
        <v>0</v>
      </c>
      <c r="AP213" s="24"/>
      <c r="AQ213" s="24"/>
      <c r="AR213" s="24"/>
      <c r="AS213" s="24"/>
      <c r="AT213" s="24"/>
      <c r="AU213" s="24"/>
      <c r="AV213" s="24"/>
      <c r="AW213" s="24"/>
      <c r="AX213" s="24"/>
      <c r="AY213" s="24"/>
    </row>
    <row r="214" spans="6:51" ht="13">
      <c r="F214" s="187" t="s">
        <v>490</v>
      </c>
      <c r="G214" s="187">
        <f>SUM(G167:G213)</f>
        <v>30</v>
      </c>
      <c r="H214" s="187">
        <f t="shared" ref="H214:Q214" si="119">SUM(H167:H213)</f>
        <v>30</v>
      </c>
      <c r="I214" s="187">
        <f t="shared" si="119"/>
        <v>30</v>
      </c>
      <c r="J214" s="187">
        <f t="shared" si="119"/>
        <v>5</v>
      </c>
      <c r="K214" s="187">
        <f t="shared" si="119"/>
        <v>-25</v>
      </c>
      <c r="L214" s="187">
        <f t="shared" si="119"/>
        <v>-25</v>
      </c>
      <c r="M214" s="187">
        <f t="shared" si="119"/>
        <v>-25</v>
      </c>
      <c r="N214" s="187">
        <f t="shared" si="119"/>
        <v>-415</v>
      </c>
      <c r="O214" s="187">
        <f t="shared" si="119"/>
        <v>-415</v>
      </c>
      <c r="P214" s="187">
        <f t="shared" si="119"/>
        <v>-415</v>
      </c>
      <c r="Q214" s="187">
        <f t="shared" si="119"/>
        <v>-415</v>
      </c>
      <c r="T214" s="14"/>
      <c r="U214" s="14"/>
      <c r="V214" s="14"/>
      <c r="W214" s="24"/>
      <c r="X214" s="62" t="e">
        <f>SUM(X168:X213)</f>
        <v>#DIV/0!</v>
      </c>
      <c r="Y214" s="157" t="s">
        <v>84</v>
      </c>
      <c r="AA214" s="155">
        <f>VLOOKUP($A$2,Assumptions!$B$124:$G$147,6,0)*SUM(AA167:AA213)</f>
        <v>0</v>
      </c>
      <c r="AB214" s="155">
        <f>VLOOKUP($A$2,Assumptions!$B$124:$G$147,6,0)*SUM(AB167:AB213)</f>
        <v>0.77835649493366033</v>
      </c>
      <c r="AC214" s="155">
        <f>VLOOKUP($A$2,Assumptions!$B$124:$G$147,6,0)*SUM(AC167:AC213)</f>
        <v>0.77835649493366033</v>
      </c>
      <c r="AD214" s="155">
        <f>VLOOKUP($A$2,Assumptions!$B$124:$G$147,6,0)*SUM(AD167:AD213)</f>
        <v>-0.15666033901553161</v>
      </c>
      <c r="AE214" s="155">
        <f>VLOOKUP($A$2,Assumptions!$B$124:$G$147,6,0)*SUM(AE167:AE213)</f>
        <v>-1.5702021660584276</v>
      </c>
      <c r="AF214" s="155">
        <f>VLOOKUP($A$2,Assumptions!$B$124:$G$147,6,0)*SUM(AF167:AF213)</f>
        <v>-1.5702021660584276</v>
      </c>
      <c r="AG214" s="155">
        <f>VLOOKUP($A$2,Assumptions!$B$124:$G$147,6,0)*SUM(AG167:AG213)</f>
        <v>-1.5702021660584276</v>
      </c>
      <c r="AH214" s="155">
        <f>VLOOKUP($A$2,Assumptions!$B$124:$G$147,6,0)*SUM(AH167:AH213)</f>
        <v>-16.447986401969686</v>
      </c>
      <c r="AI214" s="155">
        <f>VLOOKUP($A$2,Assumptions!$B$124:$G$147,6,0)*SUM(AI167:AI213)</f>
        <v>-16.447986401969686</v>
      </c>
      <c r="AJ214" s="155">
        <f>VLOOKUP($A$2,Assumptions!$B$124:$G$147,6,0)*SUM(AJ167:AJ213)</f>
        <v>-16.447986401969686</v>
      </c>
      <c r="AK214" s="155">
        <f>VLOOKUP($A$2,Assumptions!$B$124:$G$147,6,0)*SUM(AK167:AK213)</f>
        <v>-16.447986401969686</v>
      </c>
      <c r="AL214" s="155">
        <f>VLOOKUP($A$2,Assumptions!$B$124:$G$147,6,0)*SUM(AL167:AL213)</f>
        <v>-311.25</v>
      </c>
      <c r="AM214" s="155">
        <f>VLOOKUP($A$2,Assumptions!$B$124:$G$147,6,0)*SUM(AM167:AM213)</f>
        <v>-293.25</v>
      </c>
      <c r="AN214" s="55">
        <f>SUM(AN167:AN213)</f>
        <v>5088200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78</v>
      </c>
      <c r="AA215" s="156">
        <f>$C$64+AA214</f>
        <v>78</v>
      </c>
      <c r="AB215" s="156">
        <f t="shared" ref="AB215:AE215" si="120">$C$64+AB214</f>
        <v>78.778356494933661</v>
      </c>
      <c r="AC215" s="156">
        <f t="shared" si="120"/>
        <v>78.778356494933661</v>
      </c>
      <c r="AD215" s="156">
        <f t="shared" si="120"/>
        <v>77.843339660984469</v>
      </c>
      <c r="AE215" s="156">
        <f t="shared" si="120"/>
        <v>76.429797833941578</v>
      </c>
      <c r="AF215" s="156">
        <f>$C$64+AF214</f>
        <v>76.429797833941578</v>
      </c>
      <c r="AG215" s="156">
        <f t="shared" ref="AG215:AJ215" si="121">$C$64+AG214</f>
        <v>76.429797833941578</v>
      </c>
      <c r="AH215" s="156">
        <f>$C$64+AH214</f>
        <v>61.552013598030314</v>
      </c>
      <c r="AI215" s="156">
        <f t="shared" si="121"/>
        <v>61.552013598030314</v>
      </c>
      <c r="AJ215" s="156">
        <f t="shared" si="121"/>
        <v>61.552013598030314</v>
      </c>
      <c r="AK215" s="156">
        <f t="shared" ref="AK215" si="122">$C$64+AK214</f>
        <v>61.552013598030314</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IF(Z215&lt;$BB$154,(6+(1-Z215/$BB$154)),IF(Z215&lt;$BB$155,5.5+(0.5*(($BB$155-Z215)/($BB$155-$BB$154))),(5 - 0.5*((Z215)-$BB$156)/$BH$166)))</f>
        <v>4.7257012393998696</v>
      </c>
      <c r="AA216" s="154">
        <f>IF(AA215&lt;$BB$154,(6+(1-AA215/$BB$154)),IF(AA215&lt;$BB$155,5.5+(0.5*(($BB$155-AA215)/($BB$155-$BB$154))),(5 - 0.5*((AA215)-$BB$156)/$BH$166)))</f>
        <v>4.7257012393998696</v>
      </c>
      <c r="AB216" s="154">
        <f t="shared" ref="AB216" si="123">IF(AB215&lt;$BB$154,(6+(1-AB215/$BB$154)),IF(AB215&lt;$BB$155,5.5+(0.5*(($BB$155-AB215)/($BB$155-$BB$154))),(5 - 0.5*((AB215)-$BB$156)/$BH$166)))</f>
        <v>4.7003145304979235</v>
      </c>
      <c r="AC216" s="154">
        <f t="shared" ref="AC216" si="124">IF(AC215&lt;$BB$154,(6+(1-AC215/$BB$154)),IF(AC215&lt;$BB$155,5.5+(0.5*(($BB$155-AC215)/($BB$155-$BB$154))),(5 - 0.5*((AC215)-$BB$156)/$BH$166)))</f>
        <v>4.7003145304979235</v>
      </c>
      <c r="AD216" s="154">
        <f t="shared" ref="AD216:AG216" si="125">IF(AD215&lt;$BB$154,(6+(1-AD215/$BB$154)),IF(AD215&lt;$BB$155,5.5+(0.5*(($BB$155-AD215)/($BB$155-$BB$154))),(5 - 0.5*((AD215)-$BB$156)/$BH$166)))</f>
        <v>4.7308108394982238</v>
      </c>
      <c r="AE216" s="154">
        <f t="shared" si="125"/>
        <v>4.7769146172882726</v>
      </c>
      <c r="AF216" s="154">
        <f t="shared" si="125"/>
        <v>4.7769146172882726</v>
      </c>
      <c r="AG216" s="154">
        <f t="shared" si="125"/>
        <v>4.7769146172882726</v>
      </c>
      <c r="AH216" s="154">
        <f>IF(AH215&lt;$BB$154,(6+(1-AH215/$BB$154)),IF(AH215&lt;$BB$155,5.5+(0.5*(($BB$155-AH215)/($BB$155-$BB$154))),(5 - 0.5*((AH215)-$BB$156)/$BH$166)))</f>
        <v>5.2621652446826381</v>
      </c>
      <c r="AI216" s="154">
        <f>IF(AI215&lt;$BB$154,(6+(1-AI215/$BB$154)),IF(AI215&lt;$BB$155,5.5+(0.5*(($BB$155-AI215)/($BB$155-$BB$154))),(5 - 0.5*((AI215)-$BB$156)/$BH$166)))</f>
        <v>5.2621652446826381</v>
      </c>
      <c r="AJ216" s="154">
        <f>IF(AJ215&lt;$BB$154,(6+(1-AJ215/$BB$154)),IF(AJ215&lt;$BB$155,5.5+(0.5*(($BB$155-AJ215)/($BB$155-$BB$154))),(5 - 0.5*((AJ215)-$BB$156)/$BH$166)))</f>
        <v>5.2621652446826381</v>
      </c>
      <c r="AK216" s="154">
        <f>IF(AK215&lt;$BB$154,(6+(1-AK215/$BB$154)),IF(AK215&lt;$BB$155,5.5+(0.5*(($BB$155-AK215)/($BB$155-$BB$154))),(5 - 0.5*((AK215)-$BB$156)/$BH$166)))</f>
        <v>5.2621652446826381</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5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58"/>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58"/>
      <c r="AK219" s="24"/>
      <c r="AL219" s="24"/>
      <c r="AM219" s="24"/>
      <c r="AN219" s="24"/>
      <c r="AO219" s="24"/>
      <c r="AP219" s="24"/>
      <c r="AQ219" s="24"/>
      <c r="AR219" s="24"/>
      <c r="AS219" s="24"/>
      <c r="AT219" s="24"/>
      <c r="AU219" s="24"/>
      <c r="AV219" s="24"/>
      <c r="AW219" s="24"/>
      <c r="AX219" s="24"/>
      <c r="AY219" s="24"/>
    </row>
    <row r="220" spans="6:51">
      <c r="G220" s="12">
        <f t="shared" ref="G220:G265" si="126">IF($E69&lt;G$66,$D69,0)</f>
        <v>0</v>
      </c>
      <c r="H220" s="12">
        <f t="shared" ref="H220:Q220" si="127">IF($E69&gt;H$66,0,IF($E69&lt;H$66-365,$D69,0))</f>
        <v>0</v>
      </c>
      <c r="I220" s="12">
        <f t="shared" si="127"/>
        <v>0</v>
      </c>
      <c r="J220" s="12">
        <f t="shared" si="127"/>
        <v>0</v>
      </c>
      <c r="K220" s="12">
        <f t="shared" si="127"/>
        <v>0</v>
      </c>
      <c r="L220" s="12">
        <f t="shared" si="127"/>
        <v>0</v>
      </c>
      <c r="M220" s="12">
        <f t="shared" si="127"/>
        <v>0</v>
      </c>
      <c r="N220" s="12">
        <f t="shared" si="127"/>
        <v>0</v>
      </c>
      <c r="O220" s="12">
        <f t="shared" si="127"/>
        <v>0</v>
      </c>
      <c r="P220" s="12">
        <f t="shared" si="127"/>
        <v>0</v>
      </c>
      <c r="Q220" s="12">
        <f t="shared" si="127"/>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26"/>
        <v>-145</v>
      </c>
      <c r="H221" s="12">
        <f t="shared" ref="H221:Q221" si="128">IF($E70&gt;H$66,0,IF($E70&lt;H$66-365,$D70,0))</f>
        <v>-145</v>
      </c>
      <c r="I221" s="12">
        <f t="shared" si="128"/>
        <v>-145</v>
      </c>
      <c r="J221" s="12">
        <f t="shared" si="128"/>
        <v>-145</v>
      </c>
      <c r="K221" s="12">
        <f t="shared" si="128"/>
        <v>-145</v>
      </c>
      <c r="L221" s="12">
        <f t="shared" si="128"/>
        <v>-145</v>
      </c>
      <c r="M221" s="12">
        <f t="shared" si="128"/>
        <v>-145</v>
      </c>
      <c r="N221" s="12">
        <f t="shared" si="128"/>
        <v>-145</v>
      </c>
      <c r="O221" s="12">
        <f t="shared" si="128"/>
        <v>-145</v>
      </c>
      <c r="P221" s="12">
        <f t="shared" si="128"/>
        <v>-145</v>
      </c>
      <c r="Q221" s="12">
        <f t="shared" si="128"/>
        <v>-145</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26"/>
        <v>0</v>
      </c>
      <c r="H222" s="12">
        <f t="shared" ref="H222:Q222" si="129">IF($E71&gt;H$66,0,IF($E71&lt;H$66-365,$D71,0))</f>
        <v>0</v>
      </c>
      <c r="I222" s="12">
        <f t="shared" si="129"/>
        <v>0</v>
      </c>
      <c r="J222" s="12">
        <f t="shared" si="129"/>
        <v>0</v>
      </c>
      <c r="K222" s="12">
        <f t="shared" si="129"/>
        <v>0</v>
      </c>
      <c r="L222" s="12">
        <f t="shared" si="129"/>
        <v>0</v>
      </c>
      <c r="M222" s="12">
        <f t="shared" si="129"/>
        <v>0</v>
      </c>
      <c r="N222" s="12">
        <f t="shared" si="129"/>
        <v>0</v>
      </c>
      <c r="O222" s="12">
        <f t="shared" si="129"/>
        <v>0</v>
      </c>
      <c r="P222" s="12">
        <f t="shared" si="129"/>
        <v>0</v>
      </c>
      <c r="Q222" s="12">
        <f t="shared" si="129"/>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26"/>
        <v>0</v>
      </c>
      <c r="H223" s="12">
        <f t="shared" ref="H223:Q223" si="130">IF($E72&gt;H$66,0,IF($E72&lt;H$66-365,$D72,0))</f>
        <v>0</v>
      </c>
      <c r="I223" s="12">
        <f t="shared" si="130"/>
        <v>0</v>
      </c>
      <c r="J223" s="12">
        <f t="shared" si="130"/>
        <v>0</v>
      </c>
      <c r="K223" s="12">
        <f t="shared" si="130"/>
        <v>0</v>
      </c>
      <c r="L223" s="12">
        <f t="shared" si="130"/>
        <v>0</v>
      </c>
      <c r="M223" s="12">
        <f t="shared" si="130"/>
        <v>0</v>
      </c>
      <c r="N223" s="12">
        <f t="shared" si="130"/>
        <v>0</v>
      </c>
      <c r="O223" s="12">
        <f t="shared" si="130"/>
        <v>0</v>
      </c>
      <c r="P223" s="12">
        <f t="shared" si="130"/>
        <v>0</v>
      </c>
      <c r="Q223" s="12">
        <f t="shared" si="130"/>
        <v>0</v>
      </c>
      <c r="T223" s="20"/>
      <c r="U223" s="20"/>
      <c r="V223" s="20"/>
    </row>
    <row r="224" spans="6:51">
      <c r="G224" s="12">
        <f t="shared" si="126"/>
        <v>0</v>
      </c>
      <c r="H224" s="12">
        <f t="shared" ref="H224:Q224" si="131">IF($E73&gt;H$66,0,IF($E73&lt;H$66-365,$D73,0))</f>
        <v>0</v>
      </c>
      <c r="I224" s="12">
        <f t="shared" si="131"/>
        <v>0</v>
      </c>
      <c r="J224" s="12">
        <f t="shared" si="131"/>
        <v>0</v>
      </c>
      <c r="K224" s="12">
        <f t="shared" si="131"/>
        <v>0</v>
      </c>
      <c r="L224" s="12">
        <f t="shared" si="131"/>
        <v>0</v>
      </c>
      <c r="M224" s="12">
        <f t="shared" si="131"/>
        <v>0</v>
      </c>
      <c r="N224" s="12">
        <f t="shared" si="131"/>
        <v>0</v>
      </c>
      <c r="O224" s="12">
        <f t="shared" si="131"/>
        <v>0</v>
      </c>
      <c r="P224" s="12">
        <f t="shared" si="131"/>
        <v>0</v>
      </c>
      <c r="Q224" s="12">
        <f t="shared" si="131"/>
        <v>0</v>
      </c>
      <c r="T224" s="20"/>
      <c r="U224" s="20"/>
      <c r="V224" s="20"/>
    </row>
    <row r="225" spans="7:17">
      <c r="G225" s="12">
        <f t="shared" si="126"/>
        <v>0</v>
      </c>
      <c r="H225" s="12">
        <f t="shared" ref="H225:Q225" si="132">IF($E74&gt;H$66,0,IF($E74&lt;H$66-365,$D74,0))</f>
        <v>0</v>
      </c>
      <c r="I225" s="12">
        <f t="shared" si="132"/>
        <v>0</v>
      </c>
      <c r="J225" s="12">
        <f t="shared" si="132"/>
        <v>0</v>
      </c>
      <c r="K225" s="12">
        <f t="shared" si="132"/>
        <v>-123</v>
      </c>
      <c r="L225" s="12">
        <f t="shared" si="132"/>
        <v>-123</v>
      </c>
      <c r="M225" s="12">
        <f t="shared" si="132"/>
        <v>-123</v>
      </c>
      <c r="N225" s="12">
        <f t="shared" si="132"/>
        <v>-123</v>
      </c>
      <c r="O225" s="12">
        <f t="shared" si="132"/>
        <v>-123</v>
      </c>
      <c r="P225" s="12">
        <f t="shared" si="132"/>
        <v>-123</v>
      </c>
      <c r="Q225" s="12">
        <f t="shared" si="132"/>
        <v>-123</v>
      </c>
    </row>
    <row r="226" spans="7:17">
      <c r="G226" s="12">
        <f t="shared" si="126"/>
        <v>0</v>
      </c>
      <c r="H226" s="12">
        <f t="shared" ref="H226:Q226" si="133">IF($E75&gt;H$66,0,IF($E75&lt;H$66-365,$D75,0))</f>
        <v>0</v>
      </c>
      <c r="I226" s="12">
        <f t="shared" si="133"/>
        <v>0</v>
      </c>
      <c r="J226" s="12">
        <f t="shared" si="133"/>
        <v>0</v>
      </c>
      <c r="K226" s="12">
        <f t="shared" si="133"/>
        <v>0</v>
      </c>
      <c r="L226" s="12">
        <f t="shared" si="133"/>
        <v>0</v>
      </c>
      <c r="M226" s="12">
        <f t="shared" si="133"/>
        <v>0</v>
      </c>
      <c r="N226" s="12">
        <f t="shared" si="133"/>
        <v>0</v>
      </c>
      <c r="O226" s="12">
        <f t="shared" si="133"/>
        <v>0</v>
      </c>
      <c r="P226" s="12">
        <f t="shared" si="133"/>
        <v>0</v>
      </c>
      <c r="Q226" s="12">
        <f t="shared" si="133"/>
        <v>0</v>
      </c>
    </row>
    <row r="227" spans="7:17">
      <c r="G227" s="12">
        <f t="shared" si="126"/>
        <v>0</v>
      </c>
      <c r="H227" s="12">
        <f t="shared" ref="H227:Q227" si="134">IF($E76&gt;H$66,0,IF($E76&lt;H$66-365,$D76,0))</f>
        <v>0</v>
      </c>
      <c r="I227" s="12">
        <f t="shared" si="134"/>
        <v>0</v>
      </c>
      <c r="J227" s="12">
        <f t="shared" si="134"/>
        <v>0</v>
      </c>
      <c r="K227" s="12">
        <f t="shared" si="134"/>
        <v>0</v>
      </c>
      <c r="L227" s="12">
        <f t="shared" si="134"/>
        <v>0</v>
      </c>
      <c r="M227" s="12">
        <f t="shared" si="134"/>
        <v>0</v>
      </c>
      <c r="N227" s="12">
        <f t="shared" si="134"/>
        <v>0</v>
      </c>
      <c r="O227" s="12">
        <f t="shared" si="134"/>
        <v>0</v>
      </c>
      <c r="P227" s="12">
        <f t="shared" si="134"/>
        <v>0</v>
      </c>
      <c r="Q227" s="12">
        <f t="shared" si="134"/>
        <v>0</v>
      </c>
    </row>
    <row r="228" spans="7:17">
      <c r="G228" s="12">
        <f t="shared" si="126"/>
        <v>0</v>
      </c>
      <c r="H228" s="12">
        <f t="shared" ref="H228:Q228" si="135">IF($E77&gt;H$66,0,IF($E77&lt;H$66-365,$D77,0))</f>
        <v>0</v>
      </c>
      <c r="I228" s="12">
        <f t="shared" si="135"/>
        <v>0</v>
      </c>
      <c r="J228" s="12">
        <f t="shared" si="135"/>
        <v>0</v>
      </c>
      <c r="K228" s="12">
        <f t="shared" si="135"/>
        <v>0</v>
      </c>
      <c r="L228" s="12">
        <f t="shared" si="135"/>
        <v>0</v>
      </c>
      <c r="M228" s="12">
        <f t="shared" si="135"/>
        <v>0</v>
      </c>
      <c r="N228" s="12">
        <f t="shared" si="135"/>
        <v>0</v>
      </c>
      <c r="O228" s="12">
        <f t="shared" si="135"/>
        <v>0</v>
      </c>
      <c r="P228" s="12">
        <f t="shared" si="135"/>
        <v>0</v>
      </c>
      <c r="Q228" s="12">
        <f t="shared" si="135"/>
        <v>0</v>
      </c>
    </row>
    <row r="229" spans="7:17">
      <c r="G229" s="12">
        <f t="shared" si="126"/>
        <v>0</v>
      </c>
      <c r="H229" s="12">
        <f t="shared" ref="H229:Q229" si="136">IF($E78&gt;H$66,0,IF($E78&lt;H$66-365,$D78,0))</f>
        <v>0</v>
      </c>
      <c r="I229" s="12">
        <f t="shared" si="136"/>
        <v>0</v>
      </c>
      <c r="J229" s="12">
        <f t="shared" si="136"/>
        <v>0</v>
      </c>
      <c r="K229" s="12">
        <f t="shared" si="136"/>
        <v>0</v>
      </c>
      <c r="L229" s="12">
        <f t="shared" si="136"/>
        <v>0</v>
      </c>
      <c r="M229" s="12">
        <f t="shared" si="136"/>
        <v>0</v>
      </c>
      <c r="N229" s="12">
        <f t="shared" si="136"/>
        <v>-123</v>
      </c>
      <c r="O229" s="12">
        <f t="shared" si="136"/>
        <v>-123</v>
      </c>
      <c r="P229" s="12">
        <f t="shared" si="136"/>
        <v>-123</v>
      </c>
      <c r="Q229" s="12">
        <f t="shared" si="136"/>
        <v>-123</v>
      </c>
    </row>
    <row r="230" spans="7:17">
      <c r="G230" s="12">
        <f t="shared" si="126"/>
        <v>0</v>
      </c>
      <c r="H230" s="12">
        <f t="shared" ref="H230:Q230" si="137">IF($E79&gt;H$66,0,IF($E79&lt;H$66-365,$D79,0))</f>
        <v>0</v>
      </c>
      <c r="I230" s="12">
        <f t="shared" si="137"/>
        <v>0</v>
      </c>
      <c r="J230" s="12">
        <f t="shared" si="137"/>
        <v>0</v>
      </c>
      <c r="K230" s="12">
        <f t="shared" si="137"/>
        <v>0</v>
      </c>
      <c r="L230" s="12">
        <f t="shared" si="137"/>
        <v>0</v>
      </c>
      <c r="M230" s="12">
        <f t="shared" si="137"/>
        <v>0</v>
      </c>
      <c r="N230" s="12">
        <f t="shared" si="137"/>
        <v>0</v>
      </c>
      <c r="O230" s="12">
        <f t="shared" si="137"/>
        <v>0</v>
      </c>
      <c r="P230" s="12">
        <f t="shared" si="137"/>
        <v>0</v>
      </c>
      <c r="Q230" s="12">
        <f t="shared" si="137"/>
        <v>0</v>
      </c>
    </row>
    <row r="231" spans="7:17">
      <c r="G231" s="12">
        <f t="shared" si="126"/>
        <v>0</v>
      </c>
      <c r="H231" s="12">
        <f t="shared" ref="H231:Q231" si="138">IF($E80&gt;H$66,0,IF($E80&lt;H$66-365,$D80,0))</f>
        <v>0</v>
      </c>
      <c r="I231" s="12">
        <f t="shared" si="138"/>
        <v>0</v>
      </c>
      <c r="J231" s="12">
        <f t="shared" si="138"/>
        <v>0</v>
      </c>
      <c r="K231" s="12">
        <f t="shared" si="138"/>
        <v>0</v>
      </c>
      <c r="L231" s="12">
        <f t="shared" si="138"/>
        <v>0</v>
      </c>
      <c r="M231" s="12">
        <f t="shared" si="138"/>
        <v>0</v>
      </c>
      <c r="N231" s="12">
        <f t="shared" si="138"/>
        <v>0</v>
      </c>
      <c r="O231" s="12">
        <f t="shared" si="138"/>
        <v>0</v>
      </c>
      <c r="P231" s="12">
        <f t="shared" si="138"/>
        <v>0</v>
      </c>
      <c r="Q231" s="12">
        <f t="shared" si="138"/>
        <v>0</v>
      </c>
    </row>
    <row r="232" spans="7:17">
      <c r="G232" s="12">
        <f t="shared" si="126"/>
        <v>0</v>
      </c>
      <c r="H232" s="12">
        <f t="shared" ref="H232:Q232" si="139">IF($E81&gt;H$66,0,IF($E81&lt;H$66-365,$D81,0))</f>
        <v>0</v>
      </c>
      <c r="I232" s="12">
        <f t="shared" si="139"/>
        <v>0</v>
      </c>
      <c r="J232" s="12">
        <f t="shared" si="139"/>
        <v>0</v>
      </c>
      <c r="K232" s="12">
        <f t="shared" si="139"/>
        <v>0</v>
      </c>
      <c r="L232" s="12">
        <f t="shared" si="139"/>
        <v>0</v>
      </c>
      <c r="M232" s="12">
        <f t="shared" si="139"/>
        <v>0</v>
      </c>
      <c r="N232" s="12">
        <f t="shared" si="139"/>
        <v>0</v>
      </c>
      <c r="O232" s="12">
        <f t="shared" si="139"/>
        <v>0</v>
      </c>
      <c r="P232" s="12">
        <f t="shared" si="139"/>
        <v>0</v>
      </c>
      <c r="Q232" s="12">
        <f t="shared" si="139"/>
        <v>0</v>
      </c>
    </row>
    <row r="233" spans="7:17">
      <c r="G233" s="12">
        <f t="shared" si="126"/>
        <v>0</v>
      </c>
      <c r="H233" s="12">
        <f t="shared" ref="H233:Q233" si="140">IF($E82&gt;H$66,0,IF($E82&lt;H$66-365,$D82,0))</f>
        <v>0</v>
      </c>
      <c r="I233" s="12">
        <f t="shared" si="140"/>
        <v>0</v>
      </c>
      <c r="J233" s="12">
        <f t="shared" si="140"/>
        <v>0</v>
      </c>
      <c r="K233" s="12">
        <f t="shared" si="140"/>
        <v>0</v>
      </c>
      <c r="L233" s="12">
        <f t="shared" si="140"/>
        <v>0</v>
      </c>
      <c r="M233" s="12">
        <f t="shared" si="140"/>
        <v>0</v>
      </c>
      <c r="N233" s="12">
        <f t="shared" si="140"/>
        <v>0</v>
      </c>
      <c r="O233" s="12">
        <f t="shared" si="140"/>
        <v>0</v>
      </c>
      <c r="P233" s="12">
        <f t="shared" si="140"/>
        <v>0</v>
      </c>
      <c r="Q233" s="12">
        <f t="shared" si="140"/>
        <v>0</v>
      </c>
    </row>
    <row r="234" spans="7:17">
      <c r="G234" s="12">
        <f t="shared" si="126"/>
        <v>0</v>
      </c>
      <c r="H234" s="12">
        <f t="shared" ref="H234:Q234" si="141">IF($E83&gt;H$66,0,IF($E83&lt;H$66-365,$D83,0))</f>
        <v>0</v>
      </c>
      <c r="I234" s="12">
        <f t="shared" si="141"/>
        <v>0</v>
      </c>
      <c r="J234" s="12">
        <f t="shared" si="141"/>
        <v>0</v>
      </c>
      <c r="K234" s="12">
        <f t="shared" si="141"/>
        <v>0</v>
      </c>
      <c r="L234" s="12">
        <f t="shared" si="141"/>
        <v>0</v>
      </c>
      <c r="M234" s="12">
        <f t="shared" si="141"/>
        <v>0</v>
      </c>
      <c r="N234" s="12">
        <f t="shared" si="141"/>
        <v>0</v>
      </c>
      <c r="O234" s="12">
        <f t="shared" si="141"/>
        <v>0</v>
      </c>
      <c r="P234" s="12">
        <f t="shared" si="141"/>
        <v>0</v>
      </c>
      <c r="Q234" s="12">
        <f t="shared" si="141"/>
        <v>0</v>
      </c>
    </row>
    <row r="235" spans="7:17">
      <c r="G235" s="12">
        <f t="shared" si="126"/>
        <v>0</v>
      </c>
      <c r="H235" s="12">
        <f t="shared" ref="H235:Q235" si="142">IF($E84&gt;H$66,0,IF($E84&lt;H$66-365,$D84,0))</f>
        <v>0</v>
      </c>
      <c r="I235" s="12">
        <f t="shared" si="142"/>
        <v>0</v>
      </c>
      <c r="J235" s="12">
        <f t="shared" si="142"/>
        <v>0</v>
      </c>
      <c r="K235" s="12">
        <f t="shared" si="142"/>
        <v>0</v>
      </c>
      <c r="L235" s="12">
        <f t="shared" si="142"/>
        <v>0</v>
      </c>
      <c r="M235" s="12">
        <f t="shared" si="142"/>
        <v>0</v>
      </c>
      <c r="N235" s="12">
        <f t="shared" si="142"/>
        <v>0</v>
      </c>
      <c r="O235" s="12">
        <f t="shared" si="142"/>
        <v>0</v>
      </c>
      <c r="P235" s="12">
        <f t="shared" si="142"/>
        <v>0</v>
      </c>
      <c r="Q235" s="12">
        <f t="shared" si="142"/>
        <v>0</v>
      </c>
    </row>
    <row r="236" spans="7:17">
      <c r="G236" s="12">
        <f t="shared" si="126"/>
        <v>0</v>
      </c>
      <c r="H236" s="12">
        <f t="shared" ref="H236:Q236" si="143">IF($E85&gt;H$66,0,IF($E85&lt;H$66-365,$D85,0))</f>
        <v>0</v>
      </c>
      <c r="I236" s="12">
        <f t="shared" si="143"/>
        <v>0</v>
      </c>
      <c r="J236" s="12">
        <f t="shared" si="143"/>
        <v>0</v>
      </c>
      <c r="K236" s="12">
        <f t="shared" si="143"/>
        <v>0</v>
      </c>
      <c r="L236" s="12">
        <f t="shared" si="143"/>
        <v>0</v>
      </c>
      <c r="M236" s="12">
        <f t="shared" si="143"/>
        <v>0</v>
      </c>
      <c r="N236" s="12">
        <f t="shared" si="143"/>
        <v>0</v>
      </c>
      <c r="O236" s="12">
        <f t="shared" si="143"/>
        <v>0</v>
      </c>
      <c r="P236" s="12">
        <f t="shared" si="143"/>
        <v>0</v>
      </c>
      <c r="Q236" s="12">
        <f t="shared" si="143"/>
        <v>0</v>
      </c>
    </row>
    <row r="237" spans="7:17">
      <c r="G237" s="12">
        <f t="shared" si="126"/>
        <v>0</v>
      </c>
      <c r="H237" s="12">
        <f t="shared" ref="H237:Q237" si="144">IF($E86&gt;H$66,0,IF($E86&lt;H$66-365,$D86,0))</f>
        <v>0</v>
      </c>
      <c r="I237" s="12">
        <f t="shared" si="144"/>
        <v>0</v>
      </c>
      <c r="J237" s="12">
        <f t="shared" si="144"/>
        <v>0</v>
      </c>
      <c r="K237" s="12">
        <f t="shared" si="144"/>
        <v>0</v>
      </c>
      <c r="L237" s="12">
        <f t="shared" si="144"/>
        <v>0</v>
      </c>
      <c r="M237" s="12">
        <f t="shared" si="144"/>
        <v>0</v>
      </c>
      <c r="N237" s="12">
        <f t="shared" si="144"/>
        <v>0</v>
      </c>
      <c r="O237" s="12">
        <f t="shared" si="144"/>
        <v>0</v>
      </c>
      <c r="P237" s="12">
        <f t="shared" si="144"/>
        <v>0</v>
      </c>
      <c r="Q237" s="12">
        <f t="shared" si="144"/>
        <v>0</v>
      </c>
    </row>
    <row r="238" spans="7:17">
      <c r="G238" s="12">
        <f t="shared" si="126"/>
        <v>0</v>
      </c>
      <c r="H238" s="12">
        <f t="shared" ref="H238:Q238" si="145">IF($E87&gt;H$66,0,IF($E87&lt;H$66-365,$D87,0))</f>
        <v>0</v>
      </c>
      <c r="I238" s="12">
        <f t="shared" si="145"/>
        <v>0</v>
      </c>
      <c r="J238" s="12">
        <f t="shared" si="145"/>
        <v>0</v>
      </c>
      <c r="K238" s="12">
        <f t="shared" si="145"/>
        <v>0</v>
      </c>
      <c r="L238" s="12">
        <f t="shared" si="145"/>
        <v>0</v>
      </c>
      <c r="M238" s="12">
        <f t="shared" si="145"/>
        <v>0</v>
      </c>
      <c r="N238" s="12">
        <f t="shared" si="145"/>
        <v>0</v>
      </c>
      <c r="O238" s="12">
        <f t="shared" si="145"/>
        <v>0</v>
      </c>
      <c r="P238" s="12">
        <f t="shared" si="145"/>
        <v>0</v>
      </c>
      <c r="Q238" s="12">
        <f t="shared" si="145"/>
        <v>0</v>
      </c>
    </row>
    <row r="239" spans="7:17">
      <c r="G239" s="12">
        <f t="shared" si="126"/>
        <v>0</v>
      </c>
      <c r="H239" s="12">
        <f t="shared" ref="H239:Q239" si="146">IF($E88&gt;H$66,0,IF($E88&lt;H$66-365,$D88,0))</f>
        <v>0</v>
      </c>
      <c r="I239" s="12">
        <f t="shared" si="146"/>
        <v>0</v>
      </c>
      <c r="J239" s="12">
        <f t="shared" si="146"/>
        <v>0</v>
      </c>
      <c r="K239" s="12">
        <f t="shared" si="146"/>
        <v>0</v>
      </c>
      <c r="L239" s="12">
        <f t="shared" si="146"/>
        <v>0</v>
      </c>
      <c r="M239" s="12">
        <f t="shared" si="146"/>
        <v>0</v>
      </c>
      <c r="N239" s="12">
        <f t="shared" si="146"/>
        <v>0</v>
      </c>
      <c r="O239" s="12">
        <f t="shared" si="146"/>
        <v>0</v>
      </c>
      <c r="P239" s="12">
        <f t="shared" si="146"/>
        <v>0</v>
      </c>
      <c r="Q239" s="12">
        <f t="shared" si="146"/>
        <v>0</v>
      </c>
    </row>
    <row r="240" spans="7:17">
      <c r="G240" s="12">
        <f t="shared" si="126"/>
        <v>0</v>
      </c>
      <c r="H240" s="12">
        <f t="shared" ref="H240:Q240" si="147">IF($E89&gt;H$66,0,IF($E89&lt;H$66-365,$D89,0))</f>
        <v>0</v>
      </c>
      <c r="I240" s="12">
        <f t="shared" si="147"/>
        <v>0</v>
      </c>
      <c r="J240" s="12">
        <f t="shared" si="147"/>
        <v>0</v>
      </c>
      <c r="K240" s="12">
        <f t="shared" si="147"/>
        <v>0</v>
      </c>
      <c r="L240" s="12">
        <f t="shared" si="147"/>
        <v>0</v>
      </c>
      <c r="M240" s="12">
        <f t="shared" si="147"/>
        <v>0</v>
      </c>
      <c r="N240" s="12">
        <f t="shared" si="147"/>
        <v>0</v>
      </c>
      <c r="O240" s="12">
        <f t="shared" si="147"/>
        <v>0</v>
      </c>
      <c r="P240" s="12">
        <f t="shared" si="147"/>
        <v>0</v>
      </c>
      <c r="Q240" s="12">
        <f t="shared" si="147"/>
        <v>0</v>
      </c>
    </row>
    <row r="241" spans="7:17">
      <c r="G241" s="12">
        <f t="shared" si="126"/>
        <v>0</v>
      </c>
      <c r="H241" s="12">
        <f t="shared" ref="H241:Q241" si="148">IF($E90&gt;H$66,0,IF($E90&lt;H$66-365,$D90,0))</f>
        <v>0</v>
      </c>
      <c r="I241" s="12">
        <f t="shared" si="148"/>
        <v>0</v>
      </c>
      <c r="J241" s="12">
        <f t="shared" si="148"/>
        <v>0</v>
      </c>
      <c r="K241" s="12">
        <f t="shared" si="148"/>
        <v>0</v>
      </c>
      <c r="L241" s="12">
        <f t="shared" si="148"/>
        <v>0</v>
      </c>
      <c r="M241" s="12">
        <f t="shared" si="148"/>
        <v>0</v>
      </c>
      <c r="N241" s="12">
        <f t="shared" si="148"/>
        <v>0</v>
      </c>
      <c r="O241" s="12">
        <f t="shared" si="148"/>
        <v>0</v>
      </c>
      <c r="P241" s="12">
        <f t="shared" si="148"/>
        <v>0</v>
      </c>
      <c r="Q241" s="12">
        <f t="shared" si="148"/>
        <v>0</v>
      </c>
    </row>
    <row r="242" spans="7:17">
      <c r="G242" s="12">
        <f t="shared" si="126"/>
        <v>0</v>
      </c>
      <c r="H242" s="12">
        <f t="shared" ref="H242:Q242" si="149">IF($E91&gt;H$66,0,IF($E91&lt;H$66-365,$D91,0))</f>
        <v>0</v>
      </c>
      <c r="I242" s="12">
        <f t="shared" si="149"/>
        <v>0</v>
      </c>
      <c r="J242" s="12">
        <f t="shared" si="149"/>
        <v>0</v>
      </c>
      <c r="K242" s="12">
        <f t="shared" si="149"/>
        <v>0</v>
      </c>
      <c r="L242" s="12">
        <f t="shared" si="149"/>
        <v>0</v>
      </c>
      <c r="M242" s="12">
        <f t="shared" si="149"/>
        <v>0</v>
      </c>
      <c r="N242" s="12">
        <f t="shared" si="149"/>
        <v>0</v>
      </c>
      <c r="O242" s="12">
        <f t="shared" si="149"/>
        <v>0</v>
      </c>
      <c r="P242" s="12">
        <f t="shared" si="149"/>
        <v>0</v>
      </c>
      <c r="Q242" s="12">
        <f t="shared" si="149"/>
        <v>0</v>
      </c>
    </row>
    <row r="243" spans="7:17">
      <c r="G243" s="12">
        <f t="shared" si="126"/>
        <v>0</v>
      </c>
      <c r="H243" s="12">
        <f t="shared" ref="H243:Q243" si="150">IF($E92&gt;H$66,0,IF($E92&lt;H$66-365,$D92,0))</f>
        <v>0</v>
      </c>
      <c r="I243" s="12">
        <f t="shared" si="150"/>
        <v>0</v>
      </c>
      <c r="J243" s="12">
        <f t="shared" si="150"/>
        <v>0</v>
      </c>
      <c r="K243" s="12">
        <f t="shared" si="150"/>
        <v>0</v>
      </c>
      <c r="L243" s="12">
        <f t="shared" si="150"/>
        <v>0</v>
      </c>
      <c r="M243" s="12">
        <f t="shared" si="150"/>
        <v>0</v>
      </c>
      <c r="N243" s="12">
        <f t="shared" si="150"/>
        <v>0</v>
      </c>
      <c r="O243" s="12">
        <f t="shared" si="150"/>
        <v>0</v>
      </c>
      <c r="P243" s="12">
        <f t="shared" si="150"/>
        <v>0</v>
      </c>
      <c r="Q243" s="12">
        <f t="shared" si="150"/>
        <v>0</v>
      </c>
    </row>
    <row r="244" spans="7:17">
      <c r="G244" s="12">
        <f t="shared" si="126"/>
        <v>0</v>
      </c>
      <c r="H244" s="12">
        <f t="shared" ref="H244:Q244" si="151">IF($E93&gt;H$66,0,IF($E93&lt;H$66-365,$D93,0))</f>
        <v>0</v>
      </c>
      <c r="I244" s="12">
        <f t="shared" si="151"/>
        <v>0</v>
      </c>
      <c r="J244" s="12">
        <f t="shared" si="151"/>
        <v>0</v>
      </c>
      <c r="K244" s="12">
        <f t="shared" si="151"/>
        <v>0</v>
      </c>
      <c r="L244" s="12">
        <f t="shared" si="151"/>
        <v>0</v>
      </c>
      <c r="M244" s="12">
        <f t="shared" si="151"/>
        <v>0</v>
      </c>
      <c r="N244" s="12">
        <f t="shared" si="151"/>
        <v>0</v>
      </c>
      <c r="O244" s="12">
        <f t="shared" si="151"/>
        <v>0</v>
      </c>
      <c r="P244" s="12">
        <f t="shared" si="151"/>
        <v>0</v>
      </c>
      <c r="Q244" s="12">
        <f t="shared" si="151"/>
        <v>0</v>
      </c>
    </row>
    <row r="245" spans="7:17">
      <c r="G245" s="12">
        <f t="shared" si="126"/>
        <v>0</v>
      </c>
      <c r="H245" s="12">
        <f t="shared" ref="H245:Q245" si="152">IF($E94&gt;H$66,0,IF($E94&lt;H$66-365,$D94,0))</f>
        <v>0</v>
      </c>
      <c r="I245" s="12">
        <f t="shared" si="152"/>
        <v>0</v>
      </c>
      <c r="J245" s="12">
        <f t="shared" si="152"/>
        <v>0</v>
      </c>
      <c r="K245" s="12">
        <f t="shared" si="152"/>
        <v>0</v>
      </c>
      <c r="L245" s="12">
        <f t="shared" si="152"/>
        <v>0</v>
      </c>
      <c r="M245" s="12">
        <f t="shared" si="152"/>
        <v>0</v>
      </c>
      <c r="N245" s="12">
        <f t="shared" si="152"/>
        <v>0</v>
      </c>
      <c r="O245" s="12">
        <f t="shared" si="152"/>
        <v>0</v>
      </c>
      <c r="P245" s="12">
        <f t="shared" si="152"/>
        <v>0</v>
      </c>
      <c r="Q245" s="12">
        <f t="shared" si="152"/>
        <v>0</v>
      </c>
    </row>
    <row r="246" spans="7:17">
      <c r="G246" s="12">
        <f t="shared" si="126"/>
        <v>0</v>
      </c>
      <c r="H246" s="12">
        <f t="shared" ref="H246:Q246" si="153">IF($E95&gt;H$66,0,IF($E95&lt;H$66-365,$D95,0))</f>
        <v>0</v>
      </c>
      <c r="I246" s="12">
        <f t="shared" si="153"/>
        <v>0</v>
      </c>
      <c r="J246" s="12">
        <f t="shared" si="153"/>
        <v>0</v>
      </c>
      <c r="K246" s="12">
        <f t="shared" si="153"/>
        <v>0</v>
      </c>
      <c r="L246" s="12">
        <f t="shared" si="153"/>
        <v>0</v>
      </c>
      <c r="M246" s="12">
        <f t="shared" si="153"/>
        <v>0</v>
      </c>
      <c r="N246" s="12">
        <f t="shared" si="153"/>
        <v>0</v>
      </c>
      <c r="O246" s="12">
        <f t="shared" si="153"/>
        <v>0</v>
      </c>
      <c r="P246" s="12">
        <f t="shared" si="153"/>
        <v>0</v>
      </c>
      <c r="Q246" s="12">
        <f t="shared" si="153"/>
        <v>0</v>
      </c>
    </row>
    <row r="247" spans="7:17">
      <c r="G247" s="12">
        <f t="shared" si="126"/>
        <v>0</v>
      </c>
      <c r="H247" s="12">
        <f t="shared" ref="H247:Q247" si="154">IF($E96&gt;H$66,0,IF($E96&lt;H$66-365,$D96,0))</f>
        <v>0</v>
      </c>
      <c r="I247" s="12">
        <f t="shared" si="154"/>
        <v>0</v>
      </c>
      <c r="J247" s="12">
        <f t="shared" si="154"/>
        <v>0</v>
      </c>
      <c r="K247" s="12">
        <f t="shared" si="154"/>
        <v>0</v>
      </c>
      <c r="L247" s="12">
        <f t="shared" si="154"/>
        <v>0</v>
      </c>
      <c r="M247" s="12">
        <f t="shared" si="154"/>
        <v>0</v>
      </c>
      <c r="N247" s="12">
        <f t="shared" si="154"/>
        <v>0</v>
      </c>
      <c r="O247" s="12">
        <f t="shared" si="154"/>
        <v>0</v>
      </c>
      <c r="P247" s="12">
        <f t="shared" si="154"/>
        <v>0</v>
      </c>
      <c r="Q247" s="12">
        <f t="shared" si="154"/>
        <v>0</v>
      </c>
    </row>
    <row r="248" spans="7:17">
      <c r="G248" s="12">
        <f t="shared" si="126"/>
        <v>0</v>
      </c>
      <c r="H248" s="12">
        <f t="shared" ref="H248:Q248" si="155">IF($E97&gt;H$66,0,IF($E97&lt;H$66-365,$D97,0))</f>
        <v>0</v>
      </c>
      <c r="I248" s="12">
        <f t="shared" si="155"/>
        <v>0</v>
      </c>
      <c r="J248" s="12">
        <f t="shared" si="155"/>
        <v>0</v>
      </c>
      <c r="K248" s="12">
        <f t="shared" si="155"/>
        <v>0</v>
      </c>
      <c r="L248" s="12">
        <f t="shared" si="155"/>
        <v>0</v>
      </c>
      <c r="M248" s="12">
        <f t="shared" si="155"/>
        <v>0</v>
      </c>
      <c r="N248" s="12">
        <f t="shared" si="155"/>
        <v>0</v>
      </c>
      <c r="O248" s="12">
        <f t="shared" si="155"/>
        <v>0</v>
      </c>
      <c r="P248" s="12">
        <f t="shared" si="155"/>
        <v>0</v>
      </c>
      <c r="Q248" s="12">
        <f t="shared" si="155"/>
        <v>0</v>
      </c>
    </row>
    <row r="249" spans="7:17">
      <c r="G249" s="12">
        <f t="shared" si="126"/>
        <v>0</v>
      </c>
      <c r="H249" s="12">
        <f t="shared" ref="H249:Q249" si="156">IF($E98&gt;H$66,0,IF($E98&lt;H$66-365,$D98,0))</f>
        <v>0</v>
      </c>
      <c r="I249" s="12">
        <f t="shared" si="156"/>
        <v>0</v>
      </c>
      <c r="J249" s="12">
        <f t="shared" si="156"/>
        <v>0</v>
      </c>
      <c r="K249" s="12">
        <f t="shared" si="156"/>
        <v>0</v>
      </c>
      <c r="L249" s="12">
        <f t="shared" si="156"/>
        <v>0</v>
      </c>
      <c r="M249" s="12">
        <f t="shared" si="156"/>
        <v>0</v>
      </c>
      <c r="N249" s="12">
        <f t="shared" si="156"/>
        <v>0</v>
      </c>
      <c r="O249" s="12">
        <f t="shared" si="156"/>
        <v>0</v>
      </c>
      <c r="P249" s="12">
        <f t="shared" si="156"/>
        <v>0</v>
      </c>
      <c r="Q249" s="12">
        <f t="shared" si="156"/>
        <v>0</v>
      </c>
    </row>
    <row r="250" spans="7:17">
      <c r="G250" s="12">
        <f t="shared" si="126"/>
        <v>0</v>
      </c>
      <c r="H250" s="12">
        <f t="shared" ref="H250:Q250" si="157">IF($E99&gt;H$66,0,IF($E99&lt;H$66-365,$D99,0))</f>
        <v>0</v>
      </c>
      <c r="I250" s="12">
        <f t="shared" si="157"/>
        <v>0</v>
      </c>
      <c r="J250" s="12">
        <f t="shared" si="157"/>
        <v>0</v>
      </c>
      <c r="K250" s="12">
        <f t="shared" si="157"/>
        <v>0</v>
      </c>
      <c r="L250" s="12">
        <f t="shared" si="157"/>
        <v>0</v>
      </c>
      <c r="M250" s="12">
        <f t="shared" si="157"/>
        <v>0</v>
      </c>
      <c r="N250" s="12">
        <f t="shared" si="157"/>
        <v>0</v>
      </c>
      <c r="O250" s="12">
        <f t="shared" si="157"/>
        <v>0</v>
      </c>
      <c r="P250" s="12">
        <f t="shared" si="157"/>
        <v>0</v>
      </c>
      <c r="Q250" s="12">
        <f t="shared" si="157"/>
        <v>0</v>
      </c>
    </row>
    <row r="251" spans="7:17">
      <c r="G251" s="12">
        <f t="shared" si="126"/>
        <v>0</v>
      </c>
      <c r="H251" s="12">
        <f t="shared" ref="H251:Q251" si="158">IF($E100&gt;H$66,0,IF($E100&lt;H$66-365,$D100,0))</f>
        <v>0</v>
      </c>
      <c r="I251" s="12">
        <f t="shared" si="158"/>
        <v>0</v>
      </c>
      <c r="J251" s="12">
        <f t="shared" si="158"/>
        <v>0</v>
      </c>
      <c r="K251" s="12">
        <f t="shared" si="158"/>
        <v>0</v>
      </c>
      <c r="L251" s="12">
        <f t="shared" si="158"/>
        <v>0</v>
      </c>
      <c r="M251" s="12">
        <f t="shared" si="158"/>
        <v>0</v>
      </c>
      <c r="N251" s="12">
        <f t="shared" si="158"/>
        <v>0</v>
      </c>
      <c r="O251" s="12">
        <f t="shared" si="158"/>
        <v>0</v>
      </c>
      <c r="P251" s="12">
        <f t="shared" si="158"/>
        <v>0</v>
      </c>
      <c r="Q251" s="12">
        <f t="shared" si="158"/>
        <v>0</v>
      </c>
    </row>
    <row r="252" spans="7:17">
      <c r="G252" s="12">
        <f t="shared" si="126"/>
        <v>0</v>
      </c>
      <c r="H252" s="12">
        <f t="shared" ref="H252:Q252" si="159">IF($E101&gt;H$66,0,IF($E101&lt;H$66-365,$D101,0))</f>
        <v>0</v>
      </c>
      <c r="I252" s="12">
        <f t="shared" si="159"/>
        <v>0</v>
      </c>
      <c r="J252" s="12">
        <f t="shared" si="159"/>
        <v>0</v>
      </c>
      <c r="K252" s="12">
        <f t="shared" si="159"/>
        <v>0</v>
      </c>
      <c r="L252" s="12">
        <f t="shared" si="159"/>
        <v>0</v>
      </c>
      <c r="M252" s="12">
        <f t="shared" si="159"/>
        <v>0</v>
      </c>
      <c r="N252" s="12">
        <f t="shared" si="159"/>
        <v>0</v>
      </c>
      <c r="O252" s="12">
        <f t="shared" si="159"/>
        <v>0</v>
      </c>
      <c r="P252" s="12">
        <f t="shared" si="159"/>
        <v>0</v>
      </c>
      <c r="Q252" s="12">
        <f t="shared" si="159"/>
        <v>0</v>
      </c>
    </row>
    <row r="253" spans="7:17">
      <c r="G253" s="12">
        <f t="shared" si="126"/>
        <v>0</v>
      </c>
      <c r="H253" s="12">
        <f t="shared" ref="H253:Q253" si="160">IF($E102&gt;H$66,0,IF($E102&lt;H$66-365,$D102,0))</f>
        <v>0</v>
      </c>
      <c r="I253" s="12">
        <f t="shared" si="160"/>
        <v>0</v>
      </c>
      <c r="J253" s="12">
        <f t="shared" si="160"/>
        <v>0</v>
      </c>
      <c r="K253" s="12">
        <f t="shared" si="160"/>
        <v>0</v>
      </c>
      <c r="L253" s="12">
        <f t="shared" si="160"/>
        <v>0</v>
      </c>
      <c r="M253" s="12">
        <f t="shared" si="160"/>
        <v>0</v>
      </c>
      <c r="N253" s="12">
        <f t="shared" si="160"/>
        <v>0</v>
      </c>
      <c r="O253" s="12">
        <f t="shared" si="160"/>
        <v>0</v>
      </c>
      <c r="P253" s="12">
        <f t="shared" si="160"/>
        <v>0</v>
      </c>
      <c r="Q253" s="12">
        <f t="shared" si="160"/>
        <v>0</v>
      </c>
    </row>
    <row r="254" spans="7:17">
      <c r="G254" s="12">
        <f t="shared" si="126"/>
        <v>0</v>
      </c>
      <c r="H254" s="12">
        <f t="shared" ref="H254:Q254" si="161">IF($E103&gt;H$66,0,IF($E103&lt;H$66-365,$D103,0))</f>
        <v>0</v>
      </c>
      <c r="I254" s="12">
        <f t="shared" si="161"/>
        <v>0</v>
      </c>
      <c r="J254" s="12">
        <f t="shared" si="161"/>
        <v>0</v>
      </c>
      <c r="K254" s="12">
        <f t="shared" si="161"/>
        <v>0</v>
      </c>
      <c r="L254" s="12">
        <f t="shared" si="161"/>
        <v>0</v>
      </c>
      <c r="M254" s="12">
        <f t="shared" si="161"/>
        <v>0</v>
      </c>
      <c r="N254" s="12">
        <f t="shared" si="161"/>
        <v>0</v>
      </c>
      <c r="O254" s="12">
        <f t="shared" si="161"/>
        <v>0</v>
      </c>
      <c r="P254" s="12">
        <f t="shared" si="161"/>
        <v>0</v>
      </c>
      <c r="Q254" s="12">
        <f t="shared" si="161"/>
        <v>0</v>
      </c>
    </row>
    <row r="255" spans="7:17">
      <c r="G255" s="12">
        <f t="shared" si="126"/>
        <v>0</v>
      </c>
      <c r="H255" s="12">
        <f t="shared" ref="H255:Q255" si="162">IF($E104&gt;H$66,0,IF($E104&lt;H$66-365,$D104,0))</f>
        <v>0</v>
      </c>
      <c r="I255" s="12">
        <f t="shared" si="162"/>
        <v>0</v>
      </c>
      <c r="J255" s="12">
        <f t="shared" si="162"/>
        <v>0</v>
      </c>
      <c r="K255" s="12">
        <f t="shared" si="162"/>
        <v>0</v>
      </c>
      <c r="L255" s="12">
        <f t="shared" si="162"/>
        <v>0</v>
      </c>
      <c r="M255" s="12">
        <f t="shared" si="162"/>
        <v>0</v>
      </c>
      <c r="N255" s="12">
        <f t="shared" si="162"/>
        <v>0</v>
      </c>
      <c r="O255" s="12">
        <f t="shared" si="162"/>
        <v>0</v>
      </c>
      <c r="P255" s="12">
        <f t="shared" si="162"/>
        <v>0</v>
      </c>
      <c r="Q255" s="12">
        <f t="shared" si="162"/>
        <v>0</v>
      </c>
    </row>
    <row r="256" spans="7:17">
      <c r="G256" s="12">
        <f t="shared" si="126"/>
        <v>0</v>
      </c>
      <c r="H256" s="12">
        <f t="shared" ref="H256:Q256" si="163">IF($E105&gt;H$66,0,IF($E105&lt;H$66-365,$D105,0))</f>
        <v>0</v>
      </c>
      <c r="I256" s="12">
        <f t="shared" si="163"/>
        <v>0</v>
      </c>
      <c r="J256" s="12">
        <f t="shared" si="163"/>
        <v>0</v>
      </c>
      <c r="K256" s="12">
        <f t="shared" si="163"/>
        <v>0</v>
      </c>
      <c r="L256" s="12">
        <f t="shared" si="163"/>
        <v>0</v>
      </c>
      <c r="M256" s="12">
        <f t="shared" si="163"/>
        <v>0</v>
      </c>
      <c r="N256" s="12">
        <f t="shared" si="163"/>
        <v>0</v>
      </c>
      <c r="O256" s="12">
        <f t="shared" si="163"/>
        <v>0</v>
      </c>
      <c r="P256" s="12">
        <f t="shared" si="163"/>
        <v>0</v>
      </c>
      <c r="Q256" s="12">
        <f t="shared" si="163"/>
        <v>0</v>
      </c>
    </row>
    <row r="257" spans="5:18">
      <c r="G257" s="12">
        <f t="shared" si="126"/>
        <v>0</v>
      </c>
      <c r="H257" s="12">
        <f t="shared" ref="H257:Q257" si="164">IF($E106&gt;H$66,0,IF($E106&lt;H$66-365,$D106,0))</f>
        <v>0</v>
      </c>
      <c r="I257" s="12">
        <f t="shared" si="164"/>
        <v>0</v>
      </c>
      <c r="J257" s="12">
        <f t="shared" si="164"/>
        <v>0</v>
      </c>
      <c r="K257" s="12">
        <f t="shared" si="164"/>
        <v>0</v>
      </c>
      <c r="L257" s="12">
        <f t="shared" si="164"/>
        <v>0</v>
      </c>
      <c r="M257" s="12">
        <f t="shared" si="164"/>
        <v>0</v>
      </c>
      <c r="N257" s="12">
        <f t="shared" si="164"/>
        <v>0</v>
      </c>
      <c r="O257" s="12">
        <f t="shared" si="164"/>
        <v>0</v>
      </c>
      <c r="P257" s="12">
        <f t="shared" si="164"/>
        <v>0</v>
      </c>
      <c r="Q257" s="12">
        <f t="shared" si="164"/>
        <v>0</v>
      </c>
    </row>
    <row r="258" spans="5:18">
      <c r="G258" s="12">
        <f t="shared" si="126"/>
        <v>0</v>
      </c>
      <c r="H258" s="12">
        <f t="shared" ref="H258:Q258" si="165">IF($E107&gt;H$66,0,IF($E107&lt;H$66-365,$D107,0))</f>
        <v>0</v>
      </c>
      <c r="I258" s="12">
        <f t="shared" si="165"/>
        <v>0</v>
      </c>
      <c r="J258" s="12">
        <f t="shared" si="165"/>
        <v>0</v>
      </c>
      <c r="K258" s="12">
        <f t="shared" si="165"/>
        <v>0</v>
      </c>
      <c r="L258" s="12">
        <f t="shared" si="165"/>
        <v>0</v>
      </c>
      <c r="M258" s="12">
        <f t="shared" si="165"/>
        <v>0</v>
      </c>
      <c r="N258" s="12">
        <f t="shared" si="165"/>
        <v>0</v>
      </c>
      <c r="O258" s="12">
        <f t="shared" si="165"/>
        <v>0</v>
      </c>
      <c r="P258" s="12">
        <f t="shared" si="165"/>
        <v>0</v>
      </c>
      <c r="Q258" s="12">
        <f t="shared" si="165"/>
        <v>0</v>
      </c>
    </row>
    <row r="259" spans="5:18">
      <c r="G259" s="12">
        <f t="shared" si="126"/>
        <v>0</v>
      </c>
      <c r="H259" s="12">
        <f t="shared" ref="H259:Q259" si="166">IF($E108&gt;H$66,0,IF($E108&lt;H$66-365,$D108,0))</f>
        <v>0</v>
      </c>
      <c r="I259" s="12">
        <f t="shared" si="166"/>
        <v>0</v>
      </c>
      <c r="J259" s="12">
        <f t="shared" si="166"/>
        <v>0</v>
      </c>
      <c r="K259" s="12">
        <f t="shared" si="166"/>
        <v>0</v>
      </c>
      <c r="L259" s="12">
        <f t="shared" si="166"/>
        <v>0</v>
      </c>
      <c r="M259" s="12">
        <f t="shared" si="166"/>
        <v>0</v>
      </c>
      <c r="N259" s="12">
        <f t="shared" si="166"/>
        <v>0</v>
      </c>
      <c r="O259" s="12">
        <f t="shared" si="166"/>
        <v>0</v>
      </c>
      <c r="P259" s="12">
        <f t="shared" si="166"/>
        <v>0</v>
      </c>
      <c r="Q259" s="12">
        <f t="shared" si="166"/>
        <v>0</v>
      </c>
    </row>
    <row r="260" spans="5:18">
      <c r="G260" s="12">
        <f t="shared" si="126"/>
        <v>0</v>
      </c>
      <c r="H260" s="12">
        <f t="shared" ref="H260:Q260" si="167">IF($E109&gt;H$66,0,IF($E109&lt;H$66-365,$D109,0))</f>
        <v>0</v>
      </c>
      <c r="I260" s="12">
        <f t="shared" si="167"/>
        <v>0</v>
      </c>
      <c r="J260" s="12">
        <f t="shared" si="167"/>
        <v>0</v>
      </c>
      <c r="K260" s="12">
        <f t="shared" si="167"/>
        <v>0</v>
      </c>
      <c r="L260" s="12">
        <f t="shared" si="167"/>
        <v>0</v>
      </c>
      <c r="M260" s="12">
        <f t="shared" si="167"/>
        <v>0</v>
      </c>
      <c r="N260" s="12">
        <f t="shared" si="167"/>
        <v>0</v>
      </c>
      <c r="O260" s="12">
        <f t="shared" si="167"/>
        <v>0</v>
      </c>
      <c r="P260" s="12">
        <f t="shared" si="167"/>
        <v>0</v>
      </c>
      <c r="Q260" s="12">
        <f t="shared" si="167"/>
        <v>0</v>
      </c>
    </row>
    <row r="261" spans="5:18">
      <c r="G261" s="12">
        <f t="shared" si="126"/>
        <v>0</v>
      </c>
      <c r="H261" s="12">
        <f t="shared" ref="H261:Q261" si="168">IF($E110&gt;H$66,0,IF($E110&lt;H$66-365,$D110,0))</f>
        <v>0</v>
      </c>
      <c r="I261" s="12">
        <f t="shared" si="168"/>
        <v>0</v>
      </c>
      <c r="J261" s="12">
        <f t="shared" si="168"/>
        <v>0</v>
      </c>
      <c r="K261" s="12">
        <f t="shared" si="168"/>
        <v>0</v>
      </c>
      <c r="L261" s="12">
        <f t="shared" si="168"/>
        <v>0</v>
      </c>
      <c r="M261" s="12">
        <f t="shared" si="168"/>
        <v>0</v>
      </c>
      <c r="N261" s="12">
        <f t="shared" si="168"/>
        <v>0</v>
      </c>
      <c r="O261" s="12">
        <f t="shared" si="168"/>
        <v>0</v>
      </c>
      <c r="P261" s="12">
        <f t="shared" si="168"/>
        <v>0</v>
      </c>
      <c r="Q261" s="12">
        <f t="shared" si="168"/>
        <v>0</v>
      </c>
    </row>
    <row r="262" spans="5:18">
      <c r="G262" s="12">
        <f t="shared" si="126"/>
        <v>0</v>
      </c>
      <c r="H262" s="12">
        <f t="shared" ref="H262:Q262" si="169">IF($E111&gt;H$66,0,IF($E111&lt;H$66-365,$D111,0))</f>
        <v>0</v>
      </c>
      <c r="I262" s="12">
        <f t="shared" si="169"/>
        <v>0</v>
      </c>
      <c r="J262" s="12">
        <f t="shared" si="169"/>
        <v>0</v>
      </c>
      <c r="K262" s="12">
        <f t="shared" si="169"/>
        <v>0</v>
      </c>
      <c r="L262" s="12">
        <f t="shared" si="169"/>
        <v>0</v>
      </c>
      <c r="M262" s="12">
        <f t="shared" si="169"/>
        <v>0</v>
      </c>
      <c r="N262" s="12">
        <f t="shared" si="169"/>
        <v>0</v>
      </c>
      <c r="O262" s="12">
        <f t="shared" si="169"/>
        <v>0</v>
      </c>
      <c r="P262" s="12">
        <f t="shared" si="169"/>
        <v>0</v>
      </c>
      <c r="Q262" s="12">
        <f t="shared" si="169"/>
        <v>0</v>
      </c>
    </row>
    <row r="263" spans="5:18">
      <c r="G263" s="12">
        <f t="shared" si="126"/>
        <v>0</v>
      </c>
      <c r="H263" s="12">
        <f t="shared" ref="H263:Q263" si="170">IF($E112&gt;H$66,0,IF($E112&lt;H$66-365,$D112,0))</f>
        <v>0</v>
      </c>
      <c r="I263" s="12">
        <f t="shared" si="170"/>
        <v>0</v>
      </c>
      <c r="J263" s="12">
        <f t="shared" si="170"/>
        <v>0</v>
      </c>
      <c r="K263" s="12">
        <f t="shared" si="170"/>
        <v>0</v>
      </c>
      <c r="L263" s="12">
        <f t="shared" si="170"/>
        <v>0</v>
      </c>
      <c r="M263" s="12">
        <f t="shared" si="170"/>
        <v>0</v>
      </c>
      <c r="N263" s="12">
        <f t="shared" si="170"/>
        <v>0</v>
      </c>
      <c r="O263" s="12">
        <f t="shared" si="170"/>
        <v>0</v>
      </c>
      <c r="P263" s="12">
        <f t="shared" si="170"/>
        <v>0</v>
      </c>
      <c r="Q263" s="12">
        <f t="shared" si="170"/>
        <v>0</v>
      </c>
    </row>
    <row r="264" spans="5:18">
      <c r="G264" s="12">
        <f t="shared" si="126"/>
        <v>0</v>
      </c>
      <c r="H264" s="12">
        <f t="shared" ref="H264:Q264" si="171">IF($E113&gt;H$66,0,IF($E113&lt;H$66-365,$D113,0))</f>
        <v>0</v>
      </c>
      <c r="I264" s="12">
        <f t="shared" si="171"/>
        <v>0</v>
      </c>
      <c r="J264" s="12">
        <f t="shared" si="171"/>
        <v>0</v>
      </c>
      <c r="K264" s="12">
        <f t="shared" si="171"/>
        <v>0</v>
      </c>
      <c r="L264" s="12">
        <f t="shared" si="171"/>
        <v>0</v>
      </c>
      <c r="M264" s="12">
        <f t="shared" si="171"/>
        <v>0</v>
      </c>
      <c r="N264" s="12">
        <f t="shared" si="171"/>
        <v>0</v>
      </c>
      <c r="O264" s="12">
        <f t="shared" si="171"/>
        <v>0</v>
      </c>
      <c r="P264" s="12">
        <f t="shared" si="171"/>
        <v>0</v>
      </c>
      <c r="Q264" s="12">
        <f t="shared" si="171"/>
        <v>0</v>
      </c>
    </row>
    <row r="265" spans="5:18">
      <c r="G265" s="12">
        <f t="shared" si="126"/>
        <v>0</v>
      </c>
      <c r="H265" s="12">
        <f t="shared" ref="H265:Q265" si="172">IF($E114&gt;H$66,0,IF($E114&lt;H$66-365,$D114,0))</f>
        <v>0</v>
      </c>
      <c r="I265" s="12">
        <f t="shared" si="172"/>
        <v>0</v>
      </c>
      <c r="J265" s="12">
        <f t="shared" si="172"/>
        <v>0</v>
      </c>
      <c r="K265" s="12">
        <f t="shared" si="172"/>
        <v>0</v>
      </c>
      <c r="L265" s="12">
        <f t="shared" si="172"/>
        <v>0</v>
      </c>
      <c r="M265" s="12">
        <f t="shared" si="172"/>
        <v>0</v>
      </c>
      <c r="N265" s="12">
        <f t="shared" si="172"/>
        <v>0</v>
      </c>
      <c r="O265" s="12">
        <f t="shared" si="172"/>
        <v>0</v>
      </c>
      <c r="P265" s="12">
        <f t="shared" si="172"/>
        <v>0</v>
      </c>
      <c r="Q265" s="12">
        <f t="shared" si="172"/>
        <v>0</v>
      </c>
    </row>
    <row r="267" spans="5:18">
      <c r="F267" s="187" t="s">
        <v>493</v>
      </c>
      <c r="G267" s="187">
        <f>SUM(G220:G265)</f>
        <v>-145</v>
      </c>
      <c r="H267" s="187">
        <f t="shared" ref="H267:Q267" si="173">SUM(H220:H265)</f>
        <v>-145</v>
      </c>
      <c r="I267" s="187">
        <f t="shared" si="173"/>
        <v>-145</v>
      </c>
      <c r="J267" s="187">
        <f t="shared" si="173"/>
        <v>-145</v>
      </c>
      <c r="K267" s="187">
        <f t="shared" si="173"/>
        <v>-268</v>
      </c>
      <c r="L267" s="187">
        <f t="shared" si="173"/>
        <v>-268</v>
      </c>
      <c r="M267" s="187">
        <f t="shared" si="173"/>
        <v>-268</v>
      </c>
      <c r="N267" s="187">
        <f t="shared" si="173"/>
        <v>-391</v>
      </c>
      <c r="O267" s="187">
        <f t="shared" si="173"/>
        <v>-391</v>
      </c>
      <c r="P267" s="187">
        <f t="shared" si="173"/>
        <v>-391</v>
      </c>
      <c r="Q267" s="187">
        <f t="shared" si="173"/>
        <v>-391</v>
      </c>
      <c r="R267" s="187">
        <f t="shared" ref="R267" si="174">SUM(R220:R265)</f>
        <v>0</v>
      </c>
    </row>
    <row r="271" spans="5:18">
      <c r="F271" s="207" t="s">
        <v>486</v>
      </c>
      <c r="G271" s="206">
        <f>G66</f>
        <v>45473</v>
      </c>
      <c r="H271" s="206">
        <f t="shared" ref="H271:Q271" si="175">H66</f>
        <v>45838</v>
      </c>
      <c r="I271" s="206">
        <f t="shared" si="175"/>
        <v>46203</v>
      </c>
      <c r="J271" s="206">
        <f t="shared" si="175"/>
        <v>46568</v>
      </c>
      <c r="K271" s="206">
        <f t="shared" si="175"/>
        <v>46934</v>
      </c>
      <c r="L271" s="206">
        <f t="shared" si="175"/>
        <v>47299</v>
      </c>
      <c r="M271" s="206">
        <f t="shared" si="175"/>
        <v>47664</v>
      </c>
      <c r="N271" s="206">
        <f t="shared" si="175"/>
        <v>48029</v>
      </c>
      <c r="O271" s="206">
        <f t="shared" si="175"/>
        <v>48395</v>
      </c>
      <c r="P271" s="206">
        <f t="shared" si="175"/>
        <v>48760</v>
      </c>
      <c r="Q271" s="206">
        <f t="shared" si="175"/>
        <v>49125</v>
      </c>
      <c r="R271" s="206"/>
    </row>
    <row r="272" spans="5:18">
      <c r="E272" s="12" t="s">
        <v>399</v>
      </c>
      <c r="F272" s="348">
        <f t="shared" ref="F272:P272" si="176">Z216</f>
        <v>4.7257012393998696</v>
      </c>
      <c r="G272" s="348">
        <f t="shared" si="176"/>
        <v>4.7257012393998696</v>
      </c>
      <c r="H272" s="348">
        <f t="shared" si="176"/>
        <v>4.7003145304979235</v>
      </c>
      <c r="I272" s="348">
        <f t="shared" si="176"/>
        <v>4.7003145304979235</v>
      </c>
      <c r="J272" s="348">
        <f t="shared" si="176"/>
        <v>4.7308108394982238</v>
      </c>
      <c r="K272" s="348">
        <f t="shared" si="176"/>
        <v>4.7769146172882726</v>
      </c>
      <c r="L272" s="348">
        <f t="shared" si="176"/>
        <v>4.7769146172882726</v>
      </c>
      <c r="M272" s="348">
        <f t="shared" si="176"/>
        <v>4.7769146172882726</v>
      </c>
      <c r="N272" s="348">
        <f t="shared" si="176"/>
        <v>5.2621652446826381</v>
      </c>
      <c r="O272" s="348">
        <f t="shared" si="176"/>
        <v>5.2621652446826381</v>
      </c>
      <c r="P272" s="348">
        <f t="shared" si="176"/>
        <v>5.2621652446826381</v>
      </c>
      <c r="Q272" s="348">
        <f>AK216</f>
        <v>5.2621652446826381</v>
      </c>
      <c r="R272" s="205"/>
    </row>
  </sheetData>
  <sheetProtection formatCells="0" formatColumns="0" formatRows="0" selectLockedCells="1"/>
  <sortState xmlns:xlrd2="http://schemas.microsoft.com/office/spreadsheetml/2017/richdata2" ref="AQ177:AQ185">
    <sortCondition ref="AQ177:AQ185"/>
  </sortState>
  <customSheetViews>
    <customSheetView guid="{0FAFE012-8D9E-4ED0-86A4-A997E430971B}" scale="70" showGridLines="0" fitToPage="1" hiddenRows="1">
      <selection activeCell="A13" sqref="A13:P15"/>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5" priority="1" operator="lessThan">
      <formula>0</formula>
    </cfRule>
  </conditionalFormatting>
  <conditionalFormatting sqref="F46:Q47">
    <cfRule type="cellIs" dxfId="4" priority="3" operator="lessThan">
      <formula>0</formula>
    </cfRule>
  </conditionalFormatting>
  <conditionalFormatting sqref="F50:Q50">
    <cfRule type="cellIs" dxfId="3" priority="2" operator="lessThan">
      <formula>0</formula>
    </cfRule>
  </conditionalFormatting>
  <dataValidations count="3">
    <dataValidation type="list" allowBlank="1" showInputMessage="1" showErrorMessage="1" sqref="O114:Q114" xr:uid="{DC54A123-42EC-4E6F-8E85-DEF2B5884DE5}">
      <formula1>$BS$156:$BS$159</formula1>
    </dataValidation>
    <dataValidation type="list" allowBlank="1" showInputMessage="1" showErrorMessage="1" sqref="E114" xr:uid="{34FD9094-3450-4F89-9EC7-AECEC5E1CE2E}">
      <formula1>$BQ$155:$BQ$169</formula1>
    </dataValidation>
    <dataValidation type="list" allowBlank="1" showInputMessage="1" showErrorMessage="1" sqref="F141:G141" xr:uid="{CC6215F0-BAC2-42E1-8EE9-1BBCF46A1C49}">
      <formula1>"0.0 Stars,0.5 Stars,1.0 Stars,1.5 Stars,2.0 Stars,2.5 Stars,3.0 Stars,3.5 Stars,4.0 Stars,4.5 Stars,5.0 Stars,5.5 Stars,6.0 Stars,N/A"</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drawing r:id="rId3"/>
  <legacyDrawing r:id="rId4"/>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1322A-1AD6-47A3-8308-7D1A5E4CBC2F}">
  <sheetPr codeName="Sheet60">
    <tabColor rgb="FF7030A0"/>
    <pageSetUpPr fitToPage="1"/>
  </sheetPr>
  <dimension ref="A1:CJ272"/>
  <sheetViews>
    <sheetView showGridLines="0" zoomScale="70" zoomScaleNormal="70" workbookViewId="0">
      <selection activeCell="A3" sqref="A3"/>
    </sheetView>
  </sheetViews>
  <sheetFormatPr defaultColWidth="9.1796875" defaultRowHeight="12.5"/>
  <cols>
    <col min="1" max="1" width="14.81640625" style="12" customWidth="1"/>
    <col min="2" max="2" width="54" style="12" customWidth="1"/>
    <col min="3" max="4" width="17" style="12" customWidth="1"/>
    <col min="5" max="5" width="15.453125" style="12" customWidth="1"/>
    <col min="6" max="6" width="16.54296875" style="12" customWidth="1"/>
    <col min="7" max="16" width="18.1796875" style="12" customWidth="1"/>
    <col min="17" max="17" width="17.54296875" style="12" customWidth="1"/>
    <col min="18" max="21" width="24.81640625" style="12" customWidth="1"/>
    <col min="22" max="22" width="24.81640625" style="13" customWidth="1"/>
    <col min="23" max="23" width="24.81640625" style="20" customWidth="1"/>
    <col min="24" max="24" width="21.1796875" style="20" customWidth="1"/>
    <col min="25" max="27" width="13.54296875" style="20" customWidth="1"/>
    <col min="28" max="36" width="14.1796875" style="20" customWidth="1"/>
    <col min="37" max="37" width="12.54296875" style="20" customWidth="1"/>
    <col min="38" max="38" width="12" style="20" customWidth="1"/>
    <col min="39" max="39" width="12.7265625" style="20" bestFit="1" customWidth="1"/>
    <col min="40" max="40" width="11.26953125" style="20" customWidth="1"/>
    <col min="41" max="44" width="9.26953125" style="20" customWidth="1"/>
    <col min="45" max="47" width="9.26953125" style="20" bestFit="1" customWidth="1"/>
    <col min="48" max="48" width="9.1796875" style="20"/>
    <col min="49" max="52" width="9.26953125" style="20" bestFit="1" customWidth="1"/>
    <col min="53" max="56" width="9.1796875" style="20"/>
    <col min="57" max="57" width="10.1796875" style="20" bestFit="1" customWidth="1"/>
    <col min="58" max="67" width="12.54296875" style="20" customWidth="1"/>
    <col min="68" max="68" width="14" style="20" customWidth="1"/>
    <col min="69" max="70" width="9.26953125" style="20" bestFit="1" customWidth="1"/>
    <col min="71" max="71" width="21.1796875" style="20" customWidth="1"/>
    <col min="72" max="72" width="29.453125" style="20" bestFit="1" customWidth="1"/>
    <col min="73" max="73" width="21.1796875" style="20" bestFit="1" customWidth="1"/>
    <col min="74" max="74" width="8.26953125" style="20" bestFit="1" customWidth="1"/>
    <col min="75" max="75" width="9.1796875" style="12"/>
    <col min="76" max="76" width="31.26953125" style="12" bestFit="1" customWidth="1"/>
    <col min="77" max="77" width="13.81640625" style="12" bestFit="1" customWidth="1"/>
    <col min="78" max="78" width="6.1796875" style="12" bestFit="1" customWidth="1"/>
    <col min="79" max="16384" width="9.1796875" style="12"/>
  </cols>
  <sheetData>
    <row r="1" spans="1:21" s="7" customFormat="1" ht="53.25" customHeight="1">
      <c r="A1" s="1" t="s">
        <v>301</v>
      </c>
      <c r="B1" s="1"/>
      <c r="C1" s="2"/>
      <c r="D1" s="2"/>
      <c r="E1" s="3"/>
      <c r="F1" s="2"/>
      <c r="G1" s="4"/>
      <c r="H1" s="5"/>
      <c r="I1" s="6"/>
      <c r="J1" s="360"/>
      <c r="K1" s="360"/>
      <c r="L1" s="360"/>
      <c r="M1" s="360"/>
      <c r="N1" s="360"/>
      <c r="O1" s="357"/>
      <c r="P1" s="357"/>
      <c r="Q1" s="357"/>
      <c r="R1" s="357"/>
      <c r="S1" s="357"/>
      <c r="T1" s="8"/>
      <c r="U1" s="8"/>
    </row>
    <row r="2" spans="1:21" s="7" customFormat="1" ht="36.75" customHeight="1">
      <c r="A2" s="1" t="s">
        <v>95</v>
      </c>
      <c r="B2" s="1"/>
      <c r="C2" s="2"/>
      <c r="D2" s="2"/>
      <c r="E2" s="3"/>
      <c r="F2" s="2"/>
      <c r="G2" s="4"/>
      <c r="H2" s="4"/>
      <c r="J2" s="8"/>
      <c r="K2" s="8"/>
      <c r="L2" s="8"/>
      <c r="M2" s="8"/>
      <c r="N2" s="8"/>
      <c r="O2" s="8"/>
      <c r="P2" s="8"/>
      <c r="Q2" s="357"/>
      <c r="R2" s="366"/>
      <c r="S2" s="357"/>
      <c r="T2" s="8"/>
      <c r="U2" s="8"/>
    </row>
    <row r="3" spans="1:21" s="7" customFormat="1" ht="36.75" customHeight="1">
      <c r="A3" s="1"/>
      <c r="B3" s="1"/>
      <c r="C3" s="2"/>
      <c r="D3" s="2"/>
      <c r="E3" s="3"/>
      <c r="F3" s="2"/>
      <c r="G3" s="4"/>
      <c r="H3" s="4"/>
      <c r="J3" s="8"/>
      <c r="K3" s="8"/>
      <c r="L3" s="8"/>
      <c r="M3" s="8"/>
      <c r="N3" s="8"/>
      <c r="O3" s="8"/>
      <c r="P3" s="482" t="s">
        <v>302</v>
      </c>
      <c r="Q3" s="478"/>
      <c r="R3" s="366"/>
      <c r="S3" s="357"/>
      <c r="T3" s="8"/>
      <c r="U3" s="8"/>
    </row>
    <row r="4" spans="1:21" s="7" customFormat="1" ht="36.75" customHeight="1" thickBot="1">
      <c r="A4" s="9" t="s">
        <v>303</v>
      </c>
      <c r="B4" s="368"/>
      <c r="C4" s="2"/>
      <c r="D4" s="2"/>
      <c r="E4" s="3"/>
      <c r="F4" s="2"/>
      <c r="G4" s="4"/>
      <c r="H4" s="4"/>
      <c r="J4" s="8"/>
      <c r="K4" s="8"/>
      <c r="L4" s="8"/>
      <c r="M4" s="8"/>
      <c r="N4" s="8"/>
      <c r="O4" s="8"/>
      <c r="P4" s="8"/>
      <c r="Q4" s="357"/>
      <c r="R4" s="366"/>
      <c r="S4" s="357"/>
      <c r="T4" s="8"/>
      <c r="U4" s="8"/>
    </row>
    <row r="5" spans="1:21" s="7" customFormat="1" ht="36.75" customHeight="1" thickTop="1" thickBot="1">
      <c r="A5" s="184" t="s">
        <v>282</v>
      </c>
      <c r="B5" s="184" t="s">
        <v>304</v>
      </c>
      <c r="C5" s="200" t="s">
        <v>305</v>
      </c>
      <c r="D5" s="200" t="s">
        <v>306</v>
      </c>
      <c r="E5" s="200" t="s">
        <v>307</v>
      </c>
      <c r="F5" s="200" t="str">
        <f>F55</f>
        <v>BASE</v>
      </c>
      <c r="G5" s="200" t="str">
        <f t="shared" ref="G5:P5" si="0">G55</f>
        <v>CURRENT</v>
      </c>
      <c r="H5" s="200" t="str">
        <f t="shared" si="0"/>
        <v>FY25</v>
      </c>
      <c r="I5" s="200" t="str">
        <f t="shared" si="0"/>
        <v>FY26</v>
      </c>
      <c r="J5" s="200" t="str">
        <f t="shared" si="0"/>
        <v>FY27</v>
      </c>
      <c r="K5" s="200" t="str">
        <f t="shared" si="0"/>
        <v>FY28</v>
      </c>
      <c r="L5" s="200" t="str">
        <f t="shared" si="0"/>
        <v>FY29</v>
      </c>
      <c r="M5" s="200" t="str">
        <f t="shared" si="0"/>
        <v>FY30</v>
      </c>
      <c r="N5" s="200" t="str">
        <f t="shared" si="0"/>
        <v>FY31</v>
      </c>
      <c r="O5" s="200" t="str">
        <f t="shared" si="0"/>
        <v>FY32</v>
      </c>
      <c r="P5" s="200" t="str">
        <f t="shared" si="0"/>
        <v>FY33</v>
      </c>
      <c r="Q5" s="200" t="s">
        <v>308</v>
      </c>
      <c r="R5" s="366"/>
      <c r="S5" s="357"/>
      <c r="T5" s="8"/>
      <c r="U5" s="8"/>
    </row>
    <row r="6" spans="1:21" s="7" customFormat="1" ht="17.25" customHeight="1" thickTop="1">
      <c r="A6" s="368" t="str">
        <f>VLOOKUP($A$2,'Asset Attributes'!$B$3:$D$25,2,0)</f>
        <v>NSW3</v>
      </c>
      <c r="B6" s="368" t="s">
        <v>309</v>
      </c>
      <c r="C6" s="484" t="s">
        <v>310</v>
      </c>
      <c r="D6" s="485">
        <f>(VLOOKUP($A$2,Assumptions!$B$41:$C$63,2,0))/1000</f>
        <v>8.3475068718722734E-2</v>
      </c>
      <c r="E6" s="367" t="s">
        <v>311</v>
      </c>
      <c r="F6" s="517">
        <f>VLOOKUP($A$2,'Footprint Summary'!$B$4:$R$26,COLUMNS('Footprint Summary'!$B$4:F$26)+1,0)</f>
        <v>2372.8890000000001</v>
      </c>
      <c r="G6" s="517">
        <f>VLOOKUP($A$2,'Footprint Summary'!$B$4:$R$26,COLUMNS('Footprint Summary'!$B$4:G$26)+1,0)</f>
        <v>2372.8890000000001</v>
      </c>
      <c r="H6" s="517">
        <f>VLOOKUP($A$2,'Footprint Summary'!$B$4:$R$26,COLUMNS('Footprint Summary'!$B$4:H$26)+1,0)</f>
        <v>2372.8890000000001</v>
      </c>
      <c r="I6" s="517">
        <f>VLOOKUP($A$2,'Footprint Summary'!$B$4:$R$26,COLUMNS('Footprint Summary'!$B$4:I$26)+1,0)</f>
        <v>2372.8890000000001</v>
      </c>
      <c r="J6" s="517">
        <f>VLOOKUP($A$2,'Footprint Summary'!$B$4:$R$26,COLUMNS('Footprint Summary'!$B$4:J$26)+1,0)</f>
        <v>2372.8890000000001</v>
      </c>
      <c r="K6" s="517">
        <f>VLOOKUP($A$2,'Footprint Summary'!$B$4:$R$26,COLUMNS('Footprint Summary'!$B$4:K$26)+1,0)</f>
        <v>2372.8890000000001</v>
      </c>
      <c r="L6" s="517">
        <f>VLOOKUP($A$2,'Footprint Summary'!$B$4:$R$26,COLUMNS('Footprint Summary'!$B$4:L$26)+1,0)</f>
        <v>2372.8890000000001</v>
      </c>
      <c r="M6" s="517">
        <f>VLOOKUP($A$2,'Footprint Summary'!$B$4:$R$26,COLUMNS('Footprint Summary'!$B$4:M$26)+1,0)</f>
        <v>2372.8890000000001</v>
      </c>
      <c r="N6" s="517">
        <f>VLOOKUP($A$2,'Footprint Summary'!$B$4:$R$26,COLUMNS('Footprint Summary'!$B$4:N$26)+1,0)</f>
        <v>2372.8890000000001</v>
      </c>
      <c r="O6" s="517">
        <f>VLOOKUP($A$2,'Footprint Summary'!$B$4:$R$26,COLUMNS('Footprint Summary'!$B$4:O$26)+1,0)</f>
        <v>2372.8890000000001</v>
      </c>
      <c r="P6" s="517">
        <f>VLOOKUP($A$2,'Footprint Summary'!$B$4:$R$26,COLUMNS('Footprint Summary'!$B$4:P$26)+1,0)</f>
        <v>2372.8890000000001</v>
      </c>
      <c r="Q6" s="429">
        <f>(P6-F6)/F6</f>
        <v>0</v>
      </c>
      <c r="R6" s="366"/>
      <c r="S6" s="357"/>
      <c r="T6" s="8"/>
      <c r="U6" s="8"/>
    </row>
    <row r="7" spans="1:21" s="7" customFormat="1" ht="17.25" customHeight="1">
      <c r="A7" s="368" t="str">
        <f>VLOOKUP($A$2,'Asset Attributes'!$B$3:$D$25,2,0)</f>
        <v>NSW3</v>
      </c>
      <c r="B7" s="368" t="s">
        <v>312</v>
      </c>
      <c r="E7" s="367" t="s">
        <v>311</v>
      </c>
      <c r="F7" s="518">
        <f>F6-$F$6</f>
        <v>0</v>
      </c>
      <c r="G7" s="518">
        <f t="shared" ref="G7:P7" si="1">G6-$F$6</f>
        <v>0</v>
      </c>
      <c r="H7" s="518">
        <f t="shared" si="1"/>
        <v>0</v>
      </c>
      <c r="I7" s="518">
        <f t="shared" si="1"/>
        <v>0</v>
      </c>
      <c r="J7" s="518">
        <f t="shared" si="1"/>
        <v>0</v>
      </c>
      <c r="K7" s="518">
        <f t="shared" si="1"/>
        <v>0</v>
      </c>
      <c r="L7" s="518">
        <f t="shared" si="1"/>
        <v>0</v>
      </c>
      <c r="M7" s="518">
        <f t="shared" si="1"/>
        <v>0</v>
      </c>
      <c r="N7" s="518">
        <f t="shared" si="1"/>
        <v>0</v>
      </c>
      <c r="O7" s="518">
        <f t="shared" si="1"/>
        <v>0</v>
      </c>
      <c r="P7" s="518">
        <f t="shared" si="1"/>
        <v>0</v>
      </c>
      <c r="Q7" s="490">
        <f>SUM(F7:P7)</f>
        <v>0</v>
      </c>
      <c r="R7" s="366"/>
      <c r="S7" s="357"/>
      <c r="T7" s="8"/>
      <c r="U7" s="8"/>
    </row>
    <row r="8" spans="1:21" s="7" customFormat="1" ht="17.25" customHeight="1">
      <c r="A8" s="419" t="s">
        <v>284</v>
      </c>
      <c r="B8" s="368" t="s">
        <v>313</v>
      </c>
      <c r="C8" s="2"/>
      <c r="D8" s="486">
        <f>(VLOOKUP($A$2,Assumptions!$B$69:$C$91,2,0))</f>
        <v>21.960594677455386</v>
      </c>
      <c r="E8" s="422" t="s">
        <v>314</v>
      </c>
      <c r="F8" s="519">
        <f>VLOOKUP($A$2,'Footprint Summary'!$B$33:$R$55,COLUMNS('Footprint Summary'!$B$33:F$55)+1,0)</f>
        <v>3817</v>
      </c>
      <c r="G8" s="519">
        <f>VLOOKUP($A$2,'Footprint Summary'!$B$33:$R$55,COLUMNS('Footprint Summary'!$B$33:G$55)+1,0)</f>
        <v>3817</v>
      </c>
      <c r="H8" s="519">
        <f>VLOOKUP($A$2,'Footprint Summary'!$B$33:$R$55,COLUMNS('Footprint Summary'!$B$33:H$55)+1,0)</f>
        <v>3817</v>
      </c>
      <c r="I8" s="519">
        <f>VLOOKUP($A$2,'Footprint Summary'!$B$33:$R$55,COLUMNS('Footprint Summary'!$B$33:I$55)+1,0)</f>
        <v>3817</v>
      </c>
      <c r="J8" s="519">
        <f>VLOOKUP($A$2,'Footprint Summary'!$B$33:$R$55,COLUMNS('Footprint Summary'!$B$33:J$55)+1,0)</f>
        <v>3817</v>
      </c>
      <c r="K8" s="519">
        <f>VLOOKUP($A$2,'Footprint Summary'!$B$33:$R$55,COLUMNS('Footprint Summary'!$B$33:K$55)+1,0)</f>
        <v>3817</v>
      </c>
      <c r="L8" s="519">
        <f>VLOOKUP($A$2,'Footprint Summary'!$B$33:$R$55,COLUMNS('Footprint Summary'!$B$33:L$55)+1,0)</f>
        <v>3817</v>
      </c>
      <c r="M8" s="519">
        <f>VLOOKUP($A$2,'Footprint Summary'!$B$33:$R$55,COLUMNS('Footprint Summary'!$B$33:M$55)+1,0)</f>
        <v>3817</v>
      </c>
      <c r="N8" s="519">
        <f>VLOOKUP($A$2,'Footprint Summary'!$B$33:$R$55,COLUMNS('Footprint Summary'!$B$33:N$55)+1,0)</f>
        <v>3817</v>
      </c>
      <c r="O8" s="519">
        <f>VLOOKUP($A$2,'Footprint Summary'!$B$33:$R$55,COLUMNS('Footprint Summary'!$B$33:O$55)+1,0)</f>
        <v>3817</v>
      </c>
      <c r="P8" s="519">
        <f>VLOOKUP($A$2,'Footprint Summary'!$B$33:$R$55,COLUMNS('Footprint Summary'!$B$33:P$55)+1,0)</f>
        <v>3817</v>
      </c>
      <c r="Q8" s="429">
        <f>(P8-F8)/F8</f>
        <v>0</v>
      </c>
      <c r="R8" s="366"/>
      <c r="S8" s="357"/>
      <c r="T8" s="8"/>
      <c r="U8" s="8"/>
    </row>
    <row r="9" spans="1:21" s="7" customFormat="1" ht="17.25" customHeight="1">
      <c r="A9" s="419" t="s">
        <v>284</v>
      </c>
      <c r="B9" s="368" t="s">
        <v>315</v>
      </c>
      <c r="C9" s="2"/>
      <c r="D9" s="2"/>
      <c r="E9" s="422" t="s">
        <v>314</v>
      </c>
      <c r="F9" s="518">
        <f t="shared" ref="F9:P9" si="2">F8-$F$8</f>
        <v>0</v>
      </c>
      <c r="G9" s="518">
        <f t="shared" si="2"/>
        <v>0</v>
      </c>
      <c r="H9" s="518">
        <f t="shared" si="2"/>
        <v>0</v>
      </c>
      <c r="I9" s="518">
        <f t="shared" si="2"/>
        <v>0</v>
      </c>
      <c r="J9" s="518">
        <f t="shared" si="2"/>
        <v>0</v>
      </c>
      <c r="K9" s="518">
        <f t="shared" si="2"/>
        <v>0</v>
      </c>
      <c r="L9" s="518">
        <f t="shared" si="2"/>
        <v>0</v>
      </c>
      <c r="M9" s="518">
        <f t="shared" si="2"/>
        <v>0</v>
      </c>
      <c r="N9" s="518">
        <f t="shared" si="2"/>
        <v>0</v>
      </c>
      <c r="O9" s="518">
        <f t="shared" si="2"/>
        <v>0</v>
      </c>
      <c r="P9" s="518">
        <f t="shared" si="2"/>
        <v>0</v>
      </c>
      <c r="Q9" s="490">
        <f>SUM(F9:P9)</f>
        <v>0</v>
      </c>
      <c r="R9" s="366"/>
      <c r="S9" s="357"/>
      <c r="T9" s="8"/>
      <c r="U9" s="8"/>
    </row>
    <row r="10" spans="1:21" s="7" customFormat="1" ht="36.75" customHeight="1">
      <c r="R10" s="366"/>
      <c r="S10" s="357"/>
      <c r="T10" s="8"/>
      <c r="U10" s="8"/>
    </row>
    <row r="11" spans="1:21" s="7" customFormat="1" ht="36.75" customHeight="1" thickBot="1">
      <c r="A11" s="9" t="s">
        <v>316</v>
      </c>
      <c r="R11" s="366"/>
      <c r="S11" s="357"/>
      <c r="T11" s="8"/>
      <c r="U11" s="8"/>
    </row>
    <row r="12" spans="1:21" s="7" customFormat="1" ht="36.75" customHeight="1" thickTop="1" thickBot="1">
      <c r="A12" s="184" t="s">
        <v>282</v>
      </c>
      <c r="B12" s="184" t="s">
        <v>304</v>
      </c>
      <c r="C12" s="370"/>
      <c r="D12" s="184"/>
      <c r="E12" s="200" t="s">
        <v>307</v>
      </c>
      <c r="F12" s="200" t="str">
        <f>F55</f>
        <v>BASE</v>
      </c>
      <c r="G12" s="200" t="str">
        <f t="shared" ref="G12:P12" si="3">G55</f>
        <v>CURRENT</v>
      </c>
      <c r="H12" s="200" t="str">
        <f t="shared" si="3"/>
        <v>FY25</v>
      </c>
      <c r="I12" s="200" t="str">
        <f t="shared" si="3"/>
        <v>FY26</v>
      </c>
      <c r="J12" s="200" t="str">
        <f t="shared" si="3"/>
        <v>FY27</v>
      </c>
      <c r="K12" s="200" t="str">
        <f t="shared" si="3"/>
        <v>FY28</v>
      </c>
      <c r="L12" s="200" t="str">
        <f t="shared" si="3"/>
        <v>FY29</v>
      </c>
      <c r="M12" s="200" t="str">
        <f t="shared" si="3"/>
        <v>FY30</v>
      </c>
      <c r="N12" s="200" t="str">
        <f t="shared" si="3"/>
        <v>FY31</v>
      </c>
      <c r="O12" s="200" t="str">
        <f t="shared" si="3"/>
        <v>FY32</v>
      </c>
      <c r="P12" s="200" t="str">
        <f t="shared" si="3"/>
        <v>FY33</v>
      </c>
      <c r="Q12" s="200" t="s">
        <v>308</v>
      </c>
      <c r="R12" s="366"/>
      <c r="S12" s="357"/>
      <c r="T12" s="8"/>
      <c r="U12" s="8"/>
    </row>
    <row r="13" spans="1:21" s="7" customFormat="1" ht="17.25" customHeight="1" thickTop="1">
      <c r="A13" s="368" t="str">
        <f>VLOOKUP($A$2,'Asset Attributes'!$B$3:$D$25,2,0)</f>
        <v>NSW3</v>
      </c>
      <c r="B13" s="368" t="s">
        <v>317</v>
      </c>
      <c r="C13" s="367"/>
      <c r="D13" s="2"/>
      <c r="E13" s="367" t="s">
        <v>321</v>
      </c>
      <c r="F13" s="367">
        <f>VLOOKUP($A$2,'Footprint Summary'!$B$4:$R$26,COLUMNS('Footprint Summary'!$B$4:F$26)+1,0)*VLOOKUP($A$13,Assumptions!$A$4:$N$14,COLUMNS(Assumptions!$A$4:B$14)+1,0)</f>
        <v>1874.5823100000002</v>
      </c>
      <c r="G13" s="367">
        <f>VLOOKUP($A$2,'Footprint Summary'!$B$4:$R$26,COLUMNS('Footprint Summary'!$B$4:G$26)+1,0)*VLOOKUP($A$13,Assumptions!$A$4:$N$14,COLUMNS(Assumptions!$A$4:C$14)+1,0)</f>
        <v>880.34181899999999</v>
      </c>
      <c r="H13" s="367">
        <f>VLOOKUP($A$2,'Footprint Summary'!$B$4:$R$26,COLUMNS('Footprint Summary'!$B$4:H$26)+1,0)*VLOOKUP($A$13,Assumptions!$A$4:$N$14,COLUMNS(Assumptions!$A$4:D$14)+1,0)</f>
        <v>0</v>
      </c>
      <c r="I13" s="367">
        <f>VLOOKUP($A$2,'Footprint Summary'!$B$4:$R$26,COLUMNS('Footprint Summary'!$B$4:I$26)+1,0)*VLOOKUP($A$13,Assumptions!$A$4:$N$14,COLUMNS(Assumptions!$A$4:E$14)+1,0)</f>
        <v>0</v>
      </c>
      <c r="J13" s="367">
        <f>VLOOKUP($A$2,'Footprint Summary'!$B$4:$R$26,COLUMNS('Footprint Summary'!$B$4:J$26)+1,0)*VLOOKUP($A$13,Assumptions!$A$4:$N$14,COLUMNS(Assumptions!$A$4:F$14)+1,0)</f>
        <v>0</v>
      </c>
      <c r="K13" s="367">
        <f>VLOOKUP($A$2,'Footprint Summary'!$B$4:$R$26,COLUMNS('Footprint Summary'!$B$4:K$26)+1,0)*VLOOKUP($A$13,Assumptions!$A$4:$N$14,COLUMNS(Assumptions!$A$4:G$14)+1,0)</f>
        <v>0</v>
      </c>
      <c r="L13" s="367">
        <f>VLOOKUP($A$2,'Footprint Summary'!$B$4:$R$26,COLUMNS('Footprint Summary'!$B$4:L$26)+1,0)*VLOOKUP($A$13,Assumptions!$A$4:$N$14,COLUMNS(Assumptions!$A$4:H$14)+1,0)</f>
        <v>0</v>
      </c>
      <c r="M13" s="367">
        <f>VLOOKUP($A$2,'Footprint Summary'!$B$4:$R$26,COLUMNS('Footprint Summary'!$B$4:M$26)+1,0)*VLOOKUP($A$13,Assumptions!$A$4:$N$14,COLUMNS(Assumptions!$A$4:I$14)+1,0)</f>
        <v>0</v>
      </c>
      <c r="N13" s="367">
        <f>VLOOKUP($A$2,'Footprint Summary'!$B$4:$R$26,COLUMNS('Footprint Summary'!$B$4:N$26)+1,0)*VLOOKUP($A$13,Assumptions!$A$4:$N$14,COLUMNS(Assumptions!$A$4:J$14)+1,0)</f>
        <v>0</v>
      </c>
      <c r="O13" s="367">
        <f>VLOOKUP($A$2,'Footprint Summary'!$B$4:$R$26,COLUMNS('Footprint Summary'!$B$4:O$26)+1,0)*VLOOKUP($A$13,Assumptions!$A$4:$N$14,COLUMNS(Assumptions!$A$4:K$14)+1,0)</f>
        <v>0</v>
      </c>
      <c r="P13" s="367">
        <f>VLOOKUP($A$2,'Footprint Summary'!$B$4:$R$26,COLUMNS('Footprint Summary'!$B$4:P$26)+1,0)*VLOOKUP($A$13,Assumptions!$A$4:$N$14,COLUMNS(Assumptions!$A$4:L$14)+1,0)</f>
        <v>0</v>
      </c>
      <c r="Q13" s="429">
        <f>IF(F13=0,"0",(F13-P13)/F13)</f>
        <v>1</v>
      </c>
      <c r="R13" s="366"/>
      <c r="S13" s="357"/>
      <c r="T13" s="8"/>
      <c r="U13" s="8"/>
    </row>
    <row r="14" spans="1:21" s="7" customFormat="1" ht="17.25" customHeight="1">
      <c r="A14" s="368" t="s">
        <v>284</v>
      </c>
      <c r="B14" s="368" t="s">
        <v>285</v>
      </c>
      <c r="C14" s="2"/>
      <c r="D14" s="2"/>
      <c r="E14" s="367" t="s">
        <v>321</v>
      </c>
      <c r="F14" s="517">
        <f>(VLOOKUP($A$2,'Footprint Summary'!$B$33:$R$55,COLUMNS('Footprint Summary'!$B$33:F$55)+1,0)*VLOOKUP($B$14,Assumptions!$B$17:$N$29,COLUMNS(Assumptions!$B$18:B$29)+1,0)/1000)-F22</f>
        <v>196.69001</v>
      </c>
      <c r="G14" s="517">
        <f>(VLOOKUP($A$2,'Footprint Summary'!$B$33:$R$55,COLUMNS('Footprint Summary'!$B$33:G$55)+1,0)*VLOOKUP($B$14,Assumptions!$B$17:$N$29,COLUMNS(Assumptions!$B$18:C$29)+1,0)/1000)-G22</f>
        <v>0</v>
      </c>
      <c r="H14" s="517">
        <f>(VLOOKUP($A$2,'Footprint Summary'!$B$33:$R$55,COLUMNS('Footprint Summary'!$B$33:H$55)+1,0)*VLOOKUP($B$14,Assumptions!$B$17:$N$29,COLUMNS(Assumptions!$B$18:D$29)+1,0)/1000)-H22</f>
        <v>0</v>
      </c>
      <c r="I14" s="517">
        <f>(VLOOKUP($A$2,'Footprint Summary'!$B$33:$R$55,COLUMNS('Footprint Summary'!$B$33:I$55)+1,0)*VLOOKUP($B$14,Assumptions!$B$17:$N$29,COLUMNS(Assumptions!$B$18:E$29)+1,0)/1000)-I22</f>
        <v>0</v>
      </c>
      <c r="J14" s="517">
        <f>(VLOOKUP($A$2,'Footprint Summary'!$B$33:$R$55,COLUMNS('Footprint Summary'!$B$33:J$55)+1,0)*VLOOKUP($B$14,Assumptions!$B$17:$N$29,COLUMNS(Assumptions!$B$18:F$29)+1,0)/1000)-J22</f>
        <v>0</v>
      </c>
      <c r="K14" s="517">
        <f>(VLOOKUP($A$2,'Footprint Summary'!$B$33:$R$55,COLUMNS('Footprint Summary'!$B$33:K$55)+1,0)*VLOOKUP($B$14,Assumptions!$B$17:$N$29,COLUMNS(Assumptions!$B$18:G$29)+1,0)/1000)-K22</f>
        <v>0</v>
      </c>
      <c r="L14" s="517">
        <f>(VLOOKUP($A$2,'Footprint Summary'!$B$33:$R$55,COLUMNS('Footprint Summary'!$B$33:L$55)+1,0)*VLOOKUP($B$14,Assumptions!$B$17:$N$29,COLUMNS(Assumptions!$B$18:H$29)+1,0)/1000)-L22</f>
        <v>0</v>
      </c>
      <c r="M14" s="517">
        <f>(VLOOKUP($A$2,'Footprint Summary'!$B$33:$R$55,COLUMNS('Footprint Summary'!$B$33:M$55)+1,0)*VLOOKUP($B$14,Assumptions!$B$17:$N$29,COLUMNS(Assumptions!$B$18:I$29)+1,0)/1000)-M22</f>
        <v>0</v>
      </c>
      <c r="N14" s="517">
        <f>(VLOOKUP($A$2,'Footprint Summary'!$B$33:$R$55,COLUMNS('Footprint Summary'!$B$33:N$55)+1,0)*VLOOKUP($B$14,Assumptions!$B$17:$N$29,COLUMNS(Assumptions!$B$18:J$29)+1,0)/1000)-N22</f>
        <v>0</v>
      </c>
      <c r="O14" s="517">
        <f>(VLOOKUP($A$2,'Footprint Summary'!$B$33:$R$55,COLUMNS('Footprint Summary'!$B$33:O$55)+1,0)*VLOOKUP($B$14,Assumptions!$B$17:$N$29,COLUMNS(Assumptions!$B$18:K$29)+1,0)/1000)-O22</f>
        <v>0</v>
      </c>
      <c r="P14" s="517">
        <f>(VLOOKUP($A$2,'Footprint Summary'!$B$33:$R$55,COLUMNS('Footprint Summary'!$B$33:P$55)+1,0)*VLOOKUP($B$14,Assumptions!$B$17:$N$29,COLUMNS(Assumptions!$B$18:L$29)+1,0)/1000)-P22</f>
        <v>0</v>
      </c>
      <c r="Q14" s="429">
        <f>(F14-P14)/F14</f>
        <v>1</v>
      </c>
      <c r="R14" s="366"/>
      <c r="S14" s="357"/>
      <c r="T14" s="8"/>
      <c r="U14" s="8"/>
    </row>
    <row r="15" spans="1:21" s="7" customFormat="1" ht="17.25" customHeight="1">
      <c r="A15" s="417" t="s">
        <v>319</v>
      </c>
      <c r="B15" s="417" t="s">
        <v>320</v>
      </c>
      <c r="C15" s="418"/>
      <c r="D15" s="418"/>
      <c r="E15" s="421" t="s">
        <v>321</v>
      </c>
      <c r="F15" s="517">
        <f>VLOOKUP($A$2,'Footprint Summary'!$B$216:$R$238,COLUMNS('Footprint Summary'!$B$216:F238)+1,0)-F24</f>
        <v>86.791927762814993</v>
      </c>
      <c r="G15" s="517">
        <f>VLOOKUP($A$2,'Footprint Summary'!$B$216:$R$238,COLUMNS('Footprint Summary'!$B$216:G238)+1,0)-G24</f>
        <v>0</v>
      </c>
      <c r="H15" s="517">
        <f>VLOOKUP($A$2,'Footprint Summary'!$B$216:$R$238,COLUMNS('Footprint Summary'!$B$216:H238)+1,0)-H24</f>
        <v>0</v>
      </c>
      <c r="I15" s="517">
        <f>VLOOKUP($A$2,'Footprint Summary'!$B$216:$R$238,COLUMNS('Footprint Summary'!$B$216:I238)+1,0)-I24</f>
        <v>0</v>
      </c>
      <c r="J15" s="517">
        <f>VLOOKUP($A$2,'Footprint Summary'!$B$216:$R$238,COLUMNS('Footprint Summary'!$B$216:J238)+1,0)-J24</f>
        <v>0</v>
      </c>
      <c r="K15" s="517">
        <f>VLOOKUP($A$2,'Footprint Summary'!$B$216:$R$238,COLUMNS('Footprint Summary'!$B$216:K238)+1,0)-K24</f>
        <v>0</v>
      </c>
      <c r="L15" s="517">
        <f>VLOOKUP($A$2,'Footprint Summary'!$B$216:$R$238,COLUMNS('Footprint Summary'!$B$216:L238)+1,0)-L24</f>
        <v>0</v>
      </c>
      <c r="M15" s="517">
        <f>VLOOKUP($A$2,'Footprint Summary'!$B$216:$R$238,COLUMNS('Footprint Summary'!$B$216:M238)+1,0)-M24</f>
        <v>0</v>
      </c>
      <c r="N15" s="517">
        <f>VLOOKUP($A$2,'Footprint Summary'!$B$216:$R$238,COLUMNS('Footprint Summary'!$B$216:N238)+1,0)-N24</f>
        <v>0</v>
      </c>
      <c r="O15" s="517">
        <f>VLOOKUP($A$2,'Footprint Summary'!$B$216:$R$238,COLUMNS('Footprint Summary'!$B$216:O238)+1,0)-O24</f>
        <v>0</v>
      </c>
      <c r="P15" s="517">
        <f>VLOOKUP($A$2,'Footprint Summary'!$B$216:$R$238,COLUMNS('Footprint Summary'!$B$216:P238)+1,0)-P24</f>
        <v>0</v>
      </c>
      <c r="Q15" s="429">
        <f>(F15-P15)/F15</f>
        <v>1</v>
      </c>
      <c r="R15" s="366"/>
      <c r="S15" s="357"/>
      <c r="T15" s="8"/>
      <c r="U15" s="8"/>
    </row>
    <row r="16" spans="1:21" s="7" customFormat="1" ht="17.25" customHeight="1" thickBot="1">
      <c r="A16" s="1"/>
      <c r="B16" s="368"/>
      <c r="C16" s="2"/>
      <c r="D16" s="2"/>
      <c r="E16" s="367" t="s">
        <v>321</v>
      </c>
      <c r="F16" s="434">
        <f>SUM(F13:F15)</f>
        <v>2158.0642477628148</v>
      </c>
      <c r="G16" s="434">
        <f t="shared" ref="G16:P16" si="4">SUM(G13:G15)</f>
        <v>880.34181899999999</v>
      </c>
      <c r="H16" s="434">
        <f t="shared" si="4"/>
        <v>0</v>
      </c>
      <c r="I16" s="434">
        <f t="shared" si="4"/>
        <v>0</v>
      </c>
      <c r="J16" s="434">
        <f t="shared" si="4"/>
        <v>0</v>
      </c>
      <c r="K16" s="434">
        <f t="shared" si="4"/>
        <v>0</v>
      </c>
      <c r="L16" s="434">
        <f t="shared" si="4"/>
        <v>0</v>
      </c>
      <c r="M16" s="434">
        <f t="shared" si="4"/>
        <v>0</v>
      </c>
      <c r="N16" s="434">
        <f t="shared" si="4"/>
        <v>0</v>
      </c>
      <c r="O16" s="434">
        <f t="shared" si="4"/>
        <v>0</v>
      </c>
      <c r="P16" s="434">
        <f t="shared" si="4"/>
        <v>0</v>
      </c>
      <c r="Q16" s="432">
        <f>(F16-P16)/F16</f>
        <v>1</v>
      </c>
      <c r="R16" s="366"/>
      <c r="S16" s="357"/>
      <c r="T16" s="8"/>
      <c r="U16" s="8"/>
    </row>
    <row r="17" spans="1:21" s="7" customFormat="1" ht="17.25" customHeight="1" thickTop="1">
      <c r="E17" s="367" t="s">
        <v>322</v>
      </c>
      <c r="F17" s="428">
        <f>1000*F16/(VLOOKUP($A$2,'Asset Attributes'!$B$3:$D$25,3,0))</f>
        <v>52.312904461804344</v>
      </c>
      <c r="G17" s="428">
        <f>1000*G16/(VLOOKUP($A$2,'Asset Attributes'!$B$3:$D$25,3,0))</f>
        <v>21.340067849610939</v>
      </c>
      <c r="H17" s="428">
        <f>1000*H16/(VLOOKUP($A$2,'Asset Attributes'!$B$3:$D$25,3,0))</f>
        <v>0</v>
      </c>
      <c r="I17" s="428">
        <f>1000*I16/(VLOOKUP($A$2,'Asset Attributes'!$B$3:$D$25,3,0))</f>
        <v>0</v>
      </c>
      <c r="J17" s="428">
        <f>1000*J16/(VLOOKUP($A$2,'Asset Attributes'!$B$3:$D$25,3,0))</f>
        <v>0</v>
      </c>
      <c r="K17" s="428">
        <f>1000*K16/(VLOOKUP($A$2,'Asset Attributes'!$B$3:$D$25,3,0))</f>
        <v>0</v>
      </c>
      <c r="L17" s="428">
        <f>1000*L16/(VLOOKUP($A$2,'Asset Attributes'!$B$3:$D$25,3,0))</f>
        <v>0</v>
      </c>
      <c r="M17" s="428">
        <f>1000*M16/(VLOOKUP($A$2,'Asset Attributes'!$B$3:$D$25,3,0))</f>
        <v>0</v>
      </c>
      <c r="N17" s="428">
        <f>1000*N16/(VLOOKUP($A$2,'Asset Attributes'!$B$3:$D$25,3,0))</f>
        <v>0</v>
      </c>
      <c r="O17" s="428">
        <f>1000*O16/(VLOOKUP($A$2,'Asset Attributes'!$B$3:$D$25,3,0))</f>
        <v>0</v>
      </c>
      <c r="P17" s="428">
        <f>1000*P16/(VLOOKUP($A$2,'Asset Attributes'!$B$3:$D$25,3,0))</f>
        <v>0</v>
      </c>
      <c r="R17" s="366"/>
      <c r="S17" s="357"/>
      <c r="T17" s="8"/>
      <c r="U17" s="8"/>
    </row>
    <row r="18" spans="1:21" s="7" customFormat="1" ht="28.5" customHeight="1" thickBot="1">
      <c r="A18" s="9" t="s">
        <v>323</v>
      </c>
      <c r="E18" s="367"/>
      <c r="F18" s="428"/>
      <c r="G18" s="428"/>
      <c r="H18" s="428"/>
      <c r="I18" s="428"/>
      <c r="J18" s="428"/>
      <c r="K18" s="428"/>
      <c r="L18" s="428"/>
      <c r="M18" s="428"/>
      <c r="N18" s="428"/>
      <c r="O18" s="428"/>
      <c r="P18" s="428"/>
      <c r="R18" s="366"/>
      <c r="S18" s="357"/>
      <c r="T18" s="8"/>
      <c r="U18" s="8"/>
    </row>
    <row r="19" spans="1:21" s="7" customFormat="1" ht="36.75" customHeight="1" thickTop="1" thickBot="1">
      <c r="A19" s="184" t="s">
        <v>282</v>
      </c>
      <c r="B19" s="184" t="s">
        <v>304</v>
      </c>
      <c r="C19" s="370"/>
      <c r="D19" s="184"/>
      <c r="E19" s="200" t="s">
        <v>307</v>
      </c>
      <c r="F19" s="200" t="str">
        <f>F55</f>
        <v>BASE</v>
      </c>
      <c r="G19" s="200" t="str">
        <f t="shared" ref="G19:P19" si="5">G55</f>
        <v>CURRENT</v>
      </c>
      <c r="H19" s="200" t="str">
        <f t="shared" si="5"/>
        <v>FY25</v>
      </c>
      <c r="I19" s="200" t="str">
        <f t="shared" si="5"/>
        <v>FY26</v>
      </c>
      <c r="J19" s="200" t="str">
        <f t="shared" si="5"/>
        <v>FY27</v>
      </c>
      <c r="K19" s="200" t="str">
        <f t="shared" si="5"/>
        <v>FY28</v>
      </c>
      <c r="L19" s="200" t="str">
        <f t="shared" si="5"/>
        <v>FY29</v>
      </c>
      <c r="M19" s="200" t="str">
        <f t="shared" si="5"/>
        <v>FY30</v>
      </c>
      <c r="N19" s="200" t="str">
        <f t="shared" si="5"/>
        <v>FY31</v>
      </c>
      <c r="O19" s="200" t="str">
        <f t="shared" si="5"/>
        <v>FY32</v>
      </c>
      <c r="P19" s="200" t="str">
        <f t="shared" si="5"/>
        <v>FY33</v>
      </c>
      <c r="Q19" s="200" t="s">
        <v>308</v>
      </c>
      <c r="R19" s="366"/>
      <c r="S19" s="357"/>
      <c r="T19" s="8"/>
      <c r="U19" s="8"/>
    </row>
    <row r="20" spans="1:21" s="7" customFormat="1" ht="19.5" customHeight="1" thickTop="1">
      <c r="A20" s="368" t="s">
        <v>324</v>
      </c>
      <c r="B20" s="368" t="s">
        <v>325</v>
      </c>
      <c r="E20" s="367" t="s">
        <v>321</v>
      </c>
      <c r="F20" s="499">
        <f>-1*(VLOOKUP($A$2,'Footprint Summary'!$B$244:R$266,COLUMNS('Footprint Summary'!$B$244:F$266)+1,0))</f>
        <v>0</v>
      </c>
      <c r="G20" s="499">
        <f>-1*(VLOOKUP($A$2,'Footprint Summary'!$B$244:S$266,COLUMNS('Footprint Summary'!$B$244:G$266)+1,0))</f>
        <v>0</v>
      </c>
      <c r="H20" s="499">
        <f>-1*(VLOOKUP($A$2,'Footprint Summary'!$B$244:T$266,COLUMNS('Footprint Summary'!$B$244:H$266)+1,0))</f>
        <v>0</v>
      </c>
      <c r="I20" s="499">
        <f>-1*(VLOOKUP($A$2,'Footprint Summary'!$B$244:U$266,COLUMNS('Footprint Summary'!$B$244:I$266)+1,0))</f>
        <v>0</v>
      </c>
      <c r="J20" s="499">
        <f>-1*(VLOOKUP($A$2,'Footprint Summary'!$B$244:V$266,COLUMNS('Footprint Summary'!$B$244:J$266)+1,0))</f>
        <v>0</v>
      </c>
      <c r="K20" s="499">
        <f>-1*(VLOOKUP($A$2,'Footprint Summary'!$B$244:W$266,COLUMNS('Footprint Summary'!$B$244:K$266)+1,0))</f>
        <v>0</v>
      </c>
      <c r="L20" s="499">
        <f>-1*(VLOOKUP($A$2,'Footprint Summary'!$B$244:X$266,COLUMNS('Footprint Summary'!$B$244:L$266)+1,0))</f>
        <v>0</v>
      </c>
      <c r="M20" s="499">
        <f>-1*(VLOOKUP($A$2,'Footprint Summary'!$B$244:Y$266,COLUMNS('Footprint Summary'!$B$244:M$266)+1,0))</f>
        <v>0</v>
      </c>
      <c r="N20" s="499">
        <f>-1*(VLOOKUP($A$2,'Footprint Summary'!$B$244:Z$266,COLUMNS('Footprint Summary'!$B$244:N$266)+1,0))</f>
        <v>0</v>
      </c>
      <c r="O20" s="499">
        <f>-1*(VLOOKUP($A$2,'Footprint Summary'!$B$244:AA$266,COLUMNS('Footprint Summary'!$B$244:O$266)+1,0))</f>
        <v>0</v>
      </c>
      <c r="P20" s="499">
        <f>-1*(VLOOKUP($A$2,'Footprint Summary'!$B$244:AB$266,COLUMNS('Footprint Summary'!$B$244:P$266)+1,0))</f>
        <v>0</v>
      </c>
      <c r="Q20" s="499">
        <f>SUM(G20:P20)</f>
        <v>0</v>
      </c>
      <c r="R20" s="366"/>
      <c r="S20" s="357"/>
      <c r="T20" s="8"/>
      <c r="U20" s="8"/>
    </row>
    <row r="21" spans="1:21" s="7" customFormat="1" ht="19.5" customHeight="1">
      <c r="A21" s="368" t="str">
        <f>VLOOKUP($A$2,'Asset Attributes'!$B$3:$D$25,2,0)</f>
        <v>NSW3</v>
      </c>
      <c r="B21" s="368" t="s">
        <v>326</v>
      </c>
      <c r="E21" s="367" t="s">
        <v>321</v>
      </c>
      <c r="F21" s="499">
        <f>-1*(VLOOKUP($A$2,'Footprint Summary'!$B$302:$R$324,COLUMNS('Footprint Summary'!$B$302:F324)+1,0))</f>
        <v>0</v>
      </c>
      <c r="G21" s="499">
        <f>-1*(VLOOKUP($A$2,'Footprint Summary'!$B$302:$R$324,COLUMNS('Footprint Summary'!$B$302:G324)+1,0))</f>
        <v>880.34181899999999</v>
      </c>
      <c r="H21" s="499">
        <f>-1*(VLOOKUP($A$2,'Footprint Summary'!$B$302:$R$324,COLUMNS('Footprint Summary'!$B$302:H324)+1,0))</f>
        <v>1732.2089700000001</v>
      </c>
      <c r="I21" s="499">
        <f>-1*(VLOOKUP($A$2,'Footprint Summary'!$B$302:$R$324,COLUMNS('Footprint Summary'!$B$302:I324)+1,0))</f>
        <v>1570.8525180000001</v>
      </c>
      <c r="J21" s="499">
        <f>-1*(VLOOKUP($A$2,'Footprint Summary'!$B$302:$R$324,COLUMNS('Footprint Summary'!$B$302:J324)+1,0))</f>
        <v>1480.682736</v>
      </c>
      <c r="K21" s="499">
        <f>-1*(VLOOKUP($A$2,'Footprint Summary'!$B$302:$R$324,COLUMNS('Footprint Summary'!$B$302:K324)+1,0))</f>
        <v>1297.9702830000001</v>
      </c>
      <c r="L21" s="499">
        <f>-1*(VLOOKUP($A$2,'Footprint Summary'!$B$302:$R$324,COLUMNS('Footprint Summary'!$B$302:L324)+1,0))</f>
        <v>1091.5289400000001</v>
      </c>
      <c r="M21" s="499">
        <f>-1*(VLOOKUP($A$2,'Footprint Summary'!$B$302:$R$324,COLUMNS('Footprint Summary'!$B$302:M324)+1,0))</f>
        <v>908.81648700000005</v>
      </c>
      <c r="N21" s="499">
        <f>-1*(VLOOKUP($A$2,'Footprint Summary'!$B$302:$R$324,COLUMNS('Footprint Summary'!$B$302:N324)+1,0))</f>
        <v>771.18892500000004</v>
      </c>
      <c r="O21" s="499">
        <f>-1*(VLOOKUP($A$2,'Footprint Summary'!$B$302:$R$324,COLUMNS('Footprint Summary'!$B$302:O324)+1,0))</f>
        <v>683.39203199999997</v>
      </c>
      <c r="P21" s="499">
        <f>-1*(VLOOKUP($A$2,'Footprint Summary'!$B$302:$R$324,COLUMNS('Footprint Summary'!$B$302:P324)+1,0))</f>
        <v>626.44269600000007</v>
      </c>
      <c r="Q21" s="499">
        <f t="shared" ref="Q21:Q27" si="6">SUM(G21:P21)</f>
        <v>11043.425406</v>
      </c>
      <c r="R21" s="366"/>
      <c r="S21" s="357"/>
      <c r="T21" s="8"/>
      <c r="U21" s="8"/>
    </row>
    <row r="22" spans="1:21" s="7" customFormat="1" ht="19.5" customHeight="1">
      <c r="A22" s="368" t="s">
        <v>284</v>
      </c>
      <c r="B22" s="368" t="s">
        <v>327</v>
      </c>
      <c r="E22" s="425" t="s">
        <v>321</v>
      </c>
      <c r="F22" s="499">
        <v>0</v>
      </c>
      <c r="G22" s="499">
        <f>(VLOOKUP($A$2,'Footprint Summary'!$B$33:$R$55,COLUMNS('Footprint Summary'!$B$33:G$55)+1,0)*VLOOKUP($B$14,Assumptions!$B$17:$N$29,COLUMNS(Assumptions!$B$18:C$29)+1,0)/1000)</f>
        <v>196.69001</v>
      </c>
      <c r="H22" s="499">
        <f>(VLOOKUP($A$2,'Footprint Summary'!$B$33:$R$55,COLUMNS('Footprint Summary'!$B$33:H$55)+1,0)*VLOOKUP($B$14,Assumptions!$B$17:$N$29,COLUMNS(Assumptions!$B$18:D$29)+1,0)/1000)</f>
        <v>196.69001</v>
      </c>
      <c r="I22" s="499">
        <f>(VLOOKUP($A$2,'Footprint Summary'!$B$33:$R$55,COLUMNS('Footprint Summary'!$B$33:I$55)+1,0)*VLOOKUP($B$14,Assumptions!$B$17:$N$29,COLUMNS(Assumptions!$B$18:E$29)+1,0)/1000)</f>
        <v>196.69001</v>
      </c>
      <c r="J22" s="499">
        <f>(VLOOKUP($A$2,'Footprint Summary'!$B$33:$R$55,COLUMNS('Footprint Summary'!$B$33:J$55)+1,0)*VLOOKUP($B$14,Assumptions!$B$17:$N$29,COLUMNS(Assumptions!$B$18:F$29)+1,0)/1000)</f>
        <v>196.69001</v>
      </c>
      <c r="K22" s="499">
        <f>(VLOOKUP($A$2,'Footprint Summary'!$B$33:$R$55,COLUMNS('Footprint Summary'!$B$33:K$55)+1,0)*VLOOKUP($B$14,Assumptions!$B$17:$N$29,COLUMNS(Assumptions!$B$18:G$29)+1,0)/1000)</f>
        <v>196.69001</v>
      </c>
      <c r="L22" s="499">
        <f>(VLOOKUP($A$2,'Footprint Summary'!$B$33:$R$55,COLUMNS('Footprint Summary'!$B$33:L$55)+1,0)*VLOOKUP($B$14,Assumptions!$B$17:$N$29,COLUMNS(Assumptions!$B$18:H$29)+1,0)/1000)</f>
        <v>196.69001</v>
      </c>
      <c r="M22" s="499">
        <f>(VLOOKUP($A$2,'Footprint Summary'!$B$33:$R$55,COLUMNS('Footprint Summary'!$B$33:M$55)+1,0)*VLOOKUP($B$14,Assumptions!$B$17:$N$29,COLUMNS(Assumptions!$B$18:I$29)+1,0)/1000)</f>
        <v>196.69001</v>
      </c>
      <c r="N22" s="499">
        <f>(VLOOKUP($A$2,'Footprint Summary'!$B$33:$R$55,COLUMNS('Footprint Summary'!$B$33:N$55)+1,0)*VLOOKUP($B$14,Assumptions!$B$17:$N$29,COLUMNS(Assumptions!$B$18:J$29)+1,0)/1000)</f>
        <v>196.69001</v>
      </c>
      <c r="O22" s="499">
        <f>(VLOOKUP($A$2,'Footprint Summary'!$B$33:$R$55,COLUMNS('Footprint Summary'!$B$33:O$55)+1,0)*VLOOKUP($B$14,Assumptions!$B$17:$N$29,COLUMNS(Assumptions!$B$18:K$29)+1,0)/1000)</f>
        <v>196.69001</v>
      </c>
      <c r="P22" s="499">
        <f>(VLOOKUP($A$2,'Footprint Summary'!$B$33:$R$55,COLUMNS('Footprint Summary'!$B$33:P$55)+1,0)*VLOOKUP($B$14,Assumptions!$B$17:$N$29,COLUMNS(Assumptions!$B$18:L$29)+1,0)/1000)</f>
        <v>196.69001</v>
      </c>
      <c r="Q22" s="499">
        <f t="shared" si="6"/>
        <v>1966.9001000000001</v>
      </c>
      <c r="R22" s="366"/>
      <c r="S22" s="357"/>
      <c r="T22" s="8"/>
      <c r="U22" s="8"/>
    </row>
    <row r="23" spans="1:21" s="7" customFormat="1" ht="19.5" customHeight="1">
      <c r="A23" s="368" t="s">
        <v>284</v>
      </c>
      <c r="B23" s="368" t="s">
        <v>328</v>
      </c>
      <c r="E23" s="425" t="s">
        <v>321</v>
      </c>
      <c r="F23" s="499">
        <f>-1*(VLOOKUP($A$2,'Footprint Summary'!$B$273:R$295,COLUMNS('Footprint Summary'!$B$273:F$295)+1,0))</f>
        <v>0</v>
      </c>
      <c r="G23" s="499">
        <f>-1*(VLOOKUP($A$2,'Footprint Summary'!$B$273:S$295,COLUMNS('Footprint Summary'!$B$273:G$295)+1,0))</f>
        <v>0</v>
      </c>
      <c r="H23" s="499">
        <f>-1*(VLOOKUP($A$2,'Footprint Summary'!$B$273:T$295,COLUMNS('Footprint Summary'!$B$273:H$295)+1,0))</f>
        <v>0</v>
      </c>
      <c r="I23" s="499">
        <f>-1*(VLOOKUP($A$2,'Footprint Summary'!$B$273:U$295,COLUMNS('Footprint Summary'!$B$273:I$295)+1,0))</f>
        <v>0</v>
      </c>
      <c r="J23" s="499">
        <f>-1*(VLOOKUP($A$2,'Footprint Summary'!$B$273:V$295,COLUMNS('Footprint Summary'!$B$273:J$295)+1,0))</f>
        <v>0</v>
      </c>
      <c r="K23" s="499">
        <f>-1*(VLOOKUP($A$2,'Footprint Summary'!$B$273:W$295,COLUMNS('Footprint Summary'!$B$273:K$295)+1,0))</f>
        <v>0</v>
      </c>
      <c r="L23" s="499">
        <f>-1*(VLOOKUP($A$2,'Footprint Summary'!$B$273:X$295,COLUMNS('Footprint Summary'!$B$273:L$295)+1,0))</f>
        <v>0</v>
      </c>
      <c r="M23" s="499">
        <f>-1*(VLOOKUP($A$2,'Footprint Summary'!$B$273:Y$295,COLUMNS('Footprint Summary'!$B$273:M$295)+1,0))</f>
        <v>0</v>
      </c>
      <c r="N23" s="499">
        <f>-1*(VLOOKUP($A$2,'Footprint Summary'!$B$273:Z$295,COLUMNS('Footprint Summary'!$B$273:N$295)+1,0))</f>
        <v>0</v>
      </c>
      <c r="O23" s="499">
        <f>-1*(VLOOKUP($A$2,'Footprint Summary'!$B$273:AA$295,COLUMNS('Footprint Summary'!$B$273:O$295)+1,0))</f>
        <v>0</v>
      </c>
      <c r="P23" s="499">
        <f>-1*(VLOOKUP($A$2,'Footprint Summary'!$B$273:AB$295,COLUMNS('Footprint Summary'!$B$273:P$295)+1,0))</f>
        <v>0</v>
      </c>
      <c r="Q23" s="499">
        <f t="shared" si="6"/>
        <v>0</v>
      </c>
      <c r="R23" s="366"/>
      <c r="S23" s="357"/>
      <c r="T23" s="8"/>
      <c r="U23" s="8"/>
    </row>
    <row r="24" spans="1:21" s="7" customFormat="1" ht="19.5" customHeight="1">
      <c r="A24" s="419" t="s">
        <v>319</v>
      </c>
      <c r="B24" s="419" t="s">
        <v>329</v>
      </c>
      <c r="E24" s="425" t="s">
        <v>321</v>
      </c>
      <c r="F24" s="499">
        <v>0</v>
      </c>
      <c r="G24" s="499">
        <f>VLOOKUP($A$2,'Footprint Summary'!$B$216:$R$238,COLUMNS('Footprint Summary'!$B$216:G238)+1,0)</f>
        <v>79.60561430528</v>
      </c>
      <c r="H24" s="499">
        <f>VLOOKUP($A$2,'Footprint Summary'!$B$216:$R$238,COLUMNS('Footprint Summary'!$B$216:H238)+1,0)</f>
        <v>72.419300847744992</v>
      </c>
      <c r="I24" s="499">
        <f>VLOOKUP($A$2,'Footprint Summary'!$B$216:$R$238,COLUMNS('Footprint Summary'!$B$216:I238)+1,0)</f>
        <v>65.232987390209999</v>
      </c>
      <c r="J24" s="499">
        <f>VLOOKUP($A$2,'Footprint Summary'!$B$216:$R$238,COLUMNS('Footprint Summary'!$B$216:J238)+1,0)</f>
        <v>58.046673932674992</v>
      </c>
      <c r="K24" s="499">
        <f>VLOOKUP($A$2,'Footprint Summary'!$B$216:$R$238,COLUMNS('Footprint Summary'!$B$216:K238)+1,0)</f>
        <v>50.860360475139998</v>
      </c>
      <c r="L24" s="499">
        <f>VLOOKUP($A$2,'Footprint Summary'!$B$216:$R$238,COLUMNS('Footprint Summary'!$B$216:L238)+1,0)</f>
        <v>43.674047017604991</v>
      </c>
      <c r="M24" s="499">
        <f>VLOOKUP($A$2,'Footprint Summary'!$B$216:$R$238,COLUMNS('Footprint Summary'!$B$216:M238)+1,0)</f>
        <v>36.487733560069998</v>
      </c>
      <c r="N24" s="499">
        <f>VLOOKUP($A$2,'Footprint Summary'!$B$216:$R$238,COLUMNS('Footprint Summary'!$B$216:N238)+1,0)</f>
        <v>29.301420102534994</v>
      </c>
      <c r="O24" s="499">
        <f>VLOOKUP($A$2,'Footprint Summary'!$B$216:$R$238,COLUMNS('Footprint Summary'!$B$216:O238)+1,0)</f>
        <v>22.115106644999994</v>
      </c>
      <c r="P24" s="499">
        <f>VLOOKUP($A$2,'Footprint Summary'!$B$216:$R$238,COLUMNS('Footprint Summary'!$B$216:P238)+1,0)</f>
        <v>22.115106645000001</v>
      </c>
      <c r="Q24" s="499">
        <f t="shared" si="6"/>
        <v>479.85835092126001</v>
      </c>
      <c r="R24" s="366"/>
      <c r="S24" s="357"/>
      <c r="T24" s="8"/>
      <c r="U24" s="8"/>
    </row>
    <row r="25" spans="1:21" s="7" customFormat="1" ht="19.5" customHeight="1">
      <c r="A25" s="419" t="s">
        <v>319</v>
      </c>
      <c r="B25" s="419" t="s">
        <v>319</v>
      </c>
      <c r="E25" s="425" t="s">
        <v>321</v>
      </c>
      <c r="F25" s="499">
        <f>VLOOKUP($A$2,'Footprint Summary'!$B$216:$R$238,COLUMNS('Footprint Summary'!$B$216:F238)+1,0)-F24</f>
        <v>86.791927762814993</v>
      </c>
      <c r="G25" s="499">
        <f>VLOOKUP($A$2,'Footprint Summary'!$B$216:$R$238,COLUMNS('Footprint Summary'!$B$216:G238)+1,0)-G24</f>
        <v>0</v>
      </c>
      <c r="H25" s="499">
        <f>VLOOKUP($A$2,'Footprint Summary'!$B$216:$R$238,COLUMNS('Footprint Summary'!$B$216:H238)+1,0)-H24</f>
        <v>0</v>
      </c>
      <c r="I25" s="499">
        <f>VLOOKUP($A$2,'Footprint Summary'!$B$216:$R$238,COLUMNS('Footprint Summary'!$B$216:I238)+1,0)-I24</f>
        <v>0</v>
      </c>
      <c r="J25" s="499">
        <f>VLOOKUP($A$2,'Footprint Summary'!$B$216:$R$238,COLUMNS('Footprint Summary'!$B$216:J238)+1,0)-J24</f>
        <v>0</v>
      </c>
      <c r="K25" s="499">
        <f>VLOOKUP($A$2,'Footprint Summary'!$B$216:$R$238,COLUMNS('Footprint Summary'!$B$216:K238)+1,0)-K24</f>
        <v>0</v>
      </c>
      <c r="L25" s="499">
        <f>VLOOKUP($A$2,'Footprint Summary'!$B$216:$R$238,COLUMNS('Footprint Summary'!$B$216:L238)+1,0)-L24</f>
        <v>0</v>
      </c>
      <c r="M25" s="499">
        <f>VLOOKUP($A$2,'Footprint Summary'!$B$216:$R$238,COLUMNS('Footprint Summary'!$B$216:M238)+1,0)-M24</f>
        <v>0</v>
      </c>
      <c r="N25" s="499">
        <f>VLOOKUP($A$2,'Footprint Summary'!$B$216:$R$238,COLUMNS('Footprint Summary'!$B$216:N238)+1,0)-N24</f>
        <v>0</v>
      </c>
      <c r="O25" s="499">
        <f>VLOOKUP($A$2,'Footprint Summary'!$B$216:$R$238,COLUMNS('Footprint Summary'!$B$216:O238)+1,0)-O24</f>
        <v>0</v>
      </c>
      <c r="P25" s="499">
        <f>VLOOKUP($A$2,'Footprint Summary'!$B$216:$R$238,COLUMNS('Footprint Summary'!$B$216:P238)+1,0)-P24</f>
        <v>0</v>
      </c>
      <c r="Q25" s="499">
        <f t="shared" si="6"/>
        <v>0</v>
      </c>
      <c r="R25" s="366"/>
      <c r="S25" s="357"/>
      <c r="T25" s="8"/>
      <c r="U25" s="8"/>
    </row>
    <row r="26" spans="1:21" s="7" customFormat="1" ht="19.5" customHeight="1">
      <c r="A26" s="419" t="s">
        <v>284</v>
      </c>
      <c r="B26" s="368" t="s">
        <v>285</v>
      </c>
      <c r="E26" s="425" t="s">
        <v>321</v>
      </c>
      <c r="F26" s="499">
        <f>(VLOOKUP($A$2,'Footprint Summary'!$B$33:$R$55,COLUMNS('Footprint Summary'!$B$33:F$55)+1,0)*VLOOKUP($B$14,Assumptions!$B$17:$N$29,COLUMNS(Assumptions!$B$18:B$29)+1,0)/1000)-F22</f>
        <v>196.69001</v>
      </c>
      <c r="G26" s="499">
        <f>(VLOOKUP($A$2,'Footprint Summary'!$B$33:$R$55,COLUMNS('Footprint Summary'!$B$33:G$55)+1,0)*VLOOKUP($B$14,Assumptions!$B$17:$N$29,COLUMNS(Assumptions!$B$18:C$29)+1,0)/1000)-G22</f>
        <v>0</v>
      </c>
      <c r="H26" s="499">
        <f>(VLOOKUP($A$2,'Footprint Summary'!$B$33:$R$55,COLUMNS('Footprint Summary'!$B$33:H$55)+1,0)*VLOOKUP($B$14,Assumptions!$B$17:$N$29,COLUMNS(Assumptions!$B$18:D$29)+1,0)/1000)-H22</f>
        <v>0</v>
      </c>
      <c r="I26" s="499">
        <f>(VLOOKUP($A$2,'Footprint Summary'!$B$33:$R$55,COLUMNS('Footprint Summary'!$B$33:I$55)+1,0)*VLOOKUP($B$14,Assumptions!$B$17:$N$29,COLUMNS(Assumptions!$B$18:E$29)+1,0)/1000)-I22</f>
        <v>0</v>
      </c>
      <c r="J26" s="499">
        <f>(VLOOKUP($A$2,'Footprint Summary'!$B$33:$R$55,COLUMNS('Footprint Summary'!$B$33:J$55)+1,0)*VLOOKUP($B$14,Assumptions!$B$17:$N$29,COLUMNS(Assumptions!$B$18:F$29)+1,0)/1000)-J22</f>
        <v>0</v>
      </c>
      <c r="K26" s="499">
        <f>(VLOOKUP($A$2,'Footprint Summary'!$B$33:$R$55,COLUMNS('Footprint Summary'!$B$33:K$55)+1,0)*VLOOKUP($B$14,Assumptions!$B$17:$N$29,COLUMNS(Assumptions!$B$18:G$29)+1,0)/1000)-K22</f>
        <v>0</v>
      </c>
      <c r="L26" s="499">
        <f>(VLOOKUP($A$2,'Footprint Summary'!$B$33:$R$55,COLUMNS('Footprint Summary'!$B$33:L$55)+1,0)*VLOOKUP($B$14,Assumptions!$B$17:$N$29,COLUMNS(Assumptions!$B$18:H$29)+1,0)/1000)-L22</f>
        <v>0</v>
      </c>
      <c r="M26" s="499">
        <f>(VLOOKUP($A$2,'Footprint Summary'!$B$33:$R$55,COLUMNS('Footprint Summary'!$B$33:M$55)+1,0)*VLOOKUP($B$14,Assumptions!$B$17:$N$29,COLUMNS(Assumptions!$B$18:I$29)+1,0)/1000)-M22</f>
        <v>0</v>
      </c>
      <c r="N26" s="499">
        <f>(VLOOKUP($A$2,'Footprint Summary'!$B$33:$R$55,COLUMNS('Footprint Summary'!$B$33:N$55)+1,0)*VLOOKUP($B$14,Assumptions!$B$17:$N$29,COLUMNS(Assumptions!$B$18:J$29)+1,0)/1000)-N22</f>
        <v>0</v>
      </c>
      <c r="O26" s="499">
        <f>(VLOOKUP($A$2,'Footprint Summary'!$B$33:$R$55,COLUMNS('Footprint Summary'!$B$33:O$55)+1,0)*VLOOKUP($B$14,Assumptions!$B$17:$N$29,COLUMNS(Assumptions!$B$18:K$29)+1,0)/1000)-O22</f>
        <v>0</v>
      </c>
      <c r="P26" s="499">
        <f>(VLOOKUP($A$2,'Footprint Summary'!$B$33:$R$55,COLUMNS('Footprint Summary'!$B$33:P$55)+1,0)*VLOOKUP($B$14,Assumptions!$B$17:$N$29,COLUMNS(Assumptions!$B$18:L$29)+1,0)/1000)-P22</f>
        <v>0</v>
      </c>
      <c r="Q26" s="499">
        <f t="shared" si="6"/>
        <v>0</v>
      </c>
      <c r="R26" s="366"/>
      <c r="S26" s="357"/>
      <c r="T26" s="8"/>
      <c r="U26" s="8"/>
    </row>
    <row r="27" spans="1:21" s="7" customFormat="1" ht="19.5" customHeight="1">
      <c r="A27" s="368" t="str">
        <f>VLOOKUP($A$2,'Asset Attributes'!$B$3:$D$25,2,0)</f>
        <v>NSW3</v>
      </c>
      <c r="B27" s="368" t="s">
        <v>330</v>
      </c>
      <c r="E27" s="425" t="s">
        <v>321</v>
      </c>
      <c r="F27" s="367">
        <f>VLOOKUP($A$2,'Footprint Summary'!$B$4:$R$26,COLUMNS('Footprint Summary'!$B$4:F$26)+1,0)*VLOOKUP($A$13,Assumptions!$A$4:$N$14,COLUMNS(Assumptions!$A$4:B$14)+1,0)</f>
        <v>1874.5823100000002</v>
      </c>
      <c r="G27" s="499">
        <f>VLOOKUP($A$2,'Footprint Summary'!$B$4:$R$26,COLUMNS('Footprint Summary'!$B$4:G$26)+1,0)*VLOOKUP($A$13,Assumptions!$A$4:$N$14,COLUMNS(Assumptions!$A$4:C$14)+1,0)</f>
        <v>880.34181899999999</v>
      </c>
      <c r="H27" s="499">
        <f>VLOOKUP($A$2,'Footprint Summary'!$B$4:$R$26,COLUMNS('Footprint Summary'!$B$4:H$26)+1,0)*VLOOKUP($A$13,Assumptions!$A$4:$N$14,COLUMNS(Assumptions!$A$4:D$14)+1,0)</f>
        <v>0</v>
      </c>
      <c r="I27" s="499">
        <f>VLOOKUP($A$2,'Footprint Summary'!$B$4:$R$26,COLUMNS('Footprint Summary'!$B$4:I$26)+1,0)*VLOOKUP($A$13,Assumptions!$A$4:$N$14,COLUMNS(Assumptions!$A$4:E$14)+1,0)</f>
        <v>0</v>
      </c>
      <c r="J27" s="499">
        <f>VLOOKUP($A$2,'Footprint Summary'!$B$4:$R$26,COLUMNS('Footprint Summary'!$B$4:J$26)+1,0)*VLOOKUP($A$13,Assumptions!$A$4:$N$14,COLUMNS(Assumptions!$A$4:F$14)+1,0)</f>
        <v>0</v>
      </c>
      <c r="K27" s="499">
        <f>VLOOKUP($A$2,'Footprint Summary'!$B$4:$R$26,COLUMNS('Footprint Summary'!$B$4:K$26)+1,0)*VLOOKUP($A$13,Assumptions!$A$4:$N$14,COLUMNS(Assumptions!$A$4:G$14)+1,0)</f>
        <v>0</v>
      </c>
      <c r="L27" s="499">
        <f>VLOOKUP($A$2,'Footprint Summary'!$B$4:$R$26,COLUMNS('Footprint Summary'!$B$4:L$26)+1,0)*VLOOKUP($A$13,Assumptions!$A$4:$N$14,COLUMNS(Assumptions!$A$4:H$14)+1,0)</f>
        <v>0</v>
      </c>
      <c r="M27" s="499">
        <f>VLOOKUP($A$2,'Footprint Summary'!$B$4:$R$26,COLUMNS('Footprint Summary'!$B$4:M$26)+1,0)*VLOOKUP($A$13,Assumptions!$A$4:$N$14,COLUMNS(Assumptions!$A$4:I$14)+1,0)</f>
        <v>0</v>
      </c>
      <c r="N27" s="499">
        <f>VLOOKUP($A$2,'Footprint Summary'!$B$4:$R$26,COLUMNS('Footprint Summary'!$B$4:N$26)+1,0)*VLOOKUP($A$13,Assumptions!$A$4:$N$14,COLUMNS(Assumptions!$A$4:J$14)+1,0)</f>
        <v>0</v>
      </c>
      <c r="O27" s="499">
        <f>VLOOKUP($A$2,'Footprint Summary'!$B$4:$R$26,COLUMNS('Footprint Summary'!$B$4:O$26)+1,0)*VLOOKUP($A$13,Assumptions!$A$4:$N$14,COLUMNS(Assumptions!$A$4:K$14)+1,0)</f>
        <v>0</v>
      </c>
      <c r="P27" s="499">
        <f>VLOOKUP($A$2,'Footprint Summary'!$B$4:$R$26,COLUMNS('Footprint Summary'!$B$4:P$26)+1,0)*VLOOKUP($A$13,Assumptions!$A$4:$N$14,COLUMNS(Assumptions!$A$4:L$14)+1,0)</f>
        <v>0</v>
      </c>
      <c r="Q27" s="499">
        <f t="shared" si="6"/>
        <v>880.34181899999999</v>
      </c>
      <c r="R27" s="366"/>
      <c r="S27" s="357"/>
      <c r="T27" s="8"/>
      <c r="U27" s="8"/>
    </row>
    <row r="28" spans="1:21" s="7" customFormat="1" ht="19.5" customHeight="1" thickBot="1">
      <c r="E28" s="425" t="s">
        <v>321</v>
      </c>
      <c r="F28" s="434">
        <f>SUM(F20:F23)</f>
        <v>0</v>
      </c>
      <c r="G28" s="434">
        <f t="shared" ref="G28:P28" si="7">SUM(G20:G23)</f>
        <v>1077.031829</v>
      </c>
      <c r="H28" s="434">
        <f t="shared" si="7"/>
        <v>1928.8989800000002</v>
      </c>
      <c r="I28" s="434">
        <f t="shared" si="7"/>
        <v>1767.5425280000002</v>
      </c>
      <c r="J28" s="434">
        <f t="shared" si="7"/>
        <v>1677.372746</v>
      </c>
      <c r="K28" s="434">
        <f t="shared" si="7"/>
        <v>1494.6602930000001</v>
      </c>
      <c r="L28" s="434">
        <f t="shared" si="7"/>
        <v>1288.2189500000002</v>
      </c>
      <c r="M28" s="434">
        <f t="shared" si="7"/>
        <v>1105.5064970000001</v>
      </c>
      <c r="N28" s="434">
        <f t="shared" si="7"/>
        <v>967.87893500000007</v>
      </c>
      <c r="O28" s="434">
        <f t="shared" si="7"/>
        <v>880.082042</v>
      </c>
      <c r="P28" s="434">
        <f t="shared" si="7"/>
        <v>823.1327060000001</v>
      </c>
      <c r="Q28" s="434">
        <f t="shared" ref="Q28" si="8">SUM(Q20:Q24)</f>
        <v>13490.183856921261</v>
      </c>
      <c r="R28" s="366"/>
      <c r="S28" s="357"/>
      <c r="T28" s="8"/>
      <c r="U28" s="8"/>
    </row>
    <row r="29" spans="1:21" s="7" customFormat="1" ht="36.75" customHeight="1" thickTop="1" thickBot="1">
      <c r="A29" s="9" t="s">
        <v>331</v>
      </c>
      <c r="B29" s="1"/>
      <c r="C29" s="369" t="s">
        <v>30</v>
      </c>
      <c r="D29" s="2"/>
      <c r="E29" s="3"/>
      <c r="F29" s="2"/>
      <c r="G29" s="4"/>
      <c r="H29" s="4"/>
      <c r="J29" s="8"/>
      <c r="K29" s="8"/>
      <c r="L29" s="8"/>
      <c r="M29" s="8"/>
      <c r="N29" s="8"/>
      <c r="O29" s="8"/>
      <c r="P29" s="8"/>
      <c r="Q29" s="357"/>
      <c r="R29" s="366"/>
      <c r="S29" s="357"/>
      <c r="T29" s="8"/>
      <c r="U29" s="8"/>
    </row>
    <row r="30" spans="1:21" s="7" customFormat="1" ht="36.75" customHeight="1" thickTop="1" thickBot="1">
      <c r="A30" s="184" t="s">
        <v>282</v>
      </c>
      <c r="B30" s="184" t="s">
        <v>304</v>
      </c>
      <c r="C30" s="370"/>
      <c r="D30" s="184"/>
      <c r="E30" s="370"/>
      <c r="F30" s="200" t="str">
        <f>F55</f>
        <v>BASE</v>
      </c>
      <c r="G30" s="200" t="str">
        <f t="shared" ref="G30:P30" si="9">G55</f>
        <v>CURRENT</v>
      </c>
      <c r="H30" s="200" t="str">
        <f t="shared" si="9"/>
        <v>FY25</v>
      </c>
      <c r="I30" s="200" t="str">
        <f t="shared" si="9"/>
        <v>FY26</v>
      </c>
      <c r="J30" s="200" t="str">
        <f t="shared" si="9"/>
        <v>FY27</v>
      </c>
      <c r="K30" s="200" t="str">
        <f t="shared" si="9"/>
        <v>FY28</v>
      </c>
      <c r="L30" s="200" t="str">
        <f t="shared" si="9"/>
        <v>FY29</v>
      </c>
      <c r="M30" s="200" t="str">
        <f t="shared" si="9"/>
        <v>FY30</v>
      </c>
      <c r="N30" s="200" t="str">
        <f t="shared" si="9"/>
        <v>FY31</v>
      </c>
      <c r="O30" s="200" t="str">
        <f t="shared" si="9"/>
        <v>FY32</v>
      </c>
      <c r="P30" s="200" t="str">
        <f t="shared" si="9"/>
        <v>FY33</v>
      </c>
      <c r="Q30" s="200" t="s">
        <v>84</v>
      </c>
      <c r="R30" s="366"/>
      <c r="S30" s="357"/>
      <c r="T30" s="8"/>
      <c r="U30" s="8"/>
    </row>
    <row r="31" spans="1:21" s="7" customFormat="1" ht="17.25" customHeight="1" thickTop="1">
      <c r="A31" s="436" t="s">
        <v>332</v>
      </c>
      <c r="B31" s="437"/>
      <c r="C31" s="435"/>
      <c r="S31" s="357"/>
      <c r="T31" s="8"/>
      <c r="U31" s="8"/>
    </row>
    <row r="32" spans="1:21" s="7" customFormat="1" ht="17.25" customHeight="1">
      <c r="A32" s="368" t="s">
        <v>30</v>
      </c>
      <c r="B32" s="368" t="s">
        <v>334</v>
      </c>
      <c r="F32" s="424">
        <f>VLOOKUP($A$2,'Costs Summary'!$B$154:$R$176,COLUMNS('Costs Summary'!$B$154:F$176)+1,0)</f>
        <v>432699.87000000005</v>
      </c>
      <c r="G32" s="424">
        <f>VLOOKUP($A$2,'Costs Summary'!$B$154:$R$176,COLUMNS('Costs Summary'!$B$154:G$176)+1,0)</f>
        <v>257500.19403797167</v>
      </c>
      <c r="H32" s="424">
        <f>VLOOKUP($A$2,'Costs Summary'!$B$154:$R$176,COLUMNS('Costs Summary'!$B$154:H$176)+1,0)</f>
        <v>266512.70082930068</v>
      </c>
      <c r="I32" s="424">
        <f>VLOOKUP($A$2,'Costs Summary'!$B$154:$R$176,COLUMNS('Costs Summary'!$B$154:I$176)+1,0)</f>
        <v>275840.64535832615</v>
      </c>
      <c r="J32" s="424">
        <f>VLOOKUP($A$2,'Costs Summary'!$B$154:$R$176,COLUMNS('Costs Summary'!$B$154:J$176)+1,0)</f>
        <v>285495.06794586754</v>
      </c>
      <c r="K32" s="424">
        <f>VLOOKUP($A$2,'Costs Summary'!$B$154:$R$176,COLUMNS('Costs Summary'!$B$154:K$176)+1,0)</f>
        <v>295487.39532397292</v>
      </c>
      <c r="L32" s="424">
        <f>VLOOKUP($A$2,'Costs Summary'!$B$154:$R$176,COLUMNS('Costs Summary'!$B$154:L$176)+1,0)</f>
        <v>305829.45416031196</v>
      </c>
      <c r="M32" s="424">
        <f>VLOOKUP($A$2,'Costs Summary'!$B$154:$R$176,COLUMNS('Costs Summary'!$B$154:M$176)+1,0)</f>
        <v>316533.48505592288</v>
      </c>
      <c r="N32" s="424">
        <f>VLOOKUP($A$2,'Costs Summary'!$B$154:$R$176,COLUMNS('Costs Summary'!$B$154:N$176)+1,0)</f>
        <v>379840.18206710741</v>
      </c>
      <c r="O32" s="424">
        <f>VLOOKUP($A$2,'Costs Summary'!$B$154:$R$176,COLUMNS('Costs Summary'!$B$154:O$176)+1,0)</f>
        <v>393134.58843945619</v>
      </c>
      <c r="P32" s="424">
        <f>VLOOKUP($A$2,'Costs Summary'!$B$154:$R$176,COLUMNS('Costs Summary'!$B$154:P$176)+1,0)</f>
        <v>406894.29903483711</v>
      </c>
      <c r="Q32" s="433">
        <f>SUM(G32:P32)</f>
        <v>3183068.0122530744</v>
      </c>
      <c r="R32" s="366"/>
      <c r="S32" s="357"/>
      <c r="T32" s="8"/>
      <c r="U32" s="8"/>
    </row>
    <row r="33" spans="1:21" s="7" customFormat="1" ht="17.25" customHeight="1">
      <c r="A33" s="368" t="s">
        <v>284</v>
      </c>
      <c r="B33" s="368" t="s">
        <v>335</v>
      </c>
      <c r="C33" s="423"/>
      <c r="D33" s="423"/>
      <c r="E33" s="423"/>
      <c r="F33" s="424">
        <f>VLOOKUP($A$2,'Costs Summary'!$B$183:$R$205,COLUMNS('Costs Summary'!$B$183:F$205)+1,0)</f>
        <v>64459.194799999997</v>
      </c>
      <c r="G33" s="424">
        <f>VLOOKUP($A$2,'Costs Summary'!$B$183:$R$205,COLUMNS('Costs Summary'!$B$183:G$205)+1,0)</f>
        <v>86338.297580362618</v>
      </c>
      <c r="H33" s="424">
        <f>VLOOKUP($A$2,'Costs Summary'!$B$183:$R$205,COLUMNS('Costs Summary'!$B$183:H$205)+1,0)</f>
        <v>88928.446507773508</v>
      </c>
      <c r="I33" s="424">
        <f>VLOOKUP($A$2,'Costs Summary'!$B$183:$R$205,COLUMNS('Costs Summary'!$B$183:I$205)+1,0)</f>
        <v>91596.299903006715</v>
      </c>
      <c r="J33" s="424">
        <f>VLOOKUP($A$2,'Costs Summary'!$B$183:$R$205,COLUMNS('Costs Summary'!$B$183:J$205)+1,0)</f>
        <v>94344.188900096924</v>
      </c>
      <c r="K33" s="424">
        <f>VLOOKUP($A$2,'Costs Summary'!$B$183:$R$205,COLUMNS('Costs Summary'!$B$183:K$205)+1,0)</f>
        <v>97174.514567099832</v>
      </c>
      <c r="L33" s="424">
        <f>VLOOKUP($A$2,'Costs Summary'!$B$183:$R$205,COLUMNS('Costs Summary'!$B$183:L$205)+1,0)</f>
        <v>100089.75000411282</v>
      </c>
      <c r="M33" s="424">
        <f>VLOOKUP($A$2,'Costs Summary'!$B$183:$R$205,COLUMNS('Costs Summary'!$B$183:M$205)+1,0)</f>
        <v>103092.44250423621</v>
      </c>
      <c r="N33" s="424">
        <f>VLOOKUP($A$2,'Costs Summary'!$B$183:$R$205,COLUMNS('Costs Summary'!$B$183:N$205)+1,0)</f>
        <v>106185.21577936331</v>
      </c>
      <c r="O33" s="424">
        <f>VLOOKUP($A$2,'Costs Summary'!$B$183:$R$205,COLUMNS('Costs Summary'!$B$183:O$205)+1,0)</f>
        <v>109370.77225274421</v>
      </c>
      <c r="P33" s="424">
        <f>VLOOKUP($A$2,'Costs Summary'!$B$183:$R$205,COLUMNS('Costs Summary'!$B$183:P$205)+1,0)</f>
        <v>112651.89542032653</v>
      </c>
      <c r="Q33" s="433">
        <f>SUM(G33:P33)</f>
        <v>989771.82341912261</v>
      </c>
      <c r="R33" s="366"/>
      <c r="S33" s="357"/>
      <c r="T33" s="8"/>
      <c r="U33" s="8"/>
    </row>
    <row r="34" spans="1:21" s="7" customFormat="1" ht="17.25" customHeight="1">
      <c r="A34" s="368" t="s">
        <v>284</v>
      </c>
      <c r="B34" s="368" t="s">
        <v>336</v>
      </c>
      <c r="H34" s="424">
        <f>VLOOKUP($A$2,'Costs Summary'!$B$241:$R$263,COLUMNS('Costs Summary'!$B$241:H263)+1,0)</f>
        <v>11801.400600000001</v>
      </c>
      <c r="I34" s="424">
        <f>VLOOKUP($A$2,'Costs Summary'!$B$241:$R$263,COLUMNS('Costs Summary'!$B$241:I263)+1,0)</f>
        <v>11801.400600000001</v>
      </c>
      <c r="J34" s="424">
        <f>VLOOKUP($A$2,'Costs Summary'!$B$241:$R$263,COLUMNS('Costs Summary'!$B$241:J263)+1,0)</f>
        <v>11801.400600000001</v>
      </c>
      <c r="K34" s="424">
        <f>VLOOKUP($A$2,'Costs Summary'!$B$241:$R$263,COLUMNS('Costs Summary'!$B$241:K263)+1,0)</f>
        <v>11801.400600000001</v>
      </c>
      <c r="L34" s="424">
        <f>VLOOKUP($A$2,'Costs Summary'!$B$241:$R$263,COLUMNS('Costs Summary'!$B$241:L263)+1,0)</f>
        <v>11801.400600000001</v>
      </c>
      <c r="M34" s="424">
        <f>VLOOKUP($A$2,'Costs Summary'!$B$241:$R$263,COLUMNS('Costs Summary'!$B$241:M263)+1,0)</f>
        <v>11801.400600000001</v>
      </c>
      <c r="N34" s="424">
        <f>VLOOKUP($A$2,'Costs Summary'!$B$241:$R$263,COLUMNS('Costs Summary'!$B$241:N263)+1,0)</f>
        <v>11801.400600000001</v>
      </c>
      <c r="O34" s="424">
        <f>VLOOKUP($A$2,'Costs Summary'!$B$241:$R$263,COLUMNS('Costs Summary'!$B$241:O263)+1,0)</f>
        <v>11801.400600000001</v>
      </c>
      <c r="P34" s="424">
        <f>VLOOKUP($A$2,'Costs Summary'!$B$241:$R$263,COLUMNS('Costs Summary'!$B$241:P263)+1,0)</f>
        <v>11801.400600000001</v>
      </c>
      <c r="Q34" s="433">
        <f>SUM(G34:P34)</f>
        <v>106212.6054</v>
      </c>
      <c r="R34" s="366"/>
      <c r="S34" s="357"/>
      <c r="T34" s="8"/>
      <c r="U34" s="8"/>
    </row>
    <row r="35" spans="1:21" s="7" customFormat="1" ht="17.25" customHeight="1">
      <c r="A35" s="419" t="s">
        <v>319</v>
      </c>
      <c r="B35" s="419" t="s">
        <v>665</v>
      </c>
      <c r="C35" s="423"/>
      <c r="D35" s="423"/>
      <c r="E35" s="423"/>
      <c r="F35" s="423"/>
      <c r="G35" s="423"/>
      <c r="H35" s="424">
        <f>VLOOKUP($A$2,'Costs Summary'!$B$212:$R$234,COLUMNS('Costs Summary'!$B$212:H$234)+1,0)</f>
        <v>4345.1580508646994</v>
      </c>
      <c r="I35" s="424">
        <f>VLOOKUP($A$2,'Costs Summary'!$B$212:$R$234,COLUMNS('Costs Summary'!$B$212:I$234)+1,0)</f>
        <v>3913.9792434125998</v>
      </c>
      <c r="J35" s="424">
        <f>VLOOKUP($A$2,'Costs Summary'!$B$212:$R$234,COLUMNS('Costs Summary'!$B$212:J$234)+1,0)</f>
        <v>3482.8004359604993</v>
      </c>
      <c r="K35" s="424">
        <f>VLOOKUP($A$2,'Costs Summary'!$B$212:$R$234,COLUMNS('Costs Summary'!$B$212:K$234)+1,0)</f>
        <v>3051.6216285084001</v>
      </c>
      <c r="L35" s="424">
        <f>VLOOKUP($A$2,'Costs Summary'!$B$212:$R$234,COLUMNS('Costs Summary'!$B$212:L$234)+1,0)</f>
        <v>2620.4428210562996</v>
      </c>
      <c r="M35" s="424">
        <f>VLOOKUP($A$2,'Costs Summary'!$B$212:$R$234,COLUMNS('Costs Summary'!$B$212:M$234)+1,0)</f>
        <v>2189.2640136042</v>
      </c>
      <c r="N35" s="424">
        <f>VLOOKUP($A$2,'Costs Summary'!$B$212:$R$234,COLUMNS('Costs Summary'!$B$212:N$234)+1,0)</f>
        <v>1758.0852061520995</v>
      </c>
      <c r="O35" s="424">
        <f>VLOOKUP($A$2,'Costs Summary'!$B$212:$R$234,COLUMNS('Costs Summary'!$B$212:O$234)+1,0)</f>
        <v>1326.9063986999997</v>
      </c>
      <c r="P35" s="424">
        <f>VLOOKUP($A$2,'Costs Summary'!$B$212:$R$234,COLUMNS('Costs Summary'!$B$212:P$234)+1,0)</f>
        <v>1326.9063987</v>
      </c>
      <c r="Q35" s="433">
        <f>SUM(G35:P35)</f>
        <v>24015.164196958798</v>
      </c>
      <c r="R35" s="366"/>
      <c r="S35" s="357"/>
      <c r="T35" s="8"/>
      <c r="U35" s="8"/>
    </row>
    <row r="36" spans="1:21" s="7" customFormat="1" ht="17.25" customHeight="1" thickBot="1">
      <c r="A36" s="437" t="s">
        <v>338</v>
      </c>
      <c r="C36" s="423"/>
      <c r="D36" s="423"/>
      <c r="E36" s="368" t="s">
        <v>669</v>
      </c>
      <c r="F36" s="461">
        <f t="shared" ref="F36:P36" si="10">SUM(F32:F35)</f>
        <v>497159.06480000005</v>
      </c>
      <c r="G36" s="461">
        <f t="shared" si="10"/>
        <v>343838.49161833432</v>
      </c>
      <c r="H36" s="461">
        <f t="shared" si="10"/>
        <v>371587.70598793885</v>
      </c>
      <c r="I36" s="461">
        <f t="shared" si="10"/>
        <v>383152.32510474545</v>
      </c>
      <c r="J36" s="461">
        <f t="shared" si="10"/>
        <v>395123.45788192499</v>
      </c>
      <c r="K36" s="461">
        <f t="shared" si="10"/>
        <v>407514.93211958115</v>
      </c>
      <c r="L36" s="461">
        <f t="shared" si="10"/>
        <v>420341.04758548108</v>
      </c>
      <c r="M36" s="461">
        <f t="shared" si="10"/>
        <v>433616.59217376332</v>
      </c>
      <c r="N36" s="461">
        <f t="shared" si="10"/>
        <v>499584.88365262281</v>
      </c>
      <c r="O36" s="461">
        <f t="shared" si="10"/>
        <v>515633.66769090039</v>
      </c>
      <c r="P36" s="461">
        <f t="shared" si="10"/>
        <v>532674.50145386369</v>
      </c>
      <c r="Q36" s="462">
        <f t="shared" ref="Q36" si="11">SUM(Q32:Q35)</f>
        <v>4303067.6052691555</v>
      </c>
      <c r="R36" s="366"/>
      <c r="S36" s="357"/>
      <c r="T36" s="8"/>
      <c r="U36" s="8"/>
    </row>
    <row r="37" spans="1:21" s="7" customFormat="1" ht="17.25" customHeight="1" thickTop="1" thickBot="1">
      <c r="C37" s="423"/>
      <c r="D37" s="423"/>
      <c r="E37" s="368" t="s">
        <v>340</v>
      </c>
      <c r="F37" s="468">
        <f>F36/(VLOOKUP($A$2,'Asset Attributes'!$B$3:$D$25,3,0))</f>
        <v>12.051464494703417</v>
      </c>
      <c r="G37" s="468">
        <f>G36/(VLOOKUP($A$2,'Asset Attributes'!$B$3:$D$25,3,0))</f>
        <v>8.3348724121478277</v>
      </c>
      <c r="H37" s="468">
        <f>H36/(VLOOKUP($A$2,'Asset Attributes'!$B$3:$D$25,3,0))</f>
        <v>9.0075317186129222</v>
      </c>
      <c r="I37" s="468">
        <f>I36/(VLOOKUP($A$2,'Asset Attributes'!$B$3:$D$25,3,0))</f>
        <v>9.2878657335162398</v>
      </c>
      <c r="J37" s="468">
        <f>J36/(VLOOKUP($A$2,'Asset Attributes'!$B$3:$D$25,3,0))</f>
        <v>9.5780539083684815</v>
      </c>
      <c r="K37" s="468">
        <f>K36/(VLOOKUP($A$2,'Asset Attributes'!$B$3:$D$25,3,0))</f>
        <v>9.8784314381882812</v>
      </c>
      <c r="L37" s="468">
        <f>L36/(VLOOKUP($A$2,'Asset Attributes'!$B$3:$D$25,3,0))</f>
        <v>10.189344958802538</v>
      </c>
      <c r="M37" s="468">
        <f>M36/(VLOOKUP($A$2,'Asset Attributes'!$B$3:$D$25,3,0))</f>
        <v>10.511152938544186</v>
      </c>
      <c r="N37" s="468">
        <f>N36/(VLOOKUP($A$2,'Asset Attributes'!$B$3:$D$25,3,0))</f>
        <v>12.110267947849195</v>
      </c>
      <c r="O37" s="468">
        <f>O36/(VLOOKUP($A$2,'Asset Attributes'!$B$3:$D$25,3,0))</f>
        <v>12.499301085761045</v>
      </c>
      <c r="P37" s="468">
        <f>P36/(VLOOKUP($A$2,'Asset Attributes'!$B$3:$D$25,3,0))</f>
        <v>12.912382165027118</v>
      </c>
      <c r="Q37" s="460"/>
      <c r="R37" s="366"/>
      <c r="S37" s="357"/>
      <c r="T37" s="8"/>
      <c r="U37" s="8"/>
    </row>
    <row r="38" spans="1:21" s="7" customFormat="1" ht="17.25" customHeight="1" thickTop="1">
      <c r="A38" s="436" t="s">
        <v>341</v>
      </c>
      <c r="R38" s="366"/>
      <c r="S38" s="357"/>
      <c r="T38" s="8"/>
      <c r="U38" s="8"/>
    </row>
    <row r="39" spans="1:21" s="7" customFormat="1" ht="17.25" customHeight="1">
      <c r="A39" s="368" t="str">
        <f>VLOOKUP($A$2,'Asset Attributes'!$B$3:$D$25,2,0)</f>
        <v>NSW3</v>
      </c>
      <c r="B39" s="368" t="s">
        <v>342</v>
      </c>
      <c r="C39" s="423"/>
      <c r="D39" s="423"/>
      <c r="E39" s="367"/>
      <c r="F39" s="424">
        <f>VLOOKUP($A$2,'Costs Summary'!$B$4:$R$26,COLUMNS('Costs Summary'!$B$4:F$26)+1,0)</f>
        <v>432699.87000000005</v>
      </c>
      <c r="G39" s="424">
        <f>VLOOKUP($A$2,'Costs Summary'!$B$4:$R$26,COLUMNS('Costs Summary'!$B$4:G$26)+1,0)</f>
        <v>257500.19403797167</v>
      </c>
      <c r="H39" s="424">
        <f>VLOOKUP($A$2,'Costs Summary'!$B$4:$R$26,COLUMNS('Costs Summary'!$B$4:H$26)+1,0)</f>
        <v>266512.70082930068</v>
      </c>
      <c r="I39" s="424">
        <f>VLOOKUP($A$2,'Costs Summary'!$B$4:$R$26,COLUMNS('Costs Summary'!$B$4:I$26)+1,0)</f>
        <v>275840.64535832615</v>
      </c>
      <c r="J39" s="424">
        <f>VLOOKUP($A$2,'Costs Summary'!$B$4:$R$26,COLUMNS('Costs Summary'!$B$4:J$26)+1,0)</f>
        <v>285495.06794586754</v>
      </c>
      <c r="K39" s="424">
        <f>VLOOKUP($A$2,'Costs Summary'!$B$4:$R$26,COLUMNS('Costs Summary'!$B$4:K$26)+1,0)</f>
        <v>295487.39532397292</v>
      </c>
      <c r="L39" s="424">
        <f>VLOOKUP($A$2,'Costs Summary'!$B$4:$R$26,COLUMNS('Costs Summary'!$B$4:L$26)+1,0)</f>
        <v>305829.45416031196</v>
      </c>
      <c r="M39" s="424">
        <f>VLOOKUP($A$2,'Costs Summary'!$B$4:$R$26,COLUMNS('Costs Summary'!$B$4:M$26)+1,0)</f>
        <v>316533.48505592288</v>
      </c>
      <c r="N39" s="424">
        <f>VLOOKUP($A$2,'Costs Summary'!$B$4:$R$26,COLUMNS('Costs Summary'!$B$4:N$26)+1,0)</f>
        <v>379840.18206710741</v>
      </c>
      <c r="O39" s="424">
        <f>VLOOKUP($A$2,'Costs Summary'!$B$4:$R$26,COLUMNS('Costs Summary'!$B$4:O$26)+1,0)</f>
        <v>393134.58843945619</v>
      </c>
      <c r="P39" s="424">
        <f>VLOOKUP($A$2,'Costs Summary'!$B$4:$R$26,COLUMNS('Costs Summary'!$B$4:P$26)+1,0)</f>
        <v>406894.29903483711</v>
      </c>
      <c r="Q39" s="433">
        <f>SUM(G39:P39)</f>
        <v>3183068.0122530744</v>
      </c>
      <c r="R39" s="366"/>
      <c r="S39" s="357"/>
      <c r="T39" s="8"/>
      <c r="U39" s="8"/>
    </row>
    <row r="40" spans="1:21" s="7" customFormat="1" ht="17.25" customHeight="1">
      <c r="A40" s="368" t="s">
        <v>284</v>
      </c>
      <c r="B40" s="368" t="s">
        <v>343</v>
      </c>
      <c r="C40" s="423"/>
      <c r="D40" s="423"/>
      <c r="E40" s="423"/>
      <c r="F40" s="424">
        <f>VLOOKUP($A$2,'Costs Summary'!$B$33:$R$55,COLUMNS('Costs Summary'!$B$33:F$55)+1,0)</f>
        <v>64459.194799999997</v>
      </c>
      <c r="G40" s="424">
        <f>VLOOKUP($A$2,'Costs Summary'!$B$33:$R$55,COLUMNS('Costs Summary'!$B$33:G$55)+1,0)</f>
        <v>86338.297580362618</v>
      </c>
      <c r="H40" s="424">
        <f>VLOOKUP($A$2,'Costs Summary'!$B$33:$R$55,COLUMNS('Costs Summary'!$B$33:H$55)+1,0)</f>
        <v>88928.446507773508</v>
      </c>
      <c r="I40" s="424">
        <f>VLOOKUP($A$2,'Costs Summary'!$B$33:$R$55,COLUMNS('Costs Summary'!$B$33:I$55)+1,0)</f>
        <v>91596.299903006715</v>
      </c>
      <c r="J40" s="424">
        <f>VLOOKUP($A$2,'Costs Summary'!$B$33:$R$55,COLUMNS('Costs Summary'!$B$33:J$55)+1,0)</f>
        <v>94344.188900096924</v>
      </c>
      <c r="K40" s="424">
        <f>VLOOKUP($A$2,'Costs Summary'!$B$33:$R$55,COLUMNS('Costs Summary'!$B$33:K$55)+1,0)</f>
        <v>97174.514567099832</v>
      </c>
      <c r="L40" s="424">
        <f>VLOOKUP($A$2,'Costs Summary'!$B$33:$R$55,COLUMNS('Costs Summary'!$B$33:L$55)+1,0)</f>
        <v>100089.75000411282</v>
      </c>
      <c r="M40" s="424">
        <f>VLOOKUP($A$2,'Costs Summary'!$B$33:$R$55,COLUMNS('Costs Summary'!$B$33:M$55)+1,0)</f>
        <v>103092.44250423621</v>
      </c>
      <c r="N40" s="424">
        <f>VLOOKUP($A$2,'Costs Summary'!$B$33:$R$55,COLUMNS('Costs Summary'!$B$33:N$55)+1,0)</f>
        <v>106185.21577936331</v>
      </c>
      <c r="O40" s="424">
        <f>VLOOKUP($A$2,'Costs Summary'!$B$33:$R$55,COLUMNS('Costs Summary'!$B$33:O$55)+1,0)</f>
        <v>109370.77225274421</v>
      </c>
      <c r="P40" s="424">
        <f>VLOOKUP($A$2,'Costs Summary'!$B$33:$R$55,COLUMNS('Costs Summary'!$B$33:P$55)+1,0)</f>
        <v>112651.89542032653</v>
      </c>
      <c r="Q40" s="433">
        <f>SUM(G40:P40)</f>
        <v>989771.82341912261</v>
      </c>
      <c r="R40" s="366"/>
      <c r="S40" s="357"/>
      <c r="T40" s="8"/>
      <c r="U40" s="8"/>
    </row>
    <row r="41" spans="1:21" s="7" customFormat="1" ht="17.25" customHeight="1">
      <c r="A41" s="368" t="s">
        <v>284</v>
      </c>
      <c r="B41" s="368" t="s">
        <v>336</v>
      </c>
      <c r="H41" s="424">
        <f>VLOOKUP($A$2,'Costs Summary'!$B$125:$R$147,COLUMNS('Costs Summary'!$B$125:H$147)+1,0)</f>
        <v>11801.400600000001</v>
      </c>
      <c r="I41" s="424">
        <f>VLOOKUP($A$2,'Costs Summary'!$B$125:$R$147,COLUMNS('Costs Summary'!$B$125:I$147)+1,0)</f>
        <v>11801.400600000001</v>
      </c>
      <c r="J41" s="424">
        <f>VLOOKUP($A$2,'Costs Summary'!$B$125:$R$147,COLUMNS('Costs Summary'!$B$125:J$147)+1,0)</f>
        <v>11801.400600000001</v>
      </c>
      <c r="K41" s="424">
        <f>VLOOKUP($A$2,'Costs Summary'!$B$125:$R$147,COLUMNS('Costs Summary'!$B$125:K$147)+1,0)</f>
        <v>11801.400600000001</v>
      </c>
      <c r="L41" s="424">
        <f>VLOOKUP($A$2,'Costs Summary'!$B$125:$R$147,COLUMNS('Costs Summary'!$B$125:L$147)+1,0)</f>
        <v>11801.400600000001</v>
      </c>
      <c r="M41" s="424">
        <f>VLOOKUP($A$2,'Costs Summary'!$B$125:$R$147,COLUMNS('Costs Summary'!$B$125:M$147)+1,0)</f>
        <v>11801.400600000001</v>
      </c>
      <c r="N41" s="424">
        <f>VLOOKUP($A$2,'Costs Summary'!$B$125:$R$147,COLUMNS('Costs Summary'!$B$125:N$147)+1,0)</f>
        <v>11801.400600000001</v>
      </c>
      <c r="O41" s="424">
        <f>VLOOKUP($A$2,'Costs Summary'!$B$125:$R$147,COLUMNS('Costs Summary'!$B$125:O$147)+1,0)</f>
        <v>11801.400600000001</v>
      </c>
      <c r="P41" s="424">
        <f>VLOOKUP($A$2,'Costs Summary'!$B$125:$R$147,COLUMNS('Costs Summary'!$B$125:P$147)+1,0)</f>
        <v>11801.400600000001</v>
      </c>
      <c r="Q41" s="433">
        <f t="shared" ref="Q41:Q42" si="12">SUM(G41:P41)</f>
        <v>106212.6054</v>
      </c>
      <c r="R41" s="366"/>
      <c r="S41" s="357"/>
      <c r="T41" s="8"/>
      <c r="U41" s="8"/>
    </row>
    <row r="42" spans="1:21" s="7" customFormat="1" ht="17.25" customHeight="1">
      <c r="A42" s="419" t="s">
        <v>319</v>
      </c>
      <c r="B42" s="419" t="s">
        <v>666</v>
      </c>
      <c r="C42" s="423"/>
      <c r="D42" s="423"/>
      <c r="E42" s="423"/>
      <c r="F42" s="423"/>
      <c r="G42" s="423"/>
      <c r="H42" s="424">
        <f>VLOOKUP($A$2,'Costs Summary'!$B$212:$R$234,COLUMNS('Costs Summary'!$B$212:H$234)+1,0)</f>
        <v>4345.1580508646994</v>
      </c>
      <c r="I42" s="424">
        <f>VLOOKUP($A$2,'Costs Summary'!$B$212:$R$234,COLUMNS('Costs Summary'!$B$212:I$234)+1,0)</f>
        <v>3913.9792434125998</v>
      </c>
      <c r="J42" s="424">
        <f>VLOOKUP($A$2,'Costs Summary'!$B$212:$R$234,COLUMNS('Costs Summary'!$B$212:J$234)+1,0)</f>
        <v>3482.8004359604993</v>
      </c>
      <c r="K42" s="424">
        <f>VLOOKUP($A$2,'Costs Summary'!$B$212:$R$234,COLUMNS('Costs Summary'!$B$212:K$234)+1,0)</f>
        <v>3051.6216285084001</v>
      </c>
      <c r="L42" s="424">
        <f>VLOOKUP($A$2,'Costs Summary'!$B$212:$R$234,COLUMNS('Costs Summary'!$B$212:L$234)+1,0)</f>
        <v>2620.4428210562996</v>
      </c>
      <c r="M42" s="424">
        <f>VLOOKUP($A$2,'Costs Summary'!$B$212:$R$234,COLUMNS('Costs Summary'!$B$212:M$234)+1,0)</f>
        <v>2189.2640136042</v>
      </c>
      <c r="N42" s="424">
        <f>VLOOKUP($A$2,'Costs Summary'!$B$212:$R$234,COLUMNS('Costs Summary'!$B$212:N$234)+1,0)</f>
        <v>1758.0852061520995</v>
      </c>
      <c r="O42" s="424">
        <f>VLOOKUP($A$2,'Costs Summary'!$B$212:$R$234,COLUMNS('Costs Summary'!$B$212:O$234)+1,0)</f>
        <v>1326.9063986999997</v>
      </c>
      <c r="P42" s="424">
        <f>VLOOKUP($A$2,'Costs Summary'!$B$212:$R$234,COLUMNS('Costs Summary'!$B$212:P$234)+1,0)</f>
        <v>1326.9063987</v>
      </c>
      <c r="Q42" s="433">
        <f t="shared" si="12"/>
        <v>24015.164196958798</v>
      </c>
      <c r="R42" s="366"/>
      <c r="S42" s="357"/>
      <c r="T42" s="8"/>
      <c r="U42" s="8"/>
    </row>
    <row r="43" spans="1:21" s="7" customFormat="1" ht="17.25" customHeight="1" thickBot="1">
      <c r="A43" s="437" t="s">
        <v>338</v>
      </c>
      <c r="E43" s="368" t="s">
        <v>669</v>
      </c>
      <c r="F43" s="461">
        <f t="shared" ref="F43:P43" si="13">SUM(F39:F42)</f>
        <v>497159.06480000005</v>
      </c>
      <c r="G43" s="461">
        <f t="shared" si="13"/>
        <v>343838.49161833432</v>
      </c>
      <c r="H43" s="461">
        <f t="shared" si="13"/>
        <v>371587.70598793885</v>
      </c>
      <c r="I43" s="461">
        <f t="shared" si="13"/>
        <v>383152.32510474545</v>
      </c>
      <c r="J43" s="461">
        <f t="shared" si="13"/>
        <v>395123.45788192499</v>
      </c>
      <c r="K43" s="461">
        <f t="shared" si="13"/>
        <v>407514.93211958115</v>
      </c>
      <c r="L43" s="461">
        <f t="shared" si="13"/>
        <v>420341.04758548108</v>
      </c>
      <c r="M43" s="461">
        <f t="shared" si="13"/>
        <v>433616.59217376332</v>
      </c>
      <c r="N43" s="461">
        <f t="shared" si="13"/>
        <v>499584.88365262281</v>
      </c>
      <c r="O43" s="461">
        <f t="shared" si="13"/>
        <v>515633.66769090039</v>
      </c>
      <c r="P43" s="461">
        <f t="shared" si="13"/>
        <v>532674.50145386369</v>
      </c>
      <c r="Q43" s="462">
        <f t="shared" ref="Q43" si="14">SUM(Q39:Q42)</f>
        <v>4303067.6052691555</v>
      </c>
      <c r="R43" s="366"/>
      <c r="S43" s="357"/>
      <c r="T43" s="8"/>
      <c r="U43" s="8"/>
    </row>
    <row r="44" spans="1:21" s="7" customFormat="1" ht="17.25" customHeight="1" thickTop="1" thickBot="1">
      <c r="E44" s="368" t="s">
        <v>340</v>
      </c>
      <c r="F44" s="468">
        <f>F43/(VLOOKUP($A$2,'Asset Attributes'!$B$3:$D$25,3,0))</f>
        <v>12.051464494703417</v>
      </c>
      <c r="G44" s="468">
        <f>G43/(VLOOKUP($A$2,'Asset Attributes'!$B$3:$D$25,3,0))</f>
        <v>8.3348724121478277</v>
      </c>
      <c r="H44" s="468">
        <f>H43/(VLOOKUP($A$2,'Asset Attributes'!$B$3:$D$25,3,0))</f>
        <v>9.0075317186129222</v>
      </c>
      <c r="I44" s="468">
        <f>I43/(VLOOKUP($A$2,'Asset Attributes'!$B$3:$D$25,3,0))</f>
        <v>9.2878657335162398</v>
      </c>
      <c r="J44" s="468">
        <f>J43/(VLOOKUP($A$2,'Asset Attributes'!$B$3:$D$25,3,0))</f>
        <v>9.5780539083684815</v>
      </c>
      <c r="K44" s="468">
        <f>K43/(VLOOKUP($A$2,'Asset Attributes'!$B$3:$D$25,3,0))</f>
        <v>9.8784314381882812</v>
      </c>
      <c r="L44" s="468">
        <f>L43/(VLOOKUP($A$2,'Asset Attributes'!$B$3:$D$25,3,0))</f>
        <v>10.189344958802538</v>
      </c>
      <c r="M44" s="468">
        <f>M43/(VLOOKUP($A$2,'Asset Attributes'!$B$3:$D$25,3,0))</f>
        <v>10.511152938544186</v>
      </c>
      <c r="N44" s="468">
        <f>N43/(VLOOKUP($A$2,'Asset Attributes'!$B$3:$D$25,3,0))</f>
        <v>12.110267947849195</v>
      </c>
      <c r="O44" s="468">
        <f>O43/(VLOOKUP($A$2,'Asset Attributes'!$B$3:$D$25,3,0))</f>
        <v>12.499301085761045</v>
      </c>
      <c r="P44" s="468">
        <f>P43/(VLOOKUP($A$2,'Asset Attributes'!$B$3:$D$25,3,0))</f>
        <v>12.912382165027118</v>
      </c>
      <c r="Q44" s="460">
        <f>Q43/(VLOOKUP($A$2,'Asset Attributes'!$B$3:$D$25,3,0))</f>
        <v>104.30920430681782</v>
      </c>
      <c r="R44" s="366"/>
      <c r="S44" s="357"/>
      <c r="T44" s="8"/>
      <c r="U44" s="8"/>
    </row>
    <row r="45" spans="1:21" s="7" customFormat="1" ht="17.25" customHeight="1" thickTop="1">
      <c r="B45" s="1"/>
      <c r="C45" s="2"/>
      <c r="D45" s="2"/>
      <c r="E45" s="3"/>
      <c r="F45" s="430"/>
      <c r="R45" s="366"/>
      <c r="S45" s="357"/>
      <c r="T45" s="8"/>
      <c r="U45" s="8"/>
    </row>
    <row r="46" spans="1:21" s="7" customFormat="1" ht="17.25" customHeight="1" thickBot="1">
      <c r="A46" s="437" t="s">
        <v>670</v>
      </c>
      <c r="B46" s="1"/>
      <c r="C46" s="2"/>
      <c r="D46" s="2"/>
      <c r="E46" s="368" t="s">
        <v>200</v>
      </c>
      <c r="F46" s="461">
        <f>F43-F36</f>
        <v>0</v>
      </c>
      <c r="G46" s="461">
        <f t="shared" ref="G46:P46" si="15">G43-G36</f>
        <v>0</v>
      </c>
      <c r="H46" s="461">
        <f t="shared" si="15"/>
        <v>0</v>
      </c>
      <c r="I46" s="461">
        <f t="shared" si="15"/>
        <v>0</v>
      </c>
      <c r="J46" s="461">
        <f t="shared" si="15"/>
        <v>0</v>
      </c>
      <c r="K46" s="461">
        <f t="shared" si="15"/>
        <v>0</v>
      </c>
      <c r="L46" s="461">
        <f t="shared" si="15"/>
        <v>0</v>
      </c>
      <c r="M46" s="461">
        <f t="shared" si="15"/>
        <v>0</v>
      </c>
      <c r="N46" s="461">
        <f t="shared" si="15"/>
        <v>0</v>
      </c>
      <c r="O46" s="461">
        <f t="shared" si="15"/>
        <v>0</v>
      </c>
      <c r="P46" s="461">
        <f t="shared" si="15"/>
        <v>0</v>
      </c>
      <c r="Q46" s="462">
        <f>SUM(F46:P46)</f>
        <v>0</v>
      </c>
      <c r="R46" s="366"/>
      <c r="S46" s="357"/>
      <c r="T46" s="8"/>
      <c r="U46" s="8"/>
    </row>
    <row r="47" spans="1:21" s="7" customFormat="1" ht="17.25" customHeight="1" thickTop="1" thickBot="1">
      <c r="A47" s="9"/>
      <c r="B47" s="1"/>
      <c r="C47" s="2"/>
      <c r="D47" s="2"/>
      <c r="E47" s="368" t="s">
        <v>340</v>
      </c>
      <c r="F47" s="468">
        <f>F46/(VLOOKUP($A$2,'Asset Attributes'!$B$3:$D$25,3,0))</f>
        <v>0</v>
      </c>
      <c r="G47" s="468">
        <f>G46/(VLOOKUP($A$2,'Asset Attributes'!$B$3:$D$25,3,0))</f>
        <v>0</v>
      </c>
      <c r="H47" s="468">
        <f>H46/(VLOOKUP($A$2,'Asset Attributes'!$B$3:$D$25,3,0))</f>
        <v>0</v>
      </c>
      <c r="I47" s="468">
        <f>I46/(VLOOKUP($A$2,'Asset Attributes'!$B$3:$D$25,3,0))</f>
        <v>0</v>
      </c>
      <c r="J47" s="468">
        <f>J46/(VLOOKUP($A$2,'Asset Attributes'!$B$3:$D$25,3,0))</f>
        <v>0</v>
      </c>
      <c r="K47" s="468">
        <f>K46/(VLOOKUP($A$2,'Asset Attributes'!$B$3:$D$25,3,0))</f>
        <v>0</v>
      </c>
      <c r="L47" s="468">
        <f>L46/(VLOOKUP($A$2,'Asset Attributes'!$B$3:$D$25,3,0))</f>
        <v>0</v>
      </c>
      <c r="M47" s="468">
        <f>M46/(VLOOKUP($A$2,'Asset Attributes'!$B$3:$D$25,3,0))</f>
        <v>0</v>
      </c>
      <c r="N47" s="468">
        <f>N46/(VLOOKUP($A$2,'Asset Attributes'!$B$3:$D$25,3,0))</f>
        <v>0</v>
      </c>
      <c r="O47" s="468">
        <f>O46/(VLOOKUP($A$2,'Asset Attributes'!$B$3:$D$25,3,0))</f>
        <v>0</v>
      </c>
      <c r="P47" s="468">
        <f>P46/(VLOOKUP($A$2,'Asset Attributes'!$B$3:$D$25,3,0))</f>
        <v>0</v>
      </c>
      <c r="Q47" s="460">
        <f>Q46/(VLOOKUP($A$2,'Asset Attributes'!$B$3:$D$25,3,0))</f>
        <v>0</v>
      </c>
      <c r="R47" s="366"/>
      <c r="S47" s="357"/>
      <c r="T47" s="8"/>
      <c r="U47" s="8"/>
    </row>
    <row r="48" spans="1:21" s="7" customFormat="1" ht="17.25" customHeight="1" thickTop="1">
      <c r="A48" s="436" t="s">
        <v>345</v>
      </c>
      <c r="B48" s="1"/>
      <c r="C48" s="2"/>
      <c r="D48" s="2"/>
      <c r="E48" s="368"/>
      <c r="F48" s="431"/>
      <c r="G48" s="431"/>
      <c r="H48" s="431"/>
      <c r="I48" s="431"/>
      <c r="J48" s="431"/>
      <c r="K48" s="431"/>
      <c r="L48" s="431"/>
      <c r="M48" s="431"/>
      <c r="N48" s="431"/>
      <c r="O48" s="431"/>
      <c r="P48" s="431"/>
      <c r="Q48" s="357"/>
      <c r="R48" s="366"/>
      <c r="S48" s="357"/>
      <c r="T48" s="8"/>
      <c r="U48" s="8"/>
    </row>
    <row r="49" spans="1:24" s="7" customFormat="1" ht="17.25" customHeight="1">
      <c r="B49" s="368" t="s">
        <v>346</v>
      </c>
      <c r="C49" s="2"/>
      <c r="D49" s="2"/>
      <c r="E49" s="459" t="s">
        <v>347</v>
      </c>
      <c r="F49" s="463"/>
      <c r="G49" s="464">
        <f t="shared" ref="G49:P49" si="16">G115</f>
        <v>0</v>
      </c>
      <c r="H49" s="464">
        <f t="shared" si="16"/>
        <v>0</v>
      </c>
      <c r="I49" s="464">
        <f t="shared" si="16"/>
        <v>0</v>
      </c>
      <c r="J49" s="464">
        <f t="shared" si="16"/>
        <v>0</v>
      </c>
      <c r="K49" s="464">
        <f t="shared" si="16"/>
        <v>0</v>
      </c>
      <c r="L49" s="464">
        <f t="shared" si="16"/>
        <v>0</v>
      </c>
      <c r="M49" s="464">
        <f t="shared" si="16"/>
        <v>0</v>
      </c>
      <c r="N49" s="464">
        <f t="shared" si="16"/>
        <v>0</v>
      </c>
      <c r="O49" s="464">
        <f t="shared" si="16"/>
        <v>0</v>
      </c>
      <c r="P49" s="464">
        <f t="shared" si="16"/>
        <v>0</v>
      </c>
      <c r="Q49" s="465">
        <f>+SUM(F49:P49)</f>
        <v>0</v>
      </c>
      <c r="R49" s="366"/>
      <c r="S49" s="357"/>
      <c r="T49" s="8"/>
      <c r="U49" s="8"/>
      <c r="V49" s="8"/>
      <c r="W49" s="8"/>
      <c r="X49" s="8"/>
    </row>
    <row r="50" spans="1:24" s="7" customFormat="1" ht="17.25" customHeight="1">
      <c r="A50" s="9"/>
      <c r="B50" s="368"/>
      <c r="C50" s="2"/>
      <c r="D50" s="2"/>
      <c r="E50" s="459" t="s">
        <v>348</v>
      </c>
      <c r="F50" s="466">
        <f>F46</f>
        <v>0</v>
      </c>
      <c r="G50" s="466">
        <f t="shared" ref="G50:P50" si="17">G46</f>
        <v>0</v>
      </c>
      <c r="H50" s="466">
        <f t="shared" si="17"/>
        <v>0</v>
      </c>
      <c r="I50" s="466">
        <f t="shared" si="17"/>
        <v>0</v>
      </c>
      <c r="J50" s="466">
        <f t="shared" si="17"/>
        <v>0</v>
      </c>
      <c r="K50" s="466">
        <f t="shared" si="17"/>
        <v>0</v>
      </c>
      <c r="L50" s="466">
        <f t="shared" si="17"/>
        <v>0</v>
      </c>
      <c r="M50" s="466">
        <f t="shared" si="17"/>
        <v>0</v>
      </c>
      <c r="N50" s="466">
        <f t="shared" si="17"/>
        <v>0</v>
      </c>
      <c r="O50" s="466">
        <f t="shared" si="17"/>
        <v>0</v>
      </c>
      <c r="P50" s="466">
        <f t="shared" si="17"/>
        <v>0</v>
      </c>
      <c r="Q50" s="467">
        <f>Q46</f>
        <v>0</v>
      </c>
      <c r="R50" s="366"/>
      <c r="S50" s="357"/>
      <c r="T50" s="8"/>
      <c r="U50" s="8"/>
      <c r="V50" s="8"/>
      <c r="W50" s="8"/>
      <c r="X50" s="8"/>
    </row>
    <row r="51" spans="1:24" s="7" customFormat="1" ht="17.25" customHeight="1">
      <c r="A51" s="9"/>
      <c r="B51" s="368"/>
      <c r="C51" s="2"/>
      <c r="D51" s="2"/>
      <c r="E51" s="3"/>
      <c r="F51" s="431"/>
      <c r="G51" s="431"/>
      <c r="H51" s="431"/>
      <c r="I51" s="431"/>
      <c r="J51" s="431"/>
      <c r="K51" s="431"/>
      <c r="L51" s="431"/>
      <c r="M51" s="431"/>
      <c r="N51" s="431"/>
      <c r="O51" s="431"/>
      <c r="P51" s="431"/>
      <c r="Q51" s="469"/>
      <c r="R51" s="366"/>
      <c r="S51" s="357"/>
      <c r="T51" s="8"/>
      <c r="U51" s="8"/>
      <c r="V51" s="8"/>
      <c r="W51" s="8"/>
      <c r="X51" s="8"/>
    </row>
    <row r="52" spans="1:24" s="7" customFormat="1" ht="17.25" customHeight="1">
      <c r="A52" s="9"/>
      <c r="B52" s="1"/>
      <c r="C52" s="2"/>
      <c r="D52" s="2"/>
      <c r="E52" s="3"/>
      <c r="F52" s="431"/>
      <c r="G52" s="431"/>
      <c r="H52" s="431"/>
      <c r="I52" s="431"/>
      <c r="J52" s="431"/>
      <c r="K52" s="431"/>
      <c r="L52" s="431"/>
      <c r="M52" s="431"/>
      <c r="N52" s="431"/>
      <c r="O52" s="431"/>
      <c r="P52" s="431"/>
      <c r="Q52" s="357"/>
      <c r="R52" s="366"/>
      <c r="S52" s="357"/>
      <c r="T52" s="8"/>
      <c r="U52" s="8"/>
      <c r="V52" s="8"/>
      <c r="W52" s="8"/>
      <c r="X52" s="8"/>
    </row>
    <row r="53" spans="1:24" s="7" customFormat="1" ht="17.25" customHeight="1">
      <c r="A53" s="9"/>
      <c r="B53" s="1"/>
      <c r="C53" s="2"/>
      <c r="D53" s="2"/>
      <c r="E53" s="3"/>
      <c r="F53" s="431"/>
      <c r="G53" s="431"/>
      <c r="H53" s="431"/>
      <c r="I53" s="431"/>
      <c r="J53" s="431"/>
      <c r="K53" s="431"/>
      <c r="L53" s="431"/>
      <c r="M53" s="431"/>
      <c r="N53" s="431"/>
      <c r="O53" s="431"/>
      <c r="P53" s="431"/>
      <c r="Q53" s="357"/>
      <c r="R53" s="366"/>
      <c r="S53" s="357"/>
      <c r="T53" s="8"/>
      <c r="U53" s="8"/>
      <c r="V53" s="8"/>
      <c r="W53" s="8"/>
      <c r="X53" s="8"/>
    </row>
    <row r="54" spans="1:24" s="7" customFormat="1" ht="36.75" customHeight="1" thickBot="1">
      <c r="A54" s="9" t="s">
        <v>349</v>
      </c>
      <c r="B54" s="1"/>
      <c r="C54" s="2"/>
      <c r="D54" s="2"/>
      <c r="E54" s="3"/>
      <c r="F54" s="431"/>
      <c r="G54" s="431"/>
      <c r="H54" s="431"/>
      <c r="I54" s="431"/>
      <c r="J54" s="431"/>
      <c r="K54" s="431"/>
      <c r="L54" s="431"/>
      <c r="M54" s="431"/>
      <c r="N54" s="431"/>
      <c r="O54" s="431"/>
      <c r="P54" s="431"/>
      <c r="Q54" s="357"/>
      <c r="R54" s="9" t="s">
        <v>351</v>
      </c>
      <c r="S54" s="357"/>
      <c r="T54" s="8"/>
      <c r="U54" s="8"/>
      <c r="V54" s="10" t="s">
        <v>384</v>
      </c>
      <c r="W54" s="8"/>
      <c r="X54" s="8"/>
    </row>
    <row r="55" spans="1:24" s="7" customFormat="1" ht="33.75" customHeight="1" thickTop="1" thickBot="1">
      <c r="A55" s="184" t="s">
        <v>671</v>
      </c>
      <c r="B55" s="200"/>
      <c r="C55" s="200"/>
      <c r="D55" s="10"/>
      <c r="E55" s="441" t="s">
        <v>205</v>
      </c>
      <c r="F55" s="200" t="s">
        <v>188</v>
      </c>
      <c r="G55" s="200" t="str">
        <f>G67</f>
        <v>CURRENT</v>
      </c>
      <c r="H55" s="200" t="str">
        <f t="shared" ref="H55:P55" si="18">H67</f>
        <v>FY25</v>
      </c>
      <c r="I55" s="200" t="str">
        <f t="shared" si="18"/>
        <v>FY26</v>
      </c>
      <c r="J55" s="200" t="str">
        <f t="shared" si="18"/>
        <v>FY27</v>
      </c>
      <c r="K55" s="200" t="str">
        <f t="shared" si="18"/>
        <v>FY28</v>
      </c>
      <c r="L55" s="200" t="str">
        <f t="shared" si="18"/>
        <v>FY29</v>
      </c>
      <c r="M55" s="200" t="str">
        <f t="shared" si="18"/>
        <v>FY30</v>
      </c>
      <c r="N55" s="200" t="str">
        <f t="shared" si="18"/>
        <v>FY31</v>
      </c>
      <c r="O55" s="200" t="str">
        <f t="shared" si="18"/>
        <v>FY32</v>
      </c>
      <c r="P55" s="200" t="str">
        <f t="shared" si="18"/>
        <v>FY33</v>
      </c>
      <c r="Q55" s="200" t="s">
        <v>84</v>
      </c>
      <c r="R55" s="992" t="s">
        <v>673</v>
      </c>
      <c r="S55" s="992"/>
      <c r="T55" s="992" t="s">
        <v>355</v>
      </c>
      <c r="U55" s="992"/>
      <c r="V55" s="992" t="s">
        <v>356</v>
      </c>
      <c r="W55" s="992"/>
      <c r="X55" s="8"/>
    </row>
    <row r="56" spans="1:24" ht="25.5" customHeight="1" thickTop="1">
      <c r="A56" s="438" t="s">
        <v>357</v>
      </c>
      <c r="B56" s="11"/>
      <c r="C56" s="442">
        <v>45016</v>
      </c>
      <c r="D56" s="159"/>
      <c r="E56" s="487" t="str">
        <f>A2</f>
        <v>388 George Street</v>
      </c>
      <c r="F56" s="440">
        <f t="shared" ref="F56:P56" si="19">F272</f>
        <v>5.8446615893088083</v>
      </c>
      <c r="G56" s="440">
        <f t="shared" si="19"/>
        <v>5.8446615893088083</v>
      </c>
      <c r="H56" s="440">
        <f t="shared" si="19"/>
        <v>5.8446615893088083</v>
      </c>
      <c r="I56" s="440">
        <f t="shared" si="19"/>
        <v>5.8446615893088083</v>
      </c>
      <c r="J56" s="440">
        <f t="shared" si="19"/>
        <v>5.8446615893088083</v>
      </c>
      <c r="K56" s="440">
        <f t="shared" si="19"/>
        <v>5.8446615893088083</v>
      </c>
      <c r="L56" s="440">
        <f t="shared" si="19"/>
        <v>5.8446615893088083</v>
      </c>
      <c r="M56" s="440">
        <f t="shared" si="19"/>
        <v>5.8446615893088083</v>
      </c>
      <c r="N56" s="440">
        <f t="shared" si="19"/>
        <v>5.8446615893088083</v>
      </c>
      <c r="O56" s="440">
        <f t="shared" si="19"/>
        <v>5.8446615893088083</v>
      </c>
      <c r="P56" s="440">
        <f t="shared" si="19"/>
        <v>5.8446615893088083</v>
      </c>
      <c r="Q56" s="470">
        <f>IF(E56="",0,P56-F56)</f>
        <v>0</v>
      </c>
      <c r="R56" s="473" t="s">
        <v>358</v>
      </c>
      <c r="S56" s="478" t="s">
        <v>62</v>
      </c>
      <c r="T56" s="473" t="s">
        <v>358</v>
      </c>
      <c r="U56" s="478" t="s">
        <v>674</v>
      </c>
      <c r="V56" s="473" t="s">
        <v>358</v>
      </c>
      <c r="W56" s="479" t="e">
        <f ca="1">IF(W58=1,"Complete",IF(W60&lt;&gt;0,"Complete","Outstanding"))</f>
        <v>#NAME?</v>
      </c>
      <c r="X56" s="14"/>
    </row>
    <row r="57" spans="1:24" ht="25.5" customHeight="1">
      <c r="A57" s="438" t="s">
        <v>6</v>
      </c>
      <c r="C57" s="275" t="s">
        <v>118</v>
      </c>
      <c r="D57" s="160"/>
      <c r="E57" s="488" t="str">
        <f>IF(VLOOKUP($A$2,'Asset Attributes'!B3:G25,4,0)&gt;0.001,"ICPF","")</f>
        <v/>
      </c>
      <c r="F57" s="439" t="str">
        <f>IF($E$57="ICPF",(SUMPRODUCT('Footprint Summary'!G153:G175,'Footprint Summary'!$C153:$C175,'Footprint Summary'!$D153:$D175)/SUMPRODUCT('Footprint Summary'!$C153:$C175,'Footprint Summary'!$D153:$D175)),"")</f>
        <v/>
      </c>
      <c r="G57" s="439" t="str">
        <f>IF($E$57="ICPF",(SUMPRODUCT('Footprint Summary'!H153:H175,'Footprint Summary'!$C153:$C175,'Footprint Summary'!$D153:$D175)/SUMPRODUCT('Footprint Summary'!$C153:$C175,'Footprint Summary'!$D153:$D175)),"")</f>
        <v/>
      </c>
      <c r="H57" s="439" t="str">
        <f>IF($E$57="ICPF",(SUMPRODUCT('Footprint Summary'!I153:I175,'Footprint Summary'!$C153:$C175,'Footprint Summary'!$D153:$D175)/SUMPRODUCT('Footprint Summary'!$C153:$C175,'Footprint Summary'!$D153:$D175)),"")</f>
        <v/>
      </c>
      <c r="I57" s="439" t="str">
        <f>IF($E$57="ICPF",(SUMPRODUCT('Footprint Summary'!J153:J175,'Footprint Summary'!$C153:$C175,'Footprint Summary'!$D153:$D175)/SUMPRODUCT('Footprint Summary'!$C153:$C175,'Footprint Summary'!$D153:$D175)),"")</f>
        <v/>
      </c>
      <c r="J57" s="439" t="str">
        <f>IF($E$57="ICPF",(SUMPRODUCT('Footprint Summary'!K153:K175,'Footprint Summary'!$C153:$C175,'Footprint Summary'!$D153:$D175)/SUMPRODUCT('Footprint Summary'!$C153:$C175,'Footprint Summary'!$D153:$D175)),"")</f>
        <v/>
      </c>
      <c r="K57" s="439" t="str">
        <f>IF($E$57="ICPF",(SUMPRODUCT('Footprint Summary'!L153:L175,'Footprint Summary'!$C153:$C175,'Footprint Summary'!$D153:$D175)/SUMPRODUCT('Footprint Summary'!$C153:$C175,'Footprint Summary'!$D153:$D175)),"")</f>
        <v/>
      </c>
      <c r="L57" s="439" t="str">
        <f>IF($E$57="ICPF",(SUMPRODUCT('Footprint Summary'!M153:M175,'Footprint Summary'!$C153:$C175,'Footprint Summary'!$D153:$D175)/SUMPRODUCT('Footprint Summary'!$C153:$C175,'Footprint Summary'!$D153:$D175)),"")</f>
        <v/>
      </c>
      <c r="M57" s="439" t="str">
        <f>IF($E$57="ICPF",(SUMPRODUCT('Footprint Summary'!N153:N175,'Footprint Summary'!$C153:$C175,'Footprint Summary'!$D153:$D175)/SUMPRODUCT('Footprint Summary'!$C153:$C175,'Footprint Summary'!$D153:$D175)),"")</f>
        <v/>
      </c>
      <c r="N57" s="439" t="str">
        <f>IF($E$57="ICPF",(SUMPRODUCT('Footprint Summary'!O153:O175,'Footprint Summary'!$C153:$C175,'Footprint Summary'!$D153:$D175)/SUMPRODUCT('Footprint Summary'!$C153:$C175,'Footprint Summary'!$D153:$D175)),"")</f>
        <v/>
      </c>
      <c r="O57" s="439" t="str">
        <f>IF($E$57="ICPF",(SUMPRODUCT('Footprint Summary'!P153:P175,'Footprint Summary'!$C153:$C175,'Footprint Summary'!$D153:$D175)/SUMPRODUCT('Footprint Summary'!$C153:$C175,'Footprint Summary'!$D153:$D175)),"")</f>
        <v/>
      </c>
      <c r="P57" s="439" t="str">
        <f>IF($E$57="ICPF",(SUMPRODUCT('Footprint Summary'!Q153:Q175,'Footprint Summary'!$C153:$C175,'Footprint Summary'!$D153:$D175)/SUMPRODUCT('Footprint Summary'!$C153:$C175,'Footprint Summary'!$D153:$D175)),"")</f>
        <v/>
      </c>
      <c r="Q57" s="470" t="str">
        <f>IF(E57="","",P57-F57)</f>
        <v/>
      </c>
      <c r="R57" s="473" t="s">
        <v>669</v>
      </c>
      <c r="S57" s="479">
        <f>IF(S56="Underway","",R115)</f>
        <v>0</v>
      </c>
      <c r="T57" s="473" t="s">
        <v>669</v>
      </c>
      <c r="U57" s="479">
        <f>IF(U56="Underway","",S115)</f>
        <v>0</v>
      </c>
      <c r="V57" s="473" t="s">
        <v>361</v>
      </c>
      <c r="W57" s="478"/>
      <c r="X57" s="14"/>
    </row>
    <row r="58" spans="1:24" ht="25.5" customHeight="1">
      <c r="A58" s="438" t="s">
        <v>363</v>
      </c>
      <c r="B58" s="14"/>
      <c r="C58" s="275" t="s">
        <v>364</v>
      </c>
      <c r="D58" s="160"/>
      <c r="E58" s="488" t="str">
        <f>IF(VLOOKUP($A$2,'Asset Attributes'!B3:G25,6,0)&gt;0.001,"IOM","")</f>
        <v/>
      </c>
      <c r="F58" s="439" t="str">
        <f>IF($E$58="IOM",SUMPRODUCT('Footprint Summary'!G153:G175,'Footprint Summary'!$C153:$C175,'Footprint Summary'!$F153:$F175)/SUMPRODUCT('Footprint Summary'!$C153:$C175,'Footprint Summary'!$F153:$F175),"")</f>
        <v/>
      </c>
      <c r="G58" s="439" t="str">
        <f>IF($E$58="IOM",SUMPRODUCT('Footprint Summary'!H153:H175,'Footprint Summary'!$C153:$C175,'Footprint Summary'!$F153:$F175)/SUMPRODUCT('Footprint Summary'!$C153:$C175,'Footprint Summary'!$F153:$F175),"")</f>
        <v/>
      </c>
      <c r="H58" s="439" t="str">
        <f>IF($E$58="IOM",SUMPRODUCT('Footprint Summary'!I153:I175,'Footprint Summary'!$C153:$C175,'Footprint Summary'!$F153:$F175)/SUMPRODUCT('Footprint Summary'!$C153:$C175,'Footprint Summary'!$F153:$F175),"")</f>
        <v/>
      </c>
      <c r="I58" s="439" t="str">
        <f>IF($E$58="IOM",SUMPRODUCT('Footprint Summary'!J153:J175,'Footprint Summary'!$C153:$C175,'Footprint Summary'!$F153:$F175)/SUMPRODUCT('Footprint Summary'!$C153:$C175,'Footprint Summary'!$F153:$F175),"")</f>
        <v/>
      </c>
      <c r="J58" s="439" t="str">
        <f>IF($E$58="IOM",SUMPRODUCT('Footprint Summary'!K153:K175,'Footprint Summary'!$C153:$C175,'Footprint Summary'!$F153:$F175)/SUMPRODUCT('Footprint Summary'!$C153:$C175,'Footprint Summary'!$F153:$F175),"")</f>
        <v/>
      </c>
      <c r="K58" s="439" t="str">
        <f>IF($E$58="IOM",SUMPRODUCT('Footprint Summary'!L153:L175,'Footprint Summary'!$C153:$C175,'Footprint Summary'!$F153:$F175)/SUMPRODUCT('Footprint Summary'!$C153:$C175,'Footprint Summary'!$F153:$F175),"")</f>
        <v/>
      </c>
      <c r="L58" s="439" t="str">
        <f>IF($E$58="IOM",SUMPRODUCT('Footprint Summary'!M153:M175,'Footprint Summary'!$C153:$C175,'Footprint Summary'!$F153:$F175)/SUMPRODUCT('Footprint Summary'!$C153:$C175,'Footprint Summary'!$F153:$F175),"")</f>
        <v/>
      </c>
      <c r="M58" s="439" t="str">
        <f>IF($E$58="IOM",SUMPRODUCT('Footprint Summary'!N153:N175,'Footprint Summary'!$C153:$C175,'Footprint Summary'!$F153:$F175)/SUMPRODUCT('Footprint Summary'!$C153:$C175,'Footprint Summary'!$F153:$F175),"")</f>
        <v/>
      </c>
      <c r="N58" s="439" t="str">
        <f>IF($E$58="IOM",SUMPRODUCT('Footprint Summary'!O153:O175,'Footprint Summary'!$C153:$C175,'Footprint Summary'!$F153:$F175)/SUMPRODUCT('Footprint Summary'!$C153:$C175,'Footprint Summary'!$F153:$F175),"")</f>
        <v/>
      </c>
      <c r="O58" s="439" t="str">
        <f>IF($E$58="IOM",SUMPRODUCT('Footprint Summary'!P153:P175,'Footprint Summary'!$C153:$C175,'Footprint Summary'!$F153:$F175)/SUMPRODUCT('Footprint Summary'!$C153:$C175,'Footprint Summary'!$F153:$F175),"")</f>
        <v/>
      </c>
      <c r="P58" s="439" t="str">
        <f>IF($E$58="IOM",SUMPRODUCT('Footprint Summary'!Q153:Q175,'Footprint Summary'!$C153:$C175,'Footprint Summary'!$F153:$F175)/SUMPRODUCT('Footprint Summary'!$C153:$C175,'Footprint Summary'!$F153:$F175),"")</f>
        <v/>
      </c>
      <c r="Q58" s="470" t="str">
        <f>IF(E58="","",P58-F58)</f>
        <v/>
      </c>
      <c r="R58" s="482" t="s">
        <v>366</v>
      </c>
      <c r="S58" s="479">
        <f>IF(S56="Underway","",-1*(1000*AL214*D6+AM214*D8))</f>
        <v>0</v>
      </c>
      <c r="T58" s="473" t="s">
        <v>367</v>
      </c>
      <c r="U58" s="478">
        <f>IF(U56="Underway","",-1*S64)</f>
        <v>0</v>
      </c>
      <c r="V58" s="473" t="s">
        <v>368</v>
      </c>
      <c r="W58" s="478" t="s">
        <v>674</v>
      </c>
      <c r="X58" s="14"/>
    </row>
    <row r="59" spans="1:24" ht="25.5" customHeight="1">
      <c r="A59" s="438" t="s">
        <v>369</v>
      </c>
      <c r="B59" s="14"/>
      <c r="C59" s="443">
        <v>2000</v>
      </c>
      <c r="D59" s="161"/>
      <c r="E59" s="488" t="str">
        <f>IF(VLOOKUP($A$2,'Asset Attributes'!B3:G25,5,0)&gt;0.001,"IGO","")</f>
        <v>IGO</v>
      </c>
      <c r="F59" s="439">
        <f>IF($E$59="IGO",SUMPRODUCT('Footprint Summary'!G153:G175,'Footprint Summary'!$C153:$C175,'Footprint Summary'!$E153:$E175)/SUMPRODUCT('Footprint Summary'!$C153:$C175,'Footprint Summary'!$E153:$E175),"")</f>
        <v>5.3773163530915085</v>
      </c>
      <c r="G59" s="439">
        <f>IF($E$59="IGO",SUMPRODUCT('Footprint Summary'!H153:H175,'Footprint Summary'!$C153:$C175,'Footprint Summary'!$E153:$E175)/SUMPRODUCT('Footprint Summary'!$C153:$C175,'Footprint Summary'!$E153:$E175),"")</f>
        <v>5.3897415030978291</v>
      </c>
      <c r="H59" s="439">
        <f>IF($E$59="IGO",SUMPRODUCT('Footprint Summary'!I153:I175,'Footprint Summary'!$C153:$C175,'Footprint Summary'!$E153:$E175)/SUMPRODUCT('Footprint Summary'!$C153:$C175,'Footprint Summary'!$E153:$E175),"")</f>
        <v>5.3989086851726711</v>
      </c>
      <c r="I59" s="439">
        <f>IF($E$59="IGO",SUMPRODUCT('Footprint Summary'!J153:J175,'Footprint Summary'!$C153:$C175,'Footprint Summary'!$E153:$E175)/SUMPRODUCT('Footprint Summary'!$C153:$C175,'Footprint Summary'!$E153:$E175),"")</f>
        <v>5.4212093179158183</v>
      </c>
      <c r="J59" s="439">
        <f>IF($E$59="IGO",SUMPRODUCT('Footprint Summary'!K153:K175,'Footprint Summary'!$C153:$C175,'Footprint Summary'!$E153:$E175)/SUMPRODUCT('Footprint Summary'!$C153:$C175,'Footprint Summary'!$E153:$E175),"")</f>
        <v>5.4717936463248549</v>
      </c>
      <c r="K59" s="439">
        <f>IF($E$59="IGO",SUMPRODUCT('Footprint Summary'!L153:L175,'Footprint Summary'!$C153:$C175,'Footprint Summary'!$E153:$E175)/SUMPRODUCT('Footprint Summary'!$C153:$C175,'Footprint Summary'!$E153:$E175),"")</f>
        <v>5.4936944742974081</v>
      </c>
      <c r="L59" s="439">
        <f>IF($E$59="IGO",SUMPRODUCT('Footprint Summary'!M153:M175,'Footprint Summary'!$C153:$C175,'Footprint Summary'!$E153:$E175)/SUMPRODUCT('Footprint Summary'!$C153:$C175,'Footprint Summary'!$E153:$E175),"")</f>
        <v>5.5096998051417883</v>
      </c>
      <c r="M59" s="439">
        <f>IF($E$59="IGO",SUMPRODUCT('Footprint Summary'!N153:N175,'Footprint Summary'!$C153:$C175,'Footprint Summary'!$E153:$E175)/SUMPRODUCT('Footprint Summary'!$C153:$C175,'Footprint Summary'!$E153:$E175),"")</f>
        <v>5.5139146402024437</v>
      </c>
      <c r="N59" s="439">
        <f>IF($E$59="IGO",SUMPRODUCT('Footprint Summary'!O153:O175,'Footprint Summary'!$C153:$C175,'Footprint Summary'!$E153:$E175)/SUMPRODUCT('Footprint Summary'!$C153:$C175,'Footprint Summary'!$E153:$E175),"")</f>
        <v>5.5351632663682917</v>
      </c>
      <c r="O59" s="439">
        <f>IF($E$59="IGO",SUMPRODUCT('Footprint Summary'!P153:P175,'Footprint Summary'!$C153:$C175,'Footprint Summary'!$E153:$E175)/SUMPRODUCT('Footprint Summary'!$C153:$C175,'Footprint Summary'!$E153:$E175),"")</f>
        <v>5.5351632663682917</v>
      </c>
      <c r="P59" s="439">
        <f>IF($E$59="IGO",SUMPRODUCT('Footprint Summary'!Q153:Q175,'Footprint Summary'!$C153:$C175,'Footprint Summary'!$E153:$E175)/SUMPRODUCT('Footprint Summary'!$C153:$C175,'Footprint Summary'!$E153:$E175),"")</f>
        <v>5.5316015265321372</v>
      </c>
      <c r="Q59" s="471">
        <f>IF(E59="","",P59-G59)</f>
        <v>0.14186002343430815</v>
      </c>
      <c r="R59" s="473" t="s">
        <v>370</v>
      </c>
      <c r="S59" s="480" t="str">
        <f>V115</f>
        <v/>
      </c>
      <c r="T59" s="473" t="s">
        <v>371</v>
      </c>
      <c r="U59" s="483" t="e">
        <f ca="1">IF(U56="Underway","",_xlfn.MAXIFS(E69:E88,S69:S88,"Yes"))</f>
        <v>#NAME?</v>
      </c>
      <c r="V59" s="482" t="s">
        <v>372</v>
      </c>
      <c r="W59" s="479">
        <f>T115</f>
        <v>0</v>
      </c>
      <c r="X59" s="14"/>
    </row>
    <row r="60" spans="1:24" ht="25.5" customHeight="1">
      <c r="A60" s="438" t="s">
        <v>373</v>
      </c>
      <c r="B60" s="14"/>
      <c r="C60" s="275">
        <v>21820</v>
      </c>
      <c r="D60" s="160"/>
      <c r="Q60" s="10"/>
      <c r="R60" s="473" t="s">
        <v>374</v>
      </c>
      <c r="S60" s="481" t="e">
        <f>IF(S56="Underway","",U115)</f>
        <v>#DIV/0!</v>
      </c>
      <c r="T60" s="10"/>
      <c r="U60" s="10"/>
      <c r="V60" s="473" t="s">
        <v>375</v>
      </c>
      <c r="W60" s="483" t="e">
        <f ca="1">IF(IF(W58=1,"Complete",_xlfn.MAXIFS(E69:E114,T69:T114,"Yes"))=0,"",IF(W58=1,"Complete",_xlfn.MAXIFS(E69:E114,T69:T114,"Yes")))</f>
        <v>#NAME?</v>
      </c>
      <c r="X60" s="14"/>
    </row>
    <row r="61" spans="1:24" ht="25.5" customHeight="1">
      <c r="A61" s="438" t="s">
        <v>376</v>
      </c>
      <c r="B61" s="14"/>
      <c r="C61" s="444">
        <v>55</v>
      </c>
      <c r="D61" s="162"/>
      <c r="H61" s="13"/>
      <c r="J61" s="14"/>
      <c r="K61" s="14"/>
      <c r="L61" s="14"/>
      <c r="M61" s="10"/>
      <c r="N61" s="10"/>
      <c r="O61" s="10"/>
      <c r="P61" s="10"/>
      <c r="Q61" s="10"/>
      <c r="R61" s="482" t="s">
        <v>377</v>
      </c>
      <c r="S61" s="481">
        <f>P272</f>
        <v>5.8446615893088083</v>
      </c>
      <c r="T61" s="10"/>
      <c r="U61" s="10"/>
      <c r="V61" s="473" t="s">
        <v>378</v>
      </c>
      <c r="W61" s="478" t="s">
        <v>674</v>
      </c>
      <c r="X61" s="14"/>
    </row>
    <row r="62" spans="1:24" ht="25.5" customHeight="1">
      <c r="A62" s="438" t="s">
        <v>379</v>
      </c>
      <c r="B62" s="14"/>
      <c r="C62" s="275">
        <v>924.71500000000003</v>
      </c>
      <c r="H62" s="13"/>
      <c r="J62" s="14"/>
      <c r="K62" s="14"/>
      <c r="L62" s="347"/>
      <c r="M62" s="10"/>
      <c r="N62" s="10"/>
      <c r="O62" s="10"/>
      <c r="P62" s="10"/>
      <c r="Q62" s="10"/>
      <c r="R62" s="482" t="s">
        <v>380</v>
      </c>
      <c r="S62" s="481">
        <f>Q272</f>
        <v>5.8446615893088083</v>
      </c>
      <c r="T62" s="10"/>
      <c r="U62" s="10"/>
      <c r="V62" s="10"/>
      <c r="W62" s="14"/>
      <c r="X62" s="14"/>
    </row>
    <row r="63" spans="1:24" ht="25.5" customHeight="1">
      <c r="A63" s="438" t="s">
        <v>382</v>
      </c>
      <c r="B63" s="14"/>
      <c r="C63" s="275">
        <v>2394.261</v>
      </c>
      <c r="H63" s="13"/>
      <c r="J63" s="14"/>
      <c r="K63" s="14"/>
      <c r="L63" s="10"/>
      <c r="M63" s="10"/>
      <c r="N63" s="10"/>
      <c r="O63" s="10"/>
      <c r="P63" s="10"/>
      <c r="Q63" s="10"/>
      <c r="R63" s="476" t="s">
        <v>383</v>
      </c>
      <c r="S63" s="478">
        <f>C115/C62</f>
        <v>0</v>
      </c>
      <c r="T63" s="10"/>
      <c r="U63" s="10"/>
      <c r="V63" s="10"/>
      <c r="W63" s="14"/>
      <c r="X63" s="14"/>
    </row>
    <row r="64" spans="1:24" ht="25.5" customHeight="1">
      <c r="A64" s="446" t="s">
        <v>385</v>
      </c>
      <c r="B64" s="447"/>
      <c r="C64" s="445">
        <v>40.200000000000003</v>
      </c>
      <c r="D64" s="495">
        <f>(AJ215-C64)/C64</f>
        <v>0</v>
      </c>
      <c r="H64" s="13"/>
      <c r="J64" s="14"/>
      <c r="K64" s="14"/>
      <c r="L64" s="10"/>
      <c r="M64" s="10"/>
      <c r="N64" s="10"/>
      <c r="O64" s="10"/>
      <c r="P64" s="10"/>
      <c r="Q64" s="10"/>
      <c r="R64" s="476" t="s">
        <v>386</v>
      </c>
      <c r="S64" s="478">
        <f>D115/C63</f>
        <v>0</v>
      </c>
      <c r="T64" s="10"/>
      <c r="U64" s="14"/>
      <c r="V64" s="10"/>
      <c r="W64" s="14"/>
      <c r="X64" s="14"/>
    </row>
    <row r="65" spans="1:24" ht="25.5" customHeight="1">
      <c r="B65" s="487" t="s">
        <v>387</v>
      </c>
      <c r="C65" s="489">
        <f>Z216</f>
        <v>5.8446615893088083</v>
      </c>
      <c r="D65" s="16"/>
      <c r="J65" s="14"/>
      <c r="K65" s="14"/>
      <c r="L65" s="14"/>
      <c r="M65" s="14"/>
      <c r="N65" s="14"/>
      <c r="O65" s="14"/>
      <c r="P65" s="14"/>
      <c r="Q65" s="14"/>
      <c r="R65" s="10"/>
      <c r="S65" s="10"/>
      <c r="T65" s="14"/>
      <c r="U65" s="14"/>
      <c r="V65" s="14"/>
      <c r="W65" s="14"/>
      <c r="X65" s="14"/>
    </row>
    <row r="66" spans="1:24" ht="25.5" customHeight="1" thickBot="1">
      <c r="A66" s="9" t="s">
        <v>389</v>
      </c>
      <c r="B66" s="17"/>
      <c r="E66" s="17"/>
      <c r="F66" s="15"/>
      <c r="G66" s="416">
        <v>45473</v>
      </c>
      <c r="H66" s="416">
        <f>DATE(YEAR(G66)+1,MONTH(G66),DAY(G66))</f>
        <v>45838</v>
      </c>
      <c r="I66" s="416">
        <f t="shared" ref="I66:Q66" si="20">DATE(YEAR(H66)+1,MONTH(H66),DAY(H66))</f>
        <v>46203</v>
      </c>
      <c r="J66" s="416">
        <f t="shared" si="20"/>
        <v>46568</v>
      </c>
      <c r="K66" s="416">
        <f t="shared" si="20"/>
        <v>46934</v>
      </c>
      <c r="L66" s="416">
        <f t="shared" si="20"/>
        <v>47299</v>
      </c>
      <c r="M66" s="416">
        <f t="shared" si="20"/>
        <v>47664</v>
      </c>
      <c r="N66" s="416">
        <f t="shared" si="20"/>
        <v>48029</v>
      </c>
      <c r="O66" s="416">
        <f t="shared" si="20"/>
        <v>48395</v>
      </c>
      <c r="P66" s="416">
        <f t="shared" si="20"/>
        <v>48760</v>
      </c>
      <c r="Q66" s="416">
        <f t="shared" si="20"/>
        <v>49125</v>
      </c>
      <c r="R66" s="9" t="s">
        <v>390</v>
      </c>
      <c r="S66" s="364"/>
      <c r="T66" s="10"/>
      <c r="U66" s="10"/>
      <c r="V66" s="10"/>
      <c r="W66" s="14"/>
      <c r="X66" s="12"/>
    </row>
    <row r="67" spans="1:24" s="18" customFormat="1" ht="43" thickTop="1" thickBot="1">
      <c r="A67" s="184" t="s">
        <v>391</v>
      </c>
      <c r="B67" s="184" t="s">
        <v>392</v>
      </c>
      <c r="C67" s="370" t="s">
        <v>393</v>
      </c>
      <c r="D67" s="370" t="s">
        <v>677</v>
      </c>
      <c r="E67" s="370" t="s">
        <v>395</v>
      </c>
      <c r="F67" s="370" t="s">
        <v>396</v>
      </c>
      <c r="G67" s="200" t="s">
        <v>189</v>
      </c>
      <c r="H67" s="200" t="s">
        <v>190</v>
      </c>
      <c r="I67" s="200" t="s">
        <v>191</v>
      </c>
      <c r="J67" s="200" t="s">
        <v>192</v>
      </c>
      <c r="K67" s="200" t="s">
        <v>193</v>
      </c>
      <c r="L67" s="200" t="s">
        <v>194</v>
      </c>
      <c r="M67" s="200" t="s">
        <v>195</v>
      </c>
      <c r="N67" s="200" t="s">
        <v>196</v>
      </c>
      <c r="O67" s="200" t="s">
        <v>197</v>
      </c>
      <c r="P67" s="200" t="s">
        <v>198</v>
      </c>
      <c r="Q67" s="200" t="s">
        <v>199</v>
      </c>
      <c r="R67" s="200" t="s">
        <v>397</v>
      </c>
      <c r="S67" s="200" t="s">
        <v>328</v>
      </c>
      <c r="T67" s="200" t="s">
        <v>678</v>
      </c>
      <c r="U67" s="200" t="s">
        <v>399</v>
      </c>
      <c r="V67" s="200" t="s">
        <v>370</v>
      </c>
      <c r="W67" s="200" t="s">
        <v>400</v>
      </c>
      <c r="X67" s="200" t="s">
        <v>401</v>
      </c>
    </row>
    <row r="68" spans="1:24" ht="17.25" hidden="1" customHeight="1" thickTop="1">
      <c r="A68" s="17"/>
      <c r="B68" s="371"/>
      <c r="C68" s="371"/>
      <c r="D68" s="371"/>
      <c r="E68" s="371"/>
      <c r="P68" s="372"/>
      <c r="Q68" s="372"/>
      <c r="S68" s="372"/>
      <c r="V68" s="12"/>
      <c r="W68" s="12"/>
      <c r="X68" s="12"/>
    </row>
    <row r="69" spans="1:24" ht="15.5" thickTop="1">
      <c r="A69" s="373"/>
      <c r="B69" s="374"/>
      <c r="C69" s="375"/>
      <c r="D69" s="376"/>
      <c r="E69" s="377"/>
      <c r="F69" s="378"/>
      <c r="G69" s="403">
        <f>IF(E69&lt;G66,F69,0)</f>
        <v>0</v>
      </c>
      <c r="H69" s="404">
        <f t="shared" ref="H69:Q77" si="21">IF($E69&gt;H$66,0,IF($E69&gt;H$66-365,$F69,0))</f>
        <v>0</v>
      </c>
      <c r="I69" s="404">
        <f t="shared" si="21"/>
        <v>0</v>
      </c>
      <c r="J69" s="404">
        <f t="shared" si="21"/>
        <v>0</v>
      </c>
      <c r="K69" s="404">
        <f t="shared" si="21"/>
        <v>0</v>
      </c>
      <c r="L69" s="404">
        <f t="shared" si="21"/>
        <v>0</v>
      </c>
      <c r="M69" s="404">
        <f t="shared" si="21"/>
        <v>0</v>
      </c>
      <c r="N69" s="404">
        <f t="shared" si="21"/>
        <v>0</v>
      </c>
      <c r="O69" s="404">
        <f t="shared" si="21"/>
        <v>0</v>
      </c>
      <c r="P69" s="404">
        <f t="shared" si="21"/>
        <v>0</v>
      </c>
      <c r="Q69" s="448">
        <f t="shared" si="21"/>
        <v>0</v>
      </c>
      <c r="R69" s="379"/>
      <c r="S69" s="379"/>
      <c r="T69" s="380"/>
      <c r="U69" s="411" t="e">
        <f>IF(-0.75*((C69/(VLOOKUP($A$2,Assumptions!$B$124:$G$147,2,0)))+D69/(VLOOKUP($A$2,Assumptions!$B$124:$G$147,5,0)))=0,"",-0.75*((C69/(VLOOKUP($A$2,Assumptions!$B$124:$G$147,2,0)))+D69/(VLOOKUP($A$2,Assumptions!$B$124:$G$147,5,0))))</f>
        <v>#DIV/0!</v>
      </c>
      <c r="V69" s="412" t="str">
        <f t="shared" ref="V69:V88" si="22">IF(ISERROR(((-1*C69*1000*$D$6)+(-1*D69*$D$8))/F69),"",((-1*C69*1000*$D$6)+(-1*D69*$D$8))/F69)</f>
        <v/>
      </c>
      <c r="W69" s="450"/>
      <c r="X69" s="506"/>
    </row>
    <row r="70" spans="1:24" ht="15">
      <c r="A70" s="373"/>
      <c r="B70" s="374"/>
      <c r="C70" s="381"/>
      <c r="D70" s="381"/>
      <c r="E70" s="377"/>
      <c r="F70" s="378"/>
      <c r="G70" s="403">
        <f t="shared" ref="G70:G77" si="23">IF($E70&lt;G$66,$F70,0)</f>
        <v>0</v>
      </c>
      <c r="H70" s="404">
        <f t="shared" si="21"/>
        <v>0</v>
      </c>
      <c r="I70" s="404">
        <f t="shared" si="21"/>
        <v>0</v>
      </c>
      <c r="J70" s="405">
        <f t="shared" si="21"/>
        <v>0</v>
      </c>
      <c r="K70" s="405">
        <f t="shared" si="21"/>
        <v>0</v>
      </c>
      <c r="L70" s="405">
        <f t="shared" si="21"/>
        <v>0</v>
      </c>
      <c r="M70" s="405">
        <f t="shared" si="21"/>
        <v>0</v>
      </c>
      <c r="N70" s="405">
        <f t="shared" si="21"/>
        <v>0</v>
      </c>
      <c r="O70" s="405">
        <f t="shared" si="21"/>
        <v>0</v>
      </c>
      <c r="P70" s="406">
        <f t="shared" si="21"/>
        <v>0</v>
      </c>
      <c r="Q70" s="448">
        <f t="shared" si="21"/>
        <v>0</v>
      </c>
      <c r="R70" s="379"/>
      <c r="S70" s="379"/>
      <c r="T70" s="382"/>
      <c r="U70" s="413" t="e">
        <f>IF(-0.75*((C70/(VLOOKUP($A$2,Assumptions!$B$124:$G$147,2,0)))+D70/(VLOOKUP($A$2,Assumptions!$B$124:$G$147,5,0)))=0,"",-0.75*((C70/(VLOOKUP($A$2,Assumptions!$B$124:$G$147,2,0)))+D70/(VLOOKUP($A$2,Assumptions!$B$124:$G$147,5,0))))</f>
        <v>#DIV/0!</v>
      </c>
      <c r="V70" s="414" t="str">
        <f t="shared" si="22"/>
        <v/>
      </c>
      <c r="W70" s="451"/>
      <c r="X70" s="507"/>
    </row>
    <row r="71" spans="1:24" ht="15">
      <c r="A71" s="373"/>
      <c r="B71" s="374"/>
      <c r="C71" s="383"/>
      <c r="D71" s="383"/>
      <c r="E71" s="377"/>
      <c r="F71" s="384"/>
      <c r="G71" s="403">
        <f t="shared" si="23"/>
        <v>0</v>
      </c>
      <c r="H71" s="404">
        <f t="shared" si="21"/>
        <v>0</v>
      </c>
      <c r="I71" s="405">
        <f t="shared" si="21"/>
        <v>0</v>
      </c>
      <c r="J71" s="405">
        <f t="shared" si="21"/>
        <v>0</v>
      </c>
      <c r="K71" s="405">
        <f t="shared" si="21"/>
        <v>0</v>
      </c>
      <c r="L71" s="405">
        <f t="shared" si="21"/>
        <v>0</v>
      </c>
      <c r="M71" s="405">
        <f t="shared" si="21"/>
        <v>0</v>
      </c>
      <c r="N71" s="405">
        <f t="shared" si="21"/>
        <v>0</v>
      </c>
      <c r="O71" s="405">
        <f t="shared" si="21"/>
        <v>0</v>
      </c>
      <c r="P71" s="406">
        <f t="shared" si="21"/>
        <v>0</v>
      </c>
      <c r="Q71" s="448">
        <f t="shared" si="21"/>
        <v>0</v>
      </c>
      <c r="R71" s="379"/>
      <c r="S71" s="379"/>
      <c r="T71" s="382"/>
      <c r="U71" s="413" t="e">
        <f>IF(-0.75*((C71/(VLOOKUP($A$2,Assumptions!$B$124:$G$147,2,0)))+D71/(VLOOKUP($A$2,Assumptions!$B$124:$G$147,5,0)))=0,"",-0.75*((C71/(VLOOKUP($A$2,Assumptions!$B$124:$G$147,2,0)))+D71/(VLOOKUP($A$2,Assumptions!$B$124:$G$147,5,0))))</f>
        <v>#DIV/0!</v>
      </c>
      <c r="V71" s="414" t="str">
        <f t="shared" si="22"/>
        <v/>
      </c>
      <c r="W71" s="451"/>
      <c r="X71" s="507"/>
    </row>
    <row r="72" spans="1:24" ht="15">
      <c r="A72" s="373"/>
      <c r="B72" s="374"/>
      <c r="C72" s="375"/>
      <c r="D72" s="375"/>
      <c r="E72" s="377"/>
      <c r="F72" s="378"/>
      <c r="G72" s="403">
        <f t="shared" si="23"/>
        <v>0</v>
      </c>
      <c r="H72" s="404">
        <f t="shared" si="21"/>
        <v>0</v>
      </c>
      <c r="I72" s="405">
        <f t="shared" si="21"/>
        <v>0</v>
      </c>
      <c r="J72" s="405">
        <f t="shared" si="21"/>
        <v>0</v>
      </c>
      <c r="K72" s="405">
        <f t="shared" si="21"/>
        <v>0</v>
      </c>
      <c r="L72" s="405">
        <f t="shared" si="21"/>
        <v>0</v>
      </c>
      <c r="M72" s="405">
        <f t="shared" si="21"/>
        <v>0</v>
      </c>
      <c r="N72" s="405">
        <f t="shared" si="21"/>
        <v>0</v>
      </c>
      <c r="O72" s="405">
        <f t="shared" si="21"/>
        <v>0</v>
      </c>
      <c r="P72" s="406">
        <f t="shared" si="21"/>
        <v>0</v>
      </c>
      <c r="Q72" s="448">
        <f t="shared" si="21"/>
        <v>0</v>
      </c>
      <c r="R72" s="379"/>
      <c r="S72" s="379"/>
      <c r="T72" s="382"/>
      <c r="U72" s="413" t="e">
        <f>IF(-0.75*((C72/(VLOOKUP($A$2,Assumptions!$B$124:$G$147,2,0)))+D72/(VLOOKUP($A$2,Assumptions!$B$124:$G$147,5,0)))=0,"",-0.75*((C72/(VLOOKUP($A$2,Assumptions!$B$124:$G$147,2,0)))+D72/(VLOOKUP($A$2,Assumptions!$B$124:$G$147,5,0))))</f>
        <v>#DIV/0!</v>
      </c>
      <c r="V72" s="414" t="str">
        <f t="shared" si="22"/>
        <v/>
      </c>
      <c r="W72" s="451"/>
      <c r="X72" s="507"/>
    </row>
    <row r="73" spans="1:24" ht="15">
      <c r="A73" s="373"/>
      <c r="B73" s="374"/>
      <c r="C73" s="381"/>
      <c r="D73" s="381"/>
      <c r="E73" s="377"/>
      <c r="F73" s="378"/>
      <c r="G73" s="403">
        <f t="shared" si="23"/>
        <v>0</v>
      </c>
      <c r="H73" s="404">
        <f t="shared" si="21"/>
        <v>0</v>
      </c>
      <c r="I73" s="405">
        <f t="shared" si="21"/>
        <v>0</v>
      </c>
      <c r="J73" s="405">
        <f t="shared" si="21"/>
        <v>0</v>
      </c>
      <c r="K73" s="405">
        <f t="shared" si="21"/>
        <v>0</v>
      </c>
      <c r="L73" s="405">
        <f t="shared" si="21"/>
        <v>0</v>
      </c>
      <c r="M73" s="405">
        <f t="shared" si="21"/>
        <v>0</v>
      </c>
      <c r="N73" s="405">
        <f t="shared" si="21"/>
        <v>0</v>
      </c>
      <c r="O73" s="405">
        <f t="shared" si="21"/>
        <v>0</v>
      </c>
      <c r="P73" s="406">
        <f t="shared" si="21"/>
        <v>0</v>
      </c>
      <c r="Q73" s="448">
        <f t="shared" si="21"/>
        <v>0</v>
      </c>
      <c r="R73" s="379"/>
      <c r="S73" s="379"/>
      <c r="T73" s="382"/>
      <c r="U73" s="413" t="e">
        <f>IF(-0.75*((C73/(VLOOKUP($A$2,Assumptions!$B$124:$G$147,2,0)))+D73/(VLOOKUP($A$2,Assumptions!$B$124:$G$147,5,0)))=0,"",-0.75*((C73/(VLOOKUP($A$2,Assumptions!$B$124:$G$147,2,0)))+D73/(VLOOKUP($A$2,Assumptions!$B$124:$G$147,5,0))))</f>
        <v>#DIV/0!</v>
      </c>
      <c r="V73" s="414" t="str">
        <f t="shared" si="22"/>
        <v/>
      </c>
      <c r="W73" s="451"/>
      <c r="X73" s="507"/>
    </row>
    <row r="74" spans="1:24" ht="15">
      <c r="A74" s="373"/>
      <c r="B74" s="374"/>
      <c r="C74" s="375"/>
      <c r="D74" s="375"/>
      <c r="E74" s="377"/>
      <c r="F74" s="378"/>
      <c r="G74" s="403">
        <f t="shared" si="23"/>
        <v>0</v>
      </c>
      <c r="H74" s="404">
        <f t="shared" si="21"/>
        <v>0</v>
      </c>
      <c r="I74" s="405">
        <f t="shared" si="21"/>
        <v>0</v>
      </c>
      <c r="J74" s="405">
        <f t="shared" si="21"/>
        <v>0</v>
      </c>
      <c r="K74" s="405">
        <f t="shared" si="21"/>
        <v>0</v>
      </c>
      <c r="L74" s="405">
        <f t="shared" si="21"/>
        <v>0</v>
      </c>
      <c r="M74" s="405">
        <f t="shared" si="21"/>
        <v>0</v>
      </c>
      <c r="N74" s="405">
        <f t="shared" si="21"/>
        <v>0</v>
      </c>
      <c r="O74" s="405">
        <f t="shared" si="21"/>
        <v>0</v>
      </c>
      <c r="P74" s="406">
        <f t="shared" si="21"/>
        <v>0</v>
      </c>
      <c r="Q74" s="448">
        <f t="shared" si="21"/>
        <v>0</v>
      </c>
      <c r="R74" s="379"/>
      <c r="S74" s="379"/>
      <c r="T74" s="382"/>
      <c r="U74" s="413" t="e">
        <f>IF(-0.75*((C74/(VLOOKUP($A$2,Assumptions!$B$124:$G$147,2,0)))+D74/(VLOOKUP($A$2,Assumptions!$B$124:$G$147,5,0)))=0,"",-0.75*((C74/(VLOOKUP($A$2,Assumptions!$B$124:$G$147,2,0)))+D74/(VLOOKUP($A$2,Assumptions!$B$124:$G$147,5,0))))</f>
        <v>#DIV/0!</v>
      </c>
      <c r="V74" s="414" t="str">
        <f t="shared" si="22"/>
        <v/>
      </c>
      <c r="W74" s="451"/>
      <c r="X74" s="507"/>
    </row>
    <row r="75" spans="1:24" ht="15">
      <c r="A75" s="373"/>
      <c r="B75" s="374"/>
      <c r="C75" s="375"/>
      <c r="D75" s="375"/>
      <c r="E75" s="377"/>
      <c r="F75" s="378"/>
      <c r="G75" s="403">
        <f t="shared" si="23"/>
        <v>0</v>
      </c>
      <c r="H75" s="404">
        <f t="shared" si="21"/>
        <v>0</v>
      </c>
      <c r="I75" s="405">
        <f t="shared" si="21"/>
        <v>0</v>
      </c>
      <c r="J75" s="405">
        <f t="shared" si="21"/>
        <v>0</v>
      </c>
      <c r="K75" s="405">
        <f t="shared" si="21"/>
        <v>0</v>
      </c>
      <c r="L75" s="405">
        <f t="shared" si="21"/>
        <v>0</v>
      </c>
      <c r="M75" s="405">
        <f t="shared" si="21"/>
        <v>0</v>
      </c>
      <c r="N75" s="405">
        <f t="shared" si="21"/>
        <v>0</v>
      </c>
      <c r="O75" s="405">
        <f t="shared" si="21"/>
        <v>0</v>
      </c>
      <c r="P75" s="406">
        <f t="shared" si="21"/>
        <v>0</v>
      </c>
      <c r="Q75" s="448">
        <f t="shared" si="21"/>
        <v>0</v>
      </c>
      <c r="R75" s="379"/>
      <c r="S75" s="379"/>
      <c r="T75" s="382"/>
      <c r="U75" s="413" t="e">
        <f>IF(-0.75*((C75/(VLOOKUP($A$2,Assumptions!$B$124:$G$147,2,0)))+D75/(VLOOKUP($A$2,Assumptions!$B$124:$G$147,5,0)))=0,"",-0.75*((C75/(VLOOKUP($A$2,Assumptions!$B$124:$G$147,2,0)))+D75/(VLOOKUP($A$2,Assumptions!$B$124:$G$147,5,0))))</f>
        <v>#DIV/0!</v>
      </c>
      <c r="V75" s="414" t="str">
        <f t="shared" si="22"/>
        <v/>
      </c>
      <c r="W75" s="451"/>
      <c r="X75" s="507"/>
    </row>
    <row r="76" spans="1:24" ht="15">
      <c r="A76" s="373"/>
      <c r="B76" s="374"/>
      <c r="C76" s="375"/>
      <c r="D76" s="375"/>
      <c r="E76" s="377"/>
      <c r="F76" s="378"/>
      <c r="G76" s="403">
        <f t="shared" si="23"/>
        <v>0</v>
      </c>
      <c r="H76" s="404">
        <f t="shared" si="21"/>
        <v>0</v>
      </c>
      <c r="I76" s="405">
        <f t="shared" si="21"/>
        <v>0</v>
      </c>
      <c r="J76" s="405">
        <f t="shared" si="21"/>
        <v>0</v>
      </c>
      <c r="K76" s="405">
        <f t="shared" si="21"/>
        <v>0</v>
      </c>
      <c r="L76" s="405">
        <f t="shared" si="21"/>
        <v>0</v>
      </c>
      <c r="M76" s="405">
        <f t="shared" si="21"/>
        <v>0</v>
      </c>
      <c r="N76" s="405">
        <f t="shared" si="21"/>
        <v>0</v>
      </c>
      <c r="O76" s="405">
        <f t="shared" si="21"/>
        <v>0</v>
      </c>
      <c r="P76" s="406">
        <f t="shared" si="21"/>
        <v>0</v>
      </c>
      <c r="Q76" s="448">
        <f t="shared" si="21"/>
        <v>0</v>
      </c>
      <c r="R76" s="379"/>
      <c r="S76" s="379"/>
      <c r="T76" s="382"/>
      <c r="U76" s="413" t="e">
        <f>IF(-0.75*((C76/(VLOOKUP($A$2,Assumptions!$B$124:$G$147,2,0)))+D76/(VLOOKUP($A$2,Assumptions!$B$124:$G$147,5,0)))=0,"",-0.75*((C76/(VLOOKUP($A$2,Assumptions!$B$124:$G$147,2,0)))+D76/(VLOOKUP($A$2,Assumptions!$B$124:$G$147,5,0))))</f>
        <v>#DIV/0!</v>
      </c>
      <c r="V76" s="414" t="str">
        <f t="shared" si="22"/>
        <v/>
      </c>
      <c r="W76" s="451"/>
      <c r="X76" s="507"/>
    </row>
    <row r="77" spans="1:24" ht="15">
      <c r="A77" s="373"/>
      <c r="B77" s="374"/>
      <c r="C77" s="375"/>
      <c r="D77" s="375"/>
      <c r="E77" s="377"/>
      <c r="F77" s="378"/>
      <c r="G77" s="403">
        <f t="shared" si="23"/>
        <v>0</v>
      </c>
      <c r="H77" s="404">
        <f t="shared" si="21"/>
        <v>0</v>
      </c>
      <c r="I77" s="405">
        <f t="shared" si="21"/>
        <v>0</v>
      </c>
      <c r="J77" s="405">
        <f t="shared" si="21"/>
        <v>0</v>
      </c>
      <c r="K77" s="405">
        <f t="shared" si="21"/>
        <v>0</v>
      </c>
      <c r="L77" s="405">
        <f t="shared" si="21"/>
        <v>0</v>
      </c>
      <c r="M77" s="405">
        <f t="shared" si="21"/>
        <v>0</v>
      </c>
      <c r="N77" s="405">
        <f t="shared" si="21"/>
        <v>0</v>
      </c>
      <c r="O77" s="405">
        <f t="shared" si="21"/>
        <v>0</v>
      </c>
      <c r="P77" s="406">
        <f t="shared" si="21"/>
        <v>0</v>
      </c>
      <c r="Q77" s="448">
        <f t="shared" si="21"/>
        <v>0</v>
      </c>
      <c r="R77" s="379"/>
      <c r="S77" s="379"/>
      <c r="T77" s="385"/>
      <c r="U77" s="413" t="e">
        <f>IF(-0.75*((C77/(VLOOKUP($A$2,Assumptions!$B$124:$G$147,2,0)))+D77/(VLOOKUP($A$2,Assumptions!$B$124:$G$147,5,0)))=0,"",-0.75*((C77/(VLOOKUP($A$2,Assumptions!$B$124:$G$147,2,0)))+D77/(VLOOKUP($A$2,Assumptions!$B$124:$G$147,5,0))))</f>
        <v>#DIV/0!</v>
      </c>
      <c r="V77" s="414" t="str">
        <f t="shared" si="22"/>
        <v/>
      </c>
      <c r="W77" s="451"/>
      <c r="X77" s="507"/>
    </row>
    <row r="78" spans="1:24" ht="15">
      <c r="A78" s="373"/>
      <c r="B78" s="374"/>
      <c r="C78" s="375"/>
      <c r="D78" s="375"/>
      <c r="E78" s="377"/>
      <c r="F78" s="378"/>
      <c r="G78" s="403"/>
      <c r="H78" s="404"/>
      <c r="I78" s="405"/>
      <c r="J78" s="405"/>
      <c r="K78" s="405"/>
      <c r="L78" s="405"/>
      <c r="M78" s="405"/>
      <c r="N78" s="405"/>
      <c r="O78" s="405"/>
      <c r="P78" s="406"/>
      <c r="Q78" s="448"/>
      <c r="R78" s="379"/>
      <c r="S78" s="386"/>
      <c r="T78" s="387"/>
      <c r="U78" s="413" t="e">
        <f>IF(-0.75*((C78/(VLOOKUP($A$2,Assumptions!$B$124:$G$147,2,0)))+D78/(VLOOKUP($A$2,Assumptions!$B$124:$G$147,5,0)))=0,"",-0.75*((C78/(VLOOKUP($A$2,Assumptions!$B$124:$G$147,2,0)))+D78/(VLOOKUP($A$2,Assumptions!$B$124:$G$147,5,0))))</f>
        <v>#DIV/0!</v>
      </c>
      <c r="V78" s="414" t="str">
        <f t="shared" si="22"/>
        <v/>
      </c>
      <c r="W78" s="451"/>
      <c r="X78" s="507"/>
    </row>
    <row r="79" spans="1:24" ht="15">
      <c r="A79" s="373"/>
      <c r="B79" s="374"/>
      <c r="C79" s="375"/>
      <c r="D79" s="375"/>
      <c r="E79" s="377"/>
      <c r="F79" s="378"/>
      <c r="G79" s="403"/>
      <c r="H79" s="404"/>
      <c r="I79" s="405"/>
      <c r="J79" s="405"/>
      <c r="K79" s="405"/>
      <c r="L79" s="405"/>
      <c r="M79" s="405"/>
      <c r="N79" s="405"/>
      <c r="O79" s="405"/>
      <c r="P79" s="406"/>
      <c r="Q79" s="448"/>
      <c r="R79" s="379"/>
      <c r="S79" s="386"/>
      <c r="T79" s="387"/>
      <c r="U79" s="413" t="e">
        <f>IF(-0.75*((C79/(VLOOKUP($A$2,Assumptions!$B$124:$G$147,2,0)))+D79/(VLOOKUP($A$2,Assumptions!$B$124:$G$147,5,0)))=0,"",-0.75*((C79/(VLOOKUP($A$2,Assumptions!$B$124:$G$147,2,0)))+D79/(VLOOKUP($A$2,Assumptions!$B$124:$G$147,5,0))))</f>
        <v>#DIV/0!</v>
      </c>
      <c r="V79" s="414" t="str">
        <f t="shared" si="22"/>
        <v/>
      </c>
      <c r="W79" s="451"/>
      <c r="X79" s="507"/>
    </row>
    <row r="80" spans="1:24" ht="15">
      <c r="A80" s="373"/>
      <c r="B80" s="374"/>
      <c r="C80" s="375"/>
      <c r="D80" s="375"/>
      <c r="E80" s="377"/>
      <c r="F80" s="378"/>
      <c r="G80" s="403"/>
      <c r="H80" s="404"/>
      <c r="I80" s="405"/>
      <c r="J80" s="405"/>
      <c r="K80" s="405"/>
      <c r="L80" s="405"/>
      <c r="M80" s="405"/>
      <c r="N80" s="405"/>
      <c r="O80" s="405"/>
      <c r="P80" s="406"/>
      <c r="Q80" s="448"/>
      <c r="R80" s="379"/>
      <c r="S80" s="386"/>
      <c r="T80" s="387"/>
      <c r="U80" s="413" t="e">
        <f>IF(-0.75*((C80/(VLOOKUP($A$2,Assumptions!$B$124:$G$147,2,0)))+D80/(VLOOKUP($A$2,Assumptions!$B$124:$G$147,5,0)))=0,"",-0.75*((C80/(VLOOKUP($A$2,Assumptions!$B$124:$G$147,2,0)))+D80/(VLOOKUP($A$2,Assumptions!$B$124:$G$147,5,0))))</f>
        <v>#DIV/0!</v>
      </c>
      <c r="V80" s="414" t="str">
        <f t="shared" si="22"/>
        <v/>
      </c>
      <c r="W80" s="451"/>
      <c r="X80" s="507"/>
    </row>
    <row r="81" spans="1:24" ht="15">
      <c r="A81" s="373"/>
      <c r="B81" s="457"/>
      <c r="C81" s="375"/>
      <c r="D81" s="375"/>
      <c r="E81" s="377"/>
      <c r="F81" s="378"/>
      <c r="G81" s="403"/>
      <c r="H81" s="404"/>
      <c r="I81" s="405"/>
      <c r="J81" s="405"/>
      <c r="K81" s="405"/>
      <c r="L81" s="405"/>
      <c r="M81" s="405"/>
      <c r="N81" s="405"/>
      <c r="O81" s="405"/>
      <c r="P81" s="406"/>
      <c r="Q81" s="448"/>
      <c r="R81" s="379"/>
      <c r="S81" s="386"/>
      <c r="T81" s="387"/>
      <c r="U81" s="413" t="e">
        <f>IF(-0.75*((C81/(VLOOKUP($A$2,Assumptions!$B$124:$G$147,2,0)))+D81/(VLOOKUP($A$2,Assumptions!$B$124:$G$147,5,0)))=0,"",-0.75*((C81/(VLOOKUP($A$2,Assumptions!$B$124:$G$147,2,0)))+D81/(VLOOKUP($A$2,Assumptions!$B$124:$G$147,5,0))))</f>
        <v>#DIV/0!</v>
      </c>
      <c r="V81" s="414" t="str">
        <f t="shared" si="22"/>
        <v/>
      </c>
      <c r="W81" s="451"/>
      <c r="X81" s="507"/>
    </row>
    <row r="82" spans="1:24" ht="15">
      <c r="A82" s="373"/>
      <c r="B82" s="457"/>
      <c r="C82" s="375"/>
      <c r="D82" s="375"/>
      <c r="E82" s="377"/>
      <c r="F82" s="378"/>
      <c r="G82" s="403"/>
      <c r="H82" s="404"/>
      <c r="I82" s="405"/>
      <c r="J82" s="405"/>
      <c r="K82" s="405"/>
      <c r="L82" s="405"/>
      <c r="M82" s="405"/>
      <c r="N82" s="405"/>
      <c r="O82" s="405"/>
      <c r="P82" s="406"/>
      <c r="Q82" s="448"/>
      <c r="R82" s="379"/>
      <c r="S82" s="386"/>
      <c r="T82" s="387"/>
      <c r="U82" s="413" t="e">
        <f>IF(-0.75*((C82/(VLOOKUP($A$2,Assumptions!$B$124:$G$147,2,0)))+D82/(VLOOKUP($A$2,Assumptions!$B$124:$G$147,5,0)))=0,"",-0.75*((C82/(VLOOKUP($A$2,Assumptions!$B$124:$G$147,2,0)))+D82/(VLOOKUP($A$2,Assumptions!$B$124:$G$147,5,0))))</f>
        <v>#DIV/0!</v>
      </c>
      <c r="V82" s="414" t="str">
        <f t="shared" si="22"/>
        <v/>
      </c>
      <c r="W82" s="451"/>
      <c r="X82" s="507"/>
    </row>
    <row r="83" spans="1:24" ht="15">
      <c r="A83" s="373"/>
      <c r="B83" s="457"/>
      <c r="C83" s="375"/>
      <c r="D83" s="375"/>
      <c r="E83" s="377"/>
      <c r="F83" s="378"/>
      <c r="G83" s="403"/>
      <c r="H83" s="404"/>
      <c r="I83" s="405"/>
      <c r="J83" s="405"/>
      <c r="K83" s="405"/>
      <c r="L83" s="405"/>
      <c r="M83" s="405"/>
      <c r="N83" s="405"/>
      <c r="O83" s="405"/>
      <c r="P83" s="406"/>
      <c r="Q83" s="448"/>
      <c r="R83" s="379"/>
      <c r="S83" s="386"/>
      <c r="T83" s="387"/>
      <c r="U83" s="413" t="e">
        <f>IF(-0.75*((C83/(VLOOKUP($A$2,Assumptions!$B$124:$G$147,2,0)))+D83/(VLOOKUP($A$2,Assumptions!$B$124:$G$147,5,0)))=0,"",-0.75*((C83/(VLOOKUP($A$2,Assumptions!$B$124:$G$147,2,0)))+D83/(VLOOKUP($A$2,Assumptions!$B$124:$G$147,5,0))))</f>
        <v>#DIV/0!</v>
      </c>
      <c r="V83" s="414" t="str">
        <f t="shared" si="22"/>
        <v/>
      </c>
      <c r="W83" s="451"/>
      <c r="X83" s="507"/>
    </row>
    <row r="84" spans="1:24" ht="15">
      <c r="A84" s="373"/>
      <c r="B84" s="457"/>
      <c r="C84" s="375"/>
      <c r="D84" s="375"/>
      <c r="E84" s="377"/>
      <c r="F84" s="378"/>
      <c r="G84" s="403"/>
      <c r="H84" s="404"/>
      <c r="I84" s="405"/>
      <c r="J84" s="405"/>
      <c r="K84" s="405"/>
      <c r="L84" s="405"/>
      <c r="M84" s="405"/>
      <c r="N84" s="405"/>
      <c r="O84" s="405"/>
      <c r="P84" s="406"/>
      <c r="Q84" s="448"/>
      <c r="R84" s="379"/>
      <c r="S84" s="386"/>
      <c r="T84" s="387"/>
      <c r="U84" s="413" t="e">
        <f>IF(-0.75*((C84/(VLOOKUP($A$2,Assumptions!$B$124:$G$147,2,0)))+D84/(VLOOKUP($A$2,Assumptions!$B$124:$G$147,5,0)))=0,"",-0.75*((C84/(VLOOKUP($A$2,Assumptions!$B$124:$G$147,2,0)))+D84/(VLOOKUP($A$2,Assumptions!$B$124:$G$147,5,0))))</f>
        <v>#DIV/0!</v>
      </c>
      <c r="V84" s="414" t="str">
        <f t="shared" si="22"/>
        <v/>
      </c>
      <c r="W84" s="451"/>
      <c r="X84" s="507"/>
    </row>
    <row r="85" spans="1:24" ht="15">
      <c r="A85" s="373"/>
      <c r="B85" s="457"/>
      <c r="C85" s="375"/>
      <c r="D85" s="375"/>
      <c r="E85" s="377"/>
      <c r="F85" s="378"/>
      <c r="G85" s="403"/>
      <c r="H85" s="404"/>
      <c r="I85" s="405"/>
      <c r="J85" s="405"/>
      <c r="K85" s="405"/>
      <c r="L85" s="405"/>
      <c r="M85" s="405"/>
      <c r="N85" s="405"/>
      <c r="O85" s="405"/>
      <c r="P85" s="406"/>
      <c r="Q85" s="448"/>
      <c r="R85" s="379"/>
      <c r="S85" s="386"/>
      <c r="T85" s="387"/>
      <c r="U85" s="413" t="e">
        <f>IF(-0.75*((C85/(VLOOKUP($A$2,Assumptions!$B$124:$G$147,2,0)))+D85/(VLOOKUP($A$2,Assumptions!$B$124:$G$147,5,0)))=0,"",-0.75*((C85/(VLOOKUP($A$2,Assumptions!$B$124:$G$147,2,0)))+D85/(VLOOKUP($A$2,Assumptions!$B$124:$G$147,5,0))))</f>
        <v>#DIV/0!</v>
      </c>
      <c r="V85" s="414" t="str">
        <f t="shared" si="22"/>
        <v/>
      </c>
      <c r="W85" s="451"/>
      <c r="X85" s="507"/>
    </row>
    <row r="86" spans="1:24" ht="15">
      <c r="A86" s="373"/>
      <c r="B86" s="457"/>
      <c r="C86" s="375"/>
      <c r="D86" s="375"/>
      <c r="E86" s="377"/>
      <c r="F86" s="378"/>
      <c r="G86" s="403"/>
      <c r="H86" s="404"/>
      <c r="I86" s="405"/>
      <c r="J86" s="405"/>
      <c r="K86" s="405"/>
      <c r="L86" s="405"/>
      <c r="M86" s="405"/>
      <c r="N86" s="405"/>
      <c r="O86" s="405"/>
      <c r="P86" s="406"/>
      <c r="Q86" s="448"/>
      <c r="R86" s="379"/>
      <c r="S86" s="386"/>
      <c r="T86" s="387"/>
      <c r="U86" s="413" t="e">
        <f>IF(-0.75*((C86/(VLOOKUP($A$2,Assumptions!$B$124:$G$147,2,0)))+D86/(VLOOKUP($A$2,Assumptions!$B$124:$G$147,5,0)))=0,"",-0.75*((C86/(VLOOKUP($A$2,Assumptions!$B$124:$G$147,2,0)))+D86/(VLOOKUP($A$2,Assumptions!$B$124:$G$147,5,0))))</f>
        <v>#DIV/0!</v>
      </c>
      <c r="V86" s="414" t="str">
        <f t="shared" si="22"/>
        <v/>
      </c>
      <c r="W86" s="451"/>
      <c r="X86" s="507"/>
    </row>
    <row r="87" spans="1:24" ht="15">
      <c r="A87" s="373"/>
      <c r="B87" s="374"/>
      <c r="C87" s="375"/>
      <c r="D87" s="375"/>
      <c r="E87" s="377"/>
      <c r="F87" s="378"/>
      <c r="G87" s="403"/>
      <c r="H87" s="404"/>
      <c r="I87" s="405"/>
      <c r="J87" s="405"/>
      <c r="K87" s="405"/>
      <c r="L87" s="405"/>
      <c r="M87" s="405"/>
      <c r="N87" s="405"/>
      <c r="O87" s="405"/>
      <c r="P87" s="406"/>
      <c r="Q87" s="448"/>
      <c r="R87" s="379"/>
      <c r="S87" s="379"/>
      <c r="T87" s="387"/>
      <c r="U87" s="413" t="e">
        <f>IF(-0.75*((C87/(VLOOKUP($A$2,Assumptions!$B$124:$G$147,2,0)))+D87/(VLOOKUP($A$2,Assumptions!$B$124:$G$147,5,0)))=0,"",-0.75*((C87/(VLOOKUP($A$2,Assumptions!$B$124:$G$147,2,0)))+D87/(VLOOKUP($A$2,Assumptions!$B$124:$G$147,5,0))))</f>
        <v>#DIV/0!</v>
      </c>
      <c r="V87" s="414" t="str">
        <f t="shared" si="22"/>
        <v/>
      </c>
      <c r="W87" s="451"/>
      <c r="X87" s="507"/>
    </row>
    <row r="88" spans="1:24" ht="15">
      <c r="A88" s="456"/>
      <c r="B88" s="397"/>
      <c r="C88" s="398"/>
      <c r="D88" s="398"/>
      <c r="E88" s="399"/>
      <c r="F88" s="400"/>
      <c r="G88" s="407"/>
      <c r="H88" s="408"/>
      <c r="I88" s="409"/>
      <c r="J88" s="409"/>
      <c r="K88" s="409"/>
      <c r="L88" s="409"/>
      <c r="M88" s="409"/>
      <c r="N88" s="409"/>
      <c r="O88" s="409"/>
      <c r="P88" s="410"/>
      <c r="Q88" s="449"/>
      <c r="R88" s="401"/>
      <c r="S88" s="401"/>
      <c r="T88" s="402"/>
      <c r="U88" s="413" t="e">
        <f>IF(-0.75*((C88/(VLOOKUP($A$2,Assumptions!$B$124:$G$147,2,0)))+D88/(VLOOKUP($A$2,Assumptions!$B$124:$G$147,5,0)))=0,"",-0.75*((C88/(VLOOKUP($A$2,Assumptions!$B$124:$G$147,2,0)))+D88/(VLOOKUP($A$2,Assumptions!$B$124:$G$147,5,0))))</f>
        <v>#DIV/0!</v>
      </c>
      <c r="V88" s="415" t="str">
        <f t="shared" si="22"/>
        <v/>
      </c>
      <c r="W88" s="452"/>
      <c r="X88" s="507"/>
    </row>
    <row r="89" spans="1:24" ht="15" hidden="1">
      <c r="A89" s="174"/>
      <c r="B89" s="393"/>
      <c r="C89" s="175"/>
      <c r="D89" s="175"/>
      <c r="E89" s="394"/>
      <c r="F89" s="395"/>
      <c r="G89" s="299"/>
      <c r="H89" s="300"/>
      <c r="I89" s="301"/>
      <c r="J89" s="301"/>
      <c r="K89" s="301"/>
      <c r="L89" s="301"/>
      <c r="M89" s="301"/>
      <c r="N89" s="301"/>
      <c r="O89" s="301"/>
      <c r="P89" s="302"/>
      <c r="Q89" s="302"/>
      <c r="R89" s="303"/>
      <c r="S89" s="303"/>
      <c r="T89" s="175"/>
      <c r="U89" s="396" t="e">
        <f>IF(-0.75*((C89/(VLOOKUP($A$2,Assumptions!$B$124:$G$147,2,0)))+D89/(VLOOKUP($A$2,Assumptions!$B$124:$G$147,5,0)))=0,"",-0.75*((C89/(VLOOKUP($A$2,Assumptions!$B$124:$G$147,2,0)))+D89/(VLOOKUP($A$2,Assumptions!$B$124:$G$147,5,0))))</f>
        <v>#DIV/0!</v>
      </c>
      <c r="V89" s="304" t="str">
        <f t="shared" ref="V89:W114" si="24">IF(ISERROR(((-C89*1000*$W$162)/F89)),"",((-C89*1000*$W$162)/F89))</f>
        <v/>
      </c>
      <c r="W89" s="304" t="str">
        <f t="shared" si="24"/>
        <v/>
      </c>
      <c r="X89" s="304"/>
    </row>
    <row r="90" spans="1:24" ht="15" hidden="1">
      <c r="A90" s="171"/>
      <c r="B90" s="164"/>
      <c r="C90" s="233"/>
      <c r="D90" s="233"/>
      <c r="E90" s="163"/>
      <c r="F90" s="165"/>
      <c r="G90" s="166"/>
      <c r="H90" s="167"/>
      <c r="I90" s="168"/>
      <c r="J90" s="168"/>
      <c r="K90" s="168"/>
      <c r="L90" s="168"/>
      <c r="M90" s="168"/>
      <c r="N90" s="168"/>
      <c r="O90" s="168"/>
      <c r="P90" s="176"/>
      <c r="Q90" s="176"/>
      <c r="R90" s="168"/>
      <c r="S90" s="168"/>
      <c r="T90" s="169"/>
      <c r="U90" s="284"/>
      <c r="V90" s="170" t="str">
        <f t="shared" si="24"/>
        <v/>
      </c>
      <c r="W90" s="170" t="str">
        <f t="shared" si="24"/>
        <v/>
      </c>
      <c r="X90" s="170"/>
    </row>
    <row r="91" spans="1:24" ht="15" hidden="1">
      <c r="A91" s="171"/>
      <c r="B91" s="164"/>
      <c r="C91" s="233"/>
      <c r="D91" s="233"/>
      <c r="E91" s="163"/>
      <c r="F91" s="165"/>
      <c r="G91" s="166"/>
      <c r="H91" s="167"/>
      <c r="I91" s="168"/>
      <c r="J91" s="168"/>
      <c r="K91" s="168"/>
      <c r="L91" s="168"/>
      <c r="M91" s="168"/>
      <c r="N91" s="168"/>
      <c r="O91" s="168"/>
      <c r="P91" s="176"/>
      <c r="Q91" s="176"/>
      <c r="R91" s="168"/>
      <c r="S91" s="168"/>
      <c r="T91" s="169"/>
      <c r="U91" s="274"/>
      <c r="V91" s="170" t="str">
        <f t="shared" si="24"/>
        <v/>
      </c>
      <c r="W91" s="170" t="str">
        <f t="shared" si="24"/>
        <v/>
      </c>
      <c r="X91" s="170"/>
    </row>
    <row r="92" spans="1:24" ht="15" hidden="1">
      <c r="A92" s="171"/>
      <c r="B92" s="164"/>
      <c r="C92" s="233"/>
      <c r="D92" s="233"/>
      <c r="E92" s="163"/>
      <c r="F92" s="165"/>
      <c r="G92" s="166"/>
      <c r="H92" s="167"/>
      <c r="I92" s="168"/>
      <c r="J92" s="168"/>
      <c r="K92" s="168"/>
      <c r="L92" s="168"/>
      <c r="M92" s="168"/>
      <c r="N92" s="168"/>
      <c r="O92" s="168"/>
      <c r="P92" s="176"/>
      <c r="Q92" s="176"/>
      <c r="R92" s="168"/>
      <c r="S92" s="168"/>
      <c r="T92" s="169"/>
      <c r="U92" s="274"/>
      <c r="V92" s="170" t="str">
        <f t="shared" si="24"/>
        <v/>
      </c>
      <c r="W92" s="170" t="str">
        <f t="shared" si="24"/>
        <v/>
      </c>
      <c r="X92" s="170"/>
    </row>
    <row r="93" spans="1:24" ht="15" hidden="1">
      <c r="A93" s="171"/>
      <c r="B93" s="164"/>
      <c r="C93" s="233"/>
      <c r="D93" s="233"/>
      <c r="E93" s="163"/>
      <c r="F93" s="165"/>
      <c r="G93" s="166"/>
      <c r="H93" s="167"/>
      <c r="I93" s="168"/>
      <c r="J93" s="168"/>
      <c r="K93" s="168"/>
      <c r="L93" s="168"/>
      <c r="M93" s="168"/>
      <c r="N93" s="168"/>
      <c r="O93" s="168"/>
      <c r="P93" s="176"/>
      <c r="Q93" s="176"/>
      <c r="R93" s="168"/>
      <c r="S93" s="168"/>
      <c r="T93" s="169"/>
      <c r="U93" s="274"/>
      <c r="V93" s="170" t="str">
        <f t="shared" si="24"/>
        <v/>
      </c>
      <c r="W93" s="170" t="str">
        <f t="shared" si="24"/>
        <v/>
      </c>
      <c r="X93" s="170"/>
    </row>
    <row r="94" spans="1:24" ht="15" hidden="1">
      <c r="A94" s="171"/>
      <c r="B94" s="164"/>
      <c r="C94" s="233"/>
      <c r="D94" s="233"/>
      <c r="E94" s="163"/>
      <c r="F94" s="165"/>
      <c r="G94" s="166"/>
      <c r="H94" s="167"/>
      <c r="I94" s="168"/>
      <c r="J94" s="168"/>
      <c r="K94" s="168"/>
      <c r="L94" s="168"/>
      <c r="M94" s="168"/>
      <c r="N94" s="168"/>
      <c r="O94" s="168"/>
      <c r="P94" s="176"/>
      <c r="Q94" s="176"/>
      <c r="R94" s="168"/>
      <c r="S94" s="168"/>
      <c r="T94" s="169"/>
      <c r="U94" s="274"/>
      <c r="V94" s="170" t="str">
        <f t="shared" si="24"/>
        <v/>
      </c>
      <c r="W94" s="170" t="str">
        <f t="shared" si="24"/>
        <v/>
      </c>
      <c r="X94" s="170"/>
    </row>
    <row r="95" spans="1:24" ht="15" hidden="1">
      <c r="A95" s="171"/>
      <c r="B95" s="164"/>
      <c r="C95" s="233"/>
      <c r="D95" s="233"/>
      <c r="E95" s="163"/>
      <c r="F95" s="165"/>
      <c r="G95" s="166"/>
      <c r="H95" s="167"/>
      <c r="I95" s="168"/>
      <c r="J95" s="168"/>
      <c r="K95" s="168"/>
      <c r="L95" s="168"/>
      <c r="M95" s="168"/>
      <c r="N95" s="168"/>
      <c r="O95" s="168"/>
      <c r="P95" s="176"/>
      <c r="Q95" s="176"/>
      <c r="R95" s="168"/>
      <c r="S95" s="168"/>
      <c r="T95" s="169"/>
      <c r="U95" s="274"/>
      <c r="V95" s="170" t="str">
        <f t="shared" si="24"/>
        <v/>
      </c>
      <c r="W95" s="170" t="str">
        <f t="shared" si="24"/>
        <v/>
      </c>
      <c r="X95" s="170"/>
    </row>
    <row r="96" spans="1:24" ht="15" hidden="1">
      <c r="A96" s="171"/>
      <c r="B96" s="164"/>
      <c r="C96" s="233"/>
      <c r="D96" s="233"/>
      <c r="E96" s="163"/>
      <c r="F96" s="165"/>
      <c r="G96" s="166"/>
      <c r="H96" s="167"/>
      <c r="I96" s="168"/>
      <c r="J96" s="168"/>
      <c r="K96" s="168"/>
      <c r="L96" s="168"/>
      <c r="M96" s="168"/>
      <c r="N96" s="168"/>
      <c r="O96" s="168"/>
      <c r="P96" s="176"/>
      <c r="Q96" s="176"/>
      <c r="R96" s="168"/>
      <c r="S96" s="168"/>
      <c r="T96" s="169"/>
      <c r="U96" s="274"/>
      <c r="V96" s="170" t="str">
        <f t="shared" si="24"/>
        <v/>
      </c>
      <c r="W96" s="170" t="str">
        <f t="shared" si="24"/>
        <v/>
      </c>
      <c r="X96" s="170"/>
    </row>
    <row r="97" spans="1:24" ht="15" hidden="1">
      <c r="A97" s="171"/>
      <c r="B97" s="164"/>
      <c r="C97" s="233"/>
      <c r="D97" s="233"/>
      <c r="E97" s="163"/>
      <c r="F97" s="165"/>
      <c r="G97" s="166"/>
      <c r="H97" s="167"/>
      <c r="I97" s="168"/>
      <c r="J97" s="168"/>
      <c r="K97" s="168"/>
      <c r="L97" s="168"/>
      <c r="M97" s="168"/>
      <c r="N97" s="168"/>
      <c r="O97" s="168"/>
      <c r="P97" s="176"/>
      <c r="Q97" s="176"/>
      <c r="R97" s="168"/>
      <c r="S97" s="168"/>
      <c r="T97" s="169"/>
      <c r="U97" s="274"/>
      <c r="V97" s="170" t="str">
        <f t="shared" si="24"/>
        <v/>
      </c>
      <c r="W97" s="170" t="str">
        <f t="shared" si="24"/>
        <v/>
      </c>
      <c r="X97" s="170"/>
    </row>
    <row r="98" spans="1:24" ht="15" hidden="1">
      <c r="A98" s="171"/>
      <c r="B98" s="164"/>
      <c r="C98" s="233"/>
      <c r="D98" s="233"/>
      <c r="E98" s="163"/>
      <c r="F98" s="165"/>
      <c r="G98" s="166"/>
      <c r="H98" s="167"/>
      <c r="I98" s="168"/>
      <c r="J98" s="168"/>
      <c r="K98" s="168"/>
      <c r="L98" s="168"/>
      <c r="M98" s="168"/>
      <c r="N98" s="168"/>
      <c r="O98" s="168"/>
      <c r="P98" s="176"/>
      <c r="Q98" s="176"/>
      <c r="R98" s="168"/>
      <c r="S98" s="168"/>
      <c r="T98" s="169"/>
      <c r="U98" s="274"/>
      <c r="V98" s="170" t="str">
        <f t="shared" si="24"/>
        <v/>
      </c>
      <c r="W98" s="170" t="str">
        <f t="shared" si="24"/>
        <v/>
      </c>
      <c r="X98" s="170"/>
    </row>
    <row r="99" spans="1:24" ht="15" hidden="1">
      <c r="A99" s="171"/>
      <c r="B99" s="164"/>
      <c r="C99" s="233"/>
      <c r="D99" s="233"/>
      <c r="E99" s="163"/>
      <c r="F99" s="165"/>
      <c r="G99" s="166"/>
      <c r="H99" s="167"/>
      <c r="I99" s="168"/>
      <c r="J99" s="168"/>
      <c r="K99" s="168"/>
      <c r="L99" s="168"/>
      <c r="M99" s="168"/>
      <c r="N99" s="168"/>
      <c r="O99" s="168"/>
      <c r="P99" s="176"/>
      <c r="Q99" s="176"/>
      <c r="R99" s="168"/>
      <c r="S99" s="168"/>
      <c r="T99" s="169"/>
      <c r="U99" s="274"/>
      <c r="V99" s="170" t="str">
        <f t="shared" si="24"/>
        <v/>
      </c>
      <c r="W99" s="170" t="str">
        <f t="shared" si="24"/>
        <v/>
      </c>
      <c r="X99" s="170"/>
    </row>
    <row r="100" spans="1:24" ht="15" hidden="1">
      <c r="A100" s="171"/>
      <c r="B100" s="164"/>
      <c r="C100" s="233"/>
      <c r="D100" s="233"/>
      <c r="E100" s="163"/>
      <c r="F100" s="165"/>
      <c r="G100" s="166"/>
      <c r="H100" s="167"/>
      <c r="I100" s="168"/>
      <c r="J100" s="168"/>
      <c r="K100" s="168"/>
      <c r="L100" s="168"/>
      <c r="M100" s="168"/>
      <c r="N100" s="168"/>
      <c r="O100" s="168"/>
      <c r="P100" s="176"/>
      <c r="Q100" s="176"/>
      <c r="R100" s="168"/>
      <c r="S100" s="168"/>
      <c r="T100" s="169"/>
      <c r="U100" s="274"/>
      <c r="V100" s="170" t="str">
        <f t="shared" si="24"/>
        <v/>
      </c>
      <c r="W100" s="170" t="str">
        <f t="shared" si="24"/>
        <v/>
      </c>
      <c r="X100" s="170"/>
    </row>
    <row r="101" spans="1:24" ht="15" hidden="1">
      <c r="A101" s="171"/>
      <c r="B101" s="164"/>
      <c r="C101" s="233"/>
      <c r="D101" s="233"/>
      <c r="E101" s="163"/>
      <c r="F101" s="165"/>
      <c r="G101" s="166"/>
      <c r="H101" s="167"/>
      <c r="I101" s="168"/>
      <c r="J101" s="168"/>
      <c r="K101" s="168"/>
      <c r="L101" s="168"/>
      <c r="M101" s="168"/>
      <c r="N101" s="168"/>
      <c r="O101" s="168"/>
      <c r="P101" s="176"/>
      <c r="Q101" s="176"/>
      <c r="R101" s="168"/>
      <c r="S101" s="168"/>
      <c r="T101" s="169"/>
      <c r="U101" s="274"/>
      <c r="V101" s="170" t="str">
        <f t="shared" si="24"/>
        <v/>
      </c>
      <c r="W101" s="170" t="str">
        <f t="shared" si="24"/>
        <v/>
      </c>
      <c r="X101" s="170"/>
    </row>
    <row r="102" spans="1:24" ht="15" hidden="1">
      <c r="A102" s="171"/>
      <c r="B102" s="164"/>
      <c r="C102" s="233"/>
      <c r="D102" s="233"/>
      <c r="E102" s="163"/>
      <c r="F102" s="165"/>
      <c r="G102" s="166"/>
      <c r="H102" s="167"/>
      <c r="I102" s="168"/>
      <c r="J102" s="168"/>
      <c r="K102" s="168"/>
      <c r="L102" s="168"/>
      <c r="M102" s="168"/>
      <c r="N102" s="168"/>
      <c r="O102" s="168"/>
      <c r="P102" s="176"/>
      <c r="Q102" s="176"/>
      <c r="R102" s="168"/>
      <c r="S102" s="168"/>
      <c r="T102" s="169"/>
      <c r="U102" s="274"/>
      <c r="V102" s="170" t="str">
        <f t="shared" si="24"/>
        <v/>
      </c>
      <c r="W102" s="170" t="str">
        <f t="shared" si="24"/>
        <v/>
      </c>
      <c r="X102" s="170"/>
    </row>
    <row r="103" spans="1:24" ht="15" hidden="1">
      <c r="A103" s="171"/>
      <c r="B103" s="164"/>
      <c r="C103" s="233"/>
      <c r="D103" s="233"/>
      <c r="E103" s="163"/>
      <c r="F103" s="165"/>
      <c r="G103" s="166"/>
      <c r="H103" s="167"/>
      <c r="I103" s="168"/>
      <c r="J103" s="168"/>
      <c r="K103" s="168"/>
      <c r="L103" s="168"/>
      <c r="M103" s="168"/>
      <c r="N103" s="168"/>
      <c r="O103" s="168"/>
      <c r="P103" s="176"/>
      <c r="Q103" s="176"/>
      <c r="R103" s="168"/>
      <c r="S103" s="168"/>
      <c r="T103" s="169"/>
      <c r="U103" s="274"/>
      <c r="V103" s="170" t="str">
        <f t="shared" si="24"/>
        <v/>
      </c>
      <c r="W103" s="170" t="str">
        <f t="shared" si="24"/>
        <v/>
      </c>
      <c r="X103" s="170"/>
    </row>
    <row r="104" spans="1:24" ht="15" hidden="1">
      <c r="A104" s="171"/>
      <c r="B104" s="164"/>
      <c r="C104" s="233"/>
      <c r="D104" s="233"/>
      <c r="E104" s="163"/>
      <c r="F104" s="165"/>
      <c r="G104" s="166"/>
      <c r="H104" s="167"/>
      <c r="I104" s="168"/>
      <c r="J104" s="168"/>
      <c r="K104" s="168"/>
      <c r="L104" s="168"/>
      <c r="M104" s="168"/>
      <c r="N104" s="168"/>
      <c r="O104" s="168"/>
      <c r="P104" s="176"/>
      <c r="Q104" s="176"/>
      <c r="R104" s="168"/>
      <c r="S104" s="168"/>
      <c r="T104" s="169"/>
      <c r="U104" s="274"/>
      <c r="V104" s="170" t="str">
        <f t="shared" si="24"/>
        <v/>
      </c>
      <c r="W104" s="170" t="str">
        <f t="shared" si="24"/>
        <v/>
      </c>
      <c r="X104" s="170"/>
    </row>
    <row r="105" spans="1:24" ht="15" hidden="1">
      <c r="A105" s="171"/>
      <c r="B105" s="164"/>
      <c r="C105" s="233"/>
      <c r="D105" s="233"/>
      <c r="E105" s="163"/>
      <c r="F105" s="165"/>
      <c r="G105" s="166"/>
      <c r="H105" s="167"/>
      <c r="I105" s="168"/>
      <c r="J105" s="168"/>
      <c r="K105" s="168"/>
      <c r="L105" s="168"/>
      <c r="M105" s="168"/>
      <c r="N105" s="168"/>
      <c r="O105" s="168"/>
      <c r="P105" s="176"/>
      <c r="Q105" s="176"/>
      <c r="R105" s="168"/>
      <c r="S105" s="168"/>
      <c r="T105" s="169"/>
      <c r="U105" s="274"/>
      <c r="V105" s="170" t="str">
        <f t="shared" si="24"/>
        <v/>
      </c>
      <c r="W105" s="170" t="str">
        <f t="shared" si="24"/>
        <v/>
      </c>
      <c r="X105" s="170"/>
    </row>
    <row r="106" spans="1:24" ht="15" hidden="1">
      <c r="A106" s="171"/>
      <c r="B106" s="164"/>
      <c r="C106" s="233"/>
      <c r="D106" s="233"/>
      <c r="E106" s="163"/>
      <c r="F106" s="165"/>
      <c r="G106" s="166"/>
      <c r="H106" s="167"/>
      <c r="I106" s="168"/>
      <c r="J106" s="168"/>
      <c r="K106" s="168"/>
      <c r="L106" s="168"/>
      <c r="M106" s="168"/>
      <c r="N106" s="168"/>
      <c r="O106" s="168"/>
      <c r="P106" s="176"/>
      <c r="Q106" s="176"/>
      <c r="R106" s="168"/>
      <c r="S106" s="168"/>
      <c r="T106" s="169"/>
      <c r="U106" s="274"/>
      <c r="V106" s="170" t="str">
        <f t="shared" si="24"/>
        <v/>
      </c>
      <c r="W106" s="170" t="str">
        <f t="shared" si="24"/>
        <v/>
      </c>
      <c r="X106" s="170"/>
    </row>
    <row r="107" spans="1:24" ht="15" hidden="1">
      <c r="A107" s="171"/>
      <c r="B107" s="164"/>
      <c r="C107" s="233"/>
      <c r="D107" s="233"/>
      <c r="E107" s="163"/>
      <c r="F107" s="165"/>
      <c r="G107" s="166"/>
      <c r="H107" s="167"/>
      <c r="I107" s="168"/>
      <c r="J107" s="168"/>
      <c r="K107" s="168"/>
      <c r="L107" s="168"/>
      <c r="M107" s="168"/>
      <c r="N107" s="168"/>
      <c r="O107" s="168"/>
      <c r="P107" s="176"/>
      <c r="Q107" s="176"/>
      <c r="R107" s="168"/>
      <c r="S107" s="168"/>
      <c r="T107" s="169"/>
      <c r="U107" s="274"/>
      <c r="V107" s="170" t="str">
        <f t="shared" si="24"/>
        <v/>
      </c>
      <c r="W107" s="170" t="str">
        <f t="shared" si="24"/>
        <v/>
      </c>
      <c r="X107" s="170"/>
    </row>
    <row r="108" spans="1:24" ht="15" hidden="1">
      <c r="A108" s="171"/>
      <c r="B108" s="164"/>
      <c r="C108" s="233"/>
      <c r="D108" s="233"/>
      <c r="E108" s="163"/>
      <c r="F108" s="165"/>
      <c r="G108" s="166"/>
      <c r="H108" s="167"/>
      <c r="I108" s="168"/>
      <c r="J108" s="168"/>
      <c r="K108" s="168"/>
      <c r="L108" s="168"/>
      <c r="M108" s="168"/>
      <c r="N108" s="168"/>
      <c r="O108" s="168"/>
      <c r="P108" s="176"/>
      <c r="Q108" s="176"/>
      <c r="R108" s="168"/>
      <c r="S108" s="168"/>
      <c r="T108" s="169"/>
      <c r="U108" s="274"/>
      <c r="V108" s="170" t="str">
        <f t="shared" si="24"/>
        <v/>
      </c>
      <c r="W108" s="170" t="str">
        <f t="shared" si="24"/>
        <v/>
      </c>
      <c r="X108" s="170"/>
    </row>
    <row r="109" spans="1:24" ht="15" hidden="1">
      <c r="A109" s="171"/>
      <c r="B109" s="164"/>
      <c r="C109" s="233"/>
      <c r="D109" s="233"/>
      <c r="E109" s="163"/>
      <c r="F109" s="165"/>
      <c r="G109" s="166"/>
      <c r="H109" s="167"/>
      <c r="I109" s="168"/>
      <c r="J109" s="168"/>
      <c r="K109" s="168"/>
      <c r="L109" s="168"/>
      <c r="M109" s="168"/>
      <c r="N109" s="168"/>
      <c r="O109" s="168"/>
      <c r="P109" s="176"/>
      <c r="Q109" s="176"/>
      <c r="R109" s="168"/>
      <c r="S109" s="168"/>
      <c r="T109" s="169"/>
      <c r="U109" s="274"/>
      <c r="V109" s="170" t="str">
        <f t="shared" si="24"/>
        <v/>
      </c>
      <c r="W109" s="170" t="str">
        <f t="shared" si="24"/>
        <v/>
      </c>
      <c r="X109" s="170"/>
    </row>
    <row r="110" spans="1:24" ht="15" hidden="1">
      <c r="A110" s="171"/>
      <c r="B110" s="164"/>
      <c r="C110" s="233"/>
      <c r="D110" s="233"/>
      <c r="E110" s="163"/>
      <c r="F110" s="165"/>
      <c r="G110" s="166"/>
      <c r="H110" s="167"/>
      <c r="I110" s="168"/>
      <c r="J110" s="168"/>
      <c r="K110" s="168"/>
      <c r="L110" s="168"/>
      <c r="M110" s="168"/>
      <c r="N110" s="168"/>
      <c r="O110" s="168"/>
      <c r="P110" s="176"/>
      <c r="Q110" s="176"/>
      <c r="R110" s="168"/>
      <c r="S110" s="168"/>
      <c r="T110" s="169"/>
      <c r="U110" s="274"/>
      <c r="V110" s="170" t="str">
        <f t="shared" si="24"/>
        <v/>
      </c>
      <c r="W110" s="170" t="str">
        <f t="shared" si="24"/>
        <v/>
      </c>
      <c r="X110" s="170"/>
    </row>
    <row r="111" spans="1:24" ht="15" hidden="1">
      <c r="A111" s="171"/>
      <c r="B111" s="164"/>
      <c r="C111" s="233"/>
      <c r="D111" s="233"/>
      <c r="E111" s="163"/>
      <c r="F111" s="165"/>
      <c r="G111" s="166"/>
      <c r="H111" s="167"/>
      <c r="I111" s="168"/>
      <c r="J111" s="168"/>
      <c r="K111" s="168"/>
      <c r="L111" s="168"/>
      <c r="M111" s="168"/>
      <c r="N111" s="168"/>
      <c r="O111" s="168"/>
      <c r="P111" s="176"/>
      <c r="Q111" s="176"/>
      <c r="R111" s="168"/>
      <c r="S111" s="168"/>
      <c r="T111" s="169"/>
      <c r="U111" s="274"/>
      <c r="V111" s="170" t="str">
        <f t="shared" si="24"/>
        <v/>
      </c>
      <c r="W111" s="170" t="str">
        <f t="shared" si="24"/>
        <v/>
      </c>
      <c r="X111" s="170"/>
    </row>
    <row r="112" spans="1:24" ht="15" hidden="1">
      <c r="A112" s="171"/>
      <c r="B112" s="164"/>
      <c r="C112" s="233"/>
      <c r="D112" s="233"/>
      <c r="E112" s="163"/>
      <c r="F112" s="165"/>
      <c r="G112" s="166"/>
      <c r="H112" s="167"/>
      <c r="I112" s="168"/>
      <c r="J112" s="168"/>
      <c r="K112" s="168"/>
      <c r="L112" s="168"/>
      <c r="M112" s="168"/>
      <c r="N112" s="168"/>
      <c r="O112" s="168"/>
      <c r="P112" s="176"/>
      <c r="Q112" s="176"/>
      <c r="R112" s="168"/>
      <c r="S112" s="168"/>
      <c r="T112" s="169"/>
      <c r="U112" s="274"/>
      <c r="V112" s="170" t="str">
        <f t="shared" si="24"/>
        <v/>
      </c>
      <c r="W112" s="170" t="str">
        <f t="shared" si="24"/>
        <v/>
      </c>
      <c r="X112" s="170"/>
    </row>
    <row r="113" spans="1:31" ht="15" hidden="1">
      <c r="A113" s="171"/>
      <c r="B113" s="164"/>
      <c r="C113" s="233"/>
      <c r="D113" s="233"/>
      <c r="E113" s="163"/>
      <c r="F113" s="165"/>
      <c r="G113" s="166"/>
      <c r="H113" s="167"/>
      <c r="I113" s="168"/>
      <c r="J113" s="168"/>
      <c r="K113" s="168"/>
      <c r="L113" s="168"/>
      <c r="M113" s="168"/>
      <c r="N113" s="168"/>
      <c r="O113" s="168"/>
      <c r="P113" s="176"/>
      <c r="Q113" s="176"/>
      <c r="R113" s="168"/>
      <c r="S113" s="168"/>
      <c r="T113" s="169"/>
      <c r="U113" s="274"/>
      <c r="V113" s="170" t="str">
        <f t="shared" si="24"/>
        <v/>
      </c>
      <c r="W113" s="170" t="str">
        <f t="shared" si="24"/>
        <v/>
      </c>
      <c r="X113" s="170"/>
    </row>
    <row r="114" spans="1:31" ht="15" hidden="1">
      <c r="A114" s="171"/>
      <c r="B114" s="352"/>
      <c r="C114" s="334"/>
      <c r="D114" s="334"/>
      <c r="E114" s="335"/>
      <c r="F114" s="172"/>
      <c r="G114" s="336"/>
      <c r="H114" s="337"/>
      <c r="I114" s="329"/>
      <c r="J114" s="329"/>
      <c r="K114" s="329"/>
      <c r="L114" s="329"/>
      <c r="M114" s="329"/>
      <c r="N114" s="329"/>
      <c r="O114" s="329"/>
      <c r="P114" s="332"/>
      <c r="Q114" s="332"/>
      <c r="R114" s="329"/>
      <c r="S114" s="329"/>
      <c r="T114" s="330"/>
      <c r="U114" s="331"/>
      <c r="V114" s="173" t="str">
        <f t="shared" si="24"/>
        <v/>
      </c>
      <c r="W114" s="173" t="str">
        <f t="shared" si="24"/>
        <v/>
      </c>
      <c r="X114" s="173"/>
    </row>
    <row r="115" spans="1:31" ht="15">
      <c r="A115" s="13"/>
      <c r="B115" s="353"/>
      <c r="C115" s="354">
        <f>SUM(C69:C88)</f>
        <v>0</v>
      </c>
      <c r="D115" s="354">
        <f>SUM(D69:D88)</f>
        <v>0</v>
      </c>
      <c r="E115" s="355"/>
      <c r="F115" s="333">
        <f>SUM(F69:F114)</f>
        <v>0</v>
      </c>
      <c r="G115" s="388">
        <f>SUM(G69:G114)</f>
        <v>0</v>
      </c>
      <c r="H115" s="388">
        <f t="shared" ref="H115:N115" si="25">SUM(H69:H114)</f>
        <v>0</v>
      </c>
      <c r="I115" s="388">
        <f t="shared" si="25"/>
        <v>0</v>
      </c>
      <c r="J115" s="388">
        <f t="shared" si="25"/>
        <v>0</v>
      </c>
      <c r="K115" s="388">
        <f t="shared" si="25"/>
        <v>0</v>
      </c>
      <c r="L115" s="388">
        <f t="shared" si="25"/>
        <v>0</v>
      </c>
      <c r="M115" s="388">
        <f t="shared" si="25"/>
        <v>0</v>
      </c>
      <c r="N115" s="388">
        <f t="shared" si="25"/>
        <v>0</v>
      </c>
      <c r="O115" s="388">
        <f>SUM(O69:O114)</f>
        <v>0</v>
      </c>
      <c r="P115" s="388">
        <f>SUM(P69:P114)</f>
        <v>0</v>
      </c>
      <c r="Q115" s="388">
        <f>SUM(Q69:Q114)</f>
        <v>0</v>
      </c>
      <c r="R115" s="388">
        <f>SUMIFS(F69:F114,R69:R114,"Yes")-0.5*SUMIFS(F69:F114,R69:R114,"Yes",S69:S114,"Yes")</f>
        <v>0</v>
      </c>
      <c r="S115" s="388">
        <f>SUMIFS(F69:F114,S69:S114,"Yes")-0.5*SUMIFS(F69:F114,S69:S114,"Yes",R69:R114,"Yes")</f>
        <v>0</v>
      </c>
      <c r="T115" s="388">
        <f>SUMIFS(F69:F114,T69:T114,"Yes")</f>
        <v>0</v>
      </c>
      <c r="U115" s="389" t="e">
        <f>SUM(U69:U114)</f>
        <v>#DIV/0!</v>
      </c>
      <c r="V115" s="390" t="str">
        <f>IF(ISERROR(((-1*C115*1000*$D$6)+(-1*D115*$D$8))/F115),"",((-1*C115*1000*$D$6)+(-1*D115*$D$8))/F115)</f>
        <v/>
      </c>
      <c r="W115" s="391">
        <f>SUMIFS(F69:F114,W69:W114,"Yes")</f>
        <v>0</v>
      </c>
      <c r="X115" s="388">
        <f>SUMIFS(F69:F114,X69:X114,"Yes")</f>
        <v>0</v>
      </c>
    </row>
    <row r="116" spans="1:31" ht="15">
      <c r="A116" s="13"/>
      <c r="B116" s="13"/>
      <c r="C116" s="13"/>
      <c r="D116" s="13"/>
      <c r="E116" s="13"/>
      <c r="F116" s="13"/>
      <c r="G116" s="13"/>
      <c r="H116" s="13"/>
      <c r="I116" s="13"/>
      <c r="J116" s="13"/>
      <c r="K116" s="13"/>
      <c r="L116" s="13"/>
      <c r="M116" s="13"/>
      <c r="N116" s="13"/>
      <c r="O116" s="13"/>
      <c r="P116" s="13"/>
      <c r="Q116" s="13"/>
      <c r="S116" s="392" t="e">
        <f ca="1">_xlfn.MAXIFS(E69:E114,S69:S114,"Yes")</f>
        <v>#NAME?</v>
      </c>
      <c r="T116" s="13"/>
      <c r="U116" s="160"/>
    </row>
    <row r="117" spans="1:31">
      <c r="A117" s="13"/>
      <c r="B117" s="13"/>
      <c r="C117" s="13"/>
      <c r="D117" s="13"/>
      <c r="E117" s="13"/>
      <c r="F117" s="13"/>
      <c r="G117" s="13"/>
      <c r="H117" s="13"/>
      <c r="I117" s="13"/>
      <c r="J117" s="13"/>
      <c r="K117" s="13"/>
      <c r="L117" s="13"/>
      <c r="M117" s="13"/>
      <c r="N117" s="13"/>
      <c r="O117" s="13"/>
      <c r="P117" s="13"/>
      <c r="Q117" s="13"/>
      <c r="R117" s="13"/>
      <c r="S117" s="13"/>
      <c r="T117" s="13"/>
      <c r="U117" s="13"/>
    </row>
    <row r="118" spans="1:31">
      <c r="A118" s="13"/>
      <c r="B118" s="13"/>
      <c r="C118" s="13"/>
      <c r="D118" s="13"/>
      <c r="E118" s="13"/>
      <c r="F118" s="13"/>
      <c r="G118" s="13"/>
      <c r="H118" s="13"/>
      <c r="I118" s="13"/>
      <c r="J118" s="13"/>
      <c r="K118" s="13"/>
      <c r="L118" s="13"/>
      <c r="M118" s="13"/>
      <c r="N118" s="13"/>
      <c r="O118" s="13"/>
      <c r="P118" s="13"/>
      <c r="Q118" s="13"/>
      <c r="R118" s="13"/>
      <c r="S118" s="13"/>
      <c r="T118" s="13"/>
      <c r="U118" s="13"/>
    </row>
    <row r="119" spans="1:31">
      <c r="A119" s="13"/>
      <c r="B119" s="13"/>
      <c r="C119" s="13"/>
      <c r="D119" s="13"/>
      <c r="E119" s="13"/>
      <c r="F119" s="13"/>
      <c r="G119" s="13"/>
      <c r="H119" s="13"/>
      <c r="I119" s="13"/>
      <c r="J119" s="13"/>
      <c r="K119" s="13"/>
      <c r="L119" s="13"/>
      <c r="M119" s="13"/>
      <c r="N119" s="13"/>
      <c r="O119" s="13"/>
      <c r="P119" s="13"/>
      <c r="Q119" s="13"/>
      <c r="R119" s="13"/>
      <c r="S119" s="13"/>
      <c r="T119" s="13"/>
      <c r="U119" s="13"/>
    </row>
    <row r="120" spans="1:31" ht="13">
      <c r="A120" s="13"/>
      <c r="B120" s="13"/>
      <c r="C120" s="13"/>
      <c r="D120" s="13"/>
      <c r="E120" s="13"/>
      <c r="F120" s="13"/>
      <c r="G120" s="13"/>
      <c r="H120" s="13"/>
      <c r="I120" s="13"/>
      <c r="J120" s="13"/>
      <c r="K120" s="13"/>
      <c r="L120" s="13"/>
      <c r="M120" s="13"/>
      <c r="N120" s="13"/>
      <c r="O120" s="13"/>
      <c r="P120" s="13"/>
      <c r="Q120" s="13"/>
      <c r="R120" s="21" t="s">
        <v>425</v>
      </c>
      <c r="S120" s="22">
        <f>-AL214</f>
        <v>0</v>
      </c>
      <c r="T120" s="13"/>
      <c r="U120" s="13"/>
    </row>
    <row r="121" spans="1:31" s="20" customFormat="1">
      <c r="A121" s="13"/>
      <c r="B121" s="13"/>
      <c r="C121" s="13"/>
      <c r="D121" s="13"/>
      <c r="E121" s="13"/>
      <c r="F121" s="13"/>
      <c r="G121" s="13"/>
      <c r="H121" s="13"/>
      <c r="I121" s="13"/>
      <c r="J121" s="13"/>
      <c r="K121" s="13"/>
      <c r="L121" s="13"/>
      <c r="M121" s="13"/>
      <c r="N121" s="13"/>
      <c r="O121" s="13"/>
      <c r="P121" s="13"/>
      <c r="Q121" s="13"/>
      <c r="R121" s="13"/>
      <c r="S121" s="13"/>
      <c r="T121" s="13"/>
      <c r="U121" s="13"/>
      <c r="V121" s="13"/>
    </row>
    <row r="122" spans="1:31" s="20" customFormat="1">
      <c r="A122" s="13"/>
      <c r="B122" s="13"/>
      <c r="C122" s="13"/>
      <c r="D122" s="13"/>
      <c r="E122" s="13"/>
      <c r="F122" s="13"/>
      <c r="G122" s="13"/>
      <c r="H122" s="13"/>
      <c r="I122" s="13"/>
      <c r="J122" s="13"/>
      <c r="K122" s="13"/>
      <c r="L122" s="13"/>
      <c r="M122" s="13"/>
      <c r="N122" s="13"/>
      <c r="O122" s="13"/>
      <c r="P122" s="13"/>
      <c r="Q122" s="13"/>
      <c r="R122" s="13"/>
      <c r="S122" s="13"/>
      <c r="T122" s="13"/>
      <c r="U122" s="13"/>
      <c r="V122" s="13"/>
    </row>
    <row r="123" spans="1:31" s="20" customFormat="1" ht="13">
      <c r="A123" s="13"/>
      <c r="B123" s="13"/>
      <c r="C123" s="13"/>
      <c r="D123" s="13"/>
      <c r="E123" s="13"/>
      <c r="F123" s="13"/>
      <c r="G123" s="13"/>
      <c r="H123" s="13"/>
      <c r="I123" s="13"/>
      <c r="J123" s="13"/>
      <c r="K123" s="13"/>
      <c r="L123" s="13"/>
      <c r="M123" s="13"/>
      <c r="N123" s="13"/>
      <c r="O123" s="13"/>
      <c r="P123" s="13"/>
      <c r="Q123" s="13"/>
      <c r="R123" s="21" t="s">
        <v>426</v>
      </c>
      <c r="S123" s="22">
        <f>BZ161</f>
        <v>5.9585779517286372</v>
      </c>
      <c r="T123" s="13"/>
      <c r="U123" s="13"/>
      <c r="V123" s="13"/>
    </row>
    <row r="124" spans="1:31" s="20" customFormat="1" ht="13">
      <c r="A124" s="13"/>
      <c r="B124" s="13"/>
      <c r="C124" s="13"/>
      <c r="D124" s="13"/>
      <c r="E124" s="13"/>
      <c r="F124" s="13"/>
      <c r="G124" s="13"/>
      <c r="H124" s="13"/>
      <c r="K124" s="13"/>
      <c r="L124" s="13"/>
      <c r="M124" s="13"/>
      <c r="N124" s="13"/>
      <c r="R124" s="21" t="str">
        <f>"Expected Rating at "&amp;DAY(AA166)&amp;"/"&amp;MONTH(AA166)&amp;"/"&amp;YEAR(AA166)&amp;":"</f>
        <v>Expected Rating at 31/3/2024:</v>
      </c>
      <c r="S124" s="22">
        <f>AA216</f>
        <v>5.8446615893088083</v>
      </c>
      <c r="T124" s="13"/>
      <c r="U124" s="13"/>
      <c r="V124" s="13"/>
    </row>
    <row r="125" spans="1:31" s="20" customFormat="1" ht="13">
      <c r="A125" s="13"/>
      <c r="B125" s="13"/>
      <c r="C125" s="13"/>
      <c r="D125" s="13"/>
      <c r="E125" s="13"/>
      <c r="F125" s="13"/>
      <c r="G125" s="13"/>
      <c r="H125" s="13"/>
      <c r="K125" s="13"/>
      <c r="L125" s="13"/>
      <c r="M125" s="13"/>
      <c r="N125" s="13"/>
      <c r="R125" s="21" t="str">
        <f>"Expected Rating at "&amp;DAY(AB166)&amp;"/"&amp;MONTH(AB166)&amp;"/"&amp;YEAR(AB166)&amp;":"</f>
        <v>Expected Rating at 31/3/2025:</v>
      </c>
      <c r="S125" s="22">
        <f>AB216</f>
        <v>5.8446615893088083</v>
      </c>
      <c r="T125" s="13"/>
      <c r="U125" s="13"/>
      <c r="V125" s="13"/>
    </row>
    <row r="126" spans="1:31" s="20" customFormat="1" ht="13">
      <c r="A126" s="13"/>
      <c r="B126" s="13"/>
      <c r="C126" s="13"/>
      <c r="D126" s="13"/>
      <c r="E126" s="13"/>
      <c r="F126" s="13"/>
      <c r="G126" s="13"/>
      <c r="H126" s="13"/>
      <c r="K126" s="13"/>
      <c r="L126" s="13"/>
      <c r="M126" s="13"/>
      <c r="N126" s="13"/>
      <c r="R126" s="21" t="str">
        <f>"Expected Rating at "&amp;DAY(AC166)&amp;"/"&amp;MONTH(AC166)&amp;"/"&amp;YEAR(AC166)&amp;":"</f>
        <v>Expected Rating at 31/3/2026:</v>
      </c>
      <c r="S126" s="22">
        <f>AC216</f>
        <v>5.8446615893088083</v>
      </c>
      <c r="AA126" s="22">
        <f t="shared" ref="AA126:AC126" si="26">AK216</f>
        <v>5.8446615893088083</v>
      </c>
      <c r="AB126" s="22">
        <f t="shared" si="26"/>
        <v>0</v>
      </c>
      <c r="AC126" s="22">
        <f t="shared" si="26"/>
        <v>0</v>
      </c>
      <c r="AD126" s="22">
        <f t="shared" ref="AD126:AE126" si="27">AI217</f>
        <v>0</v>
      </c>
      <c r="AE126" s="22">
        <f t="shared" si="27"/>
        <v>0</v>
      </c>
    </row>
    <row r="127" spans="1:31" s="20" customFormat="1" ht="13">
      <c r="A127" s="13"/>
      <c r="B127" s="13"/>
      <c r="C127" s="13"/>
      <c r="D127" s="13"/>
      <c r="E127" s="13"/>
      <c r="F127" s="13"/>
      <c r="G127" s="13"/>
      <c r="H127" s="13"/>
      <c r="K127" s="13"/>
      <c r="L127" s="13"/>
      <c r="M127" s="13"/>
      <c r="N127" s="13"/>
      <c r="R127" s="21" t="str">
        <f>"Expected Rating at "&amp;DAY(AD166)&amp;"/"&amp;MONTH(AD166)&amp;"/"&amp;YEAR(AD166)&amp;":"</f>
        <v>Expected Rating at 31/3/2027:</v>
      </c>
      <c r="S127" s="22">
        <f>AD216</f>
        <v>5.8446615893088083</v>
      </c>
      <c r="T127" s="13"/>
      <c r="U127" s="13"/>
      <c r="V127" s="13"/>
    </row>
    <row r="128" spans="1:31" s="20" customFormat="1" ht="13">
      <c r="A128" s="13"/>
      <c r="B128" s="13"/>
      <c r="C128" s="13"/>
      <c r="D128" s="13"/>
      <c r="E128" s="13"/>
      <c r="F128" s="13"/>
      <c r="G128" s="13"/>
      <c r="H128" s="13"/>
      <c r="K128" s="13"/>
      <c r="L128" s="13"/>
      <c r="M128" s="13"/>
      <c r="N128" s="13"/>
      <c r="R128" s="21" t="str">
        <f>"Expected Rating at "&amp;DAY(AE166)&amp;"/"&amp;MONTH(AE166)&amp;"/"&amp;YEAR(AE166)&amp;":"</f>
        <v>Expected Rating at 31/3/2028:</v>
      </c>
      <c r="S128" s="22">
        <f>AE216</f>
        <v>5.8446615893088083</v>
      </c>
      <c r="T128" s="13"/>
      <c r="U128" s="13"/>
      <c r="V128" s="13"/>
    </row>
    <row r="129" spans="1:21" s="20" customFormat="1" ht="13">
      <c r="A129" s="13"/>
      <c r="B129" s="13"/>
      <c r="C129" s="13"/>
      <c r="D129" s="13"/>
      <c r="E129" s="13"/>
      <c r="F129" s="13"/>
      <c r="G129" s="13"/>
      <c r="H129" s="13"/>
      <c r="K129" s="13"/>
      <c r="L129" s="13"/>
      <c r="M129" s="13"/>
      <c r="N129" s="13"/>
      <c r="R129" s="21" t="str">
        <f>"Expected Rating at "&amp;DAY(AF166)&amp;"/"&amp;MONTH(AF166)&amp;"/"&amp;YEAR(AF166)&amp;":"</f>
        <v>Expected Rating at 31/3/2029:</v>
      </c>
      <c r="S129" s="22">
        <f>AF216</f>
        <v>5.8446615893088083</v>
      </c>
      <c r="T129" s="13"/>
      <c r="U129" s="13"/>
    </row>
    <row r="130" spans="1:21" s="20" customFormat="1" ht="13">
      <c r="A130" s="13"/>
      <c r="B130" s="13"/>
      <c r="C130" s="13"/>
      <c r="D130" s="13"/>
      <c r="E130" s="13"/>
      <c r="F130" s="13"/>
      <c r="G130" s="13"/>
      <c r="H130" s="13"/>
      <c r="K130" s="13"/>
      <c r="L130" s="13"/>
      <c r="M130" s="13"/>
      <c r="N130" s="13"/>
      <c r="R130" s="21" t="str">
        <f>"Expected Rating at "&amp;DAY(AG166)&amp;"/"&amp;MONTH(AG166)&amp;"/"&amp;YEAR(AG166)&amp;":"</f>
        <v>Expected Rating at 31/3/2030:</v>
      </c>
      <c r="S130" s="22">
        <f>AG216</f>
        <v>5.8446615893088083</v>
      </c>
      <c r="T130" s="13"/>
      <c r="U130" s="13"/>
    </row>
    <row r="131" spans="1:21" s="20" customFormat="1" ht="13">
      <c r="A131" s="13"/>
      <c r="B131" s="13"/>
      <c r="C131" s="13"/>
      <c r="D131" s="13"/>
      <c r="E131" s="13"/>
      <c r="F131" s="13"/>
      <c r="G131" s="13"/>
      <c r="H131" s="13"/>
      <c r="I131" s="13"/>
      <c r="J131" s="13"/>
      <c r="K131" s="13"/>
      <c r="L131" s="13"/>
      <c r="M131" s="13"/>
      <c r="N131" s="13"/>
      <c r="O131" s="13"/>
      <c r="P131" s="13"/>
      <c r="Q131" s="13"/>
      <c r="R131" s="21" t="str">
        <f>"Expected Rating at "&amp;DAY(AH166)&amp;"/"&amp;MONTH(AH166)&amp;"/"&amp;YEAR(AH166)&amp;":"</f>
        <v>Expected Rating at 31/3/2031:</v>
      </c>
      <c r="S131" s="22">
        <f>AH216</f>
        <v>5.8446615893088083</v>
      </c>
      <c r="T131" s="13"/>
      <c r="U131" s="13"/>
    </row>
    <row r="132" spans="1:21" s="20" customFormat="1" ht="13">
      <c r="A132" s="13"/>
      <c r="B132" s="13"/>
      <c r="C132" s="13"/>
      <c r="D132" s="13"/>
      <c r="E132" s="13"/>
      <c r="F132" s="13"/>
      <c r="G132" s="13"/>
      <c r="H132" s="13"/>
      <c r="I132" s="13"/>
      <c r="J132" s="13"/>
      <c r="K132" s="13"/>
      <c r="L132" s="13"/>
      <c r="M132" s="13"/>
      <c r="N132" s="13"/>
      <c r="O132" s="13"/>
      <c r="P132" s="13"/>
      <c r="Q132" s="13"/>
      <c r="R132" s="21" t="str">
        <f>"Expected Rating at "&amp;DAY(AI166)&amp;"/"&amp;MONTH(AI166)&amp;"/"&amp;YEAR(AI166)&amp;":"</f>
        <v>Expected Rating at 31/3/2032:</v>
      </c>
      <c r="S132" s="22">
        <f>AI216</f>
        <v>5.8446615893088083</v>
      </c>
      <c r="T132" s="13"/>
      <c r="U132" s="13"/>
    </row>
    <row r="133" spans="1:21" s="20" customFormat="1" ht="13">
      <c r="A133" s="13"/>
      <c r="B133" s="13"/>
      <c r="C133" s="13"/>
      <c r="D133" s="13"/>
      <c r="E133" s="13"/>
      <c r="F133" s="13"/>
      <c r="G133" s="13"/>
      <c r="H133" s="13"/>
      <c r="I133" s="13"/>
      <c r="J133" s="13"/>
      <c r="K133" s="13"/>
      <c r="L133" s="13"/>
      <c r="M133" s="13"/>
      <c r="N133" s="13"/>
      <c r="O133" s="13"/>
      <c r="P133" s="13"/>
      <c r="Q133" s="13"/>
      <c r="R133" s="21" t="str">
        <f>"Expected Rating at "&amp;DAY(AJ166)&amp;"/"&amp;MONTH(AJ166)&amp;"/"&amp;YEAR(AJ166)&amp;":"</f>
        <v>Expected Rating at 31/3/2033:</v>
      </c>
      <c r="S133" s="22">
        <f>AJ216</f>
        <v>5.8446615893088083</v>
      </c>
      <c r="T133" s="13"/>
      <c r="U133" s="13"/>
    </row>
    <row r="134" spans="1:21" s="20" customFormat="1">
      <c r="A134" s="13"/>
      <c r="B134" s="13"/>
      <c r="C134" s="13"/>
      <c r="D134" s="13"/>
      <c r="E134" s="13"/>
      <c r="F134" s="13"/>
      <c r="G134" s="13"/>
      <c r="H134" s="13"/>
      <c r="I134" s="13"/>
      <c r="J134" s="13"/>
      <c r="K134" s="13"/>
      <c r="L134" s="13"/>
      <c r="M134" s="13"/>
      <c r="N134" s="13"/>
      <c r="O134" s="13"/>
      <c r="P134" s="13"/>
      <c r="Q134" s="13"/>
      <c r="S134" s="13"/>
      <c r="T134" s="13"/>
      <c r="U134" s="13"/>
    </row>
    <row r="135" spans="1:21" s="20" customFormat="1">
      <c r="A135" s="13"/>
      <c r="B135" s="13"/>
      <c r="C135" s="13"/>
      <c r="D135" s="13"/>
      <c r="E135" s="13"/>
      <c r="F135" s="13"/>
      <c r="G135" s="13"/>
      <c r="H135" s="13"/>
      <c r="I135" s="13"/>
      <c r="J135" s="13"/>
      <c r="K135" s="13"/>
      <c r="L135" s="13"/>
      <c r="M135" s="13"/>
      <c r="N135" s="13"/>
      <c r="O135" s="13"/>
      <c r="P135" s="13"/>
      <c r="Q135" s="13"/>
      <c r="R135" s="13"/>
      <c r="S135" s="13"/>
      <c r="T135" s="13"/>
      <c r="U135" s="13"/>
    </row>
    <row r="136" spans="1:21" s="20" customFormat="1">
      <c r="A136" s="13"/>
      <c r="B136" s="13"/>
      <c r="C136" s="13"/>
      <c r="D136" s="13"/>
      <c r="E136" s="13"/>
      <c r="F136" s="13"/>
      <c r="G136" s="13"/>
      <c r="H136" s="13"/>
      <c r="I136" s="13"/>
      <c r="J136" s="13"/>
      <c r="K136" s="13"/>
      <c r="L136" s="13"/>
      <c r="M136" s="13"/>
      <c r="N136" s="13"/>
      <c r="O136" s="13"/>
      <c r="P136" s="13"/>
      <c r="Q136" s="13"/>
      <c r="R136" s="13"/>
      <c r="S136" s="13"/>
      <c r="T136" s="13"/>
      <c r="U136" s="13"/>
    </row>
    <row r="137" spans="1:21" s="13" customFormat="1"/>
    <row r="138" spans="1:21" s="13" customFormat="1"/>
    <row r="139" spans="1:21" s="13" customFormat="1"/>
    <row r="140" spans="1:21" s="13" customFormat="1"/>
    <row r="153" spans="20:78" ht="25">
      <c r="T153" s="8"/>
      <c r="U153" s="8"/>
      <c r="V153" s="8"/>
      <c r="W153" s="8"/>
      <c r="X153" s="8"/>
      <c r="Y153" s="8"/>
      <c r="Z153" s="8"/>
      <c r="AA153" s="8"/>
      <c r="AB153" s="8"/>
      <c r="AC153" s="8"/>
      <c r="AD153" s="8"/>
      <c r="AE153" s="8"/>
      <c r="AF153" s="8"/>
      <c r="AG153" s="8"/>
      <c r="AH153" s="8"/>
      <c r="AI153" s="8"/>
      <c r="AJ153" s="8"/>
      <c r="AK153" s="8"/>
      <c r="AL153" s="8"/>
      <c r="AM153" s="25" t="s">
        <v>388</v>
      </c>
      <c r="AN153" s="26" t="s">
        <v>427</v>
      </c>
      <c r="AO153" s="26" t="s">
        <v>428</v>
      </c>
      <c r="AP153" s="26" t="s">
        <v>429</v>
      </c>
      <c r="AQ153" s="26" t="s">
        <v>430</v>
      </c>
      <c r="AR153" s="26" t="s">
        <v>431</v>
      </c>
      <c r="AS153" s="8"/>
      <c r="AT153" s="25" t="s">
        <v>388</v>
      </c>
      <c r="AU153" s="26" t="s">
        <v>427</v>
      </c>
      <c r="AV153" s="27" t="s">
        <v>428</v>
      </c>
      <c r="AW153" s="27" t="s">
        <v>429</v>
      </c>
      <c r="AX153" s="27" t="s">
        <v>430</v>
      </c>
      <c r="AY153" s="27" t="s">
        <v>431</v>
      </c>
      <c r="AZ153" s="24"/>
      <c r="BA153" s="25" t="s">
        <v>388</v>
      </c>
      <c r="BB153" s="28" t="s">
        <v>432</v>
      </c>
      <c r="BC153" s="24" t="s">
        <v>433</v>
      </c>
      <c r="BD153" s="24" t="s">
        <v>434</v>
      </c>
      <c r="BE153" s="24"/>
      <c r="BF153" s="24" t="s">
        <v>364</v>
      </c>
      <c r="BG153" s="24" t="s">
        <v>435</v>
      </c>
      <c r="BH153" s="8"/>
      <c r="BI153" s="8"/>
      <c r="BJ153" s="8"/>
      <c r="BK153" s="8"/>
      <c r="BL153" s="8"/>
      <c r="BM153" s="8"/>
      <c r="BN153" s="8"/>
      <c r="BO153" s="8"/>
      <c r="BP153" s="8"/>
      <c r="BQ153" s="8"/>
      <c r="BR153" s="8"/>
      <c r="BS153" s="8"/>
      <c r="BT153" s="8"/>
      <c r="BU153" s="8"/>
      <c r="BV153" s="8"/>
      <c r="BW153" s="8"/>
      <c r="BX153" s="8"/>
      <c r="BY153" s="8"/>
      <c r="BZ153" s="8"/>
    </row>
    <row r="154" spans="20:78">
      <c r="T154" s="8"/>
      <c r="U154" s="8"/>
      <c r="V154" s="8"/>
      <c r="W154" s="8"/>
      <c r="X154" s="8"/>
      <c r="Y154" s="8"/>
      <c r="Z154" s="8"/>
      <c r="AA154" s="8"/>
      <c r="AB154" s="8"/>
      <c r="AC154" s="8"/>
      <c r="AD154" s="8"/>
      <c r="AE154" s="8"/>
      <c r="AF154" s="8"/>
      <c r="AG154" s="8"/>
      <c r="AH154" s="8"/>
      <c r="AI154" s="8"/>
      <c r="AJ154" s="8"/>
      <c r="AK154" s="8"/>
      <c r="AL154" s="8"/>
      <c r="AM154" s="25">
        <v>6</v>
      </c>
      <c r="AN154" s="338">
        <f>AN156*0.5</f>
        <v>34.795000000000002</v>
      </c>
      <c r="AO154" s="338">
        <f>AO156*0.5</f>
        <v>42.145000000000003</v>
      </c>
      <c r="AP154" s="338">
        <f>AP156*0.5</f>
        <v>35.585000000000001</v>
      </c>
      <c r="AQ154" s="338">
        <f t="shared" ref="AQ154:AR154" si="28">AQ156*0.5</f>
        <v>20.914999999999999</v>
      </c>
      <c r="AR154" s="338">
        <f t="shared" si="28"/>
        <v>26.98</v>
      </c>
      <c r="AS154" s="8"/>
      <c r="AT154" s="25">
        <v>6</v>
      </c>
      <c r="AU154" s="339">
        <f>AU156*0.5</f>
        <v>64.760000000000005</v>
      </c>
      <c r="AV154" s="339">
        <f t="shared" ref="AV154:AY154" si="29">AV156*0.5</f>
        <v>69.5</v>
      </c>
      <c r="AW154" s="339">
        <f t="shared" si="29"/>
        <v>59.814999999999998</v>
      </c>
      <c r="AX154" s="339">
        <f t="shared" si="29"/>
        <v>33.69</v>
      </c>
      <c r="AY154" s="339">
        <f t="shared" si="29"/>
        <v>44.87</v>
      </c>
      <c r="AZ154" s="8"/>
      <c r="BA154" s="25">
        <v>6</v>
      </c>
      <c r="BB154" s="24">
        <f t="shared" ref="BB154:BB155" si="30">IF($C$58="Base",BF154,BG154)</f>
        <v>34.795000000000002</v>
      </c>
      <c r="BC154" s="24" t="s">
        <v>436</v>
      </c>
      <c r="BD154" s="8"/>
      <c r="BE154" s="8"/>
      <c r="BF154" s="24">
        <f t="shared" ref="BF154:BF155" si="31">IF($C$59&gt;7000,"error",IF($C$59&gt;5999,AR154,IF($C$59&gt;4999,AQ154,IF($C$59&gt;3999,AP154,IF($C$59&gt;2999,AO154,IF($C$59&gt;1999,AN154,"Error"))))))</f>
        <v>34.795000000000002</v>
      </c>
      <c r="BG154" s="24">
        <f t="shared" ref="BG154:BG164" si="32">IF($C$59&gt;7000,"error",IF($C$59&gt;5999,AY154,IF($C$59&gt;4999,AX154,IF($C$59&gt;3999,AW154,IF($C$59&gt;2999,AV154,IF($C$59&gt;1999,AU154,"Error"))))))</f>
        <v>64.760000000000005</v>
      </c>
      <c r="BH154" s="8"/>
      <c r="BI154" s="8"/>
      <c r="BJ154" s="8"/>
      <c r="BK154" s="8"/>
      <c r="BL154" s="8"/>
      <c r="BM154" s="8"/>
      <c r="BN154" s="8"/>
      <c r="BO154" s="8"/>
      <c r="BP154" s="8"/>
      <c r="BQ154" s="8"/>
      <c r="BR154" s="8"/>
      <c r="BS154" s="8"/>
      <c r="BT154" s="8"/>
      <c r="BU154" s="8"/>
      <c r="BV154" s="8"/>
      <c r="BW154" s="8"/>
      <c r="BX154" s="8"/>
      <c r="BY154" s="8"/>
      <c r="BZ154" s="8"/>
    </row>
    <row r="155" spans="20:78" ht="13">
      <c r="T155" s="24"/>
      <c r="U155" s="24"/>
      <c r="V155" s="24"/>
      <c r="W155" s="24"/>
      <c r="X155" s="24"/>
      <c r="Y155" s="24"/>
      <c r="Z155" s="974" t="s">
        <v>437</v>
      </c>
      <c r="AA155" s="974"/>
      <c r="AB155" s="974"/>
      <c r="AC155" s="974"/>
      <c r="AD155" s="153"/>
      <c r="AE155" s="153"/>
      <c r="AF155" s="153"/>
      <c r="AG155" s="153"/>
      <c r="AH155" s="153"/>
      <c r="AI155" s="153"/>
      <c r="AJ155" s="153"/>
      <c r="AK155" s="24"/>
      <c r="AL155" s="56"/>
      <c r="AM155" s="25">
        <v>5.5</v>
      </c>
      <c r="AN155" s="338">
        <f>AN156*0.75</f>
        <v>52.192500000000003</v>
      </c>
      <c r="AO155" s="340">
        <f>AO156*0.75</f>
        <v>63.217500000000001</v>
      </c>
      <c r="AP155" s="338">
        <f>AP156*0.75</f>
        <v>53.377499999999998</v>
      </c>
      <c r="AQ155" s="338">
        <f t="shared" ref="AQ155:AR155" si="33">AQ156*0.75</f>
        <v>31.372499999999999</v>
      </c>
      <c r="AR155" s="338">
        <f t="shared" si="33"/>
        <v>40.47</v>
      </c>
      <c r="AS155" s="24"/>
      <c r="AT155" s="25">
        <v>5.5</v>
      </c>
      <c r="AU155" s="339">
        <f>AU156*0.75</f>
        <v>97.140000000000015</v>
      </c>
      <c r="AV155" s="339">
        <f t="shared" ref="AV155:AY155" si="34">AV156*0.75</f>
        <v>104.25</v>
      </c>
      <c r="AW155" s="339">
        <f t="shared" si="34"/>
        <v>89.722499999999997</v>
      </c>
      <c r="AX155" s="339">
        <f t="shared" si="34"/>
        <v>50.534999999999997</v>
      </c>
      <c r="AY155" s="339">
        <f t="shared" si="34"/>
        <v>67.304999999999993</v>
      </c>
      <c r="AZ155" s="24"/>
      <c r="BA155" s="25">
        <v>5.5</v>
      </c>
      <c r="BB155" s="24">
        <f t="shared" si="30"/>
        <v>52.192500000000003</v>
      </c>
      <c r="BC155" s="24" t="s">
        <v>436</v>
      </c>
      <c r="BE155" s="24"/>
      <c r="BF155" s="24">
        <f t="shared" si="31"/>
        <v>52.192500000000003</v>
      </c>
      <c r="BG155" s="24">
        <f t="shared" si="32"/>
        <v>97.140000000000015</v>
      </c>
      <c r="BH155" s="24"/>
      <c r="BI155" s="24"/>
      <c r="BJ155" s="24" t="s">
        <v>438</v>
      </c>
      <c r="BK155" s="24" t="s">
        <v>439</v>
      </c>
      <c r="BL155" s="24"/>
      <c r="BM155" s="25"/>
      <c r="BN155" s="28"/>
      <c r="BO155" s="24"/>
      <c r="BP155" s="24"/>
      <c r="BQ155" s="24"/>
      <c r="BR155" s="24"/>
      <c r="BS155" s="24"/>
      <c r="BT155" s="14"/>
      <c r="BU155" s="14"/>
      <c r="BV155" s="14"/>
      <c r="BW155" s="14"/>
      <c r="BX155" s="14"/>
      <c r="BY155" s="14"/>
      <c r="BZ155" s="14"/>
    </row>
    <row r="156" spans="20:78" ht="12.75" customHeight="1">
      <c r="T156" s="24"/>
      <c r="U156" s="24"/>
      <c r="V156" s="24"/>
      <c r="W156" s="24"/>
      <c r="X156" s="24"/>
      <c r="Y156" s="24"/>
      <c r="Z156" s="974"/>
      <c r="AA156" s="974"/>
      <c r="AB156" s="974"/>
      <c r="AC156" s="974"/>
      <c r="AD156" s="153"/>
      <c r="AE156" s="153"/>
      <c r="AF156" s="153"/>
      <c r="AG156" s="153"/>
      <c r="AH156" s="153"/>
      <c r="AI156" s="153"/>
      <c r="AJ156" s="153"/>
      <c r="AK156" s="24"/>
      <c r="AL156" s="970" t="s">
        <v>440</v>
      </c>
      <c r="AM156" s="25">
        <v>5</v>
      </c>
      <c r="AN156" s="339">
        <v>69.59</v>
      </c>
      <c r="AO156" s="339">
        <v>84.29</v>
      </c>
      <c r="AP156" s="339">
        <v>71.17</v>
      </c>
      <c r="AQ156" s="339">
        <v>41.83</v>
      </c>
      <c r="AR156" s="339">
        <v>53.96</v>
      </c>
      <c r="AS156" s="970" t="s">
        <v>435</v>
      </c>
      <c r="AT156" s="25">
        <v>5</v>
      </c>
      <c r="AU156" s="339">
        <v>129.52000000000001</v>
      </c>
      <c r="AV156" s="339">
        <v>139</v>
      </c>
      <c r="AW156" s="339">
        <v>119.63</v>
      </c>
      <c r="AX156" s="339">
        <v>67.38</v>
      </c>
      <c r="AY156" s="339">
        <v>89.74</v>
      </c>
      <c r="AZ156" s="24"/>
      <c r="BA156" s="25">
        <v>5</v>
      </c>
      <c r="BB156" s="24">
        <f>IF($C$58="Base",BF156,BG156)</f>
        <v>69.59</v>
      </c>
      <c r="BC156" s="24" t="s">
        <v>436</v>
      </c>
      <c r="BD156" s="24">
        <f>IF(C58="base",BF156,BG156)</f>
        <v>69.59</v>
      </c>
      <c r="BE156" s="24"/>
      <c r="BF156" s="24">
        <f>IF($C$59&gt;7000,"error",IF($C$59&gt;5999,AR156,IF($C$59&gt;4999,AQ156,IF($C$59&gt;3999,AP156,IF($C$59&gt;2999,AO156,IF($C$59&gt;1999,AN156,"Error"))))))</f>
        <v>69.59</v>
      </c>
      <c r="BG156" s="24">
        <f t="shared" si="32"/>
        <v>129.52000000000001</v>
      </c>
      <c r="BH156" s="24"/>
      <c r="BI156" s="29" t="s">
        <v>142</v>
      </c>
      <c r="BJ156" s="29">
        <v>810</v>
      </c>
      <c r="BK156" s="29">
        <v>51.33</v>
      </c>
      <c r="BL156" s="24">
        <v>2000</v>
      </c>
      <c r="BM156" s="25"/>
      <c r="BN156" s="24"/>
      <c r="BO156" s="24"/>
      <c r="BP156" s="24"/>
      <c r="BQ156" s="29" t="s">
        <v>441</v>
      </c>
      <c r="BR156" s="29" t="s">
        <v>442</v>
      </c>
      <c r="BS156" s="29" t="s">
        <v>443</v>
      </c>
      <c r="BT156" s="14"/>
      <c r="BU156" s="30" t="s">
        <v>444</v>
      </c>
      <c r="BV156" s="31">
        <f>C60</f>
        <v>21820</v>
      </c>
      <c r="BW156" s="14" t="s">
        <v>445</v>
      </c>
      <c r="BX156" s="181" t="s">
        <v>13</v>
      </c>
      <c r="BY156" s="38">
        <f>BY157/BV156</f>
        <v>39.959512700733271</v>
      </c>
      <c r="BZ156" s="14"/>
    </row>
    <row r="157" spans="20:78" ht="13">
      <c r="T157" s="24">
        <v>152</v>
      </c>
      <c r="U157" s="24" t="s">
        <v>446</v>
      </c>
      <c r="V157" s="24"/>
      <c r="W157" s="24"/>
      <c r="X157" s="24"/>
      <c r="Y157" s="24"/>
      <c r="Z157" s="974"/>
      <c r="AA157" s="974"/>
      <c r="AB157" s="974"/>
      <c r="AC157" s="974"/>
      <c r="AD157" s="153"/>
      <c r="AE157" s="153"/>
      <c r="AF157" s="153"/>
      <c r="AG157" s="153"/>
      <c r="AH157" s="153"/>
      <c r="AI157" s="153"/>
      <c r="AJ157" s="153"/>
      <c r="AK157" s="24"/>
      <c r="AL157" s="970"/>
      <c r="AM157" s="25">
        <v>4.5</v>
      </c>
      <c r="AN157" s="339">
        <v>84.92</v>
      </c>
      <c r="AO157" s="339">
        <v>101.75</v>
      </c>
      <c r="AP157" s="339">
        <v>80.290000000000006</v>
      </c>
      <c r="AQ157" s="339">
        <v>51.46</v>
      </c>
      <c r="AR157" s="339">
        <v>62.39</v>
      </c>
      <c r="AS157" s="970"/>
      <c r="AT157" s="25">
        <v>4.5</v>
      </c>
      <c r="AU157" s="339">
        <v>158.69</v>
      </c>
      <c r="AV157" s="339">
        <v>166.57</v>
      </c>
      <c r="AW157" s="339">
        <v>142.47</v>
      </c>
      <c r="AX157" s="339">
        <v>84.06</v>
      </c>
      <c r="AY157" s="339">
        <v>105.77</v>
      </c>
      <c r="AZ157" s="24"/>
      <c r="BA157" s="25">
        <v>4.5</v>
      </c>
      <c r="BB157" s="24">
        <f t="shared" ref="BB157:BB164" si="35">IF($C$58="Base",BF157,BG157)</f>
        <v>84.92</v>
      </c>
      <c r="BC157" s="24" t="s">
        <v>436</v>
      </c>
      <c r="BD157" s="24">
        <f>BB157-BB156</f>
        <v>15.329999999999998</v>
      </c>
      <c r="BE157" s="24"/>
      <c r="BF157" s="24">
        <f t="shared" ref="BF157:BF164" si="36">IF($C$59&gt;7000,"error",IF($C$59&gt;5999,AR157,IF($C$59&gt;4999,AQ157,IF($C$59&gt;3999,AP157,IF($C$59&gt;2999,AO157,IF($C$59&gt;1999,AN157,"Error"))))))</f>
        <v>84.92</v>
      </c>
      <c r="BG157" s="24">
        <f t="shared" si="32"/>
        <v>158.69</v>
      </c>
      <c r="BH157" s="24"/>
      <c r="BI157" s="29" t="s">
        <v>118</v>
      </c>
      <c r="BJ157" s="29">
        <v>810</v>
      </c>
      <c r="BK157" s="29">
        <v>51.33</v>
      </c>
      <c r="BL157" s="24">
        <v>2000</v>
      </c>
      <c r="BM157" s="25"/>
      <c r="BN157" s="24">
        <f>BV161/BV158</f>
        <v>26.777119560530679</v>
      </c>
      <c r="BO157" s="32" t="s">
        <v>447</v>
      </c>
      <c r="BP157" s="179">
        <f>$BY$158/SUM($BY$158:$BY$159)*C64</f>
        <v>34.533774176481053</v>
      </c>
      <c r="BQ157" s="29" t="s">
        <v>448</v>
      </c>
      <c r="BR157" s="29" t="s">
        <v>449</v>
      </c>
      <c r="BS157" s="29" t="s">
        <v>450</v>
      </c>
      <c r="BT157" s="14"/>
      <c r="BU157" s="30" t="s">
        <v>451</v>
      </c>
      <c r="BV157" s="33">
        <f xml:space="preserve"> 5 - 0.5*(BV158-BB156)/BH166</f>
        <v>6.1433863608453674</v>
      </c>
      <c r="BW157" s="14" t="s">
        <v>452</v>
      </c>
      <c r="BX157" s="181" t="s">
        <v>453</v>
      </c>
      <c r="BY157" s="180">
        <f>SUM(BY158:BY159)</f>
        <v>871916.56712999998</v>
      </c>
      <c r="BZ157" s="14"/>
    </row>
    <row r="158" spans="20:78" ht="13">
      <c r="T158" s="24"/>
      <c r="U158" s="24"/>
      <c r="V158" s="24"/>
      <c r="W158" s="24"/>
      <c r="X158" s="24"/>
      <c r="Y158" s="24"/>
      <c r="Z158" s="24"/>
      <c r="AA158" s="24"/>
      <c r="AB158" s="24"/>
      <c r="AC158" s="24"/>
      <c r="AD158" s="24"/>
      <c r="AE158" s="24"/>
      <c r="AF158" s="24"/>
      <c r="AG158" s="24"/>
      <c r="AH158" s="24"/>
      <c r="AI158" s="24"/>
      <c r="AJ158" s="24"/>
      <c r="AK158" s="24"/>
      <c r="AL158" s="970"/>
      <c r="AM158" s="25">
        <v>4</v>
      </c>
      <c r="AN158" s="339">
        <v>100.25</v>
      </c>
      <c r="AO158" s="339">
        <v>120.31</v>
      </c>
      <c r="AP158" s="339">
        <v>89.42</v>
      </c>
      <c r="AQ158" s="339">
        <v>61.1</v>
      </c>
      <c r="AR158" s="339">
        <v>70.83</v>
      </c>
      <c r="AS158" s="970"/>
      <c r="AT158" s="25">
        <v>4</v>
      </c>
      <c r="AU158" s="339">
        <v>187.86</v>
      </c>
      <c r="AV158" s="339">
        <v>194.15</v>
      </c>
      <c r="AW158" s="339">
        <v>165.3</v>
      </c>
      <c r="AX158" s="339">
        <v>100.73</v>
      </c>
      <c r="AY158" s="339">
        <v>121.79</v>
      </c>
      <c r="AZ158" s="24"/>
      <c r="BA158" s="25">
        <v>4</v>
      </c>
      <c r="BB158" s="24">
        <f t="shared" si="35"/>
        <v>100.25</v>
      </c>
      <c r="BC158" s="24" t="s">
        <v>436</v>
      </c>
      <c r="BD158" s="24">
        <f t="shared" ref="BD158:BD164" si="37">BB158-BB157</f>
        <v>15.329999999999998</v>
      </c>
      <c r="BE158" s="24"/>
      <c r="BF158" s="24">
        <f t="shared" si="36"/>
        <v>100.25</v>
      </c>
      <c r="BG158" s="24">
        <f t="shared" si="32"/>
        <v>187.86</v>
      </c>
      <c r="BH158" s="24"/>
      <c r="BI158" s="29" t="s">
        <v>150</v>
      </c>
      <c r="BJ158" s="29">
        <v>810</v>
      </c>
      <c r="BK158" s="29">
        <v>51.33</v>
      </c>
      <c r="BL158" s="24">
        <v>3000</v>
      </c>
      <c r="BM158" s="25"/>
      <c r="BN158" s="179">
        <f>BV162/BV163</f>
        <v>422.54951965770215</v>
      </c>
      <c r="BO158" s="24" t="s">
        <v>454</v>
      </c>
      <c r="BP158" s="179">
        <f>$BY$159/SUM($BY$158:$BY$159)*C64</f>
        <v>5.6662258235189498</v>
      </c>
      <c r="BQ158" s="29" t="s">
        <v>455</v>
      </c>
      <c r="BR158" s="29" t="s">
        <v>456</v>
      </c>
      <c r="BS158" s="29" t="s">
        <v>457</v>
      </c>
      <c r="BT158" s="14"/>
      <c r="BU158" s="30" t="s">
        <v>458</v>
      </c>
      <c r="BV158" s="31">
        <f>BP157</f>
        <v>34.533774176481053</v>
      </c>
      <c r="BW158" s="14" t="s">
        <v>436</v>
      </c>
      <c r="BX158" s="181" t="s">
        <v>459</v>
      </c>
      <c r="BY158" s="178">
        <f>INDEX($BJ$156:$BJ$161,MATCH($C$57,$BI$156:$BI$161,0))*$C$62</f>
        <v>749019.15</v>
      </c>
      <c r="BZ158" s="24"/>
    </row>
    <row r="159" spans="20:78" ht="13">
      <c r="T159" s="24"/>
      <c r="U159" s="24"/>
      <c r="V159" s="24"/>
      <c r="W159" s="24"/>
      <c r="X159" s="24"/>
      <c r="Y159" s="24"/>
      <c r="Z159" s="24"/>
      <c r="AA159" s="24"/>
      <c r="AB159" s="24"/>
      <c r="AC159" s="24"/>
      <c r="AD159" s="24"/>
      <c r="AE159" s="24"/>
      <c r="AF159" s="24"/>
      <c r="AG159" s="24"/>
      <c r="AH159" s="24"/>
      <c r="AI159" s="24"/>
      <c r="AJ159" s="24"/>
      <c r="AK159" s="24"/>
      <c r="AL159" s="970"/>
      <c r="AM159" s="25">
        <v>3.5</v>
      </c>
      <c r="AN159" s="339">
        <v>115.57</v>
      </c>
      <c r="AO159" s="339">
        <v>138.88</v>
      </c>
      <c r="AP159" s="339">
        <v>98.54</v>
      </c>
      <c r="AQ159" s="339">
        <v>70.739999999999995</v>
      </c>
      <c r="AR159" s="339">
        <v>79.260000000000005</v>
      </c>
      <c r="AS159" s="970"/>
      <c r="AT159" s="25">
        <v>3.5</v>
      </c>
      <c r="AU159" s="339">
        <v>217.04</v>
      </c>
      <c r="AV159" s="339">
        <v>221.73</v>
      </c>
      <c r="AW159" s="339">
        <v>188.13</v>
      </c>
      <c r="AX159" s="339">
        <v>117.41</v>
      </c>
      <c r="AY159" s="339">
        <v>137.82</v>
      </c>
      <c r="AZ159" s="24"/>
      <c r="BA159" s="25">
        <v>3.5</v>
      </c>
      <c r="BB159" s="24">
        <f t="shared" si="35"/>
        <v>115.57</v>
      </c>
      <c r="BC159" s="24" t="s">
        <v>436</v>
      </c>
      <c r="BD159" s="24">
        <f t="shared" si="37"/>
        <v>15.319999999999993</v>
      </c>
      <c r="BE159" s="24"/>
      <c r="BF159" s="24">
        <f t="shared" si="36"/>
        <v>115.57</v>
      </c>
      <c r="BG159" s="24">
        <f t="shared" si="32"/>
        <v>217.04</v>
      </c>
      <c r="BH159" s="24"/>
      <c r="BI159" s="29" t="s">
        <v>460</v>
      </c>
      <c r="BJ159" s="29">
        <v>770</v>
      </c>
      <c r="BK159" s="29">
        <v>51.33</v>
      </c>
      <c r="BL159" s="24">
        <v>4000</v>
      </c>
      <c r="BM159" s="25"/>
      <c r="BN159" s="24"/>
      <c r="BO159" s="24"/>
      <c r="BP159" s="24"/>
      <c r="BQ159" s="29" t="s">
        <v>461</v>
      </c>
      <c r="BR159" s="29" t="s">
        <v>462</v>
      </c>
      <c r="BS159" s="29" t="s">
        <v>463</v>
      </c>
      <c r="BT159" s="34"/>
      <c r="BU159" s="30" t="s">
        <v>464</v>
      </c>
      <c r="BV159" s="35"/>
      <c r="BW159" s="14" t="s">
        <v>452</v>
      </c>
      <c r="BX159" s="181" t="s">
        <v>465</v>
      </c>
      <c r="BY159" s="178">
        <f>INDEX($BK$156:$BK$161,MATCH($C$57,$BI$156:$BI$161,0))*$C$63</f>
        <v>122897.41712999999</v>
      </c>
      <c r="BZ159" s="24"/>
    </row>
    <row r="160" spans="20:78" ht="13">
      <c r="T160" s="24"/>
      <c r="U160" s="24"/>
      <c r="V160" s="24"/>
      <c r="W160" s="24"/>
      <c r="X160" s="24"/>
      <c r="Y160" s="24"/>
      <c r="Z160" s="24"/>
      <c r="AA160" s="24"/>
      <c r="AB160" s="24"/>
      <c r="AC160" s="24"/>
      <c r="AD160" s="24"/>
      <c r="AE160" s="24"/>
      <c r="AF160" s="24"/>
      <c r="AG160" s="24"/>
      <c r="AH160" s="24"/>
      <c r="AI160" s="24"/>
      <c r="AJ160" s="24"/>
      <c r="AK160" s="24"/>
      <c r="AL160" s="970"/>
      <c r="AM160" s="25">
        <v>3</v>
      </c>
      <c r="AN160" s="339">
        <v>130.9</v>
      </c>
      <c r="AO160" s="339">
        <v>157.44999999999999</v>
      </c>
      <c r="AP160" s="339">
        <v>107.66</v>
      </c>
      <c r="AQ160" s="339">
        <v>80.38</v>
      </c>
      <c r="AR160" s="339">
        <v>87.69</v>
      </c>
      <c r="AS160" s="970"/>
      <c r="AT160" s="25">
        <v>3</v>
      </c>
      <c r="AU160" s="339">
        <v>246.21</v>
      </c>
      <c r="AV160" s="339">
        <v>249.31</v>
      </c>
      <c r="AW160" s="339">
        <v>210.96</v>
      </c>
      <c r="AX160" s="339">
        <v>134.09</v>
      </c>
      <c r="AY160" s="339">
        <v>153.85</v>
      </c>
      <c r="AZ160" s="24"/>
      <c r="BA160" s="25">
        <v>3</v>
      </c>
      <c r="BB160" s="24">
        <f t="shared" si="35"/>
        <v>130.9</v>
      </c>
      <c r="BC160" s="24" t="s">
        <v>436</v>
      </c>
      <c r="BD160" s="24">
        <f t="shared" si="37"/>
        <v>15.330000000000013</v>
      </c>
      <c r="BE160" s="24"/>
      <c r="BF160" s="24">
        <f t="shared" si="36"/>
        <v>130.9</v>
      </c>
      <c r="BG160" s="24">
        <f t="shared" si="32"/>
        <v>246.21</v>
      </c>
      <c r="BH160" s="24"/>
      <c r="BI160" s="29" t="s">
        <v>129</v>
      </c>
      <c r="BJ160" s="29">
        <v>980</v>
      </c>
      <c r="BK160" s="29">
        <v>51.33</v>
      </c>
      <c r="BL160" s="24">
        <v>5000</v>
      </c>
      <c r="BM160" s="25"/>
      <c r="BN160" s="24">
        <f>W162</f>
        <v>0.152</v>
      </c>
      <c r="BO160" s="24"/>
      <c r="BP160" s="24"/>
      <c r="BQ160" s="29" t="s">
        <v>466</v>
      </c>
      <c r="BR160" s="29" t="s">
        <v>467</v>
      </c>
      <c r="BS160" s="29"/>
      <c r="BT160" s="34"/>
      <c r="BU160" s="30" t="s">
        <v>468</v>
      </c>
      <c r="BV160" s="30" t="s">
        <v>469</v>
      </c>
      <c r="BW160" s="30" t="s">
        <v>433</v>
      </c>
      <c r="BX160" s="14"/>
      <c r="BY160" s="179">
        <f>((BY158+BY159)/$C$60)*(50/$C$61)</f>
        <v>36.326829727939334</v>
      </c>
      <c r="BZ160" s="36"/>
    </row>
    <row r="161" spans="7:88">
      <c r="T161" s="24"/>
      <c r="U161" s="24"/>
      <c r="V161" s="24"/>
      <c r="W161" s="24"/>
      <c r="X161" s="24"/>
      <c r="Y161" s="24"/>
      <c r="Z161" s="24"/>
      <c r="AA161" s="24"/>
      <c r="AB161" s="24"/>
      <c r="AC161" s="24"/>
      <c r="AD161" s="24"/>
      <c r="AE161" s="24"/>
      <c r="AF161" s="24"/>
      <c r="AG161" s="24"/>
      <c r="AH161" s="24"/>
      <c r="AI161" s="24"/>
      <c r="AJ161" s="24"/>
      <c r="AK161" s="24"/>
      <c r="AL161" s="970"/>
      <c r="AM161" s="25">
        <v>2.5</v>
      </c>
      <c r="AN161" s="339">
        <v>146.22999999999999</v>
      </c>
      <c r="AO161" s="339">
        <v>176.01</v>
      </c>
      <c r="AP161" s="339">
        <v>116.79</v>
      </c>
      <c r="AQ161" s="339">
        <v>90.02</v>
      </c>
      <c r="AR161" s="339">
        <v>96.12</v>
      </c>
      <c r="AS161" s="970"/>
      <c r="AT161" s="25">
        <v>2.5</v>
      </c>
      <c r="AU161" s="339">
        <v>275.38</v>
      </c>
      <c r="AV161" s="339">
        <v>276.89</v>
      </c>
      <c r="AW161" s="339">
        <v>233.79</v>
      </c>
      <c r="AX161" s="339">
        <v>150.77000000000001</v>
      </c>
      <c r="AY161" s="339">
        <v>169.87</v>
      </c>
      <c r="AZ161" s="24"/>
      <c r="BA161" s="25">
        <v>2.5</v>
      </c>
      <c r="BB161" s="24">
        <f t="shared" si="35"/>
        <v>146.22999999999999</v>
      </c>
      <c r="BC161" s="24" t="s">
        <v>436</v>
      </c>
      <c r="BD161" s="24">
        <f t="shared" si="37"/>
        <v>15.329999999999984</v>
      </c>
      <c r="BE161" s="24"/>
      <c r="BF161" s="24">
        <f t="shared" si="36"/>
        <v>146.22999999999999</v>
      </c>
      <c r="BG161" s="24">
        <f t="shared" si="32"/>
        <v>275.38</v>
      </c>
      <c r="BH161" s="24"/>
      <c r="BI161" s="29" t="s">
        <v>147</v>
      </c>
      <c r="BJ161" s="29">
        <v>680</v>
      </c>
      <c r="BK161" s="29">
        <v>51.33</v>
      </c>
      <c r="BL161" s="24">
        <v>6000</v>
      </c>
      <c r="BM161" s="37"/>
      <c r="BN161" s="37"/>
      <c r="BO161" s="37"/>
      <c r="BP161" s="37"/>
      <c r="BQ161" s="29" t="s">
        <v>470</v>
      </c>
      <c r="BR161" s="29" t="s">
        <v>18</v>
      </c>
      <c r="BS161" s="29"/>
      <c r="BT161" s="14"/>
      <c r="BU161" s="14" t="s">
        <v>471</v>
      </c>
      <c r="BV161" s="31">
        <f>C62</f>
        <v>924.71500000000003</v>
      </c>
      <c r="BW161" s="14" t="s">
        <v>311</v>
      </c>
      <c r="BX161" s="14"/>
      <c r="BY161" s="14"/>
      <c r="BZ161" s="38">
        <f>5-(0.5*(C64-CE177)/(CE176-CE177))</f>
        <v>5.9585779517286372</v>
      </c>
      <c r="CA161" s="14"/>
      <c r="CB161" s="14"/>
      <c r="CC161" s="14"/>
      <c r="CD161" s="14"/>
      <c r="CE161" s="24"/>
      <c r="CF161" s="24"/>
      <c r="CG161" s="14"/>
      <c r="CH161" s="14"/>
      <c r="CI161" s="14"/>
      <c r="CJ161" s="14"/>
    </row>
    <row r="162" spans="7:88">
      <c r="T162" s="24"/>
      <c r="U162" s="24"/>
      <c r="V162" s="39" t="s">
        <v>472</v>
      </c>
      <c r="W162" s="40">
        <v>0.152</v>
      </c>
      <c r="X162" s="24"/>
      <c r="Y162" s="24"/>
      <c r="Z162" s="24"/>
      <c r="AA162" s="24"/>
      <c r="AB162" s="24"/>
      <c r="AC162" s="24"/>
      <c r="AD162" s="24"/>
      <c r="AE162" s="24"/>
      <c r="AF162" s="24"/>
      <c r="AG162" s="24"/>
      <c r="AH162" s="24"/>
      <c r="AI162" s="24"/>
      <c r="AJ162" s="24"/>
      <c r="AK162" s="24"/>
      <c r="AL162" s="970"/>
      <c r="AM162" s="25">
        <v>2</v>
      </c>
      <c r="AN162" s="339">
        <v>161.56</v>
      </c>
      <c r="AO162" s="339">
        <v>194.58</v>
      </c>
      <c r="AP162" s="339">
        <v>125.91</v>
      </c>
      <c r="AQ162" s="339">
        <v>99.65</v>
      </c>
      <c r="AR162" s="339">
        <v>104.55</v>
      </c>
      <c r="AS162" s="970"/>
      <c r="AT162" s="25">
        <v>2</v>
      </c>
      <c r="AU162" s="339">
        <v>304.55</v>
      </c>
      <c r="AV162" s="339">
        <v>304.47000000000003</v>
      </c>
      <c r="AW162" s="339">
        <v>256.62</v>
      </c>
      <c r="AX162" s="339">
        <v>167.44</v>
      </c>
      <c r="AY162" s="339">
        <v>185.9</v>
      </c>
      <c r="AZ162" s="24"/>
      <c r="BA162" s="25">
        <v>2</v>
      </c>
      <c r="BB162" s="24">
        <f t="shared" si="35"/>
        <v>161.56</v>
      </c>
      <c r="BC162" s="24" t="s">
        <v>436</v>
      </c>
      <c r="BD162" s="24">
        <f t="shared" si="37"/>
        <v>15.330000000000013</v>
      </c>
      <c r="BE162" s="24"/>
      <c r="BF162" s="24">
        <f t="shared" si="36"/>
        <v>161.56</v>
      </c>
      <c r="BG162" s="24">
        <f t="shared" si="32"/>
        <v>304.55</v>
      </c>
      <c r="BH162" s="24"/>
      <c r="BI162" s="24"/>
      <c r="BJ162" s="24"/>
      <c r="BK162" s="24"/>
      <c r="BL162" s="24"/>
      <c r="BM162" s="37"/>
      <c r="BN162" s="37"/>
      <c r="BO162" s="37"/>
      <c r="BP162" s="37"/>
      <c r="BQ162" s="29" t="s">
        <v>473</v>
      </c>
      <c r="BR162" s="24"/>
      <c r="BS162" s="24"/>
      <c r="BT162" s="14"/>
      <c r="BU162" s="14" t="s">
        <v>474</v>
      </c>
      <c r="BV162" s="31">
        <f>C63</f>
        <v>2394.261</v>
      </c>
      <c r="BW162" s="14" t="s">
        <v>314</v>
      </c>
      <c r="BX162" s="14"/>
      <c r="BY162" s="38">
        <f>C63*BK156</f>
        <v>122897.41712999999</v>
      </c>
      <c r="CA162" s="14"/>
      <c r="CB162" s="14"/>
      <c r="CC162" s="14"/>
      <c r="CD162" s="14"/>
      <c r="CE162" s="24"/>
      <c r="CF162" s="24"/>
      <c r="CG162" s="14"/>
      <c r="CH162" s="14"/>
      <c r="CI162" s="14"/>
      <c r="CJ162" s="14"/>
    </row>
    <row r="163" spans="7:88">
      <c r="T163" s="24"/>
      <c r="U163" s="24"/>
      <c r="V163" s="24"/>
      <c r="W163" s="24"/>
      <c r="X163" s="24"/>
      <c r="Y163" s="24"/>
      <c r="Z163" s="24"/>
      <c r="AA163" s="24"/>
      <c r="AB163" s="24"/>
      <c r="AC163" s="24"/>
      <c r="AD163" s="24"/>
      <c r="AE163" s="24"/>
      <c r="AF163" s="24"/>
      <c r="AG163" s="24"/>
      <c r="AH163" s="24"/>
      <c r="AI163" s="24"/>
      <c r="AJ163" s="24"/>
      <c r="AK163" s="24"/>
      <c r="AL163" s="970"/>
      <c r="AM163" s="25">
        <v>1.5</v>
      </c>
      <c r="AN163" s="339">
        <v>176.89</v>
      </c>
      <c r="AO163" s="339">
        <v>213.15</v>
      </c>
      <c r="AP163" s="339">
        <v>135.04</v>
      </c>
      <c r="AQ163" s="339">
        <v>109.29</v>
      </c>
      <c r="AR163" s="339">
        <v>112.98</v>
      </c>
      <c r="AS163" s="970"/>
      <c r="AT163" s="25">
        <v>1.5</v>
      </c>
      <c r="AU163" s="339">
        <v>333.72</v>
      </c>
      <c r="AV163" s="339">
        <v>332.05</v>
      </c>
      <c r="AW163" s="339">
        <v>279.45</v>
      </c>
      <c r="AX163" s="339">
        <v>184.12</v>
      </c>
      <c r="AY163" s="339">
        <v>201.92</v>
      </c>
      <c r="AZ163" s="24"/>
      <c r="BA163" s="25">
        <v>1.5</v>
      </c>
      <c r="BB163" s="24">
        <f t="shared" si="35"/>
        <v>176.89</v>
      </c>
      <c r="BC163" s="24" t="s">
        <v>436</v>
      </c>
      <c r="BD163" s="24">
        <f t="shared" si="37"/>
        <v>15.329999999999984</v>
      </c>
      <c r="BE163" s="24"/>
      <c r="BF163" s="24">
        <f t="shared" si="36"/>
        <v>176.89</v>
      </c>
      <c r="BG163" s="24">
        <f t="shared" si="32"/>
        <v>333.72</v>
      </c>
      <c r="BH163" s="24"/>
      <c r="BI163" s="24"/>
      <c r="BJ163" s="24"/>
      <c r="BK163" s="24"/>
      <c r="BL163" s="24"/>
      <c r="BM163" s="37"/>
      <c r="BN163" s="37"/>
      <c r="BO163" s="37"/>
      <c r="BP163" s="37"/>
      <c r="BQ163" s="29" t="s">
        <v>475</v>
      </c>
      <c r="BR163" s="24"/>
      <c r="BS163" s="24"/>
      <c r="BT163" s="14"/>
      <c r="BU163" s="14" t="s">
        <v>476</v>
      </c>
      <c r="BV163" s="38">
        <f>BP158</f>
        <v>5.6662258235189498</v>
      </c>
      <c r="BW163" s="14"/>
      <c r="BX163" s="14"/>
      <c r="BY163" s="14"/>
      <c r="CA163" s="14"/>
      <c r="CB163" s="14"/>
      <c r="CC163" s="14"/>
      <c r="CD163" s="14"/>
      <c r="CE163" s="24"/>
      <c r="CF163" s="24"/>
      <c r="CG163" s="14"/>
      <c r="CH163" s="14"/>
      <c r="CI163" s="14"/>
      <c r="CJ163" s="14"/>
    </row>
    <row r="164" spans="7:88" ht="13">
      <c r="T164" s="24"/>
      <c r="U164" s="24"/>
      <c r="V164" s="971" t="s">
        <v>477</v>
      </c>
      <c r="W164" s="971"/>
      <c r="X164" s="971"/>
      <c r="Y164" s="24"/>
      <c r="Z164" s="971"/>
      <c r="AA164" s="971"/>
      <c r="AB164" s="971"/>
      <c r="AC164" s="24"/>
      <c r="AD164" s="24"/>
      <c r="AE164" s="24"/>
      <c r="AF164" s="24"/>
      <c r="AG164" s="24"/>
      <c r="AH164" s="24"/>
      <c r="AI164" s="24"/>
      <c r="AJ164" s="24"/>
      <c r="AK164" s="24"/>
      <c r="AL164" s="970"/>
      <c r="AM164" s="25">
        <v>1</v>
      </c>
      <c r="AN164" s="339">
        <v>192.21</v>
      </c>
      <c r="AO164" s="339">
        <v>231.71</v>
      </c>
      <c r="AP164" s="339">
        <v>144.16</v>
      </c>
      <c r="AQ164" s="339">
        <v>118.93</v>
      </c>
      <c r="AR164" s="339">
        <v>121.42</v>
      </c>
      <c r="AS164" s="970"/>
      <c r="AT164" s="25">
        <v>1</v>
      </c>
      <c r="AU164" s="339">
        <v>362.89</v>
      </c>
      <c r="AV164" s="339">
        <v>359.62</v>
      </c>
      <c r="AW164" s="339">
        <v>302.27999999999997</v>
      </c>
      <c r="AX164" s="339">
        <v>200.8</v>
      </c>
      <c r="AY164" s="339">
        <v>217.95</v>
      </c>
      <c r="AZ164" s="24"/>
      <c r="BA164" s="25">
        <v>1</v>
      </c>
      <c r="BB164" s="24">
        <f t="shared" si="35"/>
        <v>192.21</v>
      </c>
      <c r="BC164" s="24" t="s">
        <v>436</v>
      </c>
      <c r="BD164" s="24">
        <f t="shared" si="37"/>
        <v>15.320000000000022</v>
      </c>
      <c r="BE164" s="24"/>
      <c r="BF164" s="24">
        <f t="shared" si="36"/>
        <v>192.21</v>
      </c>
      <c r="BG164" s="24">
        <f t="shared" si="32"/>
        <v>362.89</v>
      </c>
      <c r="BH164" s="24"/>
      <c r="BI164" s="24"/>
      <c r="BJ164" s="24"/>
      <c r="BK164" s="24"/>
      <c r="BL164" s="24"/>
      <c r="BM164" s="37"/>
      <c r="BN164" s="37"/>
      <c r="BO164" s="37"/>
      <c r="BP164" s="37"/>
      <c r="BQ164" s="29" t="s">
        <v>478</v>
      </c>
      <c r="BR164" s="24"/>
      <c r="BS164" s="24"/>
      <c r="BT164" s="14"/>
      <c r="BU164" s="14"/>
      <c r="BV164" s="38">
        <f>BV163+BV158</f>
        <v>40.200000000000003</v>
      </c>
      <c r="BW164" s="14"/>
      <c r="BX164" s="14"/>
      <c r="BY164" s="14"/>
      <c r="BZ164" s="14"/>
      <c r="CA164" s="14"/>
      <c r="CB164" s="14"/>
      <c r="CC164" s="14"/>
      <c r="CD164" s="14"/>
      <c r="CE164" s="24"/>
      <c r="CF164" s="24"/>
      <c r="CG164" s="14"/>
      <c r="CH164" s="14"/>
      <c r="CI164" s="14"/>
      <c r="CJ164" s="14"/>
    </row>
    <row r="165" spans="7:88">
      <c r="T165" s="24"/>
      <c r="U165" s="24"/>
      <c r="V165" s="971"/>
      <c r="W165" s="971"/>
      <c r="X165" s="971"/>
      <c r="Y165" s="24"/>
      <c r="Z165" s="24"/>
      <c r="AA165" s="24"/>
      <c r="AB165" s="24"/>
      <c r="AC165" s="24"/>
      <c r="AD165" s="24"/>
      <c r="AE165" s="24"/>
      <c r="AF165" s="24"/>
      <c r="AG165" s="24"/>
      <c r="AH165" s="24"/>
      <c r="AI165" s="24"/>
      <c r="AJ165" s="24"/>
      <c r="AK165" s="24"/>
      <c r="AL165" s="24"/>
      <c r="AM165" s="24"/>
      <c r="AN165" s="41" t="s">
        <v>118</v>
      </c>
      <c r="AO165" s="41" t="s">
        <v>129</v>
      </c>
      <c r="AP165" s="42" t="s">
        <v>150</v>
      </c>
      <c r="AQ165" s="42" t="s">
        <v>460</v>
      </c>
      <c r="AR165" s="42" t="s">
        <v>147</v>
      </c>
      <c r="AS165" s="24"/>
      <c r="AT165" s="24"/>
      <c r="AU165" s="41" t="s">
        <v>118</v>
      </c>
      <c r="AV165" s="41" t="s">
        <v>129</v>
      </c>
      <c r="AW165" s="42" t="s">
        <v>150</v>
      </c>
      <c r="AX165" s="42" t="s">
        <v>460</v>
      </c>
      <c r="AY165" s="42" t="s">
        <v>147</v>
      </c>
      <c r="AZ165" s="24"/>
      <c r="BA165" s="24"/>
      <c r="BB165" s="24"/>
      <c r="BC165" s="24"/>
      <c r="BD165" s="24"/>
      <c r="BE165" s="24"/>
      <c r="BF165" s="24"/>
      <c r="BG165" s="24"/>
      <c r="BH165" s="24"/>
      <c r="BI165" s="24"/>
      <c r="BJ165" s="24"/>
      <c r="BK165" s="24"/>
      <c r="BL165" s="24"/>
      <c r="BM165" s="37"/>
      <c r="BN165" s="37"/>
      <c r="BO165" s="37"/>
      <c r="BP165" s="37"/>
      <c r="BQ165" s="29" t="s">
        <v>479</v>
      </c>
      <c r="BR165" s="24"/>
      <c r="BS165" s="24"/>
      <c r="BT165" s="14"/>
      <c r="BU165" s="14"/>
      <c r="BV165" s="14"/>
      <c r="BW165" s="14"/>
      <c r="BX165" s="14"/>
      <c r="BY165" s="14"/>
      <c r="BZ165" s="14"/>
      <c r="CA165" s="14"/>
      <c r="CB165" s="14"/>
      <c r="CC165" s="14"/>
      <c r="CD165" s="14"/>
      <c r="CE165" s="24"/>
      <c r="CF165" s="24"/>
      <c r="CG165" s="14"/>
      <c r="CH165" s="14"/>
      <c r="CI165" s="14"/>
      <c r="CJ165" s="14"/>
    </row>
    <row r="166" spans="7:88" ht="15.5">
      <c r="G166" s="177">
        <f>G66</f>
        <v>45473</v>
      </c>
      <c r="H166" s="177">
        <f t="shared" ref="H166:Q166" si="38">H66</f>
        <v>45838</v>
      </c>
      <c r="I166" s="177">
        <f t="shared" si="38"/>
        <v>46203</v>
      </c>
      <c r="J166" s="177">
        <f t="shared" si="38"/>
        <v>46568</v>
      </c>
      <c r="K166" s="177">
        <f t="shared" si="38"/>
        <v>46934</v>
      </c>
      <c r="L166" s="177">
        <f t="shared" si="38"/>
        <v>47299</v>
      </c>
      <c r="M166" s="177">
        <f t="shared" si="38"/>
        <v>47664</v>
      </c>
      <c r="N166" s="177">
        <f t="shared" si="38"/>
        <v>48029</v>
      </c>
      <c r="O166" s="177">
        <f t="shared" si="38"/>
        <v>48395</v>
      </c>
      <c r="P166" s="177">
        <f t="shared" si="38"/>
        <v>48760</v>
      </c>
      <c r="Q166" s="177">
        <f t="shared" si="38"/>
        <v>49125</v>
      </c>
      <c r="T166" s="43"/>
      <c r="U166" s="43"/>
      <c r="V166" s="43"/>
      <c r="W166" s="44" t="s">
        <v>200</v>
      </c>
      <c r="X166" s="44" t="s">
        <v>480</v>
      </c>
      <c r="Y166" s="45" t="s">
        <v>481</v>
      </c>
      <c r="Z166" s="44" t="s">
        <v>436</v>
      </c>
      <c r="AA166" s="46">
        <f>DATE(YEAR(C56)+1,MONTH(C56),DAY(C56))</f>
        <v>45382</v>
      </c>
      <c r="AB166" s="46">
        <f>DATE(YEAR(AA166)+1,MONTH(AA166),DAY(AA166))</f>
        <v>45747</v>
      </c>
      <c r="AC166" s="46">
        <f t="shared" ref="AC166:AK166" si="39">DATE(YEAR(AB166)+1,MONTH(AB166),DAY(AB166))</f>
        <v>46112</v>
      </c>
      <c r="AD166" s="46">
        <f t="shared" si="39"/>
        <v>46477</v>
      </c>
      <c r="AE166" s="46">
        <f t="shared" si="39"/>
        <v>46843</v>
      </c>
      <c r="AF166" s="46">
        <f t="shared" si="39"/>
        <v>47208</v>
      </c>
      <c r="AG166" s="46">
        <f t="shared" si="39"/>
        <v>47573</v>
      </c>
      <c r="AH166" s="46">
        <f t="shared" si="39"/>
        <v>47938</v>
      </c>
      <c r="AI166" s="46">
        <f t="shared" si="39"/>
        <v>48304</v>
      </c>
      <c r="AJ166" s="46">
        <f t="shared" si="39"/>
        <v>48669</v>
      </c>
      <c r="AK166" s="46">
        <f t="shared" si="39"/>
        <v>49034</v>
      </c>
      <c r="AL166" s="47" t="s">
        <v>482</v>
      </c>
      <c r="AM166" s="48"/>
      <c r="AN166" s="48" t="s">
        <v>483</v>
      </c>
      <c r="AO166" s="48" t="s">
        <v>484</v>
      </c>
      <c r="AP166" s="47"/>
      <c r="AQ166" s="47"/>
      <c r="AR166" s="47"/>
      <c r="AS166" s="47"/>
      <c r="AT166" s="47"/>
      <c r="AU166" s="47"/>
      <c r="AV166" s="47"/>
      <c r="AW166" s="47"/>
      <c r="AX166" s="47"/>
      <c r="AY166" s="47"/>
      <c r="AZ166" s="47"/>
      <c r="BA166" s="47"/>
      <c r="BB166" s="49"/>
      <c r="BC166" s="50"/>
      <c r="BD166" s="47"/>
      <c r="BE166" s="47">
        <f t="shared" ref="BE166:BE176" si="40">IF($C$58="base",INDEX($AN$157:$AR$157,MATCH($C$57,$AN$165:$AR$165,0)),INDEX($AU$157:$AY$157,MATCH($C$57,$AU$165:$AY$165,0)))</f>
        <v>84.92</v>
      </c>
      <c r="BF166" s="47" t="s">
        <v>388</v>
      </c>
      <c r="BG166" s="47">
        <f>BD156</f>
        <v>69.59</v>
      </c>
      <c r="BH166" s="47">
        <f>BD157</f>
        <v>15.329999999999998</v>
      </c>
      <c r="BI166" s="47">
        <f>BD158</f>
        <v>15.329999999999998</v>
      </c>
      <c r="BJ166" s="47">
        <f>BD159</f>
        <v>15.319999999999993</v>
      </c>
      <c r="BK166" s="47">
        <f>BD160</f>
        <v>15.330000000000013</v>
      </c>
      <c r="BL166" s="47">
        <f>BD161</f>
        <v>15.329999999999984</v>
      </c>
      <c r="BM166" s="47">
        <f>BD162</f>
        <v>15.330000000000013</v>
      </c>
      <c r="BN166" s="47">
        <f>BD163</f>
        <v>15.329999999999984</v>
      </c>
      <c r="BO166" s="47">
        <f>BD164</f>
        <v>15.320000000000022</v>
      </c>
      <c r="BP166" s="47"/>
      <c r="BQ166" s="47"/>
      <c r="BR166" s="51"/>
      <c r="BS166" s="51"/>
      <c r="BT166" s="52" t="s">
        <v>485</v>
      </c>
      <c r="BU166" s="47"/>
      <c r="BV166" s="47"/>
      <c r="BW166" s="19"/>
      <c r="BX166" s="19"/>
      <c r="BY166" s="19"/>
      <c r="BZ166" s="19"/>
      <c r="CA166" s="19"/>
      <c r="CB166" s="19"/>
      <c r="CC166" s="19"/>
      <c r="CD166" s="19"/>
      <c r="CE166" s="19" t="s">
        <v>364</v>
      </c>
      <c r="CF166" s="19" t="s">
        <v>435</v>
      </c>
      <c r="CG166" s="19"/>
      <c r="CH166" s="19"/>
      <c r="CI166" s="19"/>
      <c r="CJ166" s="19"/>
    </row>
    <row r="167" spans="7:88">
      <c r="G167" s="12">
        <f t="shared" ref="G167:G209" si="41">IF($E69&lt;G$66,$C69,0)</f>
        <v>0</v>
      </c>
      <c r="H167" s="12">
        <f t="shared" ref="H167:J186" si="42">IF($E69&gt;H$66,0,IF($E69&lt;H$66-365,$C69,0))</f>
        <v>0</v>
      </c>
      <c r="I167" s="12">
        <f t="shared" si="42"/>
        <v>0</v>
      </c>
      <c r="J167" s="12">
        <f t="shared" si="42"/>
        <v>0</v>
      </c>
      <c r="K167" s="12">
        <f t="shared" ref="K167:K209" si="43">IF($E69&lt;K$66,$C69,0)</f>
        <v>0</v>
      </c>
      <c r="L167" s="12">
        <f t="shared" ref="L167:N186" si="44">IF($E69&gt;L$66,0,IF($E69&lt;L$66-365,$C69,0))</f>
        <v>0</v>
      </c>
      <c r="M167" s="12">
        <f t="shared" si="44"/>
        <v>0</v>
      </c>
      <c r="N167" s="12">
        <f t="shared" si="44"/>
        <v>0</v>
      </c>
      <c r="O167" s="12">
        <f t="shared" ref="O167:O209" si="45">IF($E69&lt;O$66,$C69,0)</f>
        <v>0</v>
      </c>
      <c r="P167" s="12">
        <f t="shared" ref="P167:Q186" si="46">IF($E69&gt;P$66,0,IF($E69&lt;P$66-365,$C69,0))</f>
        <v>0</v>
      </c>
      <c r="Q167" s="12">
        <f t="shared" si="46"/>
        <v>0</v>
      </c>
      <c r="T167" s="14"/>
      <c r="U167" s="14"/>
      <c r="V167" s="14"/>
      <c r="W167" s="53">
        <f t="shared" ref="W167:W211" si="47">C68*$BN$160*1000</f>
        <v>0</v>
      </c>
      <c r="X167" s="54" t="e">
        <f t="shared" ref="X167:X211" si="48">-1*F68/W167</f>
        <v>#DIV/0!</v>
      </c>
      <c r="Y167" s="25">
        <f>Z167/$BH$166</f>
        <v>0</v>
      </c>
      <c r="Z167" s="54">
        <f>C68/$BN$157</f>
        <v>0</v>
      </c>
      <c r="AA167" s="54">
        <f t="shared" ref="AA167:AJ182" si="49">IF($E68+365&lt;$C$56,0,IF($E68&lt;$C$56,(($E68+365-$C$56)/365)*(($C68/$BN$157)+($D68/$BN$158)),IF($E68&gt;AA$166,0,IF($E68+365&lt;AA$166,($C68/$BN$157)+($D68/$BN$158),((AA$166-$E68)/365)*(($C68/$BN$157)+($D68/$BN$158))))))</f>
        <v>0</v>
      </c>
      <c r="AB167" s="54">
        <f t="shared" si="49"/>
        <v>0</v>
      </c>
      <c r="AC167" s="54">
        <f>IF($E68+365&lt;$C$56,0,IF($E68&lt;$C$56,(($E68+365-$C$56)/365)*(($C68/$BN$157)+($D68/$BN$158)),IF($E68&gt;AC$166,0,IF($E68+365&lt;AC$166,($C68/$BN$157)+($D68/$BN$158),((AC$166-$E68)/365)*(($C68/$BN$157)+($D68/$BN$158))))))</f>
        <v>0</v>
      </c>
      <c r="AD167" s="54">
        <f t="shared" si="49"/>
        <v>0</v>
      </c>
      <c r="AE167" s="54">
        <f t="shared" si="49"/>
        <v>0</v>
      </c>
      <c r="AF167" s="54">
        <f>IF($E68+365&lt;$C$56,0,IF($E68&lt;$C$56,(($E68+365-$C$56)/365)*(($C68/$BN$157)+($D68/$BN$158)),IF($E68&gt;AF$166,0,IF($E68+365&lt;AF$166,($C68/$BN$157)+($D68/$BN$158),((AF$166-$E68)/365)*(($C68/$BN$157)+($D68/$BN$158))))))</f>
        <v>0</v>
      </c>
      <c r="AG167" s="54">
        <f t="shared" si="49"/>
        <v>0</v>
      </c>
      <c r="AH167" s="54">
        <f t="shared" si="49"/>
        <v>0</v>
      </c>
      <c r="AI167" s="54">
        <f t="shared" si="49"/>
        <v>0</v>
      </c>
      <c r="AJ167" s="54">
        <f t="shared" si="49"/>
        <v>0</v>
      </c>
      <c r="AK167" s="54">
        <f t="shared" ref="AK167" si="50">IF($E68+365&lt;$C$56,0,IF($E68&lt;$C$56,(($E68+365-$C$56)/365)*(($C68/$BN$157)+($D68/$BN$158)),IF($E68&gt;AK$166,0,IF($E68+365&lt;AK$166,($C68/$BN$157)+($D68/$BN$158),((AK$166-$E68)/365)*(($C68/$BN$157)+($D68/$BN$158))))))</f>
        <v>0</v>
      </c>
      <c r="AL167" s="24">
        <f t="shared" ref="AL167:AL213" si="51">IF(G68&lt;&gt;"",C68,0)</f>
        <v>0</v>
      </c>
      <c r="AM167" s="24">
        <f t="shared" ref="AM167:AM213" si="52">IF(G68&lt;&gt;"",D68,0)</f>
        <v>0</v>
      </c>
      <c r="AN167" s="55">
        <f t="shared" ref="AN167:AN213" si="53">IF(W68="Yes",0,F68)</f>
        <v>0</v>
      </c>
      <c r="AO167" s="55">
        <f t="shared" ref="AO167:AO213" si="54">IF(W68="Yes",F68,0)</f>
        <v>0</v>
      </c>
      <c r="AP167" s="24"/>
      <c r="AQ167" s="24"/>
      <c r="AR167" s="24"/>
      <c r="AS167" s="24"/>
      <c r="AT167" s="24"/>
      <c r="AU167" s="24"/>
      <c r="AV167" s="24"/>
      <c r="AW167" s="24"/>
      <c r="AX167" s="24"/>
      <c r="AY167" s="24"/>
      <c r="AZ167" s="24"/>
      <c r="BA167" s="24"/>
      <c r="BB167" s="25"/>
      <c r="BC167" s="24"/>
      <c r="BD167" s="24"/>
      <c r="BE167" s="24">
        <f t="shared" si="40"/>
        <v>84.92</v>
      </c>
      <c r="BF167" s="24" t="s">
        <v>486</v>
      </c>
      <c r="BG167" s="56">
        <f>BV158+($C$64-$BV$158)</f>
        <v>40.200000000000003</v>
      </c>
      <c r="BH167" s="24"/>
      <c r="BI167" s="24"/>
      <c r="BJ167" s="24"/>
      <c r="BK167" s="24"/>
      <c r="BL167" s="24"/>
      <c r="BM167" s="24"/>
      <c r="BN167" s="24"/>
      <c r="BO167" s="24"/>
      <c r="BP167" s="24"/>
      <c r="BQ167" s="24"/>
      <c r="BR167" s="37"/>
      <c r="BS167" s="37"/>
      <c r="BT167" s="29" t="s">
        <v>487</v>
      </c>
      <c r="BU167" s="24"/>
      <c r="BV167" s="24"/>
      <c r="BW167" s="14"/>
      <c r="BX167" s="14"/>
      <c r="BY167" s="14"/>
      <c r="BZ167" s="14"/>
      <c r="CA167" s="14"/>
      <c r="CB167" s="14"/>
      <c r="CC167" s="14"/>
      <c r="CD167" s="14"/>
      <c r="CE167" s="14"/>
      <c r="CF167" s="14"/>
      <c r="CG167" s="14"/>
      <c r="CH167" s="14"/>
      <c r="CI167" s="14"/>
      <c r="CJ167" s="14"/>
    </row>
    <row r="168" spans="7:88">
      <c r="G168" s="12">
        <f t="shared" si="41"/>
        <v>0</v>
      </c>
      <c r="H168" s="12">
        <f t="shared" si="42"/>
        <v>0</v>
      </c>
      <c r="I168" s="12">
        <f t="shared" si="42"/>
        <v>0</v>
      </c>
      <c r="J168" s="12">
        <f t="shared" si="42"/>
        <v>0</v>
      </c>
      <c r="K168" s="12">
        <f t="shared" si="43"/>
        <v>0</v>
      </c>
      <c r="L168" s="12">
        <f t="shared" si="44"/>
        <v>0</v>
      </c>
      <c r="M168" s="12">
        <f t="shared" si="44"/>
        <v>0</v>
      </c>
      <c r="N168" s="12">
        <f t="shared" si="44"/>
        <v>0</v>
      </c>
      <c r="O168" s="12">
        <f t="shared" si="45"/>
        <v>0</v>
      </c>
      <c r="P168" s="12">
        <f t="shared" si="46"/>
        <v>0</v>
      </c>
      <c r="Q168" s="12">
        <f t="shared" si="46"/>
        <v>0</v>
      </c>
      <c r="T168" s="57"/>
      <c r="U168" s="57"/>
      <c r="V168" s="57"/>
      <c r="W168" s="53">
        <f t="shared" si="47"/>
        <v>0</v>
      </c>
      <c r="X168" s="54" t="e">
        <f t="shared" si="48"/>
        <v>#DIV/0!</v>
      </c>
      <c r="Y168" s="54">
        <f t="shared" ref="Y168:Y213" si="55">Z168/$BH$166</f>
        <v>0</v>
      </c>
      <c r="Z168" s="54">
        <f>($C69/$BN$157)+($D69/$BN$158)</f>
        <v>0</v>
      </c>
      <c r="AA168" s="54">
        <f t="shared" si="49"/>
        <v>0</v>
      </c>
      <c r="AB168" s="54">
        <f t="shared" si="49"/>
        <v>0</v>
      </c>
      <c r="AC168" s="54">
        <f t="shared" si="49"/>
        <v>0</v>
      </c>
      <c r="AD168" s="54">
        <f>IF($E69+365&lt;$C$56,0,IF($E69&lt;$C$56,(($E69+365-$C$56)/365)*(($C69/$BN$157)+($D69/$BN$158)),IF($E69&gt;AD$166,0,IF($E69+365&lt;AD$166,($C69/$BN$157)+($D69/$BN$158),((AD$166-$E69)/365)*(($C69/$BN$157)+($D69/$BN$158))))))</f>
        <v>0</v>
      </c>
      <c r="AE168" s="54">
        <f t="shared" si="49"/>
        <v>0</v>
      </c>
      <c r="AF168" s="54">
        <f t="shared" si="49"/>
        <v>0</v>
      </c>
      <c r="AG168" s="54">
        <f t="shared" si="49"/>
        <v>0</v>
      </c>
      <c r="AH168" s="54">
        <f t="shared" si="49"/>
        <v>0</v>
      </c>
      <c r="AI168" s="54">
        <f t="shared" si="49"/>
        <v>0</v>
      </c>
      <c r="AJ168" s="54">
        <f t="shared" si="49"/>
        <v>0</v>
      </c>
      <c r="AK168" s="54">
        <f t="shared" ref="AK168" si="56">IF($E69+365&lt;$C$56,0,IF($E69&lt;$C$56,(($E69+365-$C$56)/365)*(($C69/$BN$157)+($D69/$BN$158)),IF($E69&gt;AK$166,0,IF($E69+365&lt;AK$166,($C69/$BN$157)+($D69/$BN$158),((AK$166-$E69)/365)*(($C69/$BN$157)+($D69/$BN$158))))))</f>
        <v>0</v>
      </c>
      <c r="AL168" s="24">
        <f t="shared" si="51"/>
        <v>0</v>
      </c>
      <c r="AM168" s="24">
        <f t="shared" si="52"/>
        <v>0</v>
      </c>
      <c r="AN168" s="55">
        <f t="shared" si="53"/>
        <v>0</v>
      </c>
      <c r="AO168" s="55">
        <f t="shared" si="54"/>
        <v>0</v>
      </c>
      <c r="AP168" s="24"/>
      <c r="AQ168" s="24"/>
      <c r="AR168" s="24"/>
      <c r="AS168" s="24"/>
      <c r="AT168" s="24"/>
      <c r="AU168" s="24"/>
      <c r="AV168" s="24"/>
      <c r="AW168" s="24"/>
      <c r="AX168" s="24"/>
      <c r="AY168" s="24"/>
      <c r="AZ168" s="24"/>
      <c r="BA168" s="24"/>
      <c r="BB168" s="24"/>
      <c r="BC168" s="24"/>
      <c r="BD168" s="24"/>
      <c r="BE168" s="24">
        <f t="shared" si="40"/>
        <v>84.92</v>
      </c>
      <c r="BF168" s="59">
        <f>AB166</f>
        <v>45747</v>
      </c>
      <c r="BG168" s="36">
        <f>(BV158+AB214)+($C$64-$BV$158)</f>
        <v>40.200000000000003</v>
      </c>
      <c r="BH168" s="24"/>
      <c r="BI168" s="24"/>
      <c r="BJ168" s="24"/>
      <c r="BK168" s="24"/>
      <c r="BL168" s="24"/>
      <c r="BM168" s="24"/>
      <c r="BN168" s="24"/>
      <c r="BO168" s="24"/>
      <c r="BP168" s="24"/>
      <c r="BQ168" s="24"/>
      <c r="BR168" s="37"/>
      <c r="BS168" s="37"/>
      <c r="BT168" s="29" t="s">
        <v>310</v>
      </c>
      <c r="BU168" s="24"/>
      <c r="BV168" s="24"/>
      <c r="BW168" s="14"/>
      <c r="BX168" s="14"/>
      <c r="BY168" s="14"/>
      <c r="BZ168" s="14"/>
      <c r="CA168" s="14"/>
      <c r="CB168" s="14"/>
      <c r="CC168" s="14"/>
      <c r="CD168" s="14" t="s">
        <v>388</v>
      </c>
      <c r="CE168" s="60" t="str">
        <f>C57</f>
        <v>NSW</v>
      </c>
      <c r="CF168" s="14" t="str">
        <f>C57</f>
        <v>NSW</v>
      </c>
      <c r="CG168" s="14"/>
      <c r="CH168" s="25" t="s">
        <v>388</v>
      </c>
      <c r="CI168" s="14" t="s">
        <v>488</v>
      </c>
      <c r="CJ168" s="14"/>
    </row>
    <row r="169" spans="7:88">
      <c r="G169" s="12">
        <f t="shared" si="41"/>
        <v>0</v>
      </c>
      <c r="H169" s="12">
        <f t="shared" si="42"/>
        <v>0</v>
      </c>
      <c r="I169" s="12">
        <f t="shared" si="42"/>
        <v>0</v>
      </c>
      <c r="J169" s="12">
        <f t="shared" si="42"/>
        <v>0</v>
      </c>
      <c r="K169" s="12">
        <f t="shared" si="43"/>
        <v>0</v>
      </c>
      <c r="L169" s="12">
        <f t="shared" si="44"/>
        <v>0</v>
      </c>
      <c r="M169" s="12">
        <f t="shared" si="44"/>
        <v>0</v>
      </c>
      <c r="N169" s="12">
        <f t="shared" si="44"/>
        <v>0</v>
      </c>
      <c r="O169" s="12">
        <f t="shared" si="45"/>
        <v>0</v>
      </c>
      <c r="P169" s="12">
        <f t="shared" si="46"/>
        <v>0</v>
      </c>
      <c r="Q169" s="12">
        <f t="shared" si="46"/>
        <v>0</v>
      </c>
      <c r="T169" s="61"/>
      <c r="U169" s="61"/>
      <c r="V169" s="61"/>
      <c r="W169" s="53">
        <f t="shared" si="47"/>
        <v>0</v>
      </c>
      <c r="X169" s="54" t="e">
        <f t="shared" si="48"/>
        <v>#DIV/0!</v>
      </c>
      <c r="Y169" s="343">
        <f>Z169/$BH$166</f>
        <v>0</v>
      </c>
      <c r="Z169" s="54">
        <f>($C70/$BN$157)+($D70/$BN$158)</f>
        <v>0</v>
      </c>
      <c r="AA169" s="54">
        <f t="shared" si="49"/>
        <v>0</v>
      </c>
      <c r="AB169" s="54">
        <f t="shared" si="49"/>
        <v>0</v>
      </c>
      <c r="AC169" s="54">
        <f t="shared" si="49"/>
        <v>0</v>
      </c>
      <c r="AD169" s="54">
        <f>IF($E70+365&lt;$C$56,0,IF($E70&lt;$C$56,(($E70+365-$C$56)/365)*(($C70/$BN$157)+($D70/$BN$158)),IF($E70&gt;AD$166,0,IF($E70+365&lt;AD$166,($C70/$BN$157)+($D70/$BN$158),((AD$166-$E70)/365)*(($C70/$BN$157)+($D70/$BN$158))))))</f>
        <v>0</v>
      </c>
      <c r="AE169" s="54">
        <f t="shared" si="49"/>
        <v>0</v>
      </c>
      <c r="AF169" s="54">
        <f t="shared" si="49"/>
        <v>0</v>
      </c>
      <c r="AG169" s="54">
        <f t="shared" si="49"/>
        <v>0</v>
      </c>
      <c r="AH169" s="54">
        <f t="shared" si="49"/>
        <v>0</v>
      </c>
      <c r="AI169" s="54">
        <f t="shared" si="49"/>
        <v>0</v>
      </c>
      <c r="AJ169" s="54">
        <f t="shared" si="49"/>
        <v>0</v>
      </c>
      <c r="AK169" s="54">
        <f t="shared" ref="AK169" si="57">IF($E70+365&lt;$C$56,0,IF($E70&lt;$C$56,(($E70+365-$C$56)/365)*(($C70/$BN$157)+($D70/$BN$158)),IF($E70&gt;AK$166,0,IF($E70+365&lt;AK$166,($C70/$BN$157)+($D70/$BN$158),((AK$166-$E70)/365)*(($C70/$BN$157)+($D70/$BN$158))))))</f>
        <v>0</v>
      </c>
      <c r="AL169" s="24">
        <f t="shared" si="51"/>
        <v>0</v>
      </c>
      <c r="AM169" s="24">
        <f t="shared" si="52"/>
        <v>0</v>
      </c>
      <c r="AN169" s="55">
        <f t="shared" si="53"/>
        <v>0</v>
      </c>
      <c r="AO169" s="55">
        <f t="shared" si="54"/>
        <v>0</v>
      </c>
      <c r="AP169" s="24"/>
      <c r="AQ169" s="24"/>
      <c r="AR169" s="24"/>
      <c r="AS169" s="24"/>
      <c r="AT169" s="24"/>
      <c r="AU169" s="24"/>
      <c r="AV169" s="24"/>
      <c r="AW169" s="24"/>
      <c r="AX169" s="24"/>
      <c r="AY169" s="24"/>
      <c r="AZ169" s="24"/>
      <c r="BA169" s="24"/>
      <c r="BB169" s="24"/>
      <c r="BC169" s="24"/>
      <c r="BD169" s="24"/>
      <c r="BE169" s="24">
        <f t="shared" si="40"/>
        <v>84.92</v>
      </c>
      <c r="BF169" s="59">
        <f>BF168+365</f>
        <v>46112</v>
      </c>
      <c r="BG169" s="36">
        <f>BV158+AC214+($C$64-$BV$158)</f>
        <v>40.200000000000003</v>
      </c>
      <c r="BH169" s="24"/>
      <c r="BI169" s="24"/>
      <c r="BJ169" s="24"/>
      <c r="BK169" s="24"/>
      <c r="BL169" s="24"/>
      <c r="BM169" s="24"/>
      <c r="BN169" s="24"/>
      <c r="BO169" s="24"/>
      <c r="BP169" s="24"/>
      <c r="BQ169" s="24"/>
      <c r="BR169" s="24"/>
      <c r="BS169" s="24"/>
      <c r="BT169" s="29" t="s">
        <v>489</v>
      </c>
      <c r="BU169" s="24"/>
      <c r="BV169" s="24"/>
      <c r="BW169" s="14"/>
      <c r="BX169" s="14"/>
      <c r="BY169" s="14"/>
      <c r="BZ169" s="14"/>
      <c r="CA169" s="14"/>
      <c r="CB169" s="14"/>
      <c r="CC169" s="14"/>
      <c r="CD169" s="14">
        <v>1</v>
      </c>
      <c r="CE169" s="14">
        <f>CI177</f>
        <v>192.21</v>
      </c>
      <c r="CF169" s="14">
        <f>CJ177</f>
        <v>362.89</v>
      </c>
      <c r="CG169" s="14"/>
      <c r="CH169" s="25">
        <v>5</v>
      </c>
      <c r="CI169" s="14">
        <f t="shared" ref="CI169:CI177" si="58">INDEX(AN156:AR156,MATCH($CE$168,$AN$165:$AR$165,0))</f>
        <v>69.59</v>
      </c>
      <c r="CJ169" s="14">
        <f t="shared" ref="CJ169:CJ177" si="59">INDEX(AU156:AY156,MATCH($CE$168,$AN$165:$AR$165,0))</f>
        <v>129.52000000000001</v>
      </c>
    </row>
    <row r="170" spans="7:88">
      <c r="G170" s="12">
        <f t="shared" si="41"/>
        <v>0</v>
      </c>
      <c r="H170" s="12">
        <f t="shared" si="42"/>
        <v>0</v>
      </c>
      <c r="I170" s="12">
        <f t="shared" si="42"/>
        <v>0</v>
      </c>
      <c r="J170" s="12">
        <f t="shared" si="42"/>
        <v>0</v>
      </c>
      <c r="K170" s="12">
        <f t="shared" si="43"/>
        <v>0</v>
      </c>
      <c r="L170" s="12">
        <f t="shared" si="44"/>
        <v>0</v>
      </c>
      <c r="M170" s="12">
        <f t="shared" si="44"/>
        <v>0</v>
      </c>
      <c r="N170" s="12">
        <f t="shared" si="44"/>
        <v>0</v>
      </c>
      <c r="O170" s="12">
        <f t="shared" si="45"/>
        <v>0</v>
      </c>
      <c r="P170" s="12">
        <f t="shared" si="46"/>
        <v>0</v>
      </c>
      <c r="Q170" s="12">
        <f t="shared" si="46"/>
        <v>0</v>
      </c>
      <c r="T170" s="61"/>
      <c r="U170" s="61"/>
      <c r="V170" s="61"/>
      <c r="W170" s="53">
        <f t="shared" si="47"/>
        <v>0</v>
      </c>
      <c r="X170" s="54" t="e">
        <f t="shared" si="48"/>
        <v>#DIV/0!</v>
      </c>
      <c r="Y170" s="25">
        <f t="shared" si="55"/>
        <v>0</v>
      </c>
      <c r="Z170" s="54">
        <f t="shared" ref="Z170:Z213" si="60">($C71/$BN$157)+($D71/$BN$158)</f>
        <v>0</v>
      </c>
      <c r="AA170" s="54">
        <f t="shared" si="49"/>
        <v>0</v>
      </c>
      <c r="AB170" s="54">
        <f t="shared" si="49"/>
        <v>0</v>
      </c>
      <c r="AC170" s="54">
        <f t="shared" si="49"/>
        <v>0</v>
      </c>
      <c r="AD170" s="54">
        <f t="shared" si="49"/>
        <v>0</v>
      </c>
      <c r="AE170" s="54">
        <f t="shared" si="49"/>
        <v>0</v>
      </c>
      <c r="AF170" s="54">
        <f t="shared" si="49"/>
        <v>0</v>
      </c>
      <c r="AG170" s="54">
        <f t="shared" si="49"/>
        <v>0</v>
      </c>
      <c r="AH170" s="54">
        <f t="shared" si="49"/>
        <v>0</v>
      </c>
      <c r="AI170" s="54">
        <f t="shared" si="49"/>
        <v>0</v>
      </c>
      <c r="AJ170" s="54">
        <f t="shared" si="49"/>
        <v>0</v>
      </c>
      <c r="AK170" s="54">
        <f t="shared" ref="AK170" si="61">IF($E71+365&lt;$C$56,0,IF($E71&lt;$C$56,(($E71+365-$C$56)/365)*(($C71/$BN$157)+($D71/$BN$158)),IF($E71&gt;AK$166,0,IF($E71+365&lt;AK$166,($C71/$BN$157)+($D71/$BN$158),((AK$166-$E71)/365)*(($C71/$BN$157)+($D71/$BN$158))))))</f>
        <v>0</v>
      </c>
      <c r="AL170" s="24">
        <f t="shared" si="51"/>
        <v>0</v>
      </c>
      <c r="AM170" s="24">
        <f t="shared" si="52"/>
        <v>0</v>
      </c>
      <c r="AN170" s="55">
        <f t="shared" si="53"/>
        <v>0</v>
      </c>
      <c r="AO170" s="55">
        <f t="shared" si="54"/>
        <v>0</v>
      </c>
      <c r="AP170" s="24"/>
      <c r="AQ170" s="24"/>
      <c r="AR170" s="24"/>
      <c r="AS170" s="24"/>
      <c r="AT170" s="24"/>
      <c r="AU170" s="24"/>
      <c r="AV170" s="24"/>
      <c r="AW170" s="24"/>
      <c r="AX170" s="24"/>
      <c r="AY170" s="24"/>
      <c r="AZ170" s="24"/>
      <c r="BA170" s="24"/>
      <c r="BB170" s="24"/>
      <c r="BC170" s="24"/>
      <c r="BD170" s="24"/>
      <c r="BE170" s="24">
        <f t="shared" si="40"/>
        <v>84.92</v>
      </c>
      <c r="BF170" s="59">
        <f>BF169+365</f>
        <v>46477</v>
      </c>
      <c r="BG170" s="36">
        <f>$BV$158+AD214+($C$64-$BV$158)</f>
        <v>40.200000000000003</v>
      </c>
      <c r="BI170" s="24"/>
      <c r="BJ170" s="24"/>
      <c r="BK170" s="24"/>
      <c r="BL170" s="24"/>
      <c r="BM170" s="24"/>
      <c r="BN170" s="24"/>
      <c r="BO170" s="24"/>
      <c r="BP170" s="24"/>
      <c r="BQ170" s="24"/>
      <c r="BR170" s="24"/>
      <c r="BS170" s="24"/>
      <c r="BT170" s="24"/>
      <c r="BU170" s="24"/>
      <c r="BV170" s="24"/>
      <c r="BW170" s="14"/>
      <c r="BX170" s="14"/>
      <c r="BY170" s="14"/>
      <c r="BZ170" s="14"/>
      <c r="CA170" s="14"/>
      <c r="CB170" s="14"/>
      <c r="CC170" s="14"/>
      <c r="CD170" s="14">
        <v>1.5</v>
      </c>
      <c r="CE170" s="14">
        <f>CI176</f>
        <v>176.89</v>
      </c>
      <c r="CF170" s="14">
        <f>CJ176</f>
        <v>333.72</v>
      </c>
      <c r="CG170" s="14"/>
      <c r="CH170" s="25">
        <v>4.5</v>
      </c>
      <c r="CI170" s="14">
        <f t="shared" si="58"/>
        <v>84.92</v>
      </c>
      <c r="CJ170" s="14">
        <f t="shared" si="59"/>
        <v>158.69</v>
      </c>
    </row>
    <row r="171" spans="7:88">
      <c r="G171" s="12">
        <f t="shared" si="41"/>
        <v>0</v>
      </c>
      <c r="H171" s="12">
        <f t="shared" si="42"/>
        <v>0</v>
      </c>
      <c r="I171" s="12">
        <f t="shared" si="42"/>
        <v>0</v>
      </c>
      <c r="J171" s="12">
        <f t="shared" si="42"/>
        <v>0</v>
      </c>
      <c r="K171" s="12">
        <f t="shared" si="43"/>
        <v>0</v>
      </c>
      <c r="L171" s="12">
        <f t="shared" si="44"/>
        <v>0</v>
      </c>
      <c r="M171" s="12">
        <f t="shared" si="44"/>
        <v>0</v>
      </c>
      <c r="N171" s="12">
        <f t="shared" si="44"/>
        <v>0</v>
      </c>
      <c r="O171" s="12">
        <f t="shared" si="45"/>
        <v>0</v>
      </c>
      <c r="P171" s="12">
        <f t="shared" si="46"/>
        <v>0</v>
      </c>
      <c r="Q171" s="12">
        <f t="shared" si="46"/>
        <v>0</v>
      </c>
      <c r="T171" s="61"/>
      <c r="U171" s="61"/>
      <c r="V171" s="61"/>
      <c r="W171" s="53">
        <f t="shared" si="47"/>
        <v>0</v>
      </c>
      <c r="X171" s="54" t="e">
        <f t="shared" si="48"/>
        <v>#DIV/0!</v>
      </c>
      <c r="Y171" s="54">
        <f t="shared" si="55"/>
        <v>0</v>
      </c>
      <c r="Z171" s="54">
        <f>($C72/$BN$157)+($D72/$BN$158)</f>
        <v>0</v>
      </c>
      <c r="AA171" s="54">
        <f t="shared" si="49"/>
        <v>0</v>
      </c>
      <c r="AB171" s="54">
        <f t="shared" si="49"/>
        <v>0</v>
      </c>
      <c r="AC171" s="54">
        <f t="shared" si="49"/>
        <v>0</v>
      </c>
      <c r="AD171" s="54">
        <f t="shared" si="49"/>
        <v>0</v>
      </c>
      <c r="AE171" s="54">
        <f t="shared" si="49"/>
        <v>0</v>
      </c>
      <c r="AF171" s="54">
        <f>IF($E72+365&lt;$C$56,0,IF($E72&lt;$C$56,(($E72+365-$C$56)/365)*(($C72/$BN$157)+($D72/$BN$158)),IF($E72&gt;AF$166,0,IF($E72+365&lt;AF$166,($C72/$BN$157)+($D72/$BN$158),((AF$166-$E72)/365)*(($C72/$BN$157)+($D72/$BN$158))))))</f>
        <v>0</v>
      </c>
      <c r="AG171" s="54">
        <f t="shared" si="49"/>
        <v>0</v>
      </c>
      <c r="AH171" s="54">
        <f t="shared" si="49"/>
        <v>0</v>
      </c>
      <c r="AI171" s="54">
        <f t="shared" si="49"/>
        <v>0</v>
      </c>
      <c r="AJ171" s="54">
        <f t="shared" si="49"/>
        <v>0</v>
      </c>
      <c r="AK171" s="54">
        <f t="shared" ref="AK171" si="62">IF($E72+365&lt;$C$56,0,IF($E72&lt;$C$56,(($E72+365-$C$56)/365)*(($C72/$BN$157)+($D72/$BN$158)),IF($E72&gt;AK$166,0,IF($E72+365&lt;AK$166,($C72/$BN$157)+($D72/$BN$158),((AK$166-$E72)/365)*(($C72/$BN$157)+($D72/$BN$158))))))</f>
        <v>0</v>
      </c>
      <c r="AL171" s="24">
        <f t="shared" si="51"/>
        <v>0</v>
      </c>
      <c r="AM171" s="24">
        <f t="shared" si="52"/>
        <v>0</v>
      </c>
      <c r="AN171" s="55">
        <f t="shared" si="53"/>
        <v>0</v>
      </c>
      <c r="AO171" s="55">
        <f t="shared" si="54"/>
        <v>0</v>
      </c>
      <c r="AP171" s="24"/>
      <c r="AQ171" s="24"/>
      <c r="AR171" s="24"/>
      <c r="AS171" s="24"/>
      <c r="AT171" s="24"/>
      <c r="AU171" s="24"/>
      <c r="AV171" s="24"/>
      <c r="AW171" s="24"/>
      <c r="AX171" s="24"/>
      <c r="AY171" s="24"/>
      <c r="AZ171" s="24"/>
      <c r="BA171" s="24"/>
      <c r="BB171" s="24"/>
      <c r="BC171" s="24"/>
      <c r="BD171" s="24"/>
      <c r="BE171" s="24">
        <f t="shared" si="40"/>
        <v>84.92</v>
      </c>
      <c r="BF171" s="59">
        <f t="shared" ref="BF171:BF176" si="63">BF170+365</f>
        <v>46842</v>
      </c>
      <c r="BG171" s="36">
        <f>$BV$158+AE214+($C$64-$BV$158)</f>
        <v>40.200000000000003</v>
      </c>
      <c r="BI171" s="24"/>
      <c r="BJ171" s="24"/>
      <c r="BK171" s="24"/>
      <c r="BL171" s="24"/>
      <c r="BM171" s="24"/>
      <c r="BN171" s="24"/>
      <c r="BO171" s="24"/>
      <c r="BP171" s="24"/>
      <c r="BQ171" s="24"/>
      <c r="BR171" s="24"/>
      <c r="BS171" s="24"/>
      <c r="BT171" s="24"/>
      <c r="BU171" s="24"/>
      <c r="BV171" s="24"/>
      <c r="BW171" s="14"/>
      <c r="BX171" s="14"/>
      <c r="BY171" s="14"/>
      <c r="BZ171" s="14"/>
      <c r="CA171" s="14"/>
      <c r="CB171" s="14"/>
      <c r="CC171" s="14"/>
      <c r="CD171" s="14">
        <v>2</v>
      </c>
      <c r="CE171" s="14">
        <f>CI175</f>
        <v>161.56</v>
      </c>
      <c r="CF171" s="14">
        <f>CJ175</f>
        <v>304.55</v>
      </c>
      <c r="CG171" s="14"/>
      <c r="CH171" s="25">
        <v>4</v>
      </c>
      <c r="CI171" s="14">
        <f t="shared" si="58"/>
        <v>100.25</v>
      </c>
      <c r="CJ171" s="14">
        <f t="shared" si="59"/>
        <v>187.86</v>
      </c>
    </row>
    <row r="172" spans="7:88">
      <c r="G172" s="12">
        <f t="shared" si="41"/>
        <v>0</v>
      </c>
      <c r="H172" s="12">
        <f t="shared" si="42"/>
        <v>0</v>
      </c>
      <c r="I172" s="12">
        <f t="shared" si="42"/>
        <v>0</v>
      </c>
      <c r="J172" s="12">
        <f t="shared" si="42"/>
        <v>0</v>
      </c>
      <c r="K172" s="12">
        <f t="shared" si="43"/>
        <v>0</v>
      </c>
      <c r="L172" s="12">
        <f t="shared" si="44"/>
        <v>0</v>
      </c>
      <c r="M172" s="12">
        <f t="shared" si="44"/>
        <v>0</v>
      </c>
      <c r="N172" s="12">
        <f t="shared" si="44"/>
        <v>0</v>
      </c>
      <c r="O172" s="12">
        <f t="shared" si="45"/>
        <v>0</v>
      </c>
      <c r="P172" s="12">
        <f t="shared" si="46"/>
        <v>0</v>
      </c>
      <c r="Q172" s="12">
        <f t="shared" si="46"/>
        <v>0</v>
      </c>
      <c r="T172" s="61"/>
      <c r="U172" s="61"/>
      <c r="V172" s="61"/>
      <c r="W172" s="53">
        <f t="shared" si="47"/>
        <v>0</v>
      </c>
      <c r="X172" s="54" t="e">
        <f t="shared" si="48"/>
        <v>#DIV/0!</v>
      </c>
      <c r="Y172" s="25">
        <f>Z172/$BH$166</f>
        <v>0</v>
      </c>
      <c r="Z172" s="54">
        <f t="shared" si="60"/>
        <v>0</v>
      </c>
      <c r="AA172" s="54">
        <f t="shared" si="49"/>
        <v>0</v>
      </c>
      <c r="AB172" s="54">
        <f t="shared" si="49"/>
        <v>0</v>
      </c>
      <c r="AC172" s="54">
        <f t="shared" si="49"/>
        <v>0</v>
      </c>
      <c r="AD172" s="54">
        <f t="shared" si="49"/>
        <v>0</v>
      </c>
      <c r="AE172" s="54">
        <f t="shared" si="49"/>
        <v>0</v>
      </c>
      <c r="AF172" s="54">
        <f t="shared" si="49"/>
        <v>0</v>
      </c>
      <c r="AG172" s="54">
        <f t="shared" si="49"/>
        <v>0</v>
      </c>
      <c r="AH172" s="54">
        <f t="shared" si="49"/>
        <v>0</v>
      </c>
      <c r="AI172" s="54">
        <f t="shared" si="49"/>
        <v>0</v>
      </c>
      <c r="AJ172" s="54">
        <f t="shared" si="49"/>
        <v>0</v>
      </c>
      <c r="AK172" s="54">
        <f t="shared" ref="AK172" si="64">IF($E73+365&lt;$C$56,0,IF($E73&lt;$C$56,(($E73+365-$C$56)/365)*(($C73/$BN$157)+($D73/$BN$158)),IF($E73&gt;AK$166,0,IF($E73+365&lt;AK$166,($C73/$BN$157)+($D73/$BN$158),((AK$166-$E73)/365)*(($C73/$BN$157)+($D73/$BN$158))))))</f>
        <v>0</v>
      </c>
      <c r="AL172" s="24">
        <f t="shared" si="51"/>
        <v>0</v>
      </c>
      <c r="AM172" s="24">
        <f t="shared" si="52"/>
        <v>0</v>
      </c>
      <c r="AN172" s="55">
        <f t="shared" si="53"/>
        <v>0</v>
      </c>
      <c r="AO172" s="55">
        <f t="shared" si="54"/>
        <v>0</v>
      </c>
      <c r="AP172" s="24"/>
      <c r="AQ172" s="24"/>
      <c r="AR172" s="24"/>
      <c r="AS172" s="24"/>
      <c r="AT172" s="24"/>
      <c r="AU172" s="24"/>
      <c r="AV172" s="24"/>
      <c r="AW172" s="24"/>
      <c r="AX172" s="24"/>
      <c r="AY172" s="24"/>
      <c r="AZ172" s="24"/>
      <c r="BA172" s="24"/>
      <c r="BB172" s="24"/>
      <c r="BC172" s="24"/>
      <c r="BD172" s="24"/>
      <c r="BE172" s="24">
        <f t="shared" si="40"/>
        <v>84.92</v>
      </c>
      <c r="BF172" s="59">
        <f t="shared" si="63"/>
        <v>47207</v>
      </c>
      <c r="BG172" s="36">
        <f>$BV$158+AF214+($C$64-$BV$158)</f>
        <v>40.200000000000003</v>
      </c>
      <c r="BI172" s="24"/>
      <c r="BJ172" s="24"/>
      <c r="BK172" s="24"/>
      <c r="BL172" s="24"/>
      <c r="BM172" s="24"/>
      <c r="BN172" s="24"/>
      <c r="BO172" s="24"/>
      <c r="BP172" s="24"/>
      <c r="BQ172" s="24"/>
      <c r="BR172" s="24"/>
      <c r="BS172" s="24"/>
      <c r="BT172" s="24"/>
      <c r="BU172" s="24"/>
      <c r="BV172" s="24"/>
      <c r="BW172" s="14"/>
      <c r="BX172" s="14"/>
      <c r="BY172" s="14"/>
      <c r="BZ172" s="14"/>
      <c r="CA172" s="14"/>
      <c r="CB172" s="14"/>
      <c r="CC172" s="14"/>
      <c r="CD172" s="14">
        <v>2.5</v>
      </c>
      <c r="CE172" s="14">
        <f>CI174</f>
        <v>146.22999999999999</v>
      </c>
      <c r="CF172" s="14">
        <f>CJ174</f>
        <v>275.38</v>
      </c>
      <c r="CG172" s="14"/>
      <c r="CH172" s="25">
        <v>3.5</v>
      </c>
      <c r="CI172" s="14">
        <f t="shared" si="58"/>
        <v>115.57</v>
      </c>
      <c r="CJ172" s="14">
        <f t="shared" si="59"/>
        <v>217.04</v>
      </c>
    </row>
    <row r="173" spans="7:88">
      <c r="G173" s="12">
        <f t="shared" si="41"/>
        <v>0</v>
      </c>
      <c r="H173" s="12">
        <f t="shared" si="42"/>
        <v>0</v>
      </c>
      <c r="I173" s="12">
        <f t="shared" si="42"/>
        <v>0</v>
      </c>
      <c r="J173" s="12">
        <f t="shared" si="42"/>
        <v>0</v>
      </c>
      <c r="K173" s="12">
        <f t="shared" si="43"/>
        <v>0</v>
      </c>
      <c r="L173" s="12">
        <f t="shared" si="44"/>
        <v>0</v>
      </c>
      <c r="M173" s="12">
        <f t="shared" si="44"/>
        <v>0</v>
      </c>
      <c r="N173" s="12">
        <f t="shared" si="44"/>
        <v>0</v>
      </c>
      <c r="O173" s="12">
        <f t="shared" si="45"/>
        <v>0</v>
      </c>
      <c r="P173" s="12">
        <f t="shared" si="46"/>
        <v>0</v>
      </c>
      <c r="Q173" s="12">
        <f t="shared" si="46"/>
        <v>0</v>
      </c>
      <c r="T173" s="61"/>
      <c r="U173" s="61"/>
      <c r="V173" s="61"/>
      <c r="W173" s="53">
        <f t="shared" si="47"/>
        <v>0</v>
      </c>
      <c r="X173" s="54" t="e">
        <f t="shared" si="48"/>
        <v>#DIV/0!</v>
      </c>
      <c r="Y173" s="25">
        <f t="shared" si="55"/>
        <v>0</v>
      </c>
      <c r="Z173" s="54">
        <f t="shared" si="60"/>
        <v>0</v>
      </c>
      <c r="AA173" s="54">
        <f t="shared" si="49"/>
        <v>0</v>
      </c>
      <c r="AB173" s="54">
        <f t="shared" si="49"/>
        <v>0</v>
      </c>
      <c r="AC173" s="54">
        <f t="shared" si="49"/>
        <v>0</v>
      </c>
      <c r="AD173" s="54">
        <f t="shared" si="49"/>
        <v>0</v>
      </c>
      <c r="AE173" s="54">
        <f t="shared" si="49"/>
        <v>0</v>
      </c>
      <c r="AF173" s="54">
        <f t="shared" si="49"/>
        <v>0</v>
      </c>
      <c r="AG173" s="54">
        <f t="shared" si="49"/>
        <v>0</v>
      </c>
      <c r="AH173" s="54">
        <f t="shared" si="49"/>
        <v>0</v>
      </c>
      <c r="AI173" s="54">
        <f t="shared" si="49"/>
        <v>0</v>
      </c>
      <c r="AJ173" s="54">
        <f t="shared" si="49"/>
        <v>0</v>
      </c>
      <c r="AK173" s="54">
        <f t="shared" ref="AK173" si="65">IF($E74+365&lt;$C$56,0,IF($E74&lt;$C$56,(($E74+365-$C$56)/365)*(($C74/$BN$157)+($D74/$BN$158)),IF($E74&gt;AK$166,0,IF($E74+365&lt;AK$166,($C74/$BN$157)+($D74/$BN$158),((AK$166-$E74)/365)*(($C74/$BN$157)+($D74/$BN$158))))))</f>
        <v>0</v>
      </c>
      <c r="AL173" s="24">
        <f t="shared" si="51"/>
        <v>0</v>
      </c>
      <c r="AM173" s="24">
        <f t="shared" si="52"/>
        <v>0</v>
      </c>
      <c r="AN173" s="55">
        <f t="shared" si="53"/>
        <v>0</v>
      </c>
      <c r="AO173" s="55">
        <f t="shared" si="54"/>
        <v>0</v>
      </c>
      <c r="AP173" s="24"/>
      <c r="AQ173" s="24"/>
      <c r="AR173" s="24"/>
      <c r="AS173" s="24"/>
      <c r="AT173" s="24"/>
      <c r="AU173" s="24"/>
      <c r="AV173" s="24"/>
      <c r="AW173" s="24"/>
      <c r="AX173" s="24"/>
      <c r="AY173" s="24"/>
      <c r="AZ173" s="24"/>
      <c r="BA173" s="24"/>
      <c r="BB173" s="24"/>
      <c r="BC173" s="24"/>
      <c r="BD173" s="24"/>
      <c r="BE173" s="24">
        <f t="shared" si="40"/>
        <v>84.92</v>
      </c>
      <c r="BF173" s="59">
        <f t="shared" si="63"/>
        <v>47572</v>
      </c>
      <c r="BG173" s="36">
        <f>$BV$158+AG214+($C$64-$BV$158)</f>
        <v>40.200000000000003</v>
      </c>
      <c r="BI173" s="24"/>
      <c r="BJ173" s="24"/>
      <c r="BK173" s="24"/>
      <c r="BL173" s="24"/>
      <c r="BM173" s="24"/>
      <c r="BN173" s="24"/>
      <c r="BO173" s="24"/>
      <c r="BP173" s="24"/>
      <c r="BQ173" s="24"/>
      <c r="BR173" s="24"/>
      <c r="BS173" s="24"/>
      <c r="BT173" s="24"/>
      <c r="BU173" s="24"/>
      <c r="BV173" s="24"/>
      <c r="BW173" s="14"/>
      <c r="BX173" s="14"/>
      <c r="BY173" s="14"/>
      <c r="BZ173" s="14"/>
      <c r="CA173" s="14"/>
      <c r="CB173" s="14"/>
      <c r="CC173" s="14"/>
      <c r="CD173" s="14">
        <v>3</v>
      </c>
      <c r="CE173" s="14">
        <f>CI173</f>
        <v>130.9</v>
      </c>
      <c r="CF173" s="14">
        <f>CJ173</f>
        <v>246.21</v>
      </c>
      <c r="CG173" s="14"/>
      <c r="CH173" s="25">
        <v>3</v>
      </c>
      <c r="CI173" s="14">
        <f t="shared" si="58"/>
        <v>130.9</v>
      </c>
      <c r="CJ173" s="14">
        <f t="shared" si="59"/>
        <v>246.21</v>
      </c>
    </row>
    <row r="174" spans="7:88">
      <c r="G174" s="12">
        <f t="shared" si="41"/>
        <v>0</v>
      </c>
      <c r="H174" s="12">
        <f t="shared" si="42"/>
        <v>0</v>
      </c>
      <c r="I174" s="12">
        <f t="shared" si="42"/>
        <v>0</v>
      </c>
      <c r="J174" s="12">
        <f t="shared" si="42"/>
        <v>0</v>
      </c>
      <c r="K174" s="12">
        <f t="shared" si="43"/>
        <v>0</v>
      </c>
      <c r="L174" s="12">
        <f t="shared" si="44"/>
        <v>0</v>
      </c>
      <c r="M174" s="12">
        <f t="shared" si="44"/>
        <v>0</v>
      </c>
      <c r="N174" s="12">
        <f t="shared" si="44"/>
        <v>0</v>
      </c>
      <c r="O174" s="12">
        <f t="shared" si="45"/>
        <v>0</v>
      </c>
      <c r="P174" s="12">
        <f t="shared" si="46"/>
        <v>0</v>
      </c>
      <c r="Q174" s="12">
        <f t="shared" si="46"/>
        <v>0</v>
      </c>
      <c r="T174" s="61"/>
      <c r="U174" s="61"/>
      <c r="V174" s="61"/>
      <c r="W174" s="53">
        <f t="shared" si="47"/>
        <v>0</v>
      </c>
      <c r="X174" s="54" t="e">
        <f t="shared" si="48"/>
        <v>#DIV/0!</v>
      </c>
      <c r="Y174" s="25">
        <f t="shared" si="55"/>
        <v>0</v>
      </c>
      <c r="Z174" s="54">
        <f t="shared" si="60"/>
        <v>0</v>
      </c>
      <c r="AA174" s="54">
        <f t="shared" si="49"/>
        <v>0</v>
      </c>
      <c r="AB174" s="54">
        <f t="shared" si="49"/>
        <v>0</v>
      </c>
      <c r="AC174" s="54">
        <f t="shared" si="49"/>
        <v>0</v>
      </c>
      <c r="AD174" s="54">
        <f t="shared" si="49"/>
        <v>0</v>
      </c>
      <c r="AE174" s="54">
        <f t="shared" si="49"/>
        <v>0</v>
      </c>
      <c r="AF174" s="54">
        <f t="shared" si="49"/>
        <v>0</v>
      </c>
      <c r="AG174" s="54">
        <f t="shared" si="49"/>
        <v>0</v>
      </c>
      <c r="AH174" s="54">
        <f t="shared" si="49"/>
        <v>0</v>
      </c>
      <c r="AI174" s="54">
        <f t="shared" si="49"/>
        <v>0</v>
      </c>
      <c r="AJ174" s="54">
        <f t="shared" si="49"/>
        <v>0</v>
      </c>
      <c r="AK174" s="54">
        <f t="shared" ref="AK174" si="66">IF($E75+365&lt;$C$56,0,IF($E75&lt;$C$56,(($E75+365-$C$56)/365)*(($C75/$BN$157)+($D75/$BN$158)),IF($E75&gt;AK$166,0,IF($E75+365&lt;AK$166,($C75/$BN$157)+($D75/$BN$158),((AK$166-$E75)/365)*(($C75/$BN$157)+($D75/$BN$158))))))</f>
        <v>0</v>
      </c>
      <c r="AL174" s="24">
        <f t="shared" si="51"/>
        <v>0</v>
      </c>
      <c r="AM174" s="24">
        <f t="shared" si="52"/>
        <v>0</v>
      </c>
      <c r="AN174" s="55">
        <f t="shared" si="53"/>
        <v>0</v>
      </c>
      <c r="AO174" s="55">
        <f t="shared" si="54"/>
        <v>0</v>
      </c>
      <c r="AP174" s="24"/>
      <c r="AQ174" s="24"/>
      <c r="AR174" s="24"/>
      <c r="AS174" s="24"/>
      <c r="AT174" s="24"/>
      <c r="AU174" s="24"/>
      <c r="AV174" s="24"/>
      <c r="AW174" s="24"/>
      <c r="AX174" s="24"/>
      <c r="AY174" s="24"/>
      <c r="AZ174" s="24"/>
      <c r="BA174" s="24"/>
      <c r="BB174" s="24"/>
      <c r="BC174" s="24"/>
      <c r="BD174" s="24"/>
      <c r="BE174" s="24">
        <f t="shared" si="40"/>
        <v>84.92</v>
      </c>
      <c r="BF174" s="59">
        <f t="shared" si="63"/>
        <v>47937</v>
      </c>
      <c r="BG174" s="36">
        <f>$BV$158+AH214+($C$64-$BV$158)</f>
        <v>40.200000000000003</v>
      </c>
      <c r="BI174" s="37"/>
      <c r="BJ174" s="37"/>
      <c r="BK174" s="37"/>
      <c r="BL174" s="24"/>
      <c r="BM174" s="24"/>
      <c r="BN174" s="24"/>
      <c r="BO174" s="24"/>
      <c r="BP174" s="24"/>
      <c r="BQ174" s="24"/>
      <c r="BR174" s="24"/>
      <c r="BS174" s="24"/>
      <c r="BT174" s="24"/>
      <c r="BU174" s="24"/>
      <c r="BV174" s="24"/>
      <c r="BW174" s="14"/>
      <c r="BX174" s="14"/>
      <c r="BY174" s="14"/>
      <c r="BZ174" s="14"/>
      <c r="CA174" s="14"/>
      <c r="CB174" s="14"/>
      <c r="CC174" s="14"/>
      <c r="CD174" s="14">
        <v>3.5</v>
      </c>
      <c r="CE174" s="14">
        <f>CI172</f>
        <v>115.57</v>
      </c>
      <c r="CF174" s="14">
        <f>CJ172</f>
        <v>217.04</v>
      </c>
      <c r="CG174" s="14"/>
      <c r="CH174" s="25">
        <v>2.5</v>
      </c>
      <c r="CI174" s="14">
        <f t="shared" si="58"/>
        <v>146.22999999999999</v>
      </c>
      <c r="CJ174" s="14">
        <f t="shared" si="59"/>
        <v>275.38</v>
      </c>
    </row>
    <row r="175" spans="7:88">
      <c r="G175" s="12">
        <f t="shared" si="41"/>
        <v>0</v>
      </c>
      <c r="H175" s="12">
        <f t="shared" si="42"/>
        <v>0</v>
      </c>
      <c r="I175" s="12">
        <f t="shared" si="42"/>
        <v>0</v>
      </c>
      <c r="J175" s="12">
        <f t="shared" si="42"/>
        <v>0</v>
      </c>
      <c r="K175" s="12">
        <f t="shared" si="43"/>
        <v>0</v>
      </c>
      <c r="L175" s="12">
        <f t="shared" si="44"/>
        <v>0</v>
      </c>
      <c r="M175" s="12">
        <f t="shared" si="44"/>
        <v>0</v>
      </c>
      <c r="N175" s="12">
        <f t="shared" si="44"/>
        <v>0</v>
      </c>
      <c r="O175" s="12">
        <f t="shared" si="45"/>
        <v>0</v>
      </c>
      <c r="P175" s="12">
        <f t="shared" si="46"/>
        <v>0</v>
      </c>
      <c r="Q175" s="12">
        <f t="shared" si="46"/>
        <v>0</v>
      </c>
      <c r="T175" s="61"/>
      <c r="U175" s="61"/>
      <c r="V175" s="61"/>
      <c r="W175" s="53">
        <f t="shared" si="47"/>
        <v>0</v>
      </c>
      <c r="X175" s="54" t="e">
        <f t="shared" si="48"/>
        <v>#DIV/0!</v>
      </c>
      <c r="Y175" s="25">
        <f t="shared" si="55"/>
        <v>0</v>
      </c>
      <c r="Z175" s="54">
        <f t="shared" si="60"/>
        <v>0</v>
      </c>
      <c r="AA175" s="54">
        <f t="shared" si="49"/>
        <v>0</v>
      </c>
      <c r="AB175" s="54">
        <f t="shared" si="49"/>
        <v>0</v>
      </c>
      <c r="AC175" s="54">
        <f t="shared" si="49"/>
        <v>0</v>
      </c>
      <c r="AD175" s="54">
        <f t="shared" si="49"/>
        <v>0</v>
      </c>
      <c r="AE175" s="54">
        <f t="shared" si="49"/>
        <v>0</v>
      </c>
      <c r="AF175" s="54">
        <f t="shared" si="49"/>
        <v>0</v>
      </c>
      <c r="AG175" s="54">
        <f t="shared" si="49"/>
        <v>0</v>
      </c>
      <c r="AH175" s="54">
        <f t="shared" si="49"/>
        <v>0</v>
      </c>
      <c r="AI175" s="54">
        <f t="shared" si="49"/>
        <v>0</v>
      </c>
      <c r="AJ175" s="54">
        <f t="shared" si="49"/>
        <v>0</v>
      </c>
      <c r="AK175" s="54">
        <f t="shared" ref="AK175" si="67">IF($E76+365&lt;$C$56,0,IF($E76&lt;$C$56,(($E76+365-$C$56)/365)*(($C76/$BN$157)+($D76/$BN$158)),IF($E76&gt;AK$166,0,IF($E76+365&lt;AK$166,($C76/$BN$157)+($D76/$BN$158),((AK$166-$E76)/365)*(($C76/$BN$157)+($D76/$BN$158))))))</f>
        <v>0</v>
      </c>
      <c r="AL175" s="24">
        <f t="shared" si="51"/>
        <v>0</v>
      </c>
      <c r="AM175" s="24">
        <f t="shared" si="52"/>
        <v>0</v>
      </c>
      <c r="AN175" s="55">
        <f t="shared" si="53"/>
        <v>0</v>
      </c>
      <c r="AO175" s="55">
        <f t="shared" si="54"/>
        <v>0</v>
      </c>
      <c r="AP175" s="24"/>
      <c r="AQ175" s="24"/>
      <c r="AR175" s="24"/>
      <c r="AS175" s="24"/>
      <c r="AT175" s="24"/>
      <c r="AU175" s="24"/>
      <c r="AV175" s="24"/>
      <c r="AW175" s="24"/>
      <c r="AX175" s="24"/>
      <c r="AY175" s="24"/>
      <c r="AZ175" s="24"/>
      <c r="BA175" s="24"/>
      <c r="BB175" s="24"/>
      <c r="BC175" s="24"/>
      <c r="BD175" s="24"/>
      <c r="BE175" s="24">
        <f t="shared" si="40"/>
        <v>84.92</v>
      </c>
      <c r="BF175" s="59">
        <f t="shared" si="63"/>
        <v>48302</v>
      </c>
      <c r="BG175" s="36">
        <f>$BV$158+AI214+($C$64-$BV$158)</f>
        <v>40.200000000000003</v>
      </c>
      <c r="BI175" s="37"/>
      <c r="BJ175" s="37"/>
      <c r="BK175" s="37"/>
      <c r="BL175" s="24"/>
      <c r="BM175" s="24"/>
      <c r="BN175" s="24"/>
      <c r="BO175" s="24"/>
      <c r="BP175" s="24"/>
      <c r="BQ175" s="24"/>
      <c r="BR175" s="24"/>
      <c r="BS175" s="24"/>
      <c r="BT175" s="24"/>
      <c r="BU175" s="24"/>
      <c r="BV175" s="24"/>
      <c r="BW175" s="14"/>
      <c r="BX175" s="14"/>
      <c r="BY175" s="14"/>
      <c r="BZ175" s="14"/>
      <c r="CA175" s="14"/>
      <c r="CB175" s="14"/>
      <c r="CC175" s="14"/>
      <c r="CD175" s="14">
        <v>4</v>
      </c>
      <c r="CE175" s="14">
        <f>CI171</f>
        <v>100.25</v>
      </c>
      <c r="CF175" s="14">
        <f>CJ171</f>
        <v>187.86</v>
      </c>
      <c r="CG175" s="14"/>
      <c r="CH175" s="25">
        <v>2</v>
      </c>
      <c r="CI175" s="14">
        <f t="shared" si="58"/>
        <v>161.56</v>
      </c>
      <c r="CJ175" s="14">
        <f t="shared" si="59"/>
        <v>304.55</v>
      </c>
    </row>
    <row r="176" spans="7:88">
      <c r="G176" s="12">
        <f t="shared" si="41"/>
        <v>0</v>
      </c>
      <c r="H176" s="12">
        <f t="shared" si="42"/>
        <v>0</v>
      </c>
      <c r="I176" s="12">
        <f t="shared" si="42"/>
        <v>0</v>
      </c>
      <c r="J176" s="12">
        <f t="shared" si="42"/>
        <v>0</v>
      </c>
      <c r="K176" s="12">
        <f t="shared" si="43"/>
        <v>0</v>
      </c>
      <c r="L176" s="12">
        <f t="shared" si="44"/>
        <v>0</v>
      </c>
      <c r="M176" s="12">
        <f t="shared" si="44"/>
        <v>0</v>
      </c>
      <c r="N176" s="12">
        <f t="shared" si="44"/>
        <v>0</v>
      </c>
      <c r="O176" s="12">
        <f t="shared" si="45"/>
        <v>0</v>
      </c>
      <c r="P176" s="12">
        <f t="shared" si="46"/>
        <v>0</v>
      </c>
      <c r="Q176" s="12">
        <f t="shared" si="46"/>
        <v>0</v>
      </c>
      <c r="T176" s="61"/>
      <c r="U176" s="61"/>
      <c r="V176" s="61"/>
      <c r="W176" s="53">
        <f t="shared" si="47"/>
        <v>0</v>
      </c>
      <c r="X176" s="54" t="e">
        <f t="shared" si="48"/>
        <v>#DIV/0!</v>
      </c>
      <c r="Y176" s="25">
        <f t="shared" si="55"/>
        <v>0</v>
      </c>
      <c r="Z176" s="54">
        <f t="shared" si="60"/>
        <v>0</v>
      </c>
      <c r="AA176" s="54">
        <f t="shared" si="49"/>
        <v>0</v>
      </c>
      <c r="AB176" s="54">
        <f t="shared" si="49"/>
        <v>0</v>
      </c>
      <c r="AC176" s="54">
        <f t="shared" si="49"/>
        <v>0</v>
      </c>
      <c r="AD176" s="54">
        <f t="shared" si="49"/>
        <v>0</v>
      </c>
      <c r="AE176" s="54">
        <f t="shared" si="49"/>
        <v>0</v>
      </c>
      <c r="AF176" s="54">
        <f t="shared" si="49"/>
        <v>0</v>
      </c>
      <c r="AG176" s="54">
        <f t="shared" si="49"/>
        <v>0</v>
      </c>
      <c r="AH176" s="54">
        <f t="shared" si="49"/>
        <v>0</v>
      </c>
      <c r="AI176" s="54">
        <f t="shared" si="49"/>
        <v>0</v>
      </c>
      <c r="AJ176" s="54">
        <f t="shared" si="49"/>
        <v>0</v>
      </c>
      <c r="AK176" s="54">
        <f t="shared" ref="AK176" si="68">IF($E77+365&lt;$C$56,0,IF($E77&lt;$C$56,(($E77+365-$C$56)/365)*(($C77/$BN$157)+($D77/$BN$158)),IF($E77&gt;AK$166,0,IF($E77+365&lt;AK$166,($C77/$BN$157)+($D77/$BN$158),((AK$166-$E77)/365)*(($C77/$BN$157)+($D77/$BN$158))))))</f>
        <v>0</v>
      </c>
      <c r="AL176" s="24">
        <f t="shared" si="51"/>
        <v>0</v>
      </c>
      <c r="AM176" s="24">
        <f t="shared" si="52"/>
        <v>0</v>
      </c>
      <c r="AN176" s="55">
        <f t="shared" si="53"/>
        <v>0</v>
      </c>
      <c r="AO176" s="55">
        <f t="shared" si="54"/>
        <v>0</v>
      </c>
      <c r="AP176" s="24"/>
      <c r="AQ176" s="24"/>
      <c r="AR176" s="24"/>
      <c r="AS176" s="24"/>
      <c r="AT176" s="24"/>
      <c r="AU176" s="24"/>
      <c r="AV176" s="24"/>
      <c r="AW176" s="24"/>
      <c r="AX176" s="24"/>
      <c r="AY176" s="24"/>
      <c r="AZ176" s="24"/>
      <c r="BA176" s="24"/>
      <c r="BB176" s="24"/>
      <c r="BC176" s="24"/>
      <c r="BD176" s="24"/>
      <c r="BE176" s="24">
        <f t="shared" si="40"/>
        <v>84.92</v>
      </c>
      <c r="BF176" s="59">
        <f t="shared" si="63"/>
        <v>48667</v>
      </c>
      <c r="BG176" s="36">
        <f>$BV$158+AJ214+($C$64-$BV$158)</f>
        <v>40.200000000000003</v>
      </c>
      <c r="BH176" s="37"/>
      <c r="BI176" s="37"/>
      <c r="BJ176" s="37"/>
      <c r="BK176" s="37"/>
      <c r="BL176" s="24"/>
      <c r="BM176" s="24"/>
      <c r="BN176" s="24"/>
      <c r="BO176" s="24"/>
      <c r="BP176" s="24"/>
      <c r="BQ176" s="24"/>
      <c r="BR176" s="24"/>
      <c r="BS176" s="24"/>
      <c r="BT176" s="24"/>
      <c r="BU176" s="24"/>
      <c r="BV176" s="24"/>
      <c r="BW176" s="14"/>
      <c r="BX176" s="14"/>
      <c r="BY176" s="14"/>
      <c r="BZ176" s="14"/>
      <c r="CA176" s="14"/>
      <c r="CB176" s="14"/>
      <c r="CC176" s="14"/>
      <c r="CD176" s="14">
        <v>4.5</v>
      </c>
      <c r="CE176" s="14">
        <f>CI170</f>
        <v>84.92</v>
      </c>
      <c r="CF176" s="14">
        <f>CJ170</f>
        <v>158.69</v>
      </c>
      <c r="CG176" s="14"/>
      <c r="CH176" s="25">
        <v>1.5</v>
      </c>
      <c r="CI176" s="14">
        <f t="shared" si="58"/>
        <v>176.89</v>
      </c>
      <c r="CJ176" s="14">
        <f t="shared" si="59"/>
        <v>333.72</v>
      </c>
    </row>
    <row r="177" spans="7:88">
      <c r="G177" s="12">
        <f t="shared" si="41"/>
        <v>0</v>
      </c>
      <c r="H177" s="12">
        <f t="shared" si="42"/>
        <v>0</v>
      </c>
      <c r="I177" s="12">
        <f t="shared" si="42"/>
        <v>0</v>
      </c>
      <c r="J177" s="12">
        <f t="shared" si="42"/>
        <v>0</v>
      </c>
      <c r="K177" s="12">
        <f t="shared" si="43"/>
        <v>0</v>
      </c>
      <c r="L177" s="12">
        <f t="shared" si="44"/>
        <v>0</v>
      </c>
      <c r="M177" s="12">
        <f t="shared" si="44"/>
        <v>0</v>
      </c>
      <c r="N177" s="12">
        <f t="shared" si="44"/>
        <v>0</v>
      </c>
      <c r="O177" s="12">
        <f t="shared" si="45"/>
        <v>0</v>
      </c>
      <c r="P177" s="12">
        <f t="shared" si="46"/>
        <v>0</v>
      </c>
      <c r="Q177" s="12">
        <f t="shared" si="46"/>
        <v>0</v>
      </c>
      <c r="T177" s="61"/>
      <c r="U177" s="61"/>
      <c r="V177" s="61"/>
      <c r="W177" s="53">
        <f t="shared" si="47"/>
        <v>0</v>
      </c>
      <c r="X177" s="54" t="e">
        <f t="shared" si="48"/>
        <v>#DIV/0!</v>
      </c>
      <c r="Y177" s="25">
        <f t="shared" si="55"/>
        <v>0</v>
      </c>
      <c r="Z177" s="54">
        <f t="shared" si="60"/>
        <v>0</v>
      </c>
      <c r="AA177" s="54">
        <f t="shared" si="49"/>
        <v>0</v>
      </c>
      <c r="AB177" s="54">
        <f t="shared" si="49"/>
        <v>0</v>
      </c>
      <c r="AC177" s="54">
        <f t="shared" si="49"/>
        <v>0</v>
      </c>
      <c r="AD177" s="54">
        <f t="shared" si="49"/>
        <v>0</v>
      </c>
      <c r="AE177" s="54">
        <f t="shared" si="49"/>
        <v>0</v>
      </c>
      <c r="AF177" s="54">
        <f t="shared" si="49"/>
        <v>0</v>
      </c>
      <c r="AG177" s="54">
        <f t="shared" si="49"/>
        <v>0</v>
      </c>
      <c r="AH177" s="54">
        <f t="shared" si="49"/>
        <v>0</v>
      </c>
      <c r="AI177" s="54">
        <f t="shared" si="49"/>
        <v>0</v>
      </c>
      <c r="AJ177" s="54">
        <f t="shared" si="49"/>
        <v>0</v>
      </c>
      <c r="AK177" s="54">
        <f t="shared" ref="AK177" si="69">IF($E78+365&lt;$C$56,0,IF($E78&lt;$C$56,(($E78+365-$C$56)/365)*(($C78/$BN$157)+($D78/$BN$158)),IF($E78&gt;AK$166,0,IF($E78+365&lt;AK$166,($C78/$BN$157)+($D78/$BN$158),((AK$166-$E78)/365)*(($C78/$BN$157)+($D78/$BN$158))))))</f>
        <v>0</v>
      </c>
      <c r="AL177" s="24">
        <f t="shared" si="51"/>
        <v>0</v>
      </c>
      <c r="AM177" s="24">
        <f t="shared" si="52"/>
        <v>0</v>
      </c>
      <c r="AN177" s="55">
        <f t="shared" si="53"/>
        <v>0</v>
      </c>
      <c r="AO177" s="55">
        <f t="shared" si="54"/>
        <v>0</v>
      </c>
      <c r="AP177" s="24"/>
      <c r="AQ177" s="24"/>
      <c r="AR177" s="24"/>
      <c r="AS177" s="24"/>
      <c r="AT177" s="24"/>
      <c r="AU177" s="24"/>
      <c r="AV177" s="24"/>
      <c r="AW177" s="24"/>
      <c r="AX177" s="24"/>
      <c r="AY177" s="24"/>
      <c r="AZ177" s="24"/>
      <c r="BA177" s="24"/>
      <c r="BB177" s="24"/>
      <c r="BC177" s="24"/>
      <c r="BD177" s="24"/>
      <c r="BE177" s="24"/>
      <c r="BF177" s="59"/>
      <c r="BG177" s="37"/>
      <c r="BH177" s="37"/>
      <c r="BI177" s="37"/>
      <c r="BJ177" s="37"/>
      <c r="BK177" s="37"/>
      <c r="BL177" s="24"/>
      <c r="BM177" s="24"/>
      <c r="BN177" s="24"/>
      <c r="BO177" s="24"/>
      <c r="BP177" s="24"/>
      <c r="BQ177" s="24"/>
      <c r="BR177" s="24"/>
      <c r="BS177" s="24"/>
      <c r="BT177" s="24"/>
      <c r="BU177" s="24"/>
      <c r="BV177" s="24"/>
      <c r="BW177" s="14"/>
      <c r="BX177" s="14"/>
      <c r="BY177" s="14"/>
      <c r="BZ177" s="14"/>
      <c r="CA177" s="14"/>
      <c r="CB177" s="14"/>
      <c r="CC177" s="14"/>
      <c r="CD177" s="14">
        <v>5</v>
      </c>
      <c r="CE177" s="14">
        <f>CI169</f>
        <v>69.59</v>
      </c>
      <c r="CF177" s="14">
        <f>CJ169</f>
        <v>129.52000000000001</v>
      </c>
      <c r="CG177" s="14"/>
      <c r="CH177" s="25">
        <v>1</v>
      </c>
      <c r="CI177" s="14">
        <f t="shared" si="58"/>
        <v>192.21</v>
      </c>
      <c r="CJ177" s="14">
        <f t="shared" si="59"/>
        <v>362.89</v>
      </c>
    </row>
    <row r="178" spans="7:88">
      <c r="G178" s="12">
        <f t="shared" si="41"/>
        <v>0</v>
      </c>
      <c r="H178" s="12">
        <f t="shared" si="42"/>
        <v>0</v>
      </c>
      <c r="I178" s="12">
        <f t="shared" si="42"/>
        <v>0</v>
      </c>
      <c r="J178" s="12">
        <f t="shared" si="42"/>
        <v>0</v>
      </c>
      <c r="K178" s="12">
        <f t="shared" si="43"/>
        <v>0</v>
      </c>
      <c r="L178" s="12">
        <f t="shared" si="44"/>
        <v>0</v>
      </c>
      <c r="M178" s="12">
        <f t="shared" si="44"/>
        <v>0</v>
      </c>
      <c r="N178" s="12">
        <f t="shared" si="44"/>
        <v>0</v>
      </c>
      <c r="O178" s="12">
        <f t="shared" si="45"/>
        <v>0</v>
      </c>
      <c r="P178" s="12">
        <f t="shared" si="46"/>
        <v>0</v>
      </c>
      <c r="Q178" s="12">
        <f t="shared" si="46"/>
        <v>0</v>
      </c>
      <c r="T178" s="61"/>
      <c r="U178" s="61"/>
      <c r="V178" s="61"/>
      <c r="W178" s="53">
        <f t="shared" si="47"/>
        <v>0</v>
      </c>
      <c r="X178" s="54" t="e">
        <f t="shared" si="48"/>
        <v>#DIV/0!</v>
      </c>
      <c r="Y178" s="25">
        <f t="shared" si="55"/>
        <v>0</v>
      </c>
      <c r="Z178" s="54">
        <f t="shared" si="60"/>
        <v>0</v>
      </c>
      <c r="AA178" s="54">
        <f t="shared" si="49"/>
        <v>0</v>
      </c>
      <c r="AB178" s="54">
        <f t="shared" si="49"/>
        <v>0</v>
      </c>
      <c r="AC178" s="54">
        <f>IF($E79+365&lt;$C$56,0,IF($E79&lt;$C$56,(($E79+365-$C$56)/365)*(($C79/$BN$157)+($D79/$BN$158)),IF($E79&gt;AC$166,0,IF($E79+365&lt;AC$166,($C79/$BN$157)+($D79/$BN$158),((AC$166-$E79)/365)*(($C79/$BN$157)+($D79/$BN$158))))))</f>
        <v>0</v>
      </c>
      <c r="AD178" s="54">
        <f t="shared" si="49"/>
        <v>0</v>
      </c>
      <c r="AE178" s="54">
        <f t="shared" si="49"/>
        <v>0</v>
      </c>
      <c r="AF178" s="54">
        <f t="shared" si="49"/>
        <v>0</v>
      </c>
      <c r="AG178" s="54">
        <f t="shared" si="49"/>
        <v>0</v>
      </c>
      <c r="AH178" s="54">
        <f t="shared" si="49"/>
        <v>0</v>
      </c>
      <c r="AI178" s="54">
        <f t="shared" si="49"/>
        <v>0</v>
      </c>
      <c r="AJ178" s="54">
        <f t="shared" si="49"/>
        <v>0</v>
      </c>
      <c r="AK178" s="54">
        <f t="shared" ref="AK178" si="70">IF($E79+365&lt;$C$56,0,IF($E79&lt;$C$56,(($E79+365-$C$56)/365)*(($C79/$BN$157)+($D79/$BN$158)),IF($E79&gt;AK$166,0,IF($E79+365&lt;AK$166,($C79/$BN$157)+($D79/$BN$158),((AK$166-$E79)/365)*(($C79/$BN$157)+($D79/$BN$158))))))</f>
        <v>0</v>
      </c>
      <c r="AL178" s="24">
        <f t="shared" si="51"/>
        <v>0</v>
      </c>
      <c r="AM178" s="24">
        <f t="shared" si="52"/>
        <v>0</v>
      </c>
      <c r="AN178" s="55">
        <f t="shared" si="53"/>
        <v>0</v>
      </c>
      <c r="AO178" s="55">
        <f t="shared" si="54"/>
        <v>0</v>
      </c>
      <c r="AP178" s="24"/>
      <c r="AQ178" s="24"/>
      <c r="AR178" s="24"/>
      <c r="AS178" s="24"/>
      <c r="AT178" s="24"/>
      <c r="AU178" s="24"/>
      <c r="AV178" s="24"/>
      <c r="AW178" s="24"/>
      <c r="AX178" s="24"/>
      <c r="AY178" s="24"/>
      <c r="AZ178" s="24"/>
      <c r="BA178" s="24"/>
      <c r="BB178" s="24"/>
      <c r="BC178" s="24"/>
      <c r="BD178" s="24"/>
      <c r="BE178" s="24"/>
      <c r="BF178" s="59"/>
      <c r="BG178" s="37"/>
      <c r="BH178" s="37"/>
      <c r="BI178" s="37"/>
      <c r="BJ178" s="37"/>
      <c r="BK178" s="37"/>
      <c r="BL178" s="24"/>
      <c r="BM178" s="24"/>
      <c r="BN178" s="24"/>
      <c r="BO178" s="24"/>
      <c r="BP178" s="24"/>
      <c r="BQ178" s="24"/>
      <c r="BR178" s="24"/>
      <c r="BS178" s="24"/>
      <c r="BT178" s="24"/>
      <c r="BU178" s="24"/>
      <c r="BV178" s="24"/>
      <c r="BW178" s="14"/>
      <c r="BX178" s="14"/>
      <c r="BY178" s="14"/>
      <c r="BZ178" s="14"/>
      <c r="CA178" s="14"/>
      <c r="CB178" s="14"/>
      <c r="CC178" s="14"/>
      <c r="CD178" s="14"/>
      <c r="CE178" s="14"/>
      <c r="CF178" s="14"/>
      <c r="CG178" s="14"/>
      <c r="CH178" s="14"/>
      <c r="CI178" s="14"/>
      <c r="CJ178" s="14"/>
    </row>
    <row r="179" spans="7:88">
      <c r="G179" s="12">
        <f t="shared" si="41"/>
        <v>0</v>
      </c>
      <c r="H179" s="12">
        <f t="shared" si="42"/>
        <v>0</v>
      </c>
      <c r="I179" s="12">
        <f t="shared" si="42"/>
        <v>0</v>
      </c>
      <c r="J179" s="12">
        <f t="shared" si="42"/>
        <v>0</v>
      </c>
      <c r="K179" s="12">
        <f t="shared" si="43"/>
        <v>0</v>
      </c>
      <c r="L179" s="12">
        <f t="shared" si="44"/>
        <v>0</v>
      </c>
      <c r="M179" s="12">
        <f t="shared" si="44"/>
        <v>0</v>
      </c>
      <c r="N179" s="12">
        <f t="shared" si="44"/>
        <v>0</v>
      </c>
      <c r="O179" s="12">
        <f t="shared" si="45"/>
        <v>0</v>
      </c>
      <c r="P179" s="12">
        <f t="shared" si="46"/>
        <v>0</v>
      </c>
      <c r="Q179" s="12">
        <f t="shared" si="46"/>
        <v>0</v>
      </c>
      <c r="T179" s="61"/>
      <c r="U179" s="61"/>
      <c r="V179" s="61"/>
      <c r="W179" s="53">
        <f t="shared" si="47"/>
        <v>0</v>
      </c>
      <c r="X179" s="54" t="e">
        <f t="shared" si="48"/>
        <v>#DIV/0!</v>
      </c>
      <c r="Y179" s="25">
        <f t="shared" si="55"/>
        <v>0</v>
      </c>
      <c r="Z179" s="54">
        <f t="shared" si="60"/>
        <v>0</v>
      </c>
      <c r="AA179" s="54">
        <f t="shared" si="49"/>
        <v>0</v>
      </c>
      <c r="AB179" s="54">
        <f t="shared" si="49"/>
        <v>0</v>
      </c>
      <c r="AC179" s="54">
        <f t="shared" si="49"/>
        <v>0</v>
      </c>
      <c r="AD179" s="54">
        <f t="shared" si="49"/>
        <v>0</v>
      </c>
      <c r="AE179" s="54">
        <f t="shared" si="49"/>
        <v>0</v>
      </c>
      <c r="AF179" s="54">
        <f t="shared" si="49"/>
        <v>0</v>
      </c>
      <c r="AG179" s="54">
        <f t="shared" si="49"/>
        <v>0</v>
      </c>
      <c r="AH179" s="54">
        <f t="shared" si="49"/>
        <v>0</v>
      </c>
      <c r="AI179" s="54">
        <f t="shared" si="49"/>
        <v>0</v>
      </c>
      <c r="AJ179" s="54">
        <f t="shared" si="49"/>
        <v>0</v>
      </c>
      <c r="AK179" s="54">
        <f t="shared" ref="AK179" si="71">IF($E80+365&lt;$C$56,0,IF($E80&lt;$C$56,(($E80+365-$C$56)/365)*(($C80/$BN$157)+($D80/$BN$158)),IF($E80&gt;AK$166,0,IF($E80+365&lt;AK$166,($C80/$BN$157)+($D80/$BN$158),((AK$166-$E80)/365)*(($C80/$BN$157)+($D80/$BN$158))))))</f>
        <v>0</v>
      </c>
      <c r="AL179" s="24">
        <f t="shared" si="51"/>
        <v>0</v>
      </c>
      <c r="AM179" s="24">
        <f t="shared" si="52"/>
        <v>0</v>
      </c>
      <c r="AN179" s="55">
        <f t="shared" si="53"/>
        <v>0</v>
      </c>
      <c r="AO179" s="55">
        <f t="shared" si="54"/>
        <v>0</v>
      </c>
      <c r="AP179" s="24"/>
      <c r="AQ179" s="24"/>
      <c r="AR179" s="24"/>
      <c r="AS179" s="24"/>
      <c r="AT179" s="24"/>
      <c r="AU179" s="24"/>
      <c r="AV179" s="24"/>
      <c r="AW179" s="24"/>
      <c r="AX179" s="24"/>
      <c r="AY179" s="24"/>
      <c r="AZ179" s="24"/>
      <c r="BA179" s="24"/>
      <c r="BB179" s="24"/>
      <c r="BC179" s="24"/>
      <c r="BD179" s="24"/>
      <c r="BE179" s="24"/>
      <c r="BF179" s="37"/>
      <c r="BG179" s="37"/>
      <c r="BH179" s="37"/>
      <c r="BI179" s="37"/>
      <c r="BJ179" s="37"/>
      <c r="BK179" s="37"/>
      <c r="BL179" s="24"/>
      <c r="BM179" s="24"/>
      <c r="BN179" s="24"/>
      <c r="BO179" s="24"/>
      <c r="BP179" s="24"/>
      <c r="BQ179" s="24"/>
      <c r="BR179" s="24"/>
      <c r="BS179" s="24"/>
      <c r="BT179" s="24"/>
      <c r="BU179" s="24"/>
      <c r="BV179" s="24"/>
      <c r="BW179" s="14"/>
      <c r="BX179" s="14"/>
      <c r="BY179" s="14"/>
      <c r="BZ179" s="14"/>
      <c r="CA179" s="14"/>
      <c r="CB179" s="14"/>
      <c r="CC179" s="14"/>
      <c r="CD179" s="14"/>
      <c r="CE179" s="14"/>
      <c r="CF179" s="14"/>
      <c r="CG179" s="14"/>
      <c r="CH179" s="14"/>
      <c r="CI179" s="14"/>
      <c r="CJ179" s="14"/>
    </row>
    <row r="180" spans="7:88">
      <c r="G180" s="12">
        <f t="shared" si="41"/>
        <v>0</v>
      </c>
      <c r="H180" s="12">
        <f t="shared" si="42"/>
        <v>0</v>
      </c>
      <c r="I180" s="12">
        <f t="shared" si="42"/>
        <v>0</v>
      </c>
      <c r="J180" s="12">
        <f t="shared" si="42"/>
        <v>0</v>
      </c>
      <c r="K180" s="12">
        <f t="shared" si="43"/>
        <v>0</v>
      </c>
      <c r="L180" s="12">
        <f t="shared" si="44"/>
        <v>0</v>
      </c>
      <c r="M180" s="12">
        <f t="shared" si="44"/>
        <v>0</v>
      </c>
      <c r="N180" s="12">
        <f t="shared" si="44"/>
        <v>0</v>
      </c>
      <c r="O180" s="12">
        <f t="shared" si="45"/>
        <v>0</v>
      </c>
      <c r="P180" s="12">
        <f t="shared" si="46"/>
        <v>0</v>
      </c>
      <c r="Q180" s="12">
        <f t="shared" si="46"/>
        <v>0</v>
      </c>
      <c r="T180" s="61"/>
      <c r="U180" s="61"/>
      <c r="V180" s="61"/>
      <c r="W180" s="53">
        <f t="shared" si="47"/>
        <v>0</v>
      </c>
      <c r="X180" s="54" t="e">
        <f t="shared" si="48"/>
        <v>#DIV/0!</v>
      </c>
      <c r="Y180" s="25">
        <f t="shared" si="55"/>
        <v>0</v>
      </c>
      <c r="Z180" s="54">
        <f t="shared" si="60"/>
        <v>0</v>
      </c>
      <c r="AA180" s="54">
        <f t="shared" si="49"/>
        <v>0</v>
      </c>
      <c r="AB180" s="54">
        <f t="shared" si="49"/>
        <v>0</v>
      </c>
      <c r="AC180" s="54">
        <f t="shared" si="49"/>
        <v>0</v>
      </c>
      <c r="AD180" s="54">
        <f t="shared" si="49"/>
        <v>0</v>
      </c>
      <c r="AE180" s="54">
        <f t="shared" si="49"/>
        <v>0</v>
      </c>
      <c r="AF180" s="54">
        <f t="shared" si="49"/>
        <v>0</v>
      </c>
      <c r="AG180" s="54">
        <f t="shared" si="49"/>
        <v>0</v>
      </c>
      <c r="AH180" s="54">
        <f t="shared" si="49"/>
        <v>0</v>
      </c>
      <c r="AI180" s="54">
        <f t="shared" si="49"/>
        <v>0</v>
      </c>
      <c r="AJ180" s="54">
        <f t="shared" si="49"/>
        <v>0</v>
      </c>
      <c r="AK180" s="54">
        <f t="shared" ref="AK180" si="72">IF($E81+365&lt;$C$56,0,IF($E81&lt;$C$56,(($E81+365-$C$56)/365)*(($C81/$BN$157)+($D81/$BN$158)),IF($E81&gt;AK$166,0,IF($E81+365&lt;AK$166,($C81/$BN$157)+($D81/$BN$158),((AK$166-$E81)/365)*(($C81/$BN$157)+($D81/$BN$158))))))</f>
        <v>0</v>
      </c>
      <c r="AL180" s="24">
        <f t="shared" si="51"/>
        <v>0</v>
      </c>
      <c r="AM180" s="24">
        <f t="shared" si="52"/>
        <v>0</v>
      </c>
      <c r="AN180" s="55">
        <f t="shared" si="53"/>
        <v>0</v>
      </c>
      <c r="AO180" s="55">
        <f t="shared" si="54"/>
        <v>0</v>
      </c>
      <c r="AP180" s="24"/>
      <c r="AQ180" s="24"/>
      <c r="AR180" s="24"/>
      <c r="AS180" s="24"/>
      <c r="AT180" s="24"/>
      <c r="AU180" s="24"/>
      <c r="AV180" s="24"/>
      <c r="AW180" s="24"/>
      <c r="AX180" s="24"/>
      <c r="AY180" s="24"/>
      <c r="AZ180" s="24"/>
      <c r="BA180" s="24"/>
      <c r="BB180" s="24"/>
      <c r="BC180" s="24"/>
      <c r="BD180" s="24"/>
      <c r="BE180" s="24"/>
      <c r="BF180" s="37"/>
      <c r="BG180" s="37"/>
      <c r="BH180" s="37"/>
      <c r="BI180" s="37"/>
      <c r="BJ180" s="37"/>
      <c r="BK180" s="37"/>
      <c r="BL180" s="24"/>
      <c r="BM180" s="24"/>
      <c r="BN180" s="24"/>
      <c r="BO180" s="24"/>
      <c r="BP180" s="24"/>
      <c r="BQ180" s="24"/>
      <c r="BR180" s="24"/>
      <c r="BS180" s="24"/>
      <c r="BT180" s="24"/>
      <c r="BU180" s="24"/>
      <c r="BV180" s="24"/>
      <c r="BW180" s="14"/>
      <c r="BX180" s="14"/>
      <c r="BY180" s="14"/>
      <c r="BZ180" s="14"/>
      <c r="CA180" s="14"/>
      <c r="CB180" s="14"/>
      <c r="CC180" s="14"/>
      <c r="CD180" s="14"/>
      <c r="CE180" s="14"/>
      <c r="CF180" s="14"/>
      <c r="CG180" s="14"/>
      <c r="CH180" s="14"/>
      <c r="CI180" s="14"/>
      <c r="CJ180" s="14"/>
    </row>
    <row r="181" spans="7:88">
      <c r="G181" s="12">
        <f t="shared" si="41"/>
        <v>0</v>
      </c>
      <c r="H181" s="12">
        <f t="shared" si="42"/>
        <v>0</v>
      </c>
      <c r="I181" s="12">
        <f t="shared" si="42"/>
        <v>0</v>
      </c>
      <c r="J181" s="12">
        <f t="shared" si="42"/>
        <v>0</v>
      </c>
      <c r="K181" s="12">
        <f t="shared" si="43"/>
        <v>0</v>
      </c>
      <c r="L181" s="12">
        <f t="shared" si="44"/>
        <v>0</v>
      </c>
      <c r="M181" s="12">
        <f t="shared" si="44"/>
        <v>0</v>
      </c>
      <c r="N181" s="12">
        <f t="shared" si="44"/>
        <v>0</v>
      </c>
      <c r="O181" s="12">
        <f t="shared" si="45"/>
        <v>0</v>
      </c>
      <c r="P181" s="12">
        <f t="shared" si="46"/>
        <v>0</v>
      </c>
      <c r="Q181" s="12">
        <f t="shared" si="46"/>
        <v>0</v>
      </c>
      <c r="T181" s="61"/>
      <c r="U181" s="61"/>
      <c r="V181" s="61"/>
      <c r="W181" s="53">
        <f t="shared" si="47"/>
        <v>0</v>
      </c>
      <c r="X181" s="54" t="e">
        <f t="shared" si="48"/>
        <v>#DIV/0!</v>
      </c>
      <c r="Y181" s="25">
        <f t="shared" si="55"/>
        <v>0</v>
      </c>
      <c r="Z181" s="54">
        <f t="shared" si="60"/>
        <v>0</v>
      </c>
      <c r="AA181" s="54">
        <f t="shared" si="49"/>
        <v>0</v>
      </c>
      <c r="AB181" s="54">
        <f t="shared" si="49"/>
        <v>0</v>
      </c>
      <c r="AC181" s="54">
        <f t="shared" si="49"/>
        <v>0</v>
      </c>
      <c r="AD181" s="54">
        <f t="shared" si="49"/>
        <v>0</v>
      </c>
      <c r="AE181" s="54">
        <f t="shared" si="49"/>
        <v>0</v>
      </c>
      <c r="AF181" s="54">
        <f t="shared" si="49"/>
        <v>0</v>
      </c>
      <c r="AG181" s="54">
        <f t="shared" si="49"/>
        <v>0</v>
      </c>
      <c r="AH181" s="54">
        <f t="shared" si="49"/>
        <v>0</v>
      </c>
      <c r="AI181" s="54">
        <f t="shared" si="49"/>
        <v>0</v>
      </c>
      <c r="AJ181" s="54">
        <f t="shared" si="49"/>
        <v>0</v>
      </c>
      <c r="AK181" s="54">
        <f t="shared" ref="AK181" si="73">IF($E82+365&lt;$C$56,0,IF($E82&lt;$C$56,(($E82+365-$C$56)/365)*(($C82/$BN$157)+($D82/$BN$158)),IF($E82&gt;AK$166,0,IF($E82+365&lt;AK$166,($C82/$BN$157)+($D82/$BN$158),((AK$166-$E82)/365)*(($C82/$BN$157)+($D82/$BN$158))))))</f>
        <v>0</v>
      </c>
      <c r="AL181" s="24">
        <f t="shared" si="51"/>
        <v>0</v>
      </c>
      <c r="AM181" s="24">
        <f t="shared" si="52"/>
        <v>0</v>
      </c>
      <c r="AN181" s="55">
        <f t="shared" si="53"/>
        <v>0</v>
      </c>
      <c r="AO181" s="55">
        <f t="shared" si="54"/>
        <v>0</v>
      </c>
      <c r="AP181" s="24"/>
      <c r="AQ181" s="24"/>
      <c r="AR181" s="24"/>
      <c r="AS181" s="24"/>
      <c r="AT181" s="24"/>
      <c r="AU181" s="24"/>
      <c r="AV181" s="24"/>
      <c r="AW181" s="24"/>
      <c r="AX181" s="24"/>
      <c r="AY181" s="24"/>
      <c r="AZ181" s="24"/>
      <c r="BA181" s="24"/>
      <c r="BB181" s="24"/>
      <c r="BC181" s="24"/>
      <c r="BD181" s="24"/>
      <c r="BE181" s="24"/>
      <c r="BF181" s="37"/>
      <c r="BG181" s="37"/>
      <c r="BH181" s="37"/>
      <c r="BI181" s="37"/>
      <c r="BJ181" s="37"/>
      <c r="BK181" s="37"/>
      <c r="BL181" s="24"/>
      <c r="BM181" s="24"/>
      <c r="BN181" s="24"/>
      <c r="BO181" s="24"/>
      <c r="BP181" s="24"/>
      <c r="BQ181" s="24"/>
      <c r="BR181" s="24"/>
      <c r="BS181" s="24"/>
      <c r="BT181" s="24"/>
      <c r="BU181" s="24"/>
      <c r="BV181" s="24"/>
      <c r="BW181" s="14"/>
      <c r="BX181" s="14"/>
      <c r="BY181" s="14"/>
      <c r="BZ181" s="14"/>
      <c r="CA181" s="14"/>
      <c r="CB181" s="14"/>
      <c r="CC181" s="14"/>
      <c r="CD181" s="14"/>
      <c r="CE181" s="14"/>
      <c r="CF181" s="14"/>
      <c r="CG181" s="14"/>
      <c r="CH181" s="14"/>
      <c r="CI181" s="14"/>
      <c r="CJ181" s="14"/>
    </row>
    <row r="182" spans="7:88">
      <c r="G182" s="12">
        <f t="shared" si="41"/>
        <v>0</v>
      </c>
      <c r="H182" s="12">
        <f t="shared" si="42"/>
        <v>0</v>
      </c>
      <c r="I182" s="12">
        <f t="shared" si="42"/>
        <v>0</v>
      </c>
      <c r="J182" s="12">
        <f t="shared" si="42"/>
        <v>0</v>
      </c>
      <c r="K182" s="12">
        <f t="shared" si="43"/>
        <v>0</v>
      </c>
      <c r="L182" s="12">
        <f t="shared" si="44"/>
        <v>0</v>
      </c>
      <c r="M182" s="12">
        <f t="shared" si="44"/>
        <v>0</v>
      </c>
      <c r="N182" s="12">
        <f t="shared" si="44"/>
        <v>0</v>
      </c>
      <c r="O182" s="12">
        <f t="shared" si="45"/>
        <v>0</v>
      </c>
      <c r="P182" s="12">
        <f t="shared" si="46"/>
        <v>0</v>
      </c>
      <c r="Q182" s="12">
        <f t="shared" si="46"/>
        <v>0</v>
      </c>
      <c r="T182" s="61"/>
      <c r="U182" s="61"/>
      <c r="V182" s="61"/>
      <c r="W182" s="53">
        <f t="shared" si="47"/>
        <v>0</v>
      </c>
      <c r="X182" s="54" t="e">
        <f t="shared" si="48"/>
        <v>#DIV/0!</v>
      </c>
      <c r="Y182" s="25">
        <f t="shared" si="55"/>
        <v>0</v>
      </c>
      <c r="Z182" s="54">
        <f t="shared" si="60"/>
        <v>0</v>
      </c>
      <c r="AA182" s="54">
        <f t="shared" si="49"/>
        <v>0</v>
      </c>
      <c r="AB182" s="54">
        <f t="shared" si="49"/>
        <v>0</v>
      </c>
      <c r="AC182" s="54">
        <f t="shared" si="49"/>
        <v>0</v>
      </c>
      <c r="AD182" s="54">
        <f t="shared" si="49"/>
        <v>0</v>
      </c>
      <c r="AE182" s="54">
        <f t="shared" si="49"/>
        <v>0</v>
      </c>
      <c r="AF182" s="54">
        <f t="shared" si="49"/>
        <v>0</v>
      </c>
      <c r="AG182" s="54">
        <f t="shared" si="49"/>
        <v>0</v>
      </c>
      <c r="AH182" s="54">
        <f t="shared" si="49"/>
        <v>0</v>
      </c>
      <c r="AI182" s="54">
        <f t="shared" si="49"/>
        <v>0</v>
      </c>
      <c r="AJ182" s="54">
        <f t="shared" si="49"/>
        <v>0</v>
      </c>
      <c r="AK182" s="54">
        <f t="shared" ref="AK182" si="74">IF($E83+365&lt;$C$56,0,IF($E83&lt;$C$56,(($E83+365-$C$56)/365)*(($C83/$BN$157)+($D83/$BN$158)),IF($E83&gt;AK$166,0,IF($E83+365&lt;AK$166,($C83/$BN$157)+($D83/$BN$158),((AK$166-$E83)/365)*(($C83/$BN$157)+($D83/$BN$158))))))</f>
        <v>0</v>
      </c>
      <c r="AL182" s="24">
        <f t="shared" si="51"/>
        <v>0</v>
      </c>
      <c r="AM182" s="24">
        <f t="shared" si="52"/>
        <v>0</v>
      </c>
      <c r="AN182" s="55">
        <f t="shared" si="53"/>
        <v>0</v>
      </c>
      <c r="AO182" s="55">
        <f t="shared" si="54"/>
        <v>0</v>
      </c>
      <c r="AP182" s="24"/>
      <c r="AQ182" s="24"/>
      <c r="AR182" s="24"/>
      <c r="AS182" s="24"/>
      <c r="AT182" s="24"/>
      <c r="AU182" s="24"/>
      <c r="AV182" s="24"/>
      <c r="AW182" s="24"/>
      <c r="AX182" s="24"/>
      <c r="AY182" s="24"/>
      <c r="AZ182" s="24"/>
      <c r="BA182" s="24"/>
      <c r="BB182" s="24"/>
      <c r="BC182" s="24"/>
      <c r="BD182" s="24"/>
      <c r="BE182" s="24"/>
      <c r="BF182" s="37"/>
      <c r="BG182" s="37"/>
      <c r="BH182" s="37"/>
      <c r="BI182" s="37"/>
      <c r="BJ182" s="37"/>
      <c r="BK182" s="37"/>
      <c r="BL182" s="24"/>
      <c r="BM182" s="24"/>
      <c r="BN182" s="24"/>
      <c r="BO182" s="24"/>
      <c r="BP182" s="24"/>
      <c r="BQ182" s="24"/>
      <c r="BR182" s="24"/>
      <c r="BS182" s="24"/>
      <c r="BT182" s="24"/>
      <c r="BU182" s="24"/>
      <c r="BV182" s="24"/>
      <c r="BW182" s="14"/>
      <c r="BX182" s="14"/>
      <c r="BY182" s="14"/>
      <c r="BZ182" s="14"/>
      <c r="CA182" s="14"/>
      <c r="CB182" s="14"/>
      <c r="CC182" s="14"/>
      <c r="CD182" s="14"/>
      <c r="CE182" s="14"/>
      <c r="CF182" s="14"/>
      <c r="CG182" s="14"/>
      <c r="CH182" s="14"/>
      <c r="CI182" s="14"/>
      <c r="CJ182" s="14"/>
    </row>
    <row r="183" spans="7:88">
      <c r="G183" s="12">
        <f t="shared" si="41"/>
        <v>0</v>
      </c>
      <c r="H183" s="12">
        <f t="shared" si="42"/>
        <v>0</v>
      </c>
      <c r="I183" s="12">
        <f t="shared" si="42"/>
        <v>0</v>
      </c>
      <c r="J183" s="12">
        <f t="shared" si="42"/>
        <v>0</v>
      </c>
      <c r="K183" s="12">
        <f t="shared" si="43"/>
        <v>0</v>
      </c>
      <c r="L183" s="12">
        <f t="shared" si="44"/>
        <v>0</v>
      </c>
      <c r="M183" s="12">
        <f t="shared" si="44"/>
        <v>0</v>
      </c>
      <c r="N183" s="12">
        <f t="shared" si="44"/>
        <v>0</v>
      </c>
      <c r="O183" s="12">
        <f t="shared" si="45"/>
        <v>0</v>
      </c>
      <c r="P183" s="12">
        <f t="shared" si="46"/>
        <v>0</v>
      </c>
      <c r="Q183" s="12">
        <f t="shared" si="46"/>
        <v>0</v>
      </c>
      <c r="T183" s="61"/>
      <c r="U183" s="61"/>
      <c r="V183" s="61"/>
      <c r="W183" s="53">
        <f t="shared" si="47"/>
        <v>0</v>
      </c>
      <c r="X183" s="54" t="e">
        <f t="shared" si="48"/>
        <v>#DIV/0!</v>
      </c>
      <c r="Y183" s="25">
        <f t="shared" si="55"/>
        <v>0</v>
      </c>
      <c r="Z183" s="54">
        <f t="shared" si="60"/>
        <v>0</v>
      </c>
      <c r="AA183" s="54">
        <f t="shared" ref="AA183:AJ198" si="75">IF($E84+365&lt;$C$56,0,IF($E84&lt;$C$56,(($E84+365-$C$56)/365)*(($C84/$BN$157)+($D84/$BN$158)),IF($E84&gt;AA$166,0,IF($E84+365&lt;AA$166,($C84/$BN$157)+($D84/$BN$158),((AA$166-$E84)/365)*(($C84/$BN$157)+($D84/$BN$158))))))</f>
        <v>0</v>
      </c>
      <c r="AB183" s="54">
        <f t="shared" si="75"/>
        <v>0</v>
      </c>
      <c r="AC183" s="54">
        <f t="shared" si="75"/>
        <v>0</v>
      </c>
      <c r="AD183" s="54">
        <f t="shared" si="75"/>
        <v>0</v>
      </c>
      <c r="AE183" s="54">
        <f t="shared" si="75"/>
        <v>0</v>
      </c>
      <c r="AF183" s="54">
        <f t="shared" si="75"/>
        <v>0</v>
      </c>
      <c r="AG183" s="54">
        <f t="shared" si="75"/>
        <v>0</v>
      </c>
      <c r="AH183" s="54">
        <f t="shared" si="75"/>
        <v>0</v>
      </c>
      <c r="AI183" s="54">
        <f t="shared" si="75"/>
        <v>0</v>
      </c>
      <c r="AJ183" s="54">
        <f t="shared" si="75"/>
        <v>0</v>
      </c>
      <c r="AK183" s="54">
        <f t="shared" ref="AK183" si="76">IF($E84+365&lt;$C$56,0,IF($E84&lt;$C$56,(($E84+365-$C$56)/365)*(($C84/$BN$157)+($D84/$BN$158)),IF($E84&gt;AK$166,0,IF($E84+365&lt;AK$166,($C84/$BN$157)+($D84/$BN$158),((AK$166-$E84)/365)*(($C84/$BN$157)+($D84/$BN$158))))))</f>
        <v>0</v>
      </c>
      <c r="AL183" s="24">
        <f t="shared" si="51"/>
        <v>0</v>
      </c>
      <c r="AM183" s="24">
        <f t="shared" si="52"/>
        <v>0</v>
      </c>
      <c r="AN183" s="55">
        <f t="shared" si="53"/>
        <v>0</v>
      </c>
      <c r="AO183" s="55">
        <f t="shared" si="54"/>
        <v>0</v>
      </c>
      <c r="AP183" s="24"/>
      <c r="AQ183" s="24"/>
      <c r="AR183" s="24"/>
      <c r="AS183" s="24"/>
      <c r="AT183" s="24"/>
      <c r="AU183" s="24"/>
      <c r="AV183" s="24"/>
      <c r="AW183" s="24"/>
      <c r="AX183" s="24"/>
      <c r="AY183" s="24"/>
      <c r="AZ183" s="24"/>
      <c r="BA183" s="24"/>
      <c r="BB183" s="24"/>
      <c r="BC183" s="24"/>
      <c r="BD183" s="24"/>
      <c r="BE183" s="24"/>
      <c r="BF183" s="37"/>
      <c r="BG183" s="37"/>
      <c r="BH183" s="37"/>
      <c r="BI183" s="37"/>
      <c r="BJ183" s="37"/>
      <c r="BK183" s="37"/>
      <c r="BL183" s="24"/>
      <c r="BM183" s="24"/>
      <c r="BN183" s="24"/>
      <c r="BO183" s="24"/>
      <c r="BP183" s="24"/>
      <c r="BQ183" s="24"/>
      <c r="BR183" s="24"/>
      <c r="BS183" s="24"/>
      <c r="BT183" s="24"/>
      <c r="BU183" s="24"/>
      <c r="BV183" s="24"/>
      <c r="BW183" s="14"/>
      <c r="BX183" s="14"/>
      <c r="BY183" s="14"/>
      <c r="BZ183" s="14"/>
      <c r="CA183" s="14"/>
      <c r="CB183" s="14"/>
      <c r="CC183" s="14"/>
      <c r="CD183" s="14"/>
      <c r="CE183" s="14"/>
      <c r="CF183" s="14"/>
      <c r="CG183" s="14"/>
      <c r="CH183" s="14"/>
      <c r="CI183" s="14"/>
      <c r="CJ183" s="14"/>
    </row>
    <row r="184" spans="7:88">
      <c r="G184" s="12">
        <f t="shared" si="41"/>
        <v>0</v>
      </c>
      <c r="H184" s="12">
        <f t="shared" si="42"/>
        <v>0</v>
      </c>
      <c r="I184" s="12">
        <f t="shared" si="42"/>
        <v>0</v>
      </c>
      <c r="J184" s="12">
        <f t="shared" si="42"/>
        <v>0</v>
      </c>
      <c r="K184" s="12">
        <f t="shared" si="43"/>
        <v>0</v>
      </c>
      <c r="L184" s="12">
        <f t="shared" si="44"/>
        <v>0</v>
      </c>
      <c r="M184" s="12">
        <f t="shared" si="44"/>
        <v>0</v>
      </c>
      <c r="N184" s="12">
        <f t="shared" si="44"/>
        <v>0</v>
      </c>
      <c r="O184" s="12">
        <f t="shared" si="45"/>
        <v>0</v>
      </c>
      <c r="P184" s="12">
        <f t="shared" si="46"/>
        <v>0</v>
      </c>
      <c r="Q184" s="12">
        <f t="shared" si="46"/>
        <v>0</v>
      </c>
      <c r="T184" s="61"/>
      <c r="U184" s="61"/>
      <c r="V184" s="61"/>
      <c r="W184" s="53">
        <f t="shared" si="47"/>
        <v>0</v>
      </c>
      <c r="X184" s="54" t="e">
        <f t="shared" si="48"/>
        <v>#DIV/0!</v>
      </c>
      <c r="Y184" s="25">
        <f t="shared" si="55"/>
        <v>0</v>
      </c>
      <c r="Z184" s="54">
        <f t="shared" si="60"/>
        <v>0</v>
      </c>
      <c r="AA184" s="54">
        <f t="shared" si="75"/>
        <v>0</v>
      </c>
      <c r="AB184" s="54">
        <f t="shared" si="75"/>
        <v>0</v>
      </c>
      <c r="AC184" s="54">
        <f t="shared" si="75"/>
        <v>0</v>
      </c>
      <c r="AD184" s="54">
        <f t="shared" si="75"/>
        <v>0</v>
      </c>
      <c r="AE184" s="54">
        <f t="shared" si="75"/>
        <v>0</v>
      </c>
      <c r="AF184" s="54">
        <f t="shared" si="75"/>
        <v>0</v>
      </c>
      <c r="AG184" s="54">
        <f t="shared" si="75"/>
        <v>0</v>
      </c>
      <c r="AH184" s="54">
        <f t="shared" si="75"/>
        <v>0</v>
      </c>
      <c r="AI184" s="54">
        <f t="shared" si="75"/>
        <v>0</v>
      </c>
      <c r="AJ184" s="54">
        <f t="shared" si="75"/>
        <v>0</v>
      </c>
      <c r="AK184" s="54">
        <f t="shared" ref="AK184" si="77">IF($E85+365&lt;$C$56,0,IF($E85&lt;$C$56,(($E85+365-$C$56)/365)*(($C85/$BN$157)+($D85/$BN$158)),IF($E85&gt;AK$166,0,IF($E85+365&lt;AK$166,($C85/$BN$157)+($D85/$BN$158),((AK$166-$E85)/365)*(($C85/$BN$157)+($D85/$BN$158))))))</f>
        <v>0</v>
      </c>
      <c r="AL184" s="24">
        <f t="shared" si="51"/>
        <v>0</v>
      </c>
      <c r="AM184" s="24">
        <f t="shared" si="52"/>
        <v>0</v>
      </c>
      <c r="AN184" s="55">
        <f t="shared" si="53"/>
        <v>0</v>
      </c>
      <c r="AO184" s="55">
        <f t="shared" si="54"/>
        <v>0</v>
      </c>
      <c r="AP184" s="24"/>
      <c r="AQ184" s="24"/>
      <c r="AR184" s="24"/>
      <c r="AS184" s="24"/>
      <c r="AT184" s="24"/>
      <c r="AU184" s="24"/>
      <c r="AV184" s="24"/>
      <c r="AW184" s="24"/>
      <c r="AX184" s="24"/>
      <c r="AY184" s="24"/>
      <c r="AZ184" s="24"/>
      <c r="BA184" s="24"/>
      <c r="BB184" s="24"/>
      <c r="BC184" s="24"/>
      <c r="BD184" s="24"/>
      <c r="BE184" s="24"/>
      <c r="BF184" s="37"/>
      <c r="BG184" s="37"/>
      <c r="BH184" s="37"/>
      <c r="BI184" s="37"/>
      <c r="BJ184" s="37"/>
      <c r="BK184" s="37"/>
      <c r="BL184" s="24"/>
      <c r="BM184" s="24"/>
      <c r="BN184" s="24"/>
      <c r="BO184" s="24"/>
      <c r="BP184" s="24"/>
      <c r="BQ184" s="24"/>
      <c r="BR184" s="24"/>
      <c r="BS184" s="24"/>
      <c r="BT184" s="24"/>
      <c r="BU184" s="24"/>
      <c r="BV184" s="24"/>
      <c r="BW184" s="14"/>
      <c r="BX184" s="14"/>
      <c r="BY184" s="14"/>
      <c r="BZ184" s="14"/>
      <c r="CA184" s="14"/>
      <c r="CB184" s="14"/>
      <c r="CC184" s="14"/>
      <c r="CD184" s="14"/>
      <c r="CE184" s="14"/>
      <c r="CF184" s="14"/>
      <c r="CG184" s="14"/>
      <c r="CH184" s="14"/>
      <c r="CI184" s="14"/>
      <c r="CJ184" s="14"/>
    </row>
    <row r="185" spans="7:88">
      <c r="G185" s="12">
        <f t="shared" si="41"/>
        <v>0</v>
      </c>
      <c r="H185" s="12">
        <f t="shared" si="42"/>
        <v>0</v>
      </c>
      <c r="I185" s="12">
        <f t="shared" si="42"/>
        <v>0</v>
      </c>
      <c r="J185" s="12">
        <f t="shared" si="42"/>
        <v>0</v>
      </c>
      <c r="K185" s="12">
        <f t="shared" si="43"/>
        <v>0</v>
      </c>
      <c r="L185" s="12">
        <f t="shared" si="44"/>
        <v>0</v>
      </c>
      <c r="M185" s="12">
        <f t="shared" si="44"/>
        <v>0</v>
      </c>
      <c r="N185" s="12">
        <f t="shared" si="44"/>
        <v>0</v>
      </c>
      <c r="O185" s="12">
        <f t="shared" si="45"/>
        <v>0</v>
      </c>
      <c r="P185" s="12">
        <f t="shared" si="46"/>
        <v>0</v>
      </c>
      <c r="Q185" s="12">
        <f t="shared" si="46"/>
        <v>0</v>
      </c>
      <c r="T185" s="61"/>
      <c r="U185" s="61"/>
      <c r="V185" s="61"/>
      <c r="W185" s="53">
        <f t="shared" si="47"/>
        <v>0</v>
      </c>
      <c r="X185" s="54" t="e">
        <f t="shared" si="48"/>
        <v>#DIV/0!</v>
      </c>
      <c r="Y185" s="25">
        <f t="shared" si="55"/>
        <v>0</v>
      </c>
      <c r="Z185" s="54">
        <f t="shared" si="60"/>
        <v>0</v>
      </c>
      <c r="AA185" s="54">
        <f t="shared" si="75"/>
        <v>0</v>
      </c>
      <c r="AB185" s="54">
        <f t="shared" si="75"/>
        <v>0</v>
      </c>
      <c r="AC185" s="54">
        <f t="shared" si="75"/>
        <v>0</v>
      </c>
      <c r="AD185" s="54">
        <f t="shared" si="75"/>
        <v>0</v>
      </c>
      <c r="AE185" s="54">
        <f t="shared" si="75"/>
        <v>0</v>
      </c>
      <c r="AF185" s="54">
        <f t="shared" si="75"/>
        <v>0</v>
      </c>
      <c r="AG185" s="54">
        <f t="shared" si="75"/>
        <v>0</v>
      </c>
      <c r="AH185" s="54">
        <f t="shared" si="75"/>
        <v>0</v>
      </c>
      <c r="AI185" s="54">
        <f t="shared" si="75"/>
        <v>0</v>
      </c>
      <c r="AJ185" s="54">
        <f t="shared" si="75"/>
        <v>0</v>
      </c>
      <c r="AK185" s="54">
        <f t="shared" ref="AK185" si="78">IF($E86+365&lt;$C$56,0,IF($E86&lt;$C$56,(($E86+365-$C$56)/365)*(($C86/$BN$157)+($D86/$BN$158)),IF($E86&gt;AK$166,0,IF($E86+365&lt;AK$166,($C86/$BN$157)+($D86/$BN$158),((AK$166-$E86)/365)*(($C86/$BN$157)+($D86/$BN$158))))))</f>
        <v>0</v>
      </c>
      <c r="AL185" s="24">
        <f t="shared" si="51"/>
        <v>0</v>
      </c>
      <c r="AM185" s="24">
        <f t="shared" si="52"/>
        <v>0</v>
      </c>
      <c r="AN185" s="55">
        <f t="shared" si="53"/>
        <v>0</v>
      </c>
      <c r="AO185" s="55">
        <f t="shared" si="54"/>
        <v>0</v>
      </c>
      <c r="AP185" s="24"/>
      <c r="AQ185" s="24"/>
      <c r="AR185" s="24"/>
      <c r="AS185" s="24"/>
      <c r="AT185" s="24"/>
      <c r="AU185" s="24"/>
      <c r="AV185" s="24"/>
      <c r="AW185" s="24"/>
      <c r="AX185" s="24"/>
      <c r="AY185" s="24"/>
      <c r="AZ185" s="24"/>
      <c r="BA185" s="24"/>
      <c r="BB185" s="24"/>
      <c r="BC185" s="24"/>
      <c r="BD185" s="24"/>
      <c r="BE185" s="24"/>
      <c r="BF185" s="37"/>
      <c r="BG185" s="37"/>
      <c r="BH185" s="37"/>
      <c r="BI185" s="37"/>
      <c r="BJ185" s="37"/>
      <c r="BK185" s="37"/>
      <c r="BL185" s="24"/>
      <c r="BM185" s="24"/>
      <c r="BN185" s="24"/>
      <c r="BO185" s="24"/>
      <c r="BP185" s="24"/>
      <c r="BQ185" s="24"/>
      <c r="BR185" s="24"/>
      <c r="BS185" s="24"/>
      <c r="BT185" s="24"/>
      <c r="BU185" s="24"/>
      <c r="BV185" s="24"/>
      <c r="BW185" s="14"/>
      <c r="BX185" s="14"/>
      <c r="BY185" s="14"/>
      <c r="BZ185" s="14"/>
      <c r="CA185" s="14"/>
      <c r="CB185" s="14"/>
      <c r="CC185" s="14"/>
      <c r="CD185" s="14"/>
      <c r="CE185" s="14"/>
      <c r="CF185" s="14"/>
      <c r="CG185" s="14"/>
      <c r="CH185" s="14"/>
      <c r="CI185" s="14"/>
      <c r="CJ185" s="14"/>
    </row>
    <row r="186" spans="7:88">
      <c r="G186" s="12">
        <f t="shared" si="41"/>
        <v>0</v>
      </c>
      <c r="H186" s="12">
        <f t="shared" si="42"/>
        <v>0</v>
      </c>
      <c r="I186" s="12">
        <f t="shared" si="42"/>
        <v>0</v>
      </c>
      <c r="J186" s="12">
        <f t="shared" si="42"/>
        <v>0</v>
      </c>
      <c r="K186" s="12">
        <f t="shared" si="43"/>
        <v>0</v>
      </c>
      <c r="L186" s="12">
        <f t="shared" si="44"/>
        <v>0</v>
      </c>
      <c r="M186" s="12">
        <f t="shared" si="44"/>
        <v>0</v>
      </c>
      <c r="N186" s="12">
        <f t="shared" si="44"/>
        <v>0</v>
      </c>
      <c r="O186" s="12">
        <f t="shared" si="45"/>
        <v>0</v>
      </c>
      <c r="P186" s="12">
        <f t="shared" si="46"/>
        <v>0</v>
      </c>
      <c r="Q186" s="12">
        <f t="shared" si="46"/>
        <v>0</v>
      </c>
      <c r="T186" s="61"/>
      <c r="U186" s="61"/>
      <c r="V186" s="61"/>
      <c r="W186" s="53">
        <f t="shared" si="47"/>
        <v>0</v>
      </c>
      <c r="X186" s="54" t="e">
        <f t="shared" si="48"/>
        <v>#DIV/0!</v>
      </c>
      <c r="Y186" s="25">
        <f t="shared" si="55"/>
        <v>0</v>
      </c>
      <c r="Z186" s="54">
        <f t="shared" si="60"/>
        <v>0</v>
      </c>
      <c r="AA186" s="54">
        <f t="shared" si="75"/>
        <v>0</v>
      </c>
      <c r="AB186" s="54">
        <f t="shared" si="75"/>
        <v>0</v>
      </c>
      <c r="AC186" s="54">
        <f t="shared" si="75"/>
        <v>0</v>
      </c>
      <c r="AD186" s="54">
        <f t="shared" si="75"/>
        <v>0</v>
      </c>
      <c r="AE186" s="54">
        <f t="shared" si="75"/>
        <v>0</v>
      </c>
      <c r="AF186" s="54">
        <f t="shared" si="75"/>
        <v>0</v>
      </c>
      <c r="AG186" s="54">
        <f t="shared" si="75"/>
        <v>0</v>
      </c>
      <c r="AH186" s="54">
        <f t="shared" si="75"/>
        <v>0</v>
      </c>
      <c r="AI186" s="54">
        <f t="shared" si="75"/>
        <v>0</v>
      </c>
      <c r="AJ186" s="54">
        <f t="shared" si="75"/>
        <v>0</v>
      </c>
      <c r="AK186" s="54">
        <f t="shared" ref="AK186" si="79">IF($E87+365&lt;$C$56,0,IF($E87&lt;$C$56,(($E87+365-$C$56)/365)*(($C87/$BN$157)+($D87/$BN$158)),IF($E87&gt;AK$166,0,IF($E87+365&lt;AK$166,($C87/$BN$157)+($D87/$BN$158),((AK$166-$E87)/365)*(($C87/$BN$157)+($D87/$BN$158))))))</f>
        <v>0</v>
      </c>
      <c r="AL186" s="24">
        <f t="shared" si="51"/>
        <v>0</v>
      </c>
      <c r="AM186" s="24">
        <f t="shared" si="52"/>
        <v>0</v>
      </c>
      <c r="AN186" s="55">
        <f t="shared" si="53"/>
        <v>0</v>
      </c>
      <c r="AO186" s="55">
        <f t="shared" si="54"/>
        <v>0</v>
      </c>
      <c r="AP186" s="24"/>
      <c r="AQ186" s="24"/>
      <c r="AR186" s="24"/>
      <c r="AS186" s="24"/>
      <c r="AT186" s="24"/>
      <c r="AU186" s="24"/>
      <c r="AV186" s="24"/>
      <c r="AW186" s="24"/>
      <c r="AX186" s="24"/>
      <c r="AY186" s="24"/>
      <c r="AZ186" s="24"/>
      <c r="BA186" s="24"/>
      <c r="BB186" s="24"/>
      <c r="BC186" s="24"/>
      <c r="BD186" s="24"/>
      <c r="BE186" s="24"/>
      <c r="BF186" s="37"/>
      <c r="BG186" s="37"/>
      <c r="BH186" s="37"/>
      <c r="BI186" s="37"/>
      <c r="BJ186" s="37"/>
      <c r="BK186" s="37"/>
      <c r="BL186" s="24"/>
      <c r="BM186" s="24"/>
      <c r="BN186" s="24"/>
      <c r="BO186" s="24"/>
      <c r="BP186" s="24"/>
      <c r="BQ186" s="24"/>
      <c r="BR186" s="24"/>
      <c r="BS186" s="24"/>
      <c r="BT186" s="24"/>
      <c r="BU186" s="24"/>
      <c r="BV186" s="24"/>
      <c r="BW186" s="14"/>
      <c r="BX186" s="14"/>
      <c r="BY186" s="14"/>
      <c r="BZ186" s="14"/>
      <c r="CA186" s="14"/>
      <c r="CB186" s="14"/>
      <c r="CC186" s="14"/>
      <c r="CD186" s="14"/>
      <c r="CE186" s="14"/>
      <c r="CF186" s="14"/>
      <c r="CG186" s="14"/>
      <c r="CH186" s="14"/>
      <c r="CI186" s="14"/>
      <c r="CJ186" s="14"/>
    </row>
    <row r="187" spans="7:88">
      <c r="G187" s="12">
        <f t="shared" si="41"/>
        <v>0</v>
      </c>
      <c r="H187" s="12">
        <f t="shared" ref="H187:J206" si="80">IF($E89&gt;H$66,0,IF($E89&lt;H$66-365,$C89,0))</f>
        <v>0</v>
      </c>
      <c r="I187" s="12">
        <f t="shared" si="80"/>
        <v>0</v>
      </c>
      <c r="J187" s="12">
        <f t="shared" si="80"/>
        <v>0</v>
      </c>
      <c r="K187" s="12">
        <f t="shared" si="43"/>
        <v>0</v>
      </c>
      <c r="L187" s="12">
        <f t="shared" ref="L187:N206" si="81">IF($E89&gt;L$66,0,IF($E89&lt;L$66-365,$C89,0))</f>
        <v>0</v>
      </c>
      <c r="M187" s="12">
        <f t="shared" si="81"/>
        <v>0</v>
      </c>
      <c r="N187" s="12">
        <f t="shared" si="81"/>
        <v>0</v>
      </c>
      <c r="O187" s="12">
        <f t="shared" si="45"/>
        <v>0</v>
      </c>
      <c r="P187" s="12">
        <f t="shared" ref="P187:Q206" si="82">IF($E89&gt;P$66,0,IF($E89&lt;P$66-365,$C89,0))</f>
        <v>0</v>
      </c>
      <c r="Q187" s="12">
        <f t="shared" si="82"/>
        <v>0</v>
      </c>
      <c r="T187" s="61"/>
      <c r="U187" s="61"/>
      <c r="V187" s="61"/>
      <c r="W187" s="53">
        <f t="shared" si="47"/>
        <v>0</v>
      </c>
      <c r="X187" s="54" t="e">
        <f t="shared" si="48"/>
        <v>#DIV/0!</v>
      </c>
      <c r="Y187" s="25">
        <f t="shared" si="55"/>
        <v>0</v>
      </c>
      <c r="Z187" s="54">
        <f t="shared" si="60"/>
        <v>0</v>
      </c>
      <c r="AA187" s="54">
        <f t="shared" si="75"/>
        <v>0</v>
      </c>
      <c r="AB187" s="54">
        <f t="shared" si="75"/>
        <v>0</v>
      </c>
      <c r="AC187" s="54">
        <f t="shared" si="75"/>
        <v>0</v>
      </c>
      <c r="AD187" s="54">
        <f t="shared" si="75"/>
        <v>0</v>
      </c>
      <c r="AE187" s="54">
        <f t="shared" si="75"/>
        <v>0</v>
      </c>
      <c r="AF187" s="54">
        <f t="shared" si="75"/>
        <v>0</v>
      </c>
      <c r="AG187" s="54">
        <f t="shared" si="75"/>
        <v>0</v>
      </c>
      <c r="AH187" s="54">
        <f t="shared" si="75"/>
        <v>0</v>
      </c>
      <c r="AI187" s="54">
        <f t="shared" si="75"/>
        <v>0</v>
      </c>
      <c r="AJ187" s="54">
        <f t="shared" si="75"/>
        <v>0</v>
      </c>
      <c r="AK187" s="54">
        <f t="shared" ref="AK187" si="83">IF($E88+365&lt;$C$56,0,IF($E88&lt;$C$56,(($E88+365-$C$56)/365)*(($C88/$BN$157)+($D88/$BN$158)),IF($E88&gt;AK$166,0,IF($E88+365&lt;AK$166,($C88/$BN$157)+($D88/$BN$158),((AK$166-$E88)/365)*(($C88/$BN$157)+($D88/$BN$158))))))</f>
        <v>0</v>
      </c>
      <c r="AL187" s="24">
        <f t="shared" si="51"/>
        <v>0</v>
      </c>
      <c r="AM187" s="24">
        <f t="shared" si="52"/>
        <v>0</v>
      </c>
      <c r="AN187" s="55">
        <f t="shared" si="53"/>
        <v>0</v>
      </c>
      <c r="AO187" s="55">
        <f t="shared" si="54"/>
        <v>0</v>
      </c>
      <c r="AP187" s="24"/>
      <c r="AQ187" s="24"/>
      <c r="AR187" s="24"/>
      <c r="AS187" s="24"/>
      <c r="AT187" s="24"/>
      <c r="AU187" s="24"/>
      <c r="AV187" s="24"/>
      <c r="AW187" s="24"/>
      <c r="AX187" s="24"/>
      <c r="AY187" s="24"/>
      <c r="AZ187" s="24"/>
      <c r="BA187" s="24"/>
      <c r="BB187" s="24"/>
      <c r="BC187" s="24"/>
      <c r="BD187" s="24"/>
      <c r="BE187" s="24"/>
      <c r="BF187" s="37"/>
      <c r="BG187" s="37"/>
      <c r="BH187" s="37"/>
      <c r="BI187" s="37"/>
      <c r="BJ187" s="37"/>
      <c r="BK187" s="37"/>
      <c r="BL187" s="24"/>
      <c r="BM187" s="24"/>
      <c r="BN187" s="24"/>
      <c r="BO187" s="24"/>
      <c r="BP187" s="24"/>
      <c r="BQ187" s="24"/>
      <c r="BR187" s="24"/>
      <c r="BS187" s="24"/>
      <c r="BT187" s="24"/>
      <c r="BU187" s="24"/>
      <c r="BV187" s="24"/>
      <c r="BW187" s="14"/>
      <c r="BX187" s="14"/>
      <c r="BY187" s="14"/>
      <c r="BZ187" s="14"/>
      <c r="CA187" s="14"/>
      <c r="CB187" s="14"/>
      <c r="CC187" s="14"/>
      <c r="CD187" s="14"/>
      <c r="CE187" s="14"/>
      <c r="CF187" s="14"/>
      <c r="CG187" s="14"/>
      <c r="CH187" s="14"/>
      <c r="CI187" s="14"/>
      <c r="CJ187" s="14"/>
    </row>
    <row r="188" spans="7:88">
      <c r="G188" s="12">
        <f t="shared" si="41"/>
        <v>0</v>
      </c>
      <c r="H188" s="12">
        <f t="shared" si="80"/>
        <v>0</v>
      </c>
      <c r="I188" s="12">
        <f t="shared" si="80"/>
        <v>0</v>
      </c>
      <c r="J188" s="12">
        <f t="shared" si="80"/>
        <v>0</v>
      </c>
      <c r="K188" s="12">
        <f t="shared" si="43"/>
        <v>0</v>
      </c>
      <c r="L188" s="12">
        <f t="shared" si="81"/>
        <v>0</v>
      </c>
      <c r="M188" s="12">
        <f t="shared" si="81"/>
        <v>0</v>
      </c>
      <c r="N188" s="12">
        <f t="shared" si="81"/>
        <v>0</v>
      </c>
      <c r="O188" s="12">
        <f t="shared" si="45"/>
        <v>0</v>
      </c>
      <c r="P188" s="12">
        <f t="shared" si="82"/>
        <v>0</v>
      </c>
      <c r="Q188" s="12">
        <f t="shared" si="82"/>
        <v>0</v>
      </c>
      <c r="T188" s="61"/>
      <c r="U188" s="61"/>
      <c r="V188" s="61"/>
      <c r="W188" s="53">
        <f t="shared" si="47"/>
        <v>0</v>
      </c>
      <c r="X188" s="54" t="e">
        <f t="shared" si="48"/>
        <v>#DIV/0!</v>
      </c>
      <c r="Y188" s="25">
        <f t="shared" si="55"/>
        <v>0</v>
      </c>
      <c r="Z188" s="54">
        <f t="shared" si="60"/>
        <v>0</v>
      </c>
      <c r="AA188" s="54">
        <f t="shared" si="75"/>
        <v>0</v>
      </c>
      <c r="AB188" s="54">
        <f t="shared" si="75"/>
        <v>0</v>
      </c>
      <c r="AC188" s="54">
        <f t="shared" si="75"/>
        <v>0</v>
      </c>
      <c r="AD188" s="54">
        <f t="shared" si="75"/>
        <v>0</v>
      </c>
      <c r="AE188" s="54">
        <f t="shared" si="75"/>
        <v>0</v>
      </c>
      <c r="AF188" s="54">
        <f t="shared" si="75"/>
        <v>0</v>
      </c>
      <c r="AG188" s="54">
        <f t="shared" si="75"/>
        <v>0</v>
      </c>
      <c r="AH188" s="54">
        <f t="shared" si="75"/>
        <v>0</v>
      </c>
      <c r="AI188" s="54">
        <f t="shared" si="75"/>
        <v>0</v>
      </c>
      <c r="AJ188" s="54">
        <f t="shared" si="75"/>
        <v>0</v>
      </c>
      <c r="AK188" s="54">
        <f t="shared" ref="AK188" si="84">IF($E89+365&lt;$C$56,0,IF($E89&lt;$C$56,(($E89+365-$C$56)/365)*(($C89/$BN$157)+($D89/$BN$158)),IF($E89&gt;AK$166,0,IF($E89+365&lt;AK$166,($C89/$BN$157)+($D89/$BN$158),((AK$166-$E89)/365)*(($C89/$BN$157)+($D89/$BN$158))))))</f>
        <v>0</v>
      </c>
      <c r="AL188" s="24">
        <f t="shared" si="51"/>
        <v>0</v>
      </c>
      <c r="AM188" s="24">
        <f t="shared" si="52"/>
        <v>0</v>
      </c>
      <c r="AN188" s="55">
        <f t="shared" si="53"/>
        <v>0</v>
      </c>
      <c r="AO188" s="55">
        <f t="shared" si="54"/>
        <v>0</v>
      </c>
      <c r="AP188" s="24"/>
      <c r="AQ188" s="24"/>
      <c r="AR188" s="24"/>
      <c r="AS188" s="24"/>
      <c r="AT188" s="24"/>
      <c r="AU188" s="24"/>
      <c r="AV188" s="24"/>
      <c r="AW188" s="24"/>
      <c r="AX188" s="24"/>
      <c r="AY188" s="24"/>
      <c r="AZ188" s="24"/>
      <c r="BA188" s="24"/>
      <c r="BB188" s="24"/>
      <c r="BC188" s="24"/>
      <c r="BD188" s="24"/>
      <c r="BE188" s="24"/>
      <c r="BF188" s="37"/>
      <c r="BG188" s="37"/>
      <c r="BH188" s="37"/>
      <c r="BI188" s="37"/>
      <c r="BJ188" s="37"/>
      <c r="BK188" s="37"/>
      <c r="BL188" s="24"/>
      <c r="BM188" s="24"/>
      <c r="BN188" s="24"/>
      <c r="BO188" s="24"/>
      <c r="BP188" s="24"/>
      <c r="BQ188" s="24"/>
      <c r="BR188" s="24"/>
      <c r="BS188" s="24"/>
      <c r="BT188" s="24"/>
      <c r="BU188" s="24"/>
      <c r="BV188" s="24"/>
      <c r="BW188" s="14"/>
      <c r="BX188" s="14"/>
      <c r="BY188" s="14"/>
      <c r="BZ188" s="14"/>
      <c r="CA188" s="14"/>
      <c r="CB188" s="14"/>
      <c r="CC188" s="14"/>
      <c r="CD188" s="14"/>
      <c r="CE188" s="14"/>
      <c r="CF188" s="14"/>
      <c r="CG188" s="14"/>
      <c r="CH188" s="14"/>
      <c r="CI188" s="14"/>
      <c r="CJ188" s="14"/>
    </row>
    <row r="189" spans="7:88">
      <c r="G189" s="12">
        <f t="shared" si="41"/>
        <v>0</v>
      </c>
      <c r="H189" s="12">
        <f t="shared" si="80"/>
        <v>0</v>
      </c>
      <c r="I189" s="12">
        <f t="shared" si="80"/>
        <v>0</v>
      </c>
      <c r="J189" s="12">
        <f t="shared" si="80"/>
        <v>0</v>
      </c>
      <c r="K189" s="12">
        <f t="shared" si="43"/>
        <v>0</v>
      </c>
      <c r="L189" s="12">
        <f t="shared" si="81"/>
        <v>0</v>
      </c>
      <c r="M189" s="12">
        <f t="shared" si="81"/>
        <v>0</v>
      </c>
      <c r="N189" s="12">
        <f t="shared" si="81"/>
        <v>0</v>
      </c>
      <c r="O189" s="12">
        <f t="shared" si="45"/>
        <v>0</v>
      </c>
      <c r="P189" s="12">
        <f t="shared" si="82"/>
        <v>0</v>
      </c>
      <c r="Q189" s="12">
        <f t="shared" si="82"/>
        <v>0</v>
      </c>
      <c r="T189" s="61"/>
      <c r="U189" s="61"/>
      <c r="V189" s="61"/>
      <c r="W189" s="53">
        <f t="shared" si="47"/>
        <v>0</v>
      </c>
      <c r="X189" s="54" t="e">
        <f t="shared" si="48"/>
        <v>#DIV/0!</v>
      </c>
      <c r="Y189" s="25">
        <f t="shared" si="55"/>
        <v>0</v>
      </c>
      <c r="Z189" s="54">
        <f t="shared" si="60"/>
        <v>0</v>
      </c>
      <c r="AA189" s="54">
        <f t="shared" si="75"/>
        <v>0</v>
      </c>
      <c r="AB189" s="54">
        <f t="shared" si="75"/>
        <v>0</v>
      </c>
      <c r="AC189" s="54">
        <f t="shared" si="75"/>
        <v>0</v>
      </c>
      <c r="AD189" s="54">
        <f t="shared" si="75"/>
        <v>0</v>
      </c>
      <c r="AE189" s="54">
        <f t="shared" si="75"/>
        <v>0</v>
      </c>
      <c r="AF189" s="54">
        <f t="shared" si="75"/>
        <v>0</v>
      </c>
      <c r="AG189" s="54">
        <f t="shared" si="75"/>
        <v>0</v>
      </c>
      <c r="AH189" s="54">
        <f t="shared" si="75"/>
        <v>0</v>
      </c>
      <c r="AI189" s="54">
        <f t="shared" si="75"/>
        <v>0</v>
      </c>
      <c r="AJ189" s="54">
        <f t="shared" si="75"/>
        <v>0</v>
      </c>
      <c r="AK189" s="54">
        <f t="shared" ref="AK189" si="85">IF($E90+365&lt;$C$56,0,IF($E90&lt;$C$56,(($E90+365-$C$56)/365)*(($C90/$BN$157)+($D90/$BN$158)),IF($E90&gt;AK$166,0,IF($E90+365&lt;AK$166,($C90/$BN$157)+($D90/$BN$158),((AK$166-$E90)/365)*(($C90/$BN$157)+($D90/$BN$158))))))</f>
        <v>0</v>
      </c>
      <c r="AL189" s="24">
        <f t="shared" si="51"/>
        <v>0</v>
      </c>
      <c r="AM189" s="24">
        <f t="shared" si="52"/>
        <v>0</v>
      </c>
      <c r="AN189" s="55">
        <f t="shared" si="53"/>
        <v>0</v>
      </c>
      <c r="AO189" s="55">
        <f t="shared" si="54"/>
        <v>0</v>
      </c>
      <c r="AP189" s="24"/>
      <c r="AQ189" s="24"/>
      <c r="AR189" s="24"/>
      <c r="AS189" s="24"/>
      <c r="AT189" s="24"/>
      <c r="AU189" s="24"/>
      <c r="AV189" s="24"/>
      <c r="AW189" s="24"/>
      <c r="AX189" s="24"/>
      <c r="AY189" s="24"/>
      <c r="AZ189" s="24"/>
      <c r="BA189" s="24"/>
      <c r="BB189" s="24"/>
      <c r="BC189" s="24"/>
      <c r="BD189" s="24"/>
      <c r="BE189" s="24"/>
      <c r="BF189" s="37"/>
      <c r="BG189" s="37"/>
      <c r="BH189" s="37"/>
      <c r="BI189" s="37"/>
      <c r="BJ189" s="37"/>
      <c r="BK189" s="37"/>
      <c r="BL189" s="24"/>
      <c r="BM189" s="24"/>
      <c r="BN189" s="24"/>
      <c r="BO189" s="24"/>
      <c r="BP189" s="24"/>
      <c r="BQ189" s="24"/>
      <c r="BR189" s="24"/>
      <c r="BS189" s="24"/>
      <c r="BT189" s="24"/>
      <c r="BU189" s="24"/>
      <c r="BV189" s="24"/>
      <c r="BW189" s="14"/>
      <c r="BX189" s="14"/>
      <c r="BY189" s="14"/>
      <c r="BZ189" s="14"/>
      <c r="CA189" s="14"/>
      <c r="CB189" s="14"/>
      <c r="CC189" s="14"/>
      <c r="CD189" s="14"/>
      <c r="CE189" s="14"/>
      <c r="CF189" s="14"/>
      <c r="CG189" s="14"/>
      <c r="CH189" s="14"/>
      <c r="CI189" s="14"/>
      <c r="CJ189" s="14"/>
    </row>
    <row r="190" spans="7:88">
      <c r="G190" s="12">
        <f t="shared" si="41"/>
        <v>0</v>
      </c>
      <c r="H190" s="12">
        <f t="shared" si="80"/>
        <v>0</v>
      </c>
      <c r="I190" s="12">
        <f t="shared" si="80"/>
        <v>0</v>
      </c>
      <c r="J190" s="12">
        <f t="shared" si="80"/>
        <v>0</v>
      </c>
      <c r="K190" s="12">
        <f t="shared" si="43"/>
        <v>0</v>
      </c>
      <c r="L190" s="12">
        <f t="shared" si="81"/>
        <v>0</v>
      </c>
      <c r="M190" s="12">
        <f t="shared" si="81"/>
        <v>0</v>
      </c>
      <c r="N190" s="12">
        <f t="shared" si="81"/>
        <v>0</v>
      </c>
      <c r="O190" s="12">
        <f t="shared" si="45"/>
        <v>0</v>
      </c>
      <c r="P190" s="12">
        <f t="shared" si="82"/>
        <v>0</v>
      </c>
      <c r="Q190" s="12">
        <f t="shared" si="82"/>
        <v>0</v>
      </c>
      <c r="T190" s="61"/>
      <c r="U190" s="61"/>
      <c r="V190" s="61"/>
      <c r="W190" s="53">
        <f t="shared" si="47"/>
        <v>0</v>
      </c>
      <c r="X190" s="54" t="e">
        <f t="shared" si="48"/>
        <v>#DIV/0!</v>
      </c>
      <c r="Y190" s="25">
        <f t="shared" si="55"/>
        <v>0</v>
      </c>
      <c r="Z190" s="54">
        <f t="shared" si="60"/>
        <v>0</v>
      </c>
      <c r="AA190" s="54">
        <f t="shared" si="75"/>
        <v>0</v>
      </c>
      <c r="AB190" s="54">
        <f t="shared" si="75"/>
        <v>0</v>
      </c>
      <c r="AC190" s="54">
        <f t="shared" si="75"/>
        <v>0</v>
      </c>
      <c r="AD190" s="54">
        <f t="shared" si="75"/>
        <v>0</v>
      </c>
      <c r="AE190" s="54">
        <f t="shared" si="75"/>
        <v>0</v>
      </c>
      <c r="AF190" s="54">
        <f t="shared" si="75"/>
        <v>0</v>
      </c>
      <c r="AG190" s="54">
        <f t="shared" si="75"/>
        <v>0</v>
      </c>
      <c r="AH190" s="54">
        <f t="shared" si="75"/>
        <v>0</v>
      </c>
      <c r="AI190" s="54">
        <f t="shared" si="75"/>
        <v>0</v>
      </c>
      <c r="AJ190" s="54">
        <f t="shared" si="75"/>
        <v>0</v>
      </c>
      <c r="AK190" s="54">
        <f t="shared" ref="AK190" si="86">IF($E91+365&lt;$C$56,0,IF($E91&lt;$C$56,(($E91+365-$C$56)/365)*(($C91/$BN$157)+($D91/$BN$158)),IF($E91&gt;AK$166,0,IF($E91+365&lt;AK$166,($C91/$BN$157)+($D91/$BN$158),((AK$166-$E91)/365)*(($C91/$BN$157)+($D91/$BN$158))))))</f>
        <v>0</v>
      </c>
      <c r="AL190" s="24">
        <f t="shared" si="51"/>
        <v>0</v>
      </c>
      <c r="AM190" s="24">
        <f t="shared" si="52"/>
        <v>0</v>
      </c>
      <c r="AN190" s="55">
        <f t="shared" si="53"/>
        <v>0</v>
      </c>
      <c r="AO190" s="55">
        <f t="shared" si="54"/>
        <v>0</v>
      </c>
      <c r="AP190" s="24"/>
      <c r="AQ190" s="24"/>
      <c r="AR190" s="24"/>
      <c r="AS190" s="24"/>
      <c r="AT190" s="24"/>
      <c r="AU190" s="24"/>
      <c r="AV190" s="24"/>
      <c r="AW190" s="24"/>
      <c r="AX190" s="24"/>
      <c r="AY190" s="24"/>
      <c r="AZ190" s="24"/>
      <c r="BA190" s="24"/>
      <c r="BB190" s="24"/>
      <c r="BC190" s="24"/>
      <c r="BD190" s="24"/>
      <c r="BE190" s="24"/>
      <c r="BF190" s="37"/>
      <c r="BG190" s="37"/>
      <c r="BH190" s="37"/>
      <c r="BI190" s="37"/>
      <c r="BJ190" s="37"/>
      <c r="BK190" s="37"/>
      <c r="BL190" s="24"/>
      <c r="BM190" s="24"/>
      <c r="BN190" s="24"/>
      <c r="BO190" s="24"/>
      <c r="BP190" s="24"/>
      <c r="BQ190" s="24"/>
      <c r="BR190" s="24"/>
      <c r="BS190" s="24"/>
      <c r="BT190" s="24"/>
      <c r="BU190" s="24"/>
      <c r="BV190" s="24"/>
      <c r="BW190" s="14"/>
      <c r="BX190" s="14"/>
      <c r="BY190" s="14"/>
      <c r="BZ190" s="14"/>
      <c r="CA190" s="14"/>
      <c r="CB190" s="14"/>
      <c r="CC190" s="14"/>
      <c r="CD190" s="14"/>
      <c r="CE190" s="14"/>
      <c r="CF190" s="14"/>
      <c r="CG190" s="14"/>
      <c r="CH190" s="14"/>
      <c r="CI190" s="14"/>
      <c r="CJ190" s="14"/>
    </row>
    <row r="191" spans="7:88">
      <c r="G191" s="12">
        <f t="shared" si="41"/>
        <v>0</v>
      </c>
      <c r="H191" s="12">
        <f t="shared" si="80"/>
        <v>0</v>
      </c>
      <c r="I191" s="12">
        <f t="shared" si="80"/>
        <v>0</v>
      </c>
      <c r="J191" s="12">
        <f t="shared" si="80"/>
        <v>0</v>
      </c>
      <c r="K191" s="12">
        <f t="shared" si="43"/>
        <v>0</v>
      </c>
      <c r="L191" s="12">
        <f t="shared" si="81"/>
        <v>0</v>
      </c>
      <c r="M191" s="12">
        <f t="shared" si="81"/>
        <v>0</v>
      </c>
      <c r="N191" s="12">
        <f t="shared" si="81"/>
        <v>0</v>
      </c>
      <c r="O191" s="12">
        <f t="shared" si="45"/>
        <v>0</v>
      </c>
      <c r="P191" s="12">
        <f t="shared" si="82"/>
        <v>0</v>
      </c>
      <c r="Q191" s="12">
        <f t="shared" si="82"/>
        <v>0</v>
      </c>
      <c r="T191" s="61"/>
      <c r="U191" s="61"/>
      <c r="V191" s="61"/>
      <c r="W191" s="53">
        <f t="shared" si="47"/>
        <v>0</v>
      </c>
      <c r="X191" s="54" t="e">
        <f t="shared" si="48"/>
        <v>#DIV/0!</v>
      </c>
      <c r="Y191" s="25">
        <f t="shared" si="55"/>
        <v>0</v>
      </c>
      <c r="Z191" s="54">
        <f t="shared" si="60"/>
        <v>0</v>
      </c>
      <c r="AA191" s="54">
        <f t="shared" si="75"/>
        <v>0</v>
      </c>
      <c r="AB191" s="54">
        <f t="shared" si="75"/>
        <v>0</v>
      </c>
      <c r="AC191" s="54">
        <f t="shared" si="75"/>
        <v>0</v>
      </c>
      <c r="AD191" s="54">
        <f t="shared" si="75"/>
        <v>0</v>
      </c>
      <c r="AE191" s="54">
        <f t="shared" si="75"/>
        <v>0</v>
      </c>
      <c r="AF191" s="54">
        <f t="shared" si="75"/>
        <v>0</v>
      </c>
      <c r="AG191" s="54">
        <f t="shared" si="75"/>
        <v>0</v>
      </c>
      <c r="AH191" s="54">
        <f t="shared" si="75"/>
        <v>0</v>
      </c>
      <c r="AI191" s="54">
        <f t="shared" si="75"/>
        <v>0</v>
      </c>
      <c r="AJ191" s="54">
        <f t="shared" si="75"/>
        <v>0</v>
      </c>
      <c r="AK191" s="54">
        <f t="shared" ref="AK191" si="87">IF($E92+365&lt;$C$56,0,IF($E92&lt;$C$56,(($E92+365-$C$56)/365)*(($C92/$BN$157)+($D92/$BN$158)),IF($E92&gt;AK$166,0,IF($E92+365&lt;AK$166,($C92/$BN$157)+($D92/$BN$158),((AK$166-$E92)/365)*(($C92/$BN$157)+($D92/$BN$158))))))</f>
        <v>0</v>
      </c>
      <c r="AL191" s="24">
        <f t="shared" si="51"/>
        <v>0</v>
      </c>
      <c r="AM191" s="24">
        <f t="shared" si="52"/>
        <v>0</v>
      </c>
      <c r="AN191" s="55">
        <f t="shared" si="53"/>
        <v>0</v>
      </c>
      <c r="AO191" s="55">
        <f t="shared" si="54"/>
        <v>0</v>
      </c>
      <c r="AP191" s="24"/>
      <c r="AQ191" s="24"/>
      <c r="AR191" s="24"/>
      <c r="AS191" s="24"/>
      <c r="AT191" s="24"/>
      <c r="AU191" s="24"/>
      <c r="AV191" s="24"/>
      <c r="AW191" s="24"/>
      <c r="AX191" s="24"/>
      <c r="AY191" s="24"/>
      <c r="AZ191" s="24"/>
      <c r="BA191" s="24"/>
      <c r="BB191" s="24"/>
      <c r="BC191" s="24"/>
      <c r="BD191" s="24"/>
      <c r="BE191" s="24"/>
      <c r="BF191" s="37"/>
      <c r="BG191" s="37"/>
      <c r="BH191" s="37"/>
      <c r="BI191" s="37"/>
      <c r="BJ191" s="37"/>
      <c r="BK191" s="37"/>
      <c r="BL191" s="24"/>
      <c r="BM191" s="24"/>
      <c r="BN191" s="24"/>
      <c r="BO191" s="24"/>
      <c r="BP191" s="24"/>
      <c r="BQ191" s="24"/>
      <c r="BR191" s="24"/>
      <c r="BS191" s="24"/>
      <c r="BT191" s="24"/>
      <c r="BU191" s="24"/>
      <c r="BV191" s="24"/>
      <c r="BW191" s="14"/>
      <c r="BX191" s="14"/>
      <c r="BY191" s="14"/>
      <c r="BZ191" s="14"/>
      <c r="CA191" s="14"/>
      <c r="CB191" s="14"/>
      <c r="CC191" s="14"/>
      <c r="CD191" s="14"/>
      <c r="CE191" s="14"/>
      <c r="CF191" s="14"/>
      <c r="CG191" s="14"/>
      <c r="CH191" s="14"/>
      <c r="CI191" s="14"/>
      <c r="CJ191" s="14"/>
    </row>
    <row r="192" spans="7:88">
      <c r="G192" s="12">
        <f t="shared" si="41"/>
        <v>0</v>
      </c>
      <c r="H192" s="12">
        <f t="shared" si="80"/>
        <v>0</v>
      </c>
      <c r="I192" s="12">
        <f t="shared" si="80"/>
        <v>0</v>
      </c>
      <c r="J192" s="12">
        <f t="shared" si="80"/>
        <v>0</v>
      </c>
      <c r="K192" s="12">
        <f t="shared" si="43"/>
        <v>0</v>
      </c>
      <c r="L192" s="12">
        <f t="shared" si="81"/>
        <v>0</v>
      </c>
      <c r="M192" s="12">
        <f t="shared" si="81"/>
        <v>0</v>
      </c>
      <c r="N192" s="12">
        <f t="shared" si="81"/>
        <v>0</v>
      </c>
      <c r="O192" s="12">
        <f t="shared" si="45"/>
        <v>0</v>
      </c>
      <c r="P192" s="12">
        <f t="shared" si="82"/>
        <v>0</v>
      </c>
      <c r="Q192" s="12">
        <f t="shared" si="82"/>
        <v>0</v>
      </c>
      <c r="T192" s="61"/>
      <c r="U192" s="61"/>
      <c r="V192" s="61"/>
      <c r="W192" s="53">
        <f t="shared" si="47"/>
        <v>0</v>
      </c>
      <c r="X192" s="54" t="e">
        <f t="shared" si="48"/>
        <v>#DIV/0!</v>
      </c>
      <c r="Y192" s="25">
        <f t="shared" si="55"/>
        <v>0</v>
      </c>
      <c r="Z192" s="54">
        <f t="shared" si="60"/>
        <v>0</v>
      </c>
      <c r="AA192" s="54">
        <f t="shared" si="75"/>
        <v>0</v>
      </c>
      <c r="AB192" s="54">
        <f t="shared" si="75"/>
        <v>0</v>
      </c>
      <c r="AC192" s="54">
        <f t="shared" si="75"/>
        <v>0</v>
      </c>
      <c r="AD192" s="54">
        <f t="shared" si="75"/>
        <v>0</v>
      </c>
      <c r="AE192" s="54">
        <f t="shared" si="75"/>
        <v>0</v>
      </c>
      <c r="AF192" s="54">
        <f t="shared" si="75"/>
        <v>0</v>
      </c>
      <c r="AG192" s="54">
        <f t="shared" si="75"/>
        <v>0</v>
      </c>
      <c r="AH192" s="54">
        <f t="shared" si="75"/>
        <v>0</v>
      </c>
      <c r="AI192" s="54">
        <f t="shared" si="75"/>
        <v>0</v>
      </c>
      <c r="AJ192" s="54">
        <f t="shared" si="75"/>
        <v>0</v>
      </c>
      <c r="AK192" s="54">
        <f t="shared" ref="AK192" si="88">IF($E93+365&lt;$C$56,0,IF($E93&lt;$C$56,(($E93+365-$C$56)/365)*(($C93/$BN$157)+($D93/$BN$158)),IF($E93&gt;AK$166,0,IF($E93+365&lt;AK$166,($C93/$BN$157)+($D93/$BN$158),((AK$166-$E93)/365)*(($C93/$BN$157)+($D93/$BN$158))))))</f>
        <v>0</v>
      </c>
      <c r="AL192" s="24">
        <f t="shared" si="51"/>
        <v>0</v>
      </c>
      <c r="AM192" s="24">
        <f t="shared" si="52"/>
        <v>0</v>
      </c>
      <c r="AN192" s="55">
        <f t="shared" si="53"/>
        <v>0</v>
      </c>
      <c r="AO192" s="55">
        <f t="shared" si="54"/>
        <v>0</v>
      </c>
      <c r="AP192" s="24"/>
      <c r="AQ192" s="24"/>
      <c r="AR192" s="24"/>
      <c r="AS192" s="24"/>
      <c r="AT192" s="24"/>
      <c r="AU192" s="24"/>
      <c r="AV192" s="24"/>
      <c r="AW192" s="24"/>
      <c r="AX192" s="24"/>
      <c r="AY192" s="24"/>
      <c r="AZ192" s="24"/>
      <c r="BA192" s="24"/>
      <c r="BB192" s="24"/>
      <c r="BC192" s="24"/>
      <c r="BD192" s="24"/>
      <c r="BE192" s="24"/>
      <c r="BF192" s="37"/>
      <c r="BG192" s="37"/>
      <c r="BH192" s="37"/>
      <c r="BI192" s="37"/>
      <c r="BJ192" s="37"/>
      <c r="BK192" s="37"/>
      <c r="BL192" s="24"/>
      <c r="BM192" s="24"/>
      <c r="BN192" s="24"/>
      <c r="BO192" s="24"/>
      <c r="BP192" s="24"/>
      <c r="BQ192" s="24"/>
      <c r="BR192" s="24"/>
      <c r="BS192" s="24"/>
      <c r="BT192" s="24"/>
      <c r="BU192" s="24"/>
      <c r="BV192" s="24"/>
      <c r="BW192" s="14"/>
      <c r="BX192" s="14"/>
      <c r="BY192" s="14"/>
      <c r="BZ192" s="14"/>
      <c r="CA192" s="14"/>
      <c r="CB192" s="14"/>
      <c r="CC192" s="14"/>
      <c r="CD192" s="14"/>
      <c r="CE192" s="14"/>
      <c r="CF192" s="14"/>
      <c r="CG192" s="14"/>
      <c r="CH192" s="14"/>
      <c r="CI192" s="14"/>
      <c r="CJ192" s="14"/>
    </row>
    <row r="193" spans="7:51">
      <c r="G193" s="12">
        <f t="shared" si="41"/>
        <v>0</v>
      </c>
      <c r="H193" s="12">
        <f t="shared" si="80"/>
        <v>0</v>
      </c>
      <c r="I193" s="12">
        <f t="shared" si="80"/>
        <v>0</v>
      </c>
      <c r="J193" s="12">
        <f t="shared" si="80"/>
        <v>0</v>
      </c>
      <c r="K193" s="12">
        <f t="shared" si="43"/>
        <v>0</v>
      </c>
      <c r="L193" s="12">
        <f t="shared" si="81"/>
        <v>0</v>
      </c>
      <c r="M193" s="12">
        <f t="shared" si="81"/>
        <v>0</v>
      </c>
      <c r="N193" s="12">
        <f t="shared" si="81"/>
        <v>0</v>
      </c>
      <c r="O193" s="12">
        <f t="shared" si="45"/>
        <v>0</v>
      </c>
      <c r="P193" s="12">
        <f t="shared" si="82"/>
        <v>0</v>
      </c>
      <c r="Q193" s="12">
        <f t="shared" si="82"/>
        <v>0</v>
      </c>
      <c r="T193" s="61"/>
      <c r="U193" s="61"/>
      <c r="V193" s="61"/>
      <c r="W193" s="53">
        <f t="shared" si="47"/>
        <v>0</v>
      </c>
      <c r="X193" s="54" t="e">
        <f t="shared" si="48"/>
        <v>#DIV/0!</v>
      </c>
      <c r="Y193" s="25">
        <f t="shared" si="55"/>
        <v>0</v>
      </c>
      <c r="Z193" s="54">
        <f t="shared" si="60"/>
        <v>0</v>
      </c>
      <c r="AA193" s="54">
        <f t="shared" si="75"/>
        <v>0</v>
      </c>
      <c r="AB193" s="54">
        <f t="shared" si="75"/>
        <v>0</v>
      </c>
      <c r="AC193" s="54">
        <f t="shared" si="75"/>
        <v>0</v>
      </c>
      <c r="AD193" s="54">
        <f t="shared" si="75"/>
        <v>0</v>
      </c>
      <c r="AE193" s="54">
        <f t="shared" si="75"/>
        <v>0</v>
      </c>
      <c r="AF193" s="54">
        <f t="shared" si="75"/>
        <v>0</v>
      </c>
      <c r="AG193" s="54">
        <f t="shared" si="75"/>
        <v>0</v>
      </c>
      <c r="AH193" s="54">
        <f t="shared" si="75"/>
        <v>0</v>
      </c>
      <c r="AI193" s="54">
        <f t="shared" si="75"/>
        <v>0</v>
      </c>
      <c r="AJ193" s="54">
        <f t="shared" si="75"/>
        <v>0</v>
      </c>
      <c r="AK193" s="54">
        <f t="shared" ref="AK193" si="89">IF($E94+365&lt;$C$56,0,IF($E94&lt;$C$56,(($E94+365-$C$56)/365)*(($C94/$BN$157)+($D94/$BN$158)),IF($E94&gt;AK$166,0,IF($E94+365&lt;AK$166,($C94/$BN$157)+($D94/$BN$158),((AK$166-$E94)/365)*(($C94/$BN$157)+($D94/$BN$158))))))</f>
        <v>0</v>
      </c>
      <c r="AL193" s="24">
        <f t="shared" si="51"/>
        <v>0</v>
      </c>
      <c r="AM193" s="24">
        <f t="shared" si="52"/>
        <v>0</v>
      </c>
      <c r="AN193" s="55">
        <f t="shared" si="53"/>
        <v>0</v>
      </c>
      <c r="AO193" s="55">
        <f t="shared" si="54"/>
        <v>0</v>
      </c>
      <c r="AP193" s="24"/>
      <c r="AQ193" s="24"/>
      <c r="AR193" s="24"/>
      <c r="AS193" s="24"/>
      <c r="AT193" s="24"/>
      <c r="AU193" s="24"/>
      <c r="AV193" s="24"/>
      <c r="AW193" s="24"/>
      <c r="AX193" s="24"/>
      <c r="AY193" s="24"/>
    </row>
    <row r="194" spans="7:51">
      <c r="G194" s="12">
        <f t="shared" si="41"/>
        <v>0</v>
      </c>
      <c r="H194" s="12">
        <f t="shared" si="80"/>
        <v>0</v>
      </c>
      <c r="I194" s="12">
        <f t="shared" si="80"/>
        <v>0</v>
      </c>
      <c r="J194" s="12">
        <f t="shared" si="80"/>
        <v>0</v>
      </c>
      <c r="K194" s="12">
        <f t="shared" si="43"/>
        <v>0</v>
      </c>
      <c r="L194" s="12">
        <f t="shared" si="81"/>
        <v>0</v>
      </c>
      <c r="M194" s="12">
        <f t="shared" si="81"/>
        <v>0</v>
      </c>
      <c r="N194" s="12">
        <f t="shared" si="81"/>
        <v>0</v>
      </c>
      <c r="O194" s="12">
        <f t="shared" si="45"/>
        <v>0</v>
      </c>
      <c r="P194" s="12">
        <f t="shared" si="82"/>
        <v>0</v>
      </c>
      <c r="Q194" s="12">
        <f t="shared" si="82"/>
        <v>0</v>
      </c>
      <c r="T194" s="61"/>
      <c r="U194" s="61"/>
      <c r="V194" s="61"/>
      <c r="W194" s="53">
        <f t="shared" si="47"/>
        <v>0</v>
      </c>
      <c r="X194" s="54" t="e">
        <f t="shared" si="48"/>
        <v>#DIV/0!</v>
      </c>
      <c r="Y194" s="25">
        <f t="shared" si="55"/>
        <v>0</v>
      </c>
      <c r="Z194" s="54">
        <f t="shared" si="60"/>
        <v>0</v>
      </c>
      <c r="AA194" s="54">
        <f t="shared" si="75"/>
        <v>0</v>
      </c>
      <c r="AB194" s="54">
        <f t="shared" si="75"/>
        <v>0</v>
      </c>
      <c r="AC194" s="54">
        <f t="shared" si="75"/>
        <v>0</v>
      </c>
      <c r="AD194" s="54">
        <f t="shared" si="75"/>
        <v>0</v>
      </c>
      <c r="AE194" s="54">
        <f t="shared" si="75"/>
        <v>0</v>
      </c>
      <c r="AF194" s="54">
        <f t="shared" si="75"/>
        <v>0</v>
      </c>
      <c r="AG194" s="54">
        <f t="shared" si="75"/>
        <v>0</v>
      </c>
      <c r="AH194" s="54">
        <f t="shared" si="75"/>
        <v>0</v>
      </c>
      <c r="AI194" s="54">
        <f t="shared" si="75"/>
        <v>0</v>
      </c>
      <c r="AJ194" s="54">
        <f t="shared" si="75"/>
        <v>0</v>
      </c>
      <c r="AK194" s="54">
        <f t="shared" ref="AK194" si="90">IF($E95+365&lt;$C$56,0,IF($E95&lt;$C$56,(($E95+365-$C$56)/365)*(($C95/$BN$157)+($D95/$BN$158)),IF($E95&gt;AK$166,0,IF($E95+365&lt;AK$166,($C95/$BN$157)+($D95/$BN$158),((AK$166-$E95)/365)*(($C95/$BN$157)+($D95/$BN$158))))))</f>
        <v>0</v>
      </c>
      <c r="AL194" s="24">
        <f t="shared" si="51"/>
        <v>0</v>
      </c>
      <c r="AM194" s="24">
        <f t="shared" si="52"/>
        <v>0</v>
      </c>
      <c r="AN194" s="55">
        <f t="shared" si="53"/>
        <v>0</v>
      </c>
      <c r="AO194" s="55">
        <f t="shared" si="54"/>
        <v>0</v>
      </c>
      <c r="AP194" s="24"/>
      <c r="AQ194" s="24"/>
      <c r="AR194" s="24"/>
      <c r="AS194" s="24"/>
      <c r="AT194" s="24"/>
      <c r="AU194" s="24"/>
      <c r="AV194" s="24"/>
      <c r="AW194" s="24"/>
      <c r="AX194" s="24"/>
      <c r="AY194" s="24"/>
    </row>
    <row r="195" spans="7:51">
      <c r="G195" s="12">
        <f t="shared" si="41"/>
        <v>0</v>
      </c>
      <c r="H195" s="12">
        <f t="shared" si="80"/>
        <v>0</v>
      </c>
      <c r="I195" s="12">
        <f t="shared" si="80"/>
        <v>0</v>
      </c>
      <c r="J195" s="12">
        <f t="shared" si="80"/>
        <v>0</v>
      </c>
      <c r="K195" s="12">
        <f t="shared" si="43"/>
        <v>0</v>
      </c>
      <c r="L195" s="12">
        <f t="shared" si="81"/>
        <v>0</v>
      </c>
      <c r="M195" s="12">
        <f t="shared" si="81"/>
        <v>0</v>
      </c>
      <c r="N195" s="12">
        <f t="shared" si="81"/>
        <v>0</v>
      </c>
      <c r="O195" s="12">
        <f t="shared" si="45"/>
        <v>0</v>
      </c>
      <c r="P195" s="12">
        <f t="shared" si="82"/>
        <v>0</v>
      </c>
      <c r="Q195" s="12">
        <f t="shared" si="82"/>
        <v>0</v>
      </c>
      <c r="T195" s="61"/>
      <c r="U195" s="61"/>
      <c r="V195" s="61"/>
      <c r="W195" s="53">
        <f t="shared" si="47"/>
        <v>0</v>
      </c>
      <c r="X195" s="54" t="e">
        <f t="shared" si="48"/>
        <v>#DIV/0!</v>
      </c>
      <c r="Y195" s="25">
        <f t="shared" si="55"/>
        <v>0</v>
      </c>
      <c r="Z195" s="54">
        <f t="shared" si="60"/>
        <v>0</v>
      </c>
      <c r="AA195" s="54">
        <f t="shared" si="75"/>
        <v>0</v>
      </c>
      <c r="AB195" s="54">
        <f t="shared" si="75"/>
        <v>0</v>
      </c>
      <c r="AC195" s="54">
        <f t="shared" si="75"/>
        <v>0</v>
      </c>
      <c r="AD195" s="54">
        <f t="shared" si="75"/>
        <v>0</v>
      </c>
      <c r="AE195" s="54">
        <f t="shared" si="75"/>
        <v>0</v>
      </c>
      <c r="AF195" s="54">
        <f t="shared" si="75"/>
        <v>0</v>
      </c>
      <c r="AG195" s="54">
        <f t="shared" si="75"/>
        <v>0</v>
      </c>
      <c r="AH195" s="54">
        <f t="shared" si="75"/>
        <v>0</v>
      </c>
      <c r="AI195" s="54">
        <f t="shared" si="75"/>
        <v>0</v>
      </c>
      <c r="AJ195" s="54">
        <f t="shared" si="75"/>
        <v>0</v>
      </c>
      <c r="AK195" s="54">
        <f t="shared" ref="AK195" si="91">IF($E96+365&lt;$C$56,0,IF($E96&lt;$C$56,(($E96+365-$C$56)/365)*(($C96/$BN$157)+($D96/$BN$158)),IF($E96&gt;AK$166,0,IF($E96+365&lt;AK$166,($C96/$BN$157)+($D96/$BN$158),((AK$166-$E96)/365)*(($C96/$BN$157)+($D96/$BN$158))))))</f>
        <v>0</v>
      </c>
      <c r="AL195" s="24">
        <f t="shared" si="51"/>
        <v>0</v>
      </c>
      <c r="AM195" s="24">
        <f t="shared" si="52"/>
        <v>0</v>
      </c>
      <c r="AN195" s="55">
        <f t="shared" si="53"/>
        <v>0</v>
      </c>
      <c r="AO195" s="55">
        <f t="shared" si="54"/>
        <v>0</v>
      </c>
      <c r="AP195" s="24"/>
      <c r="AQ195" s="24"/>
      <c r="AR195" s="24"/>
      <c r="AS195" s="24"/>
      <c r="AT195" s="24"/>
      <c r="AU195" s="24"/>
      <c r="AV195" s="24"/>
      <c r="AW195" s="24"/>
      <c r="AX195" s="24"/>
      <c r="AY195" s="24"/>
    </row>
    <row r="196" spans="7:51">
      <c r="G196" s="12">
        <f t="shared" si="41"/>
        <v>0</v>
      </c>
      <c r="H196" s="12">
        <f t="shared" si="80"/>
        <v>0</v>
      </c>
      <c r="I196" s="12">
        <f t="shared" si="80"/>
        <v>0</v>
      </c>
      <c r="J196" s="12">
        <f t="shared" si="80"/>
        <v>0</v>
      </c>
      <c r="K196" s="12">
        <f t="shared" si="43"/>
        <v>0</v>
      </c>
      <c r="L196" s="12">
        <f t="shared" si="81"/>
        <v>0</v>
      </c>
      <c r="M196" s="12">
        <f t="shared" si="81"/>
        <v>0</v>
      </c>
      <c r="N196" s="12">
        <f t="shared" si="81"/>
        <v>0</v>
      </c>
      <c r="O196" s="12">
        <f t="shared" si="45"/>
        <v>0</v>
      </c>
      <c r="P196" s="12">
        <f t="shared" si="82"/>
        <v>0</v>
      </c>
      <c r="Q196" s="12">
        <f t="shared" si="82"/>
        <v>0</v>
      </c>
      <c r="T196" s="61"/>
      <c r="U196" s="61"/>
      <c r="V196" s="61"/>
      <c r="W196" s="53">
        <f t="shared" si="47"/>
        <v>0</v>
      </c>
      <c r="X196" s="54" t="e">
        <f t="shared" si="48"/>
        <v>#DIV/0!</v>
      </c>
      <c r="Y196" s="25">
        <f t="shared" si="55"/>
        <v>0</v>
      </c>
      <c r="Z196" s="54">
        <f t="shared" si="60"/>
        <v>0</v>
      </c>
      <c r="AA196" s="54">
        <f t="shared" si="75"/>
        <v>0</v>
      </c>
      <c r="AB196" s="54">
        <f t="shared" si="75"/>
        <v>0</v>
      </c>
      <c r="AC196" s="54">
        <f t="shared" si="75"/>
        <v>0</v>
      </c>
      <c r="AD196" s="54">
        <f t="shared" si="75"/>
        <v>0</v>
      </c>
      <c r="AE196" s="54">
        <f t="shared" si="75"/>
        <v>0</v>
      </c>
      <c r="AF196" s="54">
        <f t="shared" si="75"/>
        <v>0</v>
      </c>
      <c r="AG196" s="54">
        <f t="shared" si="75"/>
        <v>0</v>
      </c>
      <c r="AH196" s="54">
        <f t="shared" si="75"/>
        <v>0</v>
      </c>
      <c r="AI196" s="54">
        <f t="shared" si="75"/>
        <v>0</v>
      </c>
      <c r="AJ196" s="54">
        <f t="shared" si="75"/>
        <v>0</v>
      </c>
      <c r="AK196" s="54">
        <f t="shared" ref="AK196" si="92">IF($E97+365&lt;$C$56,0,IF($E97&lt;$C$56,(($E97+365-$C$56)/365)*(($C97/$BN$157)+($D97/$BN$158)),IF($E97&gt;AK$166,0,IF($E97+365&lt;AK$166,($C97/$BN$157)+($D97/$BN$158),((AK$166-$E97)/365)*(($C97/$BN$157)+($D97/$BN$158))))))</f>
        <v>0</v>
      </c>
      <c r="AL196" s="24">
        <f t="shared" si="51"/>
        <v>0</v>
      </c>
      <c r="AM196" s="24">
        <f t="shared" si="52"/>
        <v>0</v>
      </c>
      <c r="AN196" s="55">
        <f t="shared" si="53"/>
        <v>0</v>
      </c>
      <c r="AO196" s="55">
        <f t="shared" si="54"/>
        <v>0</v>
      </c>
      <c r="AP196" s="24"/>
      <c r="AQ196" s="24"/>
      <c r="AR196" s="24"/>
      <c r="AS196" s="24"/>
      <c r="AT196" s="24"/>
      <c r="AU196" s="24"/>
      <c r="AV196" s="24"/>
      <c r="AW196" s="24"/>
      <c r="AX196" s="24"/>
      <c r="AY196" s="24"/>
    </row>
    <row r="197" spans="7:51">
      <c r="G197" s="12">
        <f t="shared" si="41"/>
        <v>0</v>
      </c>
      <c r="H197" s="12">
        <f t="shared" si="80"/>
        <v>0</v>
      </c>
      <c r="I197" s="12">
        <f t="shared" si="80"/>
        <v>0</v>
      </c>
      <c r="J197" s="12">
        <f t="shared" si="80"/>
        <v>0</v>
      </c>
      <c r="K197" s="12">
        <f t="shared" si="43"/>
        <v>0</v>
      </c>
      <c r="L197" s="12">
        <f t="shared" si="81"/>
        <v>0</v>
      </c>
      <c r="M197" s="12">
        <f t="shared" si="81"/>
        <v>0</v>
      </c>
      <c r="N197" s="12">
        <f t="shared" si="81"/>
        <v>0</v>
      </c>
      <c r="O197" s="12">
        <f t="shared" si="45"/>
        <v>0</v>
      </c>
      <c r="P197" s="12">
        <f t="shared" si="82"/>
        <v>0</v>
      </c>
      <c r="Q197" s="12">
        <f t="shared" si="82"/>
        <v>0</v>
      </c>
      <c r="T197" s="61"/>
      <c r="U197" s="61"/>
      <c r="V197" s="61"/>
      <c r="W197" s="53">
        <f t="shared" si="47"/>
        <v>0</v>
      </c>
      <c r="X197" s="54" t="e">
        <f t="shared" si="48"/>
        <v>#DIV/0!</v>
      </c>
      <c r="Y197" s="25">
        <f t="shared" si="55"/>
        <v>0</v>
      </c>
      <c r="Z197" s="54">
        <f t="shared" si="60"/>
        <v>0</v>
      </c>
      <c r="AA197" s="54">
        <f t="shared" si="75"/>
        <v>0</v>
      </c>
      <c r="AB197" s="54">
        <f t="shared" si="75"/>
        <v>0</v>
      </c>
      <c r="AC197" s="54">
        <f t="shared" si="75"/>
        <v>0</v>
      </c>
      <c r="AD197" s="54">
        <f t="shared" si="75"/>
        <v>0</v>
      </c>
      <c r="AE197" s="54">
        <f t="shared" si="75"/>
        <v>0</v>
      </c>
      <c r="AF197" s="54">
        <f t="shared" si="75"/>
        <v>0</v>
      </c>
      <c r="AG197" s="54">
        <f t="shared" si="75"/>
        <v>0</v>
      </c>
      <c r="AH197" s="54">
        <f t="shared" si="75"/>
        <v>0</v>
      </c>
      <c r="AI197" s="54">
        <f t="shared" si="75"/>
        <v>0</v>
      </c>
      <c r="AJ197" s="54">
        <f t="shared" si="75"/>
        <v>0</v>
      </c>
      <c r="AK197" s="54">
        <f t="shared" ref="AK197" si="93">IF($E98+365&lt;$C$56,0,IF($E98&lt;$C$56,(($E98+365-$C$56)/365)*(($C98/$BN$157)+($D98/$BN$158)),IF($E98&gt;AK$166,0,IF($E98+365&lt;AK$166,($C98/$BN$157)+($D98/$BN$158),((AK$166-$E98)/365)*(($C98/$BN$157)+($D98/$BN$158))))))</f>
        <v>0</v>
      </c>
      <c r="AL197" s="24">
        <f t="shared" si="51"/>
        <v>0</v>
      </c>
      <c r="AM197" s="24">
        <f t="shared" si="52"/>
        <v>0</v>
      </c>
      <c r="AN197" s="55">
        <f t="shared" si="53"/>
        <v>0</v>
      </c>
      <c r="AO197" s="55">
        <f t="shared" si="54"/>
        <v>0</v>
      </c>
      <c r="AP197" s="24"/>
      <c r="AQ197" s="24"/>
      <c r="AR197" s="24"/>
      <c r="AS197" s="24"/>
      <c r="AT197" s="24"/>
      <c r="AU197" s="24"/>
      <c r="AV197" s="24"/>
      <c r="AW197" s="24"/>
      <c r="AX197" s="24"/>
      <c r="AY197" s="24"/>
    </row>
    <row r="198" spans="7:51">
      <c r="G198" s="12">
        <f t="shared" si="41"/>
        <v>0</v>
      </c>
      <c r="H198" s="12">
        <f t="shared" si="80"/>
        <v>0</v>
      </c>
      <c r="I198" s="12">
        <f t="shared" si="80"/>
        <v>0</v>
      </c>
      <c r="J198" s="12">
        <f t="shared" si="80"/>
        <v>0</v>
      </c>
      <c r="K198" s="12">
        <f t="shared" si="43"/>
        <v>0</v>
      </c>
      <c r="L198" s="12">
        <f t="shared" si="81"/>
        <v>0</v>
      </c>
      <c r="M198" s="12">
        <f t="shared" si="81"/>
        <v>0</v>
      </c>
      <c r="N198" s="12">
        <f t="shared" si="81"/>
        <v>0</v>
      </c>
      <c r="O198" s="12">
        <f t="shared" si="45"/>
        <v>0</v>
      </c>
      <c r="P198" s="12">
        <f t="shared" si="82"/>
        <v>0</v>
      </c>
      <c r="Q198" s="12">
        <f t="shared" si="82"/>
        <v>0</v>
      </c>
      <c r="T198" s="61"/>
      <c r="U198" s="61"/>
      <c r="V198" s="61"/>
      <c r="W198" s="53">
        <f t="shared" si="47"/>
        <v>0</v>
      </c>
      <c r="X198" s="54" t="e">
        <f t="shared" si="48"/>
        <v>#DIV/0!</v>
      </c>
      <c r="Y198" s="25">
        <f t="shared" si="55"/>
        <v>0</v>
      </c>
      <c r="Z198" s="54">
        <f t="shared" si="60"/>
        <v>0</v>
      </c>
      <c r="AA198" s="54">
        <f t="shared" si="75"/>
        <v>0</v>
      </c>
      <c r="AB198" s="54">
        <f t="shared" si="75"/>
        <v>0</v>
      </c>
      <c r="AC198" s="54">
        <f t="shared" si="75"/>
        <v>0</v>
      </c>
      <c r="AD198" s="54">
        <f t="shared" si="75"/>
        <v>0</v>
      </c>
      <c r="AE198" s="54">
        <f t="shared" si="75"/>
        <v>0</v>
      </c>
      <c r="AF198" s="54">
        <f t="shared" si="75"/>
        <v>0</v>
      </c>
      <c r="AG198" s="54">
        <f t="shared" si="75"/>
        <v>0</v>
      </c>
      <c r="AH198" s="54">
        <f t="shared" si="75"/>
        <v>0</v>
      </c>
      <c r="AI198" s="54">
        <f t="shared" si="75"/>
        <v>0</v>
      </c>
      <c r="AJ198" s="54">
        <f t="shared" si="75"/>
        <v>0</v>
      </c>
      <c r="AK198" s="54">
        <f t="shared" ref="AK198" si="94">IF($E99+365&lt;$C$56,0,IF($E99&lt;$C$56,(($E99+365-$C$56)/365)*(($C99/$BN$157)+($D99/$BN$158)),IF($E99&gt;AK$166,0,IF($E99+365&lt;AK$166,($C99/$BN$157)+($D99/$BN$158),((AK$166-$E99)/365)*(($C99/$BN$157)+($D99/$BN$158))))))</f>
        <v>0</v>
      </c>
      <c r="AL198" s="24">
        <f t="shared" si="51"/>
        <v>0</v>
      </c>
      <c r="AM198" s="24">
        <f t="shared" si="52"/>
        <v>0</v>
      </c>
      <c r="AN198" s="55">
        <f t="shared" si="53"/>
        <v>0</v>
      </c>
      <c r="AO198" s="55">
        <f t="shared" si="54"/>
        <v>0</v>
      </c>
      <c r="AP198" s="24"/>
      <c r="AQ198" s="24"/>
      <c r="AR198" s="24"/>
      <c r="AS198" s="24"/>
      <c r="AT198" s="24"/>
      <c r="AU198" s="24"/>
      <c r="AV198" s="24"/>
      <c r="AW198" s="24"/>
      <c r="AX198" s="24"/>
      <c r="AY198" s="24"/>
    </row>
    <row r="199" spans="7:51">
      <c r="G199" s="12">
        <f t="shared" si="41"/>
        <v>0</v>
      </c>
      <c r="H199" s="12">
        <f t="shared" si="80"/>
        <v>0</v>
      </c>
      <c r="I199" s="12">
        <f t="shared" si="80"/>
        <v>0</v>
      </c>
      <c r="J199" s="12">
        <f t="shared" si="80"/>
        <v>0</v>
      </c>
      <c r="K199" s="12">
        <f t="shared" si="43"/>
        <v>0</v>
      </c>
      <c r="L199" s="12">
        <f t="shared" si="81"/>
        <v>0</v>
      </c>
      <c r="M199" s="12">
        <f t="shared" si="81"/>
        <v>0</v>
      </c>
      <c r="N199" s="12">
        <f t="shared" si="81"/>
        <v>0</v>
      </c>
      <c r="O199" s="12">
        <f t="shared" si="45"/>
        <v>0</v>
      </c>
      <c r="P199" s="12">
        <f t="shared" si="82"/>
        <v>0</v>
      </c>
      <c r="Q199" s="12">
        <f t="shared" si="82"/>
        <v>0</v>
      </c>
      <c r="T199" s="61"/>
      <c r="U199" s="61"/>
      <c r="V199" s="61"/>
      <c r="W199" s="53">
        <f t="shared" si="47"/>
        <v>0</v>
      </c>
      <c r="X199" s="54" t="e">
        <f t="shared" si="48"/>
        <v>#DIV/0!</v>
      </c>
      <c r="Y199" s="25">
        <f t="shared" si="55"/>
        <v>0</v>
      </c>
      <c r="Z199" s="54">
        <f t="shared" si="60"/>
        <v>0</v>
      </c>
      <c r="AA199" s="54">
        <f t="shared" ref="AA199:AJ213" si="95">IF($E100+365&lt;$C$56,0,IF($E100&lt;$C$56,(($E100+365-$C$56)/365)*(($C100/$BN$157)+($D100/$BN$158)),IF($E100&gt;AA$166,0,IF($E100+365&lt;AA$166,($C100/$BN$157)+($D100/$BN$158),((AA$166-$E100)/365)*(($C100/$BN$157)+($D100/$BN$158))))))</f>
        <v>0</v>
      </c>
      <c r="AB199" s="54">
        <f t="shared" si="95"/>
        <v>0</v>
      </c>
      <c r="AC199" s="54">
        <f t="shared" si="95"/>
        <v>0</v>
      </c>
      <c r="AD199" s="54">
        <f t="shared" si="95"/>
        <v>0</v>
      </c>
      <c r="AE199" s="54">
        <f t="shared" si="95"/>
        <v>0</v>
      </c>
      <c r="AF199" s="54">
        <f t="shared" si="95"/>
        <v>0</v>
      </c>
      <c r="AG199" s="54">
        <f t="shared" si="95"/>
        <v>0</v>
      </c>
      <c r="AH199" s="54">
        <f t="shared" si="95"/>
        <v>0</v>
      </c>
      <c r="AI199" s="54">
        <f t="shared" si="95"/>
        <v>0</v>
      </c>
      <c r="AJ199" s="54">
        <f t="shared" si="95"/>
        <v>0</v>
      </c>
      <c r="AK199" s="54">
        <f t="shared" ref="AK199" si="96">IF($E100+365&lt;$C$56,0,IF($E100&lt;$C$56,(($E100+365-$C$56)/365)*(($C100/$BN$157)+($D100/$BN$158)),IF($E100&gt;AK$166,0,IF($E100+365&lt;AK$166,($C100/$BN$157)+($D100/$BN$158),((AK$166-$E100)/365)*(($C100/$BN$157)+($D100/$BN$158))))))</f>
        <v>0</v>
      </c>
      <c r="AL199" s="24">
        <f t="shared" si="51"/>
        <v>0</v>
      </c>
      <c r="AM199" s="24">
        <f t="shared" si="52"/>
        <v>0</v>
      </c>
      <c r="AN199" s="55">
        <f t="shared" si="53"/>
        <v>0</v>
      </c>
      <c r="AO199" s="55">
        <f t="shared" si="54"/>
        <v>0</v>
      </c>
      <c r="AP199" s="24"/>
      <c r="AQ199" s="24"/>
      <c r="AR199" s="24"/>
      <c r="AS199" s="24"/>
      <c r="AT199" s="24"/>
      <c r="AU199" s="24"/>
      <c r="AV199" s="24"/>
      <c r="AW199" s="24"/>
      <c r="AX199" s="24"/>
      <c r="AY199" s="24"/>
    </row>
    <row r="200" spans="7:51">
      <c r="G200" s="12">
        <f t="shared" si="41"/>
        <v>0</v>
      </c>
      <c r="H200" s="12">
        <f t="shared" si="80"/>
        <v>0</v>
      </c>
      <c r="I200" s="12">
        <f t="shared" si="80"/>
        <v>0</v>
      </c>
      <c r="J200" s="12">
        <f t="shared" si="80"/>
        <v>0</v>
      </c>
      <c r="K200" s="12">
        <f t="shared" si="43"/>
        <v>0</v>
      </c>
      <c r="L200" s="12">
        <f t="shared" si="81"/>
        <v>0</v>
      </c>
      <c r="M200" s="12">
        <f t="shared" si="81"/>
        <v>0</v>
      </c>
      <c r="N200" s="12">
        <f t="shared" si="81"/>
        <v>0</v>
      </c>
      <c r="O200" s="12">
        <f t="shared" si="45"/>
        <v>0</v>
      </c>
      <c r="P200" s="12">
        <f t="shared" si="82"/>
        <v>0</v>
      </c>
      <c r="Q200" s="12">
        <f t="shared" si="82"/>
        <v>0</v>
      </c>
      <c r="T200" s="61"/>
      <c r="U200" s="61"/>
      <c r="V200" s="61"/>
      <c r="W200" s="53">
        <f t="shared" si="47"/>
        <v>0</v>
      </c>
      <c r="X200" s="54" t="e">
        <f t="shared" si="48"/>
        <v>#DIV/0!</v>
      </c>
      <c r="Y200" s="25">
        <f t="shared" si="55"/>
        <v>0</v>
      </c>
      <c r="Z200" s="54">
        <f t="shared" si="60"/>
        <v>0</v>
      </c>
      <c r="AA200" s="54">
        <f t="shared" si="95"/>
        <v>0</v>
      </c>
      <c r="AB200" s="54">
        <f t="shared" si="95"/>
        <v>0</v>
      </c>
      <c r="AC200" s="54">
        <f t="shared" si="95"/>
        <v>0</v>
      </c>
      <c r="AD200" s="54">
        <f t="shared" si="95"/>
        <v>0</v>
      </c>
      <c r="AE200" s="54">
        <f t="shared" si="95"/>
        <v>0</v>
      </c>
      <c r="AF200" s="54">
        <f t="shared" si="95"/>
        <v>0</v>
      </c>
      <c r="AG200" s="54">
        <f t="shared" si="95"/>
        <v>0</v>
      </c>
      <c r="AH200" s="54">
        <f t="shared" si="95"/>
        <v>0</v>
      </c>
      <c r="AI200" s="54">
        <f t="shared" si="95"/>
        <v>0</v>
      </c>
      <c r="AJ200" s="54">
        <f t="shared" si="95"/>
        <v>0</v>
      </c>
      <c r="AK200" s="54">
        <f t="shared" ref="AK200" si="97">IF($E101+365&lt;$C$56,0,IF($E101&lt;$C$56,(($E101+365-$C$56)/365)*(($C101/$BN$157)+($D101/$BN$158)),IF($E101&gt;AK$166,0,IF($E101+365&lt;AK$166,($C101/$BN$157)+($D101/$BN$158),((AK$166-$E101)/365)*(($C101/$BN$157)+($D101/$BN$158))))))</f>
        <v>0</v>
      </c>
      <c r="AL200" s="24">
        <f t="shared" si="51"/>
        <v>0</v>
      </c>
      <c r="AM200" s="24">
        <f t="shared" si="52"/>
        <v>0</v>
      </c>
      <c r="AN200" s="55">
        <f t="shared" si="53"/>
        <v>0</v>
      </c>
      <c r="AO200" s="55">
        <f t="shared" si="54"/>
        <v>0</v>
      </c>
      <c r="AP200" s="24"/>
      <c r="AQ200" s="24"/>
      <c r="AR200" s="24"/>
      <c r="AS200" s="24"/>
      <c r="AT200" s="24"/>
      <c r="AU200" s="24"/>
      <c r="AV200" s="24"/>
      <c r="AW200" s="24"/>
      <c r="AX200" s="24"/>
      <c r="AY200" s="24"/>
    </row>
    <row r="201" spans="7:51">
      <c r="G201" s="12">
        <f t="shared" si="41"/>
        <v>0</v>
      </c>
      <c r="H201" s="12">
        <f t="shared" si="80"/>
        <v>0</v>
      </c>
      <c r="I201" s="12">
        <f t="shared" si="80"/>
        <v>0</v>
      </c>
      <c r="J201" s="12">
        <f t="shared" si="80"/>
        <v>0</v>
      </c>
      <c r="K201" s="12">
        <f t="shared" si="43"/>
        <v>0</v>
      </c>
      <c r="L201" s="12">
        <f t="shared" si="81"/>
        <v>0</v>
      </c>
      <c r="M201" s="12">
        <f t="shared" si="81"/>
        <v>0</v>
      </c>
      <c r="N201" s="12">
        <f t="shared" si="81"/>
        <v>0</v>
      </c>
      <c r="O201" s="12">
        <f t="shared" si="45"/>
        <v>0</v>
      </c>
      <c r="P201" s="12">
        <f t="shared" si="82"/>
        <v>0</v>
      </c>
      <c r="Q201" s="12">
        <f t="shared" si="82"/>
        <v>0</v>
      </c>
      <c r="T201" s="61"/>
      <c r="U201" s="61"/>
      <c r="V201" s="61"/>
      <c r="W201" s="53">
        <f t="shared" si="47"/>
        <v>0</v>
      </c>
      <c r="X201" s="54" t="e">
        <f t="shared" si="48"/>
        <v>#DIV/0!</v>
      </c>
      <c r="Y201" s="25">
        <f t="shared" si="55"/>
        <v>0</v>
      </c>
      <c r="Z201" s="54">
        <f t="shared" si="60"/>
        <v>0</v>
      </c>
      <c r="AA201" s="54">
        <f t="shared" si="95"/>
        <v>0</v>
      </c>
      <c r="AB201" s="54">
        <f t="shared" si="95"/>
        <v>0</v>
      </c>
      <c r="AC201" s="54">
        <f t="shared" si="95"/>
        <v>0</v>
      </c>
      <c r="AD201" s="54">
        <f t="shared" si="95"/>
        <v>0</v>
      </c>
      <c r="AE201" s="54">
        <f t="shared" si="95"/>
        <v>0</v>
      </c>
      <c r="AF201" s="54">
        <f t="shared" si="95"/>
        <v>0</v>
      </c>
      <c r="AG201" s="54">
        <f t="shared" si="95"/>
        <v>0</v>
      </c>
      <c r="AH201" s="54">
        <f t="shared" si="95"/>
        <v>0</v>
      </c>
      <c r="AI201" s="54">
        <f t="shared" si="95"/>
        <v>0</v>
      </c>
      <c r="AJ201" s="54">
        <f t="shared" si="95"/>
        <v>0</v>
      </c>
      <c r="AK201" s="54">
        <f t="shared" ref="AK201" si="98">IF($E102+365&lt;$C$56,0,IF($E102&lt;$C$56,(($E102+365-$C$56)/365)*(($C102/$BN$157)+($D102/$BN$158)),IF($E102&gt;AK$166,0,IF($E102+365&lt;AK$166,($C102/$BN$157)+($D102/$BN$158),((AK$166-$E102)/365)*(($C102/$BN$157)+($D102/$BN$158))))))</f>
        <v>0</v>
      </c>
      <c r="AL201" s="24">
        <f t="shared" si="51"/>
        <v>0</v>
      </c>
      <c r="AM201" s="24">
        <f t="shared" si="52"/>
        <v>0</v>
      </c>
      <c r="AN201" s="55">
        <f t="shared" si="53"/>
        <v>0</v>
      </c>
      <c r="AO201" s="55">
        <f t="shared" si="54"/>
        <v>0</v>
      </c>
      <c r="AP201" s="24"/>
      <c r="AQ201" s="24"/>
      <c r="AR201" s="24"/>
      <c r="AS201" s="24"/>
      <c r="AT201" s="24"/>
      <c r="AU201" s="24"/>
      <c r="AV201" s="24"/>
      <c r="AW201" s="24"/>
      <c r="AX201" s="24"/>
      <c r="AY201" s="24"/>
    </row>
    <row r="202" spans="7:51">
      <c r="G202" s="12">
        <f t="shared" si="41"/>
        <v>0</v>
      </c>
      <c r="H202" s="12">
        <f t="shared" si="80"/>
        <v>0</v>
      </c>
      <c r="I202" s="12">
        <f t="shared" si="80"/>
        <v>0</v>
      </c>
      <c r="J202" s="12">
        <f t="shared" si="80"/>
        <v>0</v>
      </c>
      <c r="K202" s="12">
        <f t="shared" si="43"/>
        <v>0</v>
      </c>
      <c r="L202" s="12">
        <f t="shared" si="81"/>
        <v>0</v>
      </c>
      <c r="M202" s="12">
        <f t="shared" si="81"/>
        <v>0</v>
      </c>
      <c r="N202" s="12">
        <f t="shared" si="81"/>
        <v>0</v>
      </c>
      <c r="O202" s="12">
        <f t="shared" si="45"/>
        <v>0</v>
      </c>
      <c r="P202" s="12">
        <f t="shared" si="82"/>
        <v>0</v>
      </c>
      <c r="Q202" s="12">
        <f t="shared" si="82"/>
        <v>0</v>
      </c>
      <c r="T202" s="61"/>
      <c r="U202" s="61"/>
      <c r="V202" s="61"/>
      <c r="W202" s="53">
        <f t="shared" si="47"/>
        <v>0</v>
      </c>
      <c r="X202" s="54" t="e">
        <f t="shared" si="48"/>
        <v>#DIV/0!</v>
      </c>
      <c r="Y202" s="25">
        <f t="shared" si="55"/>
        <v>0</v>
      </c>
      <c r="Z202" s="54">
        <f t="shared" si="60"/>
        <v>0</v>
      </c>
      <c r="AA202" s="54">
        <f t="shared" si="95"/>
        <v>0</v>
      </c>
      <c r="AB202" s="54">
        <f t="shared" si="95"/>
        <v>0</v>
      </c>
      <c r="AC202" s="54">
        <f t="shared" si="95"/>
        <v>0</v>
      </c>
      <c r="AD202" s="54">
        <f t="shared" si="95"/>
        <v>0</v>
      </c>
      <c r="AE202" s="54">
        <f t="shared" si="95"/>
        <v>0</v>
      </c>
      <c r="AF202" s="54">
        <f t="shared" si="95"/>
        <v>0</v>
      </c>
      <c r="AG202" s="54">
        <f t="shared" si="95"/>
        <v>0</v>
      </c>
      <c r="AH202" s="54">
        <f t="shared" si="95"/>
        <v>0</v>
      </c>
      <c r="AI202" s="54">
        <f t="shared" si="95"/>
        <v>0</v>
      </c>
      <c r="AJ202" s="54">
        <f t="shared" si="95"/>
        <v>0</v>
      </c>
      <c r="AK202" s="54">
        <f t="shared" ref="AK202" si="99">IF($E103+365&lt;$C$56,0,IF($E103&lt;$C$56,(($E103+365-$C$56)/365)*(($C103/$BN$157)+($D103/$BN$158)),IF($E103&gt;AK$166,0,IF($E103+365&lt;AK$166,($C103/$BN$157)+($D103/$BN$158),((AK$166-$E103)/365)*(($C103/$BN$157)+($D103/$BN$158))))))</f>
        <v>0</v>
      </c>
      <c r="AL202" s="24">
        <f t="shared" si="51"/>
        <v>0</v>
      </c>
      <c r="AM202" s="24">
        <f t="shared" si="52"/>
        <v>0</v>
      </c>
      <c r="AN202" s="55">
        <f t="shared" si="53"/>
        <v>0</v>
      </c>
      <c r="AO202" s="55">
        <f t="shared" si="54"/>
        <v>0</v>
      </c>
      <c r="AP202" s="24"/>
      <c r="AQ202" s="24"/>
      <c r="AR202" s="24"/>
      <c r="AS202" s="24"/>
      <c r="AT202" s="24"/>
      <c r="AU202" s="24"/>
      <c r="AV202" s="24"/>
      <c r="AW202" s="24"/>
      <c r="AX202" s="24"/>
      <c r="AY202" s="24"/>
    </row>
    <row r="203" spans="7:51">
      <c r="G203" s="12">
        <f t="shared" si="41"/>
        <v>0</v>
      </c>
      <c r="H203" s="12">
        <f t="shared" si="80"/>
        <v>0</v>
      </c>
      <c r="I203" s="12">
        <f t="shared" si="80"/>
        <v>0</v>
      </c>
      <c r="J203" s="12">
        <f t="shared" si="80"/>
        <v>0</v>
      </c>
      <c r="K203" s="12">
        <f t="shared" si="43"/>
        <v>0</v>
      </c>
      <c r="L203" s="12">
        <f t="shared" si="81"/>
        <v>0</v>
      </c>
      <c r="M203" s="12">
        <f t="shared" si="81"/>
        <v>0</v>
      </c>
      <c r="N203" s="12">
        <f t="shared" si="81"/>
        <v>0</v>
      </c>
      <c r="O203" s="12">
        <f t="shared" si="45"/>
        <v>0</v>
      </c>
      <c r="P203" s="12">
        <f t="shared" si="82"/>
        <v>0</v>
      </c>
      <c r="Q203" s="12">
        <f t="shared" si="82"/>
        <v>0</v>
      </c>
      <c r="T203" s="61"/>
      <c r="U203" s="61"/>
      <c r="V203" s="61"/>
      <c r="W203" s="53">
        <f t="shared" si="47"/>
        <v>0</v>
      </c>
      <c r="X203" s="54" t="e">
        <f t="shared" si="48"/>
        <v>#DIV/0!</v>
      </c>
      <c r="Y203" s="25">
        <f t="shared" si="55"/>
        <v>0</v>
      </c>
      <c r="Z203" s="54">
        <f t="shared" si="60"/>
        <v>0</v>
      </c>
      <c r="AA203" s="54">
        <f t="shared" si="95"/>
        <v>0</v>
      </c>
      <c r="AB203" s="54">
        <f t="shared" si="95"/>
        <v>0</v>
      </c>
      <c r="AC203" s="54">
        <f t="shared" si="95"/>
        <v>0</v>
      </c>
      <c r="AD203" s="54">
        <f t="shared" si="95"/>
        <v>0</v>
      </c>
      <c r="AE203" s="54">
        <f t="shared" si="95"/>
        <v>0</v>
      </c>
      <c r="AF203" s="54">
        <f t="shared" si="95"/>
        <v>0</v>
      </c>
      <c r="AG203" s="54">
        <f t="shared" si="95"/>
        <v>0</v>
      </c>
      <c r="AH203" s="54">
        <f t="shared" si="95"/>
        <v>0</v>
      </c>
      <c r="AI203" s="54">
        <f t="shared" si="95"/>
        <v>0</v>
      </c>
      <c r="AJ203" s="54">
        <f t="shared" si="95"/>
        <v>0</v>
      </c>
      <c r="AK203" s="54">
        <f t="shared" ref="AK203" si="100">IF($E104+365&lt;$C$56,0,IF($E104&lt;$C$56,(($E104+365-$C$56)/365)*(($C104/$BN$157)+($D104/$BN$158)),IF($E104&gt;AK$166,0,IF($E104+365&lt;AK$166,($C104/$BN$157)+($D104/$BN$158),((AK$166-$E104)/365)*(($C104/$BN$157)+($D104/$BN$158))))))</f>
        <v>0</v>
      </c>
      <c r="AL203" s="24">
        <f t="shared" si="51"/>
        <v>0</v>
      </c>
      <c r="AM203" s="24">
        <f t="shared" si="52"/>
        <v>0</v>
      </c>
      <c r="AN203" s="55">
        <f t="shared" si="53"/>
        <v>0</v>
      </c>
      <c r="AO203" s="55">
        <f t="shared" si="54"/>
        <v>0</v>
      </c>
      <c r="AP203" s="24"/>
      <c r="AQ203" s="24"/>
      <c r="AR203" s="24"/>
      <c r="AS203" s="24"/>
      <c r="AT203" s="24"/>
      <c r="AU203" s="24"/>
      <c r="AV203" s="24"/>
      <c r="AW203" s="24"/>
      <c r="AX203" s="24"/>
      <c r="AY203" s="24"/>
    </row>
    <row r="204" spans="7:51">
      <c r="G204" s="12">
        <f t="shared" si="41"/>
        <v>0</v>
      </c>
      <c r="H204" s="12">
        <f t="shared" si="80"/>
        <v>0</v>
      </c>
      <c r="I204" s="12">
        <f t="shared" si="80"/>
        <v>0</v>
      </c>
      <c r="J204" s="12">
        <f t="shared" si="80"/>
        <v>0</v>
      </c>
      <c r="K204" s="12">
        <f t="shared" si="43"/>
        <v>0</v>
      </c>
      <c r="L204" s="12">
        <f t="shared" si="81"/>
        <v>0</v>
      </c>
      <c r="M204" s="12">
        <f t="shared" si="81"/>
        <v>0</v>
      </c>
      <c r="N204" s="12">
        <f t="shared" si="81"/>
        <v>0</v>
      </c>
      <c r="O204" s="12">
        <f t="shared" si="45"/>
        <v>0</v>
      </c>
      <c r="P204" s="12">
        <f t="shared" si="82"/>
        <v>0</v>
      </c>
      <c r="Q204" s="12">
        <f t="shared" si="82"/>
        <v>0</v>
      </c>
      <c r="T204" s="61"/>
      <c r="U204" s="61"/>
      <c r="V204" s="61"/>
      <c r="W204" s="53">
        <f t="shared" si="47"/>
        <v>0</v>
      </c>
      <c r="X204" s="54" t="e">
        <f t="shared" si="48"/>
        <v>#DIV/0!</v>
      </c>
      <c r="Y204" s="25">
        <f t="shared" si="55"/>
        <v>0</v>
      </c>
      <c r="Z204" s="54">
        <f t="shared" si="60"/>
        <v>0</v>
      </c>
      <c r="AA204" s="54">
        <f t="shared" si="95"/>
        <v>0</v>
      </c>
      <c r="AB204" s="54">
        <f t="shared" si="95"/>
        <v>0</v>
      </c>
      <c r="AC204" s="54">
        <f t="shared" si="95"/>
        <v>0</v>
      </c>
      <c r="AD204" s="54">
        <f t="shared" si="95"/>
        <v>0</v>
      </c>
      <c r="AE204" s="54">
        <f t="shared" si="95"/>
        <v>0</v>
      </c>
      <c r="AF204" s="54">
        <f t="shared" si="95"/>
        <v>0</v>
      </c>
      <c r="AG204" s="54">
        <f t="shared" si="95"/>
        <v>0</v>
      </c>
      <c r="AH204" s="54">
        <f t="shared" si="95"/>
        <v>0</v>
      </c>
      <c r="AI204" s="54">
        <f t="shared" si="95"/>
        <v>0</v>
      </c>
      <c r="AJ204" s="54">
        <f t="shared" si="95"/>
        <v>0</v>
      </c>
      <c r="AK204" s="54">
        <f t="shared" ref="AK204" si="101">IF($E105+365&lt;$C$56,0,IF($E105&lt;$C$56,(($E105+365-$C$56)/365)*(($C105/$BN$157)+($D105/$BN$158)),IF($E105&gt;AK$166,0,IF($E105+365&lt;AK$166,($C105/$BN$157)+($D105/$BN$158),((AK$166-$E105)/365)*(($C105/$BN$157)+($D105/$BN$158))))))</f>
        <v>0</v>
      </c>
      <c r="AL204" s="24">
        <f t="shared" si="51"/>
        <v>0</v>
      </c>
      <c r="AM204" s="24">
        <f t="shared" si="52"/>
        <v>0</v>
      </c>
      <c r="AN204" s="55">
        <f t="shared" si="53"/>
        <v>0</v>
      </c>
      <c r="AO204" s="55">
        <f t="shared" si="54"/>
        <v>0</v>
      </c>
      <c r="AP204" s="24"/>
      <c r="AQ204" s="24"/>
      <c r="AR204" s="24"/>
      <c r="AS204" s="24"/>
      <c r="AT204" s="24"/>
      <c r="AU204" s="24"/>
      <c r="AV204" s="24"/>
      <c r="AW204" s="24"/>
      <c r="AX204" s="24"/>
      <c r="AY204" s="24"/>
    </row>
    <row r="205" spans="7:51">
      <c r="G205" s="12">
        <f t="shared" si="41"/>
        <v>0</v>
      </c>
      <c r="H205" s="12">
        <f t="shared" si="80"/>
        <v>0</v>
      </c>
      <c r="I205" s="12">
        <f t="shared" si="80"/>
        <v>0</v>
      </c>
      <c r="J205" s="12">
        <f t="shared" si="80"/>
        <v>0</v>
      </c>
      <c r="K205" s="12">
        <f t="shared" si="43"/>
        <v>0</v>
      </c>
      <c r="L205" s="12">
        <f t="shared" si="81"/>
        <v>0</v>
      </c>
      <c r="M205" s="12">
        <f t="shared" si="81"/>
        <v>0</v>
      </c>
      <c r="N205" s="12">
        <f t="shared" si="81"/>
        <v>0</v>
      </c>
      <c r="O205" s="12">
        <f t="shared" si="45"/>
        <v>0</v>
      </c>
      <c r="P205" s="12">
        <f t="shared" si="82"/>
        <v>0</v>
      </c>
      <c r="Q205" s="12">
        <f t="shared" si="82"/>
        <v>0</v>
      </c>
      <c r="T205" s="61"/>
      <c r="U205" s="61"/>
      <c r="V205" s="61"/>
      <c r="W205" s="53">
        <f t="shared" si="47"/>
        <v>0</v>
      </c>
      <c r="X205" s="54" t="e">
        <f t="shared" si="48"/>
        <v>#DIV/0!</v>
      </c>
      <c r="Y205" s="25">
        <f t="shared" si="55"/>
        <v>0</v>
      </c>
      <c r="Z205" s="54">
        <f t="shared" si="60"/>
        <v>0</v>
      </c>
      <c r="AA205" s="54">
        <f t="shared" si="95"/>
        <v>0</v>
      </c>
      <c r="AB205" s="54">
        <f t="shared" si="95"/>
        <v>0</v>
      </c>
      <c r="AC205" s="54">
        <f t="shared" si="95"/>
        <v>0</v>
      </c>
      <c r="AD205" s="54">
        <f t="shared" si="95"/>
        <v>0</v>
      </c>
      <c r="AE205" s="54">
        <f t="shared" si="95"/>
        <v>0</v>
      </c>
      <c r="AF205" s="54">
        <f t="shared" si="95"/>
        <v>0</v>
      </c>
      <c r="AG205" s="54">
        <f t="shared" si="95"/>
        <v>0</v>
      </c>
      <c r="AH205" s="54">
        <f t="shared" si="95"/>
        <v>0</v>
      </c>
      <c r="AI205" s="54">
        <f t="shared" si="95"/>
        <v>0</v>
      </c>
      <c r="AJ205" s="54">
        <f t="shared" si="95"/>
        <v>0</v>
      </c>
      <c r="AK205" s="54">
        <f t="shared" ref="AK205" si="102">IF($E106+365&lt;$C$56,0,IF($E106&lt;$C$56,(($E106+365-$C$56)/365)*(($C106/$BN$157)+($D106/$BN$158)),IF($E106&gt;AK$166,0,IF($E106+365&lt;AK$166,($C106/$BN$157)+($D106/$BN$158),((AK$166-$E106)/365)*(($C106/$BN$157)+($D106/$BN$158))))))</f>
        <v>0</v>
      </c>
      <c r="AL205" s="24">
        <f t="shared" si="51"/>
        <v>0</v>
      </c>
      <c r="AM205" s="24">
        <f t="shared" si="52"/>
        <v>0</v>
      </c>
      <c r="AN205" s="55">
        <f t="shared" si="53"/>
        <v>0</v>
      </c>
      <c r="AO205" s="55">
        <f t="shared" si="54"/>
        <v>0</v>
      </c>
      <c r="AP205" s="24"/>
      <c r="AQ205" s="24"/>
      <c r="AR205" s="24"/>
      <c r="AS205" s="24"/>
      <c r="AT205" s="24"/>
      <c r="AU205" s="24"/>
      <c r="AV205" s="24"/>
      <c r="AW205" s="24"/>
      <c r="AX205" s="24"/>
      <c r="AY205" s="24"/>
    </row>
    <row r="206" spans="7:51">
      <c r="G206" s="12">
        <f t="shared" si="41"/>
        <v>0</v>
      </c>
      <c r="H206" s="12">
        <f t="shared" si="80"/>
        <v>0</v>
      </c>
      <c r="I206" s="12">
        <f t="shared" si="80"/>
        <v>0</v>
      </c>
      <c r="J206" s="12">
        <f t="shared" si="80"/>
        <v>0</v>
      </c>
      <c r="K206" s="12">
        <f t="shared" si="43"/>
        <v>0</v>
      </c>
      <c r="L206" s="12">
        <f t="shared" si="81"/>
        <v>0</v>
      </c>
      <c r="M206" s="12">
        <f t="shared" si="81"/>
        <v>0</v>
      </c>
      <c r="N206" s="12">
        <f t="shared" si="81"/>
        <v>0</v>
      </c>
      <c r="O206" s="12">
        <f t="shared" si="45"/>
        <v>0</v>
      </c>
      <c r="P206" s="12">
        <f t="shared" si="82"/>
        <v>0</v>
      </c>
      <c r="Q206" s="12">
        <f t="shared" si="82"/>
        <v>0</v>
      </c>
      <c r="T206" s="61"/>
      <c r="U206" s="61"/>
      <c r="V206" s="61"/>
      <c r="W206" s="53">
        <f t="shared" si="47"/>
        <v>0</v>
      </c>
      <c r="X206" s="54" t="e">
        <f t="shared" si="48"/>
        <v>#DIV/0!</v>
      </c>
      <c r="Y206" s="25">
        <f t="shared" si="55"/>
        <v>0</v>
      </c>
      <c r="Z206" s="54">
        <f t="shared" si="60"/>
        <v>0</v>
      </c>
      <c r="AA206" s="54">
        <f t="shared" si="95"/>
        <v>0</v>
      </c>
      <c r="AB206" s="54">
        <f t="shared" si="95"/>
        <v>0</v>
      </c>
      <c r="AC206" s="54">
        <f t="shared" si="95"/>
        <v>0</v>
      </c>
      <c r="AD206" s="54">
        <f t="shared" si="95"/>
        <v>0</v>
      </c>
      <c r="AE206" s="54">
        <f t="shared" si="95"/>
        <v>0</v>
      </c>
      <c r="AF206" s="54">
        <f t="shared" si="95"/>
        <v>0</v>
      </c>
      <c r="AG206" s="54">
        <f t="shared" si="95"/>
        <v>0</v>
      </c>
      <c r="AH206" s="54">
        <f t="shared" si="95"/>
        <v>0</v>
      </c>
      <c r="AI206" s="54">
        <f t="shared" si="95"/>
        <v>0</v>
      </c>
      <c r="AJ206" s="54">
        <f t="shared" si="95"/>
        <v>0</v>
      </c>
      <c r="AK206" s="54">
        <f t="shared" ref="AK206" si="103">IF($E107+365&lt;$C$56,0,IF($E107&lt;$C$56,(($E107+365-$C$56)/365)*(($C107/$BN$157)+($D107/$BN$158)),IF($E107&gt;AK$166,0,IF($E107+365&lt;AK$166,($C107/$BN$157)+($D107/$BN$158),((AK$166-$E107)/365)*(($C107/$BN$157)+($D107/$BN$158))))))</f>
        <v>0</v>
      </c>
      <c r="AL206" s="24">
        <f t="shared" si="51"/>
        <v>0</v>
      </c>
      <c r="AM206" s="24">
        <f t="shared" si="52"/>
        <v>0</v>
      </c>
      <c r="AN206" s="55">
        <f t="shared" si="53"/>
        <v>0</v>
      </c>
      <c r="AO206" s="55">
        <f t="shared" si="54"/>
        <v>0</v>
      </c>
      <c r="AP206" s="24"/>
      <c r="AQ206" s="24"/>
      <c r="AR206" s="24"/>
      <c r="AS206" s="24"/>
      <c r="AT206" s="24"/>
      <c r="AU206" s="24"/>
      <c r="AV206" s="24"/>
      <c r="AW206" s="24"/>
      <c r="AX206" s="24"/>
      <c r="AY206" s="24"/>
    </row>
    <row r="207" spans="7:51">
      <c r="G207" s="12">
        <f t="shared" si="41"/>
        <v>0</v>
      </c>
      <c r="H207" s="12">
        <f t="shared" ref="H207:J209" si="104">IF($E109&gt;H$66,0,IF($E109&lt;H$66-365,$C109,0))</f>
        <v>0</v>
      </c>
      <c r="I207" s="12">
        <f t="shared" si="104"/>
        <v>0</v>
      </c>
      <c r="J207" s="12">
        <f t="shared" si="104"/>
        <v>0</v>
      </c>
      <c r="K207" s="12">
        <f t="shared" si="43"/>
        <v>0</v>
      </c>
      <c r="L207" s="12">
        <f t="shared" ref="L207:N209" si="105">IF($E109&gt;L$66,0,IF($E109&lt;L$66-365,$C109,0))</f>
        <v>0</v>
      </c>
      <c r="M207" s="12">
        <f t="shared" si="105"/>
        <v>0</v>
      </c>
      <c r="N207" s="12">
        <f t="shared" si="105"/>
        <v>0</v>
      </c>
      <c r="O207" s="12">
        <f t="shared" si="45"/>
        <v>0</v>
      </c>
      <c r="P207" s="12">
        <f t="shared" ref="P207:Q209" si="106">IF($E109&gt;P$66,0,IF($E109&lt;P$66-365,$C109,0))</f>
        <v>0</v>
      </c>
      <c r="Q207" s="12">
        <f t="shared" si="106"/>
        <v>0</v>
      </c>
      <c r="T207" s="61"/>
      <c r="U207" s="61"/>
      <c r="V207" s="61"/>
      <c r="W207" s="53">
        <f t="shared" si="47"/>
        <v>0</v>
      </c>
      <c r="X207" s="54" t="e">
        <f t="shared" si="48"/>
        <v>#DIV/0!</v>
      </c>
      <c r="Y207" s="25">
        <f t="shared" si="55"/>
        <v>0</v>
      </c>
      <c r="Z207" s="54">
        <f t="shared" si="60"/>
        <v>0</v>
      </c>
      <c r="AA207" s="54">
        <f t="shared" si="95"/>
        <v>0</v>
      </c>
      <c r="AB207" s="54">
        <f t="shared" si="95"/>
        <v>0</v>
      </c>
      <c r="AC207" s="54">
        <f t="shared" si="95"/>
        <v>0</v>
      </c>
      <c r="AD207" s="54">
        <f t="shared" si="95"/>
        <v>0</v>
      </c>
      <c r="AE207" s="54">
        <f t="shared" si="95"/>
        <v>0</v>
      </c>
      <c r="AF207" s="54">
        <f t="shared" si="95"/>
        <v>0</v>
      </c>
      <c r="AG207" s="54">
        <f t="shared" si="95"/>
        <v>0</v>
      </c>
      <c r="AH207" s="54">
        <f t="shared" si="95"/>
        <v>0</v>
      </c>
      <c r="AI207" s="54">
        <f t="shared" si="95"/>
        <v>0</v>
      </c>
      <c r="AJ207" s="54">
        <f t="shared" si="95"/>
        <v>0</v>
      </c>
      <c r="AK207" s="54">
        <f t="shared" ref="AK207" si="107">IF($E108+365&lt;$C$56,0,IF($E108&lt;$C$56,(($E108+365-$C$56)/365)*(($C108/$BN$157)+($D108/$BN$158)),IF($E108&gt;AK$166,0,IF($E108+365&lt;AK$166,($C108/$BN$157)+($D108/$BN$158),((AK$166-$E108)/365)*(($C108/$BN$157)+($D108/$BN$158))))))</f>
        <v>0</v>
      </c>
      <c r="AL207" s="24">
        <f t="shared" si="51"/>
        <v>0</v>
      </c>
      <c r="AM207" s="24">
        <f t="shared" si="52"/>
        <v>0</v>
      </c>
      <c r="AN207" s="55">
        <f t="shared" si="53"/>
        <v>0</v>
      </c>
      <c r="AO207" s="55">
        <f t="shared" si="54"/>
        <v>0</v>
      </c>
      <c r="AP207" s="24"/>
      <c r="AQ207" s="24"/>
      <c r="AR207" s="24"/>
      <c r="AS207" s="24"/>
      <c r="AT207" s="24"/>
      <c r="AU207" s="24"/>
      <c r="AV207" s="24"/>
      <c r="AW207" s="24"/>
      <c r="AX207" s="24"/>
      <c r="AY207" s="24"/>
    </row>
    <row r="208" spans="7:51">
      <c r="G208" s="12">
        <f t="shared" si="41"/>
        <v>0</v>
      </c>
      <c r="H208" s="12">
        <f t="shared" si="104"/>
        <v>0</v>
      </c>
      <c r="I208" s="12">
        <f t="shared" si="104"/>
        <v>0</v>
      </c>
      <c r="J208" s="12">
        <f t="shared" si="104"/>
        <v>0</v>
      </c>
      <c r="K208" s="12">
        <f t="shared" si="43"/>
        <v>0</v>
      </c>
      <c r="L208" s="12">
        <f t="shared" si="105"/>
        <v>0</v>
      </c>
      <c r="M208" s="12">
        <f t="shared" si="105"/>
        <v>0</v>
      </c>
      <c r="N208" s="12">
        <f t="shared" si="105"/>
        <v>0</v>
      </c>
      <c r="O208" s="12">
        <f t="shared" si="45"/>
        <v>0</v>
      </c>
      <c r="P208" s="12">
        <f t="shared" si="106"/>
        <v>0</v>
      </c>
      <c r="Q208" s="12">
        <f t="shared" si="106"/>
        <v>0</v>
      </c>
      <c r="T208" s="61"/>
      <c r="U208" s="61"/>
      <c r="V208" s="61"/>
      <c r="W208" s="53">
        <f t="shared" si="47"/>
        <v>0</v>
      </c>
      <c r="X208" s="54" t="e">
        <f t="shared" si="48"/>
        <v>#DIV/0!</v>
      </c>
      <c r="Y208" s="25">
        <f t="shared" si="55"/>
        <v>0</v>
      </c>
      <c r="Z208" s="54">
        <f t="shared" si="60"/>
        <v>0</v>
      </c>
      <c r="AA208" s="54">
        <f t="shared" si="95"/>
        <v>0</v>
      </c>
      <c r="AB208" s="54">
        <f t="shared" si="95"/>
        <v>0</v>
      </c>
      <c r="AC208" s="54">
        <f t="shared" si="95"/>
        <v>0</v>
      </c>
      <c r="AD208" s="54">
        <f t="shared" si="95"/>
        <v>0</v>
      </c>
      <c r="AE208" s="54">
        <f t="shared" si="95"/>
        <v>0</v>
      </c>
      <c r="AF208" s="54">
        <f t="shared" si="95"/>
        <v>0</v>
      </c>
      <c r="AG208" s="54">
        <f t="shared" si="95"/>
        <v>0</v>
      </c>
      <c r="AH208" s="54">
        <f t="shared" si="95"/>
        <v>0</v>
      </c>
      <c r="AI208" s="54">
        <f t="shared" si="95"/>
        <v>0</v>
      </c>
      <c r="AJ208" s="54">
        <f t="shared" si="95"/>
        <v>0</v>
      </c>
      <c r="AK208" s="54">
        <f t="shared" ref="AK208" si="108">IF($E109+365&lt;$C$56,0,IF($E109&lt;$C$56,(($E109+365-$C$56)/365)*(($C109/$BN$157)+($D109/$BN$158)),IF($E109&gt;AK$166,0,IF($E109+365&lt;AK$166,($C109/$BN$157)+($D109/$BN$158),((AK$166-$E109)/365)*(($C109/$BN$157)+($D109/$BN$158))))))</f>
        <v>0</v>
      </c>
      <c r="AL208" s="24">
        <f t="shared" si="51"/>
        <v>0</v>
      </c>
      <c r="AM208" s="24">
        <f t="shared" si="52"/>
        <v>0</v>
      </c>
      <c r="AN208" s="55">
        <f t="shared" si="53"/>
        <v>0</v>
      </c>
      <c r="AO208" s="55">
        <f t="shared" si="54"/>
        <v>0</v>
      </c>
      <c r="AP208" s="24"/>
      <c r="AQ208" s="24"/>
      <c r="AR208" s="24"/>
      <c r="AS208" s="24"/>
      <c r="AT208" s="24"/>
      <c r="AU208" s="24"/>
      <c r="AV208" s="24"/>
      <c r="AW208" s="24"/>
      <c r="AX208" s="24"/>
      <c r="AY208" s="24"/>
    </row>
    <row r="209" spans="6:51">
      <c r="G209" s="12">
        <f t="shared" si="41"/>
        <v>0</v>
      </c>
      <c r="H209" s="12">
        <f t="shared" si="104"/>
        <v>0</v>
      </c>
      <c r="I209" s="12">
        <f t="shared" si="104"/>
        <v>0</v>
      </c>
      <c r="J209" s="12">
        <f t="shared" si="104"/>
        <v>0</v>
      </c>
      <c r="K209" s="12">
        <f t="shared" si="43"/>
        <v>0</v>
      </c>
      <c r="L209" s="12">
        <f t="shared" si="105"/>
        <v>0</v>
      </c>
      <c r="M209" s="12">
        <f t="shared" si="105"/>
        <v>0</v>
      </c>
      <c r="N209" s="12">
        <f t="shared" si="105"/>
        <v>0</v>
      </c>
      <c r="O209" s="12">
        <f t="shared" si="45"/>
        <v>0</v>
      </c>
      <c r="P209" s="12">
        <f t="shared" si="106"/>
        <v>0</v>
      </c>
      <c r="Q209" s="12">
        <f t="shared" si="106"/>
        <v>0</v>
      </c>
      <c r="T209" s="61"/>
      <c r="U209" s="61"/>
      <c r="V209" s="61"/>
      <c r="W209" s="53">
        <f t="shared" si="47"/>
        <v>0</v>
      </c>
      <c r="X209" s="54" t="e">
        <f t="shared" si="48"/>
        <v>#DIV/0!</v>
      </c>
      <c r="Y209" s="25">
        <f t="shared" si="55"/>
        <v>0</v>
      </c>
      <c r="Z209" s="54">
        <f t="shared" si="60"/>
        <v>0</v>
      </c>
      <c r="AA209" s="54">
        <f t="shared" si="95"/>
        <v>0</v>
      </c>
      <c r="AB209" s="54">
        <f t="shared" si="95"/>
        <v>0</v>
      </c>
      <c r="AC209" s="54">
        <f t="shared" si="95"/>
        <v>0</v>
      </c>
      <c r="AD209" s="54">
        <f t="shared" si="95"/>
        <v>0</v>
      </c>
      <c r="AE209" s="54">
        <f t="shared" si="95"/>
        <v>0</v>
      </c>
      <c r="AF209" s="54">
        <f t="shared" si="95"/>
        <v>0</v>
      </c>
      <c r="AG209" s="54">
        <f t="shared" si="95"/>
        <v>0</v>
      </c>
      <c r="AH209" s="54">
        <f t="shared" si="95"/>
        <v>0</v>
      </c>
      <c r="AI209" s="54">
        <f t="shared" si="95"/>
        <v>0</v>
      </c>
      <c r="AJ209" s="54">
        <f t="shared" si="95"/>
        <v>0</v>
      </c>
      <c r="AK209" s="54">
        <f t="shared" ref="AK209" si="109">IF($E110+365&lt;$C$56,0,IF($E110&lt;$C$56,(($E110+365-$C$56)/365)*(($C110/$BN$157)+($D110/$BN$158)),IF($E110&gt;AK$166,0,IF($E110+365&lt;AK$166,($C110/$BN$157)+($D110/$BN$158),((AK$166-$E110)/365)*(($C110/$BN$157)+($D110/$BN$158))))))</f>
        <v>0</v>
      </c>
      <c r="AL209" s="24">
        <f t="shared" si="51"/>
        <v>0</v>
      </c>
      <c r="AM209" s="24">
        <f t="shared" si="52"/>
        <v>0</v>
      </c>
      <c r="AN209" s="55">
        <f t="shared" si="53"/>
        <v>0</v>
      </c>
      <c r="AO209" s="55">
        <f t="shared" si="54"/>
        <v>0</v>
      </c>
      <c r="AP209" s="24"/>
      <c r="AQ209" s="24"/>
      <c r="AR209" s="24"/>
      <c r="AS209" s="24"/>
      <c r="AT209" s="24"/>
      <c r="AU209" s="24"/>
      <c r="AV209" s="24"/>
      <c r="AW209" s="24"/>
      <c r="AX209" s="24"/>
      <c r="AY209" s="24"/>
    </row>
    <row r="210" spans="6:51">
      <c r="T210" s="61"/>
      <c r="U210" s="61"/>
      <c r="V210" s="61"/>
      <c r="W210" s="53">
        <f t="shared" si="47"/>
        <v>0</v>
      </c>
      <c r="X210" s="54" t="e">
        <f t="shared" si="48"/>
        <v>#DIV/0!</v>
      </c>
      <c r="Y210" s="25">
        <f t="shared" si="55"/>
        <v>0</v>
      </c>
      <c r="Z210" s="54">
        <f t="shared" si="60"/>
        <v>0</v>
      </c>
      <c r="AA210" s="54">
        <f t="shared" si="95"/>
        <v>0</v>
      </c>
      <c r="AB210" s="54">
        <f t="shared" si="95"/>
        <v>0</v>
      </c>
      <c r="AC210" s="54">
        <f t="shared" si="95"/>
        <v>0</v>
      </c>
      <c r="AD210" s="54">
        <f t="shared" si="95"/>
        <v>0</v>
      </c>
      <c r="AE210" s="54">
        <f t="shared" si="95"/>
        <v>0</v>
      </c>
      <c r="AF210" s="54">
        <f t="shared" si="95"/>
        <v>0</v>
      </c>
      <c r="AG210" s="54">
        <f t="shared" si="95"/>
        <v>0</v>
      </c>
      <c r="AH210" s="54">
        <f t="shared" si="95"/>
        <v>0</v>
      </c>
      <c r="AI210" s="54">
        <f t="shared" si="95"/>
        <v>0</v>
      </c>
      <c r="AJ210" s="54">
        <f t="shared" si="95"/>
        <v>0</v>
      </c>
      <c r="AK210" s="54">
        <f t="shared" ref="AK210" si="110">IF($E111+365&lt;$C$56,0,IF($E111&lt;$C$56,(($E111+365-$C$56)/365)*(($C111/$BN$157)+($D111/$BN$158)),IF($E111&gt;AK$166,0,IF($E111+365&lt;AK$166,($C111/$BN$157)+($D111/$BN$158),((AK$166-$E111)/365)*(($C111/$BN$157)+($D111/$BN$158))))))</f>
        <v>0</v>
      </c>
      <c r="AL210" s="24">
        <f t="shared" si="51"/>
        <v>0</v>
      </c>
      <c r="AM210" s="24">
        <f t="shared" si="52"/>
        <v>0</v>
      </c>
      <c r="AN210" s="55">
        <f t="shared" si="53"/>
        <v>0</v>
      </c>
      <c r="AO210" s="55">
        <f t="shared" si="54"/>
        <v>0</v>
      </c>
      <c r="AP210" s="24"/>
      <c r="AQ210" s="24"/>
      <c r="AR210" s="24"/>
      <c r="AS210" s="24"/>
      <c r="AT210" s="24"/>
      <c r="AU210" s="24"/>
      <c r="AV210" s="24"/>
      <c r="AW210" s="24"/>
      <c r="AX210" s="24"/>
      <c r="AY210" s="24"/>
    </row>
    <row r="211" spans="6:51">
      <c r="T211" s="61"/>
      <c r="U211" s="61"/>
      <c r="V211" s="61"/>
      <c r="W211" s="53">
        <f t="shared" si="47"/>
        <v>0</v>
      </c>
      <c r="X211" s="54" t="e">
        <f t="shared" si="48"/>
        <v>#DIV/0!</v>
      </c>
      <c r="Y211" s="25">
        <f t="shared" si="55"/>
        <v>0</v>
      </c>
      <c r="Z211" s="54">
        <f t="shared" si="60"/>
        <v>0</v>
      </c>
      <c r="AA211" s="54">
        <f t="shared" si="95"/>
        <v>0</v>
      </c>
      <c r="AB211" s="54">
        <f t="shared" si="95"/>
        <v>0</v>
      </c>
      <c r="AC211" s="54">
        <f t="shared" si="95"/>
        <v>0</v>
      </c>
      <c r="AD211" s="54">
        <f t="shared" si="95"/>
        <v>0</v>
      </c>
      <c r="AE211" s="54">
        <f t="shared" si="95"/>
        <v>0</v>
      </c>
      <c r="AF211" s="54">
        <f t="shared" si="95"/>
        <v>0</v>
      </c>
      <c r="AG211" s="54">
        <f t="shared" si="95"/>
        <v>0</v>
      </c>
      <c r="AH211" s="54">
        <f t="shared" si="95"/>
        <v>0</v>
      </c>
      <c r="AI211" s="54">
        <f t="shared" si="95"/>
        <v>0</v>
      </c>
      <c r="AJ211" s="54">
        <f t="shared" si="95"/>
        <v>0</v>
      </c>
      <c r="AK211" s="54">
        <f t="shared" ref="AK211" si="111">IF($E112+365&lt;$C$56,0,IF($E112&lt;$C$56,(($E112+365-$C$56)/365)*(($C112/$BN$157)+($D112/$BN$158)),IF($E112&gt;AK$166,0,IF($E112+365&lt;AK$166,($C112/$BN$157)+($D112/$BN$158),((AK$166-$E112)/365)*(($C112/$BN$157)+($D112/$BN$158))))))</f>
        <v>0</v>
      </c>
      <c r="AL211" s="24">
        <f t="shared" si="51"/>
        <v>0</v>
      </c>
      <c r="AM211" s="24">
        <f t="shared" si="52"/>
        <v>0</v>
      </c>
      <c r="AN211" s="55">
        <f t="shared" si="53"/>
        <v>0</v>
      </c>
      <c r="AO211" s="55">
        <f t="shared" si="54"/>
        <v>0</v>
      </c>
      <c r="AP211" s="25"/>
      <c r="AQ211" s="24"/>
      <c r="AR211" s="24"/>
      <c r="AS211" s="24"/>
      <c r="AT211" s="24"/>
      <c r="AU211" s="24"/>
      <c r="AV211" s="24"/>
      <c r="AW211" s="24"/>
      <c r="AX211" s="24"/>
      <c r="AY211" s="24"/>
    </row>
    <row r="212" spans="6:51">
      <c r="T212" s="61"/>
      <c r="U212" s="61"/>
      <c r="V212" s="61"/>
      <c r="W212" s="53"/>
      <c r="X212" s="54"/>
      <c r="Y212" s="25">
        <f t="shared" si="55"/>
        <v>0</v>
      </c>
      <c r="Z212" s="54">
        <f t="shared" si="60"/>
        <v>0</v>
      </c>
      <c r="AA212" s="54">
        <f t="shared" si="95"/>
        <v>0</v>
      </c>
      <c r="AB212" s="54">
        <f t="shared" si="95"/>
        <v>0</v>
      </c>
      <c r="AC212" s="54">
        <f t="shared" si="95"/>
        <v>0</v>
      </c>
      <c r="AD212" s="54">
        <f t="shared" si="95"/>
        <v>0</v>
      </c>
      <c r="AE212" s="54">
        <f t="shared" si="95"/>
        <v>0</v>
      </c>
      <c r="AF212" s="54">
        <f t="shared" si="95"/>
        <v>0</v>
      </c>
      <c r="AG212" s="54">
        <f t="shared" si="95"/>
        <v>0</v>
      </c>
      <c r="AH212" s="54">
        <f t="shared" si="95"/>
        <v>0</v>
      </c>
      <c r="AI212" s="54">
        <f t="shared" si="95"/>
        <v>0</v>
      </c>
      <c r="AJ212" s="54">
        <f t="shared" si="95"/>
        <v>0</v>
      </c>
      <c r="AK212" s="54">
        <f t="shared" ref="AK212" si="112">IF($E113+365&lt;$C$56,0,IF($E113&lt;$C$56,(($E113+365-$C$56)/365)*(($C113/$BN$157)+($D113/$BN$158)),IF($E113&gt;AK$166,0,IF($E113+365&lt;AK$166,($C113/$BN$157)+($D113/$BN$158),((AK$166-$E113)/365)*(($C113/$BN$157)+($D113/$BN$158))))))</f>
        <v>0</v>
      </c>
      <c r="AL212" s="24">
        <f t="shared" si="51"/>
        <v>0</v>
      </c>
      <c r="AM212" s="24">
        <f t="shared" si="52"/>
        <v>0</v>
      </c>
      <c r="AN212" s="55">
        <f t="shared" si="53"/>
        <v>0</v>
      </c>
      <c r="AO212" s="55">
        <f t="shared" si="54"/>
        <v>0</v>
      </c>
      <c r="AP212" s="24"/>
      <c r="AQ212" s="24"/>
      <c r="AR212" s="24"/>
      <c r="AS212" s="24"/>
      <c r="AT212" s="24"/>
      <c r="AU212" s="24"/>
      <c r="AV212" s="24"/>
      <c r="AW212" s="24"/>
      <c r="AX212" s="24"/>
      <c r="AY212" s="24"/>
    </row>
    <row r="213" spans="6:51">
      <c r="T213" s="61"/>
      <c r="U213" s="61"/>
      <c r="V213" s="61"/>
      <c r="W213" s="53"/>
      <c r="X213" s="54"/>
      <c r="Y213" s="25">
        <f t="shared" si="55"/>
        <v>0</v>
      </c>
      <c r="Z213" s="54">
        <f t="shared" si="60"/>
        <v>0</v>
      </c>
      <c r="AA213" s="54">
        <f t="shared" si="95"/>
        <v>0</v>
      </c>
      <c r="AB213" s="54">
        <f t="shared" si="95"/>
        <v>0</v>
      </c>
      <c r="AC213" s="54">
        <f t="shared" si="95"/>
        <v>0</v>
      </c>
      <c r="AD213" s="54">
        <f t="shared" si="95"/>
        <v>0</v>
      </c>
      <c r="AE213" s="54">
        <f t="shared" si="95"/>
        <v>0</v>
      </c>
      <c r="AF213" s="54">
        <f t="shared" si="95"/>
        <v>0</v>
      </c>
      <c r="AG213" s="54">
        <f t="shared" si="95"/>
        <v>0</v>
      </c>
      <c r="AH213" s="54">
        <f t="shared" si="95"/>
        <v>0</v>
      </c>
      <c r="AI213" s="54">
        <f t="shared" si="95"/>
        <v>0</v>
      </c>
      <c r="AJ213" s="54">
        <f t="shared" si="95"/>
        <v>0</v>
      </c>
      <c r="AK213" s="54">
        <f t="shared" ref="AK213" si="113">IF($E114+365&lt;$C$56,0,IF($E114&lt;$C$56,(($E114+365-$C$56)/365)*(($C114/$BN$157)+($D114/$BN$158)),IF($E114&gt;AK$166,0,IF($E114+365&lt;AK$166,($C114/$BN$157)+($D114/$BN$158),((AK$166-$E114)/365)*(($C114/$BN$157)+($D114/$BN$158))))))</f>
        <v>0</v>
      </c>
      <c r="AL213" s="24">
        <f t="shared" si="51"/>
        <v>0</v>
      </c>
      <c r="AM213" s="24">
        <f t="shared" si="52"/>
        <v>0</v>
      </c>
      <c r="AN213" s="55">
        <f t="shared" si="53"/>
        <v>0</v>
      </c>
      <c r="AO213" s="55">
        <f t="shared" si="54"/>
        <v>0</v>
      </c>
      <c r="AP213" s="24"/>
      <c r="AQ213" s="24"/>
      <c r="AR213" s="24"/>
      <c r="AS213" s="24"/>
      <c r="AT213" s="24"/>
      <c r="AU213" s="24"/>
      <c r="AV213" s="24"/>
      <c r="AW213" s="24"/>
      <c r="AX213" s="24"/>
      <c r="AY213" s="24"/>
    </row>
    <row r="214" spans="6:51" ht="13">
      <c r="F214" s="187" t="s">
        <v>490</v>
      </c>
      <c r="G214" s="187">
        <f>SUM(G167:G213)</f>
        <v>0</v>
      </c>
      <c r="H214" s="187">
        <f t="shared" ref="H214:Q214" si="114">SUM(H167:H213)</f>
        <v>0</v>
      </c>
      <c r="I214" s="187">
        <f t="shared" si="114"/>
        <v>0</v>
      </c>
      <c r="J214" s="187">
        <f t="shared" si="114"/>
        <v>0</v>
      </c>
      <c r="K214" s="187">
        <f t="shared" si="114"/>
        <v>0</v>
      </c>
      <c r="L214" s="187">
        <f t="shared" si="114"/>
        <v>0</v>
      </c>
      <c r="M214" s="187">
        <f t="shared" si="114"/>
        <v>0</v>
      </c>
      <c r="N214" s="187">
        <f t="shared" si="114"/>
        <v>0</v>
      </c>
      <c r="O214" s="187">
        <f t="shared" si="114"/>
        <v>0</v>
      </c>
      <c r="P214" s="187">
        <f t="shared" si="114"/>
        <v>0</v>
      </c>
      <c r="Q214" s="187">
        <f t="shared" si="114"/>
        <v>0</v>
      </c>
      <c r="T214" s="14"/>
      <c r="U214" s="14"/>
      <c r="V214" s="14"/>
      <c r="W214" s="24"/>
      <c r="X214" s="62" t="e">
        <f>SUM(X168:X213)</f>
        <v>#DIV/0!</v>
      </c>
      <c r="Y214" s="157" t="s">
        <v>84</v>
      </c>
      <c r="AA214" s="155">
        <f>VLOOKUP($A$2,Assumptions!$B$124:$G$147,6,0)*SUM(AA167:AA213)</f>
        <v>0</v>
      </c>
      <c r="AB214" s="155">
        <f>VLOOKUP($A$2,Assumptions!$B$124:$G$147,6,0)*SUM(AB167:AB213)</f>
        <v>0</v>
      </c>
      <c r="AC214" s="155">
        <f>VLOOKUP($A$2,Assumptions!$B$124:$G$147,6,0)*SUM(AC167:AC213)</f>
        <v>0</v>
      </c>
      <c r="AD214" s="155">
        <f>VLOOKUP($A$2,Assumptions!$B$124:$G$147,6,0)*SUM(AD167:AD213)</f>
        <v>0</v>
      </c>
      <c r="AE214" s="155">
        <f>VLOOKUP($A$2,Assumptions!$B$124:$G$147,6,0)*SUM(AE167:AE213)</f>
        <v>0</v>
      </c>
      <c r="AF214" s="155">
        <f>VLOOKUP($A$2,Assumptions!$B$124:$G$147,6,0)*SUM(AF167:AF213)</f>
        <v>0</v>
      </c>
      <c r="AG214" s="155">
        <f>VLOOKUP($A$2,Assumptions!$B$124:$G$147,6,0)*SUM(AG167:AG213)</f>
        <v>0</v>
      </c>
      <c r="AH214" s="155">
        <f>VLOOKUP($A$2,Assumptions!$B$124:$G$147,6,0)*SUM(AH167:AH213)</f>
        <v>0</v>
      </c>
      <c r="AI214" s="155">
        <f>VLOOKUP($A$2,Assumptions!$B$124:$G$147,6,0)*SUM(AI167:AI213)</f>
        <v>0</v>
      </c>
      <c r="AJ214" s="155">
        <f>VLOOKUP($A$2,Assumptions!$B$124:$G$147,6,0)*SUM(AJ167:AJ213)</f>
        <v>0</v>
      </c>
      <c r="AK214" s="155">
        <f>VLOOKUP($A$2,Assumptions!$B$124:$G$147,6,0)*SUM(AK167:AK213)</f>
        <v>0</v>
      </c>
      <c r="AL214" s="155">
        <f>VLOOKUP($A$2,Assumptions!$B$124:$G$147,6,0)*SUM(AL167:AL213)</f>
        <v>0</v>
      </c>
      <c r="AM214" s="155">
        <f>VLOOKUP($A$2,Assumptions!$B$124:$G$147,6,0)*SUM(AM167:AM213)</f>
        <v>0</v>
      </c>
      <c r="AN214" s="55">
        <f>SUM(AN167:AN213)</f>
        <v>0</v>
      </c>
      <c r="AO214" s="55">
        <f>SUM(AO167:AO213)</f>
        <v>0</v>
      </c>
      <c r="AP214" s="24"/>
      <c r="AQ214" s="24"/>
      <c r="AR214" s="24"/>
      <c r="AS214" s="24"/>
      <c r="AT214" s="24"/>
      <c r="AU214" s="24"/>
      <c r="AV214" s="24"/>
      <c r="AW214" s="24"/>
      <c r="AX214" s="24"/>
      <c r="AY214" s="24"/>
    </row>
    <row r="215" spans="6:51">
      <c r="T215" s="24"/>
      <c r="U215" s="24"/>
      <c r="V215" s="24"/>
      <c r="W215" s="24"/>
      <c r="X215" s="24"/>
      <c r="Y215" s="158" t="s">
        <v>491</v>
      </c>
      <c r="Z215" s="351">
        <f>C64</f>
        <v>40.200000000000003</v>
      </c>
      <c r="AA215" s="156">
        <f>$C$64+AA214</f>
        <v>40.200000000000003</v>
      </c>
      <c r="AB215" s="156">
        <f t="shared" ref="AB215:AE215" si="115">$C$64+AB214</f>
        <v>40.200000000000003</v>
      </c>
      <c r="AC215" s="156">
        <f t="shared" si="115"/>
        <v>40.200000000000003</v>
      </c>
      <c r="AD215" s="156">
        <f t="shared" si="115"/>
        <v>40.200000000000003</v>
      </c>
      <c r="AE215" s="156">
        <f t="shared" si="115"/>
        <v>40.200000000000003</v>
      </c>
      <c r="AF215" s="156">
        <f>$C$64+AF214</f>
        <v>40.200000000000003</v>
      </c>
      <c r="AG215" s="156">
        <f t="shared" ref="AG215:AJ215" si="116">$C$64+AG214</f>
        <v>40.200000000000003</v>
      </c>
      <c r="AH215" s="156">
        <f>$C$64+AH214</f>
        <v>40.200000000000003</v>
      </c>
      <c r="AI215" s="156">
        <f t="shared" si="116"/>
        <v>40.200000000000003</v>
      </c>
      <c r="AJ215" s="156">
        <f t="shared" si="116"/>
        <v>40.200000000000003</v>
      </c>
      <c r="AK215" s="156">
        <f t="shared" ref="AK215" si="117">$C$64+AK214</f>
        <v>40.200000000000003</v>
      </c>
      <c r="AL215" s="24"/>
      <c r="AM215" s="24"/>
      <c r="AN215" s="24"/>
      <c r="AO215" s="24"/>
      <c r="AP215" s="24"/>
      <c r="AQ215" s="24"/>
      <c r="AR215" s="24"/>
      <c r="AS215" s="24"/>
      <c r="AT215" s="24"/>
      <c r="AU215" s="24"/>
      <c r="AV215" s="24"/>
      <c r="AW215" s="24"/>
      <c r="AX215" s="24"/>
      <c r="AY215" s="24"/>
    </row>
    <row r="216" spans="6:51">
      <c r="T216" s="24"/>
      <c r="U216" s="24"/>
      <c r="V216" s="972"/>
      <c r="W216" s="972"/>
      <c r="X216" s="972"/>
      <c r="Y216" s="158" t="s">
        <v>492</v>
      </c>
      <c r="Z216" s="154">
        <f>IF(Z215&lt;$BB$154,(6+(1-Z215/$BB$154)),IF(Z215&lt;$BB$155,5.5+(0.5*(($BB$155-Z215)/($BB$155-$BB$154))),(5 - 0.5*((Z215)-$BB$156)/$BH$166)))</f>
        <v>5.8446615893088083</v>
      </c>
      <c r="AA216" s="154">
        <f>IF(AA215&lt;$BB$154,(6+(1-AA215/$BB$154)),IF(AA215&lt;$BB$155,5.5+(0.5*(($BB$155-AA215)/($BB$155-$BB$154))),(5 - 0.5*((AA215)-$BB$156)/$BH$166)))</f>
        <v>5.8446615893088083</v>
      </c>
      <c r="AB216" s="154">
        <f t="shared" ref="AB216:AG216" si="118">IF(AB215&lt;$BB$154,(6+(1-AB215/$BB$154)),IF(AB215&lt;$BB$155,5.5+(0.5*(($BB$155-AB215)/($BB$155-$BB$154))),(5 - 0.5*((AB215)-$BB$156)/$BH$166)))</f>
        <v>5.8446615893088083</v>
      </c>
      <c r="AC216" s="154">
        <f t="shared" si="118"/>
        <v>5.8446615893088083</v>
      </c>
      <c r="AD216" s="154">
        <f t="shared" si="118"/>
        <v>5.8446615893088083</v>
      </c>
      <c r="AE216" s="154">
        <f t="shared" si="118"/>
        <v>5.8446615893088083</v>
      </c>
      <c r="AF216" s="154">
        <f t="shared" si="118"/>
        <v>5.8446615893088083</v>
      </c>
      <c r="AG216" s="154">
        <f t="shared" si="118"/>
        <v>5.8446615893088083</v>
      </c>
      <c r="AH216" s="154">
        <f>IF(AH215&lt;$BB$154,(6+(1-AH215/$BB$154)),IF(AH215&lt;$BB$155,5.5+(0.5*(($BB$155-AH215)/($BB$155-$BB$154))),(5 - 0.5*((AH215)-$BB$156)/$BH$166)))</f>
        <v>5.8446615893088083</v>
      </c>
      <c r="AI216" s="154">
        <f>IF(AI215&lt;$BB$154,(6+(1-AI215/$BB$154)),IF(AI215&lt;$BB$155,5.5+(0.5*(($BB$155-AI215)/($BB$155-$BB$154))),(5 - 0.5*((AI215)-$BB$156)/$BH$166)))</f>
        <v>5.8446615893088083</v>
      </c>
      <c r="AJ216" s="154">
        <f>IF(AJ215&lt;$BB$154,(6+(1-AJ215/$BB$154)),IF(AJ215&lt;$BB$155,5.5+(0.5*(($BB$155-AJ215)/($BB$155-$BB$154))),(5 - 0.5*((AJ215)-$BB$156)/$BH$166)))</f>
        <v>5.8446615893088083</v>
      </c>
      <c r="AK216" s="154">
        <f>IF(AK215&lt;$BB$154,(6+(1-AK215/$BB$154)),IF(AK215&lt;$BB$155,5.5+(0.5*(($BB$155-AK215)/($BB$155-$BB$154))),(5 - 0.5*((AK215)-$BB$156)/$BH$166)))</f>
        <v>5.8446615893088083</v>
      </c>
      <c r="AL216" s="24"/>
      <c r="AM216" s="24"/>
      <c r="AN216" s="24"/>
      <c r="AO216" s="24"/>
      <c r="AP216" s="24"/>
      <c r="AQ216" s="24"/>
      <c r="AR216" s="24"/>
      <c r="AS216" s="24"/>
      <c r="AT216" s="24"/>
      <c r="AU216" s="24"/>
      <c r="AV216" s="24"/>
      <c r="AW216" s="24"/>
      <c r="AX216" s="24"/>
      <c r="AY216" s="24"/>
    </row>
    <row r="217" spans="6:51">
      <c r="T217" s="24"/>
      <c r="U217" s="24"/>
      <c r="Y217" s="24"/>
      <c r="Z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row>
    <row r="218" spans="6:51">
      <c r="T218" s="24"/>
      <c r="U218" s="24"/>
      <c r="V218" s="24"/>
      <c r="W218" s="24"/>
      <c r="X218" s="24"/>
      <c r="Y218" s="24"/>
      <c r="Z218" s="24"/>
      <c r="AA218" s="24"/>
      <c r="AB218" s="24"/>
      <c r="AC218" s="24"/>
      <c r="AD218" s="24"/>
      <c r="AE218" s="24"/>
      <c r="AF218" s="24"/>
      <c r="AG218" s="24"/>
      <c r="AH218" s="24"/>
      <c r="AI218" s="24"/>
      <c r="AJ218" s="24"/>
      <c r="AK218" s="24"/>
      <c r="AL218" s="24"/>
      <c r="AM218" s="24"/>
      <c r="AN218" s="24"/>
      <c r="AO218" s="24"/>
      <c r="AP218" s="24"/>
      <c r="AQ218" s="24"/>
      <c r="AR218" s="24"/>
      <c r="AS218" s="24"/>
      <c r="AT218" s="24"/>
      <c r="AU218" s="24"/>
      <c r="AV218" s="24"/>
      <c r="AW218" s="24"/>
      <c r="AX218" s="24"/>
      <c r="AY218" s="24"/>
    </row>
    <row r="219" spans="6:51">
      <c r="T219" s="24"/>
      <c r="U219" s="24"/>
      <c r="V219" s="24"/>
      <c r="W219" s="24"/>
      <c r="X219" s="24"/>
      <c r="Y219" s="24"/>
      <c r="Z219" s="24"/>
      <c r="AA219" s="24"/>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row>
    <row r="220" spans="6:51">
      <c r="G220" s="12">
        <f t="shared" ref="G220:G265" si="119">IF($E69&lt;G$66,$D69,0)</f>
        <v>0</v>
      </c>
      <c r="H220" s="12">
        <f t="shared" ref="H220:Q220" si="120">IF($E69&gt;H$66,0,IF($E69&lt;H$66-365,$D69,0))</f>
        <v>0</v>
      </c>
      <c r="I220" s="12">
        <f t="shared" si="120"/>
        <v>0</v>
      </c>
      <c r="J220" s="12">
        <f t="shared" si="120"/>
        <v>0</v>
      </c>
      <c r="K220" s="12">
        <f t="shared" si="120"/>
        <v>0</v>
      </c>
      <c r="L220" s="12">
        <f t="shared" si="120"/>
        <v>0</v>
      </c>
      <c r="M220" s="12">
        <f t="shared" si="120"/>
        <v>0</v>
      </c>
      <c r="N220" s="12">
        <f t="shared" si="120"/>
        <v>0</v>
      </c>
      <c r="O220" s="12">
        <f t="shared" si="120"/>
        <v>0</v>
      </c>
      <c r="P220" s="12">
        <f t="shared" si="120"/>
        <v>0</v>
      </c>
      <c r="Q220" s="12">
        <f t="shared" si="120"/>
        <v>0</v>
      </c>
      <c r="T220" s="24"/>
      <c r="U220" s="24"/>
      <c r="V220" s="24"/>
      <c r="W220" s="24"/>
      <c r="X220" s="24"/>
      <c r="Y220" s="24"/>
      <c r="Z220" s="24"/>
      <c r="AC220" s="24"/>
      <c r="AD220" s="24"/>
      <c r="AE220" s="24"/>
      <c r="AF220" s="24"/>
      <c r="AG220" s="24"/>
      <c r="AH220" s="24"/>
      <c r="AI220" s="24"/>
      <c r="AJ220" s="24"/>
      <c r="AK220" s="24"/>
      <c r="AL220" s="24"/>
      <c r="AM220" s="24"/>
      <c r="AN220" s="24"/>
      <c r="AO220" s="24"/>
      <c r="AP220" s="24"/>
      <c r="AQ220" s="24"/>
      <c r="AR220" s="24"/>
      <c r="AS220" s="24"/>
      <c r="AT220" s="24"/>
      <c r="AU220" s="24"/>
      <c r="AV220" s="24"/>
      <c r="AW220" s="24"/>
      <c r="AX220" s="24"/>
      <c r="AY220" s="24"/>
    </row>
    <row r="221" spans="6:51">
      <c r="G221" s="12">
        <f t="shared" si="119"/>
        <v>0</v>
      </c>
      <c r="H221" s="12">
        <f t="shared" ref="H221:Q221" si="121">IF($E70&gt;H$66,0,IF($E70&lt;H$66-365,$D70,0))</f>
        <v>0</v>
      </c>
      <c r="I221" s="12">
        <f t="shared" si="121"/>
        <v>0</v>
      </c>
      <c r="J221" s="12">
        <f t="shared" si="121"/>
        <v>0</v>
      </c>
      <c r="K221" s="12">
        <f t="shared" si="121"/>
        <v>0</v>
      </c>
      <c r="L221" s="12">
        <f t="shared" si="121"/>
        <v>0</v>
      </c>
      <c r="M221" s="12">
        <f t="shared" si="121"/>
        <v>0</v>
      </c>
      <c r="N221" s="12">
        <f t="shared" si="121"/>
        <v>0</v>
      </c>
      <c r="O221" s="12">
        <f t="shared" si="121"/>
        <v>0</v>
      </c>
      <c r="P221" s="12">
        <f t="shared" si="121"/>
        <v>0</v>
      </c>
      <c r="Q221" s="12">
        <f t="shared" si="121"/>
        <v>0</v>
      </c>
      <c r="T221" s="24"/>
      <c r="U221" s="24"/>
      <c r="V221" s="24"/>
      <c r="W221" s="24"/>
      <c r="X221" s="24"/>
      <c r="Y221" s="24"/>
      <c r="Z221" s="24"/>
      <c r="AC221" s="24"/>
      <c r="AD221" s="24"/>
      <c r="AE221" s="24"/>
      <c r="AF221" s="24"/>
      <c r="AG221" s="24"/>
      <c r="AH221" s="24"/>
      <c r="AI221" s="24"/>
      <c r="AJ221" s="24"/>
      <c r="AK221" s="24"/>
      <c r="AL221" s="24"/>
      <c r="AM221" s="24"/>
      <c r="AN221" s="24"/>
      <c r="AO221" s="24"/>
      <c r="AP221" s="24"/>
      <c r="AQ221" s="24"/>
      <c r="AR221" s="24"/>
      <c r="AS221" s="24"/>
      <c r="AT221" s="24"/>
      <c r="AU221" s="24"/>
      <c r="AV221" s="24"/>
      <c r="AW221" s="24"/>
      <c r="AX221" s="24"/>
      <c r="AY221" s="24"/>
    </row>
    <row r="222" spans="6:51">
      <c r="G222" s="12">
        <f t="shared" si="119"/>
        <v>0</v>
      </c>
      <c r="H222" s="12">
        <f t="shared" ref="H222:Q222" si="122">IF($E71&gt;H$66,0,IF($E71&lt;H$66-365,$D71,0))</f>
        <v>0</v>
      </c>
      <c r="I222" s="12">
        <f t="shared" si="122"/>
        <v>0</v>
      </c>
      <c r="J222" s="12">
        <f t="shared" si="122"/>
        <v>0</v>
      </c>
      <c r="K222" s="12">
        <f t="shared" si="122"/>
        <v>0</v>
      </c>
      <c r="L222" s="12">
        <f t="shared" si="122"/>
        <v>0</v>
      </c>
      <c r="M222" s="12">
        <f t="shared" si="122"/>
        <v>0</v>
      </c>
      <c r="N222" s="12">
        <f t="shared" si="122"/>
        <v>0</v>
      </c>
      <c r="O222" s="12">
        <f t="shared" si="122"/>
        <v>0</v>
      </c>
      <c r="P222" s="12">
        <f t="shared" si="122"/>
        <v>0</v>
      </c>
      <c r="Q222" s="12">
        <f t="shared" si="122"/>
        <v>0</v>
      </c>
      <c r="T222" s="24"/>
      <c r="U222" s="24"/>
      <c r="V222" s="24"/>
      <c r="W222" s="24"/>
      <c r="X222" s="24"/>
      <c r="Y222" s="24"/>
      <c r="Z222" s="24"/>
      <c r="AA222" s="24"/>
      <c r="AB222" s="24"/>
      <c r="AC222" s="24"/>
      <c r="AD222" s="24"/>
      <c r="AE222" s="24"/>
      <c r="AF222" s="24"/>
      <c r="AG222" s="24"/>
      <c r="AH222" s="24"/>
      <c r="AI222" s="24"/>
      <c r="AJ222" s="24"/>
      <c r="AK222" s="24"/>
      <c r="AL222" s="24"/>
      <c r="AM222" s="24"/>
      <c r="AN222" s="24"/>
      <c r="AO222" s="24"/>
      <c r="AP222" s="24"/>
      <c r="AQ222" s="24"/>
      <c r="AR222" s="24"/>
      <c r="AS222" s="24"/>
      <c r="AT222" s="24"/>
      <c r="AU222" s="24"/>
      <c r="AV222" s="24"/>
      <c r="AW222" s="24"/>
      <c r="AX222" s="24"/>
      <c r="AY222" s="24"/>
    </row>
    <row r="223" spans="6:51">
      <c r="G223" s="12">
        <f t="shared" si="119"/>
        <v>0</v>
      </c>
      <c r="H223" s="12">
        <f t="shared" ref="H223:Q223" si="123">IF($E72&gt;H$66,0,IF($E72&lt;H$66-365,$D72,0))</f>
        <v>0</v>
      </c>
      <c r="I223" s="12">
        <f t="shared" si="123"/>
        <v>0</v>
      </c>
      <c r="J223" s="12">
        <f t="shared" si="123"/>
        <v>0</v>
      </c>
      <c r="K223" s="12">
        <f t="shared" si="123"/>
        <v>0</v>
      </c>
      <c r="L223" s="12">
        <f t="shared" si="123"/>
        <v>0</v>
      </c>
      <c r="M223" s="12">
        <f t="shared" si="123"/>
        <v>0</v>
      </c>
      <c r="N223" s="12">
        <f t="shared" si="123"/>
        <v>0</v>
      </c>
      <c r="O223" s="12">
        <f t="shared" si="123"/>
        <v>0</v>
      </c>
      <c r="P223" s="12">
        <f t="shared" si="123"/>
        <v>0</v>
      </c>
      <c r="Q223" s="12">
        <f t="shared" si="123"/>
        <v>0</v>
      </c>
      <c r="T223" s="20"/>
      <c r="U223" s="20"/>
      <c r="V223" s="20"/>
    </row>
    <row r="224" spans="6:51">
      <c r="G224" s="12">
        <f t="shared" si="119"/>
        <v>0</v>
      </c>
      <c r="H224" s="12">
        <f t="shared" ref="H224:Q224" si="124">IF($E73&gt;H$66,0,IF($E73&lt;H$66-365,$D73,0))</f>
        <v>0</v>
      </c>
      <c r="I224" s="12">
        <f t="shared" si="124"/>
        <v>0</v>
      </c>
      <c r="J224" s="12">
        <f t="shared" si="124"/>
        <v>0</v>
      </c>
      <c r="K224" s="12">
        <f t="shared" si="124"/>
        <v>0</v>
      </c>
      <c r="L224" s="12">
        <f t="shared" si="124"/>
        <v>0</v>
      </c>
      <c r="M224" s="12">
        <f t="shared" si="124"/>
        <v>0</v>
      </c>
      <c r="N224" s="12">
        <f t="shared" si="124"/>
        <v>0</v>
      </c>
      <c r="O224" s="12">
        <f t="shared" si="124"/>
        <v>0</v>
      </c>
      <c r="P224" s="12">
        <f t="shared" si="124"/>
        <v>0</v>
      </c>
      <c r="Q224" s="12">
        <f t="shared" si="124"/>
        <v>0</v>
      </c>
      <c r="T224" s="20"/>
      <c r="U224" s="20"/>
      <c r="V224" s="20"/>
    </row>
    <row r="225" spans="7:28">
      <c r="G225" s="12">
        <f t="shared" si="119"/>
        <v>0</v>
      </c>
      <c r="H225" s="12">
        <f t="shared" ref="H225:Q225" si="125">IF($E74&gt;H$66,0,IF($E74&lt;H$66-365,$D74,0))</f>
        <v>0</v>
      </c>
      <c r="I225" s="12">
        <f t="shared" si="125"/>
        <v>0</v>
      </c>
      <c r="J225" s="12">
        <f t="shared" si="125"/>
        <v>0</v>
      </c>
      <c r="K225" s="12">
        <f t="shared" si="125"/>
        <v>0</v>
      </c>
      <c r="L225" s="12">
        <f t="shared" si="125"/>
        <v>0</v>
      </c>
      <c r="M225" s="12">
        <f t="shared" si="125"/>
        <v>0</v>
      </c>
      <c r="N225" s="12">
        <f t="shared" si="125"/>
        <v>0</v>
      </c>
      <c r="O225" s="12">
        <f t="shared" si="125"/>
        <v>0</v>
      </c>
      <c r="P225" s="12">
        <f t="shared" si="125"/>
        <v>0</v>
      </c>
      <c r="Q225" s="12">
        <f t="shared" si="125"/>
        <v>0</v>
      </c>
      <c r="T225" s="20"/>
      <c r="U225" s="20"/>
      <c r="V225" s="20"/>
      <c r="AA225" s="55">
        <f>SUM(AN167:AN213)</f>
        <v>0</v>
      </c>
      <c r="AB225" s="24">
        <f>SUM(AO167:AO213)</f>
        <v>0</v>
      </c>
    </row>
    <row r="226" spans="7:28">
      <c r="G226" s="12">
        <f t="shared" si="119"/>
        <v>0</v>
      </c>
      <c r="H226" s="12">
        <f t="shared" ref="H226:Q226" si="126">IF($E75&gt;H$66,0,IF($E75&lt;H$66-365,$D75,0))</f>
        <v>0</v>
      </c>
      <c r="I226" s="12">
        <f t="shared" si="126"/>
        <v>0</v>
      </c>
      <c r="J226" s="12">
        <f t="shared" si="126"/>
        <v>0</v>
      </c>
      <c r="K226" s="12">
        <f t="shared" si="126"/>
        <v>0</v>
      </c>
      <c r="L226" s="12">
        <f t="shared" si="126"/>
        <v>0</v>
      </c>
      <c r="M226" s="12">
        <f t="shared" si="126"/>
        <v>0</v>
      </c>
      <c r="N226" s="12">
        <f t="shared" si="126"/>
        <v>0</v>
      </c>
      <c r="O226" s="12">
        <f t="shared" si="126"/>
        <v>0</v>
      </c>
      <c r="P226" s="12">
        <f t="shared" si="126"/>
        <v>0</v>
      </c>
      <c r="Q226" s="12">
        <f t="shared" si="126"/>
        <v>0</v>
      </c>
      <c r="T226" s="20"/>
      <c r="U226" s="20"/>
      <c r="V226" s="20"/>
      <c r="AA226" s="24">
        <f>AA225*1.35</f>
        <v>0</v>
      </c>
      <c r="AB226" s="24">
        <f>AB225*1.35</f>
        <v>0</v>
      </c>
    </row>
    <row r="227" spans="7:28">
      <c r="G227" s="12">
        <f t="shared" si="119"/>
        <v>0</v>
      </c>
      <c r="H227" s="12">
        <f t="shared" ref="H227:Q227" si="127">IF($E76&gt;H$66,0,IF($E76&lt;H$66-365,$D76,0))</f>
        <v>0</v>
      </c>
      <c r="I227" s="12">
        <f t="shared" si="127"/>
        <v>0</v>
      </c>
      <c r="J227" s="12">
        <f t="shared" si="127"/>
        <v>0</v>
      </c>
      <c r="K227" s="12">
        <f t="shared" si="127"/>
        <v>0</v>
      </c>
      <c r="L227" s="12">
        <f t="shared" si="127"/>
        <v>0</v>
      </c>
      <c r="M227" s="12">
        <f t="shared" si="127"/>
        <v>0</v>
      </c>
      <c r="N227" s="12">
        <f t="shared" si="127"/>
        <v>0</v>
      </c>
      <c r="O227" s="12">
        <f t="shared" si="127"/>
        <v>0</v>
      </c>
      <c r="P227" s="12">
        <f t="shared" si="127"/>
        <v>0</v>
      </c>
      <c r="Q227" s="12">
        <f t="shared" si="127"/>
        <v>0</v>
      </c>
    </row>
    <row r="228" spans="7:28">
      <c r="G228" s="12">
        <f t="shared" si="119"/>
        <v>0</v>
      </c>
      <c r="H228" s="12">
        <f t="shared" ref="H228:Q228" si="128">IF($E77&gt;H$66,0,IF($E77&lt;H$66-365,$D77,0))</f>
        <v>0</v>
      </c>
      <c r="I228" s="12">
        <f t="shared" si="128"/>
        <v>0</v>
      </c>
      <c r="J228" s="12">
        <f t="shared" si="128"/>
        <v>0</v>
      </c>
      <c r="K228" s="12">
        <f t="shared" si="128"/>
        <v>0</v>
      </c>
      <c r="L228" s="12">
        <f t="shared" si="128"/>
        <v>0</v>
      </c>
      <c r="M228" s="12">
        <f t="shared" si="128"/>
        <v>0</v>
      </c>
      <c r="N228" s="12">
        <f t="shared" si="128"/>
        <v>0</v>
      </c>
      <c r="O228" s="12">
        <f t="shared" si="128"/>
        <v>0</v>
      </c>
      <c r="P228" s="12">
        <f t="shared" si="128"/>
        <v>0</v>
      </c>
      <c r="Q228" s="12">
        <f t="shared" si="128"/>
        <v>0</v>
      </c>
    </row>
    <row r="229" spans="7:28">
      <c r="G229" s="12">
        <f t="shared" si="119"/>
        <v>0</v>
      </c>
      <c r="H229" s="12">
        <f t="shared" ref="H229:Q229" si="129">IF($E78&gt;H$66,0,IF($E78&lt;H$66-365,$D78,0))</f>
        <v>0</v>
      </c>
      <c r="I229" s="12">
        <f t="shared" si="129"/>
        <v>0</v>
      </c>
      <c r="J229" s="12">
        <f t="shared" si="129"/>
        <v>0</v>
      </c>
      <c r="K229" s="12">
        <f t="shared" si="129"/>
        <v>0</v>
      </c>
      <c r="L229" s="12">
        <f t="shared" si="129"/>
        <v>0</v>
      </c>
      <c r="M229" s="12">
        <f t="shared" si="129"/>
        <v>0</v>
      </c>
      <c r="N229" s="12">
        <f t="shared" si="129"/>
        <v>0</v>
      </c>
      <c r="O229" s="12">
        <f t="shared" si="129"/>
        <v>0</v>
      </c>
      <c r="P229" s="12">
        <f t="shared" si="129"/>
        <v>0</v>
      </c>
      <c r="Q229" s="12">
        <f t="shared" si="129"/>
        <v>0</v>
      </c>
    </row>
    <row r="230" spans="7:28">
      <c r="G230" s="12">
        <f t="shared" si="119"/>
        <v>0</v>
      </c>
      <c r="H230" s="12">
        <f t="shared" ref="H230:Q230" si="130">IF($E79&gt;H$66,0,IF($E79&lt;H$66-365,$D79,0))</f>
        <v>0</v>
      </c>
      <c r="I230" s="12">
        <f t="shared" si="130"/>
        <v>0</v>
      </c>
      <c r="J230" s="12">
        <f t="shared" si="130"/>
        <v>0</v>
      </c>
      <c r="K230" s="12">
        <f t="shared" si="130"/>
        <v>0</v>
      </c>
      <c r="L230" s="12">
        <f t="shared" si="130"/>
        <v>0</v>
      </c>
      <c r="M230" s="12">
        <f t="shared" si="130"/>
        <v>0</v>
      </c>
      <c r="N230" s="12">
        <f t="shared" si="130"/>
        <v>0</v>
      </c>
      <c r="O230" s="12">
        <f t="shared" si="130"/>
        <v>0</v>
      </c>
      <c r="P230" s="12">
        <f t="shared" si="130"/>
        <v>0</v>
      </c>
      <c r="Q230" s="12">
        <f t="shared" si="130"/>
        <v>0</v>
      </c>
    </row>
    <row r="231" spans="7:28">
      <c r="G231" s="12">
        <f t="shared" si="119"/>
        <v>0</v>
      </c>
      <c r="H231" s="12">
        <f t="shared" ref="H231:Q231" si="131">IF($E80&gt;H$66,0,IF($E80&lt;H$66-365,$D80,0))</f>
        <v>0</v>
      </c>
      <c r="I231" s="12">
        <f t="shared" si="131"/>
        <v>0</v>
      </c>
      <c r="J231" s="12">
        <f t="shared" si="131"/>
        <v>0</v>
      </c>
      <c r="K231" s="12">
        <f t="shared" si="131"/>
        <v>0</v>
      </c>
      <c r="L231" s="12">
        <f t="shared" si="131"/>
        <v>0</v>
      </c>
      <c r="M231" s="12">
        <f t="shared" si="131"/>
        <v>0</v>
      </c>
      <c r="N231" s="12">
        <f t="shared" si="131"/>
        <v>0</v>
      </c>
      <c r="O231" s="12">
        <f t="shared" si="131"/>
        <v>0</v>
      </c>
      <c r="P231" s="12">
        <f t="shared" si="131"/>
        <v>0</v>
      </c>
      <c r="Q231" s="12">
        <f t="shared" si="131"/>
        <v>0</v>
      </c>
    </row>
    <row r="232" spans="7:28">
      <c r="G232" s="12">
        <f t="shared" si="119"/>
        <v>0</v>
      </c>
      <c r="H232" s="12">
        <f t="shared" ref="H232:Q232" si="132">IF($E81&gt;H$66,0,IF($E81&lt;H$66-365,$D81,0))</f>
        <v>0</v>
      </c>
      <c r="I232" s="12">
        <f t="shared" si="132"/>
        <v>0</v>
      </c>
      <c r="J232" s="12">
        <f t="shared" si="132"/>
        <v>0</v>
      </c>
      <c r="K232" s="12">
        <f t="shared" si="132"/>
        <v>0</v>
      </c>
      <c r="L232" s="12">
        <f t="shared" si="132"/>
        <v>0</v>
      </c>
      <c r="M232" s="12">
        <f t="shared" si="132"/>
        <v>0</v>
      </c>
      <c r="N232" s="12">
        <f t="shared" si="132"/>
        <v>0</v>
      </c>
      <c r="O232" s="12">
        <f t="shared" si="132"/>
        <v>0</v>
      </c>
      <c r="P232" s="12">
        <f t="shared" si="132"/>
        <v>0</v>
      </c>
      <c r="Q232" s="12">
        <f t="shared" si="132"/>
        <v>0</v>
      </c>
    </row>
    <row r="233" spans="7:28">
      <c r="G233" s="12">
        <f t="shared" si="119"/>
        <v>0</v>
      </c>
      <c r="H233" s="12">
        <f t="shared" ref="H233:Q233" si="133">IF($E82&gt;H$66,0,IF($E82&lt;H$66-365,$D82,0))</f>
        <v>0</v>
      </c>
      <c r="I233" s="12">
        <f t="shared" si="133"/>
        <v>0</v>
      </c>
      <c r="J233" s="12">
        <f t="shared" si="133"/>
        <v>0</v>
      </c>
      <c r="K233" s="12">
        <f t="shared" si="133"/>
        <v>0</v>
      </c>
      <c r="L233" s="12">
        <f t="shared" si="133"/>
        <v>0</v>
      </c>
      <c r="M233" s="12">
        <f t="shared" si="133"/>
        <v>0</v>
      </c>
      <c r="N233" s="12">
        <f t="shared" si="133"/>
        <v>0</v>
      </c>
      <c r="O233" s="12">
        <f t="shared" si="133"/>
        <v>0</v>
      </c>
      <c r="P233" s="12">
        <f t="shared" si="133"/>
        <v>0</v>
      </c>
      <c r="Q233" s="12">
        <f t="shared" si="133"/>
        <v>0</v>
      </c>
    </row>
    <row r="234" spans="7:28">
      <c r="G234" s="12">
        <f t="shared" si="119"/>
        <v>0</v>
      </c>
      <c r="H234" s="12">
        <f t="shared" ref="H234:Q234" si="134">IF($E83&gt;H$66,0,IF($E83&lt;H$66-365,$D83,0))</f>
        <v>0</v>
      </c>
      <c r="I234" s="12">
        <f t="shared" si="134"/>
        <v>0</v>
      </c>
      <c r="J234" s="12">
        <f t="shared" si="134"/>
        <v>0</v>
      </c>
      <c r="K234" s="12">
        <f t="shared" si="134"/>
        <v>0</v>
      </c>
      <c r="L234" s="12">
        <f t="shared" si="134"/>
        <v>0</v>
      </c>
      <c r="M234" s="12">
        <f t="shared" si="134"/>
        <v>0</v>
      </c>
      <c r="N234" s="12">
        <f t="shared" si="134"/>
        <v>0</v>
      </c>
      <c r="O234" s="12">
        <f t="shared" si="134"/>
        <v>0</v>
      </c>
      <c r="P234" s="12">
        <f t="shared" si="134"/>
        <v>0</v>
      </c>
      <c r="Q234" s="12">
        <f t="shared" si="134"/>
        <v>0</v>
      </c>
    </row>
    <row r="235" spans="7:28">
      <c r="G235" s="12">
        <f t="shared" si="119"/>
        <v>0</v>
      </c>
      <c r="H235" s="12">
        <f t="shared" ref="H235:Q235" si="135">IF($E84&gt;H$66,0,IF($E84&lt;H$66-365,$D84,0))</f>
        <v>0</v>
      </c>
      <c r="I235" s="12">
        <f t="shared" si="135"/>
        <v>0</v>
      </c>
      <c r="J235" s="12">
        <f t="shared" si="135"/>
        <v>0</v>
      </c>
      <c r="K235" s="12">
        <f t="shared" si="135"/>
        <v>0</v>
      </c>
      <c r="L235" s="12">
        <f t="shared" si="135"/>
        <v>0</v>
      </c>
      <c r="M235" s="12">
        <f t="shared" si="135"/>
        <v>0</v>
      </c>
      <c r="N235" s="12">
        <f t="shared" si="135"/>
        <v>0</v>
      </c>
      <c r="O235" s="12">
        <f t="shared" si="135"/>
        <v>0</v>
      </c>
      <c r="P235" s="12">
        <f t="shared" si="135"/>
        <v>0</v>
      </c>
      <c r="Q235" s="12">
        <f t="shared" si="135"/>
        <v>0</v>
      </c>
    </row>
    <row r="236" spans="7:28">
      <c r="G236" s="12">
        <f t="shared" si="119"/>
        <v>0</v>
      </c>
      <c r="H236" s="12">
        <f t="shared" ref="H236:Q236" si="136">IF($E85&gt;H$66,0,IF($E85&lt;H$66-365,$D85,0))</f>
        <v>0</v>
      </c>
      <c r="I236" s="12">
        <f t="shared" si="136"/>
        <v>0</v>
      </c>
      <c r="J236" s="12">
        <f t="shared" si="136"/>
        <v>0</v>
      </c>
      <c r="K236" s="12">
        <f t="shared" si="136"/>
        <v>0</v>
      </c>
      <c r="L236" s="12">
        <f t="shared" si="136"/>
        <v>0</v>
      </c>
      <c r="M236" s="12">
        <f t="shared" si="136"/>
        <v>0</v>
      </c>
      <c r="N236" s="12">
        <f t="shared" si="136"/>
        <v>0</v>
      </c>
      <c r="O236" s="12">
        <f t="shared" si="136"/>
        <v>0</v>
      </c>
      <c r="P236" s="12">
        <f t="shared" si="136"/>
        <v>0</v>
      </c>
      <c r="Q236" s="12">
        <f t="shared" si="136"/>
        <v>0</v>
      </c>
    </row>
    <row r="237" spans="7:28">
      <c r="G237" s="12">
        <f t="shared" si="119"/>
        <v>0</v>
      </c>
      <c r="H237" s="12">
        <f t="shared" ref="H237:Q237" si="137">IF($E86&gt;H$66,0,IF($E86&lt;H$66-365,$D86,0))</f>
        <v>0</v>
      </c>
      <c r="I237" s="12">
        <f t="shared" si="137"/>
        <v>0</v>
      </c>
      <c r="J237" s="12">
        <f t="shared" si="137"/>
        <v>0</v>
      </c>
      <c r="K237" s="12">
        <f t="shared" si="137"/>
        <v>0</v>
      </c>
      <c r="L237" s="12">
        <f t="shared" si="137"/>
        <v>0</v>
      </c>
      <c r="M237" s="12">
        <f t="shared" si="137"/>
        <v>0</v>
      </c>
      <c r="N237" s="12">
        <f t="shared" si="137"/>
        <v>0</v>
      </c>
      <c r="O237" s="12">
        <f t="shared" si="137"/>
        <v>0</v>
      </c>
      <c r="P237" s="12">
        <f t="shared" si="137"/>
        <v>0</v>
      </c>
      <c r="Q237" s="12">
        <f t="shared" si="137"/>
        <v>0</v>
      </c>
    </row>
    <row r="238" spans="7:28">
      <c r="G238" s="12">
        <f t="shared" si="119"/>
        <v>0</v>
      </c>
      <c r="H238" s="12">
        <f t="shared" ref="H238:Q238" si="138">IF($E87&gt;H$66,0,IF($E87&lt;H$66-365,$D87,0))</f>
        <v>0</v>
      </c>
      <c r="I238" s="12">
        <f t="shared" si="138"/>
        <v>0</v>
      </c>
      <c r="J238" s="12">
        <f t="shared" si="138"/>
        <v>0</v>
      </c>
      <c r="K238" s="12">
        <f t="shared" si="138"/>
        <v>0</v>
      </c>
      <c r="L238" s="12">
        <f t="shared" si="138"/>
        <v>0</v>
      </c>
      <c r="M238" s="12">
        <f t="shared" si="138"/>
        <v>0</v>
      </c>
      <c r="N238" s="12">
        <f t="shared" si="138"/>
        <v>0</v>
      </c>
      <c r="O238" s="12">
        <f t="shared" si="138"/>
        <v>0</v>
      </c>
      <c r="P238" s="12">
        <f t="shared" si="138"/>
        <v>0</v>
      </c>
      <c r="Q238" s="12">
        <f t="shared" si="138"/>
        <v>0</v>
      </c>
    </row>
    <row r="239" spans="7:28">
      <c r="G239" s="12">
        <f t="shared" si="119"/>
        <v>0</v>
      </c>
      <c r="H239" s="12">
        <f t="shared" ref="H239:Q239" si="139">IF($E88&gt;H$66,0,IF($E88&lt;H$66-365,$D88,0))</f>
        <v>0</v>
      </c>
      <c r="I239" s="12">
        <f t="shared" si="139"/>
        <v>0</v>
      </c>
      <c r="J239" s="12">
        <f t="shared" si="139"/>
        <v>0</v>
      </c>
      <c r="K239" s="12">
        <f t="shared" si="139"/>
        <v>0</v>
      </c>
      <c r="L239" s="12">
        <f t="shared" si="139"/>
        <v>0</v>
      </c>
      <c r="M239" s="12">
        <f t="shared" si="139"/>
        <v>0</v>
      </c>
      <c r="N239" s="12">
        <f t="shared" si="139"/>
        <v>0</v>
      </c>
      <c r="O239" s="12">
        <f t="shared" si="139"/>
        <v>0</v>
      </c>
      <c r="P239" s="12">
        <f t="shared" si="139"/>
        <v>0</v>
      </c>
      <c r="Q239" s="12">
        <f t="shared" si="139"/>
        <v>0</v>
      </c>
    </row>
    <row r="240" spans="7:28">
      <c r="G240" s="12">
        <f t="shared" si="119"/>
        <v>0</v>
      </c>
      <c r="H240" s="12">
        <f t="shared" ref="H240:Q240" si="140">IF($E89&gt;H$66,0,IF($E89&lt;H$66-365,$D89,0))</f>
        <v>0</v>
      </c>
      <c r="I240" s="12">
        <f t="shared" si="140"/>
        <v>0</v>
      </c>
      <c r="J240" s="12">
        <f t="shared" si="140"/>
        <v>0</v>
      </c>
      <c r="K240" s="12">
        <f t="shared" si="140"/>
        <v>0</v>
      </c>
      <c r="L240" s="12">
        <f t="shared" si="140"/>
        <v>0</v>
      </c>
      <c r="M240" s="12">
        <f t="shared" si="140"/>
        <v>0</v>
      </c>
      <c r="N240" s="12">
        <f t="shared" si="140"/>
        <v>0</v>
      </c>
      <c r="O240" s="12">
        <f t="shared" si="140"/>
        <v>0</v>
      </c>
      <c r="P240" s="12">
        <f t="shared" si="140"/>
        <v>0</v>
      </c>
      <c r="Q240" s="12">
        <f t="shared" si="140"/>
        <v>0</v>
      </c>
    </row>
    <row r="241" spans="7:17">
      <c r="G241" s="12">
        <f t="shared" si="119"/>
        <v>0</v>
      </c>
      <c r="H241" s="12">
        <f t="shared" ref="H241:Q241" si="141">IF($E90&gt;H$66,0,IF($E90&lt;H$66-365,$D90,0))</f>
        <v>0</v>
      </c>
      <c r="I241" s="12">
        <f t="shared" si="141"/>
        <v>0</v>
      </c>
      <c r="J241" s="12">
        <f t="shared" si="141"/>
        <v>0</v>
      </c>
      <c r="K241" s="12">
        <f t="shared" si="141"/>
        <v>0</v>
      </c>
      <c r="L241" s="12">
        <f t="shared" si="141"/>
        <v>0</v>
      </c>
      <c r="M241" s="12">
        <f t="shared" si="141"/>
        <v>0</v>
      </c>
      <c r="N241" s="12">
        <f t="shared" si="141"/>
        <v>0</v>
      </c>
      <c r="O241" s="12">
        <f t="shared" si="141"/>
        <v>0</v>
      </c>
      <c r="P241" s="12">
        <f t="shared" si="141"/>
        <v>0</v>
      </c>
      <c r="Q241" s="12">
        <f t="shared" si="141"/>
        <v>0</v>
      </c>
    </row>
    <row r="242" spans="7:17">
      <c r="G242" s="12">
        <f t="shared" si="119"/>
        <v>0</v>
      </c>
      <c r="H242" s="12">
        <f t="shared" ref="H242:Q242" si="142">IF($E91&gt;H$66,0,IF($E91&lt;H$66-365,$D91,0))</f>
        <v>0</v>
      </c>
      <c r="I242" s="12">
        <f t="shared" si="142"/>
        <v>0</v>
      </c>
      <c r="J242" s="12">
        <f t="shared" si="142"/>
        <v>0</v>
      </c>
      <c r="K242" s="12">
        <f t="shared" si="142"/>
        <v>0</v>
      </c>
      <c r="L242" s="12">
        <f t="shared" si="142"/>
        <v>0</v>
      </c>
      <c r="M242" s="12">
        <f t="shared" si="142"/>
        <v>0</v>
      </c>
      <c r="N242" s="12">
        <f t="shared" si="142"/>
        <v>0</v>
      </c>
      <c r="O242" s="12">
        <f t="shared" si="142"/>
        <v>0</v>
      </c>
      <c r="P242" s="12">
        <f t="shared" si="142"/>
        <v>0</v>
      </c>
      <c r="Q242" s="12">
        <f t="shared" si="142"/>
        <v>0</v>
      </c>
    </row>
    <row r="243" spans="7:17">
      <c r="G243" s="12">
        <f t="shared" si="119"/>
        <v>0</v>
      </c>
      <c r="H243" s="12">
        <f t="shared" ref="H243:Q243" si="143">IF($E92&gt;H$66,0,IF($E92&lt;H$66-365,$D92,0))</f>
        <v>0</v>
      </c>
      <c r="I243" s="12">
        <f t="shared" si="143"/>
        <v>0</v>
      </c>
      <c r="J243" s="12">
        <f t="shared" si="143"/>
        <v>0</v>
      </c>
      <c r="K243" s="12">
        <f t="shared" si="143"/>
        <v>0</v>
      </c>
      <c r="L243" s="12">
        <f t="shared" si="143"/>
        <v>0</v>
      </c>
      <c r="M243" s="12">
        <f t="shared" si="143"/>
        <v>0</v>
      </c>
      <c r="N243" s="12">
        <f t="shared" si="143"/>
        <v>0</v>
      </c>
      <c r="O243" s="12">
        <f t="shared" si="143"/>
        <v>0</v>
      </c>
      <c r="P243" s="12">
        <f t="shared" si="143"/>
        <v>0</v>
      </c>
      <c r="Q243" s="12">
        <f t="shared" si="143"/>
        <v>0</v>
      </c>
    </row>
    <row r="244" spans="7:17">
      <c r="G244" s="12">
        <f t="shared" si="119"/>
        <v>0</v>
      </c>
      <c r="H244" s="12">
        <f t="shared" ref="H244:Q244" si="144">IF($E93&gt;H$66,0,IF($E93&lt;H$66-365,$D93,0))</f>
        <v>0</v>
      </c>
      <c r="I244" s="12">
        <f t="shared" si="144"/>
        <v>0</v>
      </c>
      <c r="J244" s="12">
        <f t="shared" si="144"/>
        <v>0</v>
      </c>
      <c r="K244" s="12">
        <f t="shared" si="144"/>
        <v>0</v>
      </c>
      <c r="L244" s="12">
        <f t="shared" si="144"/>
        <v>0</v>
      </c>
      <c r="M244" s="12">
        <f t="shared" si="144"/>
        <v>0</v>
      </c>
      <c r="N244" s="12">
        <f t="shared" si="144"/>
        <v>0</v>
      </c>
      <c r="O244" s="12">
        <f t="shared" si="144"/>
        <v>0</v>
      </c>
      <c r="P244" s="12">
        <f t="shared" si="144"/>
        <v>0</v>
      </c>
      <c r="Q244" s="12">
        <f t="shared" si="144"/>
        <v>0</v>
      </c>
    </row>
    <row r="245" spans="7:17">
      <c r="G245" s="12">
        <f t="shared" si="119"/>
        <v>0</v>
      </c>
      <c r="H245" s="12">
        <f t="shared" ref="H245:Q245" si="145">IF($E94&gt;H$66,0,IF($E94&lt;H$66-365,$D94,0))</f>
        <v>0</v>
      </c>
      <c r="I245" s="12">
        <f t="shared" si="145"/>
        <v>0</v>
      </c>
      <c r="J245" s="12">
        <f t="shared" si="145"/>
        <v>0</v>
      </c>
      <c r="K245" s="12">
        <f t="shared" si="145"/>
        <v>0</v>
      </c>
      <c r="L245" s="12">
        <f t="shared" si="145"/>
        <v>0</v>
      </c>
      <c r="M245" s="12">
        <f t="shared" si="145"/>
        <v>0</v>
      </c>
      <c r="N245" s="12">
        <f t="shared" si="145"/>
        <v>0</v>
      </c>
      <c r="O245" s="12">
        <f t="shared" si="145"/>
        <v>0</v>
      </c>
      <c r="P245" s="12">
        <f t="shared" si="145"/>
        <v>0</v>
      </c>
      <c r="Q245" s="12">
        <f t="shared" si="145"/>
        <v>0</v>
      </c>
    </row>
    <row r="246" spans="7:17">
      <c r="G246" s="12">
        <f t="shared" si="119"/>
        <v>0</v>
      </c>
      <c r="H246" s="12">
        <f t="shared" ref="H246:Q246" si="146">IF($E95&gt;H$66,0,IF($E95&lt;H$66-365,$D95,0))</f>
        <v>0</v>
      </c>
      <c r="I246" s="12">
        <f t="shared" si="146"/>
        <v>0</v>
      </c>
      <c r="J246" s="12">
        <f t="shared" si="146"/>
        <v>0</v>
      </c>
      <c r="K246" s="12">
        <f t="shared" si="146"/>
        <v>0</v>
      </c>
      <c r="L246" s="12">
        <f t="shared" si="146"/>
        <v>0</v>
      </c>
      <c r="M246" s="12">
        <f t="shared" si="146"/>
        <v>0</v>
      </c>
      <c r="N246" s="12">
        <f t="shared" si="146"/>
        <v>0</v>
      </c>
      <c r="O246" s="12">
        <f t="shared" si="146"/>
        <v>0</v>
      </c>
      <c r="P246" s="12">
        <f t="shared" si="146"/>
        <v>0</v>
      </c>
      <c r="Q246" s="12">
        <f t="shared" si="146"/>
        <v>0</v>
      </c>
    </row>
    <row r="247" spans="7:17">
      <c r="G247" s="12">
        <f t="shared" si="119"/>
        <v>0</v>
      </c>
      <c r="H247" s="12">
        <f t="shared" ref="H247:Q247" si="147">IF($E96&gt;H$66,0,IF($E96&lt;H$66-365,$D96,0))</f>
        <v>0</v>
      </c>
      <c r="I247" s="12">
        <f t="shared" si="147"/>
        <v>0</v>
      </c>
      <c r="J247" s="12">
        <f t="shared" si="147"/>
        <v>0</v>
      </c>
      <c r="K247" s="12">
        <f t="shared" si="147"/>
        <v>0</v>
      </c>
      <c r="L247" s="12">
        <f t="shared" si="147"/>
        <v>0</v>
      </c>
      <c r="M247" s="12">
        <f t="shared" si="147"/>
        <v>0</v>
      </c>
      <c r="N247" s="12">
        <f t="shared" si="147"/>
        <v>0</v>
      </c>
      <c r="O247" s="12">
        <f t="shared" si="147"/>
        <v>0</v>
      </c>
      <c r="P247" s="12">
        <f t="shared" si="147"/>
        <v>0</v>
      </c>
      <c r="Q247" s="12">
        <f t="shared" si="147"/>
        <v>0</v>
      </c>
    </row>
    <row r="248" spans="7:17">
      <c r="G248" s="12">
        <f t="shared" si="119"/>
        <v>0</v>
      </c>
      <c r="H248" s="12">
        <f t="shared" ref="H248:Q248" si="148">IF($E97&gt;H$66,0,IF($E97&lt;H$66-365,$D97,0))</f>
        <v>0</v>
      </c>
      <c r="I248" s="12">
        <f t="shared" si="148"/>
        <v>0</v>
      </c>
      <c r="J248" s="12">
        <f t="shared" si="148"/>
        <v>0</v>
      </c>
      <c r="K248" s="12">
        <f t="shared" si="148"/>
        <v>0</v>
      </c>
      <c r="L248" s="12">
        <f t="shared" si="148"/>
        <v>0</v>
      </c>
      <c r="M248" s="12">
        <f t="shared" si="148"/>
        <v>0</v>
      </c>
      <c r="N248" s="12">
        <f t="shared" si="148"/>
        <v>0</v>
      </c>
      <c r="O248" s="12">
        <f t="shared" si="148"/>
        <v>0</v>
      </c>
      <c r="P248" s="12">
        <f t="shared" si="148"/>
        <v>0</v>
      </c>
      <c r="Q248" s="12">
        <f t="shared" si="148"/>
        <v>0</v>
      </c>
    </row>
    <row r="249" spans="7:17">
      <c r="G249" s="12">
        <f t="shared" si="119"/>
        <v>0</v>
      </c>
      <c r="H249" s="12">
        <f t="shared" ref="H249:Q249" si="149">IF($E98&gt;H$66,0,IF($E98&lt;H$66-365,$D98,0))</f>
        <v>0</v>
      </c>
      <c r="I249" s="12">
        <f t="shared" si="149"/>
        <v>0</v>
      </c>
      <c r="J249" s="12">
        <f t="shared" si="149"/>
        <v>0</v>
      </c>
      <c r="K249" s="12">
        <f t="shared" si="149"/>
        <v>0</v>
      </c>
      <c r="L249" s="12">
        <f t="shared" si="149"/>
        <v>0</v>
      </c>
      <c r="M249" s="12">
        <f t="shared" si="149"/>
        <v>0</v>
      </c>
      <c r="N249" s="12">
        <f t="shared" si="149"/>
        <v>0</v>
      </c>
      <c r="O249" s="12">
        <f t="shared" si="149"/>
        <v>0</v>
      </c>
      <c r="P249" s="12">
        <f t="shared" si="149"/>
        <v>0</v>
      </c>
      <c r="Q249" s="12">
        <f t="shared" si="149"/>
        <v>0</v>
      </c>
    </row>
    <row r="250" spans="7:17">
      <c r="G250" s="12">
        <f t="shared" si="119"/>
        <v>0</v>
      </c>
      <c r="H250" s="12">
        <f t="shared" ref="H250:Q250" si="150">IF($E99&gt;H$66,0,IF($E99&lt;H$66-365,$D99,0))</f>
        <v>0</v>
      </c>
      <c r="I250" s="12">
        <f t="shared" si="150"/>
        <v>0</v>
      </c>
      <c r="J250" s="12">
        <f t="shared" si="150"/>
        <v>0</v>
      </c>
      <c r="K250" s="12">
        <f t="shared" si="150"/>
        <v>0</v>
      </c>
      <c r="L250" s="12">
        <f t="shared" si="150"/>
        <v>0</v>
      </c>
      <c r="M250" s="12">
        <f t="shared" si="150"/>
        <v>0</v>
      </c>
      <c r="N250" s="12">
        <f t="shared" si="150"/>
        <v>0</v>
      </c>
      <c r="O250" s="12">
        <f t="shared" si="150"/>
        <v>0</v>
      </c>
      <c r="P250" s="12">
        <f t="shared" si="150"/>
        <v>0</v>
      </c>
      <c r="Q250" s="12">
        <f t="shared" si="150"/>
        <v>0</v>
      </c>
    </row>
    <row r="251" spans="7:17">
      <c r="G251" s="12">
        <f t="shared" si="119"/>
        <v>0</v>
      </c>
      <c r="H251" s="12">
        <f t="shared" ref="H251:Q251" si="151">IF($E100&gt;H$66,0,IF($E100&lt;H$66-365,$D100,0))</f>
        <v>0</v>
      </c>
      <c r="I251" s="12">
        <f t="shared" si="151"/>
        <v>0</v>
      </c>
      <c r="J251" s="12">
        <f t="shared" si="151"/>
        <v>0</v>
      </c>
      <c r="K251" s="12">
        <f t="shared" si="151"/>
        <v>0</v>
      </c>
      <c r="L251" s="12">
        <f t="shared" si="151"/>
        <v>0</v>
      </c>
      <c r="M251" s="12">
        <f t="shared" si="151"/>
        <v>0</v>
      </c>
      <c r="N251" s="12">
        <f t="shared" si="151"/>
        <v>0</v>
      </c>
      <c r="O251" s="12">
        <f t="shared" si="151"/>
        <v>0</v>
      </c>
      <c r="P251" s="12">
        <f t="shared" si="151"/>
        <v>0</v>
      </c>
      <c r="Q251" s="12">
        <f t="shared" si="151"/>
        <v>0</v>
      </c>
    </row>
    <row r="252" spans="7:17">
      <c r="G252" s="12">
        <f t="shared" si="119"/>
        <v>0</v>
      </c>
      <c r="H252" s="12">
        <f t="shared" ref="H252:Q252" si="152">IF($E101&gt;H$66,0,IF($E101&lt;H$66-365,$D101,0))</f>
        <v>0</v>
      </c>
      <c r="I252" s="12">
        <f t="shared" si="152"/>
        <v>0</v>
      </c>
      <c r="J252" s="12">
        <f t="shared" si="152"/>
        <v>0</v>
      </c>
      <c r="K252" s="12">
        <f t="shared" si="152"/>
        <v>0</v>
      </c>
      <c r="L252" s="12">
        <f t="shared" si="152"/>
        <v>0</v>
      </c>
      <c r="M252" s="12">
        <f t="shared" si="152"/>
        <v>0</v>
      </c>
      <c r="N252" s="12">
        <f t="shared" si="152"/>
        <v>0</v>
      </c>
      <c r="O252" s="12">
        <f t="shared" si="152"/>
        <v>0</v>
      </c>
      <c r="P252" s="12">
        <f t="shared" si="152"/>
        <v>0</v>
      </c>
      <c r="Q252" s="12">
        <f t="shared" si="152"/>
        <v>0</v>
      </c>
    </row>
    <row r="253" spans="7:17">
      <c r="G253" s="12">
        <f t="shared" si="119"/>
        <v>0</v>
      </c>
      <c r="H253" s="12">
        <f t="shared" ref="H253:Q253" si="153">IF($E102&gt;H$66,0,IF($E102&lt;H$66-365,$D102,0))</f>
        <v>0</v>
      </c>
      <c r="I253" s="12">
        <f t="shared" si="153"/>
        <v>0</v>
      </c>
      <c r="J253" s="12">
        <f t="shared" si="153"/>
        <v>0</v>
      </c>
      <c r="K253" s="12">
        <f t="shared" si="153"/>
        <v>0</v>
      </c>
      <c r="L253" s="12">
        <f t="shared" si="153"/>
        <v>0</v>
      </c>
      <c r="M253" s="12">
        <f t="shared" si="153"/>
        <v>0</v>
      </c>
      <c r="N253" s="12">
        <f t="shared" si="153"/>
        <v>0</v>
      </c>
      <c r="O253" s="12">
        <f t="shared" si="153"/>
        <v>0</v>
      </c>
      <c r="P253" s="12">
        <f t="shared" si="153"/>
        <v>0</v>
      </c>
      <c r="Q253" s="12">
        <f t="shared" si="153"/>
        <v>0</v>
      </c>
    </row>
    <row r="254" spans="7:17">
      <c r="G254" s="12">
        <f t="shared" si="119"/>
        <v>0</v>
      </c>
      <c r="H254" s="12">
        <f t="shared" ref="H254:Q254" si="154">IF($E103&gt;H$66,0,IF($E103&lt;H$66-365,$D103,0))</f>
        <v>0</v>
      </c>
      <c r="I254" s="12">
        <f t="shared" si="154"/>
        <v>0</v>
      </c>
      <c r="J254" s="12">
        <f t="shared" si="154"/>
        <v>0</v>
      </c>
      <c r="K254" s="12">
        <f t="shared" si="154"/>
        <v>0</v>
      </c>
      <c r="L254" s="12">
        <f t="shared" si="154"/>
        <v>0</v>
      </c>
      <c r="M254" s="12">
        <f t="shared" si="154"/>
        <v>0</v>
      </c>
      <c r="N254" s="12">
        <f t="shared" si="154"/>
        <v>0</v>
      </c>
      <c r="O254" s="12">
        <f t="shared" si="154"/>
        <v>0</v>
      </c>
      <c r="P254" s="12">
        <f t="shared" si="154"/>
        <v>0</v>
      </c>
      <c r="Q254" s="12">
        <f t="shared" si="154"/>
        <v>0</v>
      </c>
    </row>
    <row r="255" spans="7:17">
      <c r="G255" s="12">
        <f t="shared" si="119"/>
        <v>0</v>
      </c>
      <c r="H255" s="12">
        <f t="shared" ref="H255:Q255" si="155">IF($E104&gt;H$66,0,IF($E104&lt;H$66-365,$D104,0))</f>
        <v>0</v>
      </c>
      <c r="I255" s="12">
        <f t="shared" si="155"/>
        <v>0</v>
      </c>
      <c r="J255" s="12">
        <f t="shared" si="155"/>
        <v>0</v>
      </c>
      <c r="K255" s="12">
        <f t="shared" si="155"/>
        <v>0</v>
      </c>
      <c r="L255" s="12">
        <f t="shared" si="155"/>
        <v>0</v>
      </c>
      <c r="M255" s="12">
        <f t="shared" si="155"/>
        <v>0</v>
      </c>
      <c r="N255" s="12">
        <f t="shared" si="155"/>
        <v>0</v>
      </c>
      <c r="O255" s="12">
        <f t="shared" si="155"/>
        <v>0</v>
      </c>
      <c r="P255" s="12">
        <f t="shared" si="155"/>
        <v>0</v>
      </c>
      <c r="Q255" s="12">
        <f t="shared" si="155"/>
        <v>0</v>
      </c>
    </row>
    <row r="256" spans="7:17">
      <c r="G256" s="12">
        <f t="shared" si="119"/>
        <v>0</v>
      </c>
      <c r="H256" s="12">
        <f t="shared" ref="H256:Q256" si="156">IF($E105&gt;H$66,0,IF($E105&lt;H$66-365,$D105,0))</f>
        <v>0</v>
      </c>
      <c r="I256" s="12">
        <f t="shared" si="156"/>
        <v>0</v>
      </c>
      <c r="J256" s="12">
        <f t="shared" si="156"/>
        <v>0</v>
      </c>
      <c r="K256" s="12">
        <f t="shared" si="156"/>
        <v>0</v>
      </c>
      <c r="L256" s="12">
        <f t="shared" si="156"/>
        <v>0</v>
      </c>
      <c r="M256" s="12">
        <f t="shared" si="156"/>
        <v>0</v>
      </c>
      <c r="N256" s="12">
        <f t="shared" si="156"/>
        <v>0</v>
      </c>
      <c r="O256" s="12">
        <f t="shared" si="156"/>
        <v>0</v>
      </c>
      <c r="P256" s="12">
        <f t="shared" si="156"/>
        <v>0</v>
      </c>
      <c r="Q256" s="12">
        <f t="shared" si="156"/>
        <v>0</v>
      </c>
    </row>
    <row r="257" spans="5:18">
      <c r="G257" s="12">
        <f t="shared" si="119"/>
        <v>0</v>
      </c>
      <c r="H257" s="12">
        <f t="shared" ref="H257:Q257" si="157">IF($E106&gt;H$66,0,IF($E106&lt;H$66-365,$D106,0))</f>
        <v>0</v>
      </c>
      <c r="I257" s="12">
        <f t="shared" si="157"/>
        <v>0</v>
      </c>
      <c r="J257" s="12">
        <f t="shared" si="157"/>
        <v>0</v>
      </c>
      <c r="K257" s="12">
        <f t="shared" si="157"/>
        <v>0</v>
      </c>
      <c r="L257" s="12">
        <f t="shared" si="157"/>
        <v>0</v>
      </c>
      <c r="M257" s="12">
        <f t="shared" si="157"/>
        <v>0</v>
      </c>
      <c r="N257" s="12">
        <f t="shared" si="157"/>
        <v>0</v>
      </c>
      <c r="O257" s="12">
        <f t="shared" si="157"/>
        <v>0</v>
      </c>
      <c r="P257" s="12">
        <f t="shared" si="157"/>
        <v>0</v>
      </c>
      <c r="Q257" s="12">
        <f t="shared" si="157"/>
        <v>0</v>
      </c>
    </row>
    <row r="258" spans="5:18">
      <c r="G258" s="12">
        <f t="shared" si="119"/>
        <v>0</v>
      </c>
      <c r="H258" s="12">
        <f t="shared" ref="H258:Q258" si="158">IF($E107&gt;H$66,0,IF($E107&lt;H$66-365,$D107,0))</f>
        <v>0</v>
      </c>
      <c r="I258" s="12">
        <f t="shared" si="158"/>
        <v>0</v>
      </c>
      <c r="J258" s="12">
        <f t="shared" si="158"/>
        <v>0</v>
      </c>
      <c r="K258" s="12">
        <f t="shared" si="158"/>
        <v>0</v>
      </c>
      <c r="L258" s="12">
        <f t="shared" si="158"/>
        <v>0</v>
      </c>
      <c r="M258" s="12">
        <f t="shared" si="158"/>
        <v>0</v>
      </c>
      <c r="N258" s="12">
        <f t="shared" si="158"/>
        <v>0</v>
      </c>
      <c r="O258" s="12">
        <f t="shared" si="158"/>
        <v>0</v>
      </c>
      <c r="P258" s="12">
        <f t="shared" si="158"/>
        <v>0</v>
      </c>
      <c r="Q258" s="12">
        <f t="shared" si="158"/>
        <v>0</v>
      </c>
    </row>
    <row r="259" spans="5:18">
      <c r="G259" s="12">
        <f t="shared" si="119"/>
        <v>0</v>
      </c>
      <c r="H259" s="12">
        <f t="shared" ref="H259:Q259" si="159">IF($E108&gt;H$66,0,IF($E108&lt;H$66-365,$D108,0))</f>
        <v>0</v>
      </c>
      <c r="I259" s="12">
        <f t="shared" si="159"/>
        <v>0</v>
      </c>
      <c r="J259" s="12">
        <f t="shared" si="159"/>
        <v>0</v>
      </c>
      <c r="K259" s="12">
        <f t="shared" si="159"/>
        <v>0</v>
      </c>
      <c r="L259" s="12">
        <f t="shared" si="159"/>
        <v>0</v>
      </c>
      <c r="M259" s="12">
        <f t="shared" si="159"/>
        <v>0</v>
      </c>
      <c r="N259" s="12">
        <f t="shared" si="159"/>
        <v>0</v>
      </c>
      <c r="O259" s="12">
        <f t="shared" si="159"/>
        <v>0</v>
      </c>
      <c r="P259" s="12">
        <f t="shared" si="159"/>
        <v>0</v>
      </c>
      <c r="Q259" s="12">
        <f t="shared" si="159"/>
        <v>0</v>
      </c>
    </row>
    <row r="260" spans="5:18">
      <c r="G260" s="12">
        <f t="shared" si="119"/>
        <v>0</v>
      </c>
      <c r="H260" s="12">
        <f t="shared" ref="H260:Q260" si="160">IF($E109&gt;H$66,0,IF($E109&lt;H$66-365,$D109,0))</f>
        <v>0</v>
      </c>
      <c r="I260" s="12">
        <f t="shared" si="160"/>
        <v>0</v>
      </c>
      <c r="J260" s="12">
        <f t="shared" si="160"/>
        <v>0</v>
      </c>
      <c r="K260" s="12">
        <f t="shared" si="160"/>
        <v>0</v>
      </c>
      <c r="L260" s="12">
        <f t="shared" si="160"/>
        <v>0</v>
      </c>
      <c r="M260" s="12">
        <f t="shared" si="160"/>
        <v>0</v>
      </c>
      <c r="N260" s="12">
        <f t="shared" si="160"/>
        <v>0</v>
      </c>
      <c r="O260" s="12">
        <f t="shared" si="160"/>
        <v>0</v>
      </c>
      <c r="P260" s="12">
        <f t="shared" si="160"/>
        <v>0</v>
      </c>
      <c r="Q260" s="12">
        <f t="shared" si="160"/>
        <v>0</v>
      </c>
    </row>
    <row r="261" spans="5:18">
      <c r="G261" s="12">
        <f t="shared" si="119"/>
        <v>0</v>
      </c>
      <c r="H261" s="12">
        <f t="shared" ref="H261:Q261" si="161">IF($E110&gt;H$66,0,IF($E110&lt;H$66-365,$D110,0))</f>
        <v>0</v>
      </c>
      <c r="I261" s="12">
        <f t="shared" si="161"/>
        <v>0</v>
      </c>
      <c r="J261" s="12">
        <f t="shared" si="161"/>
        <v>0</v>
      </c>
      <c r="K261" s="12">
        <f t="shared" si="161"/>
        <v>0</v>
      </c>
      <c r="L261" s="12">
        <f t="shared" si="161"/>
        <v>0</v>
      </c>
      <c r="M261" s="12">
        <f t="shared" si="161"/>
        <v>0</v>
      </c>
      <c r="N261" s="12">
        <f t="shared" si="161"/>
        <v>0</v>
      </c>
      <c r="O261" s="12">
        <f t="shared" si="161"/>
        <v>0</v>
      </c>
      <c r="P261" s="12">
        <f t="shared" si="161"/>
        <v>0</v>
      </c>
      <c r="Q261" s="12">
        <f t="shared" si="161"/>
        <v>0</v>
      </c>
    </row>
    <row r="262" spans="5:18">
      <c r="G262" s="12">
        <f t="shared" si="119"/>
        <v>0</v>
      </c>
      <c r="H262" s="12">
        <f t="shared" ref="H262:Q262" si="162">IF($E111&gt;H$66,0,IF($E111&lt;H$66-365,$D111,0))</f>
        <v>0</v>
      </c>
      <c r="I262" s="12">
        <f t="shared" si="162"/>
        <v>0</v>
      </c>
      <c r="J262" s="12">
        <f t="shared" si="162"/>
        <v>0</v>
      </c>
      <c r="K262" s="12">
        <f t="shared" si="162"/>
        <v>0</v>
      </c>
      <c r="L262" s="12">
        <f t="shared" si="162"/>
        <v>0</v>
      </c>
      <c r="M262" s="12">
        <f t="shared" si="162"/>
        <v>0</v>
      </c>
      <c r="N262" s="12">
        <f t="shared" si="162"/>
        <v>0</v>
      </c>
      <c r="O262" s="12">
        <f t="shared" si="162"/>
        <v>0</v>
      </c>
      <c r="P262" s="12">
        <f t="shared" si="162"/>
        <v>0</v>
      </c>
      <c r="Q262" s="12">
        <f t="shared" si="162"/>
        <v>0</v>
      </c>
    </row>
    <row r="263" spans="5:18">
      <c r="G263" s="12">
        <f t="shared" si="119"/>
        <v>0</v>
      </c>
      <c r="H263" s="12">
        <f t="shared" ref="H263:Q263" si="163">IF($E112&gt;H$66,0,IF($E112&lt;H$66-365,$D112,0))</f>
        <v>0</v>
      </c>
      <c r="I263" s="12">
        <f t="shared" si="163"/>
        <v>0</v>
      </c>
      <c r="J263" s="12">
        <f t="shared" si="163"/>
        <v>0</v>
      </c>
      <c r="K263" s="12">
        <f t="shared" si="163"/>
        <v>0</v>
      </c>
      <c r="L263" s="12">
        <f t="shared" si="163"/>
        <v>0</v>
      </c>
      <c r="M263" s="12">
        <f t="shared" si="163"/>
        <v>0</v>
      </c>
      <c r="N263" s="12">
        <f t="shared" si="163"/>
        <v>0</v>
      </c>
      <c r="O263" s="12">
        <f t="shared" si="163"/>
        <v>0</v>
      </c>
      <c r="P263" s="12">
        <f t="shared" si="163"/>
        <v>0</v>
      </c>
      <c r="Q263" s="12">
        <f t="shared" si="163"/>
        <v>0</v>
      </c>
    </row>
    <row r="264" spans="5:18">
      <c r="G264" s="12">
        <f t="shared" si="119"/>
        <v>0</v>
      </c>
      <c r="H264" s="12">
        <f t="shared" ref="H264:Q264" si="164">IF($E113&gt;H$66,0,IF($E113&lt;H$66-365,$D113,0))</f>
        <v>0</v>
      </c>
      <c r="I264" s="12">
        <f t="shared" si="164"/>
        <v>0</v>
      </c>
      <c r="J264" s="12">
        <f t="shared" si="164"/>
        <v>0</v>
      </c>
      <c r="K264" s="12">
        <f t="shared" si="164"/>
        <v>0</v>
      </c>
      <c r="L264" s="12">
        <f t="shared" si="164"/>
        <v>0</v>
      </c>
      <c r="M264" s="12">
        <f t="shared" si="164"/>
        <v>0</v>
      </c>
      <c r="N264" s="12">
        <f t="shared" si="164"/>
        <v>0</v>
      </c>
      <c r="O264" s="12">
        <f t="shared" si="164"/>
        <v>0</v>
      </c>
      <c r="P264" s="12">
        <f t="shared" si="164"/>
        <v>0</v>
      </c>
      <c r="Q264" s="12">
        <f t="shared" si="164"/>
        <v>0</v>
      </c>
    </row>
    <row r="265" spans="5:18">
      <c r="G265" s="12">
        <f t="shared" si="119"/>
        <v>0</v>
      </c>
      <c r="H265" s="12">
        <f t="shared" ref="H265:Q265" si="165">IF($E114&gt;H$66,0,IF($E114&lt;H$66-365,$D114,0))</f>
        <v>0</v>
      </c>
      <c r="I265" s="12">
        <f t="shared" si="165"/>
        <v>0</v>
      </c>
      <c r="J265" s="12">
        <f t="shared" si="165"/>
        <v>0</v>
      </c>
      <c r="K265" s="12">
        <f t="shared" si="165"/>
        <v>0</v>
      </c>
      <c r="L265" s="12">
        <f t="shared" si="165"/>
        <v>0</v>
      </c>
      <c r="M265" s="12">
        <f t="shared" si="165"/>
        <v>0</v>
      </c>
      <c r="N265" s="12">
        <f t="shared" si="165"/>
        <v>0</v>
      </c>
      <c r="O265" s="12">
        <f t="shared" si="165"/>
        <v>0</v>
      </c>
      <c r="P265" s="12">
        <f t="shared" si="165"/>
        <v>0</v>
      </c>
      <c r="Q265" s="12">
        <f t="shared" si="165"/>
        <v>0</v>
      </c>
    </row>
    <row r="267" spans="5:18">
      <c r="F267" s="187" t="s">
        <v>493</v>
      </c>
      <c r="G267" s="187">
        <f>SUM(G220:G265)</f>
        <v>0</v>
      </c>
      <c r="H267" s="187">
        <f t="shared" ref="H267:Q267" si="166">SUM(H220:H265)</f>
        <v>0</v>
      </c>
      <c r="I267" s="187">
        <f t="shared" si="166"/>
        <v>0</v>
      </c>
      <c r="J267" s="187">
        <f t="shared" si="166"/>
        <v>0</v>
      </c>
      <c r="K267" s="187">
        <f t="shared" si="166"/>
        <v>0</v>
      </c>
      <c r="L267" s="187">
        <f t="shared" si="166"/>
        <v>0</v>
      </c>
      <c r="M267" s="187">
        <f t="shared" si="166"/>
        <v>0</v>
      </c>
      <c r="N267" s="187">
        <f t="shared" si="166"/>
        <v>0</v>
      </c>
      <c r="O267" s="187">
        <f t="shared" si="166"/>
        <v>0</v>
      </c>
      <c r="P267" s="187">
        <f t="shared" si="166"/>
        <v>0</v>
      </c>
      <c r="Q267" s="187">
        <f t="shared" si="166"/>
        <v>0</v>
      </c>
    </row>
    <row r="271" spans="5:18">
      <c r="F271" s="207" t="s">
        <v>486</v>
      </c>
      <c r="G271" s="206">
        <f>G66</f>
        <v>45473</v>
      </c>
      <c r="H271" s="206">
        <f t="shared" ref="H271:Q271" si="167">H66</f>
        <v>45838</v>
      </c>
      <c r="I271" s="206">
        <f t="shared" si="167"/>
        <v>46203</v>
      </c>
      <c r="J271" s="206">
        <f t="shared" si="167"/>
        <v>46568</v>
      </c>
      <c r="K271" s="206">
        <f t="shared" si="167"/>
        <v>46934</v>
      </c>
      <c r="L271" s="206">
        <f t="shared" si="167"/>
        <v>47299</v>
      </c>
      <c r="M271" s="206">
        <f t="shared" si="167"/>
        <v>47664</v>
      </c>
      <c r="N271" s="206">
        <f t="shared" si="167"/>
        <v>48029</v>
      </c>
      <c r="O271" s="206">
        <f t="shared" si="167"/>
        <v>48395</v>
      </c>
      <c r="P271" s="206">
        <f t="shared" si="167"/>
        <v>48760</v>
      </c>
      <c r="Q271" s="206">
        <f t="shared" si="167"/>
        <v>49125</v>
      </c>
      <c r="R271" s="206">
        <f t="shared" ref="R271" si="168">Q271+365</f>
        <v>49490</v>
      </c>
    </row>
    <row r="272" spans="5:18">
      <c r="E272" s="12" t="s">
        <v>399</v>
      </c>
      <c r="F272" s="348">
        <f t="shared" ref="F272:P272" si="169">Z216</f>
        <v>5.8446615893088083</v>
      </c>
      <c r="G272" s="348">
        <f t="shared" si="169"/>
        <v>5.8446615893088083</v>
      </c>
      <c r="H272" s="348">
        <f t="shared" si="169"/>
        <v>5.8446615893088083</v>
      </c>
      <c r="I272" s="348">
        <f t="shared" si="169"/>
        <v>5.8446615893088083</v>
      </c>
      <c r="J272" s="348">
        <f t="shared" si="169"/>
        <v>5.8446615893088083</v>
      </c>
      <c r="K272" s="348">
        <f t="shared" si="169"/>
        <v>5.8446615893088083</v>
      </c>
      <c r="L272" s="348">
        <f t="shared" si="169"/>
        <v>5.8446615893088083</v>
      </c>
      <c r="M272" s="348">
        <f t="shared" si="169"/>
        <v>5.8446615893088083</v>
      </c>
      <c r="N272" s="348">
        <f t="shared" si="169"/>
        <v>5.8446615893088083</v>
      </c>
      <c r="O272" s="348">
        <f t="shared" si="169"/>
        <v>5.8446615893088083</v>
      </c>
      <c r="P272" s="348">
        <f t="shared" si="169"/>
        <v>5.8446615893088083</v>
      </c>
      <c r="Q272" s="348">
        <f>AK216</f>
        <v>5.8446615893088083</v>
      </c>
    </row>
  </sheetData>
  <sheetProtection formatCells="0" formatColumns="0" formatRows="0" selectLockedCells="1"/>
  <customSheetViews>
    <customSheetView guid="{0FAFE012-8D9E-4ED0-86A4-A997E430971B}" scale="70" showGridLines="0" fitToPage="1" hiddenRows="1">
      <selection activeCell="A3" sqref="A3"/>
      <pageMargins left="0.74803149606299213" right="0.74803149606299213" top="0.51181102362204722" bottom="0.62992125984251968" header="0.51181102362204722" footer="0.51181102362204722"/>
      <pageSetup paperSize="9" scale="23" orientation="landscape" r:id="rId1"/>
      <headerFooter alignWithMargins="0"/>
    </customSheetView>
  </customSheetViews>
  <mergeCells count="9">
    <mergeCell ref="T55:U55"/>
    <mergeCell ref="R55:S55"/>
    <mergeCell ref="V55:W55"/>
    <mergeCell ref="AS156:AS164"/>
    <mergeCell ref="V164:X165"/>
    <mergeCell ref="Z164:AB164"/>
    <mergeCell ref="V216:X216"/>
    <mergeCell ref="Z155:AC157"/>
    <mergeCell ref="AL156:AL164"/>
  </mergeCells>
  <phoneticPr fontId="60" type="noConversion"/>
  <conditionalFormatting sqref="F7:Q7 F9:Q9">
    <cfRule type="cellIs" dxfId="2" priority="1" operator="lessThan">
      <formula>0</formula>
    </cfRule>
  </conditionalFormatting>
  <conditionalFormatting sqref="F46:Q47">
    <cfRule type="cellIs" dxfId="1" priority="3" operator="lessThan">
      <formula>0</formula>
    </cfRule>
  </conditionalFormatting>
  <conditionalFormatting sqref="F50:Q50">
    <cfRule type="cellIs" dxfId="0" priority="2" operator="lessThan">
      <formula>0</formula>
    </cfRule>
  </conditionalFormatting>
  <dataValidations count="3">
    <dataValidation type="list" allowBlank="1" showInputMessage="1" showErrorMessage="1" sqref="F141:G141" xr:uid="{E5DE2F5C-772F-4765-8D58-DAB2EF141C35}">
      <formula1>"0.0 Stars,0.5 Stars,1.0 Stars,1.5 Stars,2.0 Stars,2.5 Stars,3.0 Stars,3.5 Stars,4.0 Stars,4.5 Stars,5.0 Stars,5.5 Stars,6.0 Stars,N/A"</formula1>
    </dataValidation>
    <dataValidation type="list" allowBlank="1" showInputMessage="1" showErrorMessage="1" sqref="E114" xr:uid="{297507E1-F0FC-470C-82B8-7F6818D02463}">
      <formula1>$BQ$155:$BQ$169</formula1>
    </dataValidation>
    <dataValidation type="list" allowBlank="1" showInputMessage="1" showErrorMessage="1" sqref="O114:Q114" xr:uid="{96DF59EB-FEF7-443C-9A32-A0F70D6D5318}">
      <formula1>$BS$156:$BS$159</formula1>
    </dataValidation>
  </dataValidations>
  <pageMargins left="0.74803149606299213" right="0.74803149606299213" top="0.51181102362204722" bottom="0.62992125984251968" header="0.51181102362204722" footer="0.51181102362204722"/>
  <pageSetup paperSize="9" scale="23" orientation="landscape" r:id="rId2"/>
  <headerFooter alignWithMargins="0"/>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8076B-7DD4-4AFB-B8F4-E03C21069172}">
  <sheetPr codeName="Sheet61">
    <tabColor theme="5" tint="0.39997558519241921"/>
  </sheetPr>
  <dimension ref="A2:AQ101"/>
  <sheetViews>
    <sheetView zoomScale="85" zoomScaleNormal="85" workbookViewId="0">
      <selection activeCell="AC56" sqref="AC56"/>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0</v>
      </c>
      <c r="E15" s="81">
        <f>(0.25*$F$28*$J29)*(1-$B$6+$B$6/2)</f>
        <v>0</v>
      </c>
      <c r="F15" s="81">
        <f>(0.25*$F$28*$J29)*(1-$B$6+$B$6/2)</f>
        <v>0</v>
      </c>
      <c r="G15" s="81">
        <f>(0.25*$F$28*$J29)*(1-$B$6+$B$6/2)</f>
        <v>0</v>
      </c>
      <c r="H15" s="86">
        <f>(0.25*$F$28*$K29)*(1-$B$6+$B$6/2)</f>
        <v>0</v>
      </c>
      <c r="I15" s="86">
        <f>(0.25*$F$28*$K29)*(1-$B$6+$B$6/2)</f>
        <v>0</v>
      </c>
      <c r="J15" s="86">
        <f>(0.25*$F$28*$K29)*(1-$B$6+$B$6/2)</f>
        <v>0</v>
      </c>
      <c r="K15" s="86">
        <f>(0.25*$F$28*$K29)*(1-$B$6+$B$6/2)</f>
        <v>0</v>
      </c>
      <c r="L15" s="86">
        <f>(0.25*$F$28*$L29)*(1-$B$6+$B$6/2)</f>
        <v>0</v>
      </c>
      <c r="M15" s="86">
        <f>(0.25*$F$28*$L29)*(1-$B$6+$B$6/2)</f>
        <v>0</v>
      </c>
      <c r="N15" s="86">
        <f>(0.25*$F$28*$L29)*(1-$B$6+$B$6/2)</f>
        <v>0</v>
      </c>
      <c r="O15" s="86">
        <f>(0.25*$F$28*$L29)*(1-$B$6+$B$6/2)</f>
        <v>0</v>
      </c>
      <c r="P15" s="86">
        <f>(0.25*$F$28*$M29)*(1-$B$6+$B$6/2)</f>
        <v>0</v>
      </c>
      <c r="Q15" s="86">
        <f>(0.25*$F$28*$M29)*(1-$B$6+$B$6/2)</f>
        <v>0</v>
      </c>
      <c r="R15" s="86">
        <f>(0.25*$F$28*$M29)*(1-$B$6+$B$6/2)</f>
        <v>0</v>
      </c>
      <c r="S15" s="86">
        <f>(0.25*$F$28*$M29)*(1-$B$6+$B$6/2)</f>
        <v>0</v>
      </c>
      <c r="T15" s="86">
        <f>(0.25*$F$28*$N29)*(1-$B$6+$B$6/2)</f>
        <v>0</v>
      </c>
      <c r="U15" s="86">
        <f>(0.25*$F$28*$N29)*(1-$B$6+$B$6/2)</f>
        <v>0</v>
      </c>
      <c r="V15" s="86">
        <f>(0.25*$F$28*$N29)*(1-$B$6+$B$6/2)</f>
        <v>0</v>
      </c>
      <c r="W15" s="86">
        <f>(0.25*$F$28*$N29)*(1-$B$6+$B$6/2)</f>
        <v>0</v>
      </c>
      <c r="X15" s="86">
        <f>(0.25*$F$28*$O29)*(1-$B$6+$B$6/2)</f>
        <v>0</v>
      </c>
      <c r="Y15" s="86">
        <f>(0.25*$F$28*$O29)*(1-$B$6+$B$6/2)</f>
        <v>0</v>
      </c>
      <c r="Z15" s="86">
        <f>(0.25*$F$28*$O29)*(1-$B$6+$B$6/2)</f>
        <v>0</v>
      </c>
      <c r="AA15" s="86">
        <f>(0.25*$F$28*$O29)*(1-$B$6+$B$6/2)</f>
        <v>0</v>
      </c>
      <c r="AB15" s="86">
        <f>(0.25*$F$28*$P29)*(1-$B$6+$B$6/2)</f>
        <v>0</v>
      </c>
      <c r="AC15" s="86">
        <f>(0.25*$F$28*$P29)*(1-$B$6+$B$6/2)</f>
        <v>0</v>
      </c>
      <c r="AD15" s="86">
        <f>(0.25*$F$28*$P29)*(1-$B$6+$B$6/2)</f>
        <v>0</v>
      </c>
      <c r="AE15" s="86">
        <f>(0.25*$F$28*$P29)*(1-$B$6+$B$6/2)</f>
        <v>0</v>
      </c>
      <c r="AF15" s="86">
        <f>(0.25*$F$28*$Q29)*(1-$B$6+$B$6/2)</f>
        <v>0</v>
      </c>
      <c r="AG15" s="86">
        <f>(0.25*$F$28*$Q29)*(1-$B$6+$B$6/2)</f>
        <v>0</v>
      </c>
      <c r="AH15" s="86">
        <f>(0.25*$F$28*$Q29)*(1-$B$6+$B$6/2)</f>
        <v>0</v>
      </c>
      <c r="AI15" s="86">
        <f>(0.25*$F$28*$Q29)*(1-$B$6+$B$6/2)</f>
        <v>0</v>
      </c>
      <c r="AJ15" s="86">
        <f>(0.25*$F$28*$R29)*(1-$B$6+$B$6/2)</f>
        <v>0</v>
      </c>
      <c r="AK15" s="86">
        <f>(0.25*$F$28*$R29)*(1-$B$6+$B$6/2)</f>
        <v>0</v>
      </c>
      <c r="AL15" s="86">
        <f>(0.25*$F$28*$R29)*(1-$B$6+$B$6/2)</f>
        <v>0</v>
      </c>
      <c r="AM15" s="86">
        <f>(0.25*$F$28*$R29)*(1-$B$6+$B$6/2)</f>
        <v>0</v>
      </c>
      <c r="AN15" s="86">
        <f>(0.25*$F$28*$S29)*(1-$B$6+$B$6/2)</f>
        <v>0</v>
      </c>
      <c r="AO15" s="86">
        <f>(0.25*$F$28*$S29)*(1-$B$6+$B$6/2)</f>
        <v>0</v>
      </c>
      <c r="AP15" s="86">
        <f>(0.25*$F$28*$S29)*(1-$B$6+$B$6/2)</f>
        <v>0</v>
      </c>
      <c r="AQ15" s="86">
        <f>(0.25*$F$28*$S29)*(1-$B$6+$B$6/2)</f>
        <v>0</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0</v>
      </c>
      <c r="E19" s="92">
        <f t="shared" si="0"/>
        <v>0</v>
      </c>
      <c r="F19" s="92">
        <f t="shared" si="0"/>
        <v>0</v>
      </c>
      <c r="G19" s="90">
        <f t="shared" si="0"/>
        <v>0</v>
      </c>
      <c r="H19" s="91">
        <f t="shared" si="0"/>
        <v>0</v>
      </c>
      <c r="I19" s="92">
        <f t="shared" si="0"/>
        <v>0</v>
      </c>
      <c r="J19" s="92">
        <f t="shared" si="0"/>
        <v>0</v>
      </c>
      <c r="K19" s="90">
        <f t="shared" si="0"/>
        <v>0</v>
      </c>
      <c r="L19" s="91">
        <f t="shared" si="0"/>
        <v>0</v>
      </c>
      <c r="M19" s="92">
        <f t="shared" si="0"/>
        <v>0</v>
      </c>
      <c r="N19" s="92">
        <f t="shared" si="0"/>
        <v>0</v>
      </c>
      <c r="O19" s="90">
        <f t="shared" si="0"/>
        <v>0</v>
      </c>
      <c r="P19" s="91">
        <f t="shared" si="0"/>
        <v>0</v>
      </c>
      <c r="Q19" s="92">
        <f t="shared" si="0"/>
        <v>0</v>
      </c>
      <c r="R19" s="92">
        <f t="shared" si="0"/>
        <v>0</v>
      </c>
      <c r="S19" s="90">
        <f t="shared" si="0"/>
        <v>0</v>
      </c>
      <c r="T19" s="91">
        <f t="shared" si="0"/>
        <v>0</v>
      </c>
      <c r="U19" s="92">
        <f t="shared" si="0"/>
        <v>0</v>
      </c>
      <c r="V19" s="92">
        <f t="shared" si="0"/>
        <v>0</v>
      </c>
      <c r="W19" s="90">
        <f t="shared" si="0"/>
        <v>0</v>
      </c>
      <c r="X19" s="91">
        <f t="shared" si="0"/>
        <v>0</v>
      </c>
      <c r="Y19" s="92">
        <f t="shared" si="0"/>
        <v>0</v>
      </c>
      <c r="Z19" s="92">
        <f t="shared" si="0"/>
        <v>0</v>
      </c>
      <c r="AA19" s="90">
        <f t="shared" si="0"/>
        <v>0</v>
      </c>
      <c r="AB19" s="91">
        <f t="shared" si="0"/>
        <v>0</v>
      </c>
      <c r="AC19" s="92">
        <f t="shared" si="0"/>
        <v>0</v>
      </c>
      <c r="AD19" s="92">
        <f t="shared" si="0"/>
        <v>0</v>
      </c>
      <c r="AE19" s="90">
        <f t="shared" si="0"/>
        <v>0</v>
      </c>
      <c r="AF19" s="91">
        <f t="shared" si="0"/>
        <v>0</v>
      </c>
      <c r="AG19" s="92">
        <f t="shared" si="0"/>
        <v>0</v>
      </c>
      <c r="AH19" s="92">
        <f t="shared" si="0"/>
        <v>0</v>
      </c>
      <c r="AI19" s="90">
        <f t="shared" si="0"/>
        <v>0</v>
      </c>
      <c r="AJ19" s="91">
        <f t="shared" si="0"/>
        <v>0</v>
      </c>
      <c r="AK19" s="92">
        <f t="shared" si="0"/>
        <v>0</v>
      </c>
      <c r="AL19" s="92">
        <f t="shared" si="0"/>
        <v>0</v>
      </c>
      <c r="AM19" s="90">
        <f t="shared" si="0"/>
        <v>0</v>
      </c>
      <c r="AN19" s="91">
        <f t="shared" si="0"/>
        <v>0</v>
      </c>
      <c r="AO19" s="92">
        <f t="shared" si="0"/>
        <v>0</v>
      </c>
      <c r="AP19" s="92">
        <f t="shared" si="0"/>
        <v>0</v>
      </c>
      <c r="AQ19" s="90">
        <f t="shared" si="0"/>
        <v>0</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0</v>
      </c>
      <c r="E21" s="84">
        <f t="shared" si="1"/>
        <v>0</v>
      </c>
      <c r="F21" s="84">
        <f t="shared" si="1"/>
        <v>0</v>
      </c>
      <c r="G21" s="84">
        <f t="shared" si="1"/>
        <v>0</v>
      </c>
      <c r="H21" s="84">
        <f t="shared" si="1"/>
        <v>0</v>
      </c>
      <c r="I21" s="84">
        <f t="shared" si="1"/>
        <v>0</v>
      </c>
      <c r="J21" s="84">
        <f t="shared" si="1"/>
        <v>0</v>
      </c>
      <c r="K21" s="84">
        <f t="shared" si="1"/>
        <v>0</v>
      </c>
      <c r="L21" s="84">
        <f t="shared" si="1"/>
        <v>0</v>
      </c>
      <c r="M21" s="84">
        <f t="shared" si="1"/>
        <v>0</v>
      </c>
      <c r="N21" s="84">
        <f t="shared" si="1"/>
        <v>0</v>
      </c>
      <c r="O21" s="84">
        <f t="shared" si="1"/>
        <v>0</v>
      </c>
      <c r="P21" s="84">
        <f t="shared" si="1"/>
        <v>0</v>
      </c>
      <c r="Q21" s="84">
        <f t="shared" si="1"/>
        <v>0</v>
      </c>
      <c r="R21" s="84">
        <f t="shared" si="1"/>
        <v>0</v>
      </c>
      <c r="S21" s="84">
        <f t="shared" si="1"/>
        <v>0</v>
      </c>
      <c r="T21" s="84">
        <f t="shared" si="1"/>
        <v>0</v>
      </c>
      <c r="U21" s="84">
        <f t="shared" si="1"/>
        <v>0</v>
      </c>
      <c r="V21" s="84">
        <f t="shared" si="1"/>
        <v>0</v>
      </c>
      <c r="W21" s="84">
        <f t="shared" si="1"/>
        <v>0</v>
      </c>
      <c r="X21" s="84">
        <f t="shared" si="1"/>
        <v>0</v>
      </c>
      <c r="Y21" s="84">
        <f t="shared" si="1"/>
        <v>0</v>
      </c>
      <c r="Z21" s="84">
        <f t="shared" si="1"/>
        <v>0</v>
      </c>
      <c r="AA21" s="84">
        <f t="shared" si="1"/>
        <v>0</v>
      </c>
      <c r="AB21" s="84">
        <f t="shared" si="1"/>
        <v>0</v>
      </c>
      <c r="AC21" s="84">
        <f t="shared" si="1"/>
        <v>0</v>
      </c>
      <c r="AD21" s="84">
        <f t="shared" si="1"/>
        <v>0</v>
      </c>
      <c r="AE21" s="84">
        <f t="shared" si="1"/>
        <v>0</v>
      </c>
      <c r="AF21" s="84">
        <f t="shared" si="1"/>
        <v>0</v>
      </c>
      <c r="AG21" s="84">
        <f t="shared" si="1"/>
        <v>0</v>
      </c>
      <c r="AH21" s="84">
        <f t="shared" si="1"/>
        <v>0</v>
      </c>
      <c r="AI21" s="84">
        <f t="shared" si="1"/>
        <v>0</v>
      </c>
      <c r="AJ21" s="84">
        <f t="shared" si="1"/>
        <v>0</v>
      </c>
      <c r="AK21" s="84">
        <f t="shared" si="1"/>
        <v>0</v>
      </c>
      <c r="AL21" s="84">
        <f t="shared" si="1"/>
        <v>0</v>
      </c>
      <c r="AM21" s="84">
        <f t="shared" si="1"/>
        <v>0</v>
      </c>
      <c r="AN21" s="84">
        <f t="shared" si="1"/>
        <v>0</v>
      </c>
      <c r="AO21" s="84">
        <f t="shared" si="1"/>
        <v>0</v>
      </c>
      <c r="AP21" s="84">
        <f t="shared" si="1"/>
        <v>0</v>
      </c>
      <c r="AQ21" s="84">
        <f t="shared" si="1"/>
        <v>0</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0</v>
      </c>
      <c r="E25" s="84">
        <f t="shared" si="3"/>
        <v>0</v>
      </c>
      <c r="F25" s="84">
        <f t="shared" si="3"/>
        <v>0</v>
      </c>
      <c r="G25" s="84">
        <f t="shared" si="3"/>
        <v>0</v>
      </c>
      <c r="H25" s="84">
        <f t="shared" si="3"/>
        <v>0</v>
      </c>
      <c r="I25" s="84">
        <f t="shared" si="3"/>
        <v>0</v>
      </c>
      <c r="J25" s="84">
        <f t="shared" si="3"/>
        <v>0</v>
      </c>
      <c r="K25" s="84">
        <f t="shared" si="3"/>
        <v>0</v>
      </c>
      <c r="L25" s="84">
        <f t="shared" si="3"/>
        <v>0</v>
      </c>
      <c r="M25" s="84">
        <f t="shared" si="3"/>
        <v>0</v>
      </c>
      <c r="N25" s="84">
        <f t="shared" si="3"/>
        <v>0</v>
      </c>
      <c r="O25" s="84">
        <f t="shared" si="3"/>
        <v>0</v>
      </c>
      <c r="P25" s="84">
        <f t="shared" si="3"/>
        <v>0</v>
      </c>
      <c r="Q25" s="84">
        <f t="shared" si="3"/>
        <v>0</v>
      </c>
      <c r="R25" s="84">
        <f t="shared" si="3"/>
        <v>0</v>
      </c>
      <c r="S25" s="84">
        <f t="shared" si="3"/>
        <v>0</v>
      </c>
      <c r="T25" s="84">
        <f t="shared" si="3"/>
        <v>0</v>
      </c>
      <c r="U25" s="84">
        <f t="shared" si="3"/>
        <v>0</v>
      </c>
      <c r="V25" s="84">
        <f t="shared" si="3"/>
        <v>0</v>
      </c>
      <c r="W25" s="84">
        <f t="shared" si="3"/>
        <v>0</v>
      </c>
      <c r="X25" s="84">
        <f t="shared" si="3"/>
        <v>0</v>
      </c>
      <c r="Y25" s="84">
        <f t="shared" si="3"/>
        <v>0</v>
      </c>
      <c r="Z25" s="84">
        <f t="shared" si="3"/>
        <v>0</v>
      </c>
      <c r="AA25" s="84">
        <f t="shared" si="3"/>
        <v>0</v>
      </c>
      <c r="AB25" s="84">
        <f t="shared" si="3"/>
        <v>0</v>
      </c>
      <c r="AC25" s="84">
        <f t="shared" si="3"/>
        <v>0</v>
      </c>
      <c r="AD25" s="84">
        <f t="shared" si="3"/>
        <v>0</v>
      </c>
      <c r="AE25" s="84">
        <f t="shared" si="3"/>
        <v>0</v>
      </c>
      <c r="AF25" s="84">
        <f t="shared" si="3"/>
        <v>0</v>
      </c>
      <c r="AG25" s="84">
        <f t="shared" si="3"/>
        <v>0</v>
      </c>
      <c r="AH25" s="84">
        <f t="shared" si="3"/>
        <v>0</v>
      </c>
      <c r="AI25" s="84">
        <f t="shared" si="3"/>
        <v>0</v>
      </c>
      <c r="AJ25" s="84">
        <f t="shared" si="3"/>
        <v>0</v>
      </c>
      <c r="AK25" s="84">
        <f t="shared" si="3"/>
        <v>0</v>
      </c>
      <c r="AL25" s="84">
        <f t="shared" si="3"/>
        <v>0</v>
      </c>
      <c r="AM25" s="84">
        <f t="shared" si="3"/>
        <v>0</v>
      </c>
      <c r="AN25" s="84">
        <f t="shared" si="3"/>
        <v>0</v>
      </c>
      <c r="AO25" s="84">
        <f t="shared" si="3"/>
        <v>0</v>
      </c>
      <c r="AP25" s="84">
        <f t="shared" si="3"/>
        <v>0</v>
      </c>
      <c r="AQ25" s="84">
        <f t="shared" si="3"/>
        <v>0</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'105M-NR'!G115</f>
        <v>0</v>
      </c>
      <c r="G27" s="84"/>
      <c r="H27" s="94" t="e">
        <f>-1*(H32/F28)</f>
        <v>#DIV/0!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'105M-NR'!S120*1000</f>
        <v>0</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C56" sqref="AC56"/>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8C4ED5AB-D35A-4F9C-B2B1-2BE436540CDC}">
      <formula1>"Y,N"</formula1>
    </dataValidation>
  </dataValidations>
  <pageMargins left="0.75" right="0.75" top="1" bottom="1" header="0.5" footer="0.5"/>
  <pageSetup paperSize="9" orientation="portrait" r:id="rId2"/>
  <headerFooter alignWithMargins="0"/>
  <legacyDrawing r:id="rId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1A99F-CD37-4474-95FF-AE4785838418}">
  <sheetPr codeName="Sheet62">
    <tabColor indexed="53"/>
  </sheetPr>
  <dimension ref="A4:M64"/>
  <sheetViews>
    <sheetView view="pageBreakPreview" topLeftCell="A3" zoomScale="130" zoomScaleNormal="100" zoomScaleSheetLayoutView="130" workbookViewId="0">
      <selection activeCell="AC56" sqref="AC56"/>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'105M-NR'!C60</f>
        <v>21820</v>
      </c>
    </row>
    <row r="10" spans="1:13" ht="13">
      <c r="A10" s="109" t="s">
        <v>842</v>
      </c>
      <c r="B10" s="1007" t="s">
        <v>843</v>
      </c>
      <c r="C10" s="1008"/>
      <c r="D10" s="1008"/>
      <c r="E10" s="1008"/>
      <c r="F10" s="1008"/>
      <c r="G10" s="1008"/>
      <c r="H10" s="1008"/>
      <c r="I10" s="1008"/>
    </row>
    <row r="11" spans="1:13" ht="13">
      <c r="A11" s="109" t="s">
        <v>844</v>
      </c>
      <c r="B11" s="1009" t="str">
        <f>'105M-NR'!A2</f>
        <v>388 George Street</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SUM('105M-IS'!C12:F12)</f>
        <v>0</v>
      </c>
      <c r="D25" s="119">
        <f>SUM('105M-IS'!D12:G12)</f>
        <v>0</v>
      </c>
      <c r="E25" s="119">
        <f>SUM('105M-IS'!H12:K12)</f>
        <v>0</v>
      </c>
      <c r="F25" s="119">
        <f>SUM('105M-IS'!L12:O12)</f>
        <v>0</v>
      </c>
      <c r="G25" s="119">
        <f>SUM('105M-IS'!P12:S12)</f>
        <v>0</v>
      </c>
      <c r="H25" s="119">
        <f>SUM('105M-IS'!T12:W12)</f>
        <v>0</v>
      </c>
      <c r="I25" s="119">
        <f>SUM('105M-IS'!X12:AA12)</f>
        <v>0</v>
      </c>
      <c r="J25" s="119">
        <f>SUM('105M-IS'!AB12:AE12)</f>
        <v>0</v>
      </c>
      <c r="K25" s="119">
        <f>SUM('105M-IS'!AF12:AI12)</f>
        <v>0</v>
      </c>
      <c r="L25" s="119">
        <f>SUM('105M-IS'!AJ12:AM12)</f>
        <v>0</v>
      </c>
      <c r="M25" s="119">
        <f>SUM('105M-IS'!AN12:AQ12)</f>
        <v>0</v>
      </c>
    </row>
    <row r="26" spans="1:13">
      <c r="A26" s="106" t="s">
        <v>804</v>
      </c>
      <c r="C26" s="120"/>
      <c r="D26" s="119">
        <f>SUM('105M-IS'!D13:G13)</f>
        <v>0</v>
      </c>
      <c r="E26" s="119">
        <f>SUM('105M-IS'!H13:K13)</f>
        <v>0</v>
      </c>
      <c r="F26" s="119">
        <f>SUM('105M-IS'!L13:O13)</f>
        <v>0</v>
      </c>
      <c r="G26" s="119">
        <f>SUM('105M-IS'!P13:S13)</f>
        <v>0</v>
      </c>
      <c r="H26" s="119">
        <f>SUM('105M-IS'!T13:W13)</f>
        <v>0</v>
      </c>
      <c r="I26" s="119">
        <f>SUM('105M-IS'!X13:AA13)</f>
        <v>0</v>
      </c>
      <c r="J26" s="119">
        <f>SUM('105M-IS'!AB13:AE13)</f>
        <v>0</v>
      </c>
      <c r="K26" s="119">
        <f>SUM('105M-IS'!AF13:AI13)</f>
        <v>0</v>
      </c>
      <c r="L26" s="119">
        <f>SUM('105M-IS'!AJ13:AM13)</f>
        <v>0</v>
      </c>
      <c r="M26" s="119">
        <f>SUM('105M-IS'!AN13:AQ13)</f>
        <v>0</v>
      </c>
    </row>
    <row r="27" spans="1:13">
      <c r="A27" s="106" t="s">
        <v>805</v>
      </c>
      <c r="C27" s="120"/>
      <c r="D27" s="119">
        <f>SUM('105M-IS'!D15:G15)+SUM('105M-IS'!D14:G14)</f>
        <v>0</v>
      </c>
      <c r="E27" s="119">
        <f>SUM('105M-IS'!H15:K15)+SUM('105M-IS'!H14:K14)</f>
        <v>0</v>
      </c>
      <c r="F27" s="119">
        <f>SUM('105M-IS'!L15:O15)+SUM('105M-IS'!L14:O14)</f>
        <v>0</v>
      </c>
      <c r="G27" s="119">
        <f>SUM('105M-IS'!P15:S15)+SUM('105M-IS'!P14:S14)</f>
        <v>0</v>
      </c>
      <c r="H27" s="119">
        <f>SUM('105M-IS'!T15:W15)+SUM('105M-IS'!T14:W14)</f>
        <v>0</v>
      </c>
      <c r="I27" s="119">
        <f>SUM('105M-IS'!X15:AA15)+SUM('105M-IS'!X14:AA14)</f>
        <v>0</v>
      </c>
      <c r="J27" s="119">
        <f>SUM('105M-IS'!AB15:AE15)+SUM('105M-IS'!AB14:AE14)</f>
        <v>0</v>
      </c>
      <c r="K27" s="119">
        <f>SUM('105M-IS'!AF15:AI15)+SUM('105M-IS'!AF14:AI14)</f>
        <v>0</v>
      </c>
      <c r="L27" s="119">
        <f>SUM('105M-IS'!AJ15:AM15)+SUM('105M-IS'!AJ14:AM14)</f>
        <v>0</v>
      </c>
      <c r="M27" s="119">
        <f>SUM('105M-IS'!AN15:AQ15)+SUM('105M-IS'!AN14:AQ14)</f>
        <v>0</v>
      </c>
    </row>
    <row r="28" spans="1:13">
      <c r="A28" s="106" t="s">
        <v>808</v>
      </c>
      <c r="C28" s="120"/>
      <c r="D28" s="119">
        <f>SUM('105M-IS'!D16:G16)</f>
        <v>0</v>
      </c>
      <c r="E28" s="119">
        <f>SUM('105M-IS'!H16:K16)</f>
        <v>0</v>
      </c>
      <c r="F28" s="119">
        <f>SUM('105M-IS'!L16:O16)</f>
        <v>0</v>
      </c>
      <c r="G28" s="119">
        <f>SUM('105M-IS'!P16:S16)</f>
        <v>0</v>
      </c>
      <c r="H28" s="119">
        <f>SUM('105M-IS'!T16:W16)</f>
        <v>0</v>
      </c>
      <c r="I28" s="119">
        <f>SUM('105M-IS'!X16:AA16)</f>
        <v>0</v>
      </c>
      <c r="J28" s="119">
        <f>SUM('105M-IS'!AB16:AE16)</f>
        <v>0</v>
      </c>
      <c r="K28" s="119">
        <f>SUM('105M-IS'!AF16:AI16)</f>
        <v>0</v>
      </c>
      <c r="L28" s="119">
        <f>SUM('105M-IS'!AJ16:AM16)</f>
        <v>0</v>
      </c>
      <c r="M28" s="119">
        <f>SUM('105M-IS'!AN16:AQ16)</f>
        <v>0</v>
      </c>
    </row>
    <row r="29" spans="1:13">
      <c r="A29" s="106" t="s">
        <v>809</v>
      </c>
      <c r="C29" s="120"/>
      <c r="D29" s="119">
        <f>SUM('105M-IS'!D17:G17)</f>
        <v>0</v>
      </c>
      <c r="E29" s="119">
        <f>SUM('105M-IS'!H17:K17)</f>
        <v>0</v>
      </c>
      <c r="F29" s="119">
        <f>SUM('105M-IS'!L17:O17)</f>
        <v>0</v>
      </c>
      <c r="G29" s="119">
        <f>SUM('105M-IS'!P17:S17)</f>
        <v>0</v>
      </c>
      <c r="H29" s="119">
        <f>SUM('105M-IS'!T17:W17)</f>
        <v>0</v>
      </c>
      <c r="I29" s="119">
        <f>SUM('105M-IS'!X17:AA17)</f>
        <v>0</v>
      </c>
      <c r="J29" s="119">
        <f>SUM('105M-IS'!AB17:AE17)</f>
        <v>0</v>
      </c>
      <c r="K29" s="119">
        <f>SUM('105M-IS'!AF17:AI17)</f>
        <v>0</v>
      </c>
      <c r="L29" s="119">
        <f>SUM('105M-IS'!AJ17:AM17)</f>
        <v>0</v>
      </c>
      <c r="M29" s="119">
        <f>SUM('105M-IS'!AN17:AQ17)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0</v>
      </c>
      <c r="E31" s="125">
        <f t="shared" si="0"/>
        <v>0</v>
      </c>
      <c r="F31" s="125">
        <f t="shared" si="0"/>
        <v>0</v>
      </c>
      <c r="G31" s="125">
        <f t="shared" si="0"/>
        <v>0</v>
      </c>
      <c r="H31" s="125">
        <f t="shared" si="0"/>
        <v>0</v>
      </c>
      <c r="I31" s="125">
        <f t="shared" si="0"/>
        <v>0</v>
      </c>
      <c r="J31" s="125">
        <f t="shared" si="0"/>
        <v>0</v>
      </c>
      <c r="K31" s="125">
        <f t="shared" si="0"/>
        <v>0</v>
      </c>
      <c r="L31" s="125">
        <f t="shared" si="0"/>
        <v>0</v>
      </c>
      <c r="M31" s="125">
        <f t="shared" si="0"/>
        <v>0</v>
      </c>
    </row>
    <row r="32" spans="1:13" ht="13" thickTop="1">
      <c r="A32" s="64" t="s">
        <v>860</v>
      </c>
      <c r="B32" s="79"/>
      <c r="C32" s="77"/>
      <c r="D32" s="152">
        <f>D31/$I$9</f>
        <v>0</v>
      </c>
      <c r="E32" s="152">
        <f t="shared" ref="E32:M32" si="1">E31/$I$9</f>
        <v>0</v>
      </c>
      <c r="F32" s="152">
        <f t="shared" si="1"/>
        <v>0</v>
      </c>
      <c r="G32" s="152">
        <f t="shared" si="1"/>
        <v>0</v>
      </c>
      <c r="H32" s="152">
        <f t="shared" si="1"/>
        <v>0</v>
      </c>
      <c r="I32" s="152">
        <f t="shared" si="1"/>
        <v>0</v>
      </c>
      <c r="J32" s="152">
        <f t="shared" si="1"/>
        <v>0</v>
      </c>
      <c r="K32" s="152">
        <f t="shared" si="1"/>
        <v>0</v>
      </c>
      <c r="L32" s="152">
        <f t="shared" si="1"/>
        <v>0</v>
      </c>
      <c r="M32" s="152">
        <f t="shared" si="1"/>
        <v>0</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'105M-NR'!G67</f>
        <v>CURRENT</v>
      </c>
      <c r="J36" s="127" t="str">
        <f>'105M-NR'!H67</f>
        <v>FY25</v>
      </c>
      <c r="K36" s="127" t="str">
        <f>'105M-NR'!I67</f>
        <v>FY26</v>
      </c>
      <c r="L36" s="127" t="str">
        <f>'105M-NR'!J67</f>
        <v>FY27</v>
      </c>
      <c r="M36" s="127" t="str">
        <f>'105M-NR'!K67</f>
        <v>FY28</v>
      </c>
    </row>
    <row r="37" spans="1:13" ht="25.5">
      <c r="A37" s="128" t="s">
        <v>863</v>
      </c>
      <c r="B37" s="129" t="s">
        <v>864</v>
      </c>
      <c r="D37" s="117"/>
      <c r="E37" s="130"/>
      <c r="F37" s="117"/>
      <c r="G37" s="131" t="s">
        <v>865</v>
      </c>
      <c r="H37" s="132">
        <f>'105M-NR'!S123</f>
        <v>5.9585779517286372</v>
      </c>
      <c r="I37" s="132">
        <f>'105M-NR'!S124</f>
        <v>5.8446615893088083</v>
      </c>
      <c r="J37" s="132">
        <f>'105M-NR'!S125</f>
        <v>5.8446615893088083</v>
      </c>
      <c r="K37" s="132">
        <f>'105M-NR'!S126</f>
        <v>5.8446615893088083</v>
      </c>
      <c r="L37" s="117"/>
    </row>
    <row r="38" spans="1:13" ht="13">
      <c r="G38" s="131" t="s">
        <v>866</v>
      </c>
      <c r="I38" s="133">
        <f>'105M-NR'!G115</f>
        <v>0</v>
      </c>
      <c r="J38" s="133"/>
      <c r="K38" s="133"/>
    </row>
    <row r="39" spans="1:13" ht="13">
      <c r="A39" s="106" t="s">
        <v>867</v>
      </c>
      <c r="B39" s="134">
        <v>0</v>
      </c>
      <c r="E39" s="117"/>
      <c r="F39" s="135"/>
      <c r="G39" s="131" t="s">
        <v>868</v>
      </c>
      <c r="I39" s="136" t="e">
        <f>IRR(C31:M31)</f>
        <v>#NUM!</v>
      </c>
    </row>
    <row r="40" spans="1:13" ht="13">
      <c r="A40" s="128"/>
      <c r="B40" s="137"/>
      <c r="G40" s="131" t="s">
        <v>869</v>
      </c>
      <c r="I40" s="133" t="e">
        <f>B43/B41-B43</f>
        <v>#DIV/0!</v>
      </c>
    </row>
    <row r="41" spans="1:13">
      <c r="A41" s="106" t="s">
        <v>870</v>
      </c>
      <c r="B41" s="138">
        <v>7.4999999999999997E-2</v>
      </c>
    </row>
    <row r="42" spans="1:13">
      <c r="A42" s="117"/>
    </row>
    <row r="43" spans="1:13">
      <c r="A43" s="139" t="s">
        <v>871</v>
      </c>
      <c r="B43" s="140" t="e">
        <f>SUMIF(D31:M31,"&lt;&gt;0")/COUNTIF(D31:M31,"&lt;&gt;0")</f>
        <v>#DIV/0!</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5.95857795172864 Stars</v>
      </c>
      <c r="G59" s="146">
        <f t="shared" si="2"/>
        <v>5.8446615893088083</v>
      </c>
      <c r="H59" s="146">
        <f t="shared" si="2"/>
        <v>5.8446615893088083</v>
      </c>
      <c r="I59" s="146">
        <f t="shared" si="2"/>
        <v>5.8446615893088083</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t="e">
        <f>I40</f>
        <v>#DIV/0!</v>
      </c>
      <c r="H64" s="143"/>
      <c r="I64" s="143"/>
      <c r="J64" s="143"/>
    </row>
  </sheetData>
  <customSheetViews>
    <customSheetView guid="{0FAFE012-8D9E-4ED0-86A4-A997E430971B}" scale="130" showPageBreaks="1" printArea="1" state="hidden" view="pageBreakPreview" topLeftCell="A3">
      <selection activeCell="AC56" sqref="AC56"/>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8CFC9303-8947-4EBC-BDF3-E5D9DB64BC1A}">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585C0EDC-40D1-468D-AC79-C5A4E6BF2BFC}">
      <formula1>"NET, GROSS, GROSS +"</formula1>
    </dataValidation>
  </dataValidations>
  <pageMargins left="0.75" right="0.75" top="1" bottom="1" header="0.5" footer="0.5"/>
  <pageSetup paperSize="9" scale="61" orientation="portrait" r:id="rId2"/>
  <headerFooter alignWithMargins="0"/>
  <drawing r:id="rId3"/>
  <legacyDrawing r:id="rId4"/>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928C-C0CA-408D-9B17-6F3ACCFAE384}">
  <sheetPr codeName="Sheet64">
    <tabColor theme="5" tint="0.39997558519241921"/>
  </sheetPr>
  <dimension ref="A2:AQ101"/>
  <sheetViews>
    <sheetView zoomScale="85" zoomScaleNormal="85" workbookViewId="0">
      <selection activeCell="AC56" sqref="AC56"/>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f>-F27</f>
        <v>0</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f>(0.25*$F$28*$J29)*(1-$B$6+$B$6/2)</f>
        <v>11349.700000000003</v>
      </c>
      <c r="E15" s="81">
        <f>(0.25*$F$28*$J29)*(1-$B$6+$B$6/2)</f>
        <v>11349.700000000003</v>
      </c>
      <c r="F15" s="81">
        <f>(0.25*$F$28*$J29)*(1-$B$6+$B$6/2)</f>
        <v>11349.700000000003</v>
      </c>
      <c r="G15" s="81">
        <f>(0.25*$F$28*$J29)*(1-$B$6+$B$6/2)</f>
        <v>11349.700000000003</v>
      </c>
      <c r="H15" s="86">
        <f>(0.25*$F$28*$K29)*(1-$B$6+$B$6/2)</f>
        <v>11917.185000000003</v>
      </c>
      <c r="I15" s="86">
        <f>(0.25*$F$28*$K29)*(1-$B$6+$B$6/2)</f>
        <v>11917.185000000003</v>
      </c>
      <c r="J15" s="86">
        <f>(0.25*$F$28*$K29)*(1-$B$6+$B$6/2)</f>
        <v>11917.185000000003</v>
      </c>
      <c r="K15" s="86">
        <f>(0.25*$F$28*$K29)*(1-$B$6+$B$6/2)</f>
        <v>11917.185000000003</v>
      </c>
      <c r="L15" s="86">
        <f>(0.25*$F$28*$L29)*(1-$B$6+$B$6/2)</f>
        <v>12513.044250000003</v>
      </c>
      <c r="M15" s="86">
        <f>(0.25*$F$28*$L29)*(1-$B$6+$B$6/2)</f>
        <v>12513.044250000003</v>
      </c>
      <c r="N15" s="86">
        <f>(0.25*$F$28*$L29)*(1-$B$6+$B$6/2)</f>
        <v>12513.044250000003</v>
      </c>
      <c r="O15" s="86">
        <f>(0.25*$F$28*$L29)*(1-$B$6+$B$6/2)</f>
        <v>12513.044250000003</v>
      </c>
      <c r="P15" s="86">
        <f>(0.25*$F$28*$M29)*(1-$B$6+$B$6/2)</f>
        <v>13138.696462500004</v>
      </c>
      <c r="Q15" s="86">
        <f>(0.25*$F$28*$M29)*(1-$B$6+$B$6/2)</f>
        <v>13138.696462500004</v>
      </c>
      <c r="R15" s="86">
        <f>(0.25*$F$28*$M29)*(1-$B$6+$B$6/2)</f>
        <v>13138.696462500004</v>
      </c>
      <c r="S15" s="86">
        <f>(0.25*$F$28*$M29)*(1-$B$6+$B$6/2)</f>
        <v>13138.696462500004</v>
      </c>
      <c r="T15" s="86">
        <f>(0.25*$F$28*$N29)*(1-$B$6+$B$6/2)</f>
        <v>13795.631285625004</v>
      </c>
      <c r="U15" s="86">
        <f>(0.25*$F$28*$N29)*(1-$B$6+$B$6/2)</f>
        <v>13795.631285625004</v>
      </c>
      <c r="V15" s="86">
        <f>(0.25*$F$28*$N29)*(1-$B$6+$B$6/2)</f>
        <v>13795.631285625004</v>
      </c>
      <c r="W15" s="86">
        <f>(0.25*$F$28*$N29)*(1-$B$6+$B$6/2)</f>
        <v>13795.631285625004</v>
      </c>
      <c r="X15" s="86">
        <f>(0.25*$F$28*$O29)*(1-$B$6+$B$6/2)</f>
        <v>14485.412849906257</v>
      </c>
      <c r="Y15" s="86">
        <f>(0.25*$F$28*$O29)*(1-$B$6+$B$6/2)</f>
        <v>14485.412849906257</v>
      </c>
      <c r="Z15" s="86">
        <f>(0.25*$F$28*$O29)*(1-$B$6+$B$6/2)</f>
        <v>14485.412849906257</v>
      </c>
      <c r="AA15" s="86">
        <f>(0.25*$F$28*$O29)*(1-$B$6+$B$6/2)</f>
        <v>14485.412849906257</v>
      </c>
      <c r="AB15" s="86">
        <f>(0.25*$F$28*$P29)*(1-$B$6+$B$6/2)</f>
        <v>15209.683492401571</v>
      </c>
      <c r="AC15" s="86">
        <f>(0.25*$F$28*$P29)*(1-$B$6+$B$6/2)</f>
        <v>15209.683492401571</v>
      </c>
      <c r="AD15" s="86">
        <f>(0.25*$F$28*$P29)*(1-$B$6+$B$6/2)</f>
        <v>15209.683492401571</v>
      </c>
      <c r="AE15" s="86">
        <f>(0.25*$F$28*$P29)*(1-$B$6+$B$6/2)</f>
        <v>15209.683492401571</v>
      </c>
      <c r="AF15" s="86">
        <f>(0.25*$F$28*$Q29)*(1-$B$6+$B$6/2)</f>
        <v>15970.167667021649</v>
      </c>
      <c r="AG15" s="86">
        <f>(0.25*$F$28*$Q29)*(1-$B$6+$B$6/2)</f>
        <v>15970.167667021649</v>
      </c>
      <c r="AH15" s="86">
        <f>(0.25*$F$28*$Q29)*(1-$B$6+$B$6/2)</f>
        <v>15970.167667021649</v>
      </c>
      <c r="AI15" s="86">
        <f>(0.25*$F$28*$Q29)*(1-$B$6+$B$6/2)</f>
        <v>15970.167667021649</v>
      </c>
      <c r="AJ15" s="86">
        <f>(0.25*$F$28*$R29)*(1-$B$6+$B$6/2)</f>
        <v>16768.676050372735</v>
      </c>
      <c r="AK15" s="86">
        <f>(0.25*$F$28*$R29)*(1-$B$6+$B$6/2)</f>
        <v>16768.676050372735</v>
      </c>
      <c r="AL15" s="86">
        <f>(0.25*$F$28*$R29)*(1-$B$6+$B$6/2)</f>
        <v>16768.676050372735</v>
      </c>
      <c r="AM15" s="86">
        <f>(0.25*$F$28*$R29)*(1-$B$6+$B$6/2)</f>
        <v>16768.676050372735</v>
      </c>
      <c r="AN15" s="86">
        <f>(0.25*$F$28*$S29)*(1-$B$6+$B$6/2)</f>
        <v>17607.109852891372</v>
      </c>
      <c r="AO15" s="86">
        <f>(0.25*$F$28*$S29)*(1-$B$6+$B$6/2)</f>
        <v>17607.109852891372</v>
      </c>
      <c r="AP15" s="86">
        <f>(0.25*$F$28*$S29)*(1-$B$6+$B$6/2)</f>
        <v>17607.109852891372</v>
      </c>
      <c r="AQ15" s="86">
        <f>(0.25*$F$28*$S29)*(1-$B$6+$B$6/2)</f>
        <v>17607.109852891372</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f t="shared" ref="C19:AQ19" si="0">SUM(C12:C18)</f>
        <v>0</v>
      </c>
      <c r="D19" s="91">
        <f t="shared" si="0"/>
        <v>11349.700000000003</v>
      </c>
      <c r="E19" s="92">
        <f t="shared" si="0"/>
        <v>11349.700000000003</v>
      </c>
      <c r="F19" s="92">
        <f t="shared" si="0"/>
        <v>11349.700000000003</v>
      </c>
      <c r="G19" s="90">
        <f t="shared" si="0"/>
        <v>11349.700000000003</v>
      </c>
      <c r="H19" s="91">
        <f t="shared" si="0"/>
        <v>11917.185000000003</v>
      </c>
      <c r="I19" s="92">
        <f t="shared" si="0"/>
        <v>11917.185000000003</v>
      </c>
      <c r="J19" s="92">
        <f t="shared" si="0"/>
        <v>11917.185000000003</v>
      </c>
      <c r="K19" s="90">
        <f t="shared" si="0"/>
        <v>11917.185000000003</v>
      </c>
      <c r="L19" s="91">
        <f t="shared" si="0"/>
        <v>12513.044250000003</v>
      </c>
      <c r="M19" s="92">
        <f t="shared" si="0"/>
        <v>12513.044250000003</v>
      </c>
      <c r="N19" s="92">
        <f t="shared" si="0"/>
        <v>12513.044250000003</v>
      </c>
      <c r="O19" s="90">
        <f t="shared" si="0"/>
        <v>12513.044250000003</v>
      </c>
      <c r="P19" s="91">
        <f t="shared" si="0"/>
        <v>13138.696462500004</v>
      </c>
      <c r="Q19" s="92">
        <f t="shared" si="0"/>
        <v>13138.696462500004</v>
      </c>
      <c r="R19" s="92">
        <f t="shared" si="0"/>
        <v>13138.696462500004</v>
      </c>
      <c r="S19" s="90">
        <f t="shared" si="0"/>
        <v>13138.696462500004</v>
      </c>
      <c r="T19" s="91">
        <f t="shared" si="0"/>
        <v>13795.631285625004</v>
      </c>
      <c r="U19" s="92">
        <f t="shared" si="0"/>
        <v>13795.631285625004</v>
      </c>
      <c r="V19" s="92">
        <f t="shared" si="0"/>
        <v>13795.631285625004</v>
      </c>
      <c r="W19" s="90">
        <f t="shared" si="0"/>
        <v>13795.631285625004</v>
      </c>
      <c r="X19" s="91">
        <f t="shared" si="0"/>
        <v>14485.412849906257</v>
      </c>
      <c r="Y19" s="92">
        <f t="shared" si="0"/>
        <v>14485.412849906257</v>
      </c>
      <c r="Z19" s="92">
        <f t="shared" si="0"/>
        <v>14485.412849906257</v>
      </c>
      <c r="AA19" s="90">
        <f t="shared" si="0"/>
        <v>14485.412849906257</v>
      </c>
      <c r="AB19" s="91">
        <f t="shared" si="0"/>
        <v>15209.683492401571</v>
      </c>
      <c r="AC19" s="92">
        <f t="shared" si="0"/>
        <v>15209.683492401571</v>
      </c>
      <c r="AD19" s="92">
        <f t="shared" si="0"/>
        <v>15209.683492401571</v>
      </c>
      <c r="AE19" s="90">
        <f t="shared" si="0"/>
        <v>15209.683492401571</v>
      </c>
      <c r="AF19" s="91">
        <f t="shared" si="0"/>
        <v>15970.167667021649</v>
      </c>
      <c r="AG19" s="92">
        <f t="shared" si="0"/>
        <v>15970.167667021649</v>
      </c>
      <c r="AH19" s="92">
        <f t="shared" si="0"/>
        <v>15970.167667021649</v>
      </c>
      <c r="AI19" s="90">
        <f t="shared" si="0"/>
        <v>15970.167667021649</v>
      </c>
      <c r="AJ19" s="91">
        <f t="shared" si="0"/>
        <v>16768.676050372735</v>
      </c>
      <c r="AK19" s="92">
        <f t="shared" si="0"/>
        <v>16768.676050372735</v>
      </c>
      <c r="AL19" s="92">
        <f t="shared" si="0"/>
        <v>16768.676050372735</v>
      </c>
      <c r="AM19" s="90">
        <f t="shared" si="0"/>
        <v>16768.676050372735</v>
      </c>
      <c r="AN19" s="91">
        <f t="shared" si="0"/>
        <v>17607.109852891372</v>
      </c>
      <c r="AO19" s="92">
        <f t="shared" si="0"/>
        <v>17607.109852891372</v>
      </c>
      <c r="AP19" s="92">
        <f t="shared" si="0"/>
        <v>17607.109852891372</v>
      </c>
      <c r="AQ19" s="90">
        <f t="shared" si="0"/>
        <v>17607.109852891372</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f>+C19</f>
        <v>0</v>
      </c>
      <c r="D21" s="84">
        <f t="shared" ref="D21:AQ21" si="1">+C21+D19</f>
        <v>11349.700000000003</v>
      </c>
      <c r="E21" s="84">
        <f t="shared" si="1"/>
        <v>22699.400000000005</v>
      </c>
      <c r="F21" s="84">
        <f t="shared" si="1"/>
        <v>34049.100000000006</v>
      </c>
      <c r="G21" s="84">
        <f t="shared" si="1"/>
        <v>45398.80000000001</v>
      </c>
      <c r="H21" s="84">
        <f t="shared" si="1"/>
        <v>57315.985000000015</v>
      </c>
      <c r="I21" s="84">
        <f t="shared" si="1"/>
        <v>69233.170000000013</v>
      </c>
      <c r="J21" s="84">
        <f t="shared" si="1"/>
        <v>81150.35500000001</v>
      </c>
      <c r="K21" s="84">
        <f t="shared" si="1"/>
        <v>93067.540000000008</v>
      </c>
      <c r="L21" s="84">
        <f t="shared" si="1"/>
        <v>105580.58425000001</v>
      </c>
      <c r="M21" s="84">
        <f t="shared" si="1"/>
        <v>118093.62850000002</v>
      </c>
      <c r="N21" s="84">
        <f t="shared" si="1"/>
        <v>130606.67275000003</v>
      </c>
      <c r="O21" s="84">
        <f t="shared" si="1"/>
        <v>143119.71700000003</v>
      </c>
      <c r="P21" s="84">
        <f t="shared" si="1"/>
        <v>156258.41346250003</v>
      </c>
      <c r="Q21" s="84">
        <f t="shared" si="1"/>
        <v>169397.10992500003</v>
      </c>
      <c r="R21" s="84">
        <f t="shared" si="1"/>
        <v>182535.80638750002</v>
      </c>
      <c r="S21" s="84">
        <f t="shared" si="1"/>
        <v>195674.50285000002</v>
      </c>
      <c r="T21" s="84">
        <f t="shared" si="1"/>
        <v>209470.13413562503</v>
      </c>
      <c r="U21" s="84">
        <f t="shared" si="1"/>
        <v>223265.76542125005</v>
      </c>
      <c r="V21" s="84">
        <f t="shared" si="1"/>
        <v>237061.39670687506</v>
      </c>
      <c r="W21" s="84">
        <f t="shared" si="1"/>
        <v>250857.02799250008</v>
      </c>
      <c r="X21" s="84">
        <f t="shared" si="1"/>
        <v>265342.44084240636</v>
      </c>
      <c r="Y21" s="84">
        <f t="shared" si="1"/>
        <v>279827.85369231261</v>
      </c>
      <c r="Z21" s="84">
        <f t="shared" si="1"/>
        <v>294313.26654221886</v>
      </c>
      <c r="AA21" s="84">
        <f t="shared" si="1"/>
        <v>308798.67939212511</v>
      </c>
      <c r="AB21" s="84">
        <f t="shared" si="1"/>
        <v>324008.36288452666</v>
      </c>
      <c r="AC21" s="84">
        <f t="shared" si="1"/>
        <v>339218.04637692822</v>
      </c>
      <c r="AD21" s="84">
        <f t="shared" si="1"/>
        <v>354427.72986932978</v>
      </c>
      <c r="AE21" s="84">
        <f t="shared" si="1"/>
        <v>369637.41336173133</v>
      </c>
      <c r="AF21" s="84">
        <f t="shared" si="1"/>
        <v>385607.58102875296</v>
      </c>
      <c r="AG21" s="84">
        <f t="shared" si="1"/>
        <v>401577.74869577459</v>
      </c>
      <c r="AH21" s="84">
        <f t="shared" si="1"/>
        <v>417547.91636279621</v>
      </c>
      <c r="AI21" s="84">
        <f t="shared" si="1"/>
        <v>433518.08402981784</v>
      </c>
      <c r="AJ21" s="84">
        <f t="shared" si="1"/>
        <v>450286.76008019055</v>
      </c>
      <c r="AK21" s="84">
        <f t="shared" si="1"/>
        <v>467055.43613056326</v>
      </c>
      <c r="AL21" s="84">
        <f t="shared" si="1"/>
        <v>483824.11218093598</v>
      </c>
      <c r="AM21" s="84">
        <f t="shared" si="1"/>
        <v>500592.78823130869</v>
      </c>
      <c r="AN21" s="84">
        <f t="shared" si="1"/>
        <v>518199.89808420005</v>
      </c>
      <c r="AO21" s="84">
        <f t="shared" si="1"/>
        <v>535807.0079370914</v>
      </c>
      <c r="AP21" s="84">
        <f t="shared" si="1"/>
        <v>553414.11778998282</v>
      </c>
      <c r="AQ21" s="84">
        <f t="shared" si="1"/>
        <v>571021.22764287423</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f t="shared" ref="D23:AQ23" si="2">IF(D21&gt;0,0,D21*$B$5/4)</f>
        <v>0</v>
      </c>
      <c r="E23" s="88">
        <f t="shared" si="2"/>
        <v>0</v>
      </c>
      <c r="F23" s="88">
        <f t="shared" si="2"/>
        <v>0</v>
      </c>
      <c r="G23" s="88">
        <f t="shared" si="2"/>
        <v>0</v>
      </c>
      <c r="H23" s="88">
        <f t="shared" si="2"/>
        <v>0</v>
      </c>
      <c r="I23" s="88">
        <f t="shared" si="2"/>
        <v>0</v>
      </c>
      <c r="J23" s="88">
        <f t="shared" si="2"/>
        <v>0</v>
      </c>
      <c r="K23" s="88">
        <f t="shared" si="2"/>
        <v>0</v>
      </c>
      <c r="L23" s="88">
        <f t="shared" si="2"/>
        <v>0</v>
      </c>
      <c r="M23" s="88">
        <f t="shared" si="2"/>
        <v>0</v>
      </c>
      <c r="N23" s="88">
        <f t="shared" si="2"/>
        <v>0</v>
      </c>
      <c r="O23" s="88">
        <f t="shared" si="2"/>
        <v>0</v>
      </c>
      <c r="P23" s="88">
        <f t="shared" si="2"/>
        <v>0</v>
      </c>
      <c r="Q23" s="88">
        <f t="shared" si="2"/>
        <v>0</v>
      </c>
      <c r="R23" s="88">
        <f t="shared" si="2"/>
        <v>0</v>
      </c>
      <c r="S23" s="88">
        <f t="shared" si="2"/>
        <v>0</v>
      </c>
      <c r="T23" s="88">
        <f t="shared" si="2"/>
        <v>0</v>
      </c>
      <c r="U23" s="88">
        <f t="shared" si="2"/>
        <v>0</v>
      </c>
      <c r="V23" s="88">
        <f t="shared" si="2"/>
        <v>0</v>
      </c>
      <c r="W23" s="88">
        <f t="shared" si="2"/>
        <v>0</v>
      </c>
      <c r="X23" s="88">
        <f t="shared" si="2"/>
        <v>0</v>
      </c>
      <c r="Y23" s="88">
        <f t="shared" si="2"/>
        <v>0</v>
      </c>
      <c r="Z23" s="88">
        <f t="shared" si="2"/>
        <v>0</v>
      </c>
      <c r="AA23" s="88">
        <f t="shared" si="2"/>
        <v>0</v>
      </c>
      <c r="AB23" s="88">
        <f t="shared" si="2"/>
        <v>0</v>
      </c>
      <c r="AC23" s="88">
        <f t="shared" si="2"/>
        <v>0</v>
      </c>
      <c r="AD23" s="88">
        <f t="shared" si="2"/>
        <v>0</v>
      </c>
      <c r="AE23" s="88">
        <f t="shared" si="2"/>
        <v>0</v>
      </c>
      <c r="AF23" s="88">
        <f t="shared" si="2"/>
        <v>0</v>
      </c>
      <c r="AG23" s="88">
        <f t="shared" si="2"/>
        <v>0</v>
      </c>
      <c r="AH23" s="88">
        <f t="shared" si="2"/>
        <v>0</v>
      </c>
      <c r="AI23" s="88">
        <f t="shared" si="2"/>
        <v>0</v>
      </c>
      <c r="AJ23" s="88">
        <f t="shared" si="2"/>
        <v>0</v>
      </c>
      <c r="AK23" s="88">
        <f t="shared" si="2"/>
        <v>0</v>
      </c>
      <c r="AL23" s="88">
        <f t="shared" si="2"/>
        <v>0</v>
      </c>
      <c r="AM23" s="88">
        <f t="shared" si="2"/>
        <v>0</v>
      </c>
      <c r="AN23" s="88">
        <f t="shared" si="2"/>
        <v>0</v>
      </c>
      <c r="AO23" s="88">
        <f t="shared" si="2"/>
        <v>0</v>
      </c>
      <c r="AP23" s="88">
        <f t="shared" si="2"/>
        <v>0</v>
      </c>
      <c r="AQ23" s="88">
        <f t="shared" si="2"/>
        <v>0</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f t="shared" ref="C25:AQ25" si="3">SUM(C19,C23)</f>
        <v>0</v>
      </c>
      <c r="D25" s="84">
        <f t="shared" si="3"/>
        <v>11349.700000000003</v>
      </c>
      <c r="E25" s="84">
        <f t="shared" si="3"/>
        <v>11349.700000000003</v>
      </c>
      <c r="F25" s="84">
        <f t="shared" si="3"/>
        <v>11349.700000000003</v>
      </c>
      <c r="G25" s="84">
        <f t="shared" si="3"/>
        <v>11349.700000000003</v>
      </c>
      <c r="H25" s="84">
        <f t="shared" si="3"/>
        <v>11917.185000000003</v>
      </c>
      <c r="I25" s="84">
        <f t="shared" si="3"/>
        <v>11917.185000000003</v>
      </c>
      <c r="J25" s="84">
        <f t="shared" si="3"/>
        <v>11917.185000000003</v>
      </c>
      <c r="K25" s="84">
        <f t="shared" si="3"/>
        <v>11917.185000000003</v>
      </c>
      <c r="L25" s="84">
        <f t="shared" si="3"/>
        <v>12513.044250000003</v>
      </c>
      <c r="M25" s="84">
        <f t="shared" si="3"/>
        <v>12513.044250000003</v>
      </c>
      <c r="N25" s="84">
        <f t="shared" si="3"/>
        <v>12513.044250000003</v>
      </c>
      <c r="O25" s="84">
        <f t="shared" si="3"/>
        <v>12513.044250000003</v>
      </c>
      <c r="P25" s="84">
        <f t="shared" si="3"/>
        <v>13138.696462500004</v>
      </c>
      <c r="Q25" s="84">
        <f t="shared" si="3"/>
        <v>13138.696462500004</v>
      </c>
      <c r="R25" s="84">
        <f t="shared" si="3"/>
        <v>13138.696462500004</v>
      </c>
      <c r="S25" s="84">
        <f t="shared" si="3"/>
        <v>13138.696462500004</v>
      </c>
      <c r="T25" s="84">
        <f t="shared" si="3"/>
        <v>13795.631285625004</v>
      </c>
      <c r="U25" s="84">
        <f t="shared" si="3"/>
        <v>13795.631285625004</v>
      </c>
      <c r="V25" s="84">
        <f t="shared" si="3"/>
        <v>13795.631285625004</v>
      </c>
      <c r="W25" s="84">
        <f t="shared" si="3"/>
        <v>13795.631285625004</v>
      </c>
      <c r="X25" s="84">
        <f t="shared" si="3"/>
        <v>14485.412849906257</v>
      </c>
      <c r="Y25" s="84">
        <f t="shared" si="3"/>
        <v>14485.412849906257</v>
      </c>
      <c r="Z25" s="84">
        <f t="shared" si="3"/>
        <v>14485.412849906257</v>
      </c>
      <c r="AA25" s="84">
        <f t="shared" si="3"/>
        <v>14485.412849906257</v>
      </c>
      <c r="AB25" s="84">
        <f t="shared" si="3"/>
        <v>15209.683492401571</v>
      </c>
      <c r="AC25" s="84">
        <f t="shared" si="3"/>
        <v>15209.683492401571</v>
      </c>
      <c r="AD25" s="84">
        <f t="shared" si="3"/>
        <v>15209.683492401571</v>
      </c>
      <c r="AE25" s="84">
        <f t="shared" si="3"/>
        <v>15209.683492401571</v>
      </c>
      <c r="AF25" s="84">
        <f t="shared" si="3"/>
        <v>15970.167667021649</v>
      </c>
      <c r="AG25" s="84">
        <f t="shared" si="3"/>
        <v>15970.167667021649</v>
      </c>
      <c r="AH25" s="84">
        <f t="shared" si="3"/>
        <v>15970.167667021649</v>
      </c>
      <c r="AI25" s="84">
        <f t="shared" si="3"/>
        <v>15970.167667021649</v>
      </c>
      <c r="AJ25" s="84">
        <f t="shared" si="3"/>
        <v>16768.676050372735</v>
      </c>
      <c r="AK25" s="84">
        <f t="shared" si="3"/>
        <v>16768.676050372735</v>
      </c>
      <c r="AL25" s="84">
        <f t="shared" si="3"/>
        <v>16768.676050372735</v>
      </c>
      <c r="AM25" s="84">
        <f t="shared" si="3"/>
        <v>16768.676050372735</v>
      </c>
      <c r="AN25" s="84">
        <f t="shared" si="3"/>
        <v>17607.109852891372</v>
      </c>
      <c r="AO25" s="84">
        <f t="shared" si="3"/>
        <v>17607.109852891372</v>
      </c>
      <c r="AP25" s="84">
        <f t="shared" si="3"/>
        <v>17607.109852891372</v>
      </c>
      <c r="AQ25" s="84">
        <f t="shared" si="3"/>
        <v>17607.109852891372</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f>'QV1-NR'!G115</f>
        <v>0</v>
      </c>
      <c r="G27" s="84"/>
      <c r="H27" s="94">
        <f>-1*(H32/F28)</f>
        <v>0</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f>'QV1-NR'!S120*1000</f>
        <v>226994.00000000003</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C56" sqref="AC56"/>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1721F493-8DCE-4D01-99CA-C35DDC194C67}">
      <formula1>"Y,N"</formula1>
    </dataValidation>
  </dataValidations>
  <pageMargins left="0.75" right="0.75" top="1" bottom="1" header="0.5" footer="0.5"/>
  <pageSetup paperSize="9" orientation="portrait" r:id="rId2"/>
  <headerFooter alignWithMargins="0"/>
  <legacyDrawing r:id="rId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3520-B9D9-431C-9CE4-FC3B4C281E42}">
  <sheetPr codeName="Sheet65">
    <tabColor indexed="53"/>
  </sheetPr>
  <dimension ref="A4:M64"/>
  <sheetViews>
    <sheetView view="pageBreakPreview" topLeftCell="A3" zoomScale="130" zoomScaleNormal="100" zoomScaleSheetLayoutView="130" workbookViewId="0">
      <selection activeCell="AC56" sqref="AC56"/>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f>'QV1-NR'!C60</f>
        <v>48033.8</v>
      </c>
    </row>
    <row r="10" spans="1:13" ht="13">
      <c r="A10" s="109" t="s">
        <v>842</v>
      </c>
      <c r="B10" s="1007" t="s">
        <v>843</v>
      </c>
      <c r="C10" s="1008"/>
      <c r="D10" s="1008"/>
      <c r="E10" s="1008"/>
      <c r="F10" s="1008"/>
      <c r="G10" s="1008"/>
      <c r="H10" s="1008"/>
      <c r="I10" s="1008"/>
    </row>
    <row r="11" spans="1:13" ht="13">
      <c r="A11" s="109" t="s">
        <v>844</v>
      </c>
      <c r="B11" s="1009" t="str">
        <f>'QV1-NR'!A2</f>
        <v>QV1</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f>SUM('QV1-IS'!C12:F12)</f>
        <v>0</v>
      </c>
      <c r="D25" s="119">
        <f>SUM('QV1-IS'!D12:G12)</f>
        <v>0</v>
      </c>
      <c r="E25" s="119">
        <f>SUM('QV1-IS'!H12:K12)</f>
        <v>0</v>
      </c>
      <c r="F25" s="119">
        <f>SUM('QV1-IS'!L12:O12)</f>
        <v>0</v>
      </c>
      <c r="G25" s="119">
        <f>SUM('QV1-IS'!P12:S12)</f>
        <v>0</v>
      </c>
      <c r="H25" s="119">
        <f>SUM('QV1-IS'!T12:W12)</f>
        <v>0</v>
      </c>
      <c r="I25" s="119">
        <f>SUM('QV1-IS'!X12:AA12)</f>
        <v>0</v>
      </c>
      <c r="J25" s="119">
        <f>SUM('QV1-IS'!AB12:AE12)</f>
        <v>0</v>
      </c>
      <c r="K25" s="119">
        <f>SUM('QV1-IS'!AF12:AI12)</f>
        <v>0</v>
      </c>
      <c r="L25" s="119">
        <f>SUM('QV1-IS'!AJ12:AM12)</f>
        <v>0</v>
      </c>
      <c r="M25" s="119">
        <f>SUM('QV1-IS'!AN12:AQ12)</f>
        <v>0</v>
      </c>
    </row>
    <row r="26" spans="1:13">
      <c r="A26" s="106" t="s">
        <v>804</v>
      </c>
      <c r="C26" s="120"/>
      <c r="D26" s="119">
        <f>SUM('QV1-IS'!D13:G13)</f>
        <v>0</v>
      </c>
      <c r="E26" s="119">
        <f>SUM('QV1-IS'!H13:K13)</f>
        <v>0</v>
      </c>
      <c r="F26" s="119">
        <f>SUM('QV1-IS'!L13:O13)</f>
        <v>0</v>
      </c>
      <c r="G26" s="119">
        <f>SUM('QV1-IS'!P13:S13)</f>
        <v>0</v>
      </c>
      <c r="H26" s="119">
        <f>SUM('QV1-IS'!T13:W13)</f>
        <v>0</v>
      </c>
      <c r="I26" s="119">
        <f>SUM('QV1-IS'!X13:AA13)</f>
        <v>0</v>
      </c>
      <c r="J26" s="119">
        <f>SUM('QV1-IS'!AB13:AE13)</f>
        <v>0</v>
      </c>
      <c r="K26" s="119">
        <f>SUM('QV1-IS'!AF13:AI13)</f>
        <v>0</v>
      </c>
      <c r="L26" s="119">
        <f>SUM('QV1-IS'!AJ13:AM13)</f>
        <v>0</v>
      </c>
      <c r="M26" s="119">
        <f>SUM('QV1-IS'!AN13:AQ13)</f>
        <v>0</v>
      </c>
    </row>
    <row r="27" spans="1:13">
      <c r="A27" s="106" t="s">
        <v>805</v>
      </c>
      <c r="C27" s="120"/>
      <c r="D27" s="119">
        <f>SUM('QV1-IS'!D15:G15)+SUM('QV1-IS'!D14:G14)</f>
        <v>45398.80000000001</v>
      </c>
      <c r="E27" s="119">
        <f>SUM('QV1-IS'!H15:K15)+SUM('QV1-IS'!H14:K14)</f>
        <v>47668.740000000013</v>
      </c>
      <c r="F27" s="119">
        <f>SUM('QV1-IS'!L15:O15)+SUM('QV1-IS'!L14:O14)</f>
        <v>50052.177000000011</v>
      </c>
      <c r="G27" s="119">
        <f>SUM('QV1-IS'!P15:S15)+SUM('QV1-IS'!P14:S14)</f>
        <v>52554.785850000015</v>
      </c>
      <c r="H27" s="119">
        <f>SUM('QV1-IS'!T15:W15)+SUM('QV1-IS'!T14:W14)</f>
        <v>55182.525142500017</v>
      </c>
      <c r="I27" s="119">
        <f>SUM('QV1-IS'!X15:AA15)+SUM('QV1-IS'!X14:AA14)</f>
        <v>57941.651399625029</v>
      </c>
      <c r="J27" s="119">
        <f>SUM('QV1-IS'!AB15:AE15)+SUM('QV1-IS'!AB14:AE14)</f>
        <v>60838.733969606285</v>
      </c>
      <c r="K27" s="119">
        <f>SUM('QV1-IS'!AF15:AI15)+SUM('QV1-IS'!AF14:AI14)</f>
        <v>63880.670668086597</v>
      </c>
      <c r="L27" s="119">
        <f>SUM('QV1-IS'!AJ15:AM15)+SUM('QV1-IS'!AJ14:AM14)</f>
        <v>67074.704201490938</v>
      </c>
      <c r="M27" s="119">
        <f>SUM('QV1-IS'!AN15:AQ15)+SUM('QV1-IS'!AN14:AQ14)</f>
        <v>70428.439411565487</v>
      </c>
    </row>
    <row r="28" spans="1:13">
      <c r="A28" s="106" t="s">
        <v>808</v>
      </c>
      <c r="C28" s="120"/>
      <c r="D28" s="119">
        <f>SUM('QV1-IS'!D16:G16)</f>
        <v>0</v>
      </c>
      <c r="E28" s="119">
        <f>SUM('QV1-IS'!H16:K16)</f>
        <v>0</v>
      </c>
      <c r="F28" s="119">
        <f>SUM('QV1-IS'!L16:O16)</f>
        <v>0</v>
      </c>
      <c r="G28" s="119">
        <f>SUM('QV1-IS'!P16:S16)</f>
        <v>0</v>
      </c>
      <c r="H28" s="119">
        <f>SUM('QV1-IS'!T16:W16)</f>
        <v>0</v>
      </c>
      <c r="I28" s="119">
        <f>SUM('QV1-IS'!X16:AA16)</f>
        <v>0</v>
      </c>
      <c r="J28" s="119">
        <f>SUM('QV1-IS'!AB16:AE16)</f>
        <v>0</v>
      </c>
      <c r="K28" s="119">
        <f>SUM('QV1-IS'!AF16:AI16)</f>
        <v>0</v>
      </c>
      <c r="L28" s="119">
        <f>SUM('QV1-IS'!AJ16:AM16)</f>
        <v>0</v>
      </c>
      <c r="M28" s="119">
        <f>SUM('QV1-IS'!AN16:AQ16)</f>
        <v>0</v>
      </c>
    </row>
    <row r="29" spans="1:13">
      <c r="A29" s="106" t="s">
        <v>809</v>
      </c>
      <c r="C29" s="120"/>
      <c r="D29" s="119">
        <f>SUM('QV1-IS'!D17:G17)</f>
        <v>0</v>
      </c>
      <c r="E29" s="119">
        <f>SUM('QV1-IS'!H17:K17)</f>
        <v>0</v>
      </c>
      <c r="F29" s="119">
        <f>SUM('QV1-IS'!L17:O17)</f>
        <v>0</v>
      </c>
      <c r="G29" s="119">
        <f>SUM('QV1-IS'!P17:S17)</f>
        <v>0</v>
      </c>
      <c r="H29" s="119">
        <f>SUM('QV1-IS'!T17:W17)</f>
        <v>0</v>
      </c>
      <c r="I29" s="119">
        <f>SUM('QV1-IS'!X17:AA17)</f>
        <v>0</v>
      </c>
      <c r="J29" s="119">
        <f>SUM('QV1-IS'!AB17:AE17)</f>
        <v>0</v>
      </c>
      <c r="K29" s="119">
        <f>SUM('QV1-IS'!AF17:AI17)</f>
        <v>0</v>
      </c>
      <c r="L29" s="119">
        <f>SUM('QV1-IS'!AJ17:AM17)</f>
        <v>0</v>
      </c>
      <c r="M29" s="119">
        <f>SUM('QV1-IS'!AN17:AQ17)</f>
        <v>0</v>
      </c>
    </row>
    <row r="30" spans="1:13" ht="5.25" customHeight="1">
      <c r="C30" s="120"/>
      <c r="D30" s="121"/>
      <c r="E30" s="122"/>
      <c r="F30" s="122"/>
      <c r="G30" s="122"/>
      <c r="H30" s="122"/>
      <c r="I30" s="122"/>
      <c r="J30" s="122"/>
      <c r="K30" s="122"/>
      <c r="L30" s="122"/>
      <c r="M30" s="122"/>
    </row>
    <row r="31" spans="1:13" ht="13" thickBot="1">
      <c r="A31" s="106" t="s">
        <v>810</v>
      </c>
      <c r="C31" s="123">
        <f t="shared" ref="C31:M31" si="0">SUM(C25:C30)</f>
        <v>0</v>
      </c>
      <c r="D31" s="124">
        <f t="shared" si="0"/>
        <v>45398.80000000001</v>
      </c>
      <c r="E31" s="125">
        <f t="shared" si="0"/>
        <v>47668.740000000013</v>
      </c>
      <c r="F31" s="125">
        <f t="shared" si="0"/>
        <v>50052.177000000011</v>
      </c>
      <c r="G31" s="125">
        <f t="shared" si="0"/>
        <v>52554.785850000015</v>
      </c>
      <c r="H31" s="125">
        <f t="shared" si="0"/>
        <v>55182.525142500017</v>
      </c>
      <c r="I31" s="125">
        <f t="shared" si="0"/>
        <v>57941.651399625029</v>
      </c>
      <c r="J31" s="125">
        <f t="shared" si="0"/>
        <v>60838.733969606285</v>
      </c>
      <c r="K31" s="125">
        <f t="shared" si="0"/>
        <v>63880.670668086597</v>
      </c>
      <c r="L31" s="125">
        <f t="shared" si="0"/>
        <v>67074.704201490938</v>
      </c>
      <c r="M31" s="125">
        <f t="shared" si="0"/>
        <v>70428.439411565487</v>
      </c>
    </row>
    <row r="32" spans="1:13" ht="13" thickTop="1">
      <c r="A32" s="64" t="s">
        <v>860</v>
      </c>
      <c r="B32" s="79"/>
      <c r="C32" s="77"/>
      <c r="D32" s="152">
        <f>D31/$I$9</f>
        <v>0.94514279528165601</v>
      </c>
      <c r="E32" s="152">
        <f t="shared" ref="E32:M32" si="1">E31/$I$9</f>
        <v>0.99239993504573887</v>
      </c>
      <c r="F32" s="152">
        <f t="shared" si="1"/>
        <v>1.0420199317980257</v>
      </c>
      <c r="G32" s="152">
        <f t="shared" si="1"/>
        <v>1.0941209283879272</v>
      </c>
      <c r="H32" s="152">
        <f t="shared" si="1"/>
        <v>1.1488269748073234</v>
      </c>
      <c r="I32" s="152">
        <f t="shared" si="1"/>
        <v>1.2062683235476899</v>
      </c>
      <c r="J32" s="152">
        <f t="shared" si="1"/>
        <v>1.2665817397250745</v>
      </c>
      <c r="K32" s="152">
        <f t="shared" si="1"/>
        <v>1.3299108267113282</v>
      </c>
      <c r="L32" s="152">
        <f t="shared" si="1"/>
        <v>1.3964063680468948</v>
      </c>
      <c r="M32" s="152">
        <f t="shared" si="1"/>
        <v>1.4662266864492395</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str">
        <f>'QV1-NR'!G67</f>
        <v>CURRENT</v>
      </c>
      <c r="J36" s="127" t="str">
        <f>'QV1-NR'!H67</f>
        <v>FY25</v>
      </c>
      <c r="K36" s="127" t="str">
        <f>'QV1-NR'!I67</f>
        <v>FY26</v>
      </c>
      <c r="L36" s="127" t="str">
        <f>'QV1-NR'!J67</f>
        <v>FY27</v>
      </c>
      <c r="M36" s="127" t="str">
        <f>'QV1-NR'!K67</f>
        <v>FY28</v>
      </c>
    </row>
    <row r="37" spans="1:13" ht="25.5">
      <c r="A37" s="128" t="s">
        <v>863</v>
      </c>
      <c r="B37" s="129" t="s">
        <v>864</v>
      </c>
      <c r="D37" s="117"/>
      <c r="E37" s="130"/>
      <c r="F37" s="117"/>
      <c r="G37" s="131" t="s">
        <v>865</v>
      </c>
      <c r="H37" s="132">
        <f>'QV1-NR'!S123</f>
        <v>6.0059311981020169</v>
      </c>
      <c r="I37" s="132">
        <f>'QV1-NR'!S124</f>
        <v>5.6286137879911049</v>
      </c>
      <c r="J37" s="132">
        <f>'QV1-NR'!S125</f>
        <v>5.6286137879911049</v>
      </c>
      <c r="K37" s="132">
        <f>'QV1-NR'!S126</f>
        <v>5.6286137879911049</v>
      </c>
      <c r="L37" s="117"/>
    </row>
    <row r="38" spans="1:13" ht="13">
      <c r="G38" s="131" t="s">
        <v>866</v>
      </c>
      <c r="I38" s="133">
        <f>'QV1-NR'!G115</f>
        <v>0</v>
      </c>
      <c r="J38" s="133"/>
      <c r="K38" s="133"/>
    </row>
    <row r="39" spans="1:13" ht="13">
      <c r="A39" s="106" t="s">
        <v>867</v>
      </c>
      <c r="B39" s="134">
        <v>0</v>
      </c>
      <c r="E39" s="117"/>
      <c r="F39" s="135"/>
      <c r="G39" s="131" t="s">
        <v>868</v>
      </c>
      <c r="I39" s="136" t="e">
        <f>IRR(C31:M31)</f>
        <v>#NUM!</v>
      </c>
    </row>
    <row r="40" spans="1:13" ht="13">
      <c r="A40" s="128"/>
      <c r="B40" s="137"/>
      <c r="G40" s="131" t="s">
        <v>869</v>
      </c>
      <c r="I40" s="133">
        <f>B43/B41-B43</f>
        <v>704259.51409287855</v>
      </c>
    </row>
    <row r="41" spans="1:13">
      <c r="A41" s="106" t="s">
        <v>870</v>
      </c>
      <c r="B41" s="138">
        <v>7.4999999999999997E-2</v>
      </c>
    </row>
    <row r="42" spans="1:13">
      <c r="A42" s="117"/>
    </row>
    <row r="43" spans="1:13">
      <c r="A43" s="139" t="s">
        <v>871</v>
      </c>
      <c r="B43" s="140">
        <f>SUMIF(D31:M31,"&lt;&gt;0")/COUNTIF(D31:M31,"&lt;&gt;0")</f>
        <v>57102.122764287444</v>
      </c>
    </row>
    <row r="55" spans="5:10" ht="15.5">
      <c r="E55" s="141" t="s">
        <v>872</v>
      </c>
      <c r="F55" s="142"/>
      <c r="G55" s="142"/>
      <c r="H55" s="142"/>
      <c r="I55" s="142"/>
    </row>
    <row r="57" spans="5:10">
      <c r="E57" s="143"/>
      <c r="F57" s="143"/>
      <c r="G57" s="143"/>
      <c r="H57" s="143"/>
      <c r="I57" s="143"/>
      <c r="J57" s="143"/>
    </row>
    <row r="58" spans="5:10" ht="17.5">
      <c r="E58" s="143"/>
      <c r="F58" s="144" t="s">
        <v>486</v>
      </c>
      <c r="G58" s="144" t="str">
        <f t="shared" ref="G58:I59" si="2">I36</f>
        <v>CURRENT</v>
      </c>
      <c r="H58" s="144" t="str">
        <f t="shared" si="2"/>
        <v>FY25</v>
      </c>
      <c r="I58" s="144" t="str">
        <f t="shared" si="2"/>
        <v>FY26</v>
      </c>
      <c r="J58" s="143"/>
    </row>
    <row r="59" spans="5:10" ht="17.5">
      <c r="E59" s="143"/>
      <c r="F59" s="145" t="str">
        <f>H37&amp;" Stars"</f>
        <v>6.00593119810202 Stars</v>
      </c>
      <c r="G59" s="146">
        <f t="shared" si="2"/>
        <v>5.6286137879911049</v>
      </c>
      <c r="H59" s="146">
        <f t="shared" si="2"/>
        <v>5.6286137879911049</v>
      </c>
      <c r="I59" s="146">
        <f t="shared" si="2"/>
        <v>5.6286137879911049</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f>I38</f>
        <v>0</v>
      </c>
      <c r="H62" s="149">
        <f>J38</f>
        <v>0</v>
      </c>
      <c r="I62" s="149">
        <f>K38</f>
        <v>0</v>
      </c>
      <c r="J62" s="143"/>
    </row>
    <row r="63" spans="5:10" ht="17.5">
      <c r="E63" s="143"/>
      <c r="F63" s="147"/>
      <c r="G63" s="150" t="e">
        <f>I39</f>
        <v>#NUM!</v>
      </c>
      <c r="H63" s="147"/>
      <c r="I63" s="147"/>
      <c r="J63" s="143"/>
    </row>
    <row r="64" spans="5:10" ht="17.5">
      <c r="E64" s="143"/>
      <c r="F64" s="143"/>
      <c r="G64" s="151">
        <f>I40</f>
        <v>704259.51409287855</v>
      </c>
      <c r="H64" s="143"/>
      <c r="I64" s="143"/>
      <c r="J64" s="143"/>
    </row>
  </sheetData>
  <customSheetViews>
    <customSheetView guid="{0FAFE012-8D9E-4ED0-86A4-A997E430971B}" scale="130" showPageBreaks="1" printArea="1" state="hidden" view="pageBreakPreview" topLeftCell="A3">
      <selection activeCell="AC56" sqref="AC56"/>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1C52C704-8A3B-43F4-B0AE-1DFFA0A3A960}">
      <formula1>"NET, GROSS, GROSS +"</formula1>
    </dataValidation>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2F44DC1F-25C8-4DC4-848A-D794C5C034E8}">
      <formula1>"YES,NO"</formula1>
    </dataValidation>
  </dataValidations>
  <pageMargins left="0.75" right="0.75" top="1" bottom="1" header="0.5" footer="0.5"/>
  <pageSetup paperSize="9" scale="61" orientation="portrait" r:id="rId2"/>
  <headerFooter alignWithMargins="0"/>
  <drawing r:id="rId3"/>
  <legacyDrawing r:id="rId4"/>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F71E2-96BB-480D-A1F3-E0E1B3E580C9}">
  <sheetPr codeName="Sheet67">
    <tabColor theme="5" tint="0.39997558519241921"/>
  </sheetPr>
  <dimension ref="A2:AQ101"/>
  <sheetViews>
    <sheetView zoomScale="85" zoomScaleNormal="85" workbookViewId="0">
      <selection activeCell="AC56" sqref="AC56"/>
    </sheetView>
  </sheetViews>
  <sheetFormatPr defaultRowHeight="12.5"/>
  <cols>
    <col min="1" max="1" width="29.7265625" style="64" customWidth="1"/>
    <col min="2" max="2" width="8.81640625" style="64" customWidth="1"/>
    <col min="3" max="256" width="9.1796875" style="64"/>
    <col min="257" max="257" width="29.7265625" style="64" customWidth="1"/>
    <col min="258" max="258" width="8.81640625" style="64" customWidth="1"/>
    <col min="259" max="512" width="9.1796875" style="64"/>
    <col min="513" max="513" width="29.7265625" style="64" customWidth="1"/>
    <col min="514" max="514" width="8.81640625" style="64" customWidth="1"/>
    <col min="515" max="768" width="9.1796875" style="64"/>
    <col min="769" max="769" width="29.7265625" style="64" customWidth="1"/>
    <col min="770" max="770" width="8.81640625" style="64" customWidth="1"/>
    <col min="771" max="1024" width="9.1796875" style="64"/>
    <col min="1025" max="1025" width="29.7265625" style="64" customWidth="1"/>
    <col min="1026" max="1026" width="8.81640625" style="64" customWidth="1"/>
    <col min="1027" max="1280" width="9.1796875" style="64"/>
    <col min="1281" max="1281" width="29.7265625" style="64" customWidth="1"/>
    <col min="1282" max="1282" width="8.81640625" style="64" customWidth="1"/>
    <col min="1283" max="1536" width="9.1796875" style="64"/>
    <col min="1537" max="1537" width="29.7265625" style="64" customWidth="1"/>
    <col min="1538" max="1538" width="8.81640625" style="64" customWidth="1"/>
    <col min="1539" max="1792" width="9.1796875" style="64"/>
    <col min="1793" max="1793" width="29.7265625" style="64" customWidth="1"/>
    <col min="1794" max="1794" width="8.81640625" style="64" customWidth="1"/>
    <col min="1795" max="2048" width="9.1796875" style="64"/>
    <col min="2049" max="2049" width="29.7265625" style="64" customWidth="1"/>
    <col min="2050" max="2050" width="8.81640625" style="64" customWidth="1"/>
    <col min="2051" max="2304" width="9.1796875" style="64"/>
    <col min="2305" max="2305" width="29.7265625" style="64" customWidth="1"/>
    <col min="2306" max="2306" width="8.81640625" style="64" customWidth="1"/>
    <col min="2307" max="2560" width="9.1796875" style="64"/>
    <col min="2561" max="2561" width="29.7265625" style="64" customWidth="1"/>
    <col min="2562" max="2562" width="8.81640625" style="64" customWidth="1"/>
    <col min="2563" max="2816" width="9.1796875" style="64"/>
    <col min="2817" max="2817" width="29.7265625" style="64" customWidth="1"/>
    <col min="2818" max="2818" width="8.81640625" style="64" customWidth="1"/>
    <col min="2819" max="3072" width="9.1796875" style="64"/>
    <col min="3073" max="3073" width="29.7265625" style="64" customWidth="1"/>
    <col min="3074" max="3074" width="8.81640625" style="64" customWidth="1"/>
    <col min="3075" max="3328" width="9.1796875" style="64"/>
    <col min="3329" max="3329" width="29.7265625" style="64" customWidth="1"/>
    <col min="3330" max="3330" width="8.81640625" style="64" customWidth="1"/>
    <col min="3331" max="3584" width="9.1796875" style="64"/>
    <col min="3585" max="3585" width="29.7265625" style="64" customWidth="1"/>
    <col min="3586" max="3586" width="8.81640625" style="64" customWidth="1"/>
    <col min="3587" max="3840" width="9.1796875" style="64"/>
    <col min="3841" max="3841" width="29.7265625" style="64" customWidth="1"/>
    <col min="3842" max="3842" width="8.81640625" style="64" customWidth="1"/>
    <col min="3843" max="4096" width="9.1796875" style="64"/>
    <col min="4097" max="4097" width="29.7265625" style="64" customWidth="1"/>
    <col min="4098" max="4098" width="8.81640625" style="64" customWidth="1"/>
    <col min="4099" max="4352" width="9.1796875" style="64"/>
    <col min="4353" max="4353" width="29.7265625" style="64" customWidth="1"/>
    <col min="4354" max="4354" width="8.81640625" style="64" customWidth="1"/>
    <col min="4355" max="4608" width="9.1796875" style="64"/>
    <col min="4609" max="4609" width="29.7265625" style="64" customWidth="1"/>
    <col min="4610" max="4610" width="8.81640625" style="64" customWidth="1"/>
    <col min="4611" max="4864" width="9.1796875" style="64"/>
    <col min="4865" max="4865" width="29.7265625" style="64" customWidth="1"/>
    <col min="4866" max="4866" width="8.81640625" style="64" customWidth="1"/>
    <col min="4867" max="5120" width="9.1796875" style="64"/>
    <col min="5121" max="5121" width="29.7265625" style="64" customWidth="1"/>
    <col min="5122" max="5122" width="8.81640625" style="64" customWidth="1"/>
    <col min="5123" max="5376" width="9.1796875" style="64"/>
    <col min="5377" max="5377" width="29.7265625" style="64" customWidth="1"/>
    <col min="5378" max="5378" width="8.81640625" style="64" customWidth="1"/>
    <col min="5379" max="5632" width="9.1796875" style="64"/>
    <col min="5633" max="5633" width="29.7265625" style="64" customWidth="1"/>
    <col min="5634" max="5634" width="8.81640625" style="64" customWidth="1"/>
    <col min="5635" max="5888" width="9.1796875" style="64"/>
    <col min="5889" max="5889" width="29.7265625" style="64" customWidth="1"/>
    <col min="5890" max="5890" width="8.81640625" style="64" customWidth="1"/>
    <col min="5891" max="6144" width="9.1796875" style="64"/>
    <col min="6145" max="6145" width="29.7265625" style="64" customWidth="1"/>
    <col min="6146" max="6146" width="8.81640625" style="64" customWidth="1"/>
    <col min="6147" max="6400" width="9.1796875" style="64"/>
    <col min="6401" max="6401" width="29.7265625" style="64" customWidth="1"/>
    <col min="6402" max="6402" width="8.81640625" style="64" customWidth="1"/>
    <col min="6403" max="6656" width="9.1796875" style="64"/>
    <col min="6657" max="6657" width="29.7265625" style="64" customWidth="1"/>
    <col min="6658" max="6658" width="8.81640625" style="64" customWidth="1"/>
    <col min="6659" max="6912" width="9.1796875" style="64"/>
    <col min="6913" max="6913" width="29.7265625" style="64" customWidth="1"/>
    <col min="6914" max="6914" width="8.81640625" style="64" customWidth="1"/>
    <col min="6915" max="7168" width="9.1796875" style="64"/>
    <col min="7169" max="7169" width="29.7265625" style="64" customWidth="1"/>
    <col min="7170" max="7170" width="8.81640625" style="64" customWidth="1"/>
    <col min="7171" max="7424" width="9.1796875" style="64"/>
    <col min="7425" max="7425" width="29.7265625" style="64" customWidth="1"/>
    <col min="7426" max="7426" width="8.81640625" style="64" customWidth="1"/>
    <col min="7427" max="7680" width="9.1796875" style="64"/>
    <col min="7681" max="7681" width="29.7265625" style="64" customWidth="1"/>
    <col min="7682" max="7682" width="8.81640625" style="64" customWidth="1"/>
    <col min="7683" max="7936" width="9.1796875" style="64"/>
    <col min="7937" max="7937" width="29.7265625" style="64" customWidth="1"/>
    <col min="7938" max="7938" width="8.81640625" style="64" customWidth="1"/>
    <col min="7939" max="8192" width="9.1796875" style="64"/>
    <col min="8193" max="8193" width="29.7265625" style="64" customWidth="1"/>
    <col min="8194" max="8194" width="8.81640625" style="64" customWidth="1"/>
    <col min="8195" max="8448" width="9.1796875" style="64"/>
    <col min="8449" max="8449" width="29.7265625" style="64" customWidth="1"/>
    <col min="8450" max="8450" width="8.81640625" style="64" customWidth="1"/>
    <col min="8451" max="8704" width="9.1796875" style="64"/>
    <col min="8705" max="8705" width="29.7265625" style="64" customWidth="1"/>
    <col min="8706" max="8706" width="8.81640625" style="64" customWidth="1"/>
    <col min="8707" max="8960" width="9.1796875" style="64"/>
    <col min="8961" max="8961" width="29.7265625" style="64" customWidth="1"/>
    <col min="8962" max="8962" width="8.81640625" style="64" customWidth="1"/>
    <col min="8963" max="9216" width="9.1796875" style="64"/>
    <col min="9217" max="9217" width="29.7265625" style="64" customWidth="1"/>
    <col min="9218" max="9218" width="8.81640625" style="64" customWidth="1"/>
    <col min="9219" max="9472" width="9.1796875" style="64"/>
    <col min="9473" max="9473" width="29.7265625" style="64" customWidth="1"/>
    <col min="9474" max="9474" width="8.81640625" style="64" customWidth="1"/>
    <col min="9475" max="9728" width="9.1796875" style="64"/>
    <col min="9729" max="9729" width="29.7265625" style="64" customWidth="1"/>
    <col min="9730" max="9730" width="8.81640625" style="64" customWidth="1"/>
    <col min="9731" max="9984" width="9.1796875" style="64"/>
    <col min="9985" max="9985" width="29.7265625" style="64" customWidth="1"/>
    <col min="9986" max="9986" width="8.81640625" style="64" customWidth="1"/>
    <col min="9987" max="10240" width="9.1796875" style="64"/>
    <col min="10241" max="10241" width="29.7265625" style="64" customWidth="1"/>
    <col min="10242" max="10242" width="8.81640625" style="64" customWidth="1"/>
    <col min="10243" max="10496" width="9.1796875" style="64"/>
    <col min="10497" max="10497" width="29.7265625" style="64" customWidth="1"/>
    <col min="10498" max="10498" width="8.81640625" style="64" customWidth="1"/>
    <col min="10499" max="10752" width="9.1796875" style="64"/>
    <col min="10753" max="10753" width="29.7265625" style="64" customWidth="1"/>
    <col min="10754" max="10754" width="8.81640625" style="64" customWidth="1"/>
    <col min="10755" max="11008" width="9.1796875" style="64"/>
    <col min="11009" max="11009" width="29.7265625" style="64" customWidth="1"/>
    <col min="11010" max="11010" width="8.81640625" style="64" customWidth="1"/>
    <col min="11011" max="11264" width="9.1796875" style="64"/>
    <col min="11265" max="11265" width="29.7265625" style="64" customWidth="1"/>
    <col min="11266" max="11266" width="8.81640625" style="64" customWidth="1"/>
    <col min="11267" max="11520" width="9.1796875" style="64"/>
    <col min="11521" max="11521" width="29.7265625" style="64" customWidth="1"/>
    <col min="11522" max="11522" width="8.81640625" style="64" customWidth="1"/>
    <col min="11523" max="11776" width="9.1796875" style="64"/>
    <col min="11777" max="11777" width="29.7265625" style="64" customWidth="1"/>
    <col min="11778" max="11778" width="8.81640625" style="64" customWidth="1"/>
    <col min="11779" max="12032" width="9.1796875" style="64"/>
    <col min="12033" max="12033" width="29.7265625" style="64" customWidth="1"/>
    <col min="12034" max="12034" width="8.81640625" style="64" customWidth="1"/>
    <col min="12035" max="12288" width="9.1796875" style="64"/>
    <col min="12289" max="12289" width="29.7265625" style="64" customWidth="1"/>
    <col min="12290" max="12290" width="8.81640625" style="64" customWidth="1"/>
    <col min="12291" max="12544" width="9.1796875" style="64"/>
    <col min="12545" max="12545" width="29.7265625" style="64" customWidth="1"/>
    <col min="12546" max="12546" width="8.81640625" style="64" customWidth="1"/>
    <col min="12547" max="12800" width="9.1796875" style="64"/>
    <col min="12801" max="12801" width="29.7265625" style="64" customWidth="1"/>
    <col min="12802" max="12802" width="8.81640625" style="64" customWidth="1"/>
    <col min="12803" max="13056" width="9.1796875" style="64"/>
    <col min="13057" max="13057" width="29.7265625" style="64" customWidth="1"/>
    <col min="13058" max="13058" width="8.81640625" style="64" customWidth="1"/>
    <col min="13059" max="13312" width="9.1796875" style="64"/>
    <col min="13313" max="13313" width="29.7265625" style="64" customWidth="1"/>
    <col min="13314" max="13314" width="8.81640625" style="64" customWidth="1"/>
    <col min="13315" max="13568" width="9.1796875" style="64"/>
    <col min="13569" max="13569" width="29.7265625" style="64" customWidth="1"/>
    <col min="13570" max="13570" width="8.81640625" style="64" customWidth="1"/>
    <col min="13571" max="13824" width="9.1796875" style="64"/>
    <col min="13825" max="13825" width="29.7265625" style="64" customWidth="1"/>
    <col min="13826" max="13826" width="8.81640625" style="64" customWidth="1"/>
    <col min="13827" max="14080" width="9.1796875" style="64"/>
    <col min="14081" max="14081" width="29.7265625" style="64" customWidth="1"/>
    <col min="14082" max="14082" width="8.81640625" style="64" customWidth="1"/>
    <col min="14083" max="14336" width="9.1796875" style="64"/>
    <col min="14337" max="14337" width="29.7265625" style="64" customWidth="1"/>
    <col min="14338" max="14338" width="8.81640625" style="64" customWidth="1"/>
    <col min="14339" max="14592" width="9.1796875" style="64"/>
    <col min="14593" max="14593" width="29.7265625" style="64" customWidth="1"/>
    <col min="14594" max="14594" width="8.81640625" style="64" customWidth="1"/>
    <col min="14595" max="14848" width="9.1796875" style="64"/>
    <col min="14849" max="14849" width="29.7265625" style="64" customWidth="1"/>
    <col min="14850" max="14850" width="8.81640625" style="64" customWidth="1"/>
    <col min="14851" max="15104" width="9.1796875" style="64"/>
    <col min="15105" max="15105" width="29.7265625" style="64" customWidth="1"/>
    <col min="15106" max="15106" width="8.81640625" style="64" customWidth="1"/>
    <col min="15107" max="15360" width="9.1796875" style="64"/>
    <col min="15361" max="15361" width="29.7265625" style="64" customWidth="1"/>
    <col min="15362" max="15362" width="8.81640625" style="64" customWidth="1"/>
    <col min="15363" max="15616" width="9.1796875" style="64"/>
    <col min="15617" max="15617" width="29.7265625" style="64" customWidth="1"/>
    <col min="15618" max="15618" width="8.81640625" style="64" customWidth="1"/>
    <col min="15619" max="15872" width="9.1796875" style="64"/>
    <col min="15873" max="15873" width="29.7265625" style="64" customWidth="1"/>
    <col min="15874" max="15874" width="8.81640625" style="64" customWidth="1"/>
    <col min="15875" max="16128" width="9.1796875" style="64"/>
    <col min="16129" max="16129" width="29.7265625" style="64" customWidth="1"/>
    <col min="16130" max="16130" width="8.81640625" style="64" customWidth="1"/>
    <col min="16131" max="16384" width="9.1796875" style="64"/>
  </cols>
  <sheetData>
    <row r="2" spans="1:43" ht="13">
      <c r="A2" s="63" t="s">
        <v>781</v>
      </c>
    </row>
    <row r="3" spans="1:43" ht="13">
      <c r="A3" s="63"/>
    </row>
    <row r="4" spans="1:43">
      <c r="A4" s="64" t="s">
        <v>782</v>
      </c>
      <c r="B4" s="64" t="s">
        <v>783</v>
      </c>
    </row>
    <row r="5" spans="1:43">
      <c r="A5" s="64" t="s">
        <v>784</v>
      </c>
      <c r="B5" s="65">
        <v>0</v>
      </c>
      <c r="F5" s="66"/>
      <c r="J5" s="66"/>
      <c r="N5" s="66"/>
      <c r="R5" s="66"/>
      <c r="V5" s="66"/>
      <c r="Z5" s="66"/>
      <c r="AD5" s="66"/>
    </row>
    <row r="6" spans="1:43">
      <c r="A6" s="64" t="s">
        <v>785</v>
      </c>
      <c r="B6" s="65">
        <v>0</v>
      </c>
    </row>
    <row r="7" spans="1:43">
      <c r="C7" s="67" t="s">
        <v>786</v>
      </c>
      <c r="D7" s="998" t="s">
        <v>787</v>
      </c>
      <c r="E7" s="998"/>
      <c r="F7" s="998"/>
      <c r="G7" s="998"/>
      <c r="H7" s="998" t="s">
        <v>788</v>
      </c>
      <c r="I7" s="998"/>
      <c r="J7" s="998"/>
      <c r="K7" s="998"/>
      <c r="L7" s="998" t="s">
        <v>789</v>
      </c>
      <c r="M7" s="998"/>
      <c r="N7" s="998"/>
      <c r="O7" s="998"/>
      <c r="P7" s="998" t="s">
        <v>790</v>
      </c>
      <c r="Q7" s="998"/>
      <c r="R7" s="998"/>
      <c r="S7" s="998"/>
      <c r="T7" s="998" t="s">
        <v>791</v>
      </c>
      <c r="U7" s="998"/>
      <c r="V7" s="998"/>
      <c r="W7" s="998"/>
      <c r="X7" s="998" t="s">
        <v>792</v>
      </c>
      <c r="Y7" s="998"/>
      <c r="Z7" s="998"/>
      <c r="AA7" s="998"/>
      <c r="AB7" s="998" t="s">
        <v>793</v>
      </c>
      <c r="AC7" s="998"/>
      <c r="AD7" s="998"/>
      <c r="AE7" s="998"/>
      <c r="AF7" s="998" t="s">
        <v>794</v>
      </c>
      <c r="AG7" s="998"/>
      <c r="AH7" s="998"/>
      <c r="AI7" s="998"/>
      <c r="AJ7" s="998" t="s">
        <v>795</v>
      </c>
      <c r="AK7" s="998"/>
      <c r="AL7" s="998"/>
      <c r="AM7" s="998"/>
      <c r="AN7" s="998" t="s">
        <v>796</v>
      </c>
      <c r="AO7" s="998"/>
      <c r="AP7" s="998"/>
      <c r="AQ7" s="998"/>
    </row>
    <row r="8" spans="1:43">
      <c r="C8" s="68" t="s">
        <v>797</v>
      </c>
      <c r="D8" s="69" t="s">
        <v>798</v>
      </c>
      <c r="E8" s="69" t="s">
        <v>799</v>
      </c>
      <c r="F8" s="69" t="s">
        <v>800</v>
      </c>
      <c r="G8" s="69" t="s">
        <v>801</v>
      </c>
      <c r="H8" s="69" t="s">
        <v>798</v>
      </c>
      <c r="I8" s="69" t="s">
        <v>799</v>
      </c>
      <c r="J8" s="69" t="s">
        <v>800</v>
      </c>
      <c r="K8" s="69" t="s">
        <v>801</v>
      </c>
      <c r="L8" s="69" t="s">
        <v>798</v>
      </c>
      <c r="M8" s="69" t="s">
        <v>799</v>
      </c>
      <c r="N8" s="69" t="s">
        <v>800</v>
      </c>
      <c r="O8" s="69" t="s">
        <v>801</v>
      </c>
      <c r="P8" s="69" t="s">
        <v>798</v>
      </c>
      <c r="Q8" s="69" t="s">
        <v>799</v>
      </c>
      <c r="R8" s="69" t="s">
        <v>800</v>
      </c>
      <c r="S8" s="69" t="s">
        <v>801</v>
      </c>
      <c r="T8" s="69" t="s">
        <v>798</v>
      </c>
      <c r="U8" s="69" t="s">
        <v>799</v>
      </c>
      <c r="V8" s="69" t="s">
        <v>800</v>
      </c>
      <c r="W8" s="69" t="s">
        <v>801</v>
      </c>
      <c r="X8" s="69" t="s">
        <v>798</v>
      </c>
      <c r="Y8" s="69" t="s">
        <v>799</v>
      </c>
      <c r="Z8" s="69" t="s">
        <v>800</v>
      </c>
      <c r="AA8" s="69" t="s">
        <v>801</v>
      </c>
      <c r="AB8" s="69" t="s">
        <v>798</v>
      </c>
      <c r="AC8" s="69" t="s">
        <v>799</v>
      </c>
      <c r="AD8" s="69" t="s">
        <v>800</v>
      </c>
      <c r="AE8" s="69" t="s">
        <v>801</v>
      </c>
      <c r="AF8" s="69" t="s">
        <v>798</v>
      </c>
      <c r="AG8" s="69" t="s">
        <v>799</v>
      </c>
      <c r="AH8" s="69" t="s">
        <v>800</v>
      </c>
      <c r="AI8" s="69" t="s">
        <v>801</v>
      </c>
      <c r="AJ8" s="69" t="s">
        <v>798</v>
      </c>
      <c r="AK8" s="69" t="s">
        <v>799</v>
      </c>
      <c r="AL8" s="69" t="s">
        <v>800</v>
      </c>
      <c r="AM8" s="69" t="s">
        <v>801</v>
      </c>
      <c r="AN8" s="69" t="s">
        <v>798</v>
      </c>
      <c r="AO8" s="69" t="s">
        <v>799</v>
      </c>
      <c r="AP8" s="69" t="s">
        <v>800</v>
      </c>
      <c r="AQ8" s="69" t="s">
        <v>801</v>
      </c>
    </row>
    <row r="9" spans="1:43">
      <c r="D9" s="70"/>
      <c r="G9" s="71"/>
      <c r="H9" s="70"/>
      <c r="K9" s="71"/>
      <c r="L9" s="70"/>
      <c r="O9" s="71"/>
      <c r="P9" s="70"/>
      <c r="S9" s="71"/>
      <c r="T9" s="70"/>
      <c r="W9" s="71"/>
      <c r="X9" s="70"/>
      <c r="AA9" s="71"/>
      <c r="AB9" s="70"/>
      <c r="AE9" s="71"/>
      <c r="AF9" s="70"/>
      <c r="AI9" s="71"/>
      <c r="AJ9" s="70"/>
      <c r="AM9" s="71"/>
      <c r="AN9" s="70"/>
      <c r="AQ9" s="71"/>
    </row>
    <row r="10" spans="1:43">
      <c r="A10" s="67" t="s">
        <v>802</v>
      </c>
      <c r="C10" s="67">
        <v>0</v>
      </c>
      <c r="D10" s="72">
        <v>1</v>
      </c>
      <c r="E10" s="73">
        <v>2</v>
      </c>
      <c r="F10" s="73">
        <v>3</v>
      </c>
      <c r="G10" s="74">
        <v>4</v>
      </c>
      <c r="H10" s="72">
        <v>5</v>
      </c>
      <c r="I10" s="73">
        <v>6</v>
      </c>
      <c r="J10" s="73">
        <v>7</v>
      </c>
      <c r="K10" s="74">
        <v>8</v>
      </c>
      <c r="L10" s="72">
        <v>9</v>
      </c>
      <c r="M10" s="73">
        <v>10</v>
      </c>
      <c r="N10" s="73">
        <v>11</v>
      </c>
      <c r="O10" s="74">
        <v>12</v>
      </c>
      <c r="P10" s="72">
        <v>13</v>
      </c>
      <c r="Q10" s="73">
        <v>14</v>
      </c>
      <c r="R10" s="73">
        <v>15</v>
      </c>
      <c r="S10" s="74">
        <v>16</v>
      </c>
      <c r="T10" s="72">
        <v>17</v>
      </c>
      <c r="U10" s="73">
        <v>18</v>
      </c>
      <c r="V10" s="73">
        <v>19</v>
      </c>
      <c r="W10" s="74">
        <v>20</v>
      </c>
      <c r="X10" s="72">
        <v>21</v>
      </c>
      <c r="Y10" s="73">
        <v>22</v>
      </c>
      <c r="Z10" s="73">
        <v>23</v>
      </c>
      <c r="AA10" s="74">
        <v>24</v>
      </c>
      <c r="AB10" s="72">
        <v>25</v>
      </c>
      <c r="AC10" s="73">
        <v>26</v>
      </c>
      <c r="AD10" s="73">
        <v>27</v>
      </c>
      <c r="AE10" s="74">
        <v>28</v>
      </c>
      <c r="AF10" s="72">
        <v>29</v>
      </c>
      <c r="AG10" s="73">
        <v>30</v>
      </c>
      <c r="AH10" s="73">
        <v>31</v>
      </c>
      <c r="AI10" s="74">
        <v>32</v>
      </c>
      <c r="AJ10" s="72">
        <v>33</v>
      </c>
      <c r="AK10" s="73">
        <v>34</v>
      </c>
      <c r="AL10" s="73">
        <v>35</v>
      </c>
      <c r="AM10" s="74">
        <v>36</v>
      </c>
      <c r="AN10" s="72">
        <v>37</v>
      </c>
      <c r="AO10" s="73">
        <v>38</v>
      </c>
      <c r="AP10" s="73">
        <v>39</v>
      </c>
      <c r="AQ10" s="74">
        <v>40</v>
      </c>
    </row>
    <row r="11" spans="1:43">
      <c r="C11" s="75"/>
      <c r="D11" s="76"/>
      <c r="E11" s="77"/>
      <c r="F11" s="77"/>
      <c r="G11" s="78"/>
      <c r="H11" s="76"/>
      <c r="I11" s="77"/>
      <c r="J11" s="77"/>
      <c r="K11" s="78"/>
      <c r="L11" s="76"/>
      <c r="M11" s="77"/>
      <c r="N11" s="77"/>
      <c r="O11" s="78"/>
      <c r="P11" s="76"/>
      <c r="Q11" s="77"/>
      <c r="R11" s="77"/>
      <c r="S11" s="78"/>
      <c r="T11" s="76"/>
      <c r="U11" s="77"/>
      <c r="V11" s="77"/>
      <c r="W11" s="78"/>
      <c r="X11" s="76"/>
      <c r="Y11" s="77"/>
      <c r="Z11" s="77"/>
      <c r="AA11" s="78"/>
      <c r="AB11" s="76"/>
      <c r="AC11" s="77"/>
      <c r="AD11" s="77"/>
      <c r="AE11" s="78"/>
      <c r="AF11" s="76"/>
      <c r="AG11" s="77"/>
      <c r="AH11" s="77"/>
      <c r="AI11" s="78"/>
      <c r="AJ11" s="76"/>
      <c r="AK11" s="77"/>
      <c r="AL11" s="77"/>
      <c r="AM11" s="78"/>
      <c r="AN11" s="76"/>
      <c r="AO11" s="77"/>
      <c r="AP11" s="77"/>
      <c r="AQ11" s="78"/>
    </row>
    <row r="12" spans="1:43">
      <c r="A12" s="64" t="s">
        <v>803</v>
      </c>
      <c r="B12" s="79"/>
      <c r="C12" s="80" t="e">
        <f>-F27</f>
        <v>#REF!</v>
      </c>
      <c r="D12" s="81">
        <v>0</v>
      </c>
      <c r="E12" s="82">
        <v>0</v>
      </c>
      <c r="F12" s="82">
        <v>0</v>
      </c>
      <c r="G12" s="83">
        <v>0</v>
      </c>
      <c r="H12" s="81">
        <v>0</v>
      </c>
      <c r="I12" s="82">
        <v>0</v>
      </c>
      <c r="J12" s="82">
        <v>0</v>
      </c>
      <c r="K12" s="83">
        <v>0</v>
      </c>
      <c r="L12" s="81">
        <v>0</v>
      </c>
      <c r="M12" s="82">
        <v>0</v>
      </c>
      <c r="N12" s="82">
        <v>0</v>
      </c>
      <c r="O12" s="83">
        <v>0</v>
      </c>
      <c r="P12" s="81">
        <v>0</v>
      </c>
      <c r="Q12" s="82">
        <v>0</v>
      </c>
      <c r="R12" s="82">
        <v>0</v>
      </c>
      <c r="S12" s="83">
        <v>0</v>
      </c>
      <c r="T12" s="81">
        <v>0</v>
      </c>
      <c r="U12" s="82">
        <v>0</v>
      </c>
      <c r="V12" s="82">
        <v>0</v>
      </c>
      <c r="W12" s="83">
        <v>0</v>
      </c>
      <c r="X12" s="81">
        <v>0</v>
      </c>
      <c r="Y12" s="82">
        <v>0</v>
      </c>
      <c r="Z12" s="82">
        <v>0</v>
      </c>
      <c r="AA12" s="83">
        <v>0</v>
      </c>
      <c r="AB12" s="81">
        <v>0</v>
      </c>
      <c r="AC12" s="82">
        <v>0</v>
      </c>
      <c r="AD12" s="82">
        <v>0</v>
      </c>
      <c r="AE12" s="83">
        <v>0</v>
      </c>
      <c r="AF12" s="81">
        <v>0</v>
      </c>
      <c r="AG12" s="82">
        <v>0</v>
      </c>
      <c r="AH12" s="82">
        <v>0</v>
      </c>
      <c r="AI12" s="83">
        <v>0</v>
      </c>
      <c r="AJ12" s="81">
        <v>0</v>
      </c>
      <c r="AK12" s="82">
        <v>0</v>
      </c>
      <c r="AL12" s="82">
        <v>0</v>
      </c>
      <c r="AM12" s="83">
        <v>0</v>
      </c>
      <c r="AN12" s="81">
        <v>0</v>
      </c>
      <c r="AO12" s="82">
        <v>0</v>
      </c>
      <c r="AP12" s="82">
        <v>0</v>
      </c>
      <c r="AQ12" s="83">
        <v>0</v>
      </c>
    </row>
    <row r="13" spans="1:43">
      <c r="A13" s="64" t="s">
        <v>804</v>
      </c>
      <c r="B13" s="79"/>
      <c r="C13" s="84"/>
      <c r="D13" s="81">
        <v>0</v>
      </c>
      <c r="E13" s="82">
        <v>0</v>
      </c>
      <c r="F13" s="82">
        <v>0</v>
      </c>
      <c r="G13" s="83">
        <v>0</v>
      </c>
      <c r="H13" s="81">
        <v>0</v>
      </c>
      <c r="I13" s="82">
        <v>0</v>
      </c>
      <c r="J13" s="82">
        <v>0</v>
      </c>
      <c r="K13" s="83">
        <v>0</v>
      </c>
      <c r="L13" s="81">
        <v>0</v>
      </c>
      <c r="M13" s="82">
        <v>0</v>
      </c>
      <c r="N13" s="82">
        <v>0</v>
      </c>
      <c r="O13" s="83">
        <v>0</v>
      </c>
      <c r="P13" s="81">
        <v>0</v>
      </c>
      <c r="Q13" s="82">
        <v>0</v>
      </c>
      <c r="R13" s="82">
        <v>0</v>
      </c>
      <c r="S13" s="83">
        <v>0</v>
      </c>
      <c r="T13" s="81">
        <v>0</v>
      </c>
      <c r="U13" s="82">
        <v>0</v>
      </c>
      <c r="V13" s="82">
        <v>0</v>
      </c>
      <c r="W13" s="83">
        <v>0</v>
      </c>
      <c r="X13" s="81">
        <v>0</v>
      </c>
      <c r="Y13" s="82">
        <v>0</v>
      </c>
      <c r="Z13" s="82">
        <v>0</v>
      </c>
      <c r="AA13" s="83">
        <v>0</v>
      </c>
      <c r="AB13" s="81">
        <v>0</v>
      </c>
      <c r="AC13" s="82">
        <v>0</v>
      </c>
      <c r="AD13" s="82">
        <v>0</v>
      </c>
      <c r="AE13" s="83">
        <v>0</v>
      </c>
      <c r="AF13" s="81">
        <v>0</v>
      </c>
      <c r="AG13" s="82">
        <v>0</v>
      </c>
      <c r="AH13" s="82">
        <v>0</v>
      </c>
      <c r="AI13" s="83">
        <v>0</v>
      </c>
      <c r="AJ13" s="81">
        <v>0</v>
      </c>
      <c r="AK13" s="82">
        <v>0</v>
      </c>
      <c r="AL13" s="82">
        <v>0</v>
      </c>
      <c r="AM13" s="83">
        <v>0</v>
      </c>
      <c r="AN13" s="81">
        <v>0</v>
      </c>
      <c r="AO13" s="82">
        <v>0</v>
      </c>
      <c r="AP13" s="82">
        <v>0</v>
      </c>
      <c r="AQ13" s="83">
        <v>0</v>
      </c>
    </row>
    <row r="14" spans="1:43">
      <c r="A14" s="64" t="s">
        <v>805</v>
      </c>
      <c r="B14" s="79"/>
      <c r="C14" s="84"/>
      <c r="D14" s="81">
        <v>0</v>
      </c>
      <c r="E14" s="82">
        <v>0</v>
      </c>
      <c r="F14" s="82">
        <v>0</v>
      </c>
      <c r="G14" s="83">
        <v>0</v>
      </c>
      <c r="H14" s="81">
        <v>0</v>
      </c>
      <c r="I14" s="82">
        <v>0</v>
      </c>
      <c r="J14" s="82">
        <v>0</v>
      </c>
      <c r="K14" s="83">
        <v>0</v>
      </c>
      <c r="L14" s="81">
        <v>0</v>
      </c>
      <c r="M14" s="82">
        <v>0</v>
      </c>
      <c r="N14" s="82">
        <v>0</v>
      </c>
      <c r="O14" s="83">
        <v>0</v>
      </c>
      <c r="P14" s="81">
        <v>0</v>
      </c>
      <c r="Q14" s="82">
        <v>0</v>
      </c>
      <c r="R14" s="82">
        <v>0</v>
      </c>
      <c r="S14" s="83">
        <v>0</v>
      </c>
      <c r="T14" s="81">
        <v>0</v>
      </c>
      <c r="U14" s="82">
        <v>0</v>
      </c>
      <c r="V14" s="82">
        <v>0</v>
      </c>
      <c r="W14" s="83">
        <v>0</v>
      </c>
      <c r="X14" s="81">
        <v>0</v>
      </c>
      <c r="Y14" s="82">
        <v>0</v>
      </c>
      <c r="Z14" s="82">
        <v>0</v>
      </c>
      <c r="AA14" s="83">
        <v>0</v>
      </c>
      <c r="AB14" s="81">
        <v>0</v>
      </c>
      <c r="AC14" s="82">
        <v>0</v>
      </c>
      <c r="AD14" s="82">
        <v>0</v>
      </c>
      <c r="AE14" s="83">
        <v>0</v>
      </c>
      <c r="AF14" s="81">
        <v>0</v>
      </c>
      <c r="AG14" s="82">
        <v>0</v>
      </c>
      <c r="AH14" s="82">
        <v>0</v>
      </c>
      <c r="AI14" s="83">
        <v>0</v>
      </c>
      <c r="AJ14" s="81">
        <v>0</v>
      </c>
      <c r="AK14" s="82">
        <v>0</v>
      </c>
      <c r="AL14" s="82">
        <v>0</v>
      </c>
      <c r="AM14" s="83">
        <v>0</v>
      </c>
      <c r="AN14" s="81">
        <v>0</v>
      </c>
      <c r="AO14" s="82">
        <v>0</v>
      </c>
      <c r="AP14" s="82">
        <v>0</v>
      </c>
      <c r="AQ14" s="83">
        <v>0</v>
      </c>
    </row>
    <row r="15" spans="1:43">
      <c r="A15" s="64" t="s">
        <v>806</v>
      </c>
      <c r="B15" s="85" t="s">
        <v>807</v>
      </c>
      <c r="C15" s="84"/>
      <c r="D15" s="81" t="e">
        <f>(0.25*$F$28*$J29)*(1-$B$6+$B$6/2)</f>
        <v>#REF!</v>
      </c>
      <c r="E15" s="81" t="e">
        <f>(0.25*$F$28*$J29)*(1-$B$6+$B$6/2)</f>
        <v>#REF!</v>
      </c>
      <c r="F15" s="81" t="e">
        <f>(0.25*$F$28*$J29)*(1-$B$6+$B$6/2)</f>
        <v>#REF!</v>
      </c>
      <c r="G15" s="81" t="e">
        <f>(0.25*$F$28*$J29)*(1-$B$6+$B$6/2)</f>
        <v>#REF!</v>
      </c>
      <c r="H15" s="86" t="e">
        <f>(0.25*$F$28*$K29)*(1-$B$6+$B$6/2)</f>
        <v>#REF!</v>
      </c>
      <c r="I15" s="86" t="e">
        <f>(0.25*$F$28*$K29)*(1-$B$6+$B$6/2)</f>
        <v>#REF!</v>
      </c>
      <c r="J15" s="86" t="e">
        <f>(0.25*$F$28*$K29)*(1-$B$6+$B$6/2)</f>
        <v>#REF!</v>
      </c>
      <c r="K15" s="86" t="e">
        <f>(0.25*$F$28*$K29)*(1-$B$6+$B$6/2)</f>
        <v>#REF!</v>
      </c>
      <c r="L15" s="86" t="e">
        <f>(0.25*$F$28*$L29)*(1-$B$6+$B$6/2)</f>
        <v>#REF!</v>
      </c>
      <c r="M15" s="86" t="e">
        <f>(0.25*$F$28*$L29)*(1-$B$6+$B$6/2)</f>
        <v>#REF!</v>
      </c>
      <c r="N15" s="86" t="e">
        <f>(0.25*$F$28*$L29)*(1-$B$6+$B$6/2)</f>
        <v>#REF!</v>
      </c>
      <c r="O15" s="86" t="e">
        <f>(0.25*$F$28*$L29)*(1-$B$6+$B$6/2)</f>
        <v>#REF!</v>
      </c>
      <c r="P15" s="86" t="e">
        <f>(0.25*$F$28*$M29)*(1-$B$6+$B$6/2)</f>
        <v>#REF!</v>
      </c>
      <c r="Q15" s="86" t="e">
        <f>(0.25*$F$28*$M29)*(1-$B$6+$B$6/2)</f>
        <v>#REF!</v>
      </c>
      <c r="R15" s="86" t="e">
        <f>(0.25*$F$28*$M29)*(1-$B$6+$B$6/2)</f>
        <v>#REF!</v>
      </c>
      <c r="S15" s="86" t="e">
        <f>(0.25*$F$28*$M29)*(1-$B$6+$B$6/2)</f>
        <v>#REF!</v>
      </c>
      <c r="T15" s="86" t="e">
        <f>(0.25*$F$28*$N29)*(1-$B$6+$B$6/2)</f>
        <v>#REF!</v>
      </c>
      <c r="U15" s="86" t="e">
        <f>(0.25*$F$28*$N29)*(1-$B$6+$B$6/2)</f>
        <v>#REF!</v>
      </c>
      <c r="V15" s="86" t="e">
        <f>(0.25*$F$28*$N29)*(1-$B$6+$B$6/2)</f>
        <v>#REF!</v>
      </c>
      <c r="W15" s="86" t="e">
        <f>(0.25*$F$28*$N29)*(1-$B$6+$B$6/2)</f>
        <v>#REF!</v>
      </c>
      <c r="X15" s="86" t="e">
        <f>(0.25*$F$28*$O29)*(1-$B$6+$B$6/2)</f>
        <v>#REF!</v>
      </c>
      <c r="Y15" s="86" t="e">
        <f>(0.25*$F$28*$O29)*(1-$B$6+$B$6/2)</f>
        <v>#REF!</v>
      </c>
      <c r="Z15" s="86" t="e">
        <f>(0.25*$F$28*$O29)*(1-$B$6+$B$6/2)</f>
        <v>#REF!</v>
      </c>
      <c r="AA15" s="86" t="e">
        <f>(0.25*$F$28*$O29)*(1-$B$6+$B$6/2)</f>
        <v>#REF!</v>
      </c>
      <c r="AB15" s="86" t="e">
        <f>(0.25*$F$28*$P29)*(1-$B$6+$B$6/2)</f>
        <v>#REF!</v>
      </c>
      <c r="AC15" s="86" t="e">
        <f>(0.25*$F$28*$P29)*(1-$B$6+$B$6/2)</f>
        <v>#REF!</v>
      </c>
      <c r="AD15" s="86" t="e">
        <f>(0.25*$F$28*$P29)*(1-$B$6+$B$6/2)</f>
        <v>#REF!</v>
      </c>
      <c r="AE15" s="86" t="e">
        <f>(0.25*$F$28*$P29)*(1-$B$6+$B$6/2)</f>
        <v>#REF!</v>
      </c>
      <c r="AF15" s="86" t="e">
        <f>(0.25*$F$28*$Q29)*(1-$B$6+$B$6/2)</f>
        <v>#REF!</v>
      </c>
      <c r="AG15" s="86" t="e">
        <f>(0.25*$F$28*$Q29)*(1-$B$6+$B$6/2)</f>
        <v>#REF!</v>
      </c>
      <c r="AH15" s="86" t="e">
        <f>(0.25*$F$28*$Q29)*(1-$B$6+$B$6/2)</f>
        <v>#REF!</v>
      </c>
      <c r="AI15" s="86" t="e">
        <f>(0.25*$F$28*$Q29)*(1-$B$6+$B$6/2)</f>
        <v>#REF!</v>
      </c>
      <c r="AJ15" s="86" t="e">
        <f>(0.25*$F$28*$R29)*(1-$B$6+$B$6/2)</f>
        <v>#REF!</v>
      </c>
      <c r="AK15" s="86" t="e">
        <f>(0.25*$F$28*$R29)*(1-$B$6+$B$6/2)</f>
        <v>#REF!</v>
      </c>
      <c r="AL15" s="86" t="e">
        <f>(0.25*$F$28*$R29)*(1-$B$6+$B$6/2)</f>
        <v>#REF!</v>
      </c>
      <c r="AM15" s="86" t="e">
        <f>(0.25*$F$28*$R29)*(1-$B$6+$B$6/2)</f>
        <v>#REF!</v>
      </c>
      <c r="AN15" s="86" t="e">
        <f>(0.25*$F$28*$S29)*(1-$B$6+$B$6/2)</f>
        <v>#REF!</v>
      </c>
      <c r="AO15" s="86" t="e">
        <f>(0.25*$F$28*$S29)*(1-$B$6+$B$6/2)</f>
        <v>#REF!</v>
      </c>
      <c r="AP15" s="86" t="e">
        <f>(0.25*$F$28*$S29)*(1-$B$6+$B$6/2)</f>
        <v>#REF!</v>
      </c>
      <c r="AQ15" s="86" t="e">
        <f>(0.25*$F$28*$S29)*(1-$B$6+$B$6/2)</f>
        <v>#REF!</v>
      </c>
    </row>
    <row r="16" spans="1:43">
      <c r="A16" s="64" t="s">
        <v>808</v>
      </c>
      <c r="B16" s="79"/>
      <c r="C16" s="84"/>
      <c r="D16" s="81">
        <v>0</v>
      </c>
      <c r="E16" s="82">
        <v>0</v>
      </c>
      <c r="F16" s="82">
        <v>0</v>
      </c>
      <c r="G16" s="83">
        <v>0</v>
      </c>
      <c r="H16" s="81">
        <v>0</v>
      </c>
      <c r="I16" s="82">
        <v>0</v>
      </c>
      <c r="J16" s="82">
        <v>0</v>
      </c>
      <c r="K16" s="83">
        <v>0</v>
      </c>
      <c r="L16" s="81">
        <v>0</v>
      </c>
      <c r="M16" s="82">
        <v>0</v>
      </c>
      <c r="N16" s="82">
        <v>0</v>
      </c>
      <c r="O16" s="83">
        <v>0</v>
      </c>
      <c r="P16" s="81">
        <v>0</v>
      </c>
      <c r="Q16" s="82">
        <v>0</v>
      </c>
      <c r="R16" s="82">
        <v>0</v>
      </c>
      <c r="S16" s="83">
        <v>0</v>
      </c>
      <c r="T16" s="81">
        <v>0</v>
      </c>
      <c r="U16" s="82">
        <v>0</v>
      </c>
      <c r="V16" s="82">
        <v>0</v>
      </c>
      <c r="W16" s="83">
        <v>0</v>
      </c>
      <c r="X16" s="81">
        <v>0</v>
      </c>
      <c r="Y16" s="82">
        <v>0</v>
      </c>
      <c r="Z16" s="82">
        <v>0</v>
      </c>
      <c r="AA16" s="83">
        <v>0</v>
      </c>
      <c r="AB16" s="81">
        <v>0</v>
      </c>
      <c r="AC16" s="82">
        <v>0</v>
      </c>
      <c r="AD16" s="82">
        <v>0</v>
      </c>
      <c r="AE16" s="83">
        <v>0</v>
      </c>
      <c r="AF16" s="81">
        <v>0</v>
      </c>
      <c r="AG16" s="82">
        <v>0</v>
      </c>
      <c r="AH16" s="82">
        <v>0</v>
      </c>
      <c r="AI16" s="83">
        <v>0</v>
      </c>
      <c r="AJ16" s="81">
        <v>0</v>
      </c>
      <c r="AK16" s="82">
        <v>0</v>
      </c>
      <c r="AL16" s="82">
        <v>0</v>
      </c>
      <c r="AM16" s="83">
        <v>0</v>
      </c>
      <c r="AN16" s="81">
        <v>0</v>
      </c>
      <c r="AO16" s="82">
        <v>0</v>
      </c>
      <c r="AP16" s="82">
        <v>0</v>
      </c>
      <c r="AQ16" s="83">
        <v>0</v>
      </c>
    </row>
    <row r="17" spans="1:43">
      <c r="A17" s="64" t="s">
        <v>809</v>
      </c>
      <c r="B17" s="79"/>
      <c r="C17" s="84"/>
      <c r="D17" s="81">
        <v>0</v>
      </c>
      <c r="E17" s="82">
        <v>0</v>
      </c>
      <c r="F17" s="82">
        <v>0</v>
      </c>
      <c r="G17" s="83">
        <v>0</v>
      </c>
      <c r="H17" s="81">
        <v>0</v>
      </c>
      <c r="I17" s="82">
        <v>0</v>
      </c>
      <c r="J17" s="82">
        <v>0</v>
      </c>
      <c r="K17" s="83">
        <v>0</v>
      </c>
      <c r="L17" s="81">
        <v>0</v>
      </c>
      <c r="M17" s="82">
        <v>0</v>
      </c>
      <c r="N17" s="82">
        <v>0</v>
      </c>
      <c r="O17" s="83">
        <v>0</v>
      </c>
      <c r="P17" s="81">
        <v>0</v>
      </c>
      <c r="Q17" s="82">
        <v>0</v>
      </c>
      <c r="R17" s="82">
        <v>0</v>
      </c>
      <c r="S17" s="83">
        <v>0</v>
      </c>
      <c r="T17" s="81">
        <v>0</v>
      </c>
      <c r="U17" s="82">
        <v>0</v>
      </c>
      <c r="V17" s="82">
        <v>0</v>
      </c>
      <c r="W17" s="83">
        <v>0</v>
      </c>
      <c r="X17" s="81">
        <v>0</v>
      </c>
      <c r="Y17" s="82">
        <v>0</v>
      </c>
      <c r="Z17" s="82">
        <v>0</v>
      </c>
      <c r="AA17" s="83">
        <v>0</v>
      </c>
      <c r="AB17" s="81">
        <v>0</v>
      </c>
      <c r="AC17" s="82">
        <v>0</v>
      </c>
      <c r="AD17" s="82">
        <v>0</v>
      </c>
      <c r="AE17" s="83">
        <v>0</v>
      </c>
      <c r="AF17" s="81">
        <v>0</v>
      </c>
      <c r="AG17" s="82">
        <v>0</v>
      </c>
      <c r="AH17" s="82">
        <v>0</v>
      </c>
      <c r="AI17" s="83">
        <v>0</v>
      </c>
      <c r="AJ17" s="81">
        <v>0</v>
      </c>
      <c r="AK17" s="82">
        <v>0</v>
      </c>
      <c r="AL17" s="82">
        <v>0</v>
      </c>
      <c r="AM17" s="83">
        <v>0</v>
      </c>
      <c r="AN17" s="81">
        <v>0</v>
      </c>
      <c r="AO17" s="82">
        <v>0</v>
      </c>
      <c r="AP17" s="82">
        <v>0</v>
      </c>
      <c r="AQ17" s="83">
        <v>0</v>
      </c>
    </row>
    <row r="18" spans="1:43">
      <c r="B18" s="79"/>
      <c r="C18" s="84"/>
      <c r="D18" s="87"/>
      <c r="E18" s="88"/>
      <c r="F18" s="88"/>
      <c r="G18" s="89"/>
      <c r="H18" s="87"/>
      <c r="I18" s="88"/>
      <c r="J18" s="88"/>
      <c r="K18" s="89"/>
      <c r="L18" s="87"/>
      <c r="M18" s="88"/>
      <c r="N18" s="88"/>
      <c r="O18" s="89"/>
      <c r="P18" s="87"/>
      <c r="Q18" s="88"/>
      <c r="R18" s="88"/>
      <c r="S18" s="89"/>
      <c r="T18" s="87"/>
      <c r="U18" s="88"/>
      <c r="V18" s="88"/>
      <c r="W18" s="89"/>
      <c r="X18" s="87"/>
      <c r="Y18" s="88"/>
      <c r="Z18" s="88"/>
      <c r="AA18" s="89"/>
      <c r="AB18" s="87"/>
      <c r="AC18" s="88"/>
      <c r="AD18" s="88"/>
      <c r="AE18" s="89"/>
      <c r="AF18" s="87"/>
      <c r="AG18" s="88"/>
      <c r="AH18" s="88"/>
      <c r="AI18" s="89"/>
      <c r="AJ18" s="87"/>
      <c r="AK18" s="88"/>
      <c r="AL18" s="88"/>
      <c r="AM18" s="89"/>
      <c r="AN18" s="87"/>
      <c r="AO18" s="88"/>
      <c r="AP18" s="88"/>
      <c r="AQ18" s="89"/>
    </row>
    <row r="19" spans="1:43" ht="13" thickBot="1">
      <c r="A19" s="64" t="s">
        <v>810</v>
      </c>
      <c r="B19" s="79"/>
      <c r="C19" s="90" t="e">
        <f t="shared" ref="C19:AQ19" si="0">SUM(C12:C18)</f>
        <v>#REF!</v>
      </c>
      <c r="D19" s="91" t="e">
        <f t="shared" si="0"/>
        <v>#REF!</v>
      </c>
      <c r="E19" s="92" t="e">
        <f t="shared" si="0"/>
        <v>#REF!</v>
      </c>
      <c r="F19" s="92" t="e">
        <f t="shared" si="0"/>
        <v>#REF!</v>
      </c>
      <c r="G19" s="90" t="e">
        <f t="shared" si="0"/>
        <v>#REF!</v>
      </c>
      <c r="H19" s="91" t="e">
        <f t="shared" si="0"/>
        <v>#REF!</v>
      </c>
      <c r="I19" s="92" t="e">
        <f t="shared" si="0"/>
        <v>#REF!</v>
      </c>
      <c r="J19" s="92" t="e">
        <f t="shared" si="0"/>
        <v>#REF!</v>
      </c>
      <c r="K19" s="90" t="e">
        <f t="shared" si="0"/>
        <v>#REF!</v>
      </c>
      <c r="L19" s="91" t="e">
        <f t="shared" si="0"/>
        <v>#REF!</v>
      </c>
      <c r="M19" s="92" t="e">
        <f t="shared" si="0"/>
        <v>#REF!</v>
      </c>
      <c r="N19" s="92" t="e">
        <f t="shared" si="0"/>
        <v>#REF!</v>
      </c>
      <c r="O19" s="90" t="e">
        <f t="shared" si="0"/>
        <v>#REF!</v>
      </c>
      <c r="P19" s="91" t="e">
        <f t="shared" si="0"/>
        <v>#REF!</v>
      </c>
      <c r="Q19" s="92" t="e">
        <f t="shared" si="0"/>
        <v>#REF!</v>
      </c>
      <c r="R19" s="92" t="e">
        <f t="shared" si="0"/>
        <v>#REF!</v>
      </c>
      <c r="S19" s="90" t="e">
        <f t="shared" si="0"/>
        <v>#REF!</v>
      </c>
      <c r="T19" s="91" t="e">
        <f t="shared" si="0"/>
        <v>#REF!</v>
      </c>
      <c r="U19" s="92" t="e">
        <f t="shared" si="0"/>
        <v>#REF!</v>
      </c>
      <c r="V19" s="92" t="e">
        <f t="shared" si="0"/>
        <v>#REF!</v>
      </c>
      <c r="W19" s="90" t="e">
        <f t="shared" si="0"/>
        <v>#REF!</v>
      </c>
      <c r="X19" s="91" t="e">
        <f t="shared" si="0"/>
        <v>#REF!</v>
      </c>
      <c r="Y19" s="92" t="e">
        <f t="shared" si="0"/>
        <v>#REF!</v>
      </c>
      <c r="Z19" s="92" t="e">
        <f t="shared" si="0"/>
        <v>#REF!</v>
      </c>
      <c r="AA19" s="90" t="e">
        <f t="shared" si="0"/>
        <v>#REF!</v>
      </c>
      <c r="AB19" s="91" t="e">
        <f t="shared" si="0"/>
        <v>#REF!</v>
      </c>
      <c r="AC19" s="92" t="e">
        <f t="shared" si="0"/>
        <v>#REF!</v>
      </c>
      <c r="AD19" s="92" t="e">
        <f t="shared" si="0"/>
        <v>#REF!</v>
      </c>
      <c r="AE19" s="90" t="e">
        <f t="shared" si="0"/>
        <v>#REF!</v>
      </c>
      <c r="AF19" s="91" t="e">
        <f t="shared" si="0"/>
        <v>#REF!</v>
      </c>
      <c r="AG19" s="92" t="e">
        <f t="shared" si="0"/>
        <v>#REF!</v>
      </c>
      <c r="AH19" s="92" t="e">
        <f t="shared" si="0"/>
        <v>#REF!</v>
      </c>
      <c r="AI19" s="90" t="e">
        <f t="shared" si="0"/>
        <v>#REF!</v>
      </c>
      <c r="AJ19" s="91" t="e">
        <f t="shared" si="0"/>
        <v>#REF!</v>
      </c>
      <c r="AK19" s="92" t="e">
        <f t="shared" si="0"/>
        <v>#REF!</v>
      </c>
      <c r="AL19" s="92" t="e">
        <f t="shared" si="0"/>
        <v>#REF!</v>
      </c>
      <c r="AM19" s="90" t="e">
        <f t="shared" si="0"/>
        <v>#REF!</v>
      </c>
      <c r="AN19" s="91" t="e">
        <f t="shared" si="0"/>
        <v>#REF!</v>
      </c>
      <c r="AO19" s="92" t="e">
        <f t="shared" si="0"/>
        <v>#REF!</v>
      </c>
      <c r="AP19" s="92" t="e">
        <f t="shared" si="0"/>
        <v>#REF!</v>
      </c>
      <c r="AQ19" s="90" t="e">
        <f t="shared" si="0"/>
        <v>#REF!</v>
      </c>
    </row>
    <row r="20" spans="1:43" ht="13" thickTop="1">
      <c r="B20" s="79"/>
      <c r="C20" s="84"/>
      <c r="D20" s="84"/>
      <c r="E20" s="84"/>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c r="AG20" s="84"/>
      <c r="AH20" s="84"/>
      <c r="AI20" s="84"/>
      <c r="AJ20" s="84"/>
      <c r="AK20" s="84"/>
      <c r="AL20" s="84"/>
      <c r="AM20" s="84"/>
      <c r="AN20" s="84"/>
      <c r="AO20" s="84"/>
      <c r="AP20" s="84"/>
      <c r="AQ20" s="84"/>
    </row>
    <row r="21" spans="1:43">
      <c r="A21" s="64" t="s">
        <v>811</v>
      </c>
      <c r="B21" s="79"/>
      <c r="C21" s="84" t="e">
        <f>+C19</f>
        <v>#REF!</v>
      </c>
      <c r="D21" s="84" t="e">
        <f t="shared" ref="D21:AQ21" si="1">+C21+D19</f>
        <v>#REF!</v>
      </c>
      <c r="E21" s="84" t="e">
        <f t="shared" si="1"/>
        <v>#REF!</v>
      </c>
      <c r="F21" s="84" t="e">
        <f t="shared" si="1"/>
        <v>#REF!</v>
      </c>
      <c r="G21" s="84" t="e">
        <f t="shared" si="1"/>
        <v>#REF!</v>
      </c>
      <c r="H21" s="84" t="e">
        <f t="shared" si="1"/>
        <v>#REF!</v>
      </c>
      <c r="I21" s="84" t="e">
        <f t="shared" si="1"/>
        <v>#REF!</v>
      </c>
      <c r="J21" s="84" t="e">
        <f t="shared" si="1"/>
        <v>#REF!</v>
      </c>
      <c r="K21" s="84" t="e">
        <f t="shared" si="1"/>
        <v>#REF!</v>
      </c>
      <c r="L21" s="84" t="e">
        <f t="shared" si="1"/>
        <v>#REF!</v>
      </c>
      <c r="M21" s="84" t="e">
        <f t="shared" si="1"/>
        <v>#REF!</v>
      </c>
      <c r="N21" s="84" t="e">
        <f t="shared" si="1"/>
        <v>#REF!</v>
      </c>
      <c r="O21" s="84" t="e">
        <f t="shared" si="1"/>
        <v>#REF!</v>
      </c>
      <c r="P21" s="84" t="e">
        <f t="shared" si="1"/>
        <v>#REF!</v>
      </c>
      <c r="Q21" s="84" t="e">
        <f t="shared" si="1"/>
        <v>#REF!</v>
      </c>
      <c r="R21" s="84" t="e">
        <f t="shared" si="1"/>
        <v>#REF!</v>
      </c>
      <c r="S21" s="84" t="e">
        <f t="shared" si="1"/>
        <v>#REF!</v>
      </c>
      <c r="T21" s="84" t="e">
        <f t="shared" si="1"/>
        <v>#REF!</v>
      </c>
      <c r="U21" s="84" t="e">
        <f t="shared" si="1"/>
        <v>#REF!</v>
      </c>
      <c r="V21" s="84" t="e">
        <f t="shared" si="1"/>
        <v>#REF!</v>
      </c>
      <c r="W21" s="84" t="e">
        <f t="shared" si="1"/>
        <v>#REF!</v>
      </c>
      <c r="X21" s="84" t="e">
        <f t="shared" si="1"/>
        <v>#REF!</v>
      </c>
      <c r="Y21" s="84" t="e">
        <f t="shared" si="1"/>
        <v>#REF!</v>
      </c>
      <c r="Z21" s="84" t="e">
        <f t="shared" si="1"/>
        <v>#REF!</v>
      </c>
      <c r="AA21" s="84" t="e">
        <f t="shared" si="1"/>
        <v>#REF!</v>
      </c>
      <c r="AB21" s="84" t="e">
        <f t="shared" si="1"/>
        <v>#REF!</v>
      </c>
      <c r="AC21" s="84" t="e">
        <f t="shared" si="1"/>
        <v>#REF!</v>
      </c>
      <c r="AD21" s="84" t="e">
        <f t="shared" si="1"/>
        <v>#REF!</v>
      </c>
      <c r="AE21" s="84" t="e">
        <f t="shared" si="1"/>
        <v>#REF!</v>
      </c>
      <c r="AF21" s="84" t="e">
        <f t="shared" si="1"/>
        <v>#REF!</v>
      </c>
      <c r="AG21" s="84" t="e">
        <f t="shared" si="1"/>
        <v>#REF!</v>
      </c>
      <c r="AH21" s="84" t="e">
        <f t="shared" si="1"/>
        <v>#REF!</v>
      </c>
      <c r="AI21" s="84" t="e">
        <f t="shared" si="1"/>
        <v>#REF!</v>
      </c>
      <c r="AJ21" s="84" t="e">
        <f t="shared" si="1"/>
        <v>#REF!</v>
      </c>
      <c r="AK21" s="84" t="e">
        <f t="shared" si="1"/>
        <v>#REF!</v>
      </c>
      <c r="AL21" s="84" t="e">
        <f t="shared" si="1"/>
        <v>#REF!</v>
      </c>
      <c r="AM21" s="84" t="e">
        <f t="shared" si="1"/>
        <v>#REF!</v>
      </c>
      <c r="AN21" s="84" t="e">
        <f t="shared" si="1"/>
        <v>#REF!</v>
      </c>
      <c r="AO21" s="84" t="e">
        <f t="shared" si="1"/>
        <v>#REF!</v>
      </c>
      <c r="AP21" s="84" t="e">
        <f t="shared" si="1"/>
        <v>#REF!</v>
      </c>
      <c r="AQ21" s="84" t="e">
        <f t="shared" si="1"/>
        <v>#REF!</v>
      </c>
    </row>
    <row r="22" spans="1:43">
      <c r="B22" s="79"/>
      <c r="C22" s="84"/>
      <c r="D22" s="84"/>
      <c r="E22" s="84"/>
      <c r="F22" s="84"/>
      <c r="G22" s="84"/>
      <c r="H22" s="84"/>
      <c r="I22" s="84"/>
      <c r="J22" s="84"/>
      <c r="K22" s="84"/>
      <c r="L22" s="84"/>
      <c r="M22" s="84"/>
      <c r="N22" s="84"/>
      <c r="O22" s="84"/>
      <c r="P22" s="84"/>
      <c r="Q22" s="84"/>
      <c r="R22" s="84"/>
      <c r="S22" s="84"/>
      <c r="T22" s="84"/>
      <c r="U22" s="84"/>
      <c r="V22" s="84"/>
      <c r="W22" s="84"/>
      <c r="X22" s="84"/>
      <c r="Y22" s="84"/>
      <c r="Z22" s="84"/>
      <c r="AA22" s="84"/>
      <c r="AB22" s="84"/>
      <c r="AC22" s="84"/>
      <c r="AD22" s="84"/>
      <c r="AE22" s="84"/>
      <c r="AF22" s="84"/>
      <c r="AG22" s="84"/>
      <c r="AH22" s="84"/>
      <c r="AI22" s="84"/>
      <c r="AJ22" s="84"/>
      <c r="AK22" s="84"/>
      <c r="AL22" s="84"/>
      <c r="AM22" s="84"/>
      <c r="AN22" s="84"/>
      <c r="AO22" s="84"/>
      <c r="AP22" s="84"/>
      <c r="AQ22" s="84"/>
    </row>
    <row r="23" spans="1:43">
      <c r="A23" s="64" t="s">
        <v>812</v>
      </c>
      <c r="C23" s="84"/>
      <c r="D23" s="88" t="e">
        <f t="shared" ref="D23:AQ23" si="2">IF(D21&gt;0,0,D21*$B$5/4)</f>
        <v>#REF!</v>
      </c>
      <c r="E23" s="88" t="e">
        <f t="shared" si="2"/>
        <v>#REF!</v>
      </c>
      <c r="F23" s="88" t="e">
        <f t="shared" si="2"/>
        <v>#REF!</v>
      </c>
      <c r="G23" s="88" t="e">
        <f t="shared" si="2"/>
        <v>#REF!</v>
      </c>
      <c r="H23" s="88" t="e">
        <f t="shared" si="2"/>
        <v>#REF!</v>
      </c>
      <c r="I23" s="88" t="e">
        <f t="shared" si="2"/>
        <v>#REF!</v>
      </c>
      <c r="J23" s="88" t="e">
        <f t="shared" si="2"/>
        <v>#REF!</v>
      </c>
      <c r="K23" s="88" t="e">
        <f t="shared" si="2"/>
        <v>#REF!</v>
      </c>
      <c r="L23" s="88" t="e">
        <f t="shared" si="2"/>
        <v>#REF!</v>
      </c>
      <c r="M23" s="88" t="e">
        <f t="shared" si="2"/>
        <v>#REF!</v>
      </c>
      <c r="N23" s="88" t="e">
        <f t="shared" si="2"/>
        <v>#REF!</v>
      </c>
      <c r="O23" s="88" t="e">
        <f t="shared" si="2"/>
        <v>#REF!</v>
      </c>
      <c r="P23" s="88" t="e">
        <f t="shared" si="2"/>
        <v>#REF!</v>
      </c>
      <c r="Q23" s="88" t="e">
        <f t="shared" si="2"/>
        <v>#REF!</v>
      </c>
      <c r="R23" s="88" t="e">
        <f t="shared" si="2"/>
        <v>#REF!</v>
      </c>
      <c r="S23" s="88" t="e">
        <f t="shared" si="2"/>
        <v>#REF!</v>
      </c>
      <c r="T23" s="88" t="e">
        <f t="shared" si="2"/>
        <v>#REF!</v>
      </c>
      <c r="U23" s="88" t="e">
        <f t="shared" si="2"/>
        <v>#REF!</v>
      </c>
      <c r="V23" s="88" t="e">
        <f t="shared" si="2"/>
        <v>#REF!</v>
      </c>
      <c r="W23" s="88" t="e">
        <f t="shared" si="2"/>
        <v>#REF!</v>
      </c>
      <c r="X23" s="88" t="e">
        <f t="shared" si="2"/>
        <v>#REF!</v>
      </c>
      <c r="Y23" s="88" t="e">
        <f t="shared" si="2"/>
        <v>#REF!</v>
      </c>
      <c r="Z23" s="88" t="e">
        <f t="shared" si="2"/>
        <v>#REF!</v>
      </c>
      <c r="AA23" s="88" t="e">
        <f t="shared" si="2"/>
        <v>#REF!</v>
      </c>
      <c r="AB23" s="88" t="e">
        <f t="shared" si="2"/>
        <v>#REF!</v>
      </c>
      <c r="AC23" s="88" t="e">
        <f t="shared" si="2"/>
        <v>#REF!</v>
      </c>
      <c r="AD23" s="88" t="e">
        <f t="shared" si="2"/>
        <v>#REF!</v>
      </c>
      <c r="AE23" s="88" t="e">
        <f t="shared" si="2"/>
        <v>#REF!</v>
      </c>
      <c r="AF23" s="88" t="e">
        <f t="shared" si="2"/>
        <v>#REF!</v>
      </c>
      <c r="AG23" s="88" t="e">
        <f t="shared" si="2"/>
        <v>#REF!</v>
      </c>
      <c r="AH23" s="88" t="e">
        <f t="shared" si="2"/>
        <v>#REF!</v>
      </c>
      <c r="AI23" s="88" t="e">
        <f t="shared" si="2"/>
        <v>#REF!</v>
      </c>
      <c r="AJ23" s="88" t="e">
        <f t="shared" si="2"/>
        <v>#REF!</v>
      </c>
      <c r="AK23" s="88" t="e">
        <f t="shared" si="2"/>
        <v>#REF!</v>
      </c>
      <c r="AL23" s="88" t="e">
        <f t="shared" si="2"/>
        <v>#REF!</v>
      </c>
      <c r="AM23" s="88" t="e">
        <f t="shared" si="2"/>
        <v>#REF!</v>
      </c>
      <c r="AN23" s="88" t="e">
        <f t="shared" si="2"/>
        <v>#REF!</v>
      </c>
      <c r="AO23" s="88" t="e">
        <f t="shared" si="2"/>
        <v>#REF!</v>
      </c>
      <c r="AP23" s="88" t="e">
        <f t="shared" si="2"/>
        <v>#REF!</v>
      </c>
      <c r="AQ23" s="88" t="e">
        <f t="shared" si="2"/>
        <v>#REF!</v>
      </c>
    </row>
    <row r="24" spans="1:43">
      <c r="C24" s="84"/>
      <c r="D24" s="84"/>
      <c r="E24" s="84"/>
      <c r="F24" s="84"/>
      <c r="G24" s="84"/>
      <c r="H24" s="84"/>
      <c r="I24" s="84"/>
      <c r="J24" s="84"/>
      <c r="K24" s="84"/>
      <c r="L24" s="84"/>
      <c r="M24" s="84"/>
      <c r="N24" s="84"/>
      <c r="O24" s="84"/>
      <c r="P24" s="84"/>
      <c r="Q24" s="84"/>
      <c r="R24" s="84"/>
      <c r="S24" s="84"/>
      <c r="T24" s="84"/>
      <c r="U24" s="84"/>
      <c r="V24" s="84"/>
      <c r="W24" s="84"/>
      <c r="X24" s="84"/>
      <c r="Y24" s="84"/>
      <c r="Z24" s="84"/>
      <c r="AA24" s="84"/>
      <c r="AB24" s="84"/>
      <c r="AC24" s="84"/>
      <c r="AD24" s="84"/>
      <c r="AE24" s="84"/>
      <c r="AF24" s="84"/>
      <c r="AG24" s="84"/>
      <c r="AH24" s="84"/>
      <c r="AI24" s="84"/>
      <c r="AJ24" s="84"/>
      <c r="AK24" s="84"/>
      <c r="AL24" s="84"/>
      <c r="AM24" s="84"/>
      <c r="AN24" s="84"/>
      <c r="AO24" s="84"/>
      <c r="AP24" s="84"/>
      <c r="AQ24" s="84"/>
    </row>
    <row r="25" spans="1:43">
      <c r="A25" s="64" t="s">
        <v>813</v>
      </c>
      <c r="C25" s="84" t="e">
        <f t="shared" ref="C25:AQ25" si="3">SUM(C19,C23)</f>
        <v>#REF!</v>
      </c>
      <c r="D25" s="84" t="e">
        <f t="shared" si="3"/>
        <v>#REF!</v>
      </c>
      <c r="E25" s="84" t="e">
        <f t="shared" si="3"/>
        <v>#REF!</v>
      </c>
      <c r="F25" s="84" t="e">
        <f t="shared" si="3"/>
        <v>#REF!</v>
      </c>
      <c r="G25" s="84" t="e">
        <f t="shared" si="3"/>
        <v>#REF!</v>
      </c>
      <c r="H25" s="84" t="e">
        <f t="shared" si="3"/>
        <v>#REF!</v>
      </c>
      <c r="I25" s="84" t="e">
        <f t="shared" si="3"/>
        <v>#REF!</v>
      </c>
      <c r="J25" s="84" t="e">
        <f t="shared" si="3"/>
        <v>#REF!</v>
      </c>
      <c r="K25" s="84" t="e">
        <f t="shared" si="3"/>
        <v>#REF!</v>
      </c>
      <c r="L25" s="84" t="e">
        <f t="shared" si="3"/>
        <v>#REF!</v>
      </c>
      <c r="M25" s="84" t="e">
        <f t="shared" si="3"/>
        <v>#REF!</v>
      </c>
      <c r="N25" s="84" t="e">
        <f t="shared" si="3"/>
        <v>#REF!</v>
      </c>
      <c r="O25" s="84" t="e">
        <f t="shared" si="3"/>
        <v>#REF!</v>
      </c>
      <c r="P25" s="84" t="e">
        <f t="shared" si="3"/>
        <v>#REF!</v>
      </c>
      <c r="Q25" s="84" t="e">
        <f t="shared" si="3"/>
        <v>#REF!</v>
      </c>
      <c r="R25" s="84" t="e">
        <f t="shared" si="3"/>
        <v>#REF!</v>
      </c>
      <c r="S25" s="84" t="e">
        <f t="shared" si="3"/>
        <v>#REF!</v>
      </c>
      <c r="T25" s="84" t="e">
        <f t="shared" si="3"/>
        <v>#REF!</v>
      </c>
      <c r="U25" s="84" t="e">
        <f t="shared" si="3"/>
        <v>#REF!</v>
      </c>
      <c r="V25" s="84" t="e">
        <f t="shared" si="3"/>
        <v>#REF!</v>
      </c>
      <c r="W25" s="84" t="e">
        <f t="shared" si="3"/>
        <v>#REF!</v>
      </c>
      <c r="X25" s="84" t="e">
        <f t="shared" si="3"/>
        <v>#REF!</v>
      </c>
      <c r="Y25" s="84" t="e">
        <f t="shared" si="3"/>
        <v>#REF!</v>
      </c>
      <c r="Z25" s="84" t="e">
        <f t="shared" si="3"/>
        <v>#REF!</v>
      </c>
      <c r="AA25" s="84" t="e">
        <f t="shared" si="3"/>
        <v>#REF!</v>
      </c>
      <c r="AB25" s="84" t="e">
        <f t="shared" si="3"/>
        <v>#REF!</v>
      </c>
      <c r="AC25" s="84" t="e">
        <f t="shared" si="3"/>
        <v>#REF!</v>
      </c>
      <c r="AD25" s="84" t="e">
        <f t="shared" si="3"/>
        <v>#REF!</v>
      </c>
      <c r="AE25" s="84" t="e">
        <f t="shared" si="3"/>
        <v>#REF!</v>
      </c>
      <c r="AF25" s="84" t="e">
        <f t="shared" si="3"/>
        <v>#REF!</v>
      </c>
      <c r="AG25" s="84" t="e">
        <f t="shared" si="3"/>
        <v>#REF!</v>
      </c>
      <c r="AH25" s="84" t="e">
        <f t="shared" si="3"/>
        <v>#REF!</v>
      </c>
      <c r="AI25" s="84" t="e">
        <f t="shared" si="3"/>
        <v>#REF!</v>
      </c>
      <c r="AJ25" s="84" t="e">
        <f t="shared" si="3"/>
        <v>#REF!</v>
      </c>
      <c r="AK25" s="84" t="e">
        <f t="shared" si="3"/>
        <v>#REF!</v>
      </c>
      <c r="AL25" s="84" t="e">
        <f t="shared" si="3"/>
        <v>#REF!</v>
      </c>
      <c r="AM25" s="84" t="e">
        <f t="shared" si="3"/>
        <v>#REF!</v>
      </c>
      <c r="AN25" s="84" t="e">
        <f t="shared" si="3"/>
        <v>#REF!</v>
      </c>
      <c r="AO25" s="84" t="e">
        <f t="shared" si="3"/>
        <v>#REF!</v>
      </c>
      <c r="AP25" s="84" t="e">
        <f t="shared" si="3"/>
        <v>#REF!</v>
      </c>
      <c r="AQ25" s="84" t="e">
        <f t="shared" si="3"/>
        <v>#REF!</v>
      </c>
    </row>
    <row r="26" spans="1:43">
      <c r="C26" s="84"/>
      <c r="D26" s="84"/>
      <c r="E26" s="84"/>
      <c r="F26" s="84"/>
      <c r="G26" s="84"/>
      <c r="H26" s="84"/>
      <c r="I26" s="84"/>
      <c r="J26" s="84"/>
      <c r="K26" s="84"/>
      <c r="L26" s="84"/>
      <c r="M26" s="84"/>
      <c r="N26" s="84"/>
      <c r="O26" s="84"/>
      <c r="P26" s="84"/>
      <c r="Q26" s="84"/>
      <c r="R26" s="84"/>
      <c r="S26" s="84"/>
      <c r="T26" s="84"/>
      <c r="U26" s="84"/>
      <c r="V26" s="84"/>
      <c r="W26" s="84"/>
      <c r="X26" s="84"/>
      <c r="Y26" s="84"/>
      <c r="Z26" s="84"/>
      <c r="AA26" s="84"/>
      <c r="AB26" s="84"/>
      <c r="AC26" s="84"/>
      <c r="AD26" s="84"/>
      <c r="AE26" s="84"/>
      <c r="AF26" s="84"/>
      <c r="AG26" s="84"/>
      <c r="AH26" s="84"/>
      <c r="AI26" s="84"/>
      <c r="AJ26" s="84"/>
      <c r="AK26" s="84"/>
      <c r="AL26" s="84"/>
      <c r="AM26" s="84"/>
      <c r="AN26" s="84"/>
      <c r="AO26" s="84"/>
      <c r="AP26" s="84"/>
      <c r="AQ26" s="84"/>
    </row>
    <row r="27" spans="1:43" ht="13">
      <c r="A27" s="999" t="s">
        <v>814</v>
      </c>
      <c r="B27" s="1000"/>
      <c r="C27" s="1000"/>
      <c r="D27" s="1000"/>
      <c r="E27" s="1000"/>
      <c r="F27" s="93" t="e">
        <f>#REF!</f>
        <v>#REF!</v>
      </c>
      <c r="G27" s="84"/>
      <c r="H27" s="94" t="e">
        <f>-1*(H32/F28)</f>
        <v>#REF!</v>
      </c>
      <c r="I27" s="94" t="s">
        <v>276</v>
      </c>
      <c r="J27" s="84"/>
      <c r="K27" s="84"/>
      <c r="L27" s="84"/>
      <c r="M27" s="84"/>
      <c r="N27" s="84"/>
      <c r="O27" s="84"/>
      <c r="P27" s="84"/>
      <c r="Q27" s="84"/>
      <c r="R27" s="84"/>
      <c r="S27" s="84"/>
      <c r="T27" s="84"/>
      <c r="U27" s="84"/>
      <c r="V27" s="84"/>
      <c r="W27" s="84"/>
      <c r="X27" s="84"/>
      <c r="Y27" s="84"/>
      <c r="Z27" s="84"/>
      <c r="AA27" s="84"/>
      <c r="AB27" s="84"/>
      <c r="AC27" s="84"/>
      <c r="AD27" s="84"/>
      <c r="AE27" s="84"/>
      <c r="AF27" s="84"/>
      <c r="AG27" s="84"/>
      <c r="AH27" s="84"/>
      <c r="AI27" s="84"/>
      <c r="AJ27" s="84"/>
      <c r="AK27" s="84"/>
      <c r="AL27" s="84"/>
      <c r="AM27" s="84"/>
      <c r="AN27" s="84"/>
      <c r="AO27" s="84"/>
      <c r="AP27" s="84"/>
      <c r="AQ27" s="84"/>
    </row>
    <row r="28" spans="1:43" ht="13">
      <c r="A28" s="999" t="s">
        <v>815</v>
      </c>
      <c r="B28" s="1000"/>
      <c r="C28" s="1000"/>
      <c r="D28" s="1000"/>
      <c r="E28" s="1000"/>
      <c r="F28" s="95" t="e">
        <f>#REF!*1000</f>
        <v>#REF!</v>
      </c>
      <c r="G28" s="84" t="s">
        <v>275</v>
      </c>
      <c r="H28" s="84"/>
      <c r="I28" s="84"/>
      <c r="J28" s="84" t="s">
        <v>816</v>
      </c>
      <c r="K28" s="84" t="s">
        <v>817</v>
      </c>
      <c r="L28" s="84" t="s">
        <v>818</v>
      </c>
      <c r="M28" s="84" t="s">
        <v>819</v>
      </c>
      <c r="N28" s="84" t="s">
        <v>820</v>
      </c>
      <c r="O28" s="84" t="s">
        <v>821</v>
      </c>
      <c r="P28" s="84" t="s">
        <v>822</v>
      </c>
      <c r="Q28" s="84" t="s">
        <v>823</v>
      </c>
      <c r="R28" s="84" t="s">
        <v>824</v>
      </c>
      <c r="S28" s="84" t="s">
        <v>825</v>
      </c>
      <c r="T28" s="84"/>
      <c r="U28" s="84"/>
      <c r="V28" s="84"/>
      <c r="W28" s="84"/>
      <c r="X28" s="84"/>
      <c r="Y28" s="84"/>
      <c r="Z28" s="84"/>
      <c r="AA28" s="84"/>
      <c r="AB28" s="84"/>
      <c r="AC28" s="84"/>
      <c r="AD28" s="84"/>
      <c r="AE28" s="84"/>
      <c r="AF28" s="84"/>
      <c r="AG28" s="84"/>
      <c r="AH28" s="84"/>
      <c r="AI28" s="84"/>
      <c r="AJ28" s="84"/>
      <c r="AK28" s="84"/>
      <c r="AL28" s="84"/>
      <c r="AM28" s="84"/>
      <c r="AN28" s="84"/>
      <c r="AO28" s="84"/>
      <c r="AP28" s="84"/>
      <c r="AQ28" s="84"/>
    </row>
    <row r="29" spans="1:43" ht="13">
      <c r="A29" s="994"/>
      <c r="B29" s="995"/>
      <c r="C29" s="995"/>
      <c r="D29" s="995"/>
      <c r="E29" s="995"/>
      <c r="F29" s="96"/>
      <c r="G29" s="84"/>
      <c r="H29" s="84"/>
      <c r="I29" s="84" t="s">
        <v>276</v>
      </c>
      <c r="J29" s="97">
        <v>0.2</v>
      </c>
      <c r="K29" s="97">
        <f>J29*(1+K30)</f>
        <v>0.21000000000000002</v>
      </c>
      <c r="L29" s="97">
        <f>K29*(1+L30)</f>
        <v>0.22050000000000003</v>
      </c>
      <c r="M29" s="97">
        <f t="shared" ref="M29:S29" si="4">L29*(1+M30)</f>
        <v>0.23152500000000004</v>
      </c>
      <c r="N29" s="97">
        <f t="shared" si="4"/>
        <v>0.24310125000000005</v>
      </c>
      <c r="O29" s="97">
        <f t="shared" si="4"/>
        <v>0.25525631250000008</v>
      </c>
      <c r="P29" s="97">
        <f t="shared" si="4"/>
        <v>0.26801912812500012</v>
      </c>
      <c r="Q29" s="97">
        <f t="shared" si="4"/>
        <v>0.28142008453125011</v>
      </c>
      <c r="R29" s="97">
        <f t="shared" si="4"/>
        <v>0.29549108875781266</v>
      </c>
      <c r="S29" s="97">
        <f t="shared" si="4"/>
        <v>0.31026564319570332</v>
      </c>
      <c r="T29" s="84"/>
      <c r="U29" s="84"/>
      <c r="V29" s="84"/>
      <c r="W29" s="84"/>
      <c r="X29" s="84"/>
      <c r="Y29" s="84"/>
      <c r="Z29" s="84"/>
      <c r="AA29" s="84"/>
      <c r="AB29" s="84"/>
      <c r="AC29" s="84"/>
      <c r="AD29" s="84"/>
      <c r="AE29" s="84"/>
      <c r="AF29" s="84"/>
      <c r="AG29" s="84"/>
      <c r="AH29" s="84"/>
      <c r="AI29" s="84"/>
      <c r="AJ29" s="84"/>
      <c r="AK29" s="84"/>
      <c r="AL29" s="84"/>
      <c r="AM29" s="84"/>
      <c r="AN29" s="84"/>
      <c r="AO29" s="84"/>
      <c r="AP29" s="84"/>
      <c r="AQ29" s="84"/>
    </row>
    <row r="30" spans="1:43" ht="13">
      <c r="A30" s="994"/>
      <c r="B30" s="995"/>
      <c r="C30" s="995"/>
      <c r="D30" s="995"/>
      <c r="E30" s="995"/>
      <c r="F30" s="96"/>
      <c r="G30" s="84"/>
      <c r="I30" s="64" t="s">
        <v>826</v>
      </c>
      <c r="K30" s="98">
        <v>0.05</v>
      </c>
      <c r="L30" s="99">
        <v>0.05</v>
      </c>
      <c r="M30" s="99">
        <v>0.05</v>
      </c>
      <c r="N30" s="99">
        <v>0.05</v>
      </c>
      <c r="O30" s="99">
        <v>0.05</v>
      </c>
      <c r="P30" s="99">
        <v>0.05</v>
      </c>
      <c r="Q30" s="99">
        <v>0.05</v>
      </c>
      <c r="R30" s="99">
        <v>0.05</v>
      </c>
      <c r="S30" s="99">
        <v>0.05</v>
      </c>
    </row>
    <row r="31" spans="1:43" ht="13">
      <c r="A31" s="994"/>
      <c r="B31" s="995"/>
      <c r="C31" s="995"/>
      <c r="D31" s="995"/>
      <c r="E31" s="995"/>
      <c r="F31" s="96"/>
      <c r="G31" s="84"/>
      <c r="K31" s="98"/>
      <c r="L31" s="98"/>
      <c r="M31" s="98"/>
      <c r="N31" s="98"/>
      <c r="O31" s="98"/>
      <c r="P31" s="98"/>
      <c r="Q31" s="98"/>
      <c r="R31" s="98"/>
      <c r="S31" s="98"/>
    </row>
    <row r="32" spans="1:43" ht="13">
      <c r="A32" s="996"/>
      <c r="B32" s="997"/>
      <c r="C32" s="997"/>
      <c r="D32" s="997"/>
      <c r="E32" s="997"/>
      <c r="F32" s="100"/>
      <c r="G32" s="101"/>
      <c r="H32" s="84"/>
      <c r="I32" s="102"/>
      <c r="J32" s="102"/>
      <c r="K32" s="102"/>
      <c r="L32" s="102"/>
      <c r="M32" s="102"/>
      <c r="N32" s="102"/>
    </row>
    <row r="34" spans="1:1" ht="13">
      <c r="A34" s="103" t="s">
        <v>827</v>
      </c>
    </row>
    <row r="35" spans="1:1" ht="13">
      <c r="A35" s="103" t="s">
        <v>828</v>
      </c>
    </row>
    <row r="36" spans="1:1">
      <c r="A36" s="104" t="s">
        <v>829</v>
      </c>
    </row>
    <row r="37" spans="1:1">
      <c r="A37" s="104" t="s">
        <v>830</v>
      </c>
    </row>
    <row r="39" spans="1:1" ht="13">
      <c r="A39" s="103" t="s">
        <v>804</v>
      </c>
    </row>
    <row r="40" spans="1:1">
      <c r="A40" s="104" t="s">
        <v>831</v>
      </c>
    </row>
    <row r="41" spans="1:1">
      <c r="A41" s="104" t="s">
        <v>832</v>
      </c>
    </row>
    <row r="43" spans="1:1" ht="13">
      <c r="A43" s="103" t="s">
        <v>805</v>
      </c>
    </row>
    <row r="44" spans="1:1">
      <c r="A44" s="104" t="s">
        <v>833</v>
      </c>
    </row>
    <row r="45" spans="1:1">
      <c r="A45" s="104" t="s">
        <v>832</v>
      </c>
    </row>
    <row r="48" spans="1:1" ht="13">
      <c r="A48" s="103" t="s">
        <v>808</v>
      </c>
    </row>
    <row r="49" spans="1:1">
      <c r="A49" s="104" t="s">
        <v>834</v>
      </c>
    </row>
    <row r="50" spans="1:1">
      <c r="A50" s="104" t="s">
        <v>835</v>
      </c>
    </row>
    <row r="53" spans="1:1" ht="13">
      <c r="A53" s="103" t="s">
        <v>809</v>
      </c>
    </row>
    <row r="54" spans="1:1">
      <c r="A54" s="104" t="s">
        <v>836</v>
      </c>
    </row>
    <row r="55" spans="1:1">
      <c r="A55" s="104" t="s">
        <v>837</v>
      </c>
    </row>
    <row r="96" spans="2:7">
      <c r="B96" s="84" t="s">
        <v>816</v>
      </c>
      <c r="C96" s="84" t="s">
        <v>817</v>
      </c>
      <c r="D96" s="84" t="s">
        <v>818</v>
      </c>
      <c r="E96" s="84" t="s">
        <v>819</v>
      </c>
      <c r="F96" s="84" t="s">
        <v>820</v>
      </c>
      <c r="G96" s="84" t="s">
        <v>821</v>
      </c>
    </row>
    <row r="97" spans="1:11">
      <c r="A97" s="64" t="s">
        <v>118</v>
      </c>
      <c r="B97" s="64">
        <v>0.125</v>
      </c>
      <c r="C97" s="64">
        <f>B97*1.11</f>
        <v>0.13875000000000001</v>
      </c>
      <c r="D97" s="64">
        <f>B97*1.16</f>
        <v>0.14499999999999999</v>
      </c>
      <c r="H97" s="84" t="s">
        <v>822</v>
      </c>
      <c r="I97" s="84" t="s">
        <v>823</v>
      </c>
      <c r="J97" s="84" t="s">
        <v>824</v>
      </c>
      <c r="K97" s="84" t="s">
        <v>825</v>
      </c>
    </row>
    <row r="98" spans="1:11">
      <c r="A98" s="64" t="s">
        <v>150</v>
      </c>
      <c r="B98" s="64">
        <v>0.125</v>
      </c>
      <c r="C98" s="64">
        <f>B98*1.1</f>
        <v>0.13750000000000001</v>
      </c>
      <c r="D98" s="64">
        <f>B98*1.19</f>
        <v>0.14874999999999999</v>
      </c>
    </row>
    <row r="99" spans="1:11">
      <c r="A99" s="64" t="s">
        <v>129</v>
      </c>
      <c r="B99" s="64">
        <v>0.125</v>
      </c>
      <c r="C99" s="64">
        <f>B99*1.07</f>
        <v>0.13375000000000001</v>
      </c>
      <c r="D99" s="64">
        <f>B99*1.11</f>
        <v>0.13875000000000001</v>
      </c>
    </row>
    <row r="100" spans="1:11">
      <c r="A100" s="64" t="s">
        <v>460</v>
      </c>
      <c r="B100" s="64">
        <v>0.125</v>
      </c>
      <c r="C100" s="64">
        <f>B100*1</f>
        <v>0.125</v>
      </c>
      <c r="D100" s="64">
        <f>B100*1.04</f>
        <v>0.13</v>
      </c>
    </row>
    <row r="101" spans="1:11">
      <c r="A101" s="64" t="s">
        <v>142</v>
      </c>
      <c r="B101" s="64">
        <v>0.125</v>
      </c>
      <c r="C101" s="64">
        <f>B101*1.12</f>
        <v>0.14000000000000001</v>
      </c>
      <c r="D101" s="64">
        <f>B101*1.16</f>
        <v>0.14499999999999999</v>
      </c>
    </row>
  </sheetData>
  <customSheetViews>
    <customSheetView guid="{0FAFE012-8D9E-4ED0-86A4-A997E430971B}" scale="85" state="hidden">
      <selection activeCell="AC56" sqref="AC56"/>
      <pageMargins left="0.75" right="0.75" top="1" bottom="1" header="0.5" footer="0.5"/>
      <pageSetup paperSize="9" orientation="portrait" r:id="rId1"/>
      <headerFooter alignWithMargins="0"/>
    </customSheetView>
  </customSheetViews>
  <mergeCells count="16">
    <mergeCell ref="A29:E29"/>
    <mergeCell ref="A30:E30"/>
    <mergeCell ref="A31:E31"/>
    <mergeCell ref="A32:E32"/>
    <mergeCell ref="AB7:AE7"/>
    <mergeCell ref="AF7:AI7"/>
    <mergeCell ref="AJ7:AM7"/>
    <mergeCell ref="AN7:AQ7"/>
    <mergeCell ref="A27:E27"/>
    <mergeCell ref="A28:E28"/>
    <mergeCell ref="D7:G7"/>
    <mergeCell ref="H7:K7"/>
    <mergeCell ref="L7:O7"/>
    <mergeCell ref="P7:S7"/>
    <mergeCell ref="T7:W7"/>
    <mergeCell ref="X7:AA7"/>
  </mergeCells>
  <dataValidations count="1">
    <dataValidation type="list" allowBlank="1" showInputMessage="1" showErrorMessage="1" sqref="F29:F33 JB29:JB33 SX29:SX33 ACT29:ACT33 AMP29:AMP33 AWL29:AWL33 BGH29:BGH33 BQD29:BQD33 BZZ29:BZZ33 CJV29:CJV33 CTR29:CTR33 DDN29:DDN33 DNJ29:DNJ33 DXF29:DXF33 EHB29:EHB33 EQX29:EQX33 FAT29:FAT33 FKP29:FKP33 FUL29:FUL33 GEH29:GEH33 GOD29:GOD33 GXZ29:GXZ33 HHV29:HHV33 HRR29:HRR33 IBN29:IBN33 ILJ29:ILJ33 IVF29:IVF33 JFB29:JFB33 JOX29:JOX33 JYT29:JYT33 KIP29:KIP33 KSL29:KSL33 LCH29:LCH33 LMD29:LMD33 LVZ29:LVZ33 MFV29:MFV33 MPR29:MPR33 MZN29:MZN33 NJJ29:NJJ33 NTF29:NTF33 ODB29:ODB33 OMX29:OMX33 OWT29:OWT33 PGP29:PGP33 PQL29:PQL33 QAH29:QAH33 QKD29:QKD33 QTZ29:QTZ33 RDV29:RDV33 RNR29:RNR33 RXN29:RXN33 SHJ29:SHJ33 SRF29:SRF33 TBB29:TBB33 TKX29:TKX33 TUT29:TUT33 UEP29:UEP33 UOL29:UOL33 UYH29:UYH33 VID29:VID33 VRZ29:VRZ33 WBV29:WBV33 WLR29:WLR33 WVN29:WVN33 F65565:F65569 JB65565:JB65569 SX65565:SX65569 ACT65565:ACT65569 AMP65565:AMP65569 AWL65565:AWL65569 BGH65565:BGH65569 BQD65565:BQD65569 BZZ65565:BZZ65569 CJV65565:CJV65569 CTR65565:CTR65569 DDN65565:DDN65569 DNJ65565:DNJ65569 DXF65565:DXF65569 EHB65565:EHB65569 EQX65565:EQX65569 FAT65565:FAT65569 FKP65565:FKP65569 FUL65565:FUL65569 GEH65565:GEH65569 GOD65565:GOD65569 GXZ65565:GXZ65569 HHV65565:HHV65569 HRR65565:HRR65569 IBN65565:IBN65569 ILJ65565:ILJ65569 IVF65565:IVF65569 JFB65565:JFB65569 JOX65565:JOX65569 JYT65565:JYT65569 KIP65565:KIP65569 KSL65565:KSL65569 LCH65565:LCH65569 LMD65565:LMD65569 LVZ65565:LVZ65569 MFV65565:MFV65569 MPR65565:MPR65569 MZN65565:MZN65569 NJJ65565:NJJ65569 NTF65565:NTF65569 ODB65565:ODB65569 OMX65565:OMX65569 OWT65565:OWT65569 PGP65565:PGP65569 PQL65565:PQL65569 QAH65565:QAH65569 QKD65565:QKD65569 QTZ65565:QTZ65569 RDV65565:RDV65569 RNR65565:RNR65569 RXN65565:RXN65569 SHJ65565:SHJ65569 SRF65565:SRF65569 TBB65565:TBB65569 TKX65565:TKX65569 TUT65565:TUT65569 UEP65565:UEP65569 UOL65565:UOL65569 UYH65565:UYH65569 VID65565:VID65569 VRZ65565:VRZ65569 WBV65565:WBV65569 WLR65565:WLR65569 WVN65565:WVN65569 F131101:F131105 JB131101:JB131105 SX131101:SX131105 ACT131101:ACT131105 AMP131101:AMP131105 AWL131101:AWL131105 BGH131101:BGH131105 BQD131101:BQD131105 BZZ131101:BZZ131105 CJV131101:CJV131105 CTR131101:CTR131105 DDN131101:DDN131105 DNJ131101:DNJ131105 DXF131101:DXF131105 EHB131101:EHB131105 EQX131101:EQX131105 FAT131101:FAT131105 FKP131101:FKP131105 FUL131101:FUL131105 GEH131101:GEH131105 GOD131101:GOD131105 GXZ131101:GXZ131105 HHV131101:HHV131105 HRR131101:HRR131105 IBN131101:IBN131105 ILJ131101:ILJ131105 IVF131101:IVF131105 JFB131101:JFB131105 JOX131101:JOX131105 JYT131101:JYT131105 KIP131101:KIP131105 KSL131101:KSL131105 LCH131101:LCH131105 LMD131101:LMD131105 LVZ131101:LVZ131105 MFV131101:MFV131105 MPR131101:MPR131105 MZN131101:MZN131105 NJJ131101:NJJ131105 NTF131101:NTF131105 ODB131101:ODB131105 OMX131101:OMX131105 OWT131101:OWT131105 PGP131101:PGP131105 PQL131101:PQL131105 QAH131101:QAH131105 QKD131101:QKD131105 QTZ131101:QTZ131105 RDV131101:RDV131105 RNR131101:RNR131105 RXN131101:RXN131105 SHJ131101:SHJ131105 SRF131101:SRF131105 TBB131101:TBB131105 TKX131101:TKX131105 TUT131101:TUT131105 UEP131101:UEP131105 UOL131101:UOL131105 UYH131101:UYH131105 VID131101:VID131105 VRZ131101:VRZ131105 WBV131101:WBV131105 WLR131101:WLR131105 WVN131101:WVN131105 F196637:F196641 JB196637:JB196641 SX196637:SX196641 ACT196637:ACT196641 AMP196637:AMP196641 AWL196637:AWL196641 BGH196637:BGH196641 BQD196637:BQD196641 BZZ196637:BZZ196641 CJV196637:CJV196641 CTR196637:CTR196641 DDN196637:DDN196641 DNJ196637:DNJ196641 DXF196637:DXF196641 EHB196637:EHB196641 EQX196637:EQX196641 FAT196637:FAT196641 FKP196637:FKP196641 FUL196637:FUL196641 GEH196637:GEH196641 GOD196637:GOD196641 GXZ196637:GXZ196641 HHV196637:HHV196641 HRR196637:HRR196641 IBN196637:IBN196641 ILJ196637:ILJ196641 IVF196637:IVF196641 JFB196637:JFB196641 JOX196637:JOX196641 JYT196637:JYT196641 KIP196637:KIP196641 KSL196637:KSL196641 LCH196637:LCH196641 LMD196637:LMD196641 LVZ196637:LVZ196641 MFV196637:MFV196641 MPR196637:MPR196641 MZN196637:MZN196641 NJJ196637:NJJ196641 NTF196637:NTF196641 ODB196637:ODB196641 OMX196637:OMX196641 OWT196637:OWT196641 PGP196637:PGP196641 PQL196637:PQL196641 QAH196637:QAH196641 QKD196637:QKD196641 QTZ196637:QTZ196641 RDV196637:RDV196641 RNR196637:RNR196641 RXN196637:RXN196641 SHJ196637:SHJ196641 SRF196637:SRF196641 TBB196637:TBB196641 TKX196637:TKX196641 TUT196637:TUT196641 UEP196637:UEP196641 UOL196637:UOL196641 UYH196637:UYH196641 VID196637:VID196641 VRZ196637:VRZ196641 WBV196637:WBV196641 WLR196637:WLR196641 WVN196637:WVN196641 F262173:F262177 JB262173:JB262177 SX262173:SX262177 ACT262173:ACT262177 AMP262173:AMP262177 AWL262173:AWL262177 BGH262173:BGH262177 BQD262173:BQD262177 BZZ262173:BZZ262177 CJV262173:CJV262177 CTR262173:CTR262177 DDN262173:DDN262177 DNJ262173:DNJ262177 DXF262173:DXF262177 EHB262173:EHB262177 EQX262173:EQX262177 FAT262173:FAT262177 FKP262173:FKP262177 FUL262173:FUL262177 GEH262173:GEH262177 GOD262173:GOD262177 GXZ262173:GXZ262177 HHV262173:HHV262177 HRR262173:HRR262177 IBN262173:IBN262177 ILJ262173:ILJ262177 IVF262173:IVF262177 JFB262173:JFB262177 JOX262173:JOX262177 JYT262173:JYT262177 KIP262173:KIP262177 KSL262173:KSL262177 LCH262173:LCH262177 LMD262173:LMD262177 LVZ262173:LVZ262177 MFV262173:MFV262177 MPR262173:MPR262177 MZN262173:MZN262177 NJJ262173:NJJ262177 NTF262173:NTF262177 ODB262173:ODB262177 OMX262173:OMX262177 OWT262173:OWT262177 PGP262173:PGP262177 PQL262173:PQL262177 QAH262173:QAH262177 QKD262173:QKD262177 QTZ262173:QTZ262177 RDV262173:RDV262177 RNR262173:RNR262177 RXN262173:RXN262177 SHJ262173:SHJ262177 SRF262173:SRF262177 TBB262173:TBB262177 TKX262173:TKX262177 TUT262173:TUT262177 UEP262173:UEP262177 UOL262173:UOL262177 UYH262173:UYH262177 VID262173:VID262177 VRZ262173:VRZ262177 WBV262173:WBV262177 WLR262173:WLR262177 WVN262173:WVN262177 F327709:F327713 JB327709:JB327713 SX327709:SX327713 ACT327709:ACT327713 AMP327709:AMP327713 AWL327709:AWL327713 BGH327709:BGH327713 BQD327709:BQD327713 BZZ327709:BZZ327713 CJV327709:CJV327713 CTR327709:CTR327713 DDN327709:DDN327713 DNJ327709:DNJ327713 DXF327709:DXF327713 EHB327709:EHB327713 EQX327709:EQX327713 FAT327709:FAT327713 FKP327709:FKP327713 FUL327709:FUL327713 GEH327709:GEH327713 GOD327709:GOD327713 GXZ327709:GXZ327713 HHV327709:HHV327713 HRR327709:HRR327713 IBN327709:IBN327713 ILJ327709:ILJ327713 IVF327709:IVF327713 JFB327709:JFB327713 JOX327709:JOX327713 JYT327709:JYT327713 KIP327709:KIP327713 KSL327709:KSL327713 LCH327709:LCH327713 LMD327709:LMD327713 LVZ327709:LVZ327713 MFV327709:MFV327713 MPR327709:MPR327713 MZN327709:MZN327713 NJJ327709:NJJ327713 NTF327709:NTF327713 ODB327709:ODB327713 OMX327709:OMX327713 OWT327709:OWT327713 PGP327709:PGP327713 PQL327709:PQL327713 QAH327709:QAH327713 QKD327709:QKD327713 QTZ327709:QTZ327713 RDV327709:RDV327713 RNR327709:RNR327713 RXN327709:RXN327713 SHJ327709:SHJ327713 SRF327709:SRF327713 TBB327709:TBB327713 TKX327709:TKX327713 TUT327709:TUT327713 UEP327709:UEP327713 UOL327709:UOL327713 UYH327709:UYH327713 VID327709:VID327713 VRZ327709:VRZ327713 WBV327709:WBV327713 WLR327709:WLR327713 WVN327709:WVN327713 F393245:F393249 JB393245:JB393249 SX393245:SX393249 ACT393245:ACT393249 AMP393245:AMP393249 AWL393245:AWL393249 BGH393245:BGH393249 BQD393245:BQD393249 BZZ393245:BZZ393249 CJV393245:CJV393249 CTR393245:CTR393249 DDN393245:DDN393249 DNJ393245:DNJ393249 DXF393245:DXF393249 EHB393245:EHB393249 EQX393245:EQX393249 FAT393245:FAT393249 FKP393245:FKP393249 FUL393245:FUL393249 GEH393245:GEH393249 GOD393245:GOD393249 GXZ393245:GXZ393249 HHV393245:HHV393249 HRR393245:HRR393249 IBN393245:IBN393249 ILJ393245:ILJ393249 IVF393245:IVF393249 JFB393245:JFB393249 JOX393245:JOX393249 JYT393245:JYT393249 KIP393245:KIP393249 KSL393245:KSL393249 LCH393245:LCH393249 LMD393245:LMD393249 LVZ393245:LVZ393249 MFV393245:MFV393249 MPR393245:MPR393249 MZN393245:MZN393249 NJJ393245:NJJ393249 NTF393245:NTF393249 ODB393245:ODB393249 OMX393245:OMX393249 OWT393245:OWT393249 PGP393245:PGP393249 PQL393245:PQL393249 QAH393245:QAH393249 QKD393245:QKD393249 QTZ393245:QTZ393249 RDV393245:RDV393249 RNR393245:RNR393249 RXN393245:RXN393249 SHJ393245:SHJ393249 SRF393245:SRF393249 TBB393245:TBB393249 TKX393245:TKX393249 TUT393245:TUT393249 UEP393245:UEP393249 UOL393245:UOL393249 UYH393245:UYH393249 VID393245:VID393249 VRZ393245:VRZ393249 WBV393245:WBV393249 WLR393245:WLR393249 WVN393245:WVN393249 F458781:F458785 JB458781:JB458785 SX458781:SX458785 ACT458781:ACT458785 AMP458781:AMP458785 AWL458781:AWL458785 BGH458781:BGH458785 BQD458781:BQD458785 BZZ458781:BZZ458785 CJV458781:CJV458785 CTR458781:CTR458785 DDN458781:DDN458785 DNJ458781:DNJ458785 DXF458781:DXF458785 EHB458781:EHB458785 EQX458781:EQX458785 FAT458781:FAT458785 FKP458781:FKP458785 FUL458781:FUL458785 GEH458781:GEH458785 GOD458781:GOD458785 GXZ458781:GXZ458785 HHV458781:HHV458785 HRR458781:HRR458785 IBN458781:IBN458785 ILJ458781:ILJ458785 IVF458781:IVF458785 JFB458781:JFB458785 JOX458781:JOX458785 JYT458781:JYT458785 KIP458781:KIP458785 KSL458781:KSL458785 LCH458781:LCH458785 LMD458781:LMD458785 LVZ458781:LVZ458785 MFV458781:MFV458785 MPR458781:MPR458785 MZN458781:MZN458785 NJJ458781:NJJ458785 NTF458781:NTF458785 ODB458781:ODB458785 OMX458781:OMX458785 OWT458781:OWT458785 PGP458781:PGP458785 PQL458781:PQL458785 QAH458781:QAH458785 QKD458781:QKD458785 QTZ458781:QTZ458785 RDV458781:RDV458785 RNR458781:RNR458785 RXN458781:RXN458785 SHJ458781:SHJ458785 SRF458781:SRF458785 TBB458781:TBB458785 TKX458781:TKX458785 TUT458781:TUT458785 UEP458781:UEP458785 UOL458781:UOL458785 UYH458781:UYH458785 VID458781:VID458785 VRZ458781:VRZ458785 WBV458781:WBV458785 WLR458781:WLR458785 WVN458781:WVN458785 F524317:F524321 JB524317:JB524321 SX524317:SX524321 ACT524317:ACT524321 AMP524317:AMP524321 AWL524317:AWL524321 BGH524317:BGH524321 BQD524317:BQD524321 BZZ524317:BZZ524321 CJV524317:CJV524321 CTR524317:CTR524321 DDN524317:DDN524321 DNJ524317:DNJ524321 DXF524317:DXF524321 EHB524317:EHB524321 EQX524317:EQX524321 FAT524317:FAT524321 FKP524317:FKP524321 FUL524317:FUL524321 GEH524317:GEH524321 GOD524317:GOD524321 GXZ524317:GXZ524321 HHV524317:HHV524321 HRR524317:HRR524321 IBN524317:IBN524321 ILJ524317:ILJ524321 IVF524317:IVF524321 JFB524317:JFB524321 JOX524317:JOX524321 JYT524317:JYT524321 KIP524317:KIP524321 KSL524317:KSL524321 LCH524317:LCH524321 LMD524317:LMD524321 LVZ524317:LVZ524321 MFV524317:MFV524321 MPR524317:MPR524321 MZN524317:MZN524321 NJJ524317:NJJ524321 NTF524317:NTF524321 ODB524317:ODB524321 OMX524317:OMX524321 OWT524317:OWT524321 PGP524317:PGP524321 PQL524317:PQL524321 QAH524317:QAH524321 QKD524317:QKD524321 QTZ524317:QTZ524321 RDV524317:RDV524321 RNR524317:RNR524321 RXN524317:RXN524321 SHJ524317:SHJ524321 SRF524317:SRF524321 TBB524317:TBB524321 TKX524317:TKX524321 TUT524317:TUT524321 UEP524317:UEP524321 UOL524317:UOL524321 UYH524317:UYH524321 VID524317:VID524321 VRZ524317:VRZ524321 WBV524317:WBV524321 WLR524317:WLR524321 WVN524317:WVN524321 F589853:F589857 JB589853:JB589857 SX589853:SX589857 ACT589853:ACT589857 AMP589853:AMP589857 AWL589853:AWL589857 BGH589853:BGH589857 BQD589853:BQD589857 BZZ589853:BZZ589857 CJV589853:CJV589857 CTR589853:CTR589857 DDN589853:DDN589857 DNJ589853:DNJ589857 DXF589853:DXF589857 EHB589853:EHB589857 EQX589853:EQX589857 FAT589853:FAT589857 FKP589853:FKP589857 FUL589853:FUL589857 GEH589853:GEH589857 GOD589853:GOD589857 GXZ589853:GXZ589857 HHV589853:HHV589857 HRR589853:HRR589857 IBN589853:IBN589857 ILJ589853:ILJ589857 IVF589853:IVF589857 JFB589853:JFB589857 JOX589853:JOX589857 JYT589853:JYT589857 KIP589853:KIP589857 KSL589853:KSL589857 LCH589853:LCH589857 LMD589853:LMD589857 LVZ589853:LVZ589857 MFV589853:MFV589857 MPR589853:MPR589857 MZN589853:MZN589857 NJJ589853:NJJ589857 NTF589853:NTF589857 ODB589853:ODB589857 OMX589853:OMX589857 OWT589853:OWT589857 PGP589853:PGP589857 PQL589853:PQL589857 QAH589853:QAH589857 QKD589853:QKD589857 QTZ589853:QTZ589857 RDV589853:RDV589857 RNR589853:RNR589857 RXN589853:RXN589857 SHJ589853:SHJ589857 SRF589853:SRF589857 TBB589853:TBB589857 TKX589853:TKX589857 TUT589853:TUT589857 UEP589853:UEP589857 UOL589853:UOL589857 UYH589853:UYH589857 VID589853:VID589857 VRZ589853:VRZ589857 WBV589853:WBV589857 WLR589853:WLR589857 WVN589853:WVN589857 F655389:F655393 JB655389:JB655393 SX655389:SX655393 ACT655389:ACT655393 AMP655389:AMP655393 AWL655389:AWL655393 BGH655389:BGH655393 BQD655389:BQD655393 BZZ655389:BZZ655393 CJV655389:CJV655393 CTR655389:CTR655393 DDN655389:DDN655393 DNJ655389:DNJ655393 DXF655389:DXF655393 EHB655389:EHB655393 EQX655389:EQX655393 FAT655389:FAT655393 FKP655389:FKP655393 FUL655389:FUL655393 GEH655389:GEH655393 GOD655389:GOD655393 GXZ655389:GXZ655393 HHV655389:HHV655393 HRR655389:HRR655393 IBN655389:IBN655393 ILJ655389:ILJ655393 IVF655389:IVF655393 JFB655389:JFB655393 JOX655389:JOX655393 JYT655389:JYT655393 KIP655389:KIP655393 KSL655389:KSL655393 LCH655389:LCH655393 LMD655389:LMD655393 LVZ655389:LVZ655393 MFV655389:MFV655393 MPR655389:MPR655393 MZN655389:MZN655393 NJJ655389:NJJ655393 NTF655389:NTF655393 ODB655389:ODB655393 OMX655389:OMX655393 OWT655389:OWT655393 PGP655389:PGP655393 PQL655389:PQL655393 QAH655389:QAH655393 QKD655389:QKD655393 QTZ655389:QTZ655393 RDV655389:RDV655393 RNR655389:RNR655393 RXN655389:RXN655393 SHJ655389:SHJ655393 SRF655389:SRF655393 TBB655389:TBB655393 TKX655389:TKX655393 TUT655389:TUT655393 UEP655389:UEP655393 UOL655389:UOL655393 UYH655389:UYH655393 VID655389:VID655393 VRZ655389:VRZ655393 WBV655389:WBV655393 WLR655389:WLR655393 WVN655389:WVN655393 F720925:F720929 JB720925:JB720929 SX720925:SX720929 ACT720925:ACT720929 AMP720925:AMP720929 AWL720925:AWL720929 BGH720925:BGH720929 BQD720925:BQD720929 BZZ720925:BZZ720929 CJV720925:CJV720929 CTR720925:CTR720929 DDN720925:DDN720929 DNJ720925:DNJ720929 DXF720925:DXF720929 EHB720925:EHB720929 EQX720925:EQX720929 FAT720925:FAT720929 FKP720925:FKP720929 FUL720925:FUL720929 GEH720925:GEH720929 GOD720925:GOD720929 GXZ720925:GXZ720929 HHV720925:HHV720929 HRR720925:HRR720929 IBN720925:IBN720929 ILJ720925:ILJ720929 IVF720925:IVF720929 JFB720925:JFB720929 JOX720925:JOX720929 JYT720925:JYT720929 KIP720925:KIP720929 KSL720925:KSL720929 LCH720925:LCH720929 LMD720925:LMD720929 LVZ720925:LVZ720929 MFV720925:MFV720929 MPR720925:MPR720929 MZN720925:MZN720929 NJJ720925:NJJ720929 NTF720925:NTF720929 ODB720925:ODB720929 OMX720925:OMX720929 OWT720925:OWT720929 PGP720925:PGP720929 PQL720925:PQL720929 QAH720925:QAH720929 QKD720925:QKD720929 QTZ720925:QTZ720929 RDV720925:RDV720929 RNR720925:RNR720929 RXN720925:RXN720929 SHJ720925:SHJ720929 SRF720925:SRF720929 TBB720925:TBB720929 TKX720925:TKX720929 TUT720925:TUT720929 UEP720925:UEP720929 UOL720925:UOL720929 UYH720925:UYH720929 VID720925:VID720929 VRZ720925:VRZ720929 WBV720925:WBV720929 WLR720925:WLR720929 WVN720925:WVN720929 F786461:F786465 JB786461:JB786465 SX786461:SX786465 ACT786461:ACT786465 AMP786461:AMP786465 AWL786461:AWL786465 BGH786461:BGH786465 BQD786461:BQD786465 BZZ786461:BZZ786465 CJV786461:CJV786465 CTR786461:CTR786465 DDN786461:DDN786465 DNJ786461:DNJ786465 DXF786461:DXF786465 EHB786461:EHB786465 EQX786461:EQX786465 FAT786461:FAT786465 FKP786461:FKP786465 FUL786461:FUL786465 GEH786461:GEH786465 GOD786461:GOD786465 GXZ786461:GXZ786465 HHV786461:HHV786465 HRR786461:HRR786465 IBN786461:IBN786465 ILJ786461:ILJ786465 IVF786461:IVF786465 JFB786461:JFB786465 JOX786461:JOX786465 JYT786461:JYT786465 KIP786461:KIP786465 KSL786461:KSL786465 LCH786461:LCH786465 LMD786461:LMD786465 LVZ786461:LVZ786465 MFV786461:MFV786465 MPR786461:MPR786465 MZN786461:MZN786465 NJJ786461:NJJ786465 NTF786461:NTF786465 ODB786461:ODB786465 OMX786461:OMX786465 OWT786461:OWT786465 PGP786461:PGP786465 PQL786461:PQL786465 QAH786461:QAH786465 QKD786461:QKD786465 QTZ786461:QTZ786465 RDV786461:RDV786465 RNR786461:RNR786465 RXN786461:RXN786465 SHJ786461:SHJ786465 SRF786461:SRF786465 TBB786461:TBB786465 TKX786461:TKX786465 TUT786461:TUT786465 UEP786461:UEP786465 UOL786461:UOL786465 UYH786461:UYH786465 VID786461:VID786465 VRZ786461:VRZ786465 WBV786461:WBV786465 WLR786461:WLR786465 WVN786461:WVN786465 F851997:F852001 JB851997:JB852001 SX851997:SX852001 ACT851997:ACT852001 AMP851997:AMP852001 AWL851997:AWL852001 BGH851997:BGH852001 BQD851997:BQD852001 BZZ851997:BZZ852001 CJV851997:CJV852001 CTR851997:CTR852001 DDN851997:DDN852001 DNJ851997:DNJ852001 DXF851997:DXF852001 EHB851997:EHB852001 EQX851997:EQX852001 FAT851997:FAT852001 FKP851997:FKP852001 FUL851997:FUL852001 GEH851997:GEH852001 GOD851997:GOD852001 GXZ851997:GXZ852001 HHV851997:HHV852001 HRR851997:HRR852001 IBN851997:IBN852001 ILJ851997:ILJ852001 IVF851997:IVF852001 JFB851997:JFB852001 JOX851997:JOX852001 JYT851997:JYT852001 KIP851997:KIP852001 KSL851997:KSL852001 LCH851997:LCH852001 LMD851997:LMD852001 LVZ851997:LVZ852001 MFV851997:MFV852001 MPR851997:MPR852001 MZN851997:MZN852001 NJJ851997:NJJ852001 NTF851997:NTF852001 ODB851997:ODB852001 OMX851997:OMX852001 OWT851997:OWT852001 PGP851997:PGP852001 PQL851997:PQL852001 QAH851997:QAH852001 QKD851997:QKD852001 QTZ851997:QTZ852001 RDV851997:RDV852001 RNR851997:RNR852001 RXN851997:RXN852001 SHJ851997:SHJ852001 SRF851997:SRF852001 TBB851997:TBB852001 TKX851997:TKX852001 TUT851997:TUT852001 UEP851997:UEP852001 UOL851997:UOL852001 UYH851997:UYH852001 VID851997:VID852001 VRZ851997:VRZ852001 WBV851997:WBV852001 WLR851997:WLR852001 WVN851997:WVN852001 F917533:F917537 JB917533:JB917537 SX917533:SX917537 ACT917533:ACT917537 AMP917533:AMP917537 AWL917533:AWL917537 BGH917533:BGH917537 BQD917533:BQD917537 BZZ917533:BZZ917537 CJV917533:CJV917537 CTR917533:CTR917537 DDN917533:DDN917537 DNJ917533:DNJ917537 DXF917533:DXF917537 EHB917533:EHB917537 EQX917533:EQX917537 FAT917533:FAT917537 FKP917533:FKP917537 FUL917533:FUL917537 GEH917533:GEH917537 GOD917533:GOD917537 GXZ917533:GXZ917537 HHV917533:HHV917537 HRR917533:HRR917537 IBN917533:IBN917537 ILJ917533:ILJ917537 IVF917533:IVF917537 JFB917533:JFB917537 JOX917533:JOX917537 JYT917533:JYT917537 KIP917533:KIP917537 KSL917533:KSL917537 LCH917533:LCH917537 LMD917533:LMD917537 LVZ917533:LVZ917537 MFV917533:MFV917537 MPR917533:MPR917537 MZN917533:MZN917537 NJJ917533:NJJ917537 NTF917533:NTF917537 ODB917533:ODB917537 OMX917533:OMX917537 OWT917533:OWT917537 PGP917533:PGP917537 PQL917533:PQL917537 QAH917533:QAH917537 QKD917533:QKD917537 QTZ917533:QTZ917537 RDV917533:RDV917537 RNR917533:RNR917537 RXN917533:RXN917537 SHJ917533:SHJ917537 SRF917533:SRF917537 TBB917533:TBB917537 TKX917533:TKX917537 TUT917533:TUT917537 UEP917533:UEP917537 UOL917533:UOL917537 UYH917533:UYH917537 VID917533:VID917537 VRZ917533:VRZ917537 WBV917533:WBV917537 WLR917533:WLR917537 WVN917533:WVN917537 F983069:F983073 JB983069:JB983073 SX983069:SX983073 ACT983069:ACT983073 AMP983069:AMP983073 AWL983069:AWL983073 BGH983069:BGH983073 BQD983069:BQD983073 BZZ983069:BZZ983073 CJV983069:CJV983073 CTR983069:CTR983073 DDN983069:DDN983073 DNJ983069:DNJ983073 DXF983069:DXF983073 EHB983069:EHB983073 EQX983069:EQX983073 FAT983069:FAT983073 FKP983069:FKP983073 FUL983069:FUL983073 GEH983069:GEH983073 GOD983069:GOD983073 GXZ983069:GXZ983073 HHV983069:HHV983073 HRR983069:HRR983073 IBN983069:IBN983073 ILJ983069:ILJ983073 IVF983069:IVF983073 JFB983069:JFB983073 JOX983069:JOX983073 JYT983069:JYT983073 KIP983069:KIP983073 KSL983069:KSL983073 LCH983069:LCH983073 LMD983069:LMD983073 LVZ983069:LVZ983073 MFV983069:MFV983073 MPR983069:MPR983073 MZN983069:MZN983073 NJJ983069:NJJ983073 NTF983069:NTF983073 ODB983069:ODB983073 OMX983069:OMX983073 OWT983069:OWT983073 PGP983069:PGP983073 PQL983069:PQL983073 QAH983069:QAH983073 QKD983069:QKD983073 QTZ983069:QTZ983073 RDV983069:RDV983073 RNR983069:RNR983073 RXN983069:RXN983073 SHJ983069:SHJ983073 SRF983069:SRF983073 TBB983069:TBB983073 TKX983069:TKX983073 TUT983069:TUT983073 UEP983069:UEP983073 UOL983069:UOL983073 UYH983069:UYH983073 VID983069:VID983073 VRZ983069:VRZ983073 WBV983069:WBV983073 WLR983069:WLR983073 WVN983069:WVN983073" xr:uid="{393418A2-D444-4C25-92C1-1315EE716CDD}">
      <formula1>"Y,N"</formula1>
    </dataValidation>
  </dataValidations>
  <pageMargins left="0.75" right="0.75" top="1" bottom="1" header="0.5" footer="0.5"/>
  <pageSetup paperSize="9" orientation="portrait" r:id="rId2"/>
  <headerFooter alignWithMargins="0"/>
  <legacyDrawing r:id="rId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84CDD-7C94-4EFC-B409-55198481E4CE}">
  <sheetPr codeName="Sheet68">
    <tabColor indexed="53"/>
  </sheetPr>
  <dimension ref="A4:M64"/>
  <sheetViews>
    <sheetView view="pageBreakPreview" zoomScale="130" zoomScaleNormal="100" zoomScaleSheetLayoutView="130" workbookViewId="0">
      <selection activeCell="AC56" sqref="AC56"/>
    </sheetView>
  </sheetViews>
  <sheetFormatPr defaultRowHeight="12.5"/>
  <cols>
    <col min="1" max="1" width="22.81640625" style="106" customWidth="1"/>
    <col min="2" max="2" width="11.81640625" style="106" customWidth="1"/>
    <col min="3" max="3" width="10.81640625" style="106" customWidth="1"/>
    <col min="4" max="4" width="10.453125" style="106" customWidth="1"/>
    <col min="5" max="8" width="9.453125" style="106" customWidth="1"/>
    <col min="9" max="9" width="10.7265625" style="106" customWidth="1"/>
    <col min="10" max="13" width="9.453125" style="106" customWidth="1"/>
    <col min="14" max="256" width="9.1796875" style="106"/>
    <col min="257" max="257" width="22.81640625" style="106" customWidth="1"/>
    <col min="258" max="260" width="11.81640625" style="106" customWidth="1"/>
    <col min="261" max="261" width="11.1796875" style="106" customWidth="1"/>
    <col min="262" max="262" width="9.1796875" style="106"/>
    <col min="263" max="263" width="12.81640625" style="106" customWidth="1"/>
    <col min="264" max="264" width="9.7265625" style="106" customWidth="1"/>
    <col min="265" max="266" width="9.1796875" style="106"/>
    <col min="267" max="267" width="9.81640625" style="106" customWidth="1"/>
    <col min="268" max="268" width="9.1796875" style="106"/>
    <col min="269" max="269" width="8.453125" style="106" customWidth="1"/>
    <col min="270" max="512" width="9.1796875" style="106"/>
    <col min="513" max="513" width="22.81640625" style="106" customWidth="1"/>
    <col min="514" max="516" width="11.81640625" style="106" customWidth="1"/>
    <col min="517" max="517" width="11.1796875" style="106" customWidth="1"/>
    <col min="518" max="518" width="9.1796875" style="106"/>
    <col min="519" max="519" width="12.81640625" style="106" customWidth="1"/>
    <col min="520" max="520" width="9.7265625" style="106" customWidth="1"/>
    <col min="521" max="522" width="9.1796875" style="106"/>
    <col min="523" max="523" width="9.81640625" style="106" customWidth="1"/>
    <col min="524" max="524" width="9.1796875" style="106"/>
    <col min="525" max="525" width="8.453125" style="106" customWidth="1"/>
    <col min="526" max="768" width="9.1796875" style="106"/>
    <col min="769" max="769" width="22.81640625" style="106" customWidth="1"/>
    <col min="770" max="772" width="11.81640625" style="106" customWidth="1"/>
    <col min="773" max="773" width="11.1796875" style="106" customWidth="1"/>
    <col min="774" max="774" width="9.1796875" style="106"/>
    <col min="775" max="775" width="12.81640625" style="106" customWidth="1"/>
    <col min="776" max="776" width="9.7265625" style="106" customWidth="1"/>
    <col min="777" max="778" width="9.1796875" style="106"/>
    <col min="779" max="779" width="9.81640625" style="106" customWidth="1"/>
    <col min="780" max="780" width="9.1796875" style="106"/>
    <col min="781" max="781" width="8.453125" style="106" customWidth="1"/>
    <col min="782" max="1024" width="9.1796875" style="106"/>
    <col min="1025" max="1025" width="22.81640625" style="106" customWidth="1"/>
    <col min="1026" max="1028" width="11.81640625" style="106" customWidth="1"/>
    <col min="1029" max="1029" width="11.1796875" style="106" customWidth="1"/>
    <col min="1030" max="1030" width="9.1796875" style="106"/>
    <col min="1031" max="1031" width="12.81640625" style="106" customWidth="1"/>
    <col min="1032" max="1032" width="9.7265625" style="106" customWidth="1"/>
    <col min="1033" max="1034" width="9.1796875" style="106"/>
    <col min="1035" max="1035" width="9.81640625" style="106" customWidth="1"/>
    <col min="1036" max="1036" width="9.1796875" style="106"/>
    <col min="1037" max="1037" width="8.453125" style="106" customWidth="1"/>
    <col min="1038" max="1280" width="9.1796875" style="106"/>
    <col min="1281" max="1281" width="22.81640625" style="106" customWidth="1"/>
    <col min="1282" max="1284" width="11.81640625" style="106" customWidth="1"/>
    <col min="1285" max="1285" width="11.1796875" style="106" customWidth="1"/>
    <col min="1286" max="1286" width="9.1796875" style="106"/>
    <col min="1287" max="1287" width="12.81640625" style="106" customWidth="1"/>
    <col min="1288" max="1288" width="9.7265625" style="106" customWidth="1"/>
    <col min="1289" max="1290" width="9.1796875" style="106"/>
    <col min="1291" max="1291" width="9.81640625" style="106" customWidth="1"/>
    <col min="1292" max="1292" width="9.1796875" style="106"/>
    <col min="1293" max="1293" width="8.453125" style="106" customWidth="1"/>
    <col min="1294" max="1536" width="9.1796875" style="106"/>
    <col min="1537" max="1537" width="22.81640625" style="106" customWidth="1"/>
    <col min="1538" max="1540" width="11.81640625" style="106" customWidth="1"/>
    <col min="1541" max="1541" width="11.1796875" style="106" customWidth="1"/>
    <col min="1542" max="1542" width="9.1796875" style="106"/>
    <col min="1543" max="1543" width="12.81640625" style="106" customWidth="1"/>
    <col min="1544" max="1544" width="9.7265625" style="106" customWidth="1"/>
    <col min="1545" max="1546" width="9.1796875" style="106"/>
    <col min="1547" max="1547" width="9.81640625" style="106" customWidth="1"/>
    <col min="1548" max="1548" width="9.1796875" style="106"/>
    <col min="1549" max="1549" width="8.453125" style="106" customWidth="1"/>
    <col min="1550" max="1792" width="9.1796875" style="106"/>
    <col min="1793" max="1793" width="22.81640625" style="106" customWidth="1"/>
    <col min="1794" max="1796" width="11.81640625" style="106" customWidth="1"/>
    <col min="1797" max="1797" width="11.1796875" style="106" customWidth="1"/>
    <col min="1798" max="1798" width="9.1796875" style="106"/>
    <col min="1799" max="1799" width="12.81640625" style="106" customWidth="1"/>
    <col min="1800" max="1800" width="9.7265625" style="106" customWidth="1"/>
    <col min="1801" max="1802" width="9.1796875" style="106"/>
    <col min="1803" max="1803" width="9.81640625" style="106" customWidth="1"/>
    <col min="1804" max="1804" width="9.1796875" style="106"/>
    <col min="1805" max="1805" width="8.453125" style="106" customWidth="1"/>
    <col min="1806" max="2048" width="9.1796875" style="106"/>
    <col min="2049" max="2049" width="22.81640625" style="106" customWidth="1"/>
    <col min="2050" max="2052" width="11.81640625" style="106" customWidth="1"/>
    <col min="2053" max="2053" width="11.1796875" style="106" customWidth="1"/>
    <col min="2054" max="2054" width="9.1796875" style="106"/>
    <col min="2055" max="2055" width="12.81640625" style="106" customWidth="1"/>
    <col min="2056" max="2056" width="9.7265625" style="106" customWidth="1"/>
    <col min="2057" max="2058" width="9.1796875" style="106"/>
    <col min="2059" max="2059" width="9.81640625" style="106" customWidth="1"/>
    <col min="2060" max="2060" width="9.1796875" style="106"/>
    <col min="2061" max="2061" width="8.453125" style="106" customWidth="1"/>
    <col min="2062" max="2304" width="9.1796875" style="106"/>
    <col min="2305" max="2305" width="22.81640625" style="106" customWidth="1"/>
    <col min="2306" max="2308" width="11.81640625" style="106" customWidth="1"/>
    <col min="2309" max="2309" width="11.1796875" style="106" customWidth="1"/>
    <col min="2310" max="2310" width="9.1796875" style="106"/>
    <col min="2311" max="2311" width="12.81640625" style="106" customWidth="1"/>
    <col min="2312" max="2312" width="9.7265625" style="106" customWidth="1"/>
    <col min="2313" max="2314" width="9.1796875" style="106"/>
    <col min="2315" max="2315" width="9.81640625" style="106" customWidth="1"/>
    <col min="2316" max="2316" width="9.1796875" style="106"/>
    <col min="2317" max="2317" width="8.453125" style="106" customWidth="1"/>
    <col min="2318" max="2560" width="9.1796875" style="106"/>
    <col min="2561" max="2561" width="22.81640625" style="106" customWidth="1"/>
    <col min="2562" max="2564" width="11.81640625" style="106" customWidth="1"/>
    <col min="2565" max="2565" width="11.1796875" style="106" customWidth="1"/>
    <col min="2566" max="2566" width="9.1796875" style="106"/>
    <col min="2567" max="2567" width="12.81640625" style="106" customWidth="1"/>
    <col min="2568" max="2568" width="9.7265625" style="106" customWidth="1"/>
    <col min="2569" max="2570" width="9.1796875" style="106"/>
    <col min="2571" max="2571" width="9.81640625" style="106" customWidth="1"/>
    <col min="2572" max="2572" width="9.1796875" style="106"/>
    <col min="2573" max="2573" width="8.453125" style="106" customWidth="1"/>
    <col min="2574" max="2816" width="9.1796875" style="106"/>
    <col min="2817" max="2817" width="22.81640625" style="106" customWidth="1"/>
    <col min="2818" max="2820" width="11.81640625" style="106" customWidth="1"/>
    <col min="2821" max="2821" width="11.1796875" style="106" customWidth="1"/>
    <col min="2822" max="2822" width="9.1796875" style="106"/>
    <col min="2823" max="2823" width="12.81640625" style="106" customWidth="1"/>
    <col min="2824" max="2824" width="9.7265625" style="106" customWidth="1"/>
    <col min="2825" max="2826" width="9.1796875" style="106"/>
    <col min="2827" max="2827" width="9.81640625" style="106" customWidth="1"/>
    <col min="2828" max="2828" width="9.1796875" style="106"/>
    <col min="2829" max="2829" width="8.453125" style="106" customWidth="1"/>
    <col min="2830" max="3072" width="9.1796875" style="106"/>
    <col min="3073" max="3073" width="22.81640625" style="106" customWidth="1"/>
    <col min="3074" max="3076" width="11.81640625" style="106" customWidth="1"/>
    <col min="3077" max="3077" width="11.1796875" style="106" customWidth="1"/>
    <col min="3078" max="3078" width="9.1796875" style="106"/>
    <col min="3079" max="3079" width="12.81640625" style="106" customWidth="1"/>
    <col min="3080" max="3080" width="9.7265625" style="106" customWidth="1"/>
    <col min="3081" max="3082" width="9.1796875" style="106"/>
    <col min="3083" max="3083" width="9.81640625" style="106" customWidth="1"/>
    <col min="3084" max="3084" width="9.1796875" style="106"/>
    <col min="3085" max="3085" width="8.453125" style="106" customWidth="1"/>
    <col min="3086" max="3328" width="9.1796875" style="106"/>
    <col min="3329" max="3329" width="22.81640625" style="106" customWidth="1"/>
    <col min="3330" max="3332" width="11.81640625" style="106" customWidth="1"/>
    <col min="3333" max="3333" width="11.1796875" style="106" customWidth="1"/>
    <col min="3334" max="3334" width="9.1796875" style="106"/>
    <col min="3335" max="3335" width="12.81640625" style="106" customWidth="1"/>
    <col min="3336" max="3336" width="9.7265625" style="106" customWidth="1"/>
    <col min="3337" max="3338" width="9.1796875" style="106"/>
    <col min="3339" max="3339" width="9.81640625" style="106" customWidth="1"/>
    <col min="3340" max="3340" width="9.1796875" style="106"/>
    <col min="3341" max="3341" width="8.453125" style="106" customWidth="1"/>
    <col min="3342" max="3584" width="9.1796875" style="106"/>
    <col min="3585" max="3585" width="22.81640625" style="106" customWidth="1"/>
    <col min="3586" max="3588" width="11.81640625" style="106" customWidth="1"/>
    <col min="3589" max="3589" width="11.1796875" style="106" customWidth="1"/>
    <col min="3590" max="3590" width="9.1796875" style="106"/>
    <col min="3591" max="3591" width="12.81640625" style="106" customWidth="1"/>
    <col min="3592" max="3592" width="9.7265625" style="106" customWidth="1"/>
    <col min="3593" max="3594" width="9.1796875" style="106"/>
    <col min="3595" max="3595" width="9.81640625" style="106" customWidth="1"/>
    <col min="3596" max="3596" width="9.1796875" style="106"/>
    <col min="3597" max="3597" width="8.453125" style="106" customWidth="1"/>
    <col min="3598" max="3840" width="9.1796875" style="106"/>
    <col min="3841" max="3841" width="22.81640625" style="106" customWidth="1"/>
    <col min="3842" max="3844" width="11.81640625" style="106" customWidth="1"/>
    <col min="3845" max="3845" width="11.1796875" style="106" customWidth="1"/>
    <col min="3846" max="3846" width="9.1796875" style="106"/>
    <col min="3847" max="3847" width="12.81640625" style="106" customWidth="1"/>
    <col min="3848" max="3848" width="9.7265625" style="106" customWidth="1"/>
    <col min="3849" max="3850" width="9.1796875" style="106"/>
    <col min="3851" max="3851" width="9.81640625" style="106" customWidth="1"/>
    <col min="3852" max="3852" width="9.1796875" style="106"/>
    <col min="3853" max="3853" width="8.453125" style="106" customWidth="1"/>
    <col min="3854" max="4096" width="9.1796875" style="106"/>
    <col min="4097" max="4097" width="22.81640625" style="106" customWidth="1"/>
    <col min="4098" max="4100" width="11.81640625" style="106" customWidth="1"/>
    <col min="4101" max="4101" width="11.1796875" style="106" customWidth="1"/>
    <col min="4102" max="4102" width="9.1796875" style="106"/>
    <col min="4103" max="4103" width="12.81640625" style="106" customWidth="1"/>
    <col min="4104" max="4104" width="9.7265625" style="106" customWidth="1"/>
    <col min="4105" max="4106" width="9.1796875" style="106"/>
    <col min="4107" max="4107" width="9.81640625" style="106" customWidth="1"/>
    <col min="4108" max="4108" width="9.1796875" style="106"/>
    <col min="4109" max="4109" width="8.453125" style="106" customWidth="1"/>
    <col min="4110" max="4352" width="9.1796875" style="106"/>
    <col min="4353" max="4353" width="22.81640625" style="106" customWidth="1"/>
    <col min="4354" max="4356" width="11.81640625" style="106" customWidth="1"/>
    <col min="4357" max="4357" width="11.1796875" style="106" customWidth="1"/>
    <col min="4358" max="4358" width="9.1796875" style="106"/>
    <col min="4359" max="4359" width="12.81640625" style="106" customWidth="1"/>
    <col min="4360" max="4360" width="9.7265625" style="106" customWidth="1"/>
    <col min="4361" max="4362" width="9.1796875" style="106"/>
    <col min="4363" max="4363" width="9.81640625" style="106" customWidth="1"/>
    <col min="4364" max="4364" width="9.1796875" style="106"/>
    <col min="4365" max="4365" width="8.453125" style="106" customWidth="1"/>
    <col min="4366" max="4608" width="9.1796875" style="106"/>
    <col min="4609" max="4609" width="22.81640625" style="106" customWidth="1"/>
    <col min="4610" max="4612" width="11.81640625" style="106" customWidth="1"/>
    <col min="4613" max="4613" width="11.1796875" style="106" customWidth="1"/>
    <col min="4614" max="4614" width="9.1796875" style="106"/>
    <col min="4615" max="4615" width="12.81640625" style="106" customWidth="1"/>
    <col min="4616" max="4616" width="9.7265625" style="106" customWidth="1"/>
    <col min="4617" max="4618" width="9.1796875" style="106"/>
    <col min="4619" max="4619" width="9.81640625" style="106" customWidth="1"/>
    <col min="4620" max="4620" width="9.1796875" style="106"/>
    <col min="4621" max="4621" width="8.453125" style="106" customWidth="1"/>
    <col min="4622" max="4864" width="9.1796875" style="106"/>
    <col min="4865" max="4865" width="22.81640625" style="106" customWidth="1"/>
    <col min="4866" max="4868" width="11.81640625" style="106" customWidth="1"/>
    <col min="4869" max="4869" width="11.1796875" style="106" customWidth="1"/>
    <col min="4870" max="4870" width="9.1796875" style="106"/>
    <col min="4871" max="4871" width="12.81640625" style="106" customWidth="1"/>
    <col min="4872" max="4872" width="9.7265625" style="106" customWidth="1"/>
    <col min="4873" max="4874" width="9.1796875" style="106"/>
    <col min="4875" max="4875" width="9.81640625" style="106" customWidth="1"/>
    <col min="4876" max="4876" width="9.1796875" style="106"/>
    <col min="4877" max="4877" width="8.453125" style="106" customWidth="1"/>
    <col min="4878" max="5120" width="9.1796875" style="106"/>
    <col min="5121" max="5121" width="22.81640625" style="106" customWidth="1"/>
    <col min="5122" max="5124" width="11.81640625" style="106" customWidth="1"/>
    <col min="5125" max="5125" width="11.1796875" style="106" customWidth="1"/>
    <col min="5126" max="5126" width="9.1796875" style="106"/>
    <col min="5127" max="5127" width="12.81640625" style="106" customWidth="1"/>
    <col min="5128" max="5128" width="9.7265625" style="106" customWidth="1"/>
    <col min="5129" max="5130" width="9.1796875" style="106"/>
    <col min="5131" max="5131" width="9.81640625" style="106" customWidth="1"/>
    <col min="5132" max="5132" width="9.1796875" style="106"/>
    <col min="5133" max="5133" width="8.453125" style="106" customWidth="1"/>
    <col min="5134" max="5376" width="9.1796875" style="106"/>
    <col min="5377" max="5377" width="22.81640625" style="106" customWidth="1"/>
    <col min="5378" max="5380" width="11.81640625" style="106" customWidth="1"/>
    <col min="5381" max="5381" width="11.1796875" style="106" customWidth="1"/>
    <col min="5382" max="5382" width="9.1796875" style="106"/>
    <col min="5383" max="5383" width="12.81640625" style="106" customWidth="1"/>
    <col min="5384" max="5384" width="9.7265625" style="106" customWidth="1"/>
    <col min="5385" max="5386" width="9.1796875" style="106"/>
    <col min="5387" max="5387" width="9.81640625" style="106" customWidth="1"/>
    <col min="5388" max="5388" width="9.1796875" style="106"/>
    <col min="5389" max="5389" width="8.453125" style="106" customWidth="1"/>
    <col min="5390" max="5632" width="9.1796875" style="106"/>
    <col min="5633" max="5633" width="22.81640625" style="106" customWidth="1"/>
    <col min="5634" max="5636" width="11.81640625" style="106" customWidth="1"/>
    <col min="5637" max="5637" width="11.1796875" style="106" customWidth="1"/>
    <col min="5638" max="5638" width="9.1796875" style="106"/>
    <col min="5639" max="5639" width="12.81640625" style="106" customWidth="1"/>
    <col min="5640" max="5640" width="9.7265625" style="106" customWidth="1"/>
    <col min="5641" max="5642" width="9.1796875" style="106"/>
    <col min="5643" max="5643" width="9.81640625" style="106" customWidth="1"/>
    <col min="5644" max="5644" width="9.1796875" style="106"/>
    <col min="5645" max="5645" width="8.453125" style="106" customWidth="1"/>
    <col min="5646" max="5888" width="9.1796875" style="106"/>
    <col min="5889" max="5889" width="22.81640625" style="106" customWidth="1"/>
    <col min="5890" max="5892" width="11.81640625" style="106" customWidth="1"/>
    <col min="5893" max="5893" width="11.1796875" style="106" customWidth="1"/>
    <col min="5894" max="5894" width="9.1796875" style="106"/>
    <col min="5895" max="5895" width="12.81640625" style="106" customWidth="1"/>
    <col min="5896" max="5896" width="9.7265625" style="106" customWidth="1"/>
    <col min="5897" max="5898" width="9.1796875" style="106"/>
    <col min="5899" max="5899" width="9.81640625" style="106" customWidth="1"/>
    <col min="5900" max="5900" width="9.1796875" style="106"/>
    <col min="5901" max="5901" width="8.453125" style="106" customWidth="1"/>
    <col min="5902" max="6144" width="9.1796875" style="106"/>
    <col min="6145" max="6145" width="22.81640625" style="106" customWidth="1"/>
    <col min="6146" max="6148" width="11.81640625" style="106" customWidth="1"/>
    <col min="6149" max="6149" width="11.1796875" style="106" customWidth="1"/>
    <col min="6150" max="6150" width="9.1796875" style="106"/>
    <col min="6151" max="6151" width="12.81640625" style="106" customWidth="1"/>
    <col min="6152" max="6152" width="9.7265625" style="106" customWidth="1"/>
    <col min="6153" max="6154" width="9.1796875" style="106"/>
    <col min="6155" max="6155" width="9.81640625" style="106" customWidth="1"/>
    <col min="6156" max="6156" width="9.1796875" style="106"/>
    <col min="6157" max="6157" width="8.453125" style="106" customWidth="1"/>
    <col min="6158" max="6400" width="9.1796875" style="106"/>
    <col min="6401" max="6401" width="22.81640625" style="106" customWidth="1"/>
    <col min="6402" max="6404" width="11.81640625" style="106" customWidth="1"/>
    <col min="6405" max="6405" width="11.1796875" style="106" customWidth="1"/>
    <col min="6406" max="6406" width="9.1796875" style="106"/>
    <col min="6407" max="6407" width="12.81640625" style="106" customWidth="1"/>
    <col min="6408" max="6408" width="9.7265625" style="106" customWidth="1"/>
    <col min="6409" max="6410" width="9.1796875" style="106"/>
    <col min="6411" max="6411" width="9.81640625" style="106" customWidth="1"/>
    <col min="6412" max="6412" width="9.1796875" style="106"/>
    <col min="6413" max="6413" width="8.453125" style="106" customWidth="1"/>
    <col min="6414" max="6656" width="9.1796875" style="106"/>
    <col min="6657" max="6657" width="22.81640625" style="106" customWidth="1"/>
    <col min="6658" max="6660" width="11.81640625" style="106" customWidth="1"/>
    <col min="6661" max="6661" width="11.1796875" style="106" customWidth="1"/>
    <col min="6662" max="6662" width="9.1796875" style="106"/>
    <col min="6663" max="6663" width="12.81640625" style="106" customWidth="1"/>
    <col min="6664" max="6664" width="9.7265625" style="106" customWidth="1"/>
    <col min="6665" max="6666" width="9.1796875" style="106"/>
    <col min="6667" max="6667" width="9.81640625" style="106" customWidth="1"/>
    <col min="6668" max="6668" width="9.1796875" style="106"/>
    <col min="6669" max="6669" width="8.453125" style="106" customWidth="1"/>
    <col min="6670" max="6912" width="9.1796875" style="106"/>
    <col min="6913" max="6913" width="22.81640625" style="106" customWidth="1"/>
    <col min="6914" max="6916" width="11.81640625" style="106" customWidth="1"/>
    <col min="6917" max="6917" width="11.1796875" style="106" customWidth="1"/>
    <col min="6918" max="6918" width="9.1796875" style="106"/>
    <col min="6919" max="6919" width="12.81640625" style="106" customWidth="1"/>
    <col min="6920" max="6920" width="9.7265625" style="106" customWidth="1"/>
    <col min="6921" max="6922" width="9.1796875" style="106"/>
    <col min="6923" max="6923" width="9.81640625" style="106" customWidth="1"/>
    <col min="6924" max="6924" width="9.1796875" style="106"/>
    <col min="6925" max="6925" width="8.453125" style="106" customWidth="1"/>
    <col min="6926" max="7168" width="9.1796875" style="106"/>
    <col min="7169" max="7169" width="22.81640625" style="106" customWidth="1"/>
    <col min="7170" max="7172" width="11.81640625" style="106" customWidth="1"/>
    <col min="7173" max="7173" width="11.1796875" style="106" customWidth="1"/>
    <col min="7174" max="7174" width="9.1796875" style="106"/>
    <col min="7175" max="7175" width="12.81640625" style="106" customWidth="1"/>
    <col min="7176" max="7176" width="9.7265625" style="106" customWidth="1"/>
    <col min="7177" max="7178" width="9.1796875" style="106"/>
    <col min="7179" max="7179" width="9.81640625" style="106" customWidth="1"/>
    <col min="7180" max="7180" width="9.1796875" style="106"/>
    <col min="7181" max="7181" width="8.453125" style="106" customWidth="1"/>
    <col min="7182" max="7424" width="9.1796875" style="106"/>
    <col min="7425" max="7425" width="22.81640625" style="106" customWidth="1"/>
    <col min="7426" max="7428" width="11.81640625" style="106" customWidth="1"/>
    <col min="7429" max="7429" width="11.1796875" style="106" customWidth="1"/>
    <col min="7430" max="7430" width="9.1796875" style="106"/>
    <col min="7431" max="7431" width="12.81640625" style="106" customWidth="1"/>
    <col min="7432" max="7432" width="9.7265625" style="106" customWidth="1"/>
    <col min="7433" max="7434" width="9.1796875" style="106"/>
    <col min="7435" max="7435" width="9.81640625" style="106" customWidth="1"/>
    <col min="7436" max="7436" width="9.1796875" style="106"/>
    <col min="7437" max="7437" width="8.453125" style="106" customWidth="1"/>
    <col min="7438" max="7680" width="9.1796875" style="106"/>
    <col min="7681" max="7681" width="22.81640625" style="106" customWidth="1"/>
    <col min="7682" max="7684" width="11.81640625" style="106" customWidth="1"/>
    <col min="7685" max="7685" width="11.1796875" style="106" customWidth="1"/>
    <col min="7686" max="7686" width="9.1796875" style="106"/>
    <col min="7687" max="7687" width="12.81640625" style="106" customWidth="1"/>
    <col min="7688" max="7688" width="9.7265625" style="106" customWidth="1"/>
    <col min="7689" max="7690" width="9.1796875" style="106"/>
    <col min="7691" max="7691" width="9.81640625" style="106" customWidth="1"/>
    <col min="7692" max="7692" width="9.1796875" style="106"/>
    <col min="7693" max="7693" width="8.453125" style="106" customWidth="1"/>
    <col min="7694" max="7936" width="9.1796875" style="106"/>
    <col min="7937" max="7937" width="22.81640625" style="106" customWidth="1"/>
    <col min="7938" max="7940" width="11.81640625" style="106" customWidth="1"/>
    <col min="7941" max="7941" width="11.1796875" style="106" customWidth="1"/>
    <col min="7942" max="7942" width="9.1796875" style="106"/>
    <col min="7943" max="7943" width="12.81640625" style="106" customWidth="1"/>
    <col min="7944" max="7944" width="9.7265625" style="106" customWidth="1"/>
    <col min="7945" max="7946" width="9.1796875" style="106"/>
    <col min="7947" max="7947" width="9.81640625" style="106" customWidth="1"/>
    <col min="7948" max="7948" width="9.1796875" style="106"/>
    <col min="7949" max="7949" width="8.453125" style="106" customWidth="1"/>
    <col min="7950" max="8192" width="9.1796875" style="106"/>
    <col min="8193" max="8193" width="22.81640625" style="106" customWidth="1"/>
    <col min="8194" max="8196" width="11.81640625" style="106" customWidth="1"/>
    <col min="8197" max="8197" width="11.1796875" style="106" customWidth="1"/>
    <col min="8198" max="8198" width="9.1796875" style="106"/>
    <col min="8199" max="8199" width="12.81640625" style="106" customWidth="1"/>
    <col min="8200" max="8200" width="9.7265625" style="106" customWidth="1"/>
    <col min="8201" max="8202" width="9.1796875" style="106"/>
    <col min="8203" max="8203" width="9.81640625" style="106" customWidth="1"/>
    <col min="8204" max="8204" width="9.1796875" style="106"/>
    <col min="8205" max="8205" width="8.453125" style="106" customWidth="1"/>
    <col min="8206" max="8448" width="9.1796875" style="106"/>
    <col min="8449" max="8449" width="22.81640625" style="106" customWidth="1"/>
    <col min="8450" max="8452" width="11.81640625" style="106" customWidth="1"/>
    <col min="8453" max="8453" width="11.1796875" style="106" customWidth="1"/>
    <col min="8454" max="8454" width="9.1796875" style="106"/>
    <col min="8455" max="8455" width="12.81640625" style="106" customWidth="1"/>
    <col min="8456" max="8456" width="9.7265625" style="106" customWidth="1"/>
    <col min="8457" max="8458" width="9.1796875" style="106"/>
    <col min="8459" max="8459" width="9.81640625" style="106" customWidth="1"/>
    <col min="8460" max="8460" width="9.1796875" style="106"/>
    <col min="8461" max="8461" width="8.453125" style="106" customWidth="1"/>
    <col min="8462" max="8704" width="9.1796875" style="106"/>
    <col min="8705" max="8705" width="22.81640625" style="106" customWidth="1"/>
    <col min="8706" max="8708" width="11.81640625" style="106" customWidth="1"/>
    <col min="8709" max="8709" width="11.1796875" style="106" customWidth="1"/>
    <col min="8710" max="8710" width="9.1796875" style="106"/>
    <col min="8711" max="8711" width="12.81640625" style="106" customWidth="1"/>
    <col min="8712" max="8712" width="9.7265625" style="106" customWidth="1"/>
    <col min="8713" max="8714" width="9.1796875" style="106"/>
    <col min="8715" max="8715" width="9.81640625" style="106" customWidth="1"/>
    <col min="8716" max="8716" width="9.1796875" style="106"/>
    <col min="8717" max="8717" width="8.453125" style="106" customWidth="1"/>
    <col min="8718" max="8960" width="9.1796875" style="106"/>
    <col min="8961" max="8961" width="22.81640625" style="106" customWidth="1"/>
    <col min="8962" max="8964" width="11.81640625" style="106" customWidth="1"/>
    <col min="8965" max="8965" width="11.1796875" style="106" customWidth="1"/>
    <col min="8966" max="8966" width="9.1796875" style="106"/>
    <col min="8967" max="8967" width="12.81640625" style="106" customWidth="1"/>
    <col min="8968" max="8968" width="9.7265625" style="106" customWidth="1"/>
    <col min="8969" max="8970" width="9.1796875" style="106"/>
    <col min="8971" max="8971" width="9.81640625" style="106" customWidth="1"/>
    <col min="8972" max="8972" width="9.1796875" style="106"/>
    <col min="8973" max="8973" width="8.453125" style="106" customWidth="1"/>
    <col min="8974" max="9216" width="9.1796875" style="106"/>
    <col min="9217" max="9217" width="22.81640625" style="106" customWidth="1"/>
    <col min="9218" max="9220" width="11.81640625" style="106" customWidth="1"/>
    <col min="9221" max="9221" width="11.1796875" style="106" customWidth="1"/>
    <col min="9222" max="9222" width="9.1796875" style="106"/>
    <col min="9223" max="9223" width="12.81640625" style="106" customWidth="1"/>
    <col min="9224" max="9224" width="9.7265625" style="106" customWidth="1"/>
    <col min="9225" max="9226" width="9.1796875" style="106"/>
    <col min="9227" max="9227" width="9.81640625" style="106" customWidth="1"/>
    <col min="9228" max="9228" width="9.1796875" style="106"/>
    <col min="9229" max="9229" width="8.453125" style="106" customWidth="1"/>
    <col min="9230" max="9472" width="9.1796875" style="106"/>
    <col min="9473" max="9473" width="22.81640625" style="106" customWidth="1"/>
    <col min="9474" max="9476" width="11.81640625" style="106" customWidth="1"/>
    <col min="9477" max="9477" width="11.1796875" style="106" customWidth="1"/>
    <col min="9478" max="9478" width="9.1796875" style="106"/>
    <col min="9479" max="9479" width="12.81640625" style="106" customWidth="1"/>
    <col min="9480" max="9480" width="9.7265625" style="106" customWidth="1"/>
    <col min="9481" max="9482" width="9.1796875" style="106"/>
    <col min="9483" max="9483" width="9.81640625" style="106" customWidth="1"/>
    <col min="9484" max="9484" width="9.1796875" style="106"/>
    <col min="9485" max="9485" width="8.453125" style="106" customWidth="1"/>
    <col min="9486" max="9728" width="9.1796875" style="106"/>
    <col min="9729" max="9729" width="22.81640625" style="106" customWidth="1"/>
    <col min="9730" max="9732" width="11.81640625" style="106" customWidth="1"/>
    <col min="9733" max="9733" width="11.1796875" style="106" customWidth="1"/>
    <col min="9734" max="9734" width="9.1796875" style="106"/>
    <col min="9735" max="9735" width="12.81640625" style="106" customWidth="1"/>
    <col min="9736" max="9736" width="9.7265625" style="106" customWidth="1"/>
    <col min="9737" max="9738" width="9.1796875" style="106"/>
    <col min="9739" max="9739" width="9.81640625" style="106" customWidth="1"/>
    <col min="9740" max="9740" width="9.1796875" style="106"/>
    <col min="9741" max="9741" width="8.453125" style="106" customWidth="1"/>
    <col min="9742" max="9984" width="9.1796875" style="106"/>
    <col min="9985" max="9985" width="22.81640625" style="106" customWidth="1"/>
    <col min="9986" max="9988" width="11.81640625" style="106" customWidth="1"/>
    <col min="9989" max="9989" width="11.1796875" style="106" customWidth="1"/>
    <col min="9990" max="9990" width="9.1796875" style="106"/>
    <col min="9991" max="9991" width="12.81640625" style="106" customWidth="1"/>
    <col min="9992" max="9992" width="9.7265625" style="106" customWidth="1"/>
    <col min="9993" max="9994" width="9.1796875" style="106"/>
    <col min="9995" max="9995" width="9.81640625" style="106" customWidth="1"/>
    <col min="9996" max="9996" width="9.1796875" style="106"/>
    <col min="9997" max="9997" width="8.453125" style="106" customWidth="1"/>
    <col min="9998" max="10240" width="9.1796875" style="106"/>
    <col min="10241" max="10241" width="22.81640625" style="106" customWidth="1"/>
    <col min="10242" max="10244" width="11.81640625" style="106" customWidth="1"/>
    <col min="10245" max="10245" width="11.1796875" style="106" customWidth="1"/>
    <col min="10246" max="10246" width="9.1796875" style="106"/>
    <col min="10247" max="10247" width="12.81640625" style="106" customWidth="1"/>
    <col min="10248" max="10248" width="9.7265625" style="106" customWidth="1"/>
    <col min="10249" max="10250" width="9.1796875" style="106"/>
    <col min="10251" max="10251" width="9.81640625" style="106" customWidth="1"/>
    <col min="10252" max="10252" width="9.1796875" style="106"/>
    <col min="10253" max="10253" width="8.453125" style="106" customWidth="1"/>
    <col min="10254" max="10496" width="9.1796875" style="106"/>
    <col min="10497" max="10497" width="22.81640625" style="106" customWidth="1"/>
    <col min="10498" max="10500" width="11.81640625" style="106" customWidth="1"/>
    <col min="10501" max="10501" width="11.1796875" style="106" customWidth="1"/>
    <col min="10502" max="10502" width="9.1796875" style="106"/>
    <col min="10503" max="10503" width="12.81640625" style="106" customWidth="1"/>
    <col min="10504" max="10504" width="9.7265625" style="106" customWidth="1"/>
    <col min="10505" max="10506" width="9.1796875" style="106"/>
    <col min="10507" max="10507" width="9.81640625" style="106" customWidth="1"/>
    <col min="10508" max="10508" width="9.1796875" style="106"/>
    <col min="10509" max="10509" width="8.453125" style="106" customWidth="1"/>
    <col min="10510" max="10752" width="9.1796875" style="106"/>
    <col min="10753" max="10753" width="22.81640625" style="106" customWidth="1"/>
    <col min="10754" max="10756" width="11.81640625" style="106" customWidth="1"/>
    <col min="10757" max="10757" width="11.1796875" style="106" customWidth="1"/>
    <col min="10758" max="10758" width="9.1796875" style="106"/>
    <col min="10759" max="10759" width="12.81640625" style="106" customWidth="1"/>
    <col min="10760" max="10760" width="9.7265625" style="106" customWidth="1"/>
    <col min="10761" max="10762" width="9.1796875" style="106"/>
    <col min="10763" max="10763" width="9.81640625" style="106" customWidth="1"/>
    <col min="10764" max="10764" width="9.1796875" style="106"/>
    <col min="10765" max="10765" width="8.453125" style="106" customWidth="1"/>
    <col min="10766" max="11008" width="9.1796875" style="106"/>
    <col min="11009" max="11009" width="22.81640625" style="106" customWidth="1"/>
    <col min="11010" max="11012" width="11.81640625" style="106" customWidth="1"/>
    <col min="11013" max="11013" width="11.1796875" style="106" customWidth="1"/>
    <col min="11014" max="11014" width="9.1796875" style="106"/>
    <col min="11015" max="11015" width="12.81640625" style="106" customWidth="1"/>
    <col min="11016" max="11016" width="9.7265625" style="106" customWidth="1"/>
    <col min="11017" max="11018" width="9.1796875" style="106"/>
    <col min="11019" max="11019" width="9.81640625" style="106" customWidth="1"/>
    <col min="11020" max="11020" width="9.1796875" style="106"/>
    <col min="11021" max="11021" width="8.453125" style="106" customWidth="1"/>
    <col min="11022" max="11264" width="9.1796875" style="106"/>
    <col min="11265" max="11265" width="22.81640625" style="106" customWidth="1"/>
    <col min="11266" max="11268" width="11.81640625" style="106" customWidth="1"/>
    <col min="11269" max="11269" width="11.1796875" style="106" customWidth="1"/>
    <col min="11270" max="11270" width="9.1796875" style="106"/>
    <col min="11271" max="11271" width="12.81640625" style="106" customWidth="1"/>
    <col min="11272" max="11272" width="9.7265625" style="106" customWidth="1"/>
    <col min="11273" max="11274" width="9.1796875" style="106"/>
    <col min="11275" max="11275" width="9.81640625" style="106" customWidth="1"/>
    <col min="11276" max="11276" width="9.1796875" style="106"/>
    <col min="11277" max="11277" width="8.453125" style="106" customWidth="1"/>
    <col min="11278" max="11520" width="9.1796875" style="106"/>
    <col min="11521" max="11521" width="22.81640625" style="106" customWidth="1"/>
    <col min="11522" max="11524" width="11.81640625" style="106" customWidth="1"/>
    <col min="11525" max="11525" width="11.1796875" style="106" customWidth="1"/>
    <col min="11526" max="11526" width="9.1796875" style="106"/>
    <col min="11527" max="11527" width="12.81640625" style="106" customWidth="1"/>
    <col min="11528" max="11528" width="9.7265625" style="106" customWidth="1"/>
    <col min="11529" max="11530" width="9.1796875" style="106"/>
    <col min="11531" max="11531" width="9.81640625" style="106" customWidth="1"/>
    <col min="11532" max="11532" width="9.1796875" style="106"/>
    <col min="11533" max="11533" width="8.453125" style="106" customWidth="1"/>
    <col min="11534" max="11776" width="9.1796875" style="106"/>
    <col min="11777" max="11777" width="22.81640625" style="106" customWidth="1"/>
    <col min="11778" max="11780" width="11.81640625" style="106" customWidth="1"/>
    <col min="11781" max="11781" width="11.1796875" style="106" customWidth="1"/>
    <col min="11782" max="11782" width="9.1796875" style="106"/>
    <col min="11783" max="11783" width="12.81640625" style="106" customWidth="1"/>
    <col min="11784" max="11784" width="9.7265625" style="106" customWidth="1"/>
    <col min="11785" max="11786" width="9.1796875" style="106"/>
    <col min="11787" max="11787" width="9.81640625" style="106" customWidth="1"/>
    <col min="11788" max="11788" width="9.1796875" style="106"/>
    <col min="11789" max="11789" width="8.453125" style="106" customWidth="1"/>
    <col min="11790" max="12032" width="9.1796875" style="106"/>
    <col min="12033" max="12033" width="22.81640625" style="106" customWidth="1"/>
    <col min="12034" max="12036" width="11.81640625" style="106" customWidth="1"/>
    <col min="12037" max="12037" width="11.1796875" style="106" customWidth="1"/>
    <col min="12038" max="12038" width="9.1796875" style="106"/>
    <col min="12039" max="12039" width="12.81640625" style="106" customWidth="1"/>
    <col min="12040" max="12040" width="9.7265625" style="106" customWidth="1"/>
    <col min="12041" max="12042" width="9.1796875" style="106"/>
    <col min="12043" max="12043" width="9.81640625" style="106" customWidth="1"/>
    <col min="12044" max="12044" width="9.1796875" style="106"/>
    <col min="12045" max="12045" width="8.453125" style="106" customWidth="1"/>
    <col min="12046" max="12288" width="9.1796875" style="106"/>
    <col min="12289" max="12289" width="22.81640625" style="106" customWidth="1"/>
    <col min="12290" max="12292" width="11.81640625" style="106" customWidth="1"/>
    <col min="12293" max="12293" width="11.1796875" style="106" customWidth="1"/>
    <col min="12294" max="12294" width="9.1796875" style="106"/>
    <col min="12295" max="12295" width="12.81640625" style="106" customWidth="1"/>
    <col min="12296" max="12296" width="9.7265625" style="106" customWidth="1"/>
    <col min="12297" max="12298" width="9.1796875" style="106"/>
    <col min="12299" max="12299" width="9.81640625" style="106" customWidth="1"/>
    <col min="12300" max="12300" width="9.1796875" style="106"/>
    <col min="12301" max="12301" width="8.453125" style="106" customWidth="1"/>
    <col min="12302" max="12544" width="9.1796875" style="106"/>
    <col min="12545" max="12545" width="22.81640625" style="106" customWidth="1"/>
    <col min="12546" max="12548" width="11.81640625" style="106" customWidth="1"/>
    <col min="12549" max="12549" width="11.1796875" style="106" customWidth="1"/>
    <col min="12550" max="12550" width="9.1796875" style="106"/>
    <col min="12551" max="12551" width="12.81640625" style="106" customWidth="1"/>
    <col min="12552" max="12552" width="9.7265625" style="106" customWidth="1"/>
    <col min="12553" max="12554" width="9.1796875" style="106"/>
    <col min="12555" max="12555" width="9.81640625" style="106" customWidth="1"/>
    <col min="12556" max="12556" width="9.1796875" style="106"/>
    <col min="12557" max="12557" width="8.453125" style="106" customWidth="1"/>
    <col min="12558" max="12800" width="9.1796875" style="106"/>
    <col min="12801" max="12801" width="22.81640625" style="106" customWidth="1"/>
    <col min="12802" max="12804" width="11.81640625" style="106" customWidth="1"/>
    <col min="12805" max="12805" width="11.1796875" style="106" customWidth="1"/>
    <col min="12806" max="12806" width="9.1796875" style="106"/>
    <col min="12807" max="12807" width="12.81640625" style="106" customWidth="1"/>
    <col min="12808" max="12808" width="9.7265625" style="106" customWidth="1"/>
    <col min="12809" max="12810" width="9.1796875" style="106"/>
    <col min="12811" max="12811" width="9.81640625" style="106" customWidth="1"/>
    <col min="12812" max="12812" width="9.1796875" style="106"/>
    <col min="12813" max="12813" width="8.453125" style="106" customWidth="1"/>
    <col min="12814" max="13056" width="9.1796875" style="106"/>
    <col min="13057" max="13057" width="22.81640625" style="106" customWidth="1"/>
    <col min="13058" max="13060" width="11.81640625" style="106" customWidth="1"/>
    <col min="13061" max="13061" width="11.1796875" style="106" customWidth="1"/>
    <col min="13062" max="13062" width="9.1796875" style="106"/>
    <col min="13063" max="13063" width="12.81640625" style="106" customWidth="1"/>
    <col min="13064" max="13064" width="9.7265625" style="106" customWidth="1"/>
    <col min="13065" max="13066" width="9.1796875" style="106"/>
    <col min="13067" max="13067" width="9.81640625" style="106" customWidth="1"/>
    <col min="13068" max="13068" width="9.1796875" style="106"/>
    <col min="13069" max="13069" width="8.453125" style="106" customWidth="1"/>
    <col min="13070" max="13312" width="9.1796875" style="106"/>
    <col min="13313" max="13313" width="22.81640625" style="106" customWidth="1"/>
    <col min="13314" max="13316" width="11.81640625" style="106" customWidth="1"/>
    <col min="13317" max="13317" width="11.1796875" style="106" customWidth="1"/>
    <col min="13318" max="13318" width="9.1796875" style="106"/>
    <col min="13319" max="13319" width="12.81640625" style="106" customWidth="1"/>
    <col min="13320" max="13320" width="9.7265625" style="106" customWidth="1"/>
    <col min="13321" max="13322" width="9.1796875" style="106"/>
    <col min="13323" max="13323" width="9.81640625" style="106" customWidth="1"/>
    <col min="13324" max="13324" width="9.1796875" style="106"/>
    <col min="13325" max="13325" width="8.453125" style="106" customWidth="1"/>
    <col min="13326" max="13568" width="9.1796875" style="106"/>
    <col min="13569" max="13569" width="22.81640625" style="106" customWidth="1"/>
    <col min="13570" max="13572" width="11.81640625" style="106" customWidth="1"/>
    <col min="13573" max="13573" width="11.1796875" style="106" customWidth="1"/>
    <col min="13574" max="13574" width="9.1796875" style="106"/>
    <col min="13575" max="13575" width="12.81640625" style="106" customWidth="1"/>
    <col min="13576" max="13576" width="9.7265625" style="106" customWidth="1"/>
    <col min="13577" max="13578" width="9.1796875" style="106"/>
    <col min="13579" max="13579" width="9.81640625" style="106" customWidth="1"/>
    <col min="13580" max="13580" width="9.1796875" style="106"/>
    <col min="13581" max="13581" width="8.453125" style="106" customWidth="1"/>
    <col min="13582" max="13824" width="9.1796875" style="106"/>
    <col min="13825" max="13825" width="22.81640625" style="106" customWidth="1"/>
    <col min="13826" max="13828" width="11.81640625" style="106" customWidth="1"/>
    <col min="13829" max="13829" width="11.1796875" style="106" customWidth="1"/>
    <col min="13830" max="13830" width="9.1796875" style="106"/>
    <col min="13831" max="13831" width="12.81640625" style="106" customWidth="1"/>
    <col min="13832" max="13832" width="9.7265625" style="106" customWidth="1"/>
    <col min="13833" max="13834" width="9.1796875" style="106"/>
    <col min="13835" max="13835" width="9.81640625" style="106" customWidth="1"/>
    <col min="13836" max="13836" width="9.1796875" style="106"/>
    <col min="13837" max="13837" width="8.453125" style="106" customWidth="1"/>
    <col min="13838" max="14080" width="9.1796875" style="106"/>
    <col min="14081" max="14081" width="22.81640625" style="106" customWidth="1"/>
    <col min="14082" max="14084" width="11.81640625" style="106" customWidth="1"/>
    <col min="14085" max="14085" width="11.1796875" style="106" customWidth="1"/>
    <col min="14086" max="14086" width="9.1796875" style="106"/>
    <col min="14087" max="14087" width="12.81640625" style="106" customWidth="1"/>
    <col min="14088" max="14088" width="9.7265625" style="106" customWidth="1"/>
    <col min="14089" max="14090" width="9.1796875" style="106"/>
    <col min="14091" max="14091" width="9.81640625" style="106" customWidth="1"/>
    <col min="14092" max="14092" width="9.1796875" style="106"/>
    <col min="14093" max="14093" width="8.453125" style="106" customWidth="1"/>
    <col min="14094" max="14336" width="9.1796875" style="106"/>
    <col min="14337" max="14337" width="22.81640625" style="106" customWidth="1"/>
    <col min="14338" max="14340" width="11.81640625" style="106" customWidth="1"/>
    <col min="14341" max="14341" width="11.1796875" style="106" customWidth="1"/>
    <col min="14342" max="14342" width="9.1796875" style="106"/>
    <col min="14343" max="14343" width="12.81640625" style="106" customWidth="1"/>
    <col min="14344" max="14344" width="9.7265625" style="106" customWidth="1"/>
    <col min="14345" max="14346" width="9.1796875" style="106"/>
    <col min="14347" max="14347" width="9.81640625" style="106" customWidth="1"/>
    <col min="14348" max="14348" width="9.1796875" style="106"/>
    <col min="14349" max="14349" width="8.453125" style="106" customWidth="1"/>
    <col min="14350" max="14592" width="9.1796875" style="106"/>
    <col min="14593" max="14593" width="22.81640625" style="106" customWidth="1"/>
    <col min="14594" max="14596" width="11.81640625" style="106" customWidth="1"/>
    <col min="14597" max="14597" width="11.1796875" style="106" customWidth="1"/>
    <col min="14598" max="14598" width="9.1796875" style="106"/>
    <col min="14599" max="14599" width="12.81640625" style="106" customWidth="1"/>
    <col min="14600" max="14600" width="9.7265625" style="106" customWidth="1"/>
    <col min="14601" max="14602" width="9.1796875" style="106"/>
    <col min="14603" max="14603" width="9.81640625" style="106" customWidth="1"/>
    <col min="14604" max="14604" width="9.1796875" style="106"/>
    <col min="14605" max="14605" width="8.453125" style="106" customWidth="1"/>
    <col min="14606" max="14848" width="9.1796875" style="106"/>
    <col min="14849" max="14849" width="22.81640625" style="106" customWidth="1"/>
    <col min="14850" max="14852" width="11.81640625" style="106" customWidth="1"/>
    <col min="14853" max="14853" width="11.1796875" style="106" customWidth="1"/>
    <col min="14854" max="14854" width="9.1796875" style="106"/>
    <col min="14855" max="14855" width="12.81640625" style="106" customWidth="1"/>
    <col min="14856" max="14856" width="9.7265625" style="106" customWidth="1"/>
    <col min="14857" max="14858" width="9.1796875" style="106"/>
    <col min="14859" max="14859" width="9.81640625" style="106" customWidth="1"/>
    <col min="14860" max="14860" width="9.1796875" style="106"/>
    <col min="14861" max="14861" width="8.453125" style="106" customWidth="1"/>
    <col min="14862" max="15104" width="9.1796875" style="106"/>
    <col min="15105" max="15105" width="22.81640625" style="106" customWidth="1"/>
    <col min="15106" max="15108" width="11.81640625" style="106" customWidth="1"/>
    <col min="15109" max="15109" width="11.1796875" style="106" customWidth="1"/>
    <col min="15110" max="15110" width="9.1796875" style="106"/>
    <col min="15111" max="15111" width="12.81640625" style="106" customWidth="1"/>
    <col min="15112" max="15112" width="9.7265625" style="106" customWidth="1"/>
    <col min="15113" max="15114" width="9.1796875" style="106"/>
    <col min="15115" max="15115" width="9.81640625" style="106" customWidth="1"/>
    <col min="15116" max="15116" width="9.1796875" style="106"/>
    <col min="15117" max="15117" width="8.453125" style="106" customWidth="1"/>
    <col min="15118" max="15360" width="9.1796875" style="106"/>
    <col min="15361" max="15361" width="22.81640625" style="106" customWidth="1"/>
    <col min="15362" max="15364" width="11.81640625" style="106" customWidth="1"/>
    <col min="15365" max="15365" width="11.1796875" style="106" customWidth="1"/>
    <col min="15366" max="15366" width="9.1796875" style="106"/>
    <col min="15367" max="15367" width="12.81640625" style="106" customWidth="1"/>
    <col min="15368" max="15368" width="9.7265625" style="106" customWidth="1"/>
    <col min="15369" max="15370" width="9.1796875" style="106"/>
    <col min="15371" max="15371" width="9.81640625" style="106" customWidth="1"/>
    <col min="15372" max="15372" width="9.1796875" style="106"/>
    <col min="15373" max="15373" width="8.453125" style="106" customWidth="1"/>
    <col min="15374" max="15616" width="9.1796875" style="106"/>
    <col min="15617" max="15617" width="22.81640625" style="106" customWidth="1"/>
    <col min="15618" max="15620" width="11.81640625" style="106" customWidth="1"/>
    <col min="15621" max="15621" width="11.1796875" style="106" customWidth="1"/>
    <col min="15622" max="15622" width="9.1796875" style="106"/>
    <col min="15623" max="15623" width="12.81640625" style="106" customWidth="1"/>
    <col min="15624" max="15624" width="9.7265625" style="106" customWidth="1"/>
    <col min="15625" max="15626" width="9.1796875" style="106"/>
    <col min="15627" max="15627" width="9.81640625" style="106" customWidth="1"/>
    <col min="15628" max="15628" width="9.1796875" style="106"/>
    <col min="15629" max="15629" width="8.453125" style="106" customWidth="1"/>
    <col min="15630" max="15872" width="9.1796875" style="106"/>
    <col min="15873" max="15873" width="22.81640625" style="106" customWidth="1"/>
    <col min="15874" max="15876" width="11.81640625" style="106" customWidth="1"/>
    <col min="15877" max="15877" width="11.1796875" style="106" customWidth="1"/>
    <col min="15878" max="15878" width="9.1796875" style="106"/>
    <col min="15879" max="15879" width="12.81640625" style="106" customWidth="1"/>
    <col min="15880" max="15880" width="9.7265625" style="106" customWidth="1"/>
    <col min="15881" max="15882" width="9.1796875" style="106"/>
    <col min="15883" max="15883" width="9.81640625" style="106" customWidth="1"/>
    <col min="15884" max="15884" width="9.1796875" style="106"/>
    <col min="15885" max="15885" width="8.453125" style="106" customWidth="1"/>
    <col min="15886" max="16128" width="9.1796875" style="106"/>
    <col min="16129" max="16129" width="22.81640625" style="106" customWidth="1"/>
    <col min="16130" max="16132" width="11.81640625" style="106" customWidth="1"/>
    <col min="16133" max="16133" width="11.1796875" style="106" customWidth="1"/>
    <col min="16134" max="16134" width="9.1796875" style="106"/>
    <col min="16135" max="16135" width="12.81640625" style="106" customWidth="1"/>
    <col min="16136" max="16136" width="9.7265625" style="106" customWidth="1"/>
    <col min="16137" max="16138" width="9.1796875" style="106"/>
    <col min="16139" max="16139" width="9.81640625" style="106" customWidth="1"/>
    <col min="16140" max="16140" width="9.1796875" style="106"/>
    <col min="16141" max="16141" width="8.453125" style="106" customWidth="1"/>
    <col min="16142" max="16384" width="9.1796875" style="106"/>
  </cols>
  <sheetData>
    <row r="4" spans="1:13" ht="13">
      <c r="A4" s="105" t="s">
        <v>838</v>
      </c>
      <c r="B4" s="105"/>
    </row>
    <row r="6" spans="1:13">
      <c r="A6" s="1004" t="s">
        <v>839</v>
      </c>
      <c r="B6" s="1005"/>
      <c r="C6" s="1006"/>
      <c r="D6" s="1004" t="s">
        <v>840</v>
      </c>
      <c r="E6" s="1005"/>
      <c r="F6" s="1005"/>
      <c r="G6" s="1006"/>
    </row>
    <row r="8" spans="1:13" ht="13">
      <c r="A8" s="107" t="s">
        <v>841</v>
      </c>
      <c r="B8" s="108"/>
      <c r="C8" s="108"/>
      <c r="D8" s="108"/>
      <c r="E8" s="108"/>
    </row>
    <row r="9" spans="1:13" ht="13">
      <c r="A9" s="105"/>
      <c r="H9" s="106" t="s">
        <v>9</v>
      </c>
      <c r="I9" s="106" t="e">
        <f>#REF!</f>
        <v>#REF!</v>
      </c>
    </row>
    <row r="10" spans="1:13" ht="13">
      <c r="A10" s="109" t="s">
        <v>842</v>
      </c>
      <c r="B10" s="1007" t="s">
        <v>843</v>
      </c>
      <c r="C10" s="1008"/>
      <c r="D10" s="1008"/>
      <c r="E10" s="1008"/>
      <c r="F10" s="1008"/>
      <c r="G10" s="1008"/>
      <c r="H10" s="1008"/>
      <c r="I10" s="1008"/>
    </row>
    <row r="11" spans="1:13" ht="13">
      <c r="A11" s="109" t="s">
        <v>844</v>
      </c>
      <c r="B11" s="1009" t="e">
        <f>#REF!</f>
        <v>#REF!</v>
      </c>
      <c r="C11" s="1010"/>
      <c r="D11" s="1010"/>
      <c r="E11" s="1010"/>
      <c r="F11" s="1010"/>
      <c r="G11" s="1010"/>
      <c r="H11" s="1010"/>
      <c r="I11" s="1010"/>
    </row>
    <row r="12" spans="1:13" ht="13">
      <c r="A12" s="109" t="s">
        <v>845</v>
      </c>
      <c r="B12" s="1011"/>
      <c r="C12" s="1005"/>
      <c r="D12" s="1005"/>
      <c r="E12" s="1005"/>
      <c r="F12" s="1005"/>
      <c r="G12" s="1005"/>
      <c r="H12" s="1005"/>
      <c r="I12" s="1005"/>
    </row>
    <row r="13" spans="1:13" ht="13">
      <c r="A13" s="109" t="s">
        <v>846</v>
      </c>
      <c r="B13" s="1011"/>
      <c r="C13" s="1005"/>
      <c r="D13" s="1005"/>
      <c r="E13" s="1005"/>
      <c r="F13" s="1005"/>
      <c r="G13" s="1005"/>
      <c r="H13" s="1005"/>
      <c r="I13" s="1005"/>
    </row>
    <row r="14" spans="1:13" ht="13">
      <c r="A14" s="109"/>
      <c r="B14" s="105"/>
    </row>
    <row r="15" spans="1:13" ht="13">
      <c r="A15" s="110" t="s">
        <v>847</v>
      </c>
      <c r="B15" s="1001" t="s">
        <v>848</v>
      </c>
      <c r="C15" s="1002"/>
      <c r="D15" s="1002"/>
      <c r="E15" s="1002"/>
      <c r="F15" s="1002"/>
      <c r="G15" s="1002"/>
      <c r="H15" s="1002"/>
      <c r="I15" s="1002"/>
      <c r="J15" s="1002"/>
      <c r="K15" s="1002"/>
      <c r="L15" s="1002"/>
      <c r="M15" s="1002"/>
    </row>
    <row r="16" spans="1:13">
      <c r="A16" s="111"/>
      <c r="B16" s="1003"/>
      <c r="C16" s="1003"/>
      <c r="D16" s="1003"/>
      <c r="E16" s="1003"/>
      <c r="F16" s="1003"/>
      <c r="G16" s="1003"/>
      <c r="H16" s="1003"/>
      <c r="I16" s="1003"/>
      <c r="J16" s="1003"/>
      <c r="K16" s="1003"/>
      <c r="L16" s="1003"/>
      <c r="M16" s="1003"/>
    </row>
    <row r="17" spans="1:13">
      <c r="A17" s="111"/>
      <c r="B17" s="1003"/>
      <c r="C17" s="1003"/>
      <c r="D17" s="1003"/>
      <c r="E17" s="1003"/>
      <c r="F17" s="1003"/>
      <c r="G17" s="1003"/>
      <c r="H17" s="1003"/>
      <c r="I17" s="1003"/>
      <c r="J17" s="1003"/>
      <c r="K17" s="1003"/>
      <c r="L17" s="1003"/>
      <c r="M17" s="1003"/>
    </row>
    <row r="18" spans="1:13">
      <c r="A18" s="111"/>
      <c r="B18" s="1003"/>
      <c r="C18" s="1003"/>
      <c r="D18" s="1003"/>
      <c r="E18" s="1003"/>
      <c r="F18" s="1003"/>
      <c r="G18" s="1003"/>
      <c r="H18" s="1003"/>
      <c r="I18" s="1003"/>
      <c r="J18" s="1003"/>
      <c r="K18" s="1003"/>
      <c r="L18" s="1003"/>
      <c r="M18" s="1003"/>
    </row>
    <row r="19" spans="1:13">
      <c r="A19" s="111"/>
      <c r="B19" s="1003"/>
      <c r="C19" s="1003"/>
      <c r="D19" s="1003"/>
      <c r="E19" s="1003"/>
      <c r="F19" s="1003"/>
      <c r="G19" s="1003"/>
      <c r="H19" s="1003"/>
      <c r="I19" s="1003"/>
      <c r="J19" s="1003"/>
      <c r="K19" s="1003"/>
      <c r="L19" s="1003"/>
      <c r="M19" s="1003"/>
    </row>
    <row r="20" spans="1:13">
      <c r="A20" s="111"/>
      <c r="B20" s="1003"/>
      <c r="C20" s="1003"/>
      <c r="D20" s="1003"/>
      <c r="E20" s="1003"/>
      <c r="F20" s="1003"/>
      <c r="G20" s="1003"/>
      <c r="H20" s="1003"/>
      <c r="I20" s="1003"/>
      <c r="J20" s="1003"/>
      <c r="K20" s="1003"/>
      <c r="L20" s="1003"/>
      <c r="M20" s="1003"/>
    </row>
    <row r="22" spans="1:13">
      <c r="C22" s="112" t="s">
        <v>849</v>
      </c>
      <c r="D22" s="113" t="s">
        <v>850</v>
      </c>
      <c r="E22" s="113" t="s">
        <v>851</v>
      </c>
      <c r="F22" s="113" t="s">
        <v>852</v>
      </c>
      <c r="G22" s="113" t="s">
        <v>853</v>
      </c>
      <c r="H22" s="113" t="s">
        <v>854</v>
      </c>
      <c r="I22" s="113" t="s">
        <v>855</v>
      </c>
      <c r="J22" s="113" t="s">
        <v>856</v>
      </c>
      <c r="K22" s="113" t="s">
        <v>857</v>
      </c>
      <c r="L22" s="113" t="s">
        <v>858</v>
      </c>
      <c r="M22" s="113" t="s">
        <v>859</v>
      </c>
    </row>
    <row r="23" spans="1:13">
      <c r="D23" s="114"/>
    </row>
    <row r="24" spans="1:13">
      <c r="C24" s="115"/>
      <c r="D24" s="116"/>
      <c r="E24" s="117"/>
      <c r="F24" s="117"/>
      <c r="G24" s="117"/>
      <c r="H24" s="117"/>
      <c r="I24" s="117"/>
      <c r="J24" s="117"/>
      <c r="K24" s="117"/>
      <c r="L24" s="117"/>
      <c r="M24" s="117"/>
    </row>
    <row r="25" spans="1:13">
      <c r="A25" s="106" t="s">
        <v>803</v>
      </c>
      <c r="C25" s="118" t="e">
        <f>SUM('388G-IS'!C12:F12)</f>
        <v>#REF!</v>
      </c>
      <c r="D25" s="119">
        <f>SUM('388G-IS'!D12:G12)</f>
        <v>0</v>
      </c>
      <c r="E25" s="119">
        <f>SUM('388G-IS'!H12:K12)</f>
        <v>0</v>
      </c>
      <c r="F25" s="119">
        <f>SUM('388G-IS'!L12:O12)</f>
        <v>0</v>
      </c>
      <c r="G25" s="119">
        <f>SUM('388G-IS'!P12:S12)</f>
        <v>0</v>
      </c>
      <c r="H25" s="119">
        <f>SUM('388G-IS'!T12:W12)</f>
        <v>0</v>
      </c>
      <c r="I25" s="119">
        <f>SUM('388G-IS'!X12:AA12)</f>
        <v>0</v>
      </c>
      <c r="J25" s="119">
        <f>SUM('388G-IS'!AB12:AE12)</f>
        <v>0</v>
      </c>
      <c r="K25" s="119">
        <f>SUM('388G-IS'!AF12:AI12)</f>
        <v>0</v>
      </c>
      <c r="L25" s="119">
        <f>SUM('388G-IS'!AJ12:AM12)</f>
        <v>0</v>
      </c>
      <c r="M25" s="119">
        <f>SUM('388G-IS'!AN12:AQ12)</f>
        <v>0</v>
      </c>
    </row>
    <row r="26" spans="1:13">
      <c r="A26" s="106" t="s">
        <v>804</v>
      </c>
      <c r="C26" s="120"/>
      <c r="D26" s="119">
        <f>SUM('388G-IS'!D13:G13)</f>
        <v>0</v>
      </c>
      <c r="E26" s="119">
        <f>SUM('388G-IS'!H13:K13)</f>
        <v>0</v>
      </c>
      <c r="F26" s="119">
        <f>SUM('388G-IS'!L13:O13)</f>
        <v>0</v>
      </c>
      <c r="G26" s="119">
        <f>SUM('388G-IS'!P13:S13)</f>
        <v>0</v>
      </c>
      <c r="H26" s="119">
        <f>SUM('388G-IS'!T13:W13)</f>
        <v>0</v>
      </c>
      <c r="I26" s="119">
        <f>SUM('388G-IS'!X13:AA13)</f>
        <v>0</v>
      </c>
      <c r="J26" s="119">
        <f>SUM('388G-IS'!AB13:AE13)</f>
        <v>0</v>
      </c>
      <c r="K26" s="119">
        <f>SUM('388G-IS'!AF13:AI13)</f>
        <v>0</v>
      </c>
      <c r="L26" s="119">
        <f>SUM('388G-IS'!AJ13:AM13)</f>
        <v>0</v>
      </c>
      <c r="M26" s="119">
        <f>SUM('388G-IS'!AN13:AQ13)</f>
        <v>0</v>
      </c>
    </row>
    <row r="27" spans="1:13">
      <c r="A27" s="106" t="s">
        <v>805</v>
      </c>
      <c r="C27" s="120"/>
      <c r="D27" s="119" t="e">
        <f>SUM('388G-IS'!D15:G15)+SUM('388G-IS'!D14:G14)</f>
        <v>#REF!</v>
      </c>
      <c r="E27" s="119" t="e">
        <f>SUM('388G-IS'!H15:K15)+SUM('388G-IS'!H14:K14)</f>
        <v>#REF!</v>
      </c>
      <c r="F27" s="119" t="e">
        <f>SUM('388G-IS'!L15:O15)+SUM('388G-IS'!L14:O14)</f>
        <v>#REF!</v>
      </c>
      <c r="G27" s="119" t="e">
        <f>SUM('388G-IS'!P15:S15)+SUM('388G-IS'!P14:S14)</f>
        <v>#REF!</v>
      </c>
      <c r="H27" s="119" t="e">
        <f>SUM('388G-IS'!T15:W15)+SUM('388G-IS'!T14:W14)</f>
        <v>#REF!</v>
      </c>
      <c r="I27" s="119" t="e">
        <f>SUM('388G-IS'!X15:AA15)+SUM('388G-IS'!X14:AA14)</f>
        <v>#REF!</v>
      </c>
      <c r="J27" s="119" t="e">
        <f>SUM('388G-IS'!AB15:AE15)+SUM('388G-IS'!AB14:AE14)</f>
        <v>#REF!</v>
      </c>
      <c r="K27" s="119" t="e">
        <f>SUM('388G-IS'!AF15:AI15)+SUM('388G-IS'!AF14:AI14)</f>
        <v>#REF!</v>
      </c>
      <c r="L27" s="119" t="e">
        <f>SUM('388G-IS'!AJ15:AM15)+SUM('388G-IS'!AJ14:AM14)</f>
        <v>#REF!</v>
      </c>
      <c r="M27" s="119" t="e">
        <f>SUM('388G-IS'!AN15:AQ15)+SUM('388G-IS'!AN14:AQ14)</f>
        <v>#REF!</v>
      </c>
    </row>
    <row r="28" spans="1:13">
      <c r="A28" s="106" t="s">
        <v>808</v>
      </c>
      <c r="C28" s="120"/>
      <c r="D28" s="119">
        <f>SUM('388G-IS'!D16:G16)</f>
        <v>0</v>
      </c>
      <c r="E28" s="119">
        <f>SUM('388G-IS'!H16:K16)</f>
        <v>0</v>
      </c>
      <c r="F28" s="119">
        <f>SUM('388G-IS'!L16:O16)</f>
        <v>0</v>
      </c>
      <c r="G28" s="119">
        <f>SUM('388G-IS'!P16:S16)</f>
        <v>0</v>
      </c>
      <c r="H28" s="119">
        <f>SUM('388G-IS'!T16:W16)</f>
        <v>0</v>
      </c>
      <c r="I28" s="119">
        <f>SUM('388G-IS'!X16:AA16)</f>
        <v>0</v>
      </c>
      <c r="J28" s="119">
        <f>SUM('388G-IS'!AB16:AE16)</f>
        <v>0</v>
      </c>
      <c r="K28" s="119">
        <f>SUM('388G-IS'!AF16:AI16)</f>
        <v>0</v>
      </c>
      <c r="L28" s="119">
        <f>SUM('388G-IS'!AJ16:AM16)</f>
        <v>0</v>
      </c>
      <c r="M28" s="119">
        <f>SUM('388G-IS'!AN16:AQ16)</f>
        <v>0</v>
      </c>
    </row>
    <row r="29" spans="1:13">
      <c r="A29" s="106" t="s">
        <v>809</v>
      </c>
      <c r="C29" s="120"/>
      <c r="D29" s="119">
        <f>SUM('388G-IS'!D17:G17)</f>
        <v>0</v>
      </c>
      <c r="E29" s="119">
        <f>SUM('388G-IS'!H17:K17)</f>
        <v>0</v>
      </c>
      <c r="F29" s="119">
        <f>SUM('388G-IS'!L17:O17)</f>
        <v>0</v>
      </c>
      <c r="G29" s="119">
        <f>SUM('388G-IS'!P17:S17)</f>
        <v>0</v>
      </c>
      <c r="H29" s="119">
        <f>SUM('388G-IS'!T17:W17)</f>
        <v>0</v>
      </c>
      <c r="I29" s="119">
        <f>SUM('388G-IS'!X17:AA17)</f>
        <v>0</v>
      </c>
      <c r="J29" s="119">
        <f>SUM('388G-IS'!AB17:AE17)</f>
        <v>0</v>
      </c>
      <c r="K29" s="119">
        <f>SUM('388G-IS'!AF17:AI17)</f>
        <v>0</v>
      </c>
      <c r="L29" s="119">
        <f>SUM('388G-IS'!AJ17:AM17)</f>
        <v>0</v>
      </c>
      <c r="M29" s="119">
        <f>SUM('388G-IS'!AN17:AQ17)</f>
        <v>0</v>
      </c>
    </row>
    <row r="30" spans="1:13" ht="5.25" customHeight="1">
      <c r="C30" s="120"/>
      <c r="D30" s="121"/>
      <c r="E30" s="122"/>
      <c r="F30" s="122"/>
      <c r="G30" s="122"/>
      <c r="H30" s="122"/>
      <c r="I30" s="122"/>
      <c r="J30" s="122"/>
      <c r="K30" s="122"/>
      <c r="L30" s="122"/>
      <c r="M30" s="122"/>
    </row>
    <row r="31" spans="1:13" ht="13" thickBot="1">
      <c r="A31" s="106" t="s">
        <v>810</v>
      </c>
      <c r="C31" s="123" t="e">
        <f t="shared" ref="C31:M31" si="0">SUM(C25:C30)</f>
        <v>#REF!</v>
      </c>
      <c r="D31" s="124" t="e">
        <f t="shared" si="0"/>
        <v>#REF!</v>
      </c>
      <c r="E31" s="125" t="e">
        <f t="shared" si="0"/>
        <v>#REF!</v>
      </c>
      <c r="F31" s="125" t="e">
        <f t="shared" si="0"/>
        <v>#REF!</v>
      </c>
      <c r="G31" s="125" t="e">
        <f t="shared" si="0"/>
        <v>#REF!</v>
      </c>
      <c r="H31" s="125" t="e">
        <f t="shared" si="0"/>
        <v>#REF!</v>
      </c>
      <c r="I31" s="125" t="e">
        <f t="shared" si="0"/>
        <v>#REF!</v>
      </c>
      <c r="J31" s="125" t="e">
        <f t="shared" si="0"/>
        <v>#REF!</v>
      </c>
      <c r="K31" s="125" t="e">
        <f t="shared" si="0"/>
        <v>#REF!</v>
      </c>
      <c r="L31" s="125" t="e">
        <f t="shared" si="0"/>
        <v>#REF!</v>
      </c>
      <c r="M31" s="125" t="e">
        <f t="shared" si="0"/>
        <v>#REF!</v>
      </c>
    </row>
    <row r="32" spans="1:13" ht="13" thickTop="1">
      <c r="A32" s="64" t="s">
        <v>860</v>
      </c>
      <c r="B32" s="79"/>
      <c r="C32" s="77"/>
      <c r="D32" s="152" t="e">
        <f>D31/$I$9</f>
        <v>#REF!</v>
      </c>
      <c r="E32" s="152" t="e">
        <f t="shared" ref="E32:M32" si="1">E31/$I$9</f>
        <v>#REF!</v>
      </c>
      <c r="F32" s="152" t="e">
        <f t="shared" si="1"/>
        <v>#REF!</v>
      </c>
      <c r="G32" s="152" t="e">
        <f t="shared" si="1"/>
        <v>#REF!</v>
      </c>
      <c r="H32" s="152" t="e">
        <f t="shared" si="1"/>
        <v>#REF!</v>
      </c>
      <c r="I32" s="152" t="e">
        <f t="shared" si="1"/>
        <v>#REF!</v>
      </c>
      <c r="J32" s="152" t="e">
        <f t="shared" si="1"/>
        <v>#REF!</v>
      </c>
      <c r="K32" s="152" t="e">
        <f t="shared" si="1"/>
        <v>#REF!</v>
      </c>
      <c r="L32" s="152" t="e">
        <f t="shared" si="1"/>
        <v>#REF!</v>
      </c>
      <c r="M32" s="152" t="e">
        <f t="shared" si="1"/>
        <v>#REF!</v>
      </c>
    </row>
    <row r="33" spans="1:13">
      <c r="A33" s="64"/>
      <c r="B33" s="77"/>
      <c r="C33" s="77"/>
      <c r="D33" s="126"/>
      <c r="F33" s="126"/>
      <c r="G33" s="126"/>
      <c r="H33" s="126"/>
      <c r="I33" s="126"/>
      <c r="J33" s="126"/>
      <c r="K33" s="126"/>
      <c r="L33" s="126"/>
      <c r="M33" s="126"/>
    </row>
    <row r="34" spans="1:13">
      <c r="A34" s="64"/>
      <c r="B34" s="77"/>
      <c r="C34" s="77"/>
      <c r="D34" s="126"/>
      <c r="E34" s="117" t="s">
        <v>861</v>
      </c>
      <c r="F34" s="126"/>
      <c r="G34" s="126"/>
      <c r="H34" s="126"/>
      <c r="I34" s="126"/>
      <c r="J34" s="126"/>
      <c r="K34" s="126"/>
      <c r="L34" s="126"/>
      <c r="M34" s="126"/>
    </row>
    <row r="35" spans="1:13">
      <c r="A35" s="64"/>
      <c r="B35" s="79"/>
      <c r="C35" s="77"/>
      <c r="D35" s="126"/>
      <c r="E35" s="117"/>
      <c r="F35" s="126"/>
      <c r="G35" s="126"/>
      <c r="H35" s="126"/>
      <c r="I35" s="126"/>
      <c r="J35" s="126"/>
      <c r="K35" s="126"/>
      <c r="L35" s="126"/>
      <c r="M35" s="126"/>
    </row>
    <row r="36" spans="1:13" ht="13">
      <c r="D36" s="117"/>
      <c r="F36" s="117"/>
      <c r="H36" s="127" t="s">
        <v>862</v>
      </c>
      <c r="I36" s="127" t="e">
        <f>#REF!</f>
        <v>#REF!</v>
      </c>
      <c r="J36" s="127" t="e">
        <f>#REF!</f>
        <v>#REF!</v>
      </c>
      <c r="K36" s="127" t="e">
        <f>#REF!</f>
        <v>#REF!</v>
      </c>
      <c r="L36" s="127" t="e">
        <f>#REF!</f>
        <v>#REF!</v>
      </c>
      <c r="M36" s="127" t="e">
        <f>#REF!</f>
        <v>#REF!</v>
      </c>
    </row>
    <row r="37" spans="1:13" ht="25.5">
      <c r="A37" s="128" t="s">
        <v>863</v>
      </c>
      <c r="B37" s="129" t="s">
        <v>864</v>
      </c>
      <c r="D37" s="117"/>
      <c r="E37" s="130"/>
      <c r="F37" s="117"/>
      <c r="G37" s="131" t="s">
        <v>865</v>
      </c>
      <c r="H37" s="132" t="e">
        <f>#REF!</f>
        <v>#REF!</v>
      </c>
      <c r="I37" s="132" t="e">
        <f>#REF!</f>
        <v>#REF!</v>
      </c>
      <c r="J37" s="132" t="e">
        <f>#REF!</f>
        <v>#REF!</v>
      </c>
      <c r="K37" s="132" t="e">
        <f>#REF!</f>
        <v>#REF!</v>
      </c>
      <c r="L37" s="117"/>
    </row>
    <row r="38" spans="1:13" ht="13">
      <c r="G38" s="131" t="s">
        <v>866</v>
      </c>
      <c r="I38" s="133" t="e">
        <f>#REF!</f>
        <v>#REF!</v>
      </c>
      <c r="J38" s="133"/>
      <c r="K38" s="133"/>
    </row>
    <row r="39" spans="1:13" ht="13">
      <c r="A39" s="106" t="s">
        <v>867</v>
      </c>
      <c r="B39" s="134">
        <v>0</v>
      </c>
      <c r="E39" s="117"/>
      <c r="F39" s="135"/>
      <c r="G39" s="131" t="s">
        <v>868</v>
      </c>
      <c r="I39" s="136" t="e">
        <f>IRR(C31:M31)</f>
        <v>#VALUE!</v>
      </c>
    </row>
    <row r="40" spans="1:13" ht="13">
      <c r="A40" s="128"/>
      <c r="B40" s="137"/>
      <c r="G40" s="131" t="s">
        <v>869</v>
      </c>
      <c r="I40" s="133" t="e">
        <f>B43/B41-B43</f>
        <v>#REF!</v>
      </c>
    </row>
    <row r="41" spans="1:13">
      <c r="A41" s="106" t="s">
        <v>870</v>
      </c>
      <c r="B41" s="138">
        <v>7.4999999999999997E-2</v>
      </c>
    </row>
    <row r="42" spans="1:13">
      <c r="A42" s="117"/>
    </row>
    <row r="43" spans="1:13">
      <c r="A43" s="139" t="s">
        <v>871</v>
      </c>
      <c r="B43" s="140" t="e">
        <f>SUMIF(D31:M31,"&lt;&gt;0")/COUNTIF(D31:M31,"&lt;&gt;0")</f>
        <v>#REF!</v>
      </c>
    </row>
    <row r="55" spans="5:10" ht="15.5">
      <c r="E55" s="141" t="s">
        <v>872</v>
      </c>
      <c r="F55" s="142"/>
      <c r="G55" s="142"/>
      <c r="H55" s="142"/>
      <c r="I55" s="142"/>
    </row>
    <row r="57" spans="5:10">
      <c r="E57" s="143"/>
      <c r="F57" s="143"/>
      <c r="G57" s="143"/>
      <c r="H57" s="143"/>
      <c r="I57" s="143"/>
      <c r="J57" s="143"/>
    </row>
    <row r="58" spans="5:10" ht="17.5">
      <c r="E58" s="143"/>
      <c r="F58" s="144" t="s">
        <v>486</v>
      </c>
      <c r="G58" s="144" t="e">
        <f t="shared" ref="G58:I59" si="2">I36</f>
        <v>#REF!</v>
      </c>
      <c r="H58" s="144" t="e">
        <f t="shared" si="2"/>
        <v>#REF!</v>
      </c>
      <c r="I58" s="144" t="e">
        <f t="shared" si="2"/>
        <v>#REF!</v>
      </c>
      <c r="J58" s="143"/>
    </row>
    <row r="59" spans="5:10" ht="17.5">
      <c r="E59" s="143"/>
      <c r="F59" s="145" t="e">
        <f>H37&amp;" Stars"</f>
        <v>#REF!</v>
      </c>
      <c r="G59" s="146" t="e">
        <f t="shared" si="2"/>
        <v>#REF!</v>
      </c>
      <c r="H59" s="146" t="e">
        <f t="shared" si="2"/>
        <v>#REF!</v>
      </c>
      <c r="I59" s="146" t="e">
        <f t="shared" si="2"/>
        <v>#REF!</v>
      </c>
      <c r="J59" s="143"/>
    </row>
    <row r="60" spans="5:10" ht="17.5">
      <c r="E60" s="143"/>
      <c r="F60" s="147"/>
      <c r="G60" s="148"/>
      <c r="H60" s="148"/>
      <c r="I60" s="148"/>
      <c r="J60" s="143"/>
    </row>
    <row r="61" spans="5:10" ht="17.5">
      <c r="E61" s="143"/>
      <c r="F61" s="144" t="s">
        <v>486</v>
      </c>
      <c r="G61" s="144" t="s">
        <v>873</v>
      </c>
      <c r="H61" s="144" t="s">
        <v>874</v>
      </c>
      <c r="I61" s="144" t="s">
        <v>875</v>
      </c>
      <c r="J61" s="143"/>
    </row>
    <row r="62" spans="5:10" ht="17.5">
      <c r="E62" s="143"/>
      <c r="F62" s="148"/>
      <c r="G62" s="149" t="e">
        <f>I38</f>
        <v>#REF!</v>
      </c>
      <c r="H62" s="149">
        <f>J38</f>
        <v>0</v>
      </c>
      <c r="I62" s="149">
        <f>K38</f>
        <v>0</v>
      </c>
      <c r="J62" s="143"/>
    </row>
    <row r="63" spans="5:10" ht="17.5">
      <c r="E63" s="143"/>
      <c r="F63" s="147"/>
      <c r="G63" s="150" t="e">
        <f>I39</f>
        <v>#VALUE!</v>
      </c>
      <c r="H63" s="147"/>
      <c r="I63" s="147"/>
      <c r="J63" s="143"/>
    </row>
    <row r="64" spans="5:10" ht="17.5">
      <c r="E64" s="143"/>
      <c r="F64" s="143"/>
      <c r="G64" s="151" t="e">
        <f>I40</f>
        <v>#REF!</v>
      </c>
      <c r="H64" s="143"/>
      <c r="I64" s="143"/>
      <c r="J64" s="143"/>
    </row>
  </sheetData>
  <customSheetViews>
    <customSheetView guid="{0FAFE012-8D9E-4ED0-86A4-A997E430971B}" scale="130" showPageBreaks="1" printArea="1" state="hidden" view="pageBreakPreview">
      <selection activeCell="AC56" sqref="AC56"/>
      <pageMargins left="0.75" right="0.75" top="1" bottom="1" header="0.5" footer="0.5"/>
      <pageSetup paperSize="9" scale="61" orientation="portrait" r:id="rId1"/>
      <headerFooter alignWithMargins="0"/>
    </customSheetView>
  </customSheetViews>
  <mergeCells count="7">
    <mergeCell ref="B15:M20"/>
    <mergeCell ref="A6:C6"/>
    <mergeCell ref="D6:G6"/>
    <mergeCell ref="B10:I10"/>
    <mergeCell ref="B11:I11"/>
    <mergeCell ref="B12:I12"/>
    <mergeCell ref="B13:I13"/>
  </mergeCells>
  <dataValidations count="2">
    <dataValidation type="list" allowBlank="1" showInputMessage="1" showErrorMessage="1" sqref="B40 IX40 ST40 ACP40 AML40 AWH40 BGD40 BPZ40 BZV40 CJR40 CTN40 DDJ40 DNF40 DXB40 EGX40 EQT40 FAP40 FKL40 FUH40 GED40 GNZ40 GXV40 HHR40 HRN40 IBJ40 ILF40 IVB40 JEX40 JOT40 JYP40 KIL40 KSH40 LCD40 LLZ40 LVV40 MFR40 MPN40 MZJ40 NJF40 NTB40 OCX40 OMT40 OWP40 PGL40 PQH40 QAD40 QJZ40 QTV40 RDR40 RNN40 RXJ40 SHF40 SRB40 TAX40 TKT40 TUP40 UEL40 UOH40 UYD40 VHZ40 VRV40 WBR40 WLN40 WVJ40 B65576 IX65576 ST65576 ACP65576 AML65576 AWH65576 BGD65576 BPZ65576 BZV65576 CJR65576 CTN65576 DDJ65576 DNF65576 DXB65576 EGX65576 EQT65576 FAP65576 FKL65576 FUH65576 GED65576 GNZ65576 GXV65576 HHR65576 HRN65576 IBJ65576 ILF65576 IVB65576 JEX65576 JOT65576 JYP65576 KIL65576 KSH65576 LCD65576 LLZ65576 LVV65576 MFR65576 MPN65576 MZJ65576 NJF65576 NTB65576 OCX65576 OMT65576 OWP65576 PGL65576 PQH65576 QAD65576 QJZ65576 QTV65576 RDR65576 RNN65576 RXJ65576 SHF65576 SRB65576 TAX65576 TKT65576 TUP65576 UEL65576 UOH65576 UYD65576 VHZ65576 VRV65576 WBR65576 WLN65576 WVJ65576 B131112 IX131112 ST131112 ACP131112 AML131112 AWH131112 BGD131112 BPZ131112 BZV131112 CJR131112 CTN131112 DDJ131112 DNF131112 DXB131112 EGX131112 EQT131112 FAP131112 FKL131112 FUH131112 GED131112 GNZ131112 GXV131112 HHR131112 HRN131112 IBJ131112 ILF131112 IVB131112 JEX131112 JOT131112 JYP131112 KIL131112 KSH131112 LCD131112 LLZ131112 LVV131112 MFR131112 MPN131112 MZJ131112 NJF131112 NTB131112 OCX131112 OMT131112 OWP131112 PGL131112 PQH131112 QAD131112 QJZ131112 QTV131112 RDR131112 RNN131112 RXJ131112 SHF131112 SRB131112 TAX131112 TKT131112 TUP131112 UEL131112 UOH131112 UYD131112 VHZ131112 VRV131112 WBR131112 WLN131112 WVJ131112 B196648 IX196648 ST196648 ACP196648 AML196648 AWH196648 BGD196648 BPZ196648 BZV196648 CJR196648 CTN196648 DDJ196648 DNF196648 DXB196648 EGX196648 EQT196648 FAP196648 FKL196648 FUH196648 GED196648 GNZ196648 GXV196648 HHR196648 HRN196648 IBJ196648 ILF196648 IVB196648 JEX196648 JOT196648 JYP196648 KIL196648 KSH196648 LCD196648 LLZ196648 LVV196648 MFR196648 MPN196648 MZJ196648 NJF196648 NTB196648 OCX196648 OMT196648 OWP196648 PGL196648 PQH196648 QAD196648 QJZ196648 QTV196648 RDR196648 RNN196648 RXJ196648 SHF196648 SRB196648 TAX196648 TKT196648 TUP196648 UEL196648 UOH196648 UYD196648 VHZ196648 VRV196648 WBR196648 WLN196648 WVJ196648 B262184 IX262184 ST262184 ACP262184 AML262184 AWH262184 BGD262184 BPZ262184 BZV262184 CJR262184 CTN262184 DDJ262184 DNF262184 DXB262184 EGX262184 EQT262184 FAP262184 FKL262184 FUH262184 GED262184 GNZ262184 GXV262184 HHR262184 HRN262184 IBJ262184 ILF262184 IVB262184 JEX262184 JOT262184 JYP262184 KIL262184 KSH262184 LCD262184 LLZ262184 LVV262184 MFR262184 MPN262184 MZJ262184 NJF262184 NTB262184 OCX262184 OMT262184 OWP262184 PGL262184 PQH262184 QAD262184 QJZ262184 QTV262184 RDR262184 RNN262184 RXJ262184 SHF262184 SRB262184 TAX262184 TKT262184 TUP262184 UEL262184 UOH262184 UYD262184 VHZ262184 VRV262184 WBR262184 WLN262184 WVJ262184 B327720 IX327720 ST327720 ACP327720 AML327720 AWH327720 BGD327720 BPZ327720 BZV327720 CJR327720 CTN327720 DDJ327720 DNF327720 DXB327720 EGX327720 EQT327720 FAP327720 FKL327720 FUH327720 GED327720 GNZ327720 GXV327720 HHR327720 HRN327720 IBJ327720 ILF327720 IVB327720 JEX327720 JOT327720 JYP327720 KIL327720 KSH327720 LCD327720 LLZ327720 LVV327720 MFR327720 MPN327720 MZJ327720 NJF327720 NTB327720 OCX327720 OMT327720 OWP327720 PGL327720 PQH327720 QAD327720 QJZ327720 QTV327720 RDR327720 RNN327720 RXJ327720 SHF327720 SRB327720 TAX327720 TKT327720 TUP327720 UEL327720 UOH327720 UYD327720 VHZ327720 VRV327720 WBR327720 WLN327720 WVJ327720 B393256 IX393256 ST393256 ACP393256 AML393256 AWH393256 BGD393256 BPZ393256 BZV393256 CJR393256 CTN393256 DDJ393256 DNF393256 DXB393256 EGX393256 EQT393256 FAP393256 FKL393256 FUH393256 GED393256 GNZ393256 GXV393256 HHR393256 HRN393256 IBJ393256 ILF393256 IVB393256 JEX393256 JOT393256 JYP393256 KIL393256 KSH393256 LCD393256 LLZ393256 LVV393256 MFR393256 MPN393256 MZJ393256 NJF393256 NTB393256 OCX393256 OMT393256 OWP393256 PGL393256 PQH393256 QAD393256 QJZ393256 QTV393256 RDR393256 RNN393256 RXJ393256 SHF393256 SRB393256 TAX393256 TKT393256 TUP393256 UEL393256 UOH393256 UYD393256 VHZ393256 VRV393256 WBR393256 WLN393256 WVJ393256 B458792 IX458792 ST458792 ACP458792 AML458792 AWH458792 BGD458792 BPZ458792 BZV458792 CJR458792 CTN458792 DDJ458792 DNF458792 DXB458792 EGX458792 EQT458792 FAP458792 FKL458792 FUH458792 GED458792 GNZ458792 GXV458792 HHR458792 HRN458792 IBJ458792 ILF458792 IVB458792 JEX458792 JOT458792 JYP458792 KIL458792 KSH458792 LCD458792 LLZ458792 LVV458792 MFR458792 MPN458792 MZJ458792 NJF458792 NTB458792 OCX458792 OMT458792 OWP458792 PGL458792 PQH458792 QAD458792 QJZ458792 QTV458792 RDR458792 RNN458792 RXJ458792 SHF458792 SRB458792 TAX458792 TKT458792 TUP458792 UEL458792 UOH458792 UYD458792 VHZ458792 VRV458792 WBR458792 WLN458792 WVJ458792 B524328 IX524328 ST524328 ACP524328 AML524328 AWH524328 BGD524328 BPZ524328 BZV524328 CJR524328 CTN524328 DDJ524328 DNF524328 DXB524328 EGX524328 EQT524328 FAP524328 FKL524328 FUH524328 GED524328 GNZ524328 GXV524328 HHR524328 HRN524328 IBJ524328 ILF524328 IVB524328 JEX524328 JOT524328 JYP524328 KIL524328 KSH524328 LCD524328 LLZ524328 LVV524328 MFR524328 MPN524328 MZJ524328 NJF524328 NTB524328 OCX524328 OMT524328 OWP524328 PGL524328 PQH524328 QAD524328 QJZ524328 QTV524328 RDR524328 RNN524328 RXJ524328 SHF524328 SRB524328 TAX524328 TKT524328 TUP524328 UEL524328 UOH524328 UYD524328 VHZ524328 VRV524328 WBR524328 WLN524328 WVJ524328 B589864 IX589864 ST589864 ACP589864 AML589864 AWH589864 BGD589864 BPZ589864 BZV589864 CJR589864 CTN589864 DDJ589864 DNF589864 DXB589864 EGX589864 EQT589864 FAP589864 FKL589864 FUH589864 GED589864 GNZ589864 GXV589864 HHR589864 HRN589864 IBJ589864 ILF589864 IVB589864 JEX589864 JOT589864 JYP589864 KIL589864 KSH589864 LCD589864 LLZ589864 LVV589864 MFR589864 MPN589864 MZJ589864 NJF589864 NTB589864 OCX589864 OMT589864 OWP589864 PGL589864 PQH589864 QAD589864 QJZ589864 QTV589864 RDR589864 RNN589864 RXJ589864 SHF589864 SRB589864 TAX589864 TKT589864 TUP589864 UEL589864 UOH589864 UYD589864 VHZ589864 VRV589864 WBR589864 WLN589864 WVJ589864 B655400 IX655400 ST655400 ACP655400 AML655400 AWH655400 BGD655400 BPZ655400 BZV655400 CJR655400 CTN655400 DDJ655400 DNF655400 DXB655400 EGX655400 EQT655400 FAP655400 FKL655400 FUH655400 GED655400 GNZ655400 GXV655400 HHR655400 HRN655400 IBJ655400 ILF655400 IVB655400 JEX655400 JOT655400 JYP655400 KIL655400 KSH655400 LCD655400 LLZ655400 LVV655400 MFR655400 MPN655400 MZJ655400 NJF655400 NTB655400 OCX655400 OMT655400 OWP655400 PGL655400 PQH655400 QAD655400 QJZ655400 QTV655400 RDR655400 RNN655400 RXJ655400 SHF655400 SRB655400 TAX655400 TKT655400 TUP655400 UEL655400 UOH655400 UYD655400 VHZ655400 VRV655400 WBR655400 WLN655400 WVJ655400 B720936 IX720936 ST720936 ACP720936 AML720936 AWH720936 BGD720936 BPZ720936 BZV720936 CJR720936 CTN720936 DDJ720936 DNF720936 DXB720936 EGX720936 EQT720936 FAP720936 FKL720936 FUH720936 GED720936 GNZ720936 GXV720936 HHR720936 HRN720936 IBJ720936 ILF720936 IVB720936 JEX720936 JOT720936 JYP720936 KIL720936 KSH720936 LCD720936 LLZ720936 LVV720936 MFR720936 MPN720936 MZJ720936 NJF720936 NTB720936 OCX720936 OMT720936 OWP720936 PGL720936 PQH720936 QAD720936 QJZ720936 QTV720936 RDR720936 RNN720936 RXJ720936 SHF720936 SRB720936 TAX720936 TKT720936 TUP720936 UEL720936 UOH720936 UYD720936 VHZ720936 VRV720936 WBR720936 WLN720936 WVJ720936 B786472 IX786472 ST786472 ACP786472 AML786472 AWH786472 BGD786472 BPZ786472 BZV786472 CJR786472 CTN786472 DDJ786472 DNF786472 DXB786472 EGX786472 EQT786472 FAP786472 FKL786472 FUH786472 GED786472 GNZ786472 GXV786472 HHR786472 HRN786472 IBJ786472 ILF786472 IVB786472 JEX786472 JOT786472 JYP786472 KIL786472 KSH786472 LCD786472 LLZ786472 LVV786472 MFR786472 MPN786472 MZJ786472 NJF786472 NTB786472 OCX786472 OMT786472 OWP786472 PGL786472 PQH786472 QAD786472 QJZ786472 QTV786472 RDR786472 RNN786472 RXJ786472 SHF786472 SRB786472 TAX786472 TKT786472 TUP786472 UEL786472 UOH786472 UYD786472 VHZ786472 VRV786472 WBR786472 WLN786472 WVJ786472 B852008 IX852008 ST852008 ACP852008 AML852008 AWH852008 BGD852008 BPZ852008 BZV852008 CJR852008 CTN852008 DDJ852008 DNF852008 DXB852008 EGX852008 EQT852008 FAP852008 FKL852008 FUH852008 GED852008 GNZ852008 GXV852008 HHR852008 HRN852008 IBJ852008 ILF852008 IVB852008 JEX852008 JOT852008 JYP852008 KIL852008 KSH852008 LCD852008 LLZ852008 LVV852008 MFR852008 MPN852008 MZJ852008 NJF852008 NTB852008 OCX852008 OMT852008 OWP852008 PGL852008 PQH852008 QAD852008 QJZ852008 QTV852008 RDR852008 RNN852008 RXJ852008 SHF852008 SRB852008 TAX852008 TKT852008 TUP852008 UEL852008 UOH852008 UYD852008 VHZ852008 VRV852008 WBR852008 WLN852008 WVJ852008 B917544 IX917544 ST917544 ACP917544 AML917544 AWH917544 BGD917544 BPZ917544 BZV917544 CJR917544 CTN917544 DDJ917544 DNF917544 DXB917544 EGX917544 EQT917544 FAP917544 FKL917544 FUH917544 GED917544 GNZ917544 GXV917544 HHR917544 HRN917544 IBJ917544 ILF917544 IVB917544 JEX917544 JOT917544 JYP917544 KIL917544 KSH917544 LCD917544 LLZ917544 LVV917544 MFR917544 MPN917544 MZJ917544 NJF917544 NTB917544 OCX917544 OMT917544 OWP917544 PGL917544 PQH917544 QAD917544 QJZ917544 QTV917544 RDR917544 RNN917544 RXJ917544 SHF917544 SRB917544 TAX917544 TKT917544 TUP917544 UEL917544 UOH917544 UYD917544 VHZ917544 VRV917544 WBR917544 WLN917544 WVJ917544 B983080 IX983080 ST983080 ACP983080 AML983080 AWH983080 BGD983080 BPZ983080 BZV983080 CJR983080 CTN983080 DDJ983080 DNF983080 DXB983080 EGX983080 EQT983080 FAP983080 FKL983080 FUH983080 GED983080 GNZ983080 GXV983080 HHR983080 HRN983080 IBJ983080 ILF983080 IVB983080 JEX983080 JOT983080 JYP983080 KIL983080 KSH983080 LCD983080 LLZ983080 LVV983080 MFR983080 MPN983080 MZJ983080 NJF983080 NTB983080 OCX983080 OMT983080 OWP983080 PGL983080 PQH983080 QAD983080 QJZ983080 QTV983080 RDR983080 RNN983080 RXJ983080 SHF983080 SRB983080 TAX983080 TKT983080 TUP983080 UEL983080 UOH983080 UYD983080 VHZ983080 VRV983080 WBR983080 WLN983080 WVJ983080" xr:uid="{D3BD35DE-735F-4001-BB1E-ADF011B72AC4}">
      <formula1>"YES,NO"</formula1>
    </dataValidation>
    <dataValidation type="list" allowBlank="1" showInputMessage="1" showErrorMessage="1" sqref="B37 IX37 ST37 ACP37 AML37 AWH37 BGD37 BPZ37 BZV37 CJR37 CTN37 DDJ37 DNF37 DXB37 EGX37 EQT37 FAP37 FKL37 FUH37 GED37 GNZ37 GXV37 HHR37 HRN37 IBJ37 ILF37 IVB37 JEX37 JOT37 JYP37 KIL37 KSH37 LCD37 LLZ37 LVV37 MFR37 MPN37 MZJ37 NJF37 NTB37 OCX37 OMT37 OWP37 PGL37 PQH37 QAD37 QJZ37 QTV37 RDR37 RNN37 RXJ37 SHF37 SRB37 TAX37 TKT37 TUP37 UEL37 UOH37 UYD37 VHZ37 VRV37 WBR37 WLN37 WVJ37 B65573 IX65573 ST65573 ACP65573 AML65573 AWH65573 BGD65573 BPZ65573 BZV65573 CJR65573 CTN65573 DDJ65573 DNF65573 DXB65573 EGX65573 EQT65573 FAP65573 FKL65573 FUH65573 GED65573 GNZ65573 GXV65573 HHR65573 HRN65573 IBJ65573 ILF65573 IVB65573 JEX65573 JOT65573 JYP65573 KIL65573 KSH65573 LCD65573 LLZ65573 LVV65573 MFR65573 MPN65573 MZJ65573 NJF65573 NTB65573 OCX65573 OMT65573 OWP65573 PGL65573 PQH65573 QAD65573 QJZ65573 QTV65573 RDR65573 RNN65573 RXJ65573 SHF65573 SRB65573 TAX65573 TKT65573 TUP65573 UEL65573 UOH65573 UYD65573 VHZ65573 VRV65573 WBR65573 WLN65573 WVJ65573 B131109 IX131109 ST131109 ACP131109 AML131109 AWH131109 BGD131109 BPZ131109 BZV131109 CJR131109 CTN131109 DDJ131109 DNF131109 DXB131109 EGX131109 EQT131109 FAP131109 FKL131109 FUH131109 GED131109 GNZ131109 GXV131109 HHR131109 HRN131109 IBJ131109 ILF131109 IVB131109 JEX131109 JOT131109 JYP131109 KIL131109 KSH131109 LCD131109 LLZ131109 LVV131109 MFR131109 MPN131109 MZJ131109 NJF131109 NTB131109 OCX131109 OMT131109 OWP131109 PGL131109 PQH131109 QAD131109 QJZ131109 QTV131109 RDR131109 RNN131109 RXJ131109 SHF131109 SRB131109 TAX131109 TKT131109 TUP131109 UEL131109 UOH131109 UYD131109 VHZ131109 VRV131109 WBR131109 WLN131109 WVJ131109 B196645 IX196645 ST196645 ACP196645 AML196645 AWH196645 BGD196645 BPZ196645 BZV196645 CJR196645 CTN196645 DDJ196645 DNF196645 DXB196645 EGX196645 EQT196645 FAP196645 FKL196645 FUH196645 GED196645 GNZ196645 GXV196645 HHR196645 HRN196645 IBJ196645 ILF196645 IVB196645 JEX196645 JOT196645 JYP196645 KIL196645 KSH196645 LCD196645 LLZ196645 LVV196645 MFR196645 MPN196645 MZJ196645 NJF196645 NTB196645 OCX196645 OMT196645 OWP196645 PGL196645 PQH196645 QAD196645 QJZ196645 QTV196645 RDR196645 RNN196645 RXJ196645 SHF196645 SRB196645 TAX196645 TKT196645 TUP196645 UEL196645 UOH196645 UYD196645 VHZ196645 VRV196645 WBR196645 WLN196645 WVJ196645 B262181 IX262181 ST262181 ACP262181 AML262181 AWH262181 BGD262181 BPZ262181 BZV262181 CJR262181 CTN262181 DDJ262181 DNF262181 DXB262181 EGX262181 EQT262181 FAP262181 FKL262181 FUH262181 GED262181 GNZ262181 GXV262181 HHR262181 HRN262181 IBJ262181 ILF262181 IVB262181 JEX262181 JOT262181 JYP262181 KIL262181 KSH262181 LCD262181 LLZ262181 LVV262181 MFR262181 MPN262181 MZJ262181 NJF262181 NTB262181 OCX262181 OMT262181 OWP262181 PGL262181 PQH262181 QAD262181 QJZ262181 QTV262181 RDR262181 RNN262181 RXJ262181 SHF262181 SRB262181 TAX262181 TKT262181 TUP262181 UEL262181 UOH262181 UYD262181 VHZ262181 VRV262181 WBR262181 WLN262181 WVJ262181 B327717 IX327717 ST327717 ACP327717 AML327717 AWH327717 BGD327717 BPZ327717 BZV327717 CJR327717 CTN327717 DDJ327717 DNF327717 DXB327717 EGX327717 EQT327717 FAP327717 FKL327717 FUH327717 GED327717 GNZ327717 GXV327717 HHR327717 HRN327717 IBJ327717 ILF327717 IVB327717 JEX327717 JOT327717 JYP327717 KIL327717 KSH327717 LCD327717 LLZ327717 LVV327717 MFR327717 MPN327717 MZJ327717 NJF327717 NTB327717 OCX327717 OMT327717 OWP327717 PGL327717 PQH327717 QAD327717 QJZ327717 QTV327717 RDR327717 RNN327717 RXJ327717 SHF327717 SRB327717 TAX327717 TKT327717 TUP327717 UEL327717 UOH327717 UYD327717 VHZ327717 VRV327717 WBR327717 WLN327717 WVJ327717 B393253 IX393253 ST393253 ACP393253 AML393253 AWH393253 BGD393253 BPZ393253 BZV393253 CJR393253 CTN393253 DDJ393253 DNF393253 DXB393253 EGX393253 EQT393253 FAP393253 FKL393253 FUH393253 GED393253 GNZ393253 GXV393253 HHR393253 HRN393253 IBJ393253 ILF393253 IVB393253 JEX393253 JOT393253 JYP393253 KIL393253 KSH393253 LCD393253 LLZ393253 LVV393253 MFR393253 MPN393253 MZJ393253 NJF393253 NTB393253 OCX393253 OMT393253 OWP393253 PGL393253 PQH393253 QAD393253 QJZ393253 QTV393253 RDR393253 RNN393253 RXJ393253 SHF393253 SRB393253 TAX393253 TKT393253 TUP393253 UEL393253 UOH393253 UYD393253 VHZ393253 VRV393253 WBR393253 WLN393253 WVJ393253 B458789 IX458789 ST458789 ACP458789 AML458789 AWH458789 BGD458789 BPZ458789 BZV458789 CJR458789 CTN458789 DDJ458789 DNF458789 DXB458789 EGX458789 EQT458789 FAP458789 FKL458789 FUH458789 GED458789 GNZ458789 GXV458789 HHR458789 HRN458789 IBJ458789 ILF458789 IVB458789 JEX458789 JOT458789 JYP458789 KIL458789 KSH458789 LCD458789 LLZ458789 LVV458789 MFR458789 MPN458789 MZJ458789 NJF458789 NTB458789 OCX458789 OMT458789 OWP458789 PGL458789 PQH458789 QAD458789 QJZ458789 QTV458789 RDR458789 RNN458789 RXJ458789 SHF458789 SRB458789 TAX458789 TKT458789 TUP458789 UEL458789 UOH458789 UYD458789 VHZ458789 VRV458789 WBR458789 WLN458789 WVJ458789 B524325 IX524325 ST524325 ACP524325 AML524325 AWH524325 BGD524325 BPZ524325 BZV524325 CJR524325 CTN524325 DDJ524325 DNF524325 DXB524325 EGX524325 EQT524325 FAP524325 FKL524325 FUH524325 GED524325 GNZ524325 GXV524325 HHR524325 HRN524325 IBJ524325 ILF524325 IVB524325 JEX524325 JOT524325 JYP524325 KIL524325 KSH524325 LCD524325 LLZ524325 LVV524325 MFR524325 MPN524325 MZJ524325 NJF524325 NTB524325 OCX524325 OMT524325 OWP524325 PGL524325 PQH524325 QAD524325 QJZ524325 QTV524325 RDR524325 RNN524325 RXJ524325 SHF524325 SRB524325 TAX524325 TKT524325 TUP524325 UEL524325 UOH524325 UYD524325 VHZ524325 VRV524325 WBR524325 WLN524325 WVJ524325 B589861 IX589861 ST589861 ACP589861 AML589861 AWH589861 BGD589861 BPZ589861 BZV589861 CJR589861 CTN589861 DDJ589861 DNF589861 DXB589861 EGX589861 EQT589861 FAP589861 FKL589861 FUH589861 GED589861 GNZ589861 GXV589861 HHR589861 HRN589861 IBJ589861 ILF589861 IVB589861 JEX589861 JOT589861 JYP589861 KIL589861 KSH589861 LCD589861 LLZ589861 LVV589861 MFR589861 MPN589861 MZJ589861 NJF589861 NTB589861 OCX589861 OMT589861 OWP589861 PGL589861 PQH589861 QAD589861 QJZ589861 QTV589861 RDR589861 RNN589861 RXJ589861 SHF589861 SRB589861 TAX589861 TKT589861 TUP589861 UEL589861 UOH589861 UYD589861 VHZ589861 VRV589861 WBR589861 WLN589861 WVJ589861 B655397 IX655397 ST655397 ACP655397 AML655397 AWH655397 BGD655397 BPZ655397 BZV655397 CJR655397 CTN655397 DDJ655397 DNF655397 DXB655397 EGX655397 EQT655397 FAP655397 FKL655397 FUH655397 GED655397 GNZ655397 GXV655397 HHR655397 HRN655397 IBJ655397 ILF655397 IVB655397 JEX655397 JOT655397 JYP655397 KIL655397 KSH655397 LCD655397 LLZ655397 LVV655397 MFR655397 MPN655397 MZJ655397 NJF655397 NTB655397 OCX655397 OMT655397 OWP655397 PGL655397 PQH655397 QAD655397 QJZ655397 QTV655397 RDR655397 RNN655397 RXJ655397 SHF655397 SRB655397 TAX655397 TKT655397 TUP655397 UEL655397 UOH655397 UYD655397 VHZ655397 VRV655397 WBR655397 WLN655397 WVJ655397 B720933 IX720933 ST720933 ACP720933 AML720933 AWH720933 BGD720933 BPZ720933 BZV720933 CJR720933 CTN720933 DDJ720933 DNF720933 DXB720933 EGX720933 EQT720933 FAP720933 FKL720933 FUH720933 GED720933 GNZ720933 GXV720933 HHR720933 HRN720933 IBJ720933 ILF720933 IVB720933 JEX720933 JOT720933 JYP720933 KIL720933 KSH720933 LCD720933 LLZ720933 LVV720933 MFR720933 MPN720933 MZJ720933 NJF720933 NTB720933 OCX720933 OMT720933 OWP720933 PGL720933 PQH720933 QAD720933 QJZ720933 QTV720933 RDR720933 RNN720933 RXJ720933 SHF720933 SRB720933 TAX720933 TKT720933 TUP720933 UEL720933 UOH720933 UYD720933 VHZ720933 VRV720933 WBR720933 WLN720933 WVJ720933 B786469 IX786469 ST786469 ACP786469 AML786469 AWH786469 BGD786469 BPZ786469 BZV786469 CJR786469 CTN786469 DDJ786469 DNF786469 DXB786469 EGX786469 EQT786469 FAP786469 FKL786469 FUH786469 GED786469 GNZ786469 GXV786469 HHR786469 HRN786469 IBJ786469 ILF786469 IVB786469 JEX786469 JOT786469 JYP786469 KIL786469 KSH786469 LCD786469 LLZ786469 LVV786469 MFR786469 MPN786469 MZJ786469 NJF786469 NTB786469 OCX786469 OMT786469 OWP786469 PGL786469 PQH786469 QAD786469 QJZ786469 QTV786469 RDR786469 RNN786469 RXJ786469 SHF786469 SRB786469 TAX786469 TKT786469 TUP786469 UEL786469 UOH786469 UYD786469 VHZ786469 VRV786469 WBR786469 WLN786469 WVJ786469 B852005 IX852005 ST852005 ACP852005 AML852005 AWH852005 BGD852005 BPZ852005 BZV852005 CJR852005 CTN852005 DDJ852005 DNF852005 DXB852005 EGX852005 EQT852005 FAP852005 FKL852005 FUH852005 GED852005 GNZ852005 GXV852005 HHR852005 HRN852005 IBJ852005 ILF852005 IVB852005 JEX852005 JOT852005 JYP852005 KIL852005 KSH852005 LCD852005 LLZ852005 LVV852005 MFR852005 MPN852005 MZJ852005 NJF852005 NTB852005 OCX852005 OMT852005 OWP852005 PGL852005 PQH852005 QAD852005 QJZ852005 QTV852005 RDR852005 RNN852005 RXJ852005 SHF852005 SRB852005 TAX852005 TKT852005 TUP852005 UEL852005 UOH852005 UYD852005 VHZ852005 VRV852005 WBR852005 WLN852005 WVJ852005 B917541 IX917541 ST917541 ACP917541 AML917541 AWH917541 BGD917541 BPZ917541 BZV917541 CJR917541 CTN917541 DDJ917541 DNF917541 DXB917541 EGX917541 EQT917541 FAP917541 FKL917541 FUH917541 GED917541 GNZ917541 GXV917541 HHR917541 HRN917541 IBJ917541 ILF917541 IVB917541 JEX917541 JOT917541 JYP917541 KIL917541 KSH917541 LCD917541 LLZ917541 LVV917541 MFR917541 MPN917541 MZJ917541 NJF917541 NTB917541 OCX917541 OMT917541 OWP917541 PGL917541 PQH917541 QAD917541 QJZ917541 QTV917541 RDR917541 RNN917541 RXJ917541 SHF917541 SRB917541 TAX917541 TKT917541 TUP917541 UEL917541 UOH917541 UYD917541 VHZ917541 VRV917541 WBR917541 WLN917541 WVJ917541 B983077 IX983077 ST983077 ACP983077 AML983077 AWH983077 BGD983077 BPZ983077 BZV983077 CJR983077 CTN983077 DDJ983077 DNF983077 DXB983077 EGX983077 EQT983077 FAP983077 FKL983077 FUH983077 GED983077 GNZ983077 GXV983077 HHR983077 HRN983077 IBJ983077 ILF983077 IVB983077 JEX983077 JOT983077 JYP983077 KIL983077 KSH983077 LCD983077 LLZ983077 LVV983077 MFR983077 MPN983077 MZJ983077 NJF983077 NTB983077 OCX983077 OMT983077 OWP983077 PGL983077 PQH983077 QAD983077 QJZ983077 QTV983077 RDR983077 RNN983077 RXJ983077 SHF983077 SRB983077 TAX983077 TKT983077 TUP983077 UEL983077 UOH983077 UYD983077 VHZ983077 VRV983077 WBR983077 WLN983077 WVJ983077" xr:uid="{93428614-09A2-4940-968C-0AEFFDC939AB}">
      <formula1>"NET, GROSS, GROSS +"</formula1>
    </dataValidation>
  </dataValidations>
  <pageMargins left="0.75" right="0.75" top="1" bottom="1" header="0.5" footer="0.5"/>
  <pageSetup paperSize="9" scale="61" orientation="portrait" r:id="rId2"/>
  <headerFooter alignWithMargins="0"/>
  <drawing r:id="rId3"/>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Investa REO Word Document" ma:contentTypeID="0x01010097FCD68C729D29409E2E9DC6DD16369A1800FE9548B8CA0EE44187D1BECAD83031E1" ma:contentTypeVersion="13" ma:contentTypeDescription="" ma:contentTypeScope="" ma:versionID="623abd9d3f389b4b7e9be28a0af7a69c">
  <xsd:schema xmlns:xsd="http://www.w3.org/2001/XMLSchema" xmlns:xs="http://www.w3.org/2001/XMLSchema" xmlns:p="http://schemas.microsoft.com/office/2006/metadata/properties" xmlns:ns2="7143f88c-566f-45a1-9981-bd2841a7f127" xmlns:ns3="0d8a7d43-a595-4ea6-a3ef-dd1e7299216e" targetNamespace="http://schemas.microsoft.com/office/2006/metadata/properties" ma:root="true" ma:fieldsID="444c53d59fb8a3c80d31dd790adb5294" ns2:_="" ns3:_="">
    <xsd:import namespace="7143f88c-566f-45a1-9981-bd2841a7f127"/>
    <xsd:import namespace="0d8a7d43-a595-4ea6-a3ef-dd1e7299216e"/>
    <xsd:element name="properties">
      <xsd:complexType>
        <xsd:sequence>
          <xsd:element name="documentManagement">
            <xsd:complexType>
              <xsd:all>
                <xsd:element ref="ns2:LegacyCourseName" minOccurs="0"/>
                <xsd:element ref="ns2:LegacyHyperlink" minOccurs="0"/>
                <xsd:element ref="ns2:LegacyMaterialType" minOccurs="0"/>
                <xsd:element ref="ns2:LegacyProvider" minOccurs="0"/>
                <xsd:element ref="ns2:LegacySubTeam" minOccurs="0"/>
                <xsd:element ref="ns2:LegacySystem" minOccurs="0"/>
                <xsd:element ref="ns2:LegacyTeam" minOccurs="0"/>
                <xsd:element ref="ns2:nff092f63389478bbf04fa8de49065c7" minOccurs="0"/>
                <xsd:element ref="ns2:a15f371a7e094f0c9a8d5af605e0f009" minOccurs="0"/>
                <xsd:element ref="ns2:TaxCatchAll" minOccurs="0"/>
                <xsd:element ref="ns2:TaxCatchAllLabel" minOccurs="0"/>
                <xsd:element ref="ns2:hacffd313bce458dac0f119eb0da2108" minOccurs="0"/>
                <xsd:element ref="ns2:i7ffe24c9d314d4b819e7b6746626b37" minOccurs="0"/>
                <xsd:element ref="ns2:gd302cc921a04c328fc94403576095b5" minOccurs="0"/>
                <xsd:element ref="ns2:dbfe60076f8e44408090431391f5ba59"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43f88c-566f-45a1-9981-bd2841a7f127" elementFormDefault="qualified">
    <xsd:import namespace="http://schemas.microsoft.com/office/2006/documentManagement/types"/>
    <xsd:import namespace="http://schemas.microsoft.com/office/infopath/2007/PartnerControls"/>
    <xsd:element name="LegacyCourseName" ma:index="8" nillable="true" ma:displayName="Legacy Course Name" ma:internalName="LegacyCourseName">
      <xsd:simpleType>
        <xsd:restriction base="dms:Text">
          <xsd:maxLength value="255"/>
        </xsd:restriction>
      </xsd:simpleType>
    </xsd:element>
    <xsd:element name="LegacyHyperlink" ma:index="9" nillable="true" ma:displayName="Legacy Hyperlink" ma:format="Hyperlink" ma:internalName="LegacyHyperlink">
      <xsd:complexType>
        <xsd:complexContent>
          <xsd:extension base="dms:URL">
            <xsd:sequence>
              <xsd:element name="Url" type="dms:ValidUrl" minOccurs="0" nillable="true"/>
              <xsd:element name="Description" type="xsd:string" nillable="true"/>
            </xsd:sequence>
          </xsd:extension>
        </xsd:complexContent>
      </xsd:complexType>
    </xsd:element>
    <xsd:element name="LegacyMaterialType" ma:index="10" nillable="true" ma:displayName="Legacy Material Type" ma:internalName="LegacyMaterialType">
      <xsd:simpleType>
        <xsd:restriction base="dms:Text">
          <xsd:maxLength value="255"/>
        </xsd:restriction>
      </xsd:simpleType>
    </xsd:element>
    <xsd:element name="LegacyProvider" ma:index="11" nillable="true" ma:displayName="Legacy Provider" ma:internalName="LegacyProvider">
      <xsd:simpleType>
        <xsd:restriction base="dms:Text">
          <xsd:maxLength value="255"/>
        </xsd:restriction>
      </xsd:simpleType>
    </xsd:element>
    <xsd:element name="LegacySubTeam" ma:index="12" nillable="true" ma:displayName="Legacy Sub Team" ma:internalName="LegacySubTeam">
      <xsd:simpleType>
        <xsd:restriction base="dms:Text">
          <xsd:maxLength value="255"/>
        </xsd:restriction>
      </xsd:simpleType>
    </xsd:element>
    <xsd:element name="LegacySystem" ma:index="13" nillable="true" ma:displayName="Legacy System" ma:internalName="LegacySystem">
      <xsd:simpleType>
        <xsd:restriction base="dms:Text">
          <xsd:maxLength value="255"/>
        </xsd:restriction>
      </xsd:simpleType>
    </xsd:element>
    <xsd:element name="LegacyTeam" ma:index="14" nillable="true" ma:displayName="Legacy Team" ma:internalName="LegacyTeam">
      <xsd:simpleType>
        <xsd:restriction base="dms:Text">
          <xsd:maxLength value="255"/>
        </xsd:restriction>
      </xsd:simpleType>
    </xsd:element>
    <xsd:element name="nff092f63389478bbf04fa8de49065c7" ma:index="16" nillable="true" ma:taxonomy="true" ma:internalName="nff092f63389478bbf04fa8de49065c7" ma:taxonomyFieldName="Tenant" ma:displayName="Tenant" ma:default="" ma:fieldId="{7ff092f6-3389-478b-bf04-fa8de49065c7}" ma:sspId="a6804dbc-1c05-4059-9848-38c68bf08a51" ma:termSetId="e9033640-b2f1-4115-942b-b7e558bfd561" ma:anchorId="00000000-0000-0000-0000-000000000000" ma:open="false" ma:isKeyword="false">
      <xsd:complexType>
        <xsd:sequence>
          <xsd:element ref="pc:Terms" minOccurs="0" maxOccurs="1"/>
        </xsd:sequence>
      </xsd:complexType>
    </xsd:element>
    <xsd:element name="a15f371a7e094f0c9a8d5af605e0f009" ma:index="19" nillable="true" ma:taxonomy="true" ma:internalName="a15f371a7e094f0c9a8d5af605e0f009" ma:taxonomyFieldName="DocumentType" ma:displayName="Document Type" ma:default="" ma:fieldId="{a15f371a-7e09-4f0c-9a8d-5af605e0f009}" ma:sspId="a6804dbc-1c05-4059-9848-38c68bf08a51" ma:termSetId="8b3923c8-2fd9-44f2-9eed-cbe34b69c33c" ma:anchorId="00000000-0000-0000-0000-000000000000" ma:open="false" ma:isKeyword="false">
      <xsd:complexType>
        <xsd:sequence>
          <xsd:element ref="pc:Terms" minOccurs="0" maxOccurs="1"/>
        </xsd:sequence>
      </xsd:complexType>
    </xsd:element>
    <xsd:element name="TaxCatchAll" ma:index="20" nillable="true" ma:displayName="Taxonomy Catch All Column" ma:hidden="true" ma:list="{0cc71fa7-55e9-4d92-b63d-cf5f2a3baeb4}" ma:internalName="TaxCatchAll" ma:showField="CatchAllData" ma:web="0d8a7d43-a595-4ea6-a3ef-dd1e7299216e">
      <xsd:complexType>
        <xsd:complexContent>
          <xsd:extension base="dms:MultiChoiceLookup">
            <xsd:sequence>
              <xsd:element name="Value" type="dms:Lookup" maxOccurs="unbounded" minOccurs="0" nillable="true"/>
            </xsd:sequence>
          </xsd:extension>
        </xsd:complexContent>
      </xsd:complexType>
    </xsd:element>
    <xsd:element name="TaxCatchAllLabel" ma:index="21" nillable="true" ma:displayName="Taxonomy Catch All Column1" ma:hidden="true" ma:list="{0cc71fa7-55e9-4d92-b63d-cf5f2a3baeb4}" ma:internalName="TaxCatchAllLabel" ma:readOnly="true" ma:showField="CatchAllDataLabel" ma:web="0d8a7d43-a595-4ea6-a3ef-dd1e7299216e">
      <xsd:complexType>
        <xsd:complexContent>
          <xsd:extension base="dms:MultiChoiceLookup">
            <xsd:sequence>
              <xsd:element name="Value" type="dms:Lookup" maxOccurs="unbounded" minOccurs="0" nillable="true"/>
            </xsd:sequence>
          </xsd:extension>
        </xsd:complexContent>
      </xsd:complexType>
    </xsd:element>
    <xsd:element name="hacffd313bce458dac0f119eb0da2108" ma:index="22" nillable="true" ma:taxonomy="true" ma:internalName="hacffd313bce458dac0f119eb0da2108" ma:taxonomyFieldName="Year" ma:displayName="Year" ma:default="" ma:fieldId="{1acffd31-3bce-458d-ac0f-119eb0da2108}" ma:sspId="a6804dbc-1c05-4059-9848-38c68bf08a51" ma:termSetId="87144a96-d316-4f78-8ce8-af38746e1cca" ma:anchorId="00000000-0000-0000-0000-000000000000" ma:open="false" ma:isKeyword="false">
      <xsd:complexType>
        <xsd:sequence>
          <xsd:element ref="pc:Terms" minOccurs="0" maxOccurs="1"/>
        </xsd:sequence>
      </xsd:complexType>
    </xsd:element>
    <xsd:element name="i7ffe24c9d314d4b819e7b6746626b37" ma:index="24" nillable="true" ma:taxonomy="true" ma:internalName="i7ffe24c9d314d4b819e7b6746626b37" ma:taxonomyFieldName="Month" ma:displayName="Month" ma:default="" ma:fieldId="{27ffe24c-9d31-4d4b-819e-7b6746626b37}" ma:sspId="a6804dbc-1c05-4059-9848-38c68bf08a51" ma:termSetId="40545723-fdde-4997-9c03-54fcaf05ef94" ma:anchorId="00000000-0000-0000-0000-000000000000" ma:open="false" ma:isKeyword="false">
      <xsd:complexType>
        <xsd:sequence>
          <xsd:element ref="pc:Terms" minOccurs="0" maxOccurs="1"/>
        </xsd:sequence>
      </xsd:complexType>
    </xsd:element>
    <xsd:element name="gd302cc921a04c328fc94403576095b5" ma:index="26" nillable="true" ma:taxonomy="true" ma:internalName="gd302cc921a04c328fc94403576095b5" ma:taxonomyFieldName="Topic" ma:displayName="Topic" ma:default="" ma:fieldId="{0d302cc9-21a0-4c32-8fc9-4403576095b5}" ma:taxonomyMulti="true" ma:sspId="a6804dbc-1c05-4059-9848-38c68bf08a51" ma:termSetId="a4fb62e8-ace3-459a-88db-e6616a7946eb" ma:anchorId="f94fe662-763e-4090-a6c0-4cf11464a65a" ma:open="false" ma:isKeyword="false">
      <xsd:complexType>
        <xsd:sequence>
          <xsd:element ref="pc:Terms" minOccurs="0" maxOccurs="1"/>
        </xsd:sequence>
      </xsd:complexType>
    </xsd:element>
    <xsd:element name="dbfe60076f8e44408090431391f5ba59" ma:index="28" nillable="true" ma:taxonomy="true" ma:internalName="dbfe60076f8e44408090431391f5ba59" ma:taxonomyFieldName="Property" ma:displayName="Property" ma:default="" ma:fieldId="{dbfe6007-6f8e-4440-8090-431391f5ba59}" ma:sspId="a6804dbc-1c05-4059-9848-38c68bf08a51" ma:termSetId="1c54e986-bcfc-4a48-9263-a7920c7209b5"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0d8a7d43-a595-4ea6-a3ef-dd1e7299216e" elementFormDefault="qualified">
    <xsd:import namespace="http://schemas.microsoft.com/office/2006/documentManagement/types"/>
    <xsd:import namespace="http://schemas.microsoft.com/office/infopath/2007/PartnerControls"/>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a6804dbc-1c05-4059-9848-38c68bf08a51" ContentTypeId="0x01010097FCD68C729D29409E2E9DC6DD16369A18"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7143f88c-566f-45a1-9981-bd2841a7f127" xsi:nil="true"/>
    <dbfe60076f8e44408090431391f5ba59 xmlns="7143f88c-566f-45a1-9981-bd2841a7f127">
      <Terms xmlns="http://schemas.microsoft.com/office/infopath/2007/PartnerControls"/>
    </dbfe60076f8e44408090431391f5ba59>
    <LegacySystem xmlns="7143f88c-566f-45a1-9981-bd2841a7f127" xsi:nil="true"/>
    <a15f371a7e094f0c9a8d5af605e0f009 xmlns="7143f88c-566f-45a1-9981-bd2841a7f127">
      <Terms xmlns="http://schemas.microsoft.com/office/infopath/2007/PartnerControls"/>
    </a15f371a7e094f0c9a8d5af605e0f009>
    <LegacyProvider xmlns="7143f88c-566f-45a1-9981-bd2841a7f127" xsi:nil="true"/>
    <LegacyMaterialType xmlns="7143f88c-566f-45a1-9981-bd2841a7f127" xsi:nil="true"/>
    <LegacySubTeam xmlns="7143f88c-566f-45a1-9981-bd2841a7f127" xsi:nil="true"/>
    <LegacyHyperlink xmlns="7143f88c-566f-45a1-9981-bd2841a7f127">
      <Url xsi:nil="true"/>
      <Description xsi:nil="true"/>
    </LegacyHyperlink>
    <LegacyCourseName xmlns="7143f88c-566f-45a1-9981-bd2841a7f127" xsi:nil="true"/>
    <gd302cc921a04c328fc94403576095b5 xmlns="7143f88c-566f-45a1-9981-bd2841a7f127">
      <Terms xmlns="http://schemas.microsoft.com/office/infopath/2007/PartnerControls"/>
    </gd302cc921a04c328fc94403576095b5>
    <LegacyTeam xmlns="7143f88c-566f-45a1-9981-bd2841a7f127" xsi:nil="true"/>
    <nff092f63389478bbf04fa8de49065c7 xmlns="7143f88c-566f-45a1-9981-bd2841a7f127">
      <Terms xmlns="http://schemas.microsoft.com/office/infopath/2007/PartnerControls"/>
    </nff092f63389478bbf04fa8de49065c7>
    <hacffd313bce458dac0f119eb0da2108 xmlns="7143f88c-566f-45a1-9981-bd2841a7f127">
      <Terms xmlns="http://schemas.microsoft.com/office/infopath/2007/PartnerControls"/>
    </hacffd313bce458dac0f119eb0da2108>
    <i7ffe24c9d314d4b819e7b6746626b37 xmlns="7143f88c-566f-45a1-9981-bd2841a7f127">
      <Terms xmlns="http://schemas.microsoft.com/office/infopath/2007/PartnerControls"/>
    </i7ffe24c9d314d4b819e7b6746626b37>
    <_dlc_DocId xmlns="0d8a7d43-a595-4ea6-a3ef-dd1e7299216e">SUST-912667416-18201</_dlc_DocId>
    <_dlc_DocIdUrl xmlns="0d8a7d43-a595-4ea6-a3ef-dd1e7299216e">
      <Url>https://investaproperties.sharepoint.com/teams/ESG/_layouts/15/DocIdRedir.aspx?ID=SUST-912667416-18201</Url>
      <Description>SUST-912667416-18201</Description>
    </_dlc_DocIdUrl>
  </documentManagement>
</p:properties>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D098727-D8AD-4255-BF88-8B0AB2C7BE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43f88c-566f-45a1-9981-bd2841a7f127"/>
    <ds:schemaRef ds:uri="0d8a7d43-a595-4ea6-a3ef-dd1e7299216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2D5CF7-4B59-40A3-A799-583E914B4D5E}">
  <ds:schemaRefs>
    <ds:schemaRef ds:uri="Microsoft.SharePoint.Taxonomy.ContentTypeSync"/>
  </ds:schemaRefs>
</ds:datastoreItem>
</file>

<file path=customXml/itemProps3.xml><?xml version="1.0" encoding="utf-8"?>
<ds:datastoreItem xmlns:ds="http://schemas.openxmlformats.org/officeDocument/2006/customXml" ds:itemID="{E18054CF-F218-450E-805B-9EA1A10EF2C6}">
  <ds:schemaRefs>
    <ds:schemaRef ds:uri="http://schemas.microsoft.com/sharepoint/v3/contenttype/forms"/>
  </ds:schemaRefs>
</ds:datastoreItem>
</file>

<file path=customXml/itemProps4.xml><?xml version="1.0" encoding="utf-8"?>
<ds:datastoreItem xmlns:ds="http://schemas.openxmlformats.org/officeDocument/2006/customXml" ds:itemID="{E2E96D55-92C0-4367-904F-4EC35BA6A7E2}">
  <ds:schemaRefs>
    <ds:schemaRef ds:uri="http://purl.org/dc/terms/"/>
    <ds:schemaRef ds:uri="http://schemas.microsoft.com/office/2006/documentManagement/types"/>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0d8a7d43-a595-4ea6-a3ef-dd1e7299216e"/>
    <ds:schemaRef ds:uri="7143f88c-566f-45a1-9981-bd2841a7f127"/>
    <ds:schemaRef ds:uri="http://www.w3.org/XML/1998/namespace"/>
    <ds:schemaRef ds:uri="http://purl.org/dc/dcmitype/"/>
  </ds:schemaRefs>
</ds:datastoreItem>
</file>

<file path=customXml/itemProps5.xml><?xml version="1.0" encoding="utf-8"?>
<ds:datastoreItem xmlns:ds="http://schemas.openxmlformats.org/officeDocument/2006/customXml" ds:itemID="{490B4AB3-D65A-484F-9CC0-9BF884A4B987}">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81</vt:i4>
      </vt:variant>
      <vt:variant>
        <vt:lpstr>Named Ranges</vt:lpstr>
      </vt:variant>
      <vt:variant>
        <vt:i4>46</vt:i4>
      </vt:variant>
    </vt:vector>
  </HeadingPairs>
  <TitlesOfParts>
    <vt:vector size="127" baseType="lpstr">
      <vt:lpstr>Sheet2</vt:lpstr>
      <vt:lpstr>ICPF</vt:lpstr>
      <vt:lpstr>IGO</vt:lpstr>
      <vt:lpstr>Investa_Property_Dec2022</vt:lpstr>
      <vt:lpstr>Asset Attributes</vt:lpstr>
      <vt:lpstr>Intensity Summary</vt:lpstr>
      <vt:lpstr>Footprint Summary</vt:lpstr>
      <vt:lpstr>Costs Summary</vt:lpstr>
      <vt:lpstr>Historic Utility Costs</vt:lpstr>
      <vt:lpstr>Historic Consumption</vt:lpstr>
      <vt:lpstr>Assumptions</vt:lpstr>
      <vt:lpstr>1M-DUMMY</vt:lpstr>
      <vt:lpstr>All_Projects</vt:lpstr>
      <vt:lpstr>Asset Roadmap</vt:lpstr>
      <vt:lpstr>1M-NR</vt:lpstr>
      <vt:lpstr>117C-NR</vt:lpstr>
      <vt:lpstr>120C-NR</vt:lpstr>
      <vt:lpstr>126P-NR</vt:lpstr>
      <vt:lpstr>130P-NR</vt:lpstr>
      <vt:lpstr>135K-NR</vt:lpstr>
      <vt:lpstr>151C-NR</vt:lpstr>
      <vt:lpstr>179T-NR</vt:lpstr>
      <vt:lpstr>201K-NR</vt:lpstr>
      <vt:lpstr>220L-NR</vt:lpstr>
      <vt:lpstr>259Q-NR</vt:lpstr>
      <vt:lpstr>347K-NR</vt:lpstr>
      <vt:lpstr>388G-NR</vt:lpstr>
      <vt:lpstr>1M-IS</vt:lpstr>
      <vt:lpstr>1M-OS</vt:lpstr>
      <vt:lpstr>40M-NR</vt:lpstr>
      <vt:lpstr>420G-NR</vt:lpstr>
      <vt:lpstr>567C-NR</vt:lpstr>
      <vt:lpstr>6OC-NR</vt:lpstr>
      <vt:lpstr>60MP-NR</vt:lpstr>
      <vt:lpstr>135K-IS</vt:lpstr>
      <vt:lpstr>135K-OS</vt:lpstr>
      <vt:lpstr>126P-IS</vt:lpstr>
      <vt:lpstr>126P-OS</vt:lpstr>
      <vt:lpstr>40M-IS</vt:lpstr>
      <vt:lpstr>40M-OS</vt:lpstr>
      <vt:lpstr>420G-IS</vt:lpstr>
      <vt:lpstr>420G-OS</vt:lpstr>
      <vt:lpstr>201K-IS</vt:lpstr>
      <vt:lpstr>201K-OS</vt:lpstr>
      <vt:lpstr>20B-IS</vt:lpstr>
      <vt:lpstr>20B-OS</vt:lpstr>
      <vt:lpstr>347K-IS</vt:lpstr>
      <vt:lpstr>347K-OS</vt:lpstr>
      <vt:lpstr>117C-IS</vt:lpstr>
      <vt:lpstr>117C-OS</vt:lpstr>
      <vt:lpstr>60MP-IS</vt:lpstr>
      <vt:lpstr>60MP-OS</vt:lpstr>
      <vt:lpstr>130P-IS</vt:lpstr>
      <vt:lpstr>130P-OS</vt:lpstr>
      <vt:lpstr>151C-IS</vt:lpstr>
      <vt:lpstr>151C-OS</vt:lpstr>
      <vt:lpstr>6O'C-IS</vt:lpstr>
      <vt:lpstr>6O'C-OS</vt:lpstr>
      <vt:lpstr>179T-IS</vt:lpstr>
      <vt:lpstr>179T-OS</vt:lpstr>
      <vt:lpstr>259Q-IS</vt:lpstr>
      <vt:lpstr>259Q-OS</vt:lpstr>
      <vt:lpstr>120C-IS</vt:lpstr>
      <vt:lpstr>120C-OS</vt:lpstr>
      <vt:lpstr>567C-IS</vt:lpstr>
      <vt:lpstr>567C-OS</vt:lpstr>
      <vt:lpstr>575B-IS</vt:lpstr>
      <vt:lpstr>575B-OS</vt:lpstr>
      <vt:lpstr>QV1-NR</vt:lpstr>
      <vt:lpstr>850C-NR</vt:lpstr>
      <vt:lpstr>850C-IS</vt:lpstr>
      <vt:lpstr>850C-OS</vt:lpstr>
      <vt:lpstr>850C-NR_PC</vt:lpstr>
      <vt:lpstr>20B-NR</vt:lpstr>
      <vt:lpstr>105M-NR</vt:lpstr>
      <vt:lpstr>105M-IS</vt:lpstr>
      <vt:lpstr>105M-OS</vt:lpstr>
      <vt:lpstr>QV1-IS</vt:lpstr>
      <vt:lpstr>QV1-OS</vt:lpstr>
      <vt:lpstr>388G-IS</vt:lpstr>
      <vt:lpstr>388G-OS</vt:lpstr>
      <vt:lpstr>'105M-NR'!Print_Area</vt:lpstr>
      <vt:lpstr>'105M-OS'!Print_Area</vt:lpstr>
      <vt:lpstr>'117C-NR'!Print_Area</vt:lpstr>
      <vt:lpstr>'117C-OS'!Print_Area</vt:lpstr>
      <vt:lpstr>'120C-NR'!Print_Area</vt:lpstr>
      <vt:lpstr>'120C-OS'!Print_Area</vt:lpstr>
      <vt:lpstr>'126P-NR'!Print_Area</vt:lpstr>
      <vt:lpstr>'126P-OS'!Print_Area</vt:lpstr>
      <vt:lpstr>'130P-NR'!Print_Area</vt:lpstr>
      <vt:lpstr>'130P-OS'!Print_Area</vt:lpstr>
      <vt:lpstr>'135K-NR'!Print_Area</vt:lpstr>
      <vt:lpstr>'135K-OS'!Print_Area</vt:lpstr>
      <vt:lpstr>'151C-NR'!Print_Area</vt:lpstr>
      <vt:lpstr>'151C-OS'!Print_Area</vt:lpstr>
      <vt:lpstr>'179T-NR'!Print_Area</vt:lpstr>
      <vt:lpstr>'179T-OS'!Print_Area</vt:lpstr>
      <vt:lpstr>'1M-DUMMY'!Print_Area</vt:lpstr>
      <vt:lpstr>'1M-NR'!Print_Area</vt:lpstr>
      <vt:lpstr>'1M-OS'!Print_Area</vt:lpstr>
      <vt:lpstr>'201K-NR'!Print_Area</vt:lpstr>
      <vt:lpstr>'201K-OS'!Print_Area</vt:lpstr>
      <vt:lpstr>'20B-NR'!Print_Area</vt:lpstr>
      <vt:lpstr>'20B-OS'!Print_Area</vt:lpstr>
      <vt:lpstr>'220L-NR'!Print_Area</vt:lpstr>
      <vt:lpstr>'259Q-NR'!Print_Area</vt:lpstr>
      <vt:lpstr>'259Q-OS'!Print_Area</vt:lpstr>
      <vt:lpstr>'347K-NR'!Print_Area</vt:lpstr>
      <vt:lpstr>'347K-OS'!Print_Area</vt:lpstr>
      <vt:lpstr>'388G-NR'!Print_Area</vt:lpstr>
      <vt:lpstr>'388G-OS'!Print_Area</vt:lpstr>
      <vt:lpstr>'40M-NR'!Print_Area</vt:lpstr>
      <vt:lpstr>'40M-OS'!Print_Area</vt:lpstr>
      <vt:lpstr>'420G-NR'!Print_Area</vt:lpstr>
      <vt:lpstr>'420G-OS'!Print_Area</vt:lpstr>
      <vt:lpstr>'567C-NR'!Print_Area</vt:lpstr>
      <vt:lpstr>'567C-OS'!Print_Area</vt:lpstr>
      <vt:lpstr>'575B-OS'!Print_Area</vt:lpstr>
      <vt:lpstr>'60MP-NR'!Print_Area</vt:lpstr>
      <vt:lpstr>'60MP-OS'!Print_Area</vt:lpstr>
      <vt:lpstr>'6OC-NR'!Print_Area</vt:lpstr>
      <vt:lpstr>'6O''C-OS'!Print_Area</vt:lpstr>
      <vt:lpstr>'850C-NR'!Print_Area</vt:lpstr>
      <vt:lpstr>'850C-NR_PC'!Print_Area</vt:lpstr>
      <vt:lpstr>'850C-OS'!Print_Area</vt:lpstr>
      <vt:lpstr>'QV1-NR'!Print_Area</vt:lpstr>
      <vt:lpstr>'QV1-OS'!Print_Area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Condon, Shaun</dc:creator>
  <cp:keywords/>
  <dc:description/>
  <cp:lastModifiedBy>Shaun Condon</cp:lastModifiedBy>
  <cp:revision/>
  <cp:lastPrinted>2024-05-28T14:11:49Z</cp:lastPrinted>
  <dcterms:created xsi:type="dcterms:W3CDTF">2014-03-02T20:33:06Z</dcterms:created>
  <dcterms:modified xsi:type="dcterms:W3CDTF">2024-05-31T13:33:45Z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0x01010097FCD68C729D29409E2E9DC6DD16369A1800FE9548B8CA0EE44187D1BECAD83031E1</vt:lpwstr>
  </property>
  <property fmtid="{D5CDD505-2E9C-101B-9397-08002B2CF9AE}" pid="3" name="Order">
    <vt:r8>6965400</vt:r8>
  </property>
  <property fmtid="{D5CDD505-2E9C-101B-9397-08002B2CF9AE}" pid="4" name="SharedWithUsers">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y fmtid="{D5CDD505-2E9C-101B-9397-08002B2CF9AE}" pid="8" name="_ExtendedDescription">
    <vt:lpwstr/>
  </property>
  <property fmtid="{D5CDD505-2E9C-101B-9397-08002B2CF9AE}" pid="9" name="TriggerFlowInfo">
    <vt:lpwstr/>
  </property>
  <property fmtid="{D5CDD505-2E9C-101B-9397-08002B2CF9AE}" pid="10" name="Tenant">
    <vt:lpwstr/>
  </property>
  <property fmtid="{D5CDD505-2E9C-101B-9397-08002B2CF9AE}" pid="11" name="Topic">
    <vt:lpwstr/>
  </property>
  <property fmtid="{D5CDD505-2E9C-101B-9397-08002B2CF9AE}" pid="12" name="Year">
    <vt:lpwstr/>
  </property>
  <property fmtid="{D5CDD505-2E9C-101B-9397-08002B2CF9AE}" pid="13" name="Month">
    <vt:lpwstr/>
  </property>
  <property fmtid="{D5CDD505-2E9C-101B-9397-08002B2CF9AE}" pid="14" name="Property">
    <vt:lpwstr/>
  </property>
  <property fmtid="{D5CDD505-2E9C-101B-9397-08002B2CF9AE}" pid="15" name="DocumentType">
    <vt:lpwstr/>
  </property>
  <property fmtid="{D5CDD505-2E9C-101B-9397-08002B2CF9AE}" pid="16" name="_dlc_DocIdItemGuid">
    <vt:lpwstr>fefd7421-1f9d-47b8-97db-4ce583901444</vt:lpwstr>
  </property>
</Properties>
</file>